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ellimages.xml" ContentType="application/vnd.wps-officedocument.cellim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D:\code\work\jeecg-boot\doc\"/>
    </mc:Choice>
  </mc:AlternateContent>
  <xr:revisionPtr revIDLastSave="0" documentId="13_ncr:1_{11FFFF75-DFE0-467C-B30F-38C440556D10}" xr6:coauthVersionLast="47" xr6:coauthVersionMax="47" xr10:uidLastSave="{00000000-0000-0000-0000-000000000000}"/>
  <bookViews>
    <workbookView xWindow="30612" yWindow="-108" windowWidth="30936" windowHeight="16776" tabRatio="621" firstSheet="2" activeTab="3" xr2:uid="{00000000-000D-0000-FFFF-FFFF00000000}"/>
  </bookViews>
  <sheets>
    <sheet name="《倍数表》" sheetId="26" state="hidden" r:id="rId1"/>
    <sheet name="型号目录" sheetId="140" state="hidden" r:id="rId2"/>
    <sheet name="各项系数" sheetId="12" r:id="rId3"/>
    <sheet name="TA" sheetId="13" r:id="rId4"/>
    <sheet name="YJV材料参数" sheetId="141" r:id="rId5"/>
    <sheet name="WpsReserved_CellImgList" sheetId="109" state="veryHidden" r:id="rId6"/>
  </sheets>
  <definedNames>
    <definedName name="_xlnm._FilterDatabase" localSheetId="3" hidden="1">TA!$D$10:$LN$144</definedName>
    <definedName name="_xlnm.Print_Area" localSheetId="1">型号目录!$AS$3:$AT$50,型号目录!$AU$3:$AV$50,型号目录!#REF!,型号目录!#REF!,型号目录!#REF!,型号目录!$AX$3:$BA$50,型号目录!$BN$3:$BQ$50,型号目录!$BR$3:$BS$50,型号目录!$BV$3:$BW$50,型号目录!$CA$3:$CA$50,型号目录!$CC$3:$CC$50,型号目录!$CE$3:$CE$50,型号目录!#REF!,型号目录!$CF$3:$CF$50</definedName>
    <definedName name="tupian" localSheetId="4">INDIRECT("c"&amp;MATCH(#REF!,#REF!,0))</definedName>
    <definedName name="tupian">INDIRECT("c"&amp;MATCH(#REF!,#REF!,0))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20" i="141" l="1"/>
  <c r="AD20" i="141"/>
  <c r="AC20" i="141"/>
  <c r="AB20" i="141"/>
  <c r="AA20" i="141"/>
  <c r="Z20" i="141"/>
  <c r="Y20" i="141"/>
  <c r="X20" i="141"/>
  <c r="W20" i="141"/>
  <c r="V20" i="141"/>
  <c r="U20" i="141"/>
  <c r="T20" i="141"/>
  <c r="S20" i="141"/>
  <c r="R20" i="141"/>
  <c r="Q20" i="141"/>
  <c r="P20" i="141"/>
  <c r="O20" i="141"/>
  <c r="N20" i="141"/>
  <c r="M20" i="141"/>
  <c r="L20" i="141"/>
  <c r="K20" i="141"/>
  <c r="J20" i="141"/>
  <c r="I20" i="141"/>
  <c r="H20" i="141"/>
  <c r="G20" i="141"/>
  <c r="F20" i="141"/>
  <c r="E20" i="141"/>
  <c r="D20" i="141"/>
  <c r="C20" i="141"/>
  <c r="AE19" i="141"/>
  <c r="AD19" i="141"/>
  <c r="AC19" i="141"/>
  <c r="AB19" i="141"/>
  <c r="AA19" i="141"/>
  <c r="Z19" i="141"/>
  <c r="Y19" i="141"/>
  <c r="X19" i="141"/>
  <c r="W19" i="141"/>
  <c r="V19" i="141"/>
  <c r="U19" i="141"/>
  <c r="T19" i="141"/>
  <c r="S19" i="141"/>
  <c r="R19" i="141"/>
  <c r="Q19" i="141"/>
  <c r="P19" i="141"/>
  <c r="O19" i="141"/>
  <c r="N19" i="141"/>
  <c r="M19" i="141"/>
  <c r="L19" i="141"/>
  <c r="K19" i="141"/>
  <c r="J19" i="141"/>
  <c r="I19" i="141"/>
  <c r="H19" i="141"/>
  <c r="G19" i="141"/>
  <c r="F19" i="141"/>
  <c r="E19" i="141"/>
  <c r="D19" i="141"/>
  <c r="C19" i="141"/>
  <c r="AE18" i="141"/>
  <c r="AD18" i="141"/>
  <c r="AC18" i="141"/>
  <c r="AB18" i="141"/>
  <c r="AA18" i="141"/>
  <c r="Z18" i="141"/>
  <c r="Y18" i="141"/>
  <c r="X18" i="141"/>
  <c r="W18" i="141"/>
  <c r="V18" i="141"/>
  <c r="U18" i="141"/>
  <c r="T18" i="141"/>
  <c r="S18" i="141"/>
  <c r="R18" i="141"/>
  <c r="Q18" i="141"/>
  <c r="P18" i="141"/>
  <c r="O18" i="141"/>
  <c r="N18" i="141"/>
  <c r="M18" i="141"/>
  <c r="L18" i="141"/>
  <c r="K18" i="141"/>
  <c r="J18" i="141"/>
  <c r="I18" i="141"/>
  <c r="H18" i="141"/>
  <c r="G18" i="141"/>
  <c r="F18" i="141"/>
  <c r="E18" i="141"/>
  <c r="D18" i="141"/>
  <c r="C18" i="141"/>
  <c r="AE17" i="141"/>
  <c r="AD17" i="141"/>
  <c r="AC17" i="141"/>
  <c r="AB17" i="141"/>
  <c r="AA17" i="141"/>
  <c r="Z17" i="141"/>
  <c r="Y17" i="141"/>
  <c r="X17" i="141"/>
  <c r="W17" i="141"/>
  <c r="V17" i="141"/>
  <c r="U17" i="141"/>
  <c r="T17" i="141"/>
  <c r="S17" i="141"/>
  <c r="R17" i="141"/>
  <c r="Q17" i="141"/>
  <c r="P17" i="141"/>
  <c r="O17" i="141"/>
  <c r="N17" i="141"/>
  <c r="M17" i="141"/>
  <c r="L17" i="141"/>
  <c r="K17" i="141"/>
  <c r="J17" i="141"/>
  <c r="I17" i="141"/>
  <c r="H17" i="141"/>
  <c r="G17" i="141"/>
  <c r="F17" i="141"/>
  <c r="E17" i="141"/>
  <c r="D17" i="141"/>
  <c r="C17" i="141"/>
  <c r="AE16" i="141"/>
  <c r="AD16" i="141"/>
  <c r="AC16" i="141"/>
  <c r="AB16" i="141"/>
  <c r="AA16" i="141"/>
  <c r="Z16" i="141"/>
  <c r="Y16" i="141"/>
  <c r="X16" i="141"/>
  <c r="W16" i="141"/>
  <c r="V16" i="141"/>
  <c r="U16" i="141"/>
  <c r="T16" i="141"/>
  <c r="S16" i="141"/>
  <c r="R16" i="141"/>
  <c r="Q16" i="141"/>
  <c r="P16" i="141"/>
  <c r="O16" i="141"/>
  <c r="N16" i="141"/>
  <c r="M16" i="141"/>
  <c r="L16" i="141"/>
  <c r="K16" i="141"/>
  <c r="J16" i="141"/>
  <c r="I16" i="141"/>
  <c r="H16" i="141"/>
  <c r="G16" i="141"/>
  <c r="F16" i="141"/>
  <c r="E16" i="141"/>
  <c r="D16" i="141"/>
  <c r="C16" i="141"/>
  <c r="AE15" i="141"/>
  <c r="AD15" i="141"/>
  <c r="AC15" i="141"/>
  <c r="AB15" i="141"/>
  <c r="AA15" i="141"/>
  <c r="Z15" i="141"/>
  <c r="Y15" i="141"/>
  <c r="X15" i="141"/>
  <c r="W15" i="141"/>
  <c r="V15" i="141"/>
  <c r="U15" i="141"/>
  <c r="T15" i="141"/>
  <c r="S15" i="141"/>
  <c r="R15" i="141"/>
  <c r="Q15" i="141"/>
  <c r="P15" i="141"/>
  <c r="O15" i="141"/>
  <c r="N15" i="141"/>
  <c r="M15" i="141"/>
  <c r="L15" i="141"/>
  <c r="K15" i="141"/>
  <c r="J15" i="141"/>
  <c r="I15" i="141"/>
  <c r="H15" i="141"/>
  <c r="G15" i="141"/>
  <c r="F15" i="141"/>
  <c r="E15" i="141"/>
  <c r="D15" i="141"/>
  <c r="C15" i="141"/>
  <c r="AE14" i="141"/>
  <c r="AD14" i="141"/>
  <c r="AC14" i="141"/>
  <c r="AB14" i="141"/>
  <c r="AA14" i="141"/>
  <c r="Z14" i="141"/>
  <c r="Y14" i="141"/>
  <c r="X14" i="141"/>
  <c r="W14" i="141"/>
  <c r="V14" i="141"/>
  <c r="U14" i="141"/>
  <c r="T14" i="141"/>
  <c r="S14" i="141"/>
  <c r="R14" i="141"/>
  <c r="Q14" i="141"/>
  <c r="P14" i="141"/>
  <c r="O14" i="141"/>
  <c r="N14" i="141"/>
  <c r="M14" i="141"/>
  <c r="L14" i="141"/>
  <c r="K14" i="141"/>
  <c r="J14" i="141"/>
  <c r="I14" i="141"/>
  <c r="H14" i="141"/>
  <c r="G14" i="141"/>
  <c r="F14" i="141"/>
  <c r="E14" i="141"/>
  <c r="D14" i="141"/>
  <c r="C14" i="141"/>
  <c r="AE13" i="141"/>
  <c r="AD13" i="141"/>
  <c r="AC13" i="141"/>
  <c r="AB13" i="141"/>
  <c r="AA13" i="141"/>
  <c r="Z13" i="141"/>
  <c r="Y13" i="141"/>
  <c r="X13" i="141"/>
  <c r="W13" i="141"/>
  <c r="V13" i="141"/>
  <c r="U13" i="141"/>
  <c r="T13" i="141"/>
  <c r="S13" i="141"/>
  <c r="R13" i="141"/>
  <c r="Q13" i="141"/>
  <c r="P13" i="141"/>
  <c r="O13" i="141"/>
  <c r="N13" i="141"/>
  <c r="M13" i="141"/>
  <c r="L13" i="141"/>
  <c r="K13" i="141"/>
  <c r="J13" i="141"/>
  <c r="I13" i="141"/>
  <c r="H13" i="141"/>
  <c r="G13" i="141"/>
  <c r="F13" i="141"/>
  <c r="E13" i="141"/>
  <c r="D13" i="141"/>
  <c r="C13" i="141"/>
  <c r="AE12" i="141"/>
  <c r="AD12" i="141"/>
  <c r="AC12" i="141"/>
  <c r="AB12" i="141"/>
  <c r="AA12" i="141"/>
  <c r="Z12" i="141"/>
  <c r="Y12" i="141"/>
  <c r="X12" i="141"/>
  <c r="W12" i="141"/>
  <c r="V12" i="141"/>
  <c r="U12" i="141"/>
  <c r="T12" i="141"/>
  <c r="S12" i="141"/>
  <c r="R12" i="141"/>
  <c r="Q12" i="141"/>
  <c r="P12" i="141"/>
  <c r="O12" i="141"/>
  <c r="N12" i="141"/>
  <c r="M12" i="141"/>
  <c r="L12" i="141"/>
  <c r="K12" i="141"/>
  <c r="J12" i="141"/>
  <c r="I12" i="141"/>
  <c r="H12" i="141"/>
  <c r="G12" i="141"/>
  <c r="F12" i="141"/>
  <c r="E12" i="141"/>
  <c r="D12" i="141"/>
  <c r="C12" i="141"/>
  <c r="AE11" i="141"/>
  <c r="AD11" i="141"/>
  <c r="AC11" i="141"/>
  <c r="AB11" i="141"/>
  <c r="AA11" i="141"/>
  <c r="Z11" i="141"/>
  <c r="Y11" i="141"/>
  <c r="X11" i="141"/>
  <c r="W11" i="141"/>
  <c r="V11" i="141"/>
  <c r="U11" i="141"/>
  <c r="T11" i="141"/>
  <c r="S11" i="141"/>
  <c r="R11" i="141"/>
  <c r="Q11" i="141"/>
  <c r="P11" i="141"/>
  <c r="O11" i="141"/>
  <c r="N11" i="141"/>
  <c r="M11" i="141"/>
  <c r="L11" i="141"/>
  <c r="K11" i="141"/>
  <c r="J11" i="141"/>
  <c r="I11" i="141"/>
  <c r="H11" i="141"/>
  <c r="G11" i="141"/>
  <c r="F11" i="141"/>
  <c r="E11" i="141"/>
  <c r="D11" i="141"/>
  <c r="C11" i="141"/>
  <c r="AE10" i="141"/>
  <c r="AD10" i="141"/>
  <c r="AC10" i="141"/>
  <c r="AB10" i="141"/>
  <c r="AA10" i="141"/>
  <c r="Z10" i="141"/>
  <c r="Y10" i="141"/>
  <c r="X10" i="141"/>
  <c r="W10" i="141"/>
  <c r="V10" i="141"/>
  <c r="U10" i="141"/>
  <c r="T10" i="141"/>
  <c r="S10" i="141"/>
  <c r="R10" i="141"/>
  <c r="Q10" i="141"/>
  <c r="P10" i="141"/>
  <c r="O10" i="141"/>
  <c r="N10" i="141"/>
  <c r="M10" i="141"/>
  <c r="L10" i="141"/>
  <c r="K10" i="141"/>
  <c r="J10" i="141"/>
  <c r="I10" i="141"/>
  <c r="H10" i="141"/>
  <c r="G10" i="141"/>
  <c r="F10" i="141"/>
  <c r="E10" i="141"/>
  <c r="D10" i="141"/>
  <c r="C10" i="141"/>
  <c r="AE9" i="141"/>
  <c r="AD9" i="141"/>
  <c r="AC9" i="141"/>
  <c r="AB9" i="141"/>
  <c r="AA9" i="141"/>
  <c r="Z9" i="141"/>
  <c r="Y9" i="141"/>
  <c r="X9" i="141"/>
  <c r="W9" i="141"/>
  <c r="V9" i="141"/>
  <c r="U9" i="141"/>
  <c r="T9" i="141"/>
  <c r="S9" i="141"/>
  <c r="R9" i="141"/>
  <c r="Q9" i="141"/>
  <c r="P9" i="141"/>
  <c r="O9" i="141"/>
  <c r="N9" i="141"/>
  <c r="M9" i="141"/>
  <c r="L9" i="141"/>
  <c r="K9" i="141"/>
  <c r="J9" i="141"/>
  <c r="I9" i="141"/>
  <c r="H9" i="141"/>
  <c r="G9" i="141"/>
  <c r="F9" i="141"/>
  <c r="E9" i="141"/>
  <c r="D9" i="141"/>
  <c r="C9" i="141"/>
  <c r="AE8" i="141"/>
  <c r="AD8" i="141"/>
  <c r="AC8" i="141"/>
  <c r="AB8" i="141"/>
  <c r="AA8" i="141"/>
  <c r="Z8" i="141"/>
  <c r="Y8" i="141"/>
  <c r="X8" i="141"/>
  <c r="W8" i="141"/>
  <c r="V8" i="141"/>
  <c r="U8" i="141"/>
  <c r="T8" i="141"/>
  <c r="S8" i="141"/>
  <c r="R8" i="141"/>
  <c r="Q8" i="141"/>
  <c r="P8" i="141"/>
  <c r="O8" i="141"/>
  <c r="N8" i="141"/>
  <c r="M8" i="141"/>
  <c r="L8" i="141"/>
  <c r="K8" i="141"/>
  <c r="J8" i="141"/>
  <c r="I8" i="141"/>
  <c r="H8" i="141"/>
  <c r="G8" i="141"/>
  <c r="F8" i="141"/>
  <c r="E8" i="141"/>
  <c r="D8" i="141"/>
  <c r="C8" i="141"/>
  <c r="AE7" i="141"/>
  <c r="AD7" i="141"/>
  <c r="AC7" i="141"/>
  <c r="AB7" i="141"/>
  <c r="AA7" i="141"/>
  <c r="Z7" i="141"/>
  <c r="Y7" i="141"/>
  <c r="X7" i="141"/>
  <c r="W7" i="141"/>
  <c r="V7" i="141"/>
  <c r="U7" i="141"/>
  <c r="T7" i="141"/>
  <c r="S7" i="141"/>
  <c r="R7" i="141"/>
  <c r="Q7" i="141"/>
  <c r="P7" i="141"/>
  <c r="O7" i="141"/>
  <c r="N7" i="141"/>
  <c r="M7" i="141"/>
  <c r="L7" i="141"/>
  <c r="K7" i="141"/>
  <c r="J7" i="141"/>
  <c r="I7" i="141"/>
  <c r="H7" i="141"/>
  <c r="G7" i="141"/>
  <c r="F7" i="141"/>
  <c r="E7" i="141"/>
  <c r="D7" i="141"/>
  <c r="C7" i="141"/>
  <c r="AE6" i="141"/>
  <c r="AD6" i="141"/>
  <c r="AC6" i="141"/>
  <c r="AB6" i="141"/>
  <c r="AA6" i="141"/>
  <c r="Z6" i="141"/>
  <c r="Y6" i="141"/>
  <c r="X6" i="141"/>
  <c r="W6" i="141"/>
  <c r="V6" i="141"/>
  <c r="U6" i="141"/>
  <c r="T6" i="141"/>
  <c r="S6" i="141"/>
  <c r="R6" i="141"/>
  <c r="Q6" i="141"/>
  <c r="P6" i="141"/>
  <c r="O6" i="141"/>
  <c r="N6" i="141"/>
  <c r="M6" i="141"/>
  <c r="L6" i="141"/>
  <c r="K6" i="141"/>
  <c r="J6" i="141"/>
  <c r="I6" i="141"/>
  <c r="H6" i="141"/>
  <c r="G6" i="141"/>
  <c r="F6" i="141"/>
  <c r="E6" i="141"/>
  <c r="D6" i="141"/>
  <c r="C6" i="141"/>
  <c r="B1" i="141"/>
  <c r="MG214" i="13"/>
  <c r="LZ214" i="13"/>
  <c r="KB214" i="13"/>
  <c r="KD214" i="13" s="1"/>
  <c r="JX214" i="13"/>
  <c r="JZ214" i="13" s="1"/>
  <c r="KA214" i="13" s="1"/>
  <c r="JT214" i="13"/>
  <c r="JV214" i="13" s="1"/>
  <c r="JP214" i="13"/>
  <c r="JR214" i="13" s="1"/>
  <c r="JS214" i="13" s="1"/>
  <c r="JB214" i="13"/>
  <c r="JD214" i="13" s="1"/>
  <c r="JE214" i="13" s="1"/>
  <c r="GK214" i="13"/>
  <c r="GM214" i="13" s="1"/>
  <c r="GG214" i="13"/>
  <c r="GI214" i="13" s="1"/>
  <c r="GJ214" i="13" s="1"/>
  <c r="FY214" i="13"/>
  <c r="GA214" i="13" s="1"/>
  <c r="GB214" i="13" s="1"/>
  <c r="EL214" i="13"/>
  <c r="EM214" i="13" s="1"/>
  <c r="EK214" i="13"/>
  <c r="EO214" i="13" s="1"/>
  <c r="EG214" i="13"/>
  <c r="EE214" i="13"/>
  <c r="AM214" i="13" s="1"/>
  <c r="ED214" i="13"/>
  <c r="EA214" i="13"/>
  <c r="DC214" i="13"/>
  <c r="CF214" i="13"/>
  <c r="BJ214" i="13"/>
  <c r="DD214" i="13" s="1"/>
  <c r="AF214" i="13"/>
  <c r="X214" i="13"/>
  <c r="W214" i="13"/>
  <c r="S214" i="13"/>
  <c r="Q214" i="13"/>
  <c r="O214" i="13"/>
  <c r="I214" i="13"/>
  <c r="ER214" i="13" s="1"/>
  <c r="AH214" i="13" s="1"/>
  <c r="F214" i="13"/>
  <c r="EJ214" i="13" s="1"/>
  <c r="MG213" i="13"/>
  <c r="LZ213" i="13"/>
  <c r="KB213" i="13"/>
  <c r="KD213" i="13" s="1"/>
  <c r="JX213" i="13"/>
  <c r="JZ213" i="13" s="1"/>
  <c r="KA213" i="13" s="1"/>
  <c r="JT213" i="13"/>
  <c r="JV213" i="13" s="1"/>
  <c r="JP213" i="13"/>
  <c r="JR213" i="13" s="1"/>
  <c r="JS213" i="13" s="1"/>
  <c r="JB213" i="13"/>
  <c r="JD213" i="13" s="1"/>
  <c r="JE213" i="13" s="1"/>
  <c r="GM213" i="13"/>
  <c r="GK213" i="13"/>
  <c r="GI213" i="13"/>
  <c r="GJ213" i="13" s="1"/>
  <c r="GG213" i="13"/>
  <c r="FY213" i="13"/>
  <c r="GA213" i="13" s="1"/>
  <c r="GB213" i="13" s="1"/>
  <c r="EM213" i="13"/>
  <c r="EP213" i="13" s="1"/>
  <c r="EQ213" i="13" s="1"/>
  <c r="EL213" i="13"/>
  <c r="EK213" i="13"/>
  <c r="EO213" i="13" s="1"/>
  <c r="EG213" i="13"/>
  <c r="EE213" i="13"/>
  <c r="M213" i="13" s="1"/>
  <c r="ED213" i="13"/>
  <c r="EA213" i="13"/>
  <c r="DC213" i="13"/>
  <c r="CG213" i="13"/>
  <c r="CF213" i="13"/>
  <c r="BJ213" i="13"/>
  <c r="DD213" i="13" s="1"/>
  <c r="AF213" i="13"/>
  <c r="X213" i="13"/>
  <c r="W213" i="13"/>
  <c r="S213" i="13"/>
  <c r="Q213" i="13"/>
  <c r="O213" i="13"/>
  <c r="I213" i="13"/>
  <c r="ER213" i="13" s="1"/>
  <c r="F213" i="13"/>
  <c r="EJ213" i="13" s="1"/>
  <c r="MG212" i="13"/>
  <c r="LZ212" i="13"/>
  <c r="KB212" i="13"/>
  <c r="KD212" i="13" s="1"/>
  <c r="JX212" i="13"/>
  <c r="JZ212" i="13" s="1"/>
  <c r="KA212" i="13" s="1"/>
  <c r="JT212" i="13"/>
  <c r="JV212" i="13" s="1"/>
  <c r="JP212" i="13"/>
  <c r="JR212" i="13" s="1"/>
  <c r="JS212" i="13" s="1"/>
  <c r="JB212" i="13"/>
  <c r="JD212" i="13" s="1"/>
  <c r="JE212" i="13" s="1"/>
  <c r="GK212" i="13"/>
  <c r="GM212" i="13" s="1"/>
  <c r="GG212" i="13"/>
  <c r="GI212" i="13" s="1"/>
  <c r="GJ212" i="13" s="1"/>
  <c r="FY212" i="13"/>
  <c r="GA212" i="13" s="1"/>
  <c r="GB212" i="13" s="1"/>
  <c r="EL212" i="13"/>
  <c r="EM212" i="13" s="1"/>
  <c r="EK212" i="13"/>
  <c r="EO212" i="13" s="1"/>
  <c r="EH212" i="13"/>
  <c r="EF212" i="13" s="1"/>
  <c r="EG212" i="13"/>
  <c r="EE212" i="13"/>
  <c r="ED212" i="13"/>
  <c r="EA212" i="13"/>
  <c r="DD212" i="13"/>
  <c r="DC212" i="13"/>
  <c r="CF212" i="13"/>
  <c r="BJ212" i="13"/>
  <c r="AM212" i="13"/>
  <c r="AF212" i="13"/>
  <c r="X212" i="13"/>
  <c r="W212" i="13"/>
  <c r="S212" i="13"/>
  <c r="Q212" i="13"/>
  <c r="O212" i="13"/>
  <c r="M212" i="13"/>
  <c r="I212" i="13"/>
  <c r="ER212" i="13" s="1"/>
  <c r="F212" i="13"/>
  <c r="EJ212" i="13" s="1"/>
  <c r="MG211" i="13"/>
  <c r="LZ211" i="13"/>
  <c r="KB211" i="13"/>
  <c r="KD211" i="13" s="1"/>
  <c r="JX211" i="13"/>
  <c r="JZ211" i="13" s="1"/>
  <c r="JT211" i="13"/>
  <c r="JV211" i="13" s="1"/>
  <c r="JP211" i="13"/>
  <c r="JR211" i="13" s="1"/>
  <c r="JS211" i="13" s="1"/>
  <c r="JB211" i="13"/>
  <c r="JD211" i="13" s="1"/>
  <c r="JE211" i="13" s="1"/>
  <c r="GK211" i="13"/>
  <c r="GM211" i="13" s="1"/>
  <c r="GG211" i="13"/>
  <c r="GI211" i="13" s="1"/>
  <c r="FY211" i="13"/>
  <c r="GA211" i="13" s="1"/>
  <c r="GB211" i="13" s="1"/>
  <c r="ER211" i="13"/>
  <c r="MD211" i="13" s="1"/>
  <c r="ME211" i="13" s="1"/>
  <c r="EN211" i="13"/>
  <c r="EL211" i="13"/>
  <c r="EM211" i="13" s="1"/>
  <c r="EP211" i="13" s="1"/>
  <c r="EK211" i="13"/>
  <c r="EO211" i="13" s="1"/>
  <c r="EH211" i="13"/>
  <c r="EF211" i="13" s="1"/>
  <c r="EG211" i="13"/>
  <c r="GT211" i="13" s="1"/>
  <c r="EE211" i="13"/>
  <c r="M211" i="13" s="1"/>
  <c r="ED211" i="13"/>
  <c r="EA211" i="13"/>
  <c r="DC211" i="13"/>
  <c r="CF211" i="13"/>
  <c r="BJ211" i="13"/>
  <c r="CG211" i="13" s="1"/>
  <c r="AM211" i="13"/>
  <c r="AH211" i="13"/>
  <c r="AF211" i="13"/>
  <c r="X211" i="13"/>
  <c r="W211" i="13"/>
  <c r="S211" i="13"/>
  <c r="Q211" i="13"/>
  <c r="O211" i="13"/>
  <c r="I211" i="13"/>
  <c r="F211" i="13"/>
  <c r="EJ211" i="13" s="1"/>
  <c r="MG210" i="13"/>
  <c r="LZ210" i="13"/>
  <c r="KB210" i="13"/>
  <c r="KD210" i="13" s="1"/>
  <c r="JX210" i="13"/>
  <c r="JZ210" i="13" s="1"/>
  <c r="KA210" i="13" s="1"/>
  <c r="JT210" i="13"/>
  <c r="JV210" i="13" s="1"/>
  <c r="JP210" i="13"/>
  <c r="JR210" i="13" s="1"/>
  <c r="JS210" i="13" s="1"/>
  <c r="JD210" i="13"/>
  <c r="JE210" i="13" s="1"/>
  <c r="JB210" i="13"/>
  <c r="GK210" i="13"/>
  <c r="GM210" i="13" s="1"/>
  <c r="GG210" i="13"/>
  <c r="GI210" i="13" s="1"/>
  <c r="GJ210" i="13" s="1"/>
  <c r="FY210" i="13"/>
  <c r="GA210" i="13" s="1"/>
  <c r="GB210" i="13" s="1"/>
  <c r="EL210" i="13"/>
  <c r="EM210" i="13" s="1"/>
  <c r="EK210" i="13"/>
  <c r="EG210" i="13"/>
  <c r="EE210" i="13"/>
  <c r="EH210" i="13" s="1"/>
  <c r="ED210" i="13"/>
  <c r="EA210" i="13"/>
  <c r="DC210" i="13"/>
  <c r="CF210" i="13"/>
  <c r="BJ210" i="13"/>
  <c r="AM210" i="13"/>
  <c r="AF210" i="13"/>
  <c r="X210" i="13"/>
  <c r="W210" i="13"/>
  <c r="S210" i="13"/>
  <c r="Q210" i="13"/>
  <c r="O210" i="13"/>
  <c r="I210" i="13"/>
  <c r="ER210" i="13" s="1"/>
  <c r="F210" i="13"/>
  <c r="EJ210" i="13" s="1"/>
  <c r="AC210" i="13" s="1"/>
  <c r="MG209" i="13"/>
  <c r="LZ209" i="13"/>
  <c r="KB209" i="13"/>
  <c r="KD209" i="13" s="1"/>
  <c r="JX209" i="13"/>
  <c r="JZ209" i="13" s="1"/>
  <c r="KA209" i="13" s="1"/>
  <c r="JV209" i="13"/>
  <c r="JT209" i="13"/>
  <c r="JP209" i="13"/>
  <c r="JR209" i="13" s="1"/>
  <c r="JS209" i="13" s="1"/>
  <c r="JD209" i="13"/>
  <c r="JE209" i="13" s="1"/>
  <c r="JB209" i="13"/>
  <c r="GK209" i="13"/>
  <c r="GM209" i="13" s="1"/>
  <c r="GG209" i="13"/>
  <c r="GI209" i="13" s="1"/>
  <c r="GJ209" i="13" s="1"/>
  <c r="FY209" i="13"/>
  <c r="GA209" i="13" s="1"/>
  <c r="GB209" i="13" s="1"/>
  <c r="EL209" i="13"/>
  <c r="EM209" i="13" s="1"/>
  <c r="EP209" i="13" s="1"/>
  <c r="EK209" i="13"/>
  <c r="EO209" i="13" s="1"/>
  <c r="EG209" i="13"/>
  <c r="EE209" i="13"/>
  <c r="ED209" i="13"/>
  <c r="EA209" i="13"/>
  <c r="DD209" i="13"/>
  <c r="DC209" i="13"/>
  <c r="CF209" i="13"/>
  <c r="BJ209" i="13"/>
  <c r="CG209" i="13" s="1"/>
  <c r="AF209" i="13"/>
  <c r="X209" i="13"/>
  <c r="W209" i="13"/>
  <c r="S209" i="13"/>
  <c r="Q209" i="13"/>
  <c r="O209" i="13"/>
  <c r="I209" i="13"/>
  <c r="ER209" i="13" s="1"/>
  <c r="F209" i="13"/>
  <c r="EJ209" i="13" s="1"/>
  <c r="AC209" i="13" s="1"/>
  <c r="MG208" i="13"/>
  <c r="LZ208" i="13"/>
  <c r="KB208" i="13"/>
  <c r="KD208" i="13" s="1"/>
  <c r="JX208" i="13"/>
  <c r="JZ208" i="13" s="1"/>
  <c r="KA208" i="13" s="1"/>
  <c r="JT208" i="13"/>
  <c r="JV208" i="13" s="1"/>
  <c r="JP208" i="13"/>
  <c r="JR208" i="13" s="1"/>
  <c r="JS208" i="13" s="1"/>
  <c r="JB208" i="13"/>
  <c r="JD208" i="13" s="1"/>
  <c r="JE208" i="13" s="1"/>
  <c r="GK208" i="13"/>
  <c r="GM208" i="13" s="1"/>
  <c r="GG208" i="13"/>
  <c r="GI208" i="13" s="1"/>
  <c r="GJ208" i="13" s="1"/>
  <c r="FY208" i="13"/>
  <c r="GA208" i="13" s="1"/>
  <c r="GB208" i="13" s="1"/>
  <c r="EL208" i="13"/>
  <c r="EM208" i="13" s="1"/>
  <c r="EK208" i="13"/>
  <c r="EG208" i="13"/>
  <c r="EE208" i="13"/>
  <c r="GT208" i="13" s="1"/>
  <c r="ED208" i="13"/>
  <c r="EA208" i="13"/>
  <c r="DC208" i="13"/>
  <c r="CG208" i="13"/>
  <c r="CF208" i="13"/>
  <c r="BJ208" i="13"/>
  <c r="AF208" i="13"/>
  <c r="X208" i="13"/>
  <c r="W208" i="13"/>
  <c r="S208" i="13"/>
  <c r="Q208" i="13"/>
  <c r="O208" i="13"/>
  <c r="I208" i="13"/>
  <c r="ER208" i="13" s="1"/>
  <c r="F208" i="13"/>
  <c r="EJ208" i="13" s="1"/>
  <c r="MG207" i="13"/>
  <c r="LZ207" i="13"/>
  <c r="KB207" i="13"/>
  <c r="KD207" i="13" s="1"/>
  <c r="JX207" i="13"/>
  <c r="JZ207" i="13" s="1"/>
  <c r="KA207" i="13" s="1"/>
  <c r="JT207" i="13"/>
  <c r="JV207" i="13" s="1"/>
  <c r="JP207" i="13"/>
  <c r="JR207" i="13" s="1"/>
  <c r="JS207" i="13" s="1"/>
  <c r="JB207" i="13"/>
  <c r="JD207" i="13" s="1"/>
  <c r="JE207" i="13" s="1"/>
  <c r="GK207" i="13"/>
  <c r="GM207" i="13" s="1"/>
  <c r="GG207" i="13"/>
  <c r="GI207" i="13" s="1"/>
  <c r="GJ207" i="13" s="1"/>
  <c r="FY207" i="13"/>
  <c r="GA207" i="13" s="1"/>
  <c r="GB207" i="13" s="1"/>
  <c r="EL207" i="13"/>
  <c r="EM207" i="13" s="1"/>
  <c r="EK207" i="13"/>
  <c r="EO207" i="13" s="1"/>
  <c r="EI207" i="13"/>
  <c r="EG207" i="13"/>
  <c r="EE207" i="13"/>
  <c r="EH207" i="13" s="1"/>
  <c r="EF207" i="13" s="1"/>
  <c r="ED207" i="13"/>
  <c r="EA207" i="13"/>
  <c r="DC207" i="13"/>
  <c r="CF207" i="13"/>
  <c r="BJ207" i="13"/>
  <c r="DD207" i="13" s="1"/>
  <c r="AM207" i="13"/>
  <c r="AF207" i="13"/>
  <c r="X207" i="13"/>
  <c r="W207" i="13"/>
  <c r="S207" i="13"/>
  <c r="Q207" i="13"/>
  <c r="O207" i="13"/>
  <c r="I207" i="13"/>
  <c r="ER207" i="13" s="1"/>
  <c r="AH207" i="13" s="1"/>
  <c r="F207" i="13"/>
  <c r="EJ207" i="13" s="1"/>
  <c r="AB207" i="13" s="1"/>
  <c r="MY206" i="13"/>
  <c r="MG206" i="13"/>
  <c r="LZ206" i="13"/>
  <c r="KB206" i="13"/>
  <c r="KD206" i="13" s="1"/>
  <c r="JX206" i="13"/>
  <c r="JZ206" i="13" s="1"/>
  <c r="KA206" i="13" s="1"/>
  <c r="JT206" i="13"/>
  <c r="JV206" i="13" s="1"/>
  <c r="JP206" i="13"/>
  <c r="JR206" i="13" s="1"/>
  <c r="JS206" i="13" s="1"/>
  <c r="JB206" i="13"/>
  <c r="JD206" i="13" s="1"/>
  <c r="JE206" i="13" s="1"/>
  <c r="GK206" i="13"/>
  <c r="GM206" i="13" s="1"/>
  <c r="GG206" i="13"/>
  <c r="GI206" i="13" s="1"/>
  <c r="GJ206" i="13" s="1"/>
  <c r="FY206" i="13"/>
  <c r="GA206" i="13" s="1"/>
  <c r="GB206" i="13" s="1"/>
  <c r="ER206" i="13"/>
  <c r="EL206" i="13"/>
  <c r="EM206" i="13" s="1"/>
  <c r="EK206" i="13"/>
  <c r="MI206" i="13" s="1"/>
  <c r="MM206" i="13" s="1"/>
  <c r="MO206" i="13" s="1"/>
  <c r="EG206" i="13"/>
  <c r="EE206" i="13"/>
  <c r="ED206" i="13"/>
  <c r="EA206" i="13"/>
  <c r="DC206" i="13"/>
  <c r="CF206" i="13"/>
  <c r="BJ206" i="13"/>
  <c r="AH206" i="13"/>
  <c r="X206" i="13"/>
  <c r="W206" i="13"/>
  <c r="S206" i="13"/>
  <c r="Q206" i="13"/>
  <c r="O206" i="13"/>
  <c r="F206" i="13"/>
  <c r="EJ206" i="13" s="1"/>
  <c r="AC206" i="13" s="1"/>
  <c r="MI205" i="13"/>
  <c r="MM205" i="13" s="1"/>
  <c r="MG205" i="13"/>
  <c r="LZ205" i="13"/>
  <c r="KB205" i="13"/>
  <c r="KD205" i="13" s="1"/>
  <c r="JX205" i="13"/>
  <c r="JZ205" i="13" s="1"/>
  <c r="KA205" i="13" s="1"/>
  <c r="JT205" i="13"/>
  <c r="JV205" i="13" s="1"/>
  <c r="JP205" i="13"/>
  <c r="JR205" i="13" s="1"/>
  <c r="JS205" i="13" s="1"/>
  <c r="JB205" i="13"/>
  <c r="JD205" i="13" s="1"/>
  <c r="JE205" i="13" s="1"/>
  <c r="GK205" i="13"/>
  <c r="GM205" i="13" s="1"/>
  <c r="GG205" i="13"/>
  <c r="GI205" i="13" s="1"/>
  <c r="GJ205" i="13" s="1"/>
  <c r="FY205" i="13"/>
  <c r="GA205" i="13" s="1"/>
  <c r="GB205" i="13" s="1"/>
  <c r="ER205" i="13"/>
  <c r="EL205" i="13"/>
  <c r="EM205" i="13" s="1"/>
  <c r="N205" i="13" s="1"/>
  <c r="EK205" i="13"/>
  <c r="EO205" i="13" s="1"/>
  <c r="EC205" i="13" s="1"/>
  <c r="EG205" i="13"/>
  <c r="EE205" i="13"/>
  <c r="AM205" i="13" s="1"/>
  <c r="ED205" i="13"/>
  <c r="EA205" i="13"/>
  <c r="DD205" i="13"/>
  <c r="DC205" i="13"/>
  <c r="CG205" i="13"/>
  <c r="CF205" i="13"/>
  <c r="BJ205" i="13"/>
  <c r="X205" i="13"/>
  <c r="W205" i="13"/>
  <c r="S205" i="13"/>
  <c r="Q205" i="13"/>
  <c r="O205" i="13"/>
  <c r="F205" i="13"/>
  <c r="EJ205" i="13" s="1"/>
  <c r="MG204" i="13"/>
  <c r="LZ204" i="13"/>
  <c r="KB204" i="13"/>
  <c r="KD204" i="13" s="1"/>
  <c r="JX204" i="13"/>
  <c r="JZ204" i="13" s="1"/>
  <c r="KA204" i="13" s="1"/>
  <c r="JT204" i="13"/>
  <c r="JV204" i="13" s="1"/>
  <c r="JP204" i="13"/>
  <c r="JR204" i="13" s="1"/>
  <c r="JS204" i="13" s="1"/>
  <c r="JB204" i="13"/>
  <c r="JD204" i="13" s="1"/>
  <c r="JE204" i="13" s="1"/>
  <c r="GK204" i="13"/>
  <c r="GM204" i="13" s="1"/>
  <c r="GG204" i="13"/>
  <c r="GI204" i="13" s="1"/>
  <c r="GJ204" i="13" s="1"/>
  <c r="FY204" i="13"/>
  <c r="GA204" i="13" s="1"/>
  <c r="GB204" i="13" s="1"/>
  <c r="ER204" i="13"/>
  <c r="EL204" i="13"/>
  <c r="EM204" i="13" s="1"/>
  <c r="N204" i="13" s="1"/>
  <c r="EK204" i="13"/>
  <c r="EO204" i="13" s="1"/>
  <c r="EG204" i="13"/>
  <c r="EE204" i="13"/>
  <c r="EH204" i="13" s="1"/>
  <c r="EI204" i="13" s="1"/>
  <c r="ED204" i="13"/>
  <c r="EA204" i="13"/>
  <c r="DC204" i="13"/>
  <c r="CF204" i="13"/>
  <c r="BJ204" i="13"/>
  <c r="DD204" i="13" s="1"/>
  <c r="AM204" i="13"/>
  <c r="AH204" i="13"/>
  <c r="X204" i="13"/>
  <c r="W204" i="13"/>
  <c r="S204" i="13"/>
  <c r="Q204" i="13"/>
  <c r="O204" i="13"/>
  <c r="M204" i="13"/>
  <c r="F204" i="13"/>
  <c r="EJ204" i="13" s="1"/>
  <c r="AC204" i="13" s="1"/>
  <c r="MG203" i="13"/>
  <c r="LZ203" i="13"/>
  <c r="KB203" i="13"/>
  <c r="KD203" i="13" s="1"/>
  <c r="JX203" i="13"/>
  <c r="JZ203" i="13" s="1"/>
  <c r="KA203" i="13" s="1"/>
  <c r="JT203" i="13"/>
  <c r="JV203" i="13" s="1"/>
  <c r="JP203" i="13"/>
  <c r="JR203" i="13" s="1"/>
  <c r="JS203" i="13" s="1"/>
  <c r="JB203" i="13"/>
  <c r="JD203" i="13" s="1"/>
  <c r="JE203" i="13" s="1"/>
  <c r="GK203" i="13"/>
  <c r="GM203" i="13" s="1"/>
  <c r="GI203" i="13"/>
  <c r="GJ203" i="13" s="1"/>
  <c r="GG203" i="13"/>
  <c r="FY203" i="13"/>
  <c r="GA203" i="13" s="1"/>
  <c r="GB203" i="13" s="1"/>
  <c r="ER203" i="13"/>
  <c r="AH203" i="13" s="1"/>
  <c r="EL203" i="13"/>
  <c r="EM203" i="13" s="1"/>
  <c r="AG203" i="13" s="1"/>
  <c r="EK203" i="13"/>
  <c r="EG203" i="13"/>
  <c r="EE203" i="13"/>
  <c r="ED203" i="13"/>
  <c r="EA203" i="13"/>
  <c r="DD203" i="13"/>
  <c r="DC203" i="13"/>
  <c r="CG203" i="13"/>
  <c r="CF203" i="13"/>
  <c r="X203" i="13"/>
  <c r="W203" i="13"/>
  <c r="S203" i="13"/>
  <c r="Q203" i="13"/>
  <c r="O203" i="13"/>
  <c r="F203" i="13"/>
  <c r="EJ203" i="13" s="1"/>
  <c r="MG202" i="13"/>
  <c r="LZ202" i="13"/>
  <c r="KB202" i="13"/>
  <c r="KD202" i="13" s="1"/>
  <c r="JX202" i="13"/>
  <c r="JZ202" i="13" s="1"/>
  <c r="KA202" i="13" s="1"/>
  <c r="JT202" i="13"/>
  <c r="JV202" i="13" s="1"/>
  <c r="JP202" i="13"/>
  <c r="JR202" i="13" s="1"/>
  <c r="JS202" i="13" s="1"/>
  <c r="JB202" i="13"/>
  <c r="JD202" i="13" s="1"/>
  <c r="JE202" i="13" s="1"/>
  <c r="GM202" i="13"/>
  <c r="GK202" i="13"/>
  <c r="GG202" i="13"/>
  <c r="GI202" i="13" s="1"/>
  <c r="GJ202" i="13" s="1"/>
  <c r="FY202" i="13"/>
  <c r="GA202" i="13" s="1"/>
  <c r="GB202" i="13" s="1"/>
  <c r="ER202" i="13"/>
  <c r="EL202" i="13"/>
  <c r="EM202" i="13" s="1"/>
  <c r="EP202" i="13" s="1"/>
  <c r="EK202" i="13"/>
  <c r="MI202" i="13" s="1"/>
  <c r="MM202" i="13" s="1"/>
  <c r="MO202" i="13" s="1"/>
  <c r="EG202" i="13"/>
  <c r="EE202" i="13"/>
  <c r="AM202" i="13" s="1"/>
  <c r="ED202" i="13"/>
  <c r="EA202" i="13"/>
  <c r="DC202" i="13"/>
  <c r="CF202" i="13"/>
  <c r="BJ202" i="13"/>
  <c r="CG202" i="13" s="1"/>
  <c r="AC202" i="13"/>
  <c r="X202" i="13"/>
  <c r="S202" i="13"/>
  <c r="Q202" i="13"/>
  <c r="O202" i="13"/>
  <c r="F202" i="13"/>
  <c r="EJ202" i="13" s="1"/>
  <c r="MG201" i="13"/>
  <c r="LZ201" i="13"/>
  <c r="KB201" i="13"/>
  <c r="KD201" i="13" s="1"/>
  <c r="JX201" i="13"/>
  <c r="JZ201" i="13" s="1"/>
  <c r="KA201" i="13" s="1"/>
  <c r="JV201" i="13"/>
  <c r="JT201" i="13"/>
  <c r="JP201" i="13"/>
  <c r="JR201" i="13" s="1"/>
  <c r="JS201" i="13" s="1"/>
  <c r="JD201" i="13"/>
  <c r="JE201" i="13" s="1"/>
  <c r="JB201" i="13"/>
  <c r="GT201" i="13"/>
  <c r="GK201" i="13"/>
  <c r="GM201" i="13" s="1"/>
  <c r="GG201" i="13"/>
  <c r="GI201" i="13" s="1"/>
  <c r="GJ201" i="13" s="1"/>
  <c r="FY201" i="13"/>
  <c r="GA201" i="13" s="1"/>
  <c r="GB201" i="13" s="1"/>
  <c r="ER201" i="13"/>
  <c r="EL201" i="13"/>
  <c r="EM201" i="13" s="1"/>
  <c r="EK201" i="13"/>
  <c r="EG201" i="13"/>
  <c r="EE201" i="13"/>
  <c r="EH201" i="13" s="1"/>
  <c r="ED201" i="13"/>
  <c r="EA201" i="13"/>
  <c r="DC201" i="13"/>
  <c r="CF201" i="13"/>
  <c r="BJ201" i="13"/>
  <c r="AC201" i="13"/>
  <c r="X201" i="13"/>
  <c r="S201" i="13"/>
  <c r="Q201" i="13"/>
  <c r="O201" i="13"/>
  <c r="F201" i="13"/>
  <c r="EJ201" i="13" s="1"/>
  <c r="MG200" i="13"/>
  <c r="LZ200" i="13"/>
  <c r="KB200" i="13"/>
  <c r="KD200" i="13" s="1"/>
  <c r="JX200" i="13"/>
  <c r="JZ200" i="13" s="1"/>
  <c r="KA200" i="13" s="1"/>
  <c r="JT200" i="13"/>
  <c r="JV200" i="13" s="1"/>
  <c r="JP200" i="13"/>
  <c r="JR200" i="13" s="1"/>
  <c r="JS200" i="13" s="1"/>
  <c r="JB200" i="13"/>
  <c r="JD200" i="13" s="1"/>
  <c r="JE200" i="13" s="1"/>
  <c r="GK200" i="13"/>
  <c r="GM200" i="13" s="1"/>
  <c r="GG200" i="13"/>
  <c r="GI200" i="13" s="1"/>
  <c r="GJ200" i="13" s="1"/>
  <c r="FY200" i="13"/>
  <c r="GA200" i="13" s="1"/>
  <c r="GB200" i="13" s="1"/>
  <c r="ER200" i="13"/>
  <c r="EP200" i="13"/>
  <c r="EL200" i="13"/>
  <c r="EM200" i="13" s="1"/>
  <c r="N200" i="13" s="1"/>
  <c r="EK200" i="13"/>
  <c r="MI200" i="13" s="1"/>
  <c r="MM200" i="13" s="1"/>
  <c r="EJ200" i="13"/>
  <c r="AC200" i="13" s="1"/>
  <c r="EH200" i="13"/>
  <c r="EF200" i="13" s="1"/>
  <c r="EG200" i="13"/>
  <c r="EE200" i="13"/>
  <c r="ED200" i="13"/>
  <c r="EA200" i="13"/>
  <c r="DC200" i="13"/>
  <c r="CG200" i="13"/>
  <c r="CF200" i="13"/>
  <c r="BJ200" i="13"/>
  <c r="DD200" i="13" s="1"/>
  <c r="AM200" i="13"/>
  <c r="AH200" i="13"/>
  <c r="X200" i="13"/>
  <c r="S200" i="13"/>
  <c r="Q200" i="13"/>
  <c r="O200" i="13"/>
  <c r="F200" i="13"/>
  <c r="MG199" i="13"/>
  <c r="LZ199" i="13"/>
  <c r="KB199" i="13"/>
  <c r="KD199" i="13" s="1"/>
  <c r="JX199" i="13"/>
  <c r="JZ199" i="13" s="1"/>
  <c r="KA199" i="13" s="1"/>
  <c r="JT199" i="13"/>
  <c r="JV199" i="13" s="1"/>
  <c r="JP199" i="13"/>
  <c r="JR199" i="13" s="1"/>
  <c r="JS199" i="13" s="1"/>
  <c r="JB199" i="13"/>
  <c r="JD199" i="13" s="1"/>
  <c r="JE199" i="13" s="1"/>
  <c r="GK199" i="13"/>
  <c r="GM199" i="13" s="1"/>
  <c r="GG199" i="13"/>
  <c r="GI199" i="13" s="1"/>
  <c r="GJ199" i="13" s="1"/>
  <c r="FY199" i="13"/>
  <c r="GA199" i="13" s="1"/>
  <c r="GB199" i="13" s="1"/>
  <c r="ER199" i="13"/>
  <c r="EL199" i="13"/>
  <c r="EM199" i="13" s="1"/>
  <c r="EK199" i="13"/>
  <c r="MI199" i="13" s="1"/>
  <c r="MM199" i="13" s="1"/>
  <c r="EJ199" i="13"/>
  <c r="AC199" i="13" s="1"/>
  <c r="EG199" i="13"/>
  <c r="EE199" i="13"/>
  <c r="GT199" i="13" s="1"/>
  <c r="ED199" i="13"/>
  <c r="EA199" i="13"/>
  <c r="DD199" i="13"/>
  <c r="DC199" i="13"/>
  <c r="CG199" i="13"/>
  <c r="CF199" i="13"/>
  <c r="X199" i="13"/>
  <c r="S199" i="13"/>
  <c r="Q199" i="13"/>
  <c r="O199" i="13"/>
  <c r="F199" i="13"/>
  <c r="MG198" i="13"/>
  <c r="LZ198" i="13"/>
  <c r="KD198" i="13"/>
  <c r="KB198" i="13"/>
  <c r="JX198" i="13"/>
  <c r="JZ198" i="13" s="1"/>
  <c r="KA198" i="13" s="1"/>
  <c r="JT198" i="13"/>
  <c r="JV198" i="13" s="1"/>
  <c r="JP198" i="13"/>
  <c r="JR198" i="13" s="1"/>
  <c r="JS198" i="13" s="1"/>
  <c r="JB198" i="13"/>
  <c r="JD198" i="13" s="1"/>
  <c r="JE198" i="13" s="1"/>
  <c r="GK198" i="13"/>
  <c r="GM198" i="13" s="1"/>
  <c r="GG198" i="13"/>
  <c r="GI198" i="13" s="1"/>
  <c r="GJ198" i="13" s="1"/>
  <c r="FY198" i="13"/>
  <c r="GA198" i="13" s="1"/>
  <c r="GB198" i="13" s="1"/>
  <c r="ER198" i="13"/>
  <c r="EO198" i="13"/>
  <c r="EW198" i="13" s="1"/>
  <c r="EX198" i="13" s="1"/>
  <c r="EL198" i="13"/>
  <c r="EM198" i="13" s="1"/>
  <c r="EK198" i="13"/>
  <c r="MI198" i="13" s="1"/>
  <c r="MM198" i="13" s="1"/>
  <c r="EG198" i="13"/>
  <c r="EE198" i="13"/>
  <c r="EH198" i="13" s="1"/>
  <c r="ED198" i="13"/>
  <c r="EA198" i="13"/>
  <c r="DC198" i="13"/>
  <c r="CF198" i="13"/>
  <c r="BJ198" i="13"/>
  <c r="DD198" i="13" s="1"/>
  <c r="X198" i="13"/>
  <c r="W198" i="13"/>
  <c r="S198" i="13"/>
  <c r="Q198" i="13"/>
  <c r="O198" i="13"/>
  <c r="M198" i="13"/>
  <c r="F198" i="13"/>
  <c r="EJ198" i="13" s="1"/>
  <c r="MG197" i="13"/>
  <c r="LZ197" i="13"/>
  <c r="KB197" i="13"/>
  <c r="KD197" i="13" s="1"/>
  <c r="JX197" i="13"/>
  <c r="JZ197" i="13" s="1"/>
  <c r="KA197" i="13" s="1"/>
  <c r="JV197" i="13"/>
  <c r="JT197" i="13"/>
  <c r="JP197" i="13"/>
  <c r="JR197" i="13" s="1"/>
  <c r="JS197" i="13" s="1"/>
  <c r="JB197" i="13"/>
  <c r="JD197" i="13" s="1"/>
  <c r="JE197" i="13" s="1"/>
  <c r="GK197" i="13"/>
  <c r="GM197" i="13" s="1"/>
  <c r="GG197" i="13"/>
  <c r="GI197" i="13" s="1"/>
  <c r="GJ197" i="13" s="1"/>
  <c r="FY197" i="13"/>
  <c r="GA197" i="13" s="1"/>
  <c r="GB197" i="13" s="1"/>
  <c r="ER197" i="13"/>
  <c r="EL197" i="13"/>
  <c r="EM197" i="13" s="1"/>
  <c r="EK197" i="13"/>
  <c r="MI197" i="13" s="1"/>
  <c r="MM197" i="13" s="1"/>
  <c r="EG197" i="13"/>
  <c r="GT197" i="13" s="1"/>
  <c r="EE197" i="13"/>
  <c r="EH197" i="13" s="1"/>
  <c r="EI197" i="13" s="1"/>
  <c r="ED197" i="13"/>
  <c r="EA197" i="13"/>
  <c r="DD197" i="13"/>
  <c r="DC197" i="13"/>
  <c r="CF197" i="13"/>
  <c r="BJ197" i="13"/>
  <c r="CG197" i="13" s="1"/>
  <c r="AH197" i="13"/>
  <c r="X197" i="13"/>
  <c r="S197" i="13"/>
  <c r="Q197" i="13"/>
  <c r="O197" i="13"/>
  <c r="F197" i="13"/>
  <c r="EJ197" i="13" s="1"/>
  <c r="AC197" i="13" s="1"/>
  <c r="MG196" i="13"/>
  <c r="LZ196" i="13"/>
  <c r="KB196" i="13"/>
  <c r="KD196" i="13" s="1"/>
  <c r="JX196" i="13"/>
  <c r="JZ196" i="13" s="1"/>
  <c r="KA196" i="13" s="1"/>
  <c r="JT196" i="13"/>
  <c r="JV196" i="13" s="1"/>
  <c r="JP196" i="13"/>
  <c r="JR196" i="13" s="1"/>
  <c r="JS196" i="13" s="1"/>
  <c r="JB196" i="13"/>
  <c r="JD196" i="13" s="1"/>
  <c r="JE196" i="13" s="1"/>
  <c r="GK196" i="13"/>
  <c r="GM196" i="13" s="1"/>
  <c r="GG196" i="13"/>
  <c r="GI196" i="13" s="1"/>
  <c r="GJ196" i="13" s="1"/>
  <c r="FY196" i="13"/>
  <c r="GA196" i="13" s="1"/>
  <c r="GB196" i="13" s="1"/>
  <c r="ER196" i="13"/>
  <c r="EL196" i="13"/>
  <c r="EM196" i="13" s="1"/>
  <c r="EK196" i="13"/>
  <c r="EG196" i="13"/>
  <c r="EE196" i="13"/>
  <c r="GT196" i="13" s="1"/>
  <c r="ED196" i="13"/>
  <c r="EA196" i="13"/>
  <c r="DC196" i="13"/>
  <c r="CF196" i="13"/>
  <c r="BJ196" i="13"/>
  <c r="AH196" i="13"/>
  <c r="X196" i="13"/>
  <c r="W196" i="13"/>
  <c r="S196" i="13"/>
  <c r="Q196" i="13"/>
  <c r="O196" i="13"/>
  <c r="F196" i="13"/>
  <c r="EJ196" i="13" s="1"/>
  <c r="MG195" i="13"/>
  <c r="LZ195" i="13"/>
  <c r="KB195" i="13"/>
  <c r="KD195" i="13" s="1"/>
  <c r="JX195" i="13"/>
  <c r="JZ195" i="13" s="1"/>
  <c r="KA195" i="13" s="1"/>
  <c r="JT195" i="13"/>
  <c r="JV195" i="13" s="1"/>
  <c r="JP195" i="13"/>
  <c r="JR195" i="13" s="1"/>
  <c r="JS195" i="13" s="1"/>
  <c r="JB195" i="13"/>
  <c r="JD195" i="13" s="1"/>
  <c r="JE195" i="13" s="1"/>
  <c r="GK195" i="13"/>
  <c r="GM195" i="13" s="1"/>
  <c r="GG195" i="13"/>
  <c r="GI195" i="13" s="1"/>
  <c r="GJ195" i="13" s="1"/>
  <c r="FY195" i="13"/>
  <c r="GA195" i="13" s="1"/>
  <c r="GB195" i="13" s="1"/>
  <c r="ER195" i="13"/>
  <c r="EL195" i="13"/>
  <c r="EM195" i="13" s="1"/>
  <c r="N195" i="13" s="1"/>
  <c r="EK195" i="13"/>
  <c r="MI195" i="13" s="1"/>
  <c r="MM195" i="13" s="1"/>
  <c r="EG195" i="13"/>
  <c r="EE195" i="13"/>
  <c r="EH195" i="13" s="1"/>
  <c r="EF195" i="13" s="1"/>
  <c r="ED195" i="13"/>
  <c r="EA195" i="13"/>
  <c r="DC195" i="13"/>
  <c r="CF195" i="13"/>
  <c r="BJ195" i="13"/>
  <c r="AM195" i="13"/>
  <c r="AH195" i="13"/>
  <c r="X195" i="13"/>
  <c r="W195" i="13"/>
  <c r="S195" i="13"/>
  <c r="Q195" i="13"/>
  <c r="O195" i="13"/>
  <c r="F195" i="13"/>
  <c r="EJ195" i="13" s="1"/>
  <c r="MG194" i="13"/>
  <c r="LZ194" i="13"/>
  <c r="KB194" i="13"/>
  <c r="KD194" i="13" s="1"/>
  <c r="JX194" i="13"/>
  <c r="JZ194" i="13" s="1"/>
  <c r="KA194" i="13" s="1"/>
  <c r="JT194" i="13"/>
  <c r="JV194" i="13" s="1"/>
  <c r="JP194" i="13"/>
  <c r="JR194" i="13" s="1"/>
  <c r="JS194" i="13" s="1"/>
  <c r="JB194" i="13"/>
  <c r="JD194" i="13" s="1"/>
  <c r="JE194" i="13" s="1"/>
  <c r="GK194" i="13"/>
  <c r="GM194" i="13" s="1"/>
  <c r="GG194" i="13"/>
  <c r="GI194" i="13" s="1"/>
  <c r="GJ194" i="13" s="1"/>
  <c r="FY194" i="13"/>
  <c r="GA194" i="13" s="1"/>
  <c r="GB194" i="13" s="1"/>
  <c r="ER194" i="13"/>
  <c r="EL194" i="13"/>
  <c r="EM194" i="13" s="1"/>
  <c r="EP194" i="13" s="1"/>
  <c r="AJ194" i="13" s="1"/>
  <c r="AI194" i="13" s="1"/>
  <c r="EK194" i="13"/>
  <c r="EO194" i="13" s="1"/>
  <c r="EG194" i="13"/>
  <c r="EE194" i="13"/>
  <c r="EH194" i="13" s="1"/>
  <c r="EI194" i="13" s="1"/>
  <c r="ED194" i="13"/>
  <c r="EA194" i="13"/>
  <c r="DC194" i="13"/>
  <c r="CF194" i="13"/>
  <c r="BJ194" i="13"/>
  <c r="CG194" i="13" s="1"/>
  <c r="AM194" i="13"/>
  <c r="AH194" i="13"/>
  <c r="X194" i="13"/>
  <c r="W194" i="13"/>
  <c r="S194" i="13"/>
  <c r="Q194" i="13"/>
  <c r="O194" i="13"/>
  <c r="F194" i="13"/>
  <c r="EJ194" i="13" s="1"/>
  <c r="MJ194" i="13" s="1"/>
  <c r="LV194" i="13" s="1"/>
  <c r="MG193" i="13"/>
  <c r="LZ193" i="13"/>
  <c r="KB193" i="13"/>
  <c r="KD193" i="13" s="1"/>
  <c r="JX193" i="13"/>
  <c r="JZ193" i="13" s="1"/>
  <c r="KA193" i="13" s="1"/>
  <c r="JT193" i="13"/>
  <c r="JV193" i="13" s="1"/>
  <c r="JP193" i="13"/>
  <c r="JR193" i="13" s="1"/>
  <c r="JS193" i="13" s="1"/>
  <c r="JB193" i="13"/>
  <c r="JD193" i="13" s="1"/>
  <c r="JE193" i="13" s="1"/>
  <c r="GK193" i="13"/>
  <c r="GM193" i="13" s="1"/>
  <c r="GG193" i="13"/>
  <c r="GI193" i="13" s="1"/>
  <c r="GJ193" i="13" s="1"/>
  <c r="FY193" i="13"/>
  <c r="GA193" i="13" s="1"/>
  <c r="GB193" i="13" s="1"/>
  <c r="ER193" i="13"/>
  <c r="AH193" i="13" s="1"/>
  <c r="EL193" i="13"/>
  <c r="EM193" i="13" s="1"/>
  <c r="EK193" i="13"/>
  <c r="EO193" i="13" s="1"/>
  <c r="EJ193" i="13"/>
  <c r="AC193" i="13" s="1"/>
  <c r="EG193" i="13"/>
  <c r="EE193" i="13"/>
  <c r="AM193" i="13" s="1"/>
  <c r="ED193" i="13"/>
  <c r="EA193" i="13"/>
  <c r="DC193" i="13"/>
  <c r="CF193" i="13"/>
  <c r="BJ193" i="13"/>
  <c r="DD193" i="13" s="1"/>
  <c r="X193" i="13"/>
  <c r="W193" i="13"/>
  <c r="S193" i="13"/>
  <c r="Q193" i="13"/>
  <c r="O193" i="13"/>
  <c r="F193" i="13"/>
  <c r="MG192" i="13"/>
  <c r="LZ192" i="13"/>
  <c r="KB192" i="13"/>
  <c r="KD192" i="13" s="1"/>
  <c r="JX192" i="13"/>
  <c r="JZ192" i="13" s="1"/>
  <c r="KA192" i="13" s="1"/>
  <c r="JT192" i="13"/>
  <c r="JV192" i="13" s="1"/>
  <c r="JP192" i="13"/>
  <c r="JR192" i="13" s="1"/>
  <c r="JS192" i="13" s="1"/>
  <c r="JB192" i="13"/>
  <c r="JD192" i="13" s="1"/>
  <c r="JE192" i="13" s="1"/>
  <c r="GK192" i="13"/>
  <c r="GM192" i="13" s="1"/>
  <c r="GG192" i="13"/>
  <c r="GI192" i="13" s="1"/>
  <c r="GJ192" i="13" s="1"/>
  <c r="FY192" i="13"/>
  <c r="GA192" i="13" s="1"/>
  <c r="GB192" i="13" s="1"/>
  <c r="ER192" i="13"/>
  <c r="EM192" i="13"/>
  <c r="EP192" i="13" s="1"/>
  <c r="EN192" i="13" s="1"/>
  <c r="EL192" i="13"/>
  <c r="EK192" i="13"/>
  <c r="MI192" i="13" s="1"/>
  <c r="MM192" i="13" s="1"/>
  <c r="MY192" i="13" s="1"/>
  <c r="EG192" i="13"/>
  <c r="EE192" i="13"/>
  <c r="EH192" i="13" s="1"/>
  <c r="EI192" i="13" s="1"/>
  <c r="ED192" i="13"/>
  <c r="EA192" i="13"/>
  <c r="DC192" i="13"/>
  <c r="CF192" i="13"/>
  <c r="BJ192" i="13"/>
  <c r="CG192" i="13" s="1"/>
  <c r="X192" i="13"/>
  <c r="W192" i="13"/>
  <c r="S192" i="13"/>
  <c r="Q192" i="13"/>
  <c r="O192" i="13"/>
  <c r="M192" i="13"/>
  <c r="F192" i="13"/>
  <c r="EJ192" i="13" s="1"/>
  <c r="MG191" i="13"/>
  <c r="LZ191" i="13"/>
  <c r="KB191" i="13"/>
  <c r="KD191" i="13" s="1"/>
  <c r="JX191" i="13"/>
  <c r="JZ191" i="13" s="1"/>
  <c r="KA191" i="13" s="1"/>
  <c r="JT191" i="13"/>
  <c r="JV191" i="13" s="1"/>
  <c r="JP191" i="13"/>
  <c r="JR191" i="13" s="1"/>
  <c r="JS191" i="13" s="1"/>
  <c r="JB191" i="13"/>
  <c r="JD191" i="13" s="1"/>
  <c r="JE191" i="13" s="1"/>
  <c r="GK191" i="13"/>
  <c r="GM191" i="13" s="1"/>
  <c r="GG191" i="13"/>
  <c r="GI191" i="13" s="1"/>
  <c r="GJ191" i="13" s="1"/>
  <c r="FY191" i="13"/>
  <c r="GA191" i="13" s="1"/>
  <c r="GB191" i="13" s="1"/>
  <c r="ER191" i="13"/>
  <c r="AH191" i="13" s="1"/>
  <c r="EL191" i="13"/>
  <c r="EM191" i="13" s="1"/>
  <c r="N191" i="13" s="1"/>
  <c r="EK191" i="13"/>
  <c r="EO191" i="13" s="1"/>
  <c r="EG191" i="13"/>
  <c r="EE191" i="13"/>
  <c r="AM191" i="13" s="1"/>
  <c r="ED191" i="13"/>
  <c r="EA191" i="13"/>
  <c r="DC191" i="13"/>
  <c r="CF191" i="13"/>
  <c r="BJ191" i="13"/>
  <c r="DD191" i="13" s="1"/>
  <c r="AC191" i="13"/>
  <c r="X191" i="13"/>
  <c r="W191" i="13"/>
  <c r="S191" i="13"/>
  <c r="Q191" i="13"/>
  <c r="O191" i="13"/>
  <c r="F191" i="13"/>
  <c r="EJ191" i="13" s="1"/>
  <c r="MG190" i="13"/>
  <c r="LZ190" i="13"/>
  <c r="KB190" i="13"/>
  <c r="KD190" i="13" s="1"/>
  <c r="JX190" i="13"/>
  <c r="JZ190" i="13" s="1"/>
  <c r="KA190" i="13" s="1"/>
  <c r="JT190" i="13"/>
  <c r="JV190" i="13" s="1"/>
  <c r="JP190" i="13"/>
  <c r="JR190" i="13" s="1"/>
  <c r="JS190" i="13" s="1"/>
  <c r="JB190" i="13"/>
  <c r="JD190" i="13" s="1"/>
  <c r="JE190" i="13" s="1"/>
  <c r="GK190" i="13"/>
  <c r="GM190" i="13" s="1"/>
  <c r="GG190" i="13"/>
  <c r="GI190" i="13" s="1"/>
  <c r="GJ190" i="13" s="1"/>
  <c r="FY190" i="13"/>
  <c r="GA190" i="13" s="1"/>
  <c r="GB190" i="13" s="1"/>
  <c r="ER190" i="13"/>
  <c r="EL190" i="13"/>
  <c r="EM190" i="13" s="1"/>
  <c r="AG190" i="13" s="1"/>
  <c r="EK190" i="13"/>
  <c r="EO190" i="13" s="1"/>
  <c r="ES190" i="13" s="1"/>
  <c r="EG190" i="13"/>
  <c r="EE190" i="13"/>
  <c r="AM190" i="13" s="1"/>
  <c r="ED190" i="13"/>
  <c r="EA190" i="13"/>
  <c r="DD190" i="13"/>
  <c r="DC190" i="13"/>
  <c r="CF190" i="13"/>
  <c r="BJ190" i="13"/>
  <c r="CG190" i="13" s="1"/>
  <c r="AH190" i="13"/>
  <c r="X190" i="13"/>
  <c r="W190" i="13"/>
  <c r="S190" i="13"/>
  <c r="Q190" i="13"/>
  <c r="O190" i="13"/>
  <c r="F190" i="13"/>
  <c r="EJ190" i="13" s="1"/>
  <c r="MG189" i="13"/>
  <c r="LZ189" i="13"/>
  <c r="KB189" i="13"/>
  <c r="KD189" i="13" s="1"/>
  <c r="JX189" i="13"/>
  <c r="JZ189" i="13" s="1"/>
  <c r="KA189" i="13" s="1"/>
  <c r="JT189" i="13"/>
  <c r="JV189" i="13" s="1"/>
  <c r="JP189" i="13"/>
  <c r="JR189" i="13" s="1"/>
  <c r="JS189" i="13" s="1"/>
  <c r="JB189" i="13"/>
  <c r="JD189" i="13" s="1"/>
  <c r="JE189" i="13" s="1"/>
  <c r="GK189" i="13"/>
  <c r="GM189" i="13" s="1"/>
  <c r="GG189" i="13"/>
  <c r="GI189" i="13" s="1"/>
  <c r="GJ189" i="13" s="1"/>
  <c r="FY189" i="13"/>
  <c r="GA189" i="13" s="1"/>
  <c r="GB189" i="13" s="1"/>
  <c r="ER189" i="13"/>
  <c r="EO189" i="13"/>
  <c r="EW189" i="13" s="1"/>
  <c r="EX189" i="13" s="1"/>
  <c r="EL189" i="13"/>
  <c r="EM189" i="13" s="1"/>
  <c r="EK189" i="13"/>
  <c r="MI189" i="13" s="1"/>
  <c r="MM189" i="13" s="1"/>
  <c r="EG189" i="13"/>
  <c r="EE189" i="13"/>
  <c r="AM189" i="13" s="1"/>
  <c r="ED189" i="13"/>
  <c r="EA189" i="13"/>
  <c r="DC189" i="13"/>
  <c r="CF189" i="13"/>
  <c r="BJ189" i="13"/>
  <c r="AH189" i="13"/>
  <c r="X189" i="13"/>
  <c r="S189" i="13"/>
  <c r="Q189" i="13"/>
  <c r="O189" i="13"/>
  <c r="F189" i="13"/>
  <c r="EJ189" i="13" s="1"/>
  <c r="MG188" i="13"/>
  <c r="LZ188" i="13"/>
  <c r="KB188" i="13"/>
  <c r="KD188" i="13" s="1"/>
  <c r="JX188" i="13"/>
  <c r="JZ188" i="13" s="1"/>
  <c r="KA188" i="13" s="1"/>
  <c r="JT188" i="13"/>
  <c r="JV188" i="13" s="1"/>
  <c r="JP188" i="13"/>
  <c r="JR188" i="13" s="1"/>
  <c r="JS188" i="13" s="1"/>
  <c r="JB188" i="13"/>
  <c r="JD188" i="13" s="1"/>
  <c r="JE188" i="13" s="1"/>
  <c r="GK188" i="13"/>
  <c r="GM188" i="13" s="1"/>
  <c r="GG188" i="13"/>
  <c r="GI188" i="13" s="1"/>
  <c r="GJ188" i="13" s="1"/>
  <c r="FY188" i="13"/>
  <c r="GA188" i="13" s="1"/>
  <c r="GB188" i="13" s="1"/>
  <c r="ER188" i="13"/>
  <c r="EL188" i="13"/>
  <c r="EM188" i="13" s="1"/>
  <c r="EK188" i="13"/>
  <c r="MI188" i="13" s="1"/>
  <c r="MM188" i="13" s="1"/>
  <c r="NA188" i="13" s="1"/>
  <c r="EG188" i="13"/>
  <c r="EE188" i="13"/>
  <c r="AM188" i="13" s="1"/>
  <c r="ED188" i="13"/>
  <c r="EA188" i="13"/>
  <c r="DC188" i="13"/>
  <c r="CF188" i="13"/>
  <c r="BJ188" i="13"/>
  <c r="X188" i="13"/>
  <c r="W188" i="13"/>
  <c r="S188" i="13"/>
  <c r="Q188" i="13"/>
  <c r="O188" i="13"/>
  <c r="F188" i="13"/>
  <c r="EJ188" i="13" s="1"/>
  <c r="MG187" i="13"/>
  <c r="LZ187" i="13"/>
  <c r="KB187" i="13"/>
  <c r="KD187" i="13" s="1"/>
  <c r="JX187" i="13"/>
  <c r="JZ187" i="13" s="1"/>
  <c r="KA187" i="13" s="1"/>
  <c r="JT187" i="13"/>
  <c r="JV187" i="13" s="1"/>
  <c r="JP187" i="13"/>
  <c r="JR187" i="13" s="1"/>
  <c r="JS187" i="13" s="1"/>
  <c r="JB187" i="13"/>
  <c r="JD187" i="13" s="1"/>
  <c r="JE187" i="13" s="1"/>
  <c r="GK187" i="13"/>
  <c r="GM187" i="13" s="1"/>
  <c r="GG187" i="13"/>
  <c r="GI187" i="13" s="1"/>
  <c r="GJ187" i="13" s="1"/>
  <c r="FY187" i="13"/>
  <c r="GA187" i="13" s="1"/>
  <c r="GB187" i="13" s="1"/>
  <c r="ER187" i="13"/>
  <c r="EO187" i="13"/>
  <c r="EL187" i="13"/>
  <c r="EM187" i="13" s="1"/>
  <c r="EK187" i="13"/>
  <c r="MI187" i="13" s="1"/>
  <c r="MM187" i="13" s="1"/>
  <c r="MY187" i="13" s="1"/>
  <c r="EG187" i="13"/>
  <c r="EE187" i="13"/>
  <c r="ED187" i="13"/>
  <c r="EA187" i="13"/>
  <c r="DC187" i="13"/>
  <c r="CF187" i="13"/>
  <c r="BJ187" i="13"/>
  <c r="AM187" i="13"/>
  <c r="X187" i="13"/>
  <c r="W187" i="13"/>
  <c r="S187" i="13"/>
  <c r="Q187" i="13"/>
  <c r="O187" i="13"/>
  <c r="F187" i="13"/>
  <c r="EJ187" i="13" s="1"/>
  <c r="MM186" i="13"/>
  <c r="MG186" i="13"/>
  <c r="LZ186" i="13"/>
  <c r="KB186" i="13"/>
  <c r="KD186" i="13" s="1"/>
  <c r="JX186" i="13"/>
  <c r="JZ186" i="13" s="1"/>
  <c r="KA186" i="13" s="1"/>
  <c r="JT186" i="13"/>
  <c r="JV186" i="13" s="1"/>
  <c r="JP186" i="13"/>
  <c r="JR186" i="13" s="1"/>
  <c r="JS186" i="13" s="1"/>
  <c r="JB186" i="13"/>
  <c r="JD186" i="13" s="1"/>
  <c r="JE186" i="13" s="1"/>
  <c r="GK186" i="13"/>
  <c r="GM186" i="13" s="1"/>
  <c r="GG186" i="13"/>
  <c r="GI186" i="13" s="1"/>
  <c r="GJ186" i="13" s="1"/>
  <c r="FY186" i="13"/>
  <c r="GA186" i="13" s="1"/>
  <c r="GB186" i="13" s="1"/>
  <c r="ER186" i="13"/>
  <c r="EL186" i="13"/>
  <c r="EM186" i="13" s="1"/>
  <c r="N186" i="13" s="1"/>
  <c r="EK186" i="13"/>
  <c r="MI186" i="13" s="1"/>
  <c r="EG186" i="13"/>
  <c r="EE186" i="13"/>
  <c r="ED186" i="13"/>
  <c r="EA186" i="13"/>
  <c r="DC186" i="13"/>
  <c r="CF186" i="13"/>
  <c r="BJ186" i="13"/>
  <c r="X186" i="13"/>
  <c r="S186" i="13"/>
  <c r="Q186" i="13"/>
  <c r="O186" i="13"/>
  <c r="F186" i="13"/>
  <c r="EJ186" i="13" s="1"/>
  <c r="MG185" i="13"/>
  <c r="LZ185" i="13"/>
  <c r="KB185" i="13"/>
  <c r="KD185" i="13" s="1"/>
  <c r="JX185" i="13"/>
  <c r="JZ185" i="13" s="1"/>
  <c r="KA185" i="13" s="1"/>
  <c r="JT185" i="13"/>
  <c r="JV185" i="13" s="1"/>
  <c r="JP185" i="13"/>
  <c r="JR185" i="13" s="1"/>
  <c r="JS185" i="13" s="1"/>
  <c r="JB185" i="13"/>
  <c r="JD185" i="13" s="1"/>
  <c r="JE185" i="13" s="1"/>
  <c r="GK185" i="13"/>
  <c r="GM185" i="13" s="1"/>
  <c r="GG185" i="13"/>
  <c r="GI185" i="13" s="1"/>
  <c r="GJ185" i="13" s="1"/>
  <c r="FY185" i="13"/>
  <c r="GA185" i="13" s="1"/>
  <c r="GB185" i="13" s="1"/>
  <c r="ER185" i="13"/>
  <c r="EL185" i="13"/>
  <c r="EM185" i="13" s="1"/>
  <c r="EK185" i="13"/>
  <c r="MI185" i="13" s="1"/>
  <c r="MM185" i="13" s="1"/>
  <c r="EG185" i="13"/>
  <c r="EE185" i="13"/>
  <c r="AM185" i="13" s="1"/>
  <c r="ED185" i="13"/>
  <c r="EA185" i="13"/>
  <c r="DC185" i="13"/>
  <c r="CF185" i="13"/>
  <c r="BJ185" i="13"/>
  <c r="DD185" i="13" s="1"/>
  <c r="X185" i="13"/>
  <c r="W185" i="13"/>
  <c r="S185" i="13"/>
  <c r="Q185" i="13"/>
  <c r="O185" i="13"/>
  <c r="F185" i="13"/>
  <c r="EJ185" i="13" s="1"/>
  <c r="AC185" i="13" s="1"/>
  <c r="MG184" i="13"/>
  <c r="LZ184" i="13"/>
  <c r="KB184" i="13"/>
  <c r="KD184" i="13" s="1"/>
  <c r="JX184" i="13"/>
  <c r="JZ184" i="13" s="1"/>
  <c r="KA184" i="13" s="1"/>
  <c r="JT184" i="13"/>
  <c r="JV184" i="13" s="1"/>
  <c r="JP184" i="13"/>
  <c r="JR184" i="13" s="1"/>
  <c r="JS184" i="13" s="1"/>
  <c r="JB184" i="13"/>
  <c r="JD184" i="13" s="1"/>
  <c r="JE184" i="13" s="1"/>
  <c r="GK184" i="13"/>
  <c r="GM184" i="13" s="1"/>
  <c r="GG184" i="13"/>
  <c r="GI184" i="13" s="1"/>
  <c r="GJ184" i="13" s="1"/>
  <c r="FY184" i="13"/>
  <c r="GA184" i="13" s="1"/>
  <c r="GB184" i="13" s="1"/>
  <c r="ER184" i="13"/>
  <c r="EO184" i="13"/>
  <c r="EL184" i="13"/>
  <c r="EM184" i="13" s="1"/>
  <c r="EK184" i="13"/>
  <c r="MI184" i="13" s="1"/>
  <c r="MM184" i="13" s="1"/>
  <c r="EG184" i="13"/>
  <c r="EE184" i="13"/>
  <c r="GT184" i="13" s="1"/>
  <c r="ED184" i="13"/>
  <c r="EA184" i="13"/>
  <c r="DC184" i="13"/>
  <c r="CF184" i="13"/>
  <c r="BJ184" i="13"/>
  <c r="DD184" i="13" s="1"/>
  <c r="X184" i="13"/>
  <c r="W184" i="13"/>
  <c r="S184" i="13"/>
  <c r="Q184" i="13"/>
  <c r="O184" i="13"/>
  <c r="F184" i="13"/>
  <c r="EJ184" i="13" s="1"/>
  <c r="AC184" i="13" s="1"/>
  <c r="MG183" i="13"/>
  <c r="LZ183" i="13"/>
  <c r="KB183" i="13"/>
  <c r="KD183" i="13" s="1"/>
  <c r="JX183" i="13"/>
  <c r="JZ183" i="13" s="1"/>
  <c r="KA183" i="13" s="1"/>
  <c r="JT183" i="13"/>
  <c r="JV183" i="13" s="1"/>
  <c r="JP183" i="13"/>
  <c r="JR183" i="13" s="1"/>
  <c r="JS183" i="13" s="1"/>
  <c r="JB183" i="13"/>
  <c r="JD183" i="13" s="1"/>
  <c r="JE183" i="13" s="1"/>
  <c r="GK183" i="13"/>
  <c r="GM183" i="13" s="1"/>
  <c r="GG183" i="13"/>
  <c r="GI183" i="13" s="1"/>
  <c r="GJ183" i="13" s="1"/>
  <c r="FY183" i="13"/>
  <c r="GA183" i="13" s="1"/>
  <c r="GB183" i="13" s="1"/>
  <c r="ER183" i="13"/>
  <c r="EL183" i="13"/>
  <c r="EM183" i="13" s="1"/>
  <c r="AG183" i="13" s="1"/>
  <c r="EK183" i="13"/>
  <c r="MI183" i="13" s="1"/>
  <c r="MM183" i="13" s="1"/>
  <c r="EG183" i="13"/>
  <c r="EE183" i="13"/>
  <c r="ED183" i="13"/>
  <c r="EA183" i="13"/>
  <c r="DC183" i="13"/>
  <c r="CF183" i="13"/>
  <c r="BJ183" i="13"/>
  <c r="X183" i="13"/>
  <c r="W183" i="13"/>
  <c r="S183" i="13"/>
  <c r="Q183" i="13"/>
  <c r="O183" i="13"/>
  <c r="N183" i="13"/>
  <c r="F183" i="13"/>
  <c r="EJ183" i="13" s="1"/>
  <c r="AC183" i="13" s="1"/>
  <c r="MG182" i="13"/>
  <c r="LZ182" i="13"/>
  <c r="KB182" i="13"/>
  <c r="KD182" i="13" s="1"/>
  <c r="JX182" i="13"/>
  <c r="JZ182" i="13" s="1"/>
  <c r="KA182" i="13" s="1"/>
  <c r="JT182" i="13"/>
  <c r="JV182" i="13" s="1"/>
  <c r="JP182" i="13"/>
  <c r="JR182" i="13" s="1"/>
  <c r="JS182" i="13" s="1"/>
  <c r="JB182" i="13"/>
  <c r="JD182" i="13" s="1"/>
  <c r="JE182" i="13" s="1"/>
  <c r="GK182" i="13"/>
  <c r="GM182" i="13" s="1"/>
  <c r="GG182" i="13"/>
  <c r="GI182" i="13" s="1"/>
  <c r="GJ182" i="13" s="1"/>
  <c r="FY182" i="13"/>
  <c r="GA182" i="13" s="1"/>
  <c r="GB182" i="13" s="1"/>
  <c r="ER182" i="13"/>
  <c r="EL182" i="13"/>
  <c r="EM182" i="13" s="1"/>
  <c r="EP182" i="13" s="1"/>
  <c r="AJ182" i="13" s="1"/>
  <c r="AI182" i="13" s="1"/>
  <c r="EK182" i="13"/>
  <c r="MI182" i="13" s="1"/>
  <c r="MM182" i="13" s="1"/>
  <c r="MY182" i="13" s="1"/>
  <c r="EG182" i="13"/>
  <c r="EE182" i="13"/>
  <c r="EH182" i="13" s="1"/>
  <c r="ED182" i="13"/>
  <c r="EA182" i="13"/>
  <c r="DD182" i="13"/>
  <c r="DC182" i="13"/>
  <c r="CG182" i="13"/>
  <c r="CF182" i="13"/>
  <c r="X182" i="13"/>
  <c r="S182" i="13"/>
  <c r="Q182" i="13"/>
  <c r="O182" i="13"/>
  <c r="F182" i="13"/>
  <c r="EJ182" i="13" s="1"/>
  <c r="AC182" i="13" s="1"/>
  <c r="MG181" i="13"/>
  <c r="LZ181" i="13"/>
  <c r="KB181" i="13"/>
  <c r="KD181" i="13" s="1"/>
  <c r="JX181" i="13"/>
  <c r="JZ181" i="13" s="1"/>
  <c r="KA181" i="13" s="1"/>
  <c r="JT181" i="13"/>
  <c r="JV181" i="13" s="1"/>
  <c r="JP181" i="13"/>
  <c r="JR181" i="13" s="1"/>
  <c r="JS181" i="13" s="1"/>
  <c r="JB181" i="13"/>
  <c r="JD181" i="13" s="1"/>
  <c r="JE181" i="13" s="1"/>
  <c r="GK181" i="13"/>
  <c r="GM181" i="13" s="1"/>
  <c r="GG181" i="13"/>
  <c r="GI181" i="13" s="1"/>
  <c r="GJ181" i="13" s="1"/>
  <c r="FY181" i="13"/>
  <c r="GA181" i="13" s="1"/>
  <c r="GB181" i="13" s="1"/>
  <c r="ER181" i="13"/>
  <c r="EM181" i="13"/>
  <c r="AG181" i="13" s="1"/>
  <c r="EL181" i="13"/>
  <c r="EK181" i="13"/>
  <c r="MI181" i="13" s="1"/>
  <c r="MM181" i="13" s="1"/>
  <c r="EJ181" i="13"/>
  <c r="AC181" i="13" s="1"/>
  <c r="EG181" i="13"/>
  <c r="EE181" i="13"/>
  <c r="M181" i="13" s="1"/>
  <c r="ED181" i="13"/>
  <c r="EA181" i="13"/>
  <c r="DC181" i="13"/>
  <c r="CF181" i="13"/>
  <c r="BJ181" i="13"/>
  <c r="X181" i="13"/>
  <c r="W181" i="13"/>
  <c r="S181" i="13"/>
  <c r="Q181" i="13"/>
  <c r="O181" i="13"/>
  <c r="F181" i="13"/>
  <c r="MG180" i="13"/>
  <c r="LZ180" i="13"/>
  <c r="KB180" i="13"/>
  <c r="KD180" i="13" s="1"/>
  <c r="JX180" i="13"/>
  <c r="JZ180" i="13" s="1"/>
  <c r="KA180" i="13" s="1"/>
  <c r="JT180" i="13"/>
  <c r="JV180" i="13" s="1"/>
  <c r="JP180" i="13"/>
  <c r="JR180" i="13" s="1"/>
  <c r="JS180" i="13" s="1"/>
  <c r="JB180" i="13"/>
  <c r="JD180" i="13" s="1"/>
  <c r="JE180" i="13" s="1"/>
  <c r="GK180" i="13"/>
  <c r="GM180" i="13" s="1"/>
  <c r="GG180" i="13"/>
  <c r="GI180" i="13" s="1"/>
  <c r="GJ180" i="13" s="1"/>
  <c r="FY180" i="13"/>
  <c r="GA180" i="13" s="1"/>
  <c r="GB180" i="13" s="1"/>
  <c r="ER180" i="13"/>
  <c r="EL180" i="13"/>
  <c r="EM180" i="13" s="1"/>
  <c r="EK180" i="13"/>
  <c r="MI180" i="13" s="1"/>
  <c r="MM180" i="13" s="1"/>
  <c r="EG180" i="13"/>
  <c r="GT180" i="13" s="1"/>
  <c r="EE180" i="13"/>
  <c r="M180" i="13" s="1"/>
  <c r="ED180" i="13"/>
  <c r="EA180" i="13"/>
  <c r="DC180" i="13"/>
  <c r="CF180" i="13"/>
  <c r="BJ180" i="13"/>
  <c r="AM180" i="13"/>
  <c r="X180" i="13"/>
  <c r="W180" i="13"/>
  <c r="S180" i="13"/>
  <c r="Q180" i="13"/>
  <c r="O180" i="13"/>
  <c r="F180" i="13"/>
  <c r="EJ180" i="13" s="1"/>
  <c r="AC180" i="13" s="1"/>
  <c r="MG179" i="13"/>
  <c r="LZ179" i="13"/>
  <c r="KB179" i="13"/>
  <c r="KD179" i="13" s="1"/>
  <c r="JX179" i="13"/>
  <c r="JZ179" i="13" s="1"/>
  <c r="KA179" i="13" s="1"/>
  <c r="JT179" i="13"/>
  <c r="JV179" i="13" s="1"/>
  <c r="JP179" i="13"/>
  <c r="JR179" i="13" s="1"/>
  <c r="JS179" i="13" s="1"/>
  <c r="JB179" i="13"/>
  <c r="JD179" i="13" s="1"/>
  <c r="JE179" i="13" s="1"/>
  <c r="GK179" i="13"/>
  <c r="GM179" i="13" s="1"/>
  <c r="GG179" i="13"/>
  <c r="GI179" i="13" s="1"/>
  <c r="GJ179" i="13" s="1"/>
  <c r="FY179" i="13"/>
  <c r="GA179" i="13" s="1"/>
  <c r="GB179" i="13" s="1"/>
  <c r="ER179" i="13"/>
  <c r="EL179" i="13"/>
  <c r="EM179" i="13" s="1"/>
  <c r="EP179" i="13" s="1"/>
  <c r="EQ179" i="13" s="1"/>
  <c r="ML179" i="13" s="1"/>
  <c r="EK179" i="13"/>
  <c r="MI179" i="13" s="1"/>
  <c r="MM179" i="13" s="1"/>
  <c r="MY179" i="13" s="1"/>
  <c r="EG179" i="13"/>
  <c r="GT179" i="13" s="1"/>
  <c r="EE179" i="13"/>
  <c r="M179" i="13" s="1"/>
  <c r="ED179" i="13"/>
  <c r="EA179" i="13"/>
  <c r="DC179" i="13"/>
  <c r="CF179" i="13"/>
  <c r="BJ179" i="13"/>
  <c r="X179" i="13"/>
  <c r="W179" i="13"/>
  <c r="S179" i="13"/>
  <c r="Q179" i="13"/>
  <c r="O179" i="13"/>
  <c r="F179" i="13"/>
  <c r="EJ179" i="13" s="1"/>
  <c r="AC179" i="13" s="1"/>
  <c r="MG178" i="13"/>
  <c r="LZ178" i="13"/>
  <c r="KB178" i="13"/>
  <c r="KD178" i="13" s="1"/>
  <c r="JX178" i="13"/>
  <c r="JZ178" i="13" s="1"/>
  <c r="KA178" i="13" s="1"/>
  <c r="JT178" i="13"/>
  <c r="JV178" i="13" s="1"/>
  <c r="JP178" i="13"/>
  <c r="JR178" i="13" s="1"/>
  <c r="JS178" i="13" s="1"/>
  <c r="JB178" i="13"/>
  <c r="JD178" i="13" s="1"/>
  <c r="JE178" i="13" s="1"/>
  <c r="GK178" i="13"/>
  <c r="GM178" i="13" s="1"/>
  <c r="GG178" i="13"/>
  <c r="GI178" i="13" s="1"/>
  <c r="GJ178" i="13" s="1"/>
  <c r="FY178" i="13"/>
  <c r="GA178" i="13" s="1"/>
  <c r="GB178" i="13" s="1"/>
  <c r="ER178" i="13"/>
  <c r="EL178" i="13"/>
  <c r="EM178" i="13" s="1"/>
  <c r="EP178" i="13" s="1"/>
  <c r="EK178" i="13"/>
  <c r="MI178" i="13" s="1"/>
  <c r="MM178" i="13" s="1"/>
  <c r="EG178" i="13"/>
  <c r="EE178" i="13"/>
  <c r="AM178" i="13" s="1"/>
  <c r="ED178" i="13"/>
  <c r="EA178" i="13"/>
  <c r="DC178" i="13"/>
  <c r="CF178" i="13"/>
  <c r="BJ178" i="13"/>
  <c r="X178" i="13"/>
  <c r="W178" i="13"/>
  <c r="S178" i="13"/>
  <c r="Q178" i="13"/>
  <c r="O178" i="13"/>
  <c r="F178" i="13"/>
  <c r="EJ178" i="13" s="1"/>
  <c r="AC178" i="13" s="1"/>
  <c r="MG177" i="13"/>
  <c r="LZ177" i="13"/>
  <c r="KB177" i="13"/>
  <c r="KD177" i="13" s="1"/>
  <c r="JX177" i="13"/>
  <c r="JZ177" i="13" s="1"/>
  <c r="KA177" i="13" s="1"/>
  <c r="JT177" i="13"/>
  <c r="JV177" i="13" s="1"/>
  <c r="JP177" i="13"/>
  <c r="JR177" i="13" s="1"/>
  <c r="JS177" i="13" s="1"/>
  <c r="JB177" i="13"/>
  <c r="JD177" i="13" s="1"/>
  <c r="JE177" i="13" s="1"/>
  <c r="GK177" i="13"/>
  <c r="GM177" i="13" s="1"/>
  <c r="GG177" i="13"/>
  <c r="GI177" i="13" s="1"/>
  <c r="GJ177" i="13" s="1"/>
  <c r="FY177" i="13"/>
  <c r="GA177" i="13" s="1"/>
  <c r="GB177" i="13" s="1"/>
  <c r="ER177" i="13"/>
  <c r="EL177" i="13"/>
  <c r="EM177" i="13" s="1"/>
  <c r="EP177" i="13" s="1"/>
  <c r="EQ177" i="13" s="1"/>
  <c r="EK177" i="13"/>
  <c r="MI177" i="13" s="1"/>
  <c r="MM177" i="13" s="1"/>
  <c r="EJ177" i="13"/>
  <c r="AC177" i="13" s="1"/>
  <c r="EG177" i="13"/>
  <c r="EE177" i="13"/>
  <c r="M177" i="13" s="1"/>
  <c r="ED177" i="13"/>
  <c r="EA177" i="13"/>
  <c r="DC177" i="13"/>
  <c r="CF177" i="13"/>
  <c r="BJ177" i="13"/>
  <c r="CG177" i="13" s="1"/>
  <c r="X177" i="13"/>
  <c r="W177" i="13"/>
  <c r="S177" i="13"/>
  <c r="Q177" i="13"/>
  <c r="O177" i="13"/>
  <c r="F177" i="13"/>
  <c r="MG176" i="13"/>
  <c r="LZ176" i="13"/>
  <c r="KB176" i="13"/>
  <c r="KD176" i="13" s="1"/>
  <c r="JX176" i="13"/>
  <c r="JZ176" i="13" s="1"/>
  <c r="KA176" i="13" s="1"/>
  <c r="JT176" i="13"/>
  <c r="JV176" i="13" s="1"/>
  <c r="JP176" i="13"/>
  <c r="JR176" i="13" s="1"/>
  <c r="JS176" i="13" s="1"/>
  <c r="JB176" i="13"/>
  <c r="JD176" i="13" s="1"/>
  <c r="JE176" i="13" s="1"/>
  <c r="GK176" i="13"/>
  <c r="GM176" i="13" s="1"/>
  <c r="GG176" i="13"/>
  <c r="GI176" i="13" s="1"/>
  <c r="GJ176" i="13" s="1"/>
  <c r="FY176" i="13"/>
  <c r="GA176" i="13" s="1"/>
  <c r="GB176" i="13" s="1"/>
  <c r="ER176" i="13"/>
  <c r="AH176" i="13" s="1"/>
  <c r="EL176" i="13"/>
  <c r="EM176" i="13" s="1"/>
  <c r="EK176" i="13"/>
  <c r="MI176" i="13" s="1"/>
  <c r="MM176" i="13" s="1"/>
  <c r="EG176" i="13"/>
  <c r="GT176" i="13" s="1"/>
  <c r="EE176" i="13"/>
  <c r="EH176" i="13" s="1"/>
  <c r="ED176" i="13"/>
  <c r="EA176" i="13"/>
  <c r="DD176" i="13"/>
  <c r="DC176" i="13"/>
  <c r="CF176" i="13"/>
  <c r="BJ176" i="13"/>
  <c r="CG176" i="13" s="1"/>
  <c r="X176" i="13"/>
  <c r="W176" i="13"/>
  <c r="S176" i="13"/>
  <c r="Q176" i="13"/>
  <c r="O176" i="13"/>
  <c r="M176" i="13"/>
  <c r="F176" i="13"/>
  <c r="EJ176" i="13" s="1"/>
  <c r="MG175" i="13"/>
  <c r="LZ175" i="13"/>
  <c r="KB175" i="13"/>
  <c r="KD175" i="13" s="1"/>
  <c r="JZ175" i="13"/>
  <c r="KA175" i="13" s="1"/>
  <c r="JX175" i="13"/>
  <c r="JT175" i="13"/>
  <c r="JV175" i="13" s="1"/>
  <c r="JP175" i="13"/>
  <c r="JR175" i="13" s="1"/>
  <c r="JS175" i="13" s="1"/>
  <c r="JB175" i="13"/>
  <c r="JD175" i="13" s="1"/>
  <c r="JE175" i="13" s="1"/>
  <c r="GK175" i="13"/>
  <c r="GM175" i="13" s="1"/>
  <c r="GG175" i="13"/>
  <c r="GI175" i="13" s="1"/>
  <c r="GJ175" i="13" s="1"/>
  <c r="FY175" i="13"/>
  <c r="GA175" i="13" s="1"/>
  <c r="GB175" i="13" s="1"/>
  <c r="ER175" i="13"/>
  <c r="AH175" i="13" s="1"/>
  <c r="EL175" i="13"/>
  <c r="EM175" i="13" s="1"/>
  <c r="EK175" i="13"/>
  <c r="MI175" i="13" s="1"/>
  <c r="MM175" i="13" s="1"/>
  <c r="EG175" i="13"/>
  <c r="GT175" i="13" s="1"/>
  <c r="EE175" i="13"/>
  <c r="AM175" i="13" s="1"/>
  <c r="ED175" i="13"/>
  <c r="EA175" i="13"/>
  <c r="DC175" i="13"/>
  <c r="CF175" i="13"/>
  <c r="BJ175" i="13"/>
  <c r="CG175" i="13" s="1"/>
  <c r="X175" i="13"/>
  <c r="S175" i="13"/>
  <c r="Q175" i="13"/>
  <c r="O175" i="13"/>
  <c r="M175" i="13"/>
  <c r="F175" i="13"/>
  <c r="EJ175" i="13" s="1"/>
  <c r="MG174" i="13"/>
  <c r="LZ174" i="13"/>
  <c r="KB174" i="13"/>
  <c r="KD174" i="13" s="1"/>
  <c r="JX174" i="13"/>
  <c r="JZ174" i="13" s="1"/>
  <c r="KA174" i="13" s="1"/>
  <c r="JT174" i="13"/>
  <c r="JV174" i="13" s="1"/>
  <c r="JP174" i="13"/>
  <c r="JR174" i="13" s="1"/>
  <c r="JS174" i="13" s="1"/>
  <c r="JB174" i="13"/>
  <c r="JD174" i="13" s="1"/>
  <c r="JE174" i="13" s="1"/>
  <c r="GK174" i="13"/>
  <c r="GM174" i="13" s="1"/>
  <c r="GG174" i="13"/>
  <c r="GI174" i="13" s="1"/>
  <c r="GJ174" i="13" s="1"/>
  <c r="FY174" i="13"/>
  <c r="GA174" i="13" s="1"/>
  <c r="GB174" i="13" s="1"/>
  <c r="ER174" i="13"/>
  <c r="AH174" i="13" s="1"/>
  <c r="EL174" i="13"/>
  <c r="EM174" i="13" s="1"/>
  <c r="N174" i="13" s="1"/>
  <c r="EK174" i="13"/>
  <c r="EO174" i="13" s="1"/>
  <c r="EW174" i="13" s="1"/>
  <c r="EX174" i="13" s="1"/>
  <c r="EG174" i="13"/>
  <c r="GT174" i="13" s="1"/>
  <c r="EE174" i="13"/>
  <c r="AM174" i="13" s="1"/>
  <c r="ED174" i="13"/>
  <c r="EA174" i="13"/>
  <c r="DC174" i="13"/>
  <c r="CF174" i="13"/>
  <c r="BJ174" i="13"/>
  <c r="CG174" i="13" s="1"/>
  <c r="X174" i="13"/>
  <c r="W174" i="13"/>
  <c r="S174" i="13"/>
  <c r="Q174" i="13"/>
  <c r="O174" i="13"/>
  <c r="F174" i="13"/>
  <c r="EJ174" i="13" s="1"/>
  <c r="MG173" i="13"/>
  <c r="LZ173" i="13"/>
  <c r="KB173" i="13"/>
  <c r="KD173" i="13" s="1"/>
  <c r="JX173" i="13"/>
  <c r="JZ173" i="13" s="1"/>
  <c r="KA173" i="13" s="1"/>
  <c r="JT173" i="13"/>
  <c r="JV173" i="13" s="1"/>
  <c r="JP173" i="13"/>
  <c r="JR173" i="13" s="1"/>
  <c r="JS173" i="13" s="1"/>
  <c r="JB173" i="13"/>
  <c r="JD173" i="13" s="1"/>
  <c r="JE173" i="13" s="1"/>
  <c r="GK173" i="13"/>
  <c r="GM173" i="13" s="1"/>
  <c r="GG173" i="13"/>
  <c r="GI173" i="13" s="1"/>
  <c r="GJ173" i="13" s="1"/>
  <c r="FY173" i="13"/>
  <c r="GA173" i="13" s="1"/>
  <c r="GB173" i="13" s="1"/>
  <c r="ER173" i="13"/>
  <c r="AH173" i="13" s="1"/>
  <c r="EL173" i="13"/>
  <c r="EM173" i="13" s="1"/>
  <c r="EK173" i="13"/>
  <c r="EO173" i="13" s="1"/>
  <c r="EG173" i="13"/>
  <c r="EE173" i="13"/>
  <c r="EH173" i="13" s="1"/>
  <c r="EF173" i="13" s="1"/>
  <c r="ED173" i="13"/>
  <c r="EA173" i="13"/>
  <c r="DC173" i="13"/>
  <c r="CF173" i="13"/>
  <c r="BJ173" i="13"/>
  <c r="CG173" i="13" s="1"/>
  <c r="X173" i="13"/>
  <c r="W173" i="13"/>
  <c r="S173" i="13"/>
  <c r="Q173" i="13"/>
  <c r="O173" i="13"/>
  <c r="F173" i="13"/>
  <c r="EJ173" i="13" s="1"/>
  <c r="MG172" i="13"/>
  <c r="LZ172" i="13"/>
  <c r="KB172" i="13"/>
  <c r="KD172" i="13" s="1"/>
  <c r="JX172" i="13"/>
  <c r="JZ172" i="13" s="1"/>
  <c r="KA172" i="13" s="1"/>
  <c r="JT172" i="13"/>
  <c r="JV172" i="13" s="1"/>
  <c r="JP172" i="13"/>
  <c r="JR172" i="13" s="1"/>
  <c r="JS172" i="13" s="1"/>
  <c r="JB172" i="13"/>
  <c r="JD172" i="13" s="1"/>
  <c r="JE172" i="13" s="1"/>
  <c r="GK172" i="13"/>
  <c r="GM172" i="13" s="1"/>
  <c r="GG172" i="13"/>
  <c r="GI172" i="13" s="1"/>
  <c r="GJ172" i="13" s="1"/>
  <c r="FY172" i="13"/>
  <c r="GA172" i="13" s="1"/>
  <c r="GB172" i="13" s="1"/>
  <c r="ER172" i="13"/>
  <c r="EL172" i="13"/>
  <c r="EM172" i="13" s="1"/>
  <c r="EK172" i="13"/>
  <c r="EO172" i="13" s="1"/>
  <c r="EG172" i="13"/>
  <c r="GT172" i="13" s="1"/>
  <c r="EE172" i="13"/>
  <c r="EH172" i="13" s="1"/>
  <c r="ED172" i="13"/>
  <c r="EA172" i="13"/>
  <c r="DC172" i="13"/>
  <c r="CF172" i="13"/>
  <c r="BJ172" i="13"/>
  <c r="CG172" i="13" s="1"/>
  <c r="AH172" i="13"/>
  <c r="X172" i="13"/>
  <c r="S172" i="13"/>
  <c r="Q172" i="13"/>
  <c r="O172" i="13"/>
  <c r="F172" i="13"/>
  <c r="EJ172" i="13" s="1"/>
  <c r="MG171" i="13"/>
  <c r="LZ171" i="13"/>
  <c r="KB171" i="13"/>
  <c r="KD171" i="13" s="1"/>
  <c r="JX171" i="13"/>
  <c r="JZ171" i="13" s="1"/>
  <c r="KA171" i="13" s="1"/>
  <c r="JT171" i="13"/>
  <c r="JV171" i="13" s="1"/>
  <c r="JP171" i="13"/>
  <c r="JR171" i="13" s="1"/>
  <c r="JS171" i="13" s="1"/>
  <c r="JB171" i="13"/>
  <c r="JD171" i="13" s="1"/>
  <c r="JE171" i="13" s="1"/>
  <c r="GK171" i="13"/>
  <c r="GM171" i="13" s="1"/>
  <c r="GG171" i="13"/>
  <c r="GI171" i="13" s="1"/>
  <c r="GJ171" i="13" s="1"/>
  <c r="FY171" i="13"/>
  <c r="GA171" i="13" s="1"/>
  <c r="GB171" i="13" s="1"/>
  <c r="ER171" i="13"/>
  <c r="AH171" i="13" s="1"/>
  <c r="EL171" i="13"/>
  <c r="EM171" i="13" s="1"/>
  <c r="EK171" i="13"/>
  <c r="MI171" i="13" s="1"/>
  <c r="MM171" i="13" s="1"/>
  <c r="MY171" i="13" s="1"/>
  <c r="EG171" i="13"/>
  <c r="EE171" i="13"/>
  <c r="AM171" i="13" s="1"/>
  <c r="ED171" i="13"/>
  <c r="EA171" i="13"/>
  <c r="DC171" i="13"/>
  <c r="CF171" i="13"/>
  <c r="BJ171" i="13"/>
  <c r="DD171" i="13" s="1"/>
  <c r="X171" i="13"/>
  <c r="W171" i="13"/>
  <c r="S171" i="13"/>
  <c r="Q171" i="13"/>
  <c r="O171" i="13"/>
  <c r="F171" i="13"/>
  <c r="EJ171" i="13" s="1"/>
  <c r="MG170" i="13"/>
  <c r="LZ170" i="13"/>
  <c r="KB170" i="13"/>
  <c r="KD170" i="13" s="1"/>
  <c r="JX170" i="13"/>
  <c r="JZ170" i="13" s="1"/>
  <c r="KA170" i="13" s="1"/>
  <c r="JT170" i="13"/>
  <c r="JV170" i="13" s="1"/>
  <c r="JP170" i="13"/>
  <c r="JR170" i="13" s="1"/>
  <c r="JS170" i="13" s="1"/>
  <c r="JB170" i="13"/>
  <c r="JD170" i="13" s="1"/>
  <c r="JE170" i="13" s="1"/>
  <c r="GK170" i="13"/>
  <c r="GM170" i="13" s="1"/>
  <c r="GG170" i="13"/>
  <c r="GI170" i="13" s="1"/>
  <c r="GJ170" i="13" s="1"/>
  <c r="FY170" i="13"/>
  <c r="GA170" i="13" s="1"/>
  <c r="GB170" i="13" s="1"/>
  <c r="ER170" i="13"/>
  <c r="AH170" i="13" s="1"/>
  <c r="EL170" i="13"/>
  <c r="EM170" i="13" s="1"/>
  <c r="EK170" i="13"/>
  <c r="MI170" i="13" s="1"/>
  <c r="MM170" i="13" s="1"/>
  <c r="MY170" i="13" s="1"/>
  <c r="EG170" i="13"/>
  <c r="EE170" i="13"/>
  <c r="GT170" i="13" s="1"/>
  <c r="ED170" i="13"/>
  <c r="EA170" i="13"/>
  <c r="DC170" i="13"/>
  <c r="CF170" i="13"/>
  <c r="BJ170" i="13"/>
  <c r="DD170" i="13" s="1"/>
  <c r="X170" i="13"/>
  <c r="W170" i="13"/>
  <c r="S170" i="13"/>
  <c r="Q170" i="13"/>
  <c r="O170" i="13"/>
  <c r="F170" i="13"/>
  <c r="EJ170" i="13" s="1"/>
  <c r="MG169" i="13"/>
  <c r="LZ169" i="13"/>
  <c r="KB169" i="13"/>
  <c r="KD169" i="13" s="1"/>
  <c r="JX169" i="13"/>
  <c r="JZ169" i="13" s="1"/>
  <c r="KA169" i="13" s="1"/>
  <c r="JT169" i="13"/>
  <c r="JV169" i="13" s="1"/>
  <c r="JP169" i="13"/>
  <c r="JR169" i="13" s="1"/>
  <c r="JS169" i="13" s="1"/>
  <c r="JB169" i="13"/>
  <c r="JD169" i="13" s="1"/>
  <c r="JE169" i="13" s="1"/>
  <c r="GK169" i="13"/>
  <c r="GM169" i="13" s="1"/>
  <c r="GG169" i="13"/>
  <c r="GI169" i="13" s="1"/>
  <c r="GJ169" i="13" s="1"/>
  <c r="FY169" i="13"/>
  <c r="GA169" i="13" s="1"/>
  <c r="GB169" i="13" s="1"/>
  <c r="ER169" i="13"/>
  <c r="EL169" i="13"/>
  <c r="EM169" i="13" s="1"/>
  <c r="EK169" i="13"/>
  <c r="MI169" i="13" s="1"/>
  <c r="MM169" i="13" s="1"/>
  <c r="MY169" i="13" s="1"/>
  <c r="EG169" i="13"/>
  <c r="EE169" i="13"/>
  <c r="GT169" i="13" s="1"/>
  <c r="ED169" i="13"/>
  <c r="EA169" i="13"/>
  <c r="DC169" i="13"/>
  <c r="CF169" i="13"/>
  <c r="BJ169" i="13"/>
  <c r="DD169" i="13" s="1"/>
  <c r="AH169" i="13"/>
  <c r="X169" i="13"/>
  <c r="W169" i="13"/>
  <c r="S169" i="13"/>
  <c r="Q169" i="13"/>
  <c r="O169" i="13"/>
  <c r="F169" i="13"/>
  <c r="EJ169" i="13" s="1"/>
  <c r="MG168" i="13"/>
  <c r="LZ168" i="13"/>
  <c r="KB168" i="13"/>
  <c r="KD168" i="13" s="1"/>
  <c r="JX168" i="13"/>
  <c r="JZ168" i="13" s="1"/>
  <c r="KA168" i="13" s="1"/>
  <c r="JT168" i="13"/>
  <c r="JV168" i="13" s="1"/>
  <c r="JP168" i="13"/>
  <c r="JR168" i="13" s="1"/>
  <c r="JS168" i="13" s="1"/>
  <c r="JB168" i="13"/>
  <c r="JD168" i="13" s="1"/>
  <c r="JE168" i="13" s="1"/>
  <c r="GK168" i="13"/>
  <c r="GM168" i="13" s="1"/>
  <c r="GG168" i="13"/>
  <c r="GI168" i="13" s="1"/>
  <c r="GJ168" i="13" s="1"/>
  <c r="FY168" i="13"/>
  <c r="GA168" i="13" s="1"/>
  <c r="GB168" i="13" s="1"/>
  <c r="ER168" i="13"/>
  <c r="EL168" i="13"/>
  <c r="EM168" i="13" s="1"/>
  <c r="EK168" i="13"/>
  <c r="EO168" i="13" s="1"/>
  <c r="EG168" i="13"/>
  <c r="EE168" i="13"/>
  <c r="GT168" i="13" s="1"/>
  <c r="ED168" i="13"/>
  <c r="EA168" i="13"/>
  <c r="DC168" i="13"/>
  <c r="CF168" i="13"/>
  <c r="BJ168" i="13"/>
  <c r="DD168" i="13" s="1"/>
  <c r="AH168" i="13"/>
  <c r="X168" i="13"/>
  <c r="W168" i="13"/>
  <c r="S168" i="13"/>
  <c r="Q168" i="13"/>
  <c r="O168" i="13"/>
  <c r="F168" i="13"/>
  <c r="EJ168" i="13" s="1"/>
  <c r="MG167" i="13"/>
  <c r="LZ167" i="13"/>
  <c r="KB167" i="13"/>
  <c r="KD167" i="13" s="1"/>
  <c r="JX167" i="13"/>
  <c r="JZ167" i="13" s="1"/>
  <c r="KA167" i="13" s="1"/>
  <c r="JT167" i="13"/>
  <c r="JV167" i="13" s="1"/>
  <c r="JP167" i="13"/>
  <c r="JR167" i="13" s="1"/>
  <c r="JS167" i="13" s="1"/>
  <c r="JB167" i="13"/>
  <c r="JD167" i="13" s="1"/>
  <c r="JE167" i="13" s="1"/>
  <c r="GK167" i="13"/>
  <c r="GM167" i="13" s="1"/>
  <c r="GG167" i="13"/>
  <c r="GI167" i="13" s="1"/>
  <c r="GJ167" i="13" s="1"/>
  <c r="FY167" i="13"/>
  <c r="GA167" i="13" s="1"/>
  <c r="GB167" i="13" s="1"/>
  <c r="ER167" i="13"/>
  <c r="EL167" i="13"/>
  <c r="EM167" i="13" s="1"/>
  <c r="EK167" i="13"/>
  <c r="EO167" i="13" s="1"/>
  <c r="EG167" i="13"/>
  <c r="EE167" i="13"/>
  <c r="ED167" i="13"/>
  <c r="EA167" i="13"/>
  <c r="DC167" i="13"/>
  <c r="CF167" i="13"/>
  <c r="BJ167" i="13"/>
  <c r="DD167" i="13" s="1"/>
  <c r="AH167" i="13"/>
  <c r="X167" i="13"/>
  <c r="W167" i="13"/>
  <c r="S167" i="13"/>
  <c r="Q167" i="13"/>
  <c r="O167" i="13"/>
  <c r="F167" i="13"/>
  <c r="EJ167" i="13" s="1"/>
  <c r="MG166" i="13"/>
  <c r="LZ166" i="13"/>
  <c r="KB166" i="13"/>
  <c r="KD166" i="13" s="1"/>
  <c r="JX166" i="13"/>
  <c r="JZ166" i="13" s="1"/>
  <c r="KA166" i="13" s="1"/>
  <c r="JT166" i="13"/>
  <c r="JV166" i="13" s="1"/>
  <c r="JP166" i="13"/>
  <c r="JR166" i="13" s="1"/>
  <c r="JS166" i="13" s="1"/>
  <c r="JB166" i="13"/>
  <c r="JD166" i="13" s="1"/>
  <c r="JE166" i="13" s="1"/>
  <c r="GK166" i="13"/>
  <c r="GM166" i="13" s="1"/>
  <c r="GG166" i="13"/>
  <c r="GI166" i="13" s="1"/>
  <c r="GJ166" i="13" s="1"/>
  <c r="FY166" i="13"/>
  <c r="GA166" i="13" s="1"/>
  <c r="GB166" i="13" s="1"/>
  <c r="ER166" i="13"/>
  <c r="EM166" i="13"/>
  <c r="AG166" i="13" s="1"/>
  <c r="EL166" i="13"/>
  <c r="EK166" i="13"/>
  <c r="EO166" i="13" s="1"/>
  <c r="EG166" i="13"/>
  <c r="EE166" i="13"/>
  <c r="ED166" i="13"/>
  <c r="EA166" i="13"/>
  <c r="DC166" i="13"/>
  <c r="CF166" i="13"/>
  <c r="BJ166" i="13"/>
  <c r="AH166" i="13"/>
  <c r="X166" i="13"/>
  <c r="W166" i="13"/>
  <c r="S166" i="13"/>
  <c r="Q166" i="13"/>
  <c r="O166" i="13"/>
  <c r="F166" i="13"/>
  <c r="EJ166" i="13" s="1"/>
  <c r="MG165" i="13"/>
  <c r="LZ165" i="13"/>
  <c r="KB165" i="13"/>
  <c r="KD165" i="13" s="1"/>
  <c r="JX165" i="13"/>
  <c r="JZ165" i="13" s="1"/>
  <c r="KA165" i="13" s="1"/>
  <c r="JT165" i="13"/>
  <c r="JV165" i="13" s="1"/>
  <c r="JP165" i="13"/>
  <c r="JR165" i="13" s="1"/>
  <c r="JS165" i="13" s="1"/>
  <c r="JB165" i="13"/>
  <c r="JD165" i="13" s="1"/>
  <c r="JE165" i="13" s="1"/>
  <c r="GK165" i="13"/>
  <c r="GM165" i="13" s="1"/>
  <c r="GG165" i="13"/>
  <c r="GI165" i="13" s="1"/>
  <c r="GJ165" i="13" s="1"/>
  <c r="FY165" i="13"/>
  <c r="GA165" i="13" s="1"/>
  <c r="GB165" i="13" s="1"/>
  <c r="ER165" i="13"/>
  <c r="EL165" i="13"/>
  <c r="EM165" i="13" s="1"/>
  <c r="EK165" i="13"/>
  <c r="EO165" i="13" s="1"/>
  <c r="EG165" i="13"/>
  <c r="GT165" i="13" s="1"/>
  <c r="EE165" i="13"/>
  <c r="EH165" i="13" s="1"/>
  <c r="EI165" i="13" s="1"/>
  <c r="ED165" i="13"/>
  <c r="EA165" i="13"/>
  <c r="DD165" i="13"/>
  <c r="DC165" i="13"/>
  <c r="CG165" i="13"/>
  <c r="CF165" i="13"/>
  <c r="AH165" i="13"/>
  <c r="X165" i="13"/>
  <c r="S165" i="13"/>
  <c r="Q165" i="13"/>
  <c r="O165" i="13"/>
  <c r="M165" i="13"/>
  <c r="F165" i="13"/>
  <c r="EJ165" i="13" s="1"/>
  <c r="MG164" i="13"/>
  <c r="LZ164" i="13"/>
  <c r="KB164" i="13"/>
  <c r="KD164" i="13" s="1"/>
  <c r="JX164" i="13"/>
  <c r="JZ164" i="13" s="1"/>
  <c r="KA164" i="13" s="1"/>
  <c r="JT164" i="13"/>
  <c r="JV164" i="13" s="1"/>
  <c r="JP164" i="13"/>
  <c r="JR164" i="13" s="1"/>
  <c r="JS164" i="13" s="1"/>
  <c r="JB164" i="13"/>
  <c r="JD164" i="13" s="1"/>
  <c r="JE164" i="13" s="1"/>
  <c r="GT164" i="13"/>
  <c r="GK164" i="13"/>
  <c r="GM164" i="13" s="1"/>
  <c r="GG164" i="13"/>
  <c r="GI164" i="13" s="1"/>
  <c r="GJ164" i="13" s="1"/>
  <c r="FY164" i="13"/>
  <c r="GA164" i="13" s="1"/>
  <c r="GB164" i="13" s="1"/>
  <c r="ER164" i="13"/>
  <c r="AH164" i="13" s="1"/>
  <c r="EL164" i="13"/>
  <c r="EM164" i="13" s="1"/>
  <c r="EK164" i="13"/>
  <c r="MI164" i="13" s="1"/>
  <c r="MM164" i="13" s="1"/>
  <c r="EG164" i="13"/>
  <c r="EE164" i="13"/>
  <c r="EH164" i="13" s="1"/>
  <c r="ED164" i="13"/>
  <c r="EA164" i="13"/>
  <c r="DC164" i="13"/>
  <c r="CF164" i="13"/>
  <c r="BJ164" i="13"/>
  <c r="CG164" i="13" s="1"/>
  <c r="AM164" i="13"/>
  <c r="X164" i="13"/>
  <c r="W164" i="13"/>
  <c r="S164" i="13"/>
  <c r="Q164" i="13"/>
  <c r="O164" i="13"/>
  <c r="F164" i="13"/>
  <c r="EJ164" i="13" s="1"/>
  <c r="AC164" i="13" s="1"/>
  <c r="MG163" i="13"/>
  <c r="LZ163" i="13"/>
  <c r="KB163" i="13"/>
  <c r="KD163" i="13" s="1"/>
  <c r="JX163" i="13"/>
  <c r="JZ163" i="13" s="1"/>
  <c r="KA163" i="13" s="1"/>
  <c r="JT163" i="13"/>
  <c r="JV163" i="13" s="1"/>
  <c r="JP163" i="13"/>
  <c r="JR163" i="13" s="1"/>
  <c r="JS163" i="13" s="1"/>
  <c r="JB163" i="13"/>
  <c r="JD163" i="13" s="1"/>
  <c r="JE163" i="13" s="1"/>
  <c r="GK163" i="13"/>
  <c r="GM163" i="13" s="1"/>
  <c r="GG163" i="13"/>
  <c r="GI163" i="13" s="1"/>
  <c r="GJ163" i="13" s="1"/>
  <c r="FY163" i="13"/>
  <c r="GA163" i="13" s="1"/>
  <c r="GB163" i="13" s="1"/>
  <c r="ER163" i="13"/>
  <c r="AH163" i="13" s="1"/>
  <c r="EL163" i="13"/>
  <c r="EM163" i="13" s="1"/>
  <c r="EK163" i="13"/>
  <c r="MI163" i="13" s="1"/>
  <c r="MM163" i="13" s="1"/>
  <c r="EG163" i="13"/>
  <c r="GT163" i="13" s="1"/>
  <c r="EE163" i="13"/>
  <c r="EH163" i="13" s="1"/>
  <c r="ED163" i="13"/>
  <c r="EA163" i="13"/>
  <c r="DC163" i="13"/>
  <c r="CF163" i="13"/>
  <c r="BJ163" i="13"/>
  <c r="CG163" i="13" s="1"/>
  <c r="AM163" i="13"/>
  <c r="X163" i="13"/>
  <c r="W163" i="13"/>
  <c r="S163" i="13"/>
  <c r="Q163" i="13"/>
  <c r="O163" i="13"/>
  <c r="M163" i="13"/>
  <c r="F163" i="13"/>
  <c r="EJ163" i="13" s="1"/>
  <c r="AC163" i="13" s="1"/>
  <c r="MG162" i="13"/>
  <c r="LZ162" i="13"/>
  <c r="KB162" i="13"/>
  <c r="KD162" i="13" s="1"/>
  <c r="JX162" i="13"/>
  <c r="JZ162" i="13" s="1"/>
  <c r="KA162" i="13" s="1"/>
  <c r="JT162" i="13"/>
  <c r="JV162" i="13" s="1"/>
  <c r="JP162" i="13"/>
  <c r="JR162" i="13" s="1"/>
  <c r="JS162" i="13" s="1"/>
  <c r="JB162" i="13"/>
  <c r="JD162" i="13" s="1"/>
  <c r="JE162" i="13" s="1"/>
  <c r="GK162" i="13"/>
  <c r="GM162" i="13" s="1"/>
  <c r="GG162" i="13"/>
  <c r="GI162" i="13" s="1"/>
  <c r="GJ162" i="13" s="1"/>
  <c r="FY162" i="13"/>
  <c r="GA162" i="13" s="1"/>
  <c r="GB162" i="13" s="1"/>
  <c r="ER162" i="13"/>
  <c r="AH162" i="13" s="1"/>
  <c r="EL162" i="13"/>
  <c r="EM162" i="13" s="1"/>
  <c r="EK162" i="13"/>
  <c r="MI162" i="13" s="1"/>
  <c r="MM162" i="13" s="1"/>
  <c r="EG162" i="13"/>
  <c r="GT162" i="13" s="1"/>
  <c r="EE162" i="13"/>
  <c r="AM162" i="13" s="1"/>
  <c r="ED162" i="13"/>
  <c r="EA162" i="13"/>
  <c r="DC162" i="13"/>
  <c r="CF162" i="13"/>
  <c r="BJ162" i="13"/>
  <c r="CG162" i="13" s="1"/>
  <c r="X162" i="13"/>
  <c r="W162" i="13"/>
  <c r="S162" i="13"/>
  <c r="Q162" i="13"/>
  <c r="O162" i="13"/>
  <c r="M162" i="13"/>
  <c r="F162" i="13"/>
  <c r="EJ162" i="13" s="1"/>
  <c r="AC162" i="13" s="1"/>
  <c r="MG161" i="13"/>
  <c r="LZ161" i="13"/>
  <c r="KB161" i="13"/>
  <c r="KD161" i="13" s="1"/>
  <c r="JX161" i="13"/>
  <c r="JZ161" i="13" s="1"/>
  <c r="KA161" i="13" s="1"/>
  <c r="JT161" i="13"/>
  <c r="JV161" i="13" s="1"/>
  <c r="JP161" i="13"/>
  <c r="JR161" i="13" s="1"/>
  <c r="JS161" i="13" s="1"/>
  <c r="JB161" i="13"/>
  <c r="JD161" i="13" s="1"/>
  <c r="JE161" i="13" s="1"/>
  <c r="GK161" i="13"/>
  <c r="GM161" i="13" s="1"/>
  <c r="GG161" i="13"/>
  <c r="GI161" i="13" s="1"/>
  <c r="GJ161" i="13" s="1"/>
  <c r="FY161" i="13"/>
  <c r="GA161" i="13" s="1"/>
  <c r="GB161" i="13" s="1"/>
  <c r="ER161" i="13"/>
  <c r="AH161" i="13" s="1"/>
  <c r="EL161" i="13"/>
  <c r="EM161" i="13" s="1"/>
  <c r="EK161" i="13"/>
  <c r="MI161" i="13" s="1"/>
  <c r="MM161" i="13" s="1"/>
  <c r="EH161" i="13"/>
  <c r="EG161" i="13"/>
  <c r="EE161" i="13"/>
  <c r="GT161" i="13" s="1"/>
  <c r="ED161" i="13"/>
  <c r="EA161" i="13"/>
  <c r="DC161" i="13"/>
  <c r="CF161" i="13"/>
  <c r="BJ161" i="13"/>
  <c r="CG161" i="13" s="1"/>
  <c r="AM161" i="13"/>
  <c r="X161" i="13"/>
  <c r="W161" i="13"/>
  <c r="S161" i="13"/>
  <c r="Q161" i="13"/>
  <c r="O161" i="13"/>
  <c r="M161" i="13"/>
  <c r="F161" i="13"/>
  <c r="EJ161" i="13" s="1"/>
  <c r="AC161" i="13" s="1"/>
  <c r="MG160" i="13"/>
  <c r="LZ160" i="13"/>
  <c r="KB160" i="13"/>
  <c r="KD160" i="13" s="1"/>
  <c r="JX160" i="13"/>
  <c r="JZ160" i="13" s="1"/>
  <c r="KA160" i="13" s="1"/>
  <c r="JT160" i="13"/>
  <c r="JV160" i="13" s="1"/>
  <c r="JP160" i="13"/>
  <c r="JR160" i="13" s="1"/>
  <c r="JS160" i="13" s="1"/>
  <c r="JB160" i="13"/>
  <c r="JD160" i="13" s="1"/>
  <c r="JE160" i="13" s="1"/>
  <c r="GK160" i="13"/>
  <c r="GM160" i="13" s="1"/>
  <c r="GG160" i="13"/>
  <c r="GI160" i="13" s="1"/>
  <c r="GJ160" i="13" s="1"/>
  <c r="FY160" i="13"/>
  <c r="GA160" i="13" s="1"/>
  <c r="GB160" i="13" s="1"/>
  <c r="ER160" i="13"/>
  <c r="AH160" i="13" s="1"/>
  <c r="EL160" i="13"/>
  <c r="EM160" i="13" s="1"/>
  <c r="EK160" i="13"/>
  <c r="MI160" i="13" s="1"/>
  <c r="MM160" i="13" s="1"/>
  <c r="EG160" i="13"/>
  <c r="EE160" i="13"/>
  <c r="GT160" i="13" s="1"/>
  <c r="ED160" i="13"/>
  <c r="EA160" i="13"/>
  <c r="DC160" i="13"/>
  <c r="CF160" i="13"/>
  <c r="BJ160" i="13"/>
  <c r="CG160" i="13" s="1"/>
  <c r="X160" i="13"/>
  <c r="S160" i="13"/>
  <c r="Q160" i="13"/>
  <c r="O160" i="13"/>
  <c r="F160" i="13"/>
  <c r="EJ160" i="13" s="1"/>
  <c r="MG159" i="13"/>
  <c r="LZ159" i="13"/>
  <c r="KB159" i="13"/>
  <c r="KD159" i="13" s="1"/>
  <c r="JX159" i="13"/>
  <c r="JZ159" i="13" s="1"/>
  <c r="KA159" i="13" s="1"/>
  <c r="JT159" i="13"/>
  <c r="JV159" i="13" s="1"/>
  <c r="JP159" i="13"/>
  <c r="JR159" i="13" s="1"/>
  <c r="JS159" i="13" s="1"/>
  <c r="JB159" i="13"/>
  <c r="JD159" i="13" s="1"/>
  <c r="JE159" i="13" s="1"/>
  <c r="GK159" i="13"/>
  <c r="GM159" i="13" s="1"/>
  <c r="GG159" i="13"/>
  <c r="GI159" i="13" s="1"/>
  <c r="GJ159" i="13" s="1"/>
  <c r="FY159" i="13"/>
  <c r="GA159" i="13" s="1"/>
  <c r="GB159" i="13" s="1"/>
  <c r="ER159" i="13"/>
  <c r="EL159" i="13"/>
  <c r="EM159" i="13" s="1"/>
  <c r="EK159" i="13"/>
  <c r="EO159" i="13" s="1"/>
  <c r="EG159" i="13"/>
  <c r="EE159" i="13"/>
  <c r="EH159" i="13" s="1"/>
  <c r="ED159" i="13"/>
  <c r="EA159" i="13"/>
  <c r="DC159" i="13"/>
  <c r="CF159" i="13"/>
  <c r="BJ159" i="13"/>
  <c r="CG159" i="13" s="1"/>
  <c r="AH159" i="13"/>
  <c r="X159" i="13"/>
  <c r="W159" i="13"/>
  <c r="S159" i="13"/>
  <c r="Q159" i="13"/>
  <c r="O159" i="13"/>
  <c r="F159" i="13"/>
  <c r="EJ159" i="13" s="1"/>
  <c r="MG158" i="13"/>
  <c r="LZ158" i="13"/>
  <c r="KB158" i="13"/>
  <c r="KD158" i="13" s="1"/>
  <c r="JX158" i="13"/>
  <c r="JZ158" i="13" s="1"/>
  <c r="KA158" i="13" s="1"/>
  <c r="JT158" i="13"/>
  <c r="JV158" i="13" s="1"/>
  <c r="JP158" i="13"/>
  <c r="JR158" i="13" s="1"/>
  <c r="JS158" i="13" s="1"/>
  <c r="JB158" i="13"/>
  <c r="JD158" i="13" s="1"/>
  <c r="JE158" i="13" s="1"/>
  <c r="GK158" i="13"/>
  <c r="GM158" i="13" s="1"/>
  <c r="GG158" i="13"/>
  <c r="GI158" i="13" s="1"/>
  <c r="GJ158" i="13" s="1"/>
  <c r="FY158" i="13"/>
  <c r="GA158" i="13" s="1"/>
  <c r="GB158" i="13" s="1"/>
  <c r="ER158" i="13"/>
  <c r="EL158" i="13"/>
  <c r="EM158" i="13" s="1"/>
  <c r="EP158" i="13" s="1"/>
  <c r="EK158" i="13"/>
  <c r="EO158" i="13" s="1"/>
  <c r="EG158" i="13"/>
  <c r="EE158" i="13"/>
  <c r="EH158" i="13" s="1"/>
  <c r="EF158" i="13" s="1"/>
  <c r="ED158" i="13"/>
  <c r="EA158" i="13"/>
  <c r="DD158" i="13"/>
  <c r="DC158" i="13"/>
  <c r="CF158" i="13"/>
  <c r="BJ158" i="13"/>
  <c r="CG158" i="13" s="1"/>
  <c r="AM158" i="13"/>
  <c r="AH158" i="13"/>
  <c r="X158" i="13"/>
  <c r="W158" i="13"/>
  <c r="S158" i="13"/>
  <c r="Q158" i="13"/>
  <c r="O158" i="13"/>
  <c r="F158" i="13"/>
  <c r="EJ158" i="13" s="1"/>
  <c r="MG157" i="13"/>
  <c r="LZ157" i="13"/>
  <c r="KB157" i="13"/>
  <c r="KD157" i="13" s="1"/>
  <c r="JX157" i="13"/>
  <c r="JZ157" i="13" s="1"/>
  <c r="KA157" i="13" s="1"/>
  <c r="JT157" i="13"/>
  <c r="JV157" i="13" s="1"/>
  <c r="JS157" i="13"/>
  <c r="JP157" i="13"/>
  <c r="JR157" i="13" s="1"/>
  <c r="JB157" i="13"/>
  <c r="JD157" i="13" s="1"/>
  <c r="JE157" i="13" s="1"/>
  <c r="GK157" i="13"/>
  <c r="GM157" i="13" s="1"/>
  <c r="GG157" i="13"/>
  <c r="GI157" i="13" s="1"/>
  <c r="GJ157" i="13" s="1"/>
  <c r="FY157" i="13"/>
  <c r="GA157" i="13" s="1"/>
  <c r="GB157" i="13" s="1"/>
  <c r="ER157" i="13"/>
  <c r="EL157" i="13"/>
  <c r="EM157" i="13" s="1"/>
  <c r="EK157" i="13"/>
  <c r="EG157" i="13"/>
  <c r="GT157" i="13" s="1"/>
  <c r="EE157" i="13"/>
  <c r="M157" i="13" s="1"/>
  <c r="ED157" i="13"/>
  <c r="EA157" i="13"/>
  <c r="DC157" i="13"/>
  <c r="CF157" i="13"/>
  <c r="BJ157" i="13"/>
  <c r="CG157" i="13" s="1"/>
  <c r="AH157" i="13"/>
  <c r="X157" i="13"/>
  <c r="W157" i="13"/>
  <c r="S157" i="13"/>
  <c r="Q157" i="13"/>
  <c r="O157" i="13"/>
  <c r="F157" i="13"/>
  <c r="EJ157" i="13" s="1"/>
  <c r="MG156" i="13"/>
  <c r="LZ156" i="13"/>
  <c r="KB156" i="13"/>
  <c r="KD156" i="13" s="1"/>
  <c r="JX156" i="13"/>
  <c r="JZ156" i="13" s="1"/>
  <c r="KA156" i="13" s="1"/>
  <c r="JT156" i="13"/>
  <c r="JV156" i="13" s="1"/>
  <c r="JP156" i="13"/>
  <c r="JR156" i="13" s="1"/>
  <c r="JS156" i="13" s="1"/>
  <c r="JB156" i="13"/>
  <c r="JD156" i="13" s="1"/>
  <c r="JE156" i="13" s="1"/>
  <c r="GK156" i="13"/>
  <c r="GM156" i="13" s="1"/>
  <c r="GG156" i="13"/>
  <c r="GI156" i="13" s="1"/>
  <c r="GJ156" i="13" s="1"/>
  <c r="FY156" i="13"/>
  <c r="GA156" i="13" s="1"/>
  <c r="GB156" i="13" s="1"/>
  <c r="ER156" i="13"/>
  <c r="AH156" i="13" s="1"/>
  <c r="EL156" i="13"/>
  <c r="EM156" i="13" s="1"/>
  <c r="EK156" i="13"/>
  <c r="EG156" i="13"/>
  <c r="GT156" i="13" s="1"/>
  <c r="EE156" i="13"/>
  <c r="M156" i="13" s="1"/>
  <c r="ED156" i="13"/>
  <c r="EA156" i="13"/>
  <c r="DC156" i="13"/>
  <c r="CF156" i="13"/>
  <c r="BJ156" i="13"/>
  <c r="CG156" i="13" s="1"/>
  <c r="X156" i="13"/>
  <c r="W156" i="13"/>
  <c r="S156" i="13"/>
  <c r="Q156" i="13"/>
  <c r="O156" i="13"/>
  <c r="N156" i="13"/>
  <c r="F156" i="13"/>
  <c r="EJ156" i="13" s="1"/>
  <c r="MG155" i="13"/>
  <c r="LZ155" i="13"/>
  <c r="KB155" i="13"/>
  <c r="KD155" i="13" s="1"/>
  <c r="JX155" i="13"/>
  <c r="JZ155" i="13" s="1"/>
  <c r="KA155" i="13" s="1"/>
  <c r="JT155" i="13"/>
  <c r="JV155" i="13" s="1"/>
  <c r="JP155" i="13"/>
  <c r="JR155" i="13" s="1"/>
  <c r="JS155" i="13" s="1"/>
  <c r="JB155" i="13"/>
  <c r="JD155" i="13" s="1"/>
  <c r="JE155" i="13" s="1"/>
  <c r="GK155" i="13"/>
  <c r="GM155" i="13" s="1"/>
  <c r="GG155" i="13"/>
  <c r="GI155" i="13" s="1"/>
  <c r="GJ155" i="13" s="1"/>
  <c r="FY155" i="13"/>
  <c r="GA155" i="13" s="1"/>
  <c r="GB155" i="13" s="1"/>
  <c r="ER155" i="13"/>
  <c r="EL155" i="13"/>
  <c r="EM155" i="13" s="1"/>
  <c r="EK155" i="13"/>
  <c r="EG155" i="13"/>
  <c r="EE155" i="13"/>
  <c r="EH155" i="13" s="1"/>
  <c r="ED155" i="13"/>
  <c r="EA155" i="13"/>
  <c r="DC155" i="13"/>
  <c r="CF155" i="13"/>
  <c r="BJ155" i="13"/>
  <c r="CG155" i="13" s="1"/>
  <c r="AM155" i="13"/>
  <c r="AH155" i="13"/>
  <c r="X155" i="13"/>
  <c r="S155" i="13"/>
  <c r="Q155" i="13"/>
  <c r="O155" i="13"/>
  <c r="F155" i="13"/>
  <c r="EJ155" i="13" s="1"/>
  <c r="MG154" i="13"/>
  <c r="LZ154" i="13"/>
  <c r="KB154" i="13"/>
  <c r="KD154" i="13" s="1"/>
  <c r="JX154" i="13"/>
  <c r="JZ154" i="13" s="1"/>
  <c r="KA154" i="13" s="1"/>
  <c r="JT154" i="13"/>
  <c r="JV154" i="13" s="1"/>
  <c r="JP154" i="13"/>
  <c r="JR154" i="13" s="1"/>
  <c r="JS154" i="13" s="1"/>
  <c r="JB154" i="13"/>
  <c r="JD154" i="13" s="1"/>
  <c r="JE154" i="13" s="1"/>
  <c r="GK154" i="13"/>
  <c r="GM154" i="13" s="1"/>
  <c r="GG154" i="13"/>
  <c r="GI154" i="13" s="1"/>
  <c r="GJ154" i="13" s="1"/>
  <c r="FY154" i="13"/>
  <c r="GA154" i="13" s="1"/>
  <c r="GB154" i="13" s="1"/>
  <c r="ER154" i="13"/>
  <c r="EL154" i="13"/>
  <c r="EM154" i="13" s="1"/>
  <c r="EK154" i="13"/>
  <c r="EO154" i="13" s="1"/>
  <c r="EG154" i="13"/>
  <c r="GT154" i="13" s="1"/>
  <c r="EE154" i="13"/>
  <c r="EH154" i="13" s="1"/>
  <c r="ED154" i="13"/>
  <c r="EA154" i="13"/>
  <c r="DC154" i="13"/>
  <c r="CF154" i="13"/>
  <c r="BJ154" i="13"/>
  <c r="CG154" i="13" s="1"/>
  <c r="AH154" i="13"/>
  <c r="X154" i="13"/>
  <c r="W154" i="13"/>
  <c r="S154" i="13"/>
  <c r="Q154" i="13"/>
  <c r="O154" i="13"/>
  <c r="F154" i="13"/>
  <c r="EJ154" i="13" s="1"/>
  <c r="MG153" i="13"/>
  <c r="LZ153" i="13"/>
  <c r="KB153" i="13"/>
  <c r="KD153" i="13" s="1"/>
  <c r="JX153" i="13"/>
  <c r="JZ153" i="13" s="1"/>
  <c r="KA153" i="13" s="1"/>
  <c r="JT153" i="13"/>
  <c r="JV153" i="13" s="1"/>
  <c r="JP153" i="13"/>
  <c r="JR153" i="13" s="1"/>
  <c r="JS153" i="13" s="1"/>
  <c r="JB153" i="13"/>
  <c r="JD153" i="13" s="1"/>
  <c r="JE153" i="13" s="1"/>
  <c r="GK153" i="13"/>
  <c r="GM153" i="13" s="1"/>
  <c r="GG153" i="13"/>
  <c r="GI153" i="13" s="1"/>
  <c r="GJ153" i="13" s="1"/>
  <c r="FY153" i="13"/>
  <c r="GA153" i="13" s="1"/>
  <c r="GB153" i="13" s="1"/>
  <c r="ER153" i="13"/>
  <c r="EL153" i="13"/>
  <c r="EM153" i="13" s="1"/>
  <c r="EK153" i="13"/>
  <c r="EO153" i="13" s="1"/>
  <c r="EW153" i="13" s="1"/>
  <c r="EX153" i="13" s="1"/>
  <c r="EG153" i="13"/>
  <c r="GT153" i="13" s="1"/>
  <c r="EE153" i="13"/>
  <c r="EH153" i="13" s="1"/>
  <c r="ED153" i="13"/>
  <c r="EC153" i="13"/>
  <c r="EA153" i="13"/>
  <c r="DC153" i="13"/>
  <c r="CF153" i="13"/>
  <c r="BJ153" i="13"/>
  <c r="CG153" i="13" s="1"/>
  <c r="AH153" i="13"/>
  <c r="X153" i="13"/>
  <c r="W153" i="13"/>
  <c r="S153" i="13"/>
  <c r="Q153" i="13"/>
  <c r="O153" i="13"/>
  <c r="F153" i="13"/>
  <c r="EJ153" i="13" s="1"/>
  <c r="MG152" i="13"/>
  <c r="LZ152" i="13"/>
  <c r="KB152" i="13"/>
  <c r="KD152" i="13" s="1"/>
  <c r="JX152" i="13"/>
  <c r="JZ152" i="13" s="1"/>
  <c r="KA152" i="13" s="1"/>
  <c r="JT152" i="13"/>
  <c r="JV152" i="13" s="1"/>
  <c r="JP152" i="13"/>
  <c r="JR152" i="13" s="1"/>
  <c r="JS152" i="13" s="1"/>
  <c r="JB152" i="13"/>
  <c r="JD152" i="13" s="1"/>
  <c r="JE152" i="13" s="1"/>
  <c r="GK152" i="13"/>
  <c r="GM152" i="13" s="1"/>
  <c r="GG152" i="13"/>
  <c r="GI152" i="13" s="1"/>
  <c r="GJ152" i="13" s="1"/>
  <c r="FY152" i="13"/>
  <c r="GA152" i="13" s="1"/>
  <c r="GB152" i="13" s="1"/>
  <c r="ER152" i="13"/>
  <c r="EL152" i="13"/>
  <c r="EM152" i="13" s="1"/>
  <c r="EK152" i="13"/>
  <c r="EG152" i="13"/>
  <c r="GT152" i="13" s="1"/>
  <c r="EE152" i="13"/>
  <c r="EH152" i="13" s="1"/>
  <c r="ED152" i="13"/>
  <c r="EA152" i="13"/>
  <c r="DC152" i="13"/>
  <c r="CF152" i="13"/>
  <c r="BJ152" i="13"/>
  <c r="CG152" i="13" s="1"/>
  <c r="AH152" i="13"/>
  <c r="X152" i="13"/>
  <c r="W152" i="13"/>
  <c r="S152" i="13"/>
  <c r="Q152" i="13"/>
  <c r="O152" i="13"/>
  <c r="F152" i="13"/>
  <c r="EJ152" i="13" s="1"/>
  <c r="MG151" i="13"/>
  <c r="LZ151" i="13"/>
  <c r="KB151" i="13"/>
  <c r="KD151" i="13" s="1"/>
  <c r="JX151" i="13"/>
  <c r="JZ151" i="13" s="1"/>
  <c r="KA151" i="13" s="1"/>
  <c r="JT151" i="13"/>
  <c r="JV151" i="13" s="1"/>
  <c r="JP151" i="13"/>
  <c r="JR151" i="13" s="1"/>
  <c r="JS151" i="13" s="1"/>
  <c r="JB151" i="13"/>
  <c r="JD151" i="13" s="1"/>
  <c r="JE151" i="13" s="1"/>
  <c r="GK151" i="13"/>
  <c r="GM151" i="13" s="1"/>
  <c r="GG151" i="13"/>
  <c r="GI151" i="13" s="1"/>
  <c r="GJ151" i="13" s="1"/>
  <c r="FY151" i="13"/>
  <c r="GA151" i="13" s="1"/>
  <c r="GB151" i="13" s="1"/>
  <c r="ER151" i="13"/>
  <c r="EL151" i="13"/>
  <c r="EM151" i="13" s="1"/>
  <c r="N151" i="13" s="1"/>
  <c r="EK151" i="13"/>
  <c r="EO151" i="13" s="1"/>
  <c r="EW151" i="13" s="1"/>
  <c r="EX151" i="13" s="1"/>
  <c r="EG151" i="13"/>
  <c r="GT151" i="13" s="1"/>
  <c r="EE151" i="13"/>
  <c r="EH151" i="13" s="1"/>
  <c r="ED151" i="13"/>
  <c r="EA151" i="13"/>
  <c r="DC151" i="13"/>
  <c r="CF151" i="13"/>
  <c r="BJ151" i="13"/>
  <c r="CG151" i="13" s="1"/>
  <c r="AH151" i="13"/>
  <c r="X151" i="13"/>
  <c r="W151" i="13"/>
  <c r="S151" i="13"/>
  <c r="Q151" i="13"/>
  <c r="O151" i="13"/>
  <c r="F151" i="13"/>
  <c r="EJ151" i="13" s="1"/>
  <c r="MG150" i="13"/>
  <c r="LZ150" i="13"/>
  <c r="KB150" i="13"/>
  <c r="KD150" i="13" s="1"/>
  <c r="JX150" i="13"/>
  <c r="JZ150" i="13" s="1"/>
  <c r="KA150" i="13" s="1"/>
  <c r="JT150" i="13"/>
  <c r="JV150" i="13" s="1"/>
  <c r="JP150" i="13"/>
  <c r="JR150" i="13" s="1"/>
  <c r="JS150" i="13" s="1"/>
  <c r="JB150" i="13"/>
  <c r="JD150" i="13" s="1"/>
  <c r="JE150" i="13" s="1"/>
  <c r="GK150" i="13"/>
  <c r="GM150" i="13" s="1"/>
  <c r="GG150" i="13"/>
  <c r="GI150" i="13" s="1"/>
  <c r="GJ150" i="13" s="1"/>
  <c r="FY150" i="13"/>
  <c r="GA150" i="13" s="1"/>
  <c r="GB150" i="13" s="1"/>
  <c r="ER150" i="13"/>
  <c r="EL150" i="13"/>
  <c r="EM150" i="13" s="1"/>
  <c r="EP150" i="13" s="1"/>
  <c r="EN150" i="13" s="1"/>
  <c r="EK150" i="13"/>
  <c r="EO150" i="13" s="1"/>
  <c r="EW150" i="13" s="1"/>
  <c r="EX150" i="13" s="1"/>
  <c r="EG150" i="13"/>
  <c r="EE150" i="13"/>
  <c r="ED150" i="13"/>
  <c r="EA150" i="13"/>
  <c r="DC150" i="13"/>
  <c r="CF150" i="13"/>
  <c r="BJ150" i="13"/>
  <c r="CG150" i="13" s="1"/>
  <c r="AH150" i="13"/>
  <c r="X150" i="13"/>
  <c r="W150" i="13"/>
  <c r="S150" i="13"/>
  <c r="Q150" i="13"/>
  <c r="O150" i="13"/>
  <c r="F150" i="13"/>
  <c r="EJ150" i="13" s="1"/>
  <c r="MG149" i="13"/>
  <c r="LZ149" i="13"/>
  <c r="KB149" i="13"/>
  <c r="KD149" i="13" s="1"/>
  <c r="JX149" i="13"/>
  <c r="JZ149" i="13" s="1"/>
  <c r="KA149" i="13" s="1"/>
  <c r="JT149" i="13"/>
  <c r="JV149" i="13" s="1"/>
  <c r="JP149" i="13"/>
  <c r="JR149" i="13" s="1"/>
  <c r="JS149" i="13" s="1"/>
  <c r="JB149" i="13"/>
  <c r="JD149" i="13" s="1"/>
  <c r="JE149" i="13" s="1"/>
  <c r="GK149" i="13"/>
  <c r="GM149" i="13" s="1"/>
  <c r="GG149" i="13"/>
  <c r="GI149" i="13" s="1"/>
  <c r="GJ149" i="13" s="1"/>
  <c r="FY149" i="13"/>
  <c r="GA149" i="13" s="1"/>
  <c r="GB149" i="13" s="1"/>
  <c r="ER149" i="13"/>
  <c r="EL149" i="13"/>
  <c r="EM149" i="13" s="1"/>
  <c r="EK149" i="13"/>
  <c r="EO149" i="13" s="1"/>
  <c r="EG149" i="13"/>
  <c r="EE149" i="13"/>
  <c r="GT149" i="13" s="1"/>
  <c r="ED149" i="13"/>
  <c r="EA149" i="13"/>
  <c r="DC149" i="13"/>
  <c r="CF149" i="13"/>
  <c r="BJ149" i="13"/>
  <c r="DD149" i="13" s="1"/>
  <c r="AH149" i="13"/>
  <c r="X149" i="13"/>
  <c r="W149" i="13"/>
  <c r="S149" i="13"/>
  <c r="Q149" i="13"/>
  <c r="O149" i="13"/>
  <c r="F149" i="13"/>
  <c r="EJ149" i="13" s="1"/>
  <c r="AC149" i="13" s="1"/>
  <c r="MG148" i="13"/>
  <c r="LZ148" i="13"/>
  <c r="KB148" i="13"/>
  <c r="KD148" i="13" s="1"/>
  <c r="JX148" i="13"/>
  <c r="JZ148" i="13" s="1"/>
  <c r="KA148" i="13" s="1"/>
  <c r="JT148" i="13"/>
  <c r="JV148" i="13" s="1"/>
  <c r="JP148" i="13"/>
  <c r="JR148" i="13" s="1"/>
  <c r="JS148" i="13" s="1"/>
  <c r="JB148" i="13"/>
  <c r="JD148" i="13" s="1"/>
  <c r="JE148" i="13" s="1"/>
  <c r="GK148" i="13"/>
  <c r="GM148" i="13" s="1"/>
  <c r="GG148" i="13"/>
  <c r="GI148" i="13" s="1"/>
  <c r="GJ148" i="13" s="1"/>
  <c r="FY148" i="13"/>
  <c r="GA148" i="13" s="1"/>
  <c r="GB148" i="13" s="1"/>
  <c r="ER148" i="13"/>
  <c r="EL148" i="13"/>
  <c r="EM148" i="13" s="1"/>
  <c r="EK148" i="13"/>
  <c r="EO148" i="13" s="1"/>
  <c r="EG148" i="13"/>
  <c r="EE148" i="13"/>
  <c r="AM148" i="13" s="1"/>
  <c r="ED148" i="13"/>
  <c r="EA148" i="13"/>
  <c r="DD148" i="13"/>
  <c r="DC148" i="13"/>
  <c r="CG148" i="13"/>
  <c r="CF148" i="13"/>
  <c r="X148" i="13"/>
  <c r="S148" i="13"/>
  <c r="Q148" i="13"/>
  <c r="O148" i="13"/>
  <c r="F148" i="13"/>
  <c r="EJ148" i="13" s="1"/>
  <c r="MG147" i="13"/>
  <c r="LZ147" i="13"/>
  <c r="KB147" i="13"/>
  <c r="KD147" i="13" s="1"/>
  <c r="JX147" i="13"/>
  <c r="JZ147" i="13" s="1"/>
  <c r="KA147" i="13" s="1"/>
  <c r="JT147" i="13"/>
  <c r="JV147" i="13" s="1"/>
  <c r="JP147" i="13"/>
  <c r="JR147" i="13" s="1"/>
  <c r="JS147" i="13" s="1"/>
  <c r="JB147" i="13"/>
  <c r="JD147" i="13" s="1"/>
  <c r="JE147" i="13" s="1"/>
  <c r="GK147" i="13"/>
  <c r="GM147" i="13" s="1"/>
  <c r="GG147" i="13"/>
  <c r="GI147" i="13" s="1"/>
  <c r="GJ147" i="13" s="1"/>
  <c r="FY147" i="13"/>
  <c r="GA147" i="13" s="1"/>
  <c r="GB147" i="13" s="1"/>
  <c r="EL147" i="13"/>
  <c r="EM147" i="13" s="1"/>
  <c r="EK147" i="13"/>
  <c r="EO147" i="13" s="1"/>
  <c r="EG147" i="13"/>
  <c r="GT147" i="13" s="1"/>
  <c r="EE147" i="13"/>
  <c r="EH147" i="13" s="1"/>
  <c r="ED147" i="13"/>
  <c r="EA147" i="13"/>
  <c r="DD147" i="13"/>
  <c r="DC147" i="13"/>
  <c r="CG147" i="13"/>
  <c r="CF147" i="13"/>
  <c r="AF147" i="13"/>
  <c r="AA147" i="13"/>
  <c r="X147" i="13"/>
  <c r="S147" i="13"/>
  <c r="Q147" i="13"/>
  <c r="O147" i="13"/>
  <c r="I147" i="13"/>
  <c r="ER147" i="13" s="1"/>
  <c r="F147" i="13"/>
  <c r="EJ147" i="13" s="1"/>
  <c r="MG146" i="13"/>
  <c r="LZ146" i="13"/>
  <c r="KB146" i="13"/>
  <c r="KD146" i="13" s="1"/>
  <c r="JX146" i="13"/>
  <c r="JZ146" i="13" s="1"/>
  <c r="KA146" i="13" s="1"/>
  <c r="JT146" i="13"/>
  <c r="JV146" i="13" s="1"/>
  <c r="JP146" i="13"/>
  <c r="JR146" i="13" s="1"/>
  <c r="JS146" i="13" s="1"/>
  <c r="JB146" i="13"/>
  <c r="JD146" i="13" s="1"/>
  <c r="JE146" i="13" s="1"/>
  <c r="GK146" i="13"/>
  <c r="GM146" i="13" s="1"/>
  <c r="GG146" i="13"/>
  <c r="GI146" i="13" s="1"/>
  <c r="GJ146" i="13" s="1"/>
  <c r="FY146" i="13"/>
  <c r="GA146" i="13" s="1"/>
  <c r="GB146" i="13" s="1"/>
  <c r="EP146" i="13"/>
  <c r="EL146" i="13"/>
  <c r="EM146" i="13" s="1"/>
  <c r="EK146" i="13"/>
  <c r="EO146" i="13" s="1"/>
  <c r="EG146" i="13"/>
  <c r="EE146" i="13"/>
  <c r="M146" i="13" s="1"/>
  <c r="ED146" i="13"/>
  <c r="EA146" i="13"/>
  <c r="DD146" i="13"/>
  <c r="DC146" i="13"/>
  <c r="CG146" i="13"/>
  <c r="CF146" i="13"/>
  <c r="AF146" i="13"/>
  <c r="AA146" i="13"/>
  <c r="X146" i="13"/>
  <c r="S146" i="13"/>
  <c r="Q146" i="13"/>
  <c r="O146" i="13"/>
  <c r="I146" i="13"/>
  <c r="ER146" i="13" s="1"/>
  <c r="AH146" i="13" s="1"/>
  <c r="F146" i="13"/>
  <c r="EJ146" i="13" s="1"/>
  <c r="MG145" i="13"/>
  <c r="LZ145" i="13"/>
  <c r="KB145" i="13"/>
  <c r="KD145" i="13" s="1"/>
  <c r="JX145" i="13"/>
  <c r="JZ145" i="13" s="1"/>
  <c r="KA145" i="13" s="1"/>
  <c r="JT145" i="13"/>
  <c r="JV145" i="13" s="1"/>
  <c r="JP145" i="13"/>
  <c r="JR145" i="13" s="1"/>
  <c r="JS145" i="13" s="1"/>
  <c r="JB145" i="13"/>
  <c r="JD145" i="13" s="1"/>
  <c r="JE145" i="13" s="1"/>
  <c r="GK145" i="13"/>
  <c r="GM145" i="13" s="1"/>
  <c r="GG145" i="13"/>
  <c r="GI145" i="13" s="1"/>
  <c r="GJ145" i="13" s="1"/>
  <c r="FY145" i="13"/>
  <c r="GA145" i="13" s="1"/>
  <c r="GB145" i="13" s="1"/>
  <c r="EM145" i="13"/>
  <c r="EP145" i="13" s="1"/>
  <c r="EL145" i="13"/>
  <c r="EK145" i="13"/>
  <c r="EO145" i="13" s="1"/>
  <c r="EG145" i="13"/>
  <c r="EE145" i="13"/>
  <c r="GT145" i="13" s="1"/>
  <c r="ED145" i="13"/>
  <c r="EA145" i="13"/>
  <c r="DD145" i="13"/>
  <c r="DC145" i="13"/>
  <c r="CG145" i="13"/>
  <c r="CF145" i="13"/>
  <c r="AM145" i="13"/>
  <c r="AF145" i="13"/>
  <c r="AA145" i="13"/>
  <c r="X145" i="13"/>
  <c r="S145" i="13"/>
  <c r="Q145" i="13"/>
  <c r="O145" i="13"/>
  <c r="I145" i="13"/>
  <c r="ER145" i="13" s="1"/>
  <c r="F145" i="13"/>
  <c r="EJ145" i="13" s="1"/>
  <c r="MG144" i="13"/>
  <c r="LZ144" i="13"/>
  <c r="KB144" i="13"/>
  <c r="KD144" i="13" s="1"/>
  <c r="JX144" i="13"/>
  <c r="JZ144" i="13" s="1"/>
  <c r="KA144" i="13" s="1"/>
  <c r="JT144" i="13"/>
  <c r="JV144" i="13" s="1"/>
  <c r="JP144" i="13"/>
  <c r="JR144" i="13" s="1"/>
  <c r="JS144" i="13" s="1"/>
  <c r="JB144" i="13"/>
  <c r="JD144" i="13" s="1"/>
  <c r="JE144" i="13" s="1"/>
  <c r="GK144" i="13"/>
  <c r="GM144" i="13" s="1"/>
  <c r="GG144" i="13"/>
  <c r="GI144" i="13" s="1"/>
  <c r="GJ144" i="13" s="1"/>
  <c r="FY144" i="13"/>
  <c r="GA144" i="13" s="1"/>
  <c r="GB144" i="13" s="1"/>
  <c r="EM144" i="13"/>
  <c r="EP144" i="13" s="1"/>
  <c r="EL144" i="13"/>
  <c r="EK144" i="13"/>
  <c r="EO144" i="13" s="1"/>
  <c r="EG144" i="13"/>
  <c r="EE144" i="13"/>
  <c r="ED144" i="13"/>
  <c r="EA144" i="13"/>
  <c r="DD144" i="13"/>
  <c r="DC144" i="13"/>
  <c r="CG144" i="13"/>
  <c r="CF144" i="13"/>
  <c r="AF144" i="13"/>
  <c r="AA144" i="13"/>
  <c r="X144" i="13"/>
  <c r="S144" i="13"/>
  <c r="Q144" i="13"/>
  <c r="O144" i="13"/>
  <c r="I144" i="13"/>
  <c r="ER144" i="13" s="1"/>
  <c r="F144" i="13"/>
  <c r="EJ144" i="13" s="1"/>
  <c r="MG143" i="13"/>
  <c r="LZ143" i="13"/>
  <c r="KB143" i="13"/>
  <c r="KD143" i="13" s="1"/>
  <c r="JX143" i="13"/>
  <c r="JZ143" i="13" s="1"/>
  <c r="KA143" i="13" s="1"/>
  <c r="JT143" i="13"/>
  <c r="JV143" i="13" s="1"/>
  <c r="JP143" i="13"/>
  <c r="JR143" i="13" s="1"/>
  <c r="JS143" i="13" s="1"/>
  <c r="JB143" i="13"/>
  <c r="JD143" i="13" s="1"/>
  <c r="JE143" i="13" s="1"/>
  <c r="GK143" i="13"/>
  <c r="GM143" i="13" s="1"/>
  <c r="GG143" i="13"/>
  <c r="GI143" i="13" s="1"/>
  <c r="FY143" i="13"/>
  <c r="GA143" i="13" s="1"/>
  <c r="GB143" i="13" s="1"/>
  <c r="EL143" i="13"/>
  <c r="EM143" i="13" s="1"/>
  <c r="EK143" i="13"/>
  <c r="EO143" i="13" s="1"/>
  <c r="EJ143" i="13"/>
  <c r="EG143" i="13"/>
  <c r="EE143" i="13"/>
  <c r="EH143" i="13" s="1"/>
  <c r="EI143" i="13" s="1"/>
  <c r="ED143" i="13"/>
  <c r="EA143" i="13"/>
  <c r="DD143" i="13"/>
  <c r="DC143" i="13"/>
  <c r="CG143" i="13"/>
  <c r="CF143" i="13"/>
  <c r="AF143" i="13"/>
  <c r="AA143" i="13"/>
  <c r="X143" i="13"/>
  <c r="S143" i="13"/>
  <c r="Q143" i="13"/>
  <c r="O143" i="13"/>
  <c r="M143" i="13"/>
  <c r="I143" i="13"/>
  <c r="ER143" i="13" s="1"/>
  <c r="AH143" i="13" s="1"/>
  <c r="F143" i="13"/>
  <c r="MG142" i="13"/>
  <c r="LZ142" i="13"/>
  <c r="KB142" i="13"/>
  <c r="KD142" i="13" s="1"/>
  <c r="JX142" i="13"/>
  <c r="JZ142" i="13" s="1"/>
  <c r="KA142" i="13" s="1"/>
  <c r="JT142" i="13"/>
  <c r="JV142" i="13" s="1"/>
  <c r="JP142" i="13"/>
  <c r="JR142" i="13" s="1"/>
  <c r="JS142" i="13" s="1"/>
  <c r="JB142" i="13"/>
  <c r="JD142" i="13" s="1"/>
  <c r="JE142" i="13" s="1"/>
  <c r="GK142" i="13"/>
  <c r="GM142" i="13" s="1"/>
  <c r="GG142" i="13"/>
  <c r="GI142" i="13" s="1"/>
  <c r="GJ142" i="13" s="1"/>
  <c r="FY142" i="13"/>
  <c r="GA142" i="13" s="1"/>
  <c r="GB142" i="13" s="1"/>
  <c r="EL142" i="13"/>
  <c r="EM142" i="13" s="1"/>
  <c r="EK142" i="13"/>
  <c r="EO142" i="13" s="1"/>
  <c r="EG142" i="13"/>
  <c r="EE142" i="13"/>
  <c r="M142" i="13" s="1"/>
  <c r="ED142" i="13"/>
  <c r="EA142" i="13"/>
  <c r="DD142" i="13"/>
  <c r="DC142" i="13"/>
  <c r="CG142" i="13"/>
  <c r="CF142" i="13"/>
  <c r="AF142" i="13"/>
  <c r="AA142" i="13"/>
  <c r="X142" i="13"/>
  <c r="S142" i="13"/>
  <c r="Q142" i="13"/>
  <c r="O142" i="13"/>
  <c r="I142" i="13"/>
  <c r="ER142" i="13" s="1"/>
  <c r="AH142" i="13" s="1"/>
  <c r="F142" i="13"/>
  <c r="EJ142" i="13" s="1"/>
  <c r="AC142" i="13" s="1"/>
  <c r="MG141" i="13"/>
  <c r="LZ141" i="13"/>
  <c r="KB141" i="13"/>
  <c r="KD141" i="13" s="1"/>
  <c r="JX141" i="13"/>
  <c r="JZ141" i="13" s="1"/>
  <c r="KA141" i="13" s="1"/>
  <c r="JT141" i="13"/>
  <c r="JV141" i="13" s="1"/>
  <c r="JP141" i="13"/>
  <c r="JR141" i="13" s="1"/>
  <c r="JS141" i="13" s="1"/>
  <c r="JB141" i="13"/>
  <c r="JD141" i="13" s="1"/>
  <c r="JE141" i="13" s="1"/>
  <c r="GK141" i="13"/>
  <c r="GM141" i="13" s="1"/>
  <c r="GG141" i="13"/>
  <c r="GI141" i="13" s="1"/>
  <c r="GJ141" i="13" s="1"/>
  <c r="FY141" i="13"/>
  <c r="GA141" i="13" s="1"/>
  <c r="GB141" i="13" s="1"/>
  <c r="EL141" i="13"/>
  <c r="EM141" i="13" s="1"/>
  <c r="EK141" i="13"/>
  <c r="EO141" i="13" s="1"/>
  <c r="EG141" i="13"/>
  <c r="EE141" i="13"/>
  <c r="EH141" i="13" s="1"/>
  <c r="EI141" i="13" s="1"/>
  <c r="ED141" i="13"/>
  <c r="EA141" i="13"/>
  <c r="DD141" i="13"/>
  <c r="DC141" i="13"/>
  <c r="CG141" i="13"/>
  <c r="CF141" i="13"/>
  <c r="AM141" i="13"/>
  <c r="AF141" i="13"/>
  <c r="AA141" i="13"/>
  <c r="X141" i="13"/>
  <c r="S141" i="13"/>
  <c r="Q141" i="13"/>
  <c r="O141" i="13"/>
  <c r="I141" i="13"/>
  <c r="ER141" i="13" s="1"/>
  <c r="AH141" i="13" s="1"/>
  <c r="F141" i="13"/>
  <c r="EJ141" i="13" s="1"/>
  <c r="MG140" i="13"/>
  <c r="LZ140" i="13"/>
  <c r="KB140" i="13"/>
  <c r="KD140" i="13" s="1"/>
  <c r="JX140" i="13"/>
  <c r="JZ140" i="13" s="1"/>
  <c r="KA140" i="13" s="1"/>
  <c r="JT140" i="13"/>
  <c r="JV140" i="13" s="1"/>
  <c r="JP140" i="13"/>
  <c r="JR140" i="13" s="1"/>
  <c r="JS140" i="13" s="1"/>
  <c r="JB140" i="13"/>
  <c r="JD140" i="13" s="1"/>
  <c r="JE140" i="13" s="1"/>
  <c r="GK140" i="13"/>
  <c r="GM140" i="13" s="1"/>
  <c r="GG140" i="13"/>
  <c r="GI140" i="13" s="1"/>
  <c r="GJ140" i="13" s="1"/>
  <c r="FY140" i="13"/>
  <c r="GA140" i="13" s="1"/>
  <c r="GB140" i="13" s="1"/>
  <c r="EL140" i="13"/>
  <c r="EM140" i="13" s="1"/>
  <c r="EK140" i="13"/>
  <c r="EO140" i="13" s="1"/>
  <c r="EG140" i="13"/>
  <c r="EE140" i="13"/>
  <c r="AM140" i="13" s="1"/>
  <c r="ED140" i="13"/>
  <c r="EA140" i="13"/>
  <c r="DD140" i="13"/>
  <c r="DC140" i="13"/>
  <c r="CG140" i="13"/>
  <c r="CF140" i="13"/>
  <c r="AF140" i="13"/>
  <c r="AA140" i="13"/>
  <c r="X140" i="13"/>
  <c r="S140" i="13"/>
  <c r="Q140" i="13"/>
  <c r="O140" i="13"/>
  <c r="I140" i="13"/>
  <c r="ER140" i="13" s="1"/>
  <c r="F140" i="13"/>
  <c r="EJ140" i="13" s="1"/>
  <c r="MG139" i="13"/>
  <c r="LZ139" i="13"/>
  <c r="KB139" i="13"/>
  <c r="KD139" i="13" s="1"/>
  <c r="JX139" i="13"/>
  <c r="JZ139" i="13" s="1"/>
  <c r="KA139" i="13" s="1"/>
  <c r="JT139" i="13"/>
  <c r="JV139" i="13" s="1"/>
  <c r="JP139" i="13"/>
  <c r="JR139" i="13" s="1"/>
  <c r="JS139" i="13" s="1"/>
  <c r="JB139" i="13"/>
  <c r="JD139" i="13" s="1"/>
  <c r="JE139" i="13" s="1"/>
  <c r="GK139" i="13"/>
  <c r="GM139" i="13" s="1"/>
  <c r="GG139" i="13"/>
  <c r="GI139" i="13" s="1"/>
  <c r="GJ139" i="13" s="1"/>
  <c r="FY139" i="13"/>
  <c r="GA139" i="13" s="1"/>
  <c r="GB139" i="13" s="1"/>
  <c r="EL139" i="13"/>
  <c r="EM139" i="13" s="1"/>
  <c r="EK139" i="13"/>
  <c r="EO139" i="13" s="1"/>
  <c r="EG139" i="13"/>
  <c r="GT139" i="13" s="1"/>
  <c r="EE139" i="13"/>
  <c r="EH139" i="13" s="1"/>
  <c r="ED139" i="13"/>
  <c r="EA139" i="13"/>
  <c r="DD139" i="13"/>
  <c r="DC139" i="13"/>
  <c r="CG139" i="13"/>
  <c r="CF139" i="13"/>
  <c r="AF139" i="13"/>
  <c r="AA139" i="13"/>
  <c r="X139" i="13"/>
  <c r="S139" i="13"/>
  <c r="Q139" i="13"/>
  <c r="O139" i="13"/>
  <c r="I139" i="13"/>
  <c r="ER139" i="13" s="1"/>
  <c r="F139" i="13"/>
  <c r="EJ139" i="13" s="1"/>
  <c r="MG138" i="13"/>
  <c r="LZ138" i="13"/>
  <c r="KB138" i="13"/>
  <c r="KD138" i="13" s="1"/>
  <c r="JX138" i="13"/>
  <c r="JZ138" i="13" s="1"/>
  <c r="KA138" i="13" s="1"/>
  <c r="JT138" i="13"/>
  <c r="JV138" i="13" s="1"/>
  <c r="JP138" i="13"/>
  <c r="JR138" i="13" s="1"/>
  <c r="JS138" i="13" s="1"/>
  <c r="JB138" i="13"/>
  <c r="JD138" i="13" s="1"/>
  <c r="JE138" i="13" s="1"/>
  <c r="GM138" i="13"/>
  <c r="GK138" i="13"/>
  <c r="GG138" i="13"/>
  <c r="GI138" i="13" s="1"/>
  <c r="FY138" i="13"/>
  <c r="GA138" i="13" s="1"/>
  <c r="GB138" i="13" s="1"/>
  <c r="EL138" i="13"/>
  <c r="EM138" i="13" s="1"/>
  <c r="EK138" i="13"/>
  <c r="EG138" i="13"/>
  <c r="GT138" i="13" s="1"/>
  <c r="EE138" i="13"/>
  <c r="AM138" i="13" s="1"/>
  <c r="ED138" i="13"/>
  <c r="EA138" i="13"/>
  <c r="DD138" i="13"/>
  <c r="DC138" i="13"/>
  <c r="CG138" i="13"/>
  <c r="CF138" i="13"/>
  <c r="AF138" i="13"/>
  <c r="AA138" i="13"/>
  <c r="X138" i="13"/>
  <c r="S138" i="13"/>
  <c r="Q138" i="13"/>
  <c r="O138" i="13"/>
  <c r="I138" i="13"/>
  <c r="ER138" i="13" s="1"/>
  <c r="F138" i="13"/>
  <c r="EJ138" i="13" s="1"/>
  <c r="AC138" i="13" s="1"/>
  <c r="MG137" i="13"/>
  <c r="LZ137" i="13"/>
  <c r="KB137" i="13"/>
  <c r="KD137" i="13" s="1"/>
  <c r="JX137" i="13"/>
  <c r="JZ137" i="13" s="1"/>
  <c r="KA137" i="13" s="1"/>
  <c r="JT137" i="13"/>
  <c r="JV137" i="13" s="1"/>
  <c r="JP137" i="13"/>
  <c r="JR137" i="13" s="1"/>
  <c r="JS137" i="13" s="1"/>
  <c r="JB137" i="13"/>
  <c r="JD137" i="13" s="1"/>
  <c r="JE137" i="13" s="1"/>
  <c r="GK137" i="13"/>
  <c r="GM137" i="13" s="1"/>
  <c r="GG137" i="13"/>
  <c r="GI137" i="13" s="1"/>
  <c r="GJ137" i="13" s="1"/>
  <c r="FY137" i="13"/>
  <c r="GA137" i="13" s="1"/>
  <c r="GB137" i="13" s="1"/>
  <c r="EL137" i="13"/>
  <c r="EM137" i="13" s="1"/>
  <c r="EK137" i="13"/>
  <c r="EO137" i="13" s="1"/>
  <c r="ES137" i="13" s="1"/>
  <c r="EG137" i="13"/>
  <c r="EE137" i="13"/>
  <c r="GT137" i="13" s="1"/>
  <c r="ED137" i="13"/>
  <c r="EA137" i="13"/>
  <c r="DD137" i="13"/>
  <c r="DC137" i="13"/>
  <c r="CG137" i="13"/>
  <c r="CF137" i="13"/>
  <c r="AF137" i="13"/>
  <c r="AA137" i="13"/>
  <c r="X137" i="13"/>
  <c r="S137" i="13"/>
  <c r="Q137" i="13"/>
  <c r="O137" i="13"/>
  <c r="I137" i="13"/>
  <c r="ER137" i="13" s="1"/>
  <c r="F137" i="13"/>
  <c r="EJ137" i="13" s="1"/>
  <c r="MG136" i="13"/>
  <c r="LZ136" i="13"/>
  <c r="KB136" i="13"/>
  <c r="KD136" i="13" s="1"/>
  <c r="JX136" i="13"/>
  <c r="JZ136" i="13" s="1"/>
  <c r="KA136" i="13" s="1"/>
  <c r="JT136" i="13"/>
  <c r="JV136" i="13" s="1"/>
  <c r="JP136" i="13"/>
  <c r="JR136" i="13" s="1"/>
  <c r="JS136" i="13" s="1"/>
  <c r="JB136" i="13"/>
  <c r="JD136" i="13" s="1"/>
  <c r="JE136" i="13" s="1"/>
  <c r="GK136" i="13"/>
  <c r="GM136" i="13" s="1"/>
  <c r="GG136" i="13"/>
  <c r="GI136" i="13" s="1"/>
  <c r="GJ136" i="13" s="1"/>
  <c r="FY136" i="13"/>
  <c r="GA136" i="13" s="1"/>
  <c r="GB136" i="13" s="1"/>
  <c r="EL136" i="13"/>
  <c r="EM136" i="13" s="1"/>
  <c r="EK136" i="13"/>
  <c r="EO136" i="13" s="1"/>
  <c r="ES136" i="13" s="1"/>
  <c r="IS136" i="13" s="1"/>
  <c r="IU136" i="13" s="1"/>
  <c r="EG136" i="13"/>
  <c r="EE136" i="13"/>
  <c r="M136" i="13" s="1"/>
  <c r="ED136" i="13"/>
  <c r="EA136" i="13"/>
  <c r="DD136" i="13"/>
  <c r="DC136" i="13"/>
  <c r="CG136" i="13"/>
  <c r="CF136" i="13"/>
  <c r="AM136" i="13"/>
  <c r="AF136" i="13"/>
  <c r="AA136" i="13"/>
  <c r="X136" i="13"/>
  <c r="S136" i="13"/>
  <c r="Q136" i="13"/>
  <c r="O136" i="13"/>
  <c r="I136" i="13"/>
  <c r="ER136" i="13" s="1"/>
  <c r="AH136" i="13" s="1"/>
  <c r="F136" i="13"/>
  <c r="EJ136" i="13" s="1"/>
  <c r="MG135" i="13"/>
  <c r="LZ135" i="13"/>
  <c r="KB135" i="13"/>
  <c r="KD135" i="13" s="1"/>
  <c r="JX135" i="13"/>
  <c r="JZ135" i="13" s="1"/>
  <c r="KA135" i="13" s="1"/>
  <c r="JT135" i="13"/>
  <c r="JV135" i="13" s="1"/>
  <c r="JP135" i="13"/>
  <c r="JR135" i="13" s="1"/>
  <c r="JS135" i="13" s="1"/>
  <c r="JB135" i="13"/>
  <c r="JD135" i="13" s="1"/>
  <c r="JE135" i="13" s="1"/>
  <c r="GK135" i="13"/>
  <c r="GM135" i="13" s="1"/>
  <c r="GG135" i="13"/>
  <c r="GI135" i="13" s="1"/>
  <c r="GJ135" i="13" s="1"/>
  <c r="FY135" i="13"/>
  <c r="GA135" i="13" s="1"/>
  <c r="GB135" i="13" s="1"/>
  <c r="EL135" i="13"/>
  <c r="EM135" i="13" s="1"/>
  <c r="EK135" i="13"/>
  <c r="EO135" i="13" s="1"/>
  <c r="EG135" i="13"/>
  <c r="EE135" i="13"/>
  <c r="EH135" i="13" s="1"/>
  <c r="ED135" i="13"/>
  <c r="EA135" i="13"/>
  <c r="DD135" i="13"/>
  <c r="DC135" i="13"/>
  <c r="CG135" i="13"/>
  <c r="CF135" i="13"/>
  <c r="AF135" i="13"/>
  <c r="AA135" i="13"/>
  <c r="X135" i="13"/>
  <c r="S135" i="13"/>
  <c r="Q135" i="13"/>
  <c r="O135" i="13"/>
  <c r="M135" i="13"/>
  <c r="I135" i="13"/>
  <c r="ER135" i="13" s="1"/>
  <c r="F135" i="13"/>
  <c r="EJ135" i="13" s="1"/>
  <c r="MG134" i="13"/>
  <c r="LZ134" i="13"/>
  <c r="KB134" i="13"/>
  <c r="KD134" i="13" s="1"/>
  <c r="JX134" i="13"/>
  <c r="JZ134" i="13" s="1"/>
  <c r="KA134" i="13" s="1"/>
  <c r="JT134" i="13"/>
  <c r="JV134" i="13" s="1"/>
  <c r="JP134" i="13"/>
  <c r="JR134" i="13" s="1"/>
  <c r="JS134" i="13" s="1"/>
  <c r="JB134" i="13"/>
  <c r="JD134" i="13" s="1"/>
  <c r="JE134" i="13" s="1"/>
  <c r="GK134" i="13"/>
  <c r="GM134" i="13" s="1"/>
  <c r="GG134" i="13"/>
  <c r="GI134" i="13" s="1"/>
  <c r="GJ134" i="13" s="1"/>
  <c r="FY134" i="13"/>
  <c r="GA134" i="13" s="1"/>
  <c r="GB134" i="13" s="1"/>
  <c r="EL134" i="13"/>
  <c r="EM134" i="13" s="1"/>
  <c r="EK134" i="13"/>
  <c r="EO134" i="13" s="1"/>
  <c r="EG134" i="13"/>
  <c r="EE134" i="13"/>
  <c r="AM134" i="13" s="1"/>
  <c r="ED134" i="13"/>
  <c r="EA134" i="13"/>
  <c r="DD134" i="13"/>
  <c r="DC134" i="13"/>
  <c r="CG134" i="13"/>
  <c r="CF134" i="13"/>
  <c r="AF134" i="13"/>
  <c r="AA134" i="13"/>
  <c r="X134" i="13"/>
  <c r="S134" i="13"/>
  <c r="Q134" i="13"/>
  <c r="O134" i="13"/>
  <c r="I134" i="13"/>
  <c r="ER134" i="13" s="1"/>
  <c r="F134" i="13"/>
  <c r="EJ134" i="13" s="1"/>
  <c r="MG133" i="13"/>
  <c r="LZ133" i="13"/>
  <c r="KB133" i="13"/>
  <c r="KD133" i="13" s="1"/>
  <c r="JX133" i="13"/>
  <c r="JZ133" i="13" s="1"/>
  <c r="KA133" i="13" s="1"/>
  <c r="JT133" i="13"/>
  <c r="JV133" i="13" s="1"/>
  <c r="JP133" i="13"/>
  <c r="JR133" i="13" s="1"/>
  <c r="JS133" i="13" s="1"/>
  <c r="JB133" i="13"/>
  <c r="JD133" i="13" s="1"/>
  <c r="JE133" i="13" s="1"/>
  <c r="GK133" i="13"/>
  <c r="GM133" i="13" s="1"/>
  <c r="GG133" i="13"/>
  <c r="GI133" i="13" s="1"/>
  <c r="GJ133" i="13" s="1"/>
  <c r="FY133" i="13"/>
  <c r="GA133" i="13" s="1"/>
  <c r="GB133" i="13" s="1"/>
  <c r="EL133" i="13"/>
  <c r="EM133" i="13" s="1"/>
  <c r="EK133" i="13"/>
  <c r="EO133" i="13" s="1"/>
  <c r="EG133" i="13"/>
  <c r="EE133" i="13"/>
  <c r="AM133" i="13" s="1"/>
  <c r="ED133" i="13"/>
  <c r="EA133" i="13"/>
  <c r="DD133" i="13"/>
  <c r="DC133" i="13"/>
  <c r="CG133" i="13"/>
  <c r="CF133" i="13"/>
  <c r="AF133" i="13"/>
  <c r="AA133" i="13"/>
  <c r="X133" i="13"/>
  <c r="S133" i="13"/>
  <c r="Q133" i="13"/>
  <c r="O133" i="13"/>
  <c r="I133" i="13"/>
  <c r="ER133" i="13" s="1"/>
  <c r="F133" i="13"/>
  <c r="EJ133" i="13" s="1"/>
  <c r="MG132" i="13"/>
  <c r="LZ132" i="13"/>
  <c r="KB132" i="13"/>
  <c r="KD132" i="13" s="1"/>
  <c r="JX132" i="13"/>
  <c r="JZ132" i="13" s="1"/>
  <c r="KA132" i="13" s="1"/>
  <c r="JT132" i="13"/>
  <c r="JV132" i="13" s="1"/>
  <c r="JP132" i="13"/>
  <c r="JR132" i="13" s="1"/>
  <c r="JS132" i="13" s="1"/>
  <c r="JB132" i="13"/>
  <c r="JD132" i="13" s="1"/>
  <c r="JE132" i="13" s="1"/>
  <c r="GK132" i="13"/>
  <c r="GM132" i="13" s="1"/>
  <c r="GG132" i="13"/>
  <c r="GI132" i="13" s="1"/>
  <c r="GJ132" i="13" s="1"/>
  <c r="FY132" i="13"/>
  <c r="GA132" i="13" s="1"/>
  <c r="GB132" i="13" s="1"/>
  <c r="EM132" i="13"/>
  <c r="N132" i="13" s="1"/>
  <c r="EL132" i="13"/>
  <c r="EK132" i="13"/>
  <c r="EO132" i="13" s="1"/>
  <c r="EG132" i="13"/>
  <c r="EE132" i="13"/>
  <c r="M132" i="13" s="1"/>
  <c r="ED132" i="13"/>
  <c r="EA132" i="13"/>
  <c r="DD132" i="13"/>
  <c r="DC132" i="13"/>
  <c r="CG132" i="13"/>
  <c r="CF132" i="13"/>
  <c r="AF132" i="13"/>
  <c r="AA132" i="13"/>
  <c r="X132" i="13"/>
  <c r="S132" i="13"/>
  <c r="Q132" i="13"/>
  <c r="O132" i="13"/>
  <c r="I132" i="13"/>
  <c r="ER132" i="13" s="1"/>
  <c r="F132" i="13"/>
  <c r="EJ132" i="13" s="1"/>
  <c r="MG131" i="13"/>
  <c r="LZ131" i="13"/>
  <c r="KB131" i="13"/>
  <c r="KD131" i="13" s="1"/>
  <c r="JX131" i="13"/>
  <c r="JZ131" i="13" s="1"/>
  <c r="KA131" i="13" s="1"/>
  <c r="JT131" i="13"/>
  <c r="JV131" i="13" s="1"/>
  <c r="JP131" i="13"/>
  <c r="JR131" i="13" s="1"/>
  <c r="JS131" i="13" s="1"/>
  <c r="JB131" i="13"/>
  <c r="JD131" i="13" s="1"/>
  <c r="JE131" i="13" s="1"/>
  <c r="GK131" i="13"/>
  <c r="GM131" i="13" s="1"/>
  <c r="GG131" i="13"/>
  <c r="GI131" i="13" s="1"/>
  <c r="GJ131" i="13" s="1"/>
  <c r="FY131" i="13"/>
  <c r="GA131" i="13" s="1"/>
  <c r="GB131" i="13" s="1"/>
  <c r="EL131" i="13"/>
  <c r="EM131" i="13" s="1"/>
  <c r="EP131" i="13" s="1"/>
  <c r="EQ131" i="13" s="1"/>
  <c r="EK131" i="13"/>
  <c r="EO131" i="13" s="1"/>
  <c r="EG131" i="13"/>
  <c r="EE131" i="13"/>
  <c r="AM131" i="13" s="1"/>
  <c r="ED131" i="13"/>
  <c r="EA131" i="13"/>
  <c r="DD131" i="13"/>
  <c r="DC131" i="13"/>
  <c r="CG131" i="13"/>
  <c r="CF131" i="13"/>
  <c r="AF131" i="13"/>
  <c r="AA131" i="13"/>
  <c r="X131" i="13"/>
  <c r="S131" i="13"/>
  <c r="Q131" i="13"/>
  <c r="O131" i="13"/>
  <c r="I131" i="13"/>
  <c r="ER131" i="13" s="1"/>
  <c r="AH131" i="13" s="1"/>
  <c r="F131" i="13"/>
  <c r="EJ131" i="13" s="1"/>
  <c r="MG130" i="13"/>
  <c r="LZ130" i="13"/>
  <c r="KB130" i="13"/>
  <c r="KD130" i="13" s="1"/>
  <c r="JX130" i="13"/>
  <c r="JZ130" i="13" s="1"/>
  <c r="KA130" i="13" s="1"/>
  <c r="JT130" i="13"/>
  <c r="JV130" i="13" s="1"/>
  <c r="JP130" i="13"/>
  <c r="JR130" i="13" s="1"/>
  <c r="JS130" i="13" s="1"/>
  <c r="JB130" i="13"/>
  <c r="JD130" i="13" s="1"/>
  <c r="JE130" i="13" s="1"/>
  <c r="GK130" i="13"/>
  <c r="GM130" i="13" s="1"/>
  <c r="GG130" i="13"/>
  <c r="GI130" i="13" s="1"/>
  <c r="GJ130" i="13" s="1"/>
  <c r="FY130" i="13"/>
  <c r="GA130" i="13" s="1"/>
  <c r="GB130" i="13" s="1"/>
  <c r="EO130" i="13"/>
  <c r="EL130" i="13"/>
  <c r="EM130" i="13" s="1"/>
  <c r="EP130" i="13" s="1"/>
  <c r="EK130" i="13"/>
  <c r="EG130" i="13"/>
  <c r="EE130" i="13"/>
  <c r="M130" i="13" s="1"/>
  <c r="ED130" i="13"/>
  <c r="EA130" i="13"/>
  <c r="DD130" i="13"/>
  <c r="DC130" i="13"/>
  <c r="CG130" i="13"/>
  <c r="CF130" i="13"/>
  <c r="AF130" i="13"/>
  <c r="AA130" i="13"/>
  <c r="X130" i="13"/>
  <c r="S130" i="13"/>
  <c r="Q130" i="13"/>
  <c r="O130" i="13"/>
  <c r="I130" i="13"/>
  <c r="ER130" i="13" s="1"/>
  <c r="F130" i="13"/>
  <c r="EJ130" i="13" s="1"/>
  <c r="AC130" i="13" s="1"/>
  <c r="MG129" i="13"/>
  <c r="LZ129" i="13"/>
  <c r="KB129" i="13"/>
  <c r="KD129" i="13" s="1"/>
  <c r="JX129" i="13"/>
  <c r="JZ129" i="13" s="1"/>
  <c r="KA129" i="13" s="1"/>
  <c r="JT129" i="13"/>
  <c r="JV129" i="13" s="1"/>
  <c r="JP129" i="13"/>
  <c r="JR129" i="13" s="1"/>
  <c r="JS129" i="13" s="1"/>
  <c r="JB129" i="13"/>
  <c r="JD129" i="13" s="1"/>
  <c r="JE129" i="13" s="1"/>
  <c r="GK129" i="13"/>
  <c r="GM129" i="13" s="1"/>
  <c r="GG129" i="13"/>
  <c r="GI129" i="13" s="1"/>
  <c r="GJ129" i="13" s="1"/>
  <c r="FY129" i="13"/>
  <c r="GA129" i="13" s="1"/>
  <c r="GB129" i="13" s="1"/>
  <c r="EL129" i="13"/>
  <c r="EM129" i="13" s="1"/>
  <c r="EP129" i="13" s="1"/>
  <c r="EK129" i="13"/>
  <c r="EO129" i="13" s="1"/>
  <c r="EG129" i="13"/>
  <c r="EE129" i="13"/>
  <c r="EH129" i="13" s="1"/>
  <c r="ED129" i="13"/>
  <c r="EA129" i="13"/>
  <c r="DD129" i="13"/>
  <c r="DC129" i="13"/>
  <c r="CG129" i="13"/>
  <c r="CF129" i="13"/>
  <c r="AF129" i="13"/>
  <c r="AA129" i="13"/>
  <c r="X129" i="13"/>
  <c r="S129" i="13"/>
  <c r="Q129" i="13"/>
  <c r="O129" i="13"/>
  <c r="I129" i="13"/>
  <c r="ER129" i="13" s="1"/>
  <c r="F129" i="13"/>
  <c r="EJ129" i="13" s="1"/>
  <c r="MG128" i="13"/>
  <c r="LZ128" i="13"/>
  <c r="KB128" i="13"/>
  <c r="KD128" i="13" s="1"/>
  <c r="JX128" i="13"/>
  <c r="JZ128" i="13" s="1"/>
  <c r="KA128" i="13" s="1"/>
  <c r="JT128" i="13"/>
  <c r="JV128" i="13" s="1"/>
  <c r="JP128" i="13"/>
  <c r="JR128" i="13" s="1"/>
  <c r="JS128" i="13" s="1"/>
  <c r="JB128" i="13"/>
  <c r="JD128" i="13" s="1"/>
  <c r="JE128" i="13" s="1"/>
  <c r="GK128" i="13"/>
  <c r="GM128" i="13" s="1"/>
  <c r="GG128" i="13"/>
  <c r="GI128" i="13" s="1"/>
  <c r="GJ128" i="13" s="1"/>
  <c r="FY128" i="13"/>
  <c r="GA128" i="13" s="1"/>
  <c r="GB128" i="13" s="1"/>
  <c r="EL128" i="13"/>
  <c r="EM128" i="13" s="1"/>
  <c r="EK128" i="13"/>
  <c r="EG128" i="13"/>
  <c r="GT128" i="13" s="1"/>
  <c r="EE128" i="13"/>
  <c r="M128" i="13" s="1"/>
  <c r="ED128" i="13"/>
  <c r="EA128" i="13"/>
  <c r="DD128" i="13"/>
  <c r="DC128" i="13"/>
  <c r="CG128" i="13"/>
  <c r="CF128" i="13"/>
  <c r="AF128" i="13"/>
  <c r="AA128" i="13"/>
  <c r="X128" i="13"/>
  <c r="S128" i="13"/>
  <c r="Q128" i="13"/>
  <c r="O128" i="13"/>
  <c r="I128" i="13"/>
  <c r="ER128" i="13" s="1"/>
  <c r="F128" i="13"/>
  <c r="EJ128" i="13" s="1"/>
  <c r="MG127" i="13"/>
  <c r="LZ127" i="13"/>
  <c r="KB127" i="13"/>
  <c r="KD127" i="13" s="1"/>
  <c r="JX127" i="13"/>
  <c r="JZ127" i="13" s="1"/>
  <c r="KA127" i="13" s="1"/>
  <c r="JT127" i="13"/>
  <c r="JV127" i="13" s="1"/>
  <c r="JP127" i="13"/>
  <c r="JR127" i="13" s="1"/>
  <c r="JS127" i="13" s="1"/>
  <c r="JB127" i="13"/>
  <c r="JD127" i="13" s="1"/>
  <c r="JE127" i="13" s="1"/>
  <c r="GK127" i="13"/>
  <c r="GM127" i="13" s="1"/>
  <c r="GG127" i="13"/>
  <c r="GI127" i="13" s="1"/>
  <c r="GJ127" i="13" s="1"/>
  <c r="FY127" i="13"/>
  <c r="GA127" i="13" s="1"/>
  <c r="GB127" i="13" s="1"/>
  <c r="EL127" i="13"/>
  <c r="EM127" i="13" s="1"/>
  <c r="EK127" i="13"/>
  <c r="EG127" i="13"/>
  <c r="EE127" i="13"/>
  <c r="M127" i="13" s="1"/>
  <c r="ED127" i="13"/>
  <c r="EA127" i="13"/>
  <c r="DD127" i="13"/>
  <c r="DC127" i="13"/>
  <c r="CG127" i="13"/>
  <c r="CF127" i="13"/>
  <c r="AF127" i="13"/>
  <c r="AA127" i="13"/>
  <c r="X127" i="13"/>
  <c r="S127" i="13"/>
  <c r="Q127" i="13"/>
  <c r="O127" i="13"/>
  <c r="I127" i="13"/>
  <c r="ER127" i="13" s="1"/>
  <c r="F127" i="13"/>
  <c r="EJ127" i="13" s="1"/>
  <c r="MG126" i="13"/>
  <c r="LZ126" i="13"/>
  <c r="KB126" i="13"/>
  <c r="KD126" i="13" s="1"/>
  <c r="JX126" i="13"/>
  <c r="JZ126" i="13" s="1"/>
  <c r="KA126" i="13" s="1"/>
  <c r="JT126" i="13"/>
  <c r="JV126" i="13" s="1"/>
  <c r="JP126" i="13"/>
  <c r="JR126" i="13" s="1"/>
  <c r="JS126" i="13" s="1"/>
  <c r="JB126" i="13"/>
  <c r="JD126" i="13" s="1"/>
  <c r="JE126" i="13" s="1"/>
  <c r="GK126" i="13"/>
  <c r="GM126" i="13" s="1"/>
  <c r="GG126" i="13"/>
  <c r="GI126" i="13" s="1"/>
  <c r="GJ126" i="13" s="1"/>
  <c r="FY126" i="13"/>
  <c r="GA126" i="13" s="1"/>
  <c r="GB126" i="13" s="1"/>
  <c r="EL126" i="13"/>
  <c r="EM126" i="13" s="1"/>
  <c r="EP126" i="13" s="1"/>
  <c r="EK126" i="13"/>
  <c r="EO126" i="13" s="1"/>
  <c r="EG126" i="13"/>
  <c r="GT126" i="13" s="1"/>
  <c r="EE126" i="13"/>
  <c r="ED126" i="13"/>
  <c r="EA126" i="13"/>
  <c r="DD126" i="13"/>
  <c r="DC126" i="13"/>
  <c r="CG126" i="13"/>
  <c r="CF126" i="13"/>
  <c r="AF126" i="13"/>
  <c r="AA126" i="13"/>
  <c r="X126" i="13"/>
  <c r="S126" i="13"/>
  <c r="Q126" i="13"/>
  <c r="O126" i="13"/>
  <c r="I126" i="13"/>
  <c r="ER126" i="13" s="1"/>
  <c r="F126" i="13"/>
  <c r="EJ126" i="13" s="1"/>
  <c r="MG125" i="13"/>
  <c r="LZ125" i="13"/>
  <c r="KB125" i="13"/>
  <c r="KD125" i="13" s="1"/>
  <c r="JX125" i="13"/>
  <c r="JZ125" i="13" s="1"/>
  <c r="KA125" i="13" s="1"/>
  <c r="JT125" i="13"/>
  <c r="JV125" i="13" s="1"/>
  <c r="JP125" i="13"/>
  <c r="JR125" i="13" s="1"/>
  <c r="JS125" i="13" s="1"/>
  <c r="JB125" i="13"/>
  <c r="JD125" i="13" s="1"/>
  <c r="JE125" i="13" s="1"/>
  <c r="GK125" i="13"/>
  <c r="GM125" i="13" s="1"/>
  <c r="GG125" i="13"/>
  <c r="GI125" i="13" s="1"/>
  <c r="GJ125" i="13" s="1"/>
  <c r="FY125" i="13"/>
  <c r="GA125" i="13" s="1"/>
  <c r="GB125" i="13" s="1"/>
  <c r="EL125" i="13"/>
  <c r="EM125" i="13" s="1"/>
  <c r="EK125" i="13"/>
  <c r="EO125" i="13" s="1"/>
  <c r="ES125" i="13" s="1"/>
  <c r="EJ125" i="13"/>
  <c r="AC125" i="13" s="1"/>
  <c r="EG125" i="13"/>
  <c r="EE125" i="13"/>
  <c r="EH125" i="13" s="1"/>
  <c r="EI125" i="13" s="1"/>
  <c r="ED125" i="13"/>
  <c r="EA125" i="13"/>
  <c r="DD125" i="13"/>
  <c r="DC125" i="13"/>
  <c r="CG125" i="13"/>
  <c r="CF125" i="13"/>
  <c r="AF125" i="13"/>
  <c r="AA125" i="13"/>
  <c r="X125" i="13"/>
  <c r="S125" i="13"/>
  <c r="Q125" i="13"/>
  <c r="O125" i="13"/>
  <c r="I125" i="13"/>
  <c r="ER125" i="13" s="1"/>
  <c r="F125" i="13"/>
  <c r="MG124" i="13"/>
  <c r="LZ124" i="13"/>
  <c r="KB124" i="13"/>
  <c r="KD124" i="13" s="1"/>
  <c r="JX124" i="13"/>
  <c r="JZ124" i="13" s="1"/>
  <c r="KA124" i="13" s="1"/>
  <c r="JT124" i="13"/>
  <c r="JV124" i="13" s="1"/>
  <c r="JP124" i="13"/>
  <c r="JR124" i="13" s="1"/>
  <c r="JS124" i="13" s="1"/>
  <c r="JB124" i="13"/>
  <c r="JD124" i="13" s="1"/>
  <c r="JE124" i="13" s="1"/>
  <c r="GM124" i="13"/>
  <c r="GK124" i="13"/>
  <c r="GG124" i="13"/>
  <c r="GI124" i="13" s="1"/>
  <c r="GJ124" i="13" s="1"/>
  <c r="FY124" i="13"/>
  <c r="GA124" i="13" s="1"/>
  <c r="GB124" i="13" s="1"/>
  <c r="EL124" i="13"/>
  <c r="EM124" i="13" s="1"/>
  <c r="EK124" i="13"/>
  <c r="EO124" i="13" s="1"/>
  <c r="EG124" i="13"/>
  <c r="EE124" i="13"/>
  <c r="EH124" i="13" s="1"/>
  <c r="EF124" i="13" s="1"/>
  <c r="ED124" i="13"/>
  <c r="EA124" i="13"/>
  <c r="DD124" i="13"/>
  <c r="DC124" i="13"/>
  <c r="CG124" i="13"/>
  <c r="CF124" i="13"/>
  <c r="AF124" i="13"/>
  <c r="AA124" i="13"/>
  <c r="X124" i="13"/>
  <c r="S124" i="13"/>
  <c r="Q124" i="13"/>
  <c r="O124" i="13"/>
  <c r="I124" i="13"/>
  <c r="ER124" i="13" s="1"/>
  <c r="AH124" i="13" s="1"/>
  <c r="F124" i="13"/>
  <c r="EJ124" i="13" s="1"/>
  <c r="MG123" i="13"/>
  <c r="LZ123" i="13"/>
  <c r="KB123" i="13"/>
  <c r="KD123" i="13" s="1"/>
  <c r="JX123" i="13"/>
  <c r="JZ123" i="13" s="1"/>
  <c r="KA123" i="13" s="1"/>
  <c r="JT123" i="13"/>
  <c r="JV123" i="13" s="1"/>
  <c r="JP123" i="13"/>
  <c r="JR123" i="13" s="1"/>
  <c r="JS123" i="13" s="1"/>
  <c r="JB123" i="13"/>
  <c r="JD123" i="13" s="1"/>
  <c r="JE123" i="13" s="1"/>
  <c r="GT123" i="13"/>
  <c r="GK123" i="13"/>
  <c r="GM123" i="13" s="1"/>
  <c r="GG123" i="13"/>
  <c r="GI123" i="13" s="1"/>
  <c r="GJ123" i="13" s="1"/>
  <c r="FY123" i="13"/>
  <c r="GA123" i="13" s="1"/>
  <c r="GB123" i="13" s="1"/>
  <c r="EL123" i="13"/>
  <c r="EM123" i="13" s="1"/>
  <c r="EK123" i="13"/>
  <c r="EO123" i="13" s="1"/>
  <c r="EG123" i="13"/>
  <c r="EE123" i="13"/>
  <c r="M123" i="13" s="1"/>
  <c r="ED123" i="13"/>
  <c r="EA123" i="13"/>
  <c r="DD123" i="13"/>
  <c r="DC123" i="13"/>
  <c r="CG123" i="13"/>
  <c r="CF123" i="13"/>
  <c r="AF123" i="13"/>
  <c r="AA123" i="13"/>
  <c r="X123" i="13"/>
  <c r="S123" i="13"/>
  <c r="Q123" i="13"/>
  <c r="O123" i="13"/>
  <c r="I123" i="13"/>
  <c r="ER123" i="13" s="1"/>
  <c r="F123" i="13"/>
  <c r="EJ123" i="13" s="1"/>
  <c r="MG122" i="13"/>
  <c r="LZ122" i="13"/>
  <c r="KB122" i="13"/>
  <c r="KD122" i="13" s="1"/>
  <c r="JX122" i="13"/>
  <c r="JZ122" i="13" s="1"/>
  <c r="KA122" i="13" s="1"/>
  <c r="JT122" i="13"/>
  <c r="JV122" i="13" s="1"/>
  <c r="JP122" i="13"/>
  <c r="JR122" i="13" s="1"/>
  <c r="JS122" i="13" s="1"/>
  <c r="JB122" i="13"/>
  <c r="JD122" i="13" s="1"/>
  <c r="JE122" i="13" s="1"/>
  <c r="GK122" i="13"/>
  <c r="GM122" i="13" s="1"/>
  <c r="GI122" i="13"/>
  <c r="GJ122" i="13" s="1"/>
  <c r="GG122" i="13"/>
  <c r="FY122" i="13"/>
  <c r="GA122" i="13" s="1"/>
  <c r="GB122" i="13" s="1"/>
  <c r="EL122" i="13"/>
  <c r="EM122" i="13" s="1"/>
  <c r="EK122" i="13"/>
  <c r="EO122" i="13" s="1"/>
  <c r="EJ122" i="13"/>
  <c r="EG122" i="13"/>
  <c r="EE122" i="13"/>
  <c r="EH122" i="13" s="1"/>
  <c r="EI122" i="13" s="1"/>
  <c r="ED122" i="13"/>
  <c r="EA122" i="13"/>
  <c r="DD122" i="13"/>
  <c r="DC122" i="13"/>
  <c r="CG122" i="13"/>
  <c r="CF122" i="13"/>
  <c r="AM122" i="13"/>
  <c r="AF122" i="13"/>
  <c r="AC122" i="13"/>
  <c r="AA122" i="13"/>
  <c r="X122" i="13"/>
  <c r="S122" i="13"/>
  <c r="Q122" i="13"/>
  <c r="O122" i="13"/>
  <c r="I122" i="13"/>
  <c r="ER122" i="13" s="1"/>
  <c r="F122" i="13"/>
  <c r="MG121" i="13"/>
  <c r="LZ121" i="13"/>
  <c r="KB121" i="13"/>
  <c r="KD121" i="13" s="1"/>
  <c r="JX121" i="13"/>
  <c r="JZ121" i="13" s="1"/>
  <c r="KA121" i="13" s="1"/>
  <c r="JT121" i="13"/>
  <c r="JV121" i="13" s="1"/>
  <c r="JP121" i="13"/>
  <c r="JR121" i="13" s="1"/>
  <c r="JS121" i="13" s="1"/>
  <c r="JB121" i="13"/>
  <c r="JD121" i="13" s="1"/>
  <c r="JE121" i="13" s="1"/>
  <c r="GK121" i="13"/>
  <c r="GM121" i="13" s="1"/>
  <c r="GG121" i="13"/>
  <c r="GI121" i="13" s="1"/>
  <c r="GJ121" i="13" s="1"/>
  <c r="FY121" i="13"/>
  <c r="GA121" i="13" s="1"/>
  <c r="GB121" i="13" s="1"/>
  <c r="EL121" i="13"/>
  <c r="EM121" i="13" s="1"/>
  <c r="EK121" i="13"/>
  <c r="EO121" i="13" s="1"/>
  <c r="EJ121" i="13"/>
  <c r="EG121" i="13"/>
  <c r="GT121" i="13" s="1"/>
  <c r="EE121" i="13"/>
  <c r="EH121" i="13" s="1"/>
  <c r="ED121" i="13"/>
  <c r="EA121" i="13"/>
  <c r="DD121" i="13"/>
  <c r="DC121" i="13"/>
  <c r="CG121" i="13"/>
  <c r="CF121" i="13"/>
  <c r="AF121" i="13"/>
  <c r="AA121" i="13"/>
  <c r="X121" i="13"/>
  <c r="S121" i="13"/>
  <c r="Q121" i="13"/>
  <c r="O121" i="13"/>
  <c r="I121" i="13"/>
  <c r="ER121" i="13" s="1"/>
  <c r="AH121" i="13" s="1"/>
  <c r="F121" i="13"/>
  <c r="MG120" i="13"/>
  <c r="LZ120" i="13"/>
  <c r="KB120" i="13"/>
  <c r="KD120" i="13" s="1"/>
  <c r="JX120" i="13"/>
  <c r="JZ120" i="13" s="1"/>
  <c r="JT120" i="13"/>
  <c r="JV120" i="13" s="1"/>
  <c r="JP120" i="13"/>
  <c r="JR120" i="13" s="1"/>
  <c r="JS120" i="13" s="1"/>
  <c r="JB120" i="13"/>
  <c r="JD120" i="13" s="1"/>
  <c r="JE120" i="13" s="1"/>
  <c r="GK120" i="13"/>
  <c r="GM120" i="13" s="1"/>
  <c r="GG120" i="13"/>
  <c r="GI120" i="13" s="1"/>
  <c r="GJ120" i="13" s="1"/>
  <c r="FY120" i="13"/>
  <c r="GA120" i="13" s="1"/>
  <c r="GB120" i="13" s="1"/>
  <c r="EL120" i="13"/>
  <c r="EM120" i="13" s="1"/>
  <c r="N120" i="13" s="1"/>
  <c r="EK120" i="13"/>
  <c r="EO120" i="13" s="1"/>
  <c r="EG120" i="13"/>
  <c r="EE120" i="13"/>
  <c r="M120" i="13" s="1"/>
  <c r="ED120" i="13"/>
  <c r="EA120" i="13"/>
  <c r="DD120" i="13"/>
  <c r="DC120" i="13"/>
  <c r="CG120" i="13"/>
  <c r="CF120" i="13"/>
  <c r="AF120" i="13"/>
  <c r="AA120" i="13"/>
  <c r="X120" i="13"/>
  <c r="S120" i="13"/>
  <c r="Q120" i="13"/>
  <c r="O120" i="13"/>
  <c r="I120" i="13"/>
  <c r="ER120" i="13" s="1"/>
  <c r="AH120" i="13" s="1"/>
  <c r="F120" i="13"/>
  <c r="EJ120" i="13" s="1"/>
  <c r="MG119" i="13"/>
  <c r="LZ119" i="13"/>
  <c r="KB119" i="13"/>
  <c r="KD119" i="13" s="1"/>
  <c r="JX119" i="13"/>
  <c r="JZ119" i="13" s="1"/>
  <c r="KA119" i="13" s="1"/>
  <c r="JT119" i="13"/>
  <c r="JV119" i="13" s="1"/>
  <c r="JP119" i="13"/>
  <c r="JR119" i="13" s="1"/>
  <c r="JS119" i="13" s="1"/>
  <c r="JB119" i="13"/>
  <c r="JD119" i="13" s="1"/>
  <c r="JE119" i="13" s="1"/>
  <c r="GK119" i="13"/>
  <c r="GM119" i="13" s="1"/>
  <c r="GG119" i="13"/>
  <c r="GI119" i="13" s="1"/>
  <c r="GJ119" i="13" s="1"/>
  <c r="FY119" i="13"/>
  <c r="GA119" i="13" s="1"/>
  <c r="GB119" i="13" s="1"/>
  <c r="EL119" i="13"/>
  <c r="EM119" i="13" s="1"/>
  <c r="EP119" i="13" s="1"/>
  <c r="EK119" i="13"/>
  <c r="EO119" i="13" s="1"/>
  <c r="EG119" i="13"/>
  <c r="EE119" i="13"/>
  <c r="ED119" i="13"/>
  <c r="EA119" i="13"/>
  <c r="DD119" i="13"/>
  <c r="DC119" i="13"/>
  <c r="CG119" i="13"/>
  <c r="CF119" i="13"/>
  <c r="AF119" i="13"/>
  <c r="AA119" i="13"/>
  <c r="X119" i="13"/>
  <c r="S119" i="13"/>
  <c r="Q119" i="13"/>
  <c r="O119" i="13"/>
  <c r="I119" i="13"/>
  <c r="ER119" i="13" s="1"/>
  <c r="F119" i="13"/>
  <c r="EJ119" i="13" s="1"/>
  <c r="AC119" i="13" s="1"/>
  <c r="MG118" i="13"/>
  <c r="LZ118" i="13"/>
  <c r="KB118" i="13"/>
  <c r="KD118" i="13" s="1"/>
  <c r="JX118" i="13"/>
  <c r="JZ118" i="13" s="1"/>
  <c r="KA118" i="13" s="1"/>
  <c r="JT118" i="13"/>
  <c r="JV118" i="13" s="1"/>
  <c r="JP118" i="13"/>
  <c r="JR118" i="13" s="1"/>
  <c r="JS118" i="13" s="1"/>
  <c r="JB118" i="13"/>
  <c r="JD118" i="13" s="1"/>
  <c r="JE118" i="13" s="1"/>
  <c r="GK118" i="13"/>
  <c r="GM118" i="13" s="1"/>
  <c r="GG118" i="13"/>
  <c r="GI118" i="13" s="1"/>
  <c r="GJ118" i="13" s="1"/>
  <c r="FY118" i="13"/>
  <c r="GA118" i="13" s="1"/>
  <c r="GB118" i="13" s="1"/>
  <c r="EL118" i="13"/>
  <c r="EM118" i="13" s="1"/>
  <c r="EK118" i="13"/>
  <c r="EO118" i="13" s="1"/>
  <c r="EG118" i="13"/>
  <c r="GT118" i="13" s="1"/>
  <c r="EE118" i="13"/>
  <c r="AM118" i="13" s="1"/>
  <c r="ED118" i="13"/>
  <c r="EA118" i="13"/>
  <c r="DD118" i="13"/>
  <c r="DC118" i="13"/>
  <c r="CG118" i="13"/>
  <c r="CF118" i="13"/>
  <c r="AF118" i="13"/>
  <c r="AA118" i="13"/>
  <c r="X118" i="13"/>
  <c r="S118" i="13"/>
  <c r="Q118" i="13"/>
  <c r="O118" i="13"/>
  <c r="I118" i="13"/>
  <c r="ER118" i="13" s="1"/>
  <c r="F118" i="13"/>
  <c r="EJ118" i="13" s="1"/>
  <c r="MG117" i="13"/>
  <c r="LZ117" i="13"/>
  <c r="KB117" i="13"/>
  <c r="KD117" i="13" s="1"/>
  <c r="JX117" i="13"/>
  <c r="JZ117" i="13" s="1"/>
  <c r="KA117" i="13" s="1"/>
  <c r="JT117" i="13"/>
  <c r="JV117" i="13" s="1"/>
  <c r="JP117" i="13"/>
  <c r="JR117" i="13" s="1"/>
  <c r="JS117" i="13" s="1"/>
  <c r="JB117" i="13"/>
  <c r="JD117" i="13" s="1"/>
  <c r="JE117" i="13" s="1"/>
  <c r="GK117" i="13"/>
  <c r="GM117" i="13" s="1"/>
  <c r="GG117" i="13"/>
  <c r="GI117" i="13" s="1"/>
  <c r="GJ117" i="13" s="1"/>
  <c r="FY117" i="13"/>
  <c r="GA117" i="13" s="1"/>
  <c r="GB117" i="13" s="1"/>
  <c r="EL117" i="13"/>
  <c r="EM117" i="13" s="1"/>
  <c r="EK117" i="13"/>
  <c r="EO117" i="13" s="1"/>
  <c r="EG117" i="13"/>
  <c r="EE117" i="13"/>
  <c r="ED117" i="13"/>
  <c r="EA117" i="13"/>
  <c r="DD117" i="13"/>
  <c r="DC117" i="13"/>
  <c r="CG117" i="13"/>
  <c r="CF117" i="13"/>
  <c r="AF117" i="13"/>
  <c r="AA117" i="13"/>
  <c r="X117" i="13"/>
  <c r="S117" i="13"/>
  <c r="Q117" i="13"/>
  <c r="O117" i="13"/>
  <c r="I117" i="13"/>
  <c r="ER117" i="13" s="1"/>
  <c r="AH117" i="13" s="1"/>
  <c r="F117" i="13"/>
  <c r="EJ117" i="13" s="1"/>
  <c r="MG116" i="13"/>
  <c r="LZ116" i="13"/>
  <c r="KB116" i="13"/>
  <c r="KD116" i="13" s="1"/>
  <c r="JX116" i="13"/>
  <c r="JZ116" i="13" s="1"/>
  <c r="KA116" i="13" s="1"/>
  <c r="JT116" i="13"/>
  <c r="JV116" i="13" s="1"/>
  <c r="JP116" i="13"/>
  <c r="JR116" i="13" s="1"/>
  <c r="JS116" i="13" s="1"/>
  <c r="JB116" i="13"/>
  <c r="JD116" i="13" s="1"/>
  <c r="JE116" i="13" s="1"/>
  <c r="GK116" i="13"/>
  <c r="GM116" i="13" s="1"/>
  <c r="GG116" i="13"/>
  <c r="GI116" i="13" s="1"/>
  <c r="FY116" i="13"/>
  <c r="GA116" i="13" s="1"/>
  <c r="GB116" i="13" s="1"/>
  <c r="EL116" i="13"/>
  <c r="EM116" i="13" s="1"/>
  <c r="EK116" i="13"/>
  <c r="EO116" i="13" s="1"/>
  <c r="EG116" i="13"/>
  <c r="EE116" i="13"/>
  <c r="EH116" i="13" s="1"/>
  <c r="ED116" i="13"/>
  <c r="EA116" i="13"/>
  <c r="DD116" i="13"/>
  <c r="DC116" i="13"/>
  <c r="CG116" i="13"/>
  <c r="CF116" i="13"/>
  <c r="AF116" i="13"/>
  <c r="AA116" i="13"/>
  <c r="X116" i="13"/>
  <c r="S116" i="13"/>
  <c r="Q116" i="13"/>
  <c r="O116" i="13"/>
  <c r="I116" i="13"/>
  <c r="ER116" i="13" s="1"/>
  <c r="F116" i="13"/>
  <c r="EJ116" i="13" s="1"/>
  <c r="MG115" i="13"/>
  <c r="LZ115" i="13"/>
  <c r="KB115" i="13"/>
  <c r="KD115" i="13" s="1"/>
  <c r="JX115" i="13"/>
  <c r="JZ115" i="13" s="1"/>
  <c r="KA115" i="13" s="1"/>
  <c r="JT115" i="13"/>
  <c r="JV115" i="13" s="1"/>
  <c r="JP115" i="13"/>
  <c r="JR115" i="13" s="1"/>
  <c r="JS115" i="13" s="1"/>
  <c r="JB115" i="13"/>
  <c r="JD115" i="13" s="1"/>
  <c r="JE115" i="13" s="1"/>
  <c r="GK115" i="13"/>
  <c r="GM115" i="13" s="1"/>
  <c r="GG115" i="13"/>
  <c r="GI115" i="13" s="1"/>
  <c r="GJ115" i="13" s="1"/>
  <c r="FY115" i="13"/>
  <c r="GA115" i="13" s="1"/>
  <c r="GB115" i="13" s="1"/>
  <c r="EL115" i="13"/>
  <c r="EM115" i="13" s="1"/>
  <c r="EK115" i="13"/>
  <c r="EO115" i="13" s="1"/>
  <c r="EG115" i="13"/>
  <c r="EE115" i="13"/>
  <c r="M115" i="13" s="1"/>
  <c r="ED115" i="13"/>
  <c r="EA115" i="13"/>
  <c r="DD115" i="13"/>
  <c r="DC115" i="13"/>
  <c r="CG115" i="13"/>
  <c r="CF115" i="13"/>
  <c r="AF115" i="13"/>
  <c r="AA115" i="13"/>
  <c r="X115" i="13"/>
  <c r="S115" i="13"/>
  <c r="Q115" i="13"/>
  <c r="O115" i="13"/>
  <c r="I115" i="13"/>
  <c r="ER115" i="13" s="1"/>
  <c r="F115" i="13"/>
  <c r="EJ115" i="13" s="1"/>
  <c r="MG114" i="13"/>
  <c r="LZ114" i="13"/>
  <c r="KB114" i="13"/>
  <c r="KD114" i="13" s="1"/>
  <c r="JX114" i="13"/>
  <c r="JZ114" i="13" s="1"/>
  <c r="KA114" i="13" s="1"/>
  <c r="JT114" i="13"/>
  <c r="JV114" i="13" s="1"/>
  <c r="JP114" i="13"/>
  <c r="JR114" i="13" s="1"/>
  <c r="JS114" i="13" s="1"/>
  <c r="JB114" i="13"/>
  <c r="JD114" i="13" s="1"/>
  <c r="JE114" i="13" s="1"/>
  <c r="GK114" i="13"/>
  <c r="GM114" i="13" s="1"/>
  <c r="GG114" i="13"/>
  <c r="GI114" i="13" s="1"/>
  <c r="FY114" i="13"/>
  <c r="GA114" i="13" s="1"/>
  <c r="GB114" i="13" s="1"/>
  <c r="EL114" i="13"/>
  <c r="EM114" i="13" s="1"/>
  <c r="EK114" i="13"/>
  <c r="EO114" i="13" s="1"/>
  <c r="EG114" i="13"/>
  <c r="EE114" i="13"/>
  <c r="EH114" i="13" s="1"/>
  <c r="ED114" i="13"/>
  <c r="EA114" i="13"/>
  <c r="DD114" i="13"/>
  <c r="DC114" i="13"/>
  <c r="CG114" i="13"/>
  <c r="CF114" i="13"/>
  <c r="AF114" i="13"/>
  <c r="AA114" i="13"/>
  <c r="X114" i="13"/>
  <c r="S114" i="13"/>
  <c r="Q114" i="13"/>
  <c r="O114" i="13"/>
  <c r="I114" i="13"/>
  <c r="ER114" i="13" s="1"/>
  <c r="F114" i="13"/>
  <c r="EJ114" i="13" s="1"/>
  <c r="MG113" i="13"/>
  <c r="LZ113" i="13"/>
  <c r="KB113" i="13"/>
  <c r="KD113" i="13" s="1"/>
  <c r="JX113" i="13"/>
  <c r="JZ113" i="13" s="1"/>
  <c r="KA113" i="13" s="1"/>
  <c r="JT113" i="13"/>
  <c r="JV113" i="13" s="1"/>
  <c r="JP113" i="13"/>
  <c r="JR113" i="13" s="1"/>
  <c r="JS113" i="13" s="1"/>
  <c r="JB113" i="13"/>
  <c r="JD113" i="13" s="1"/>
  <c r="JE113" i="13" s="1"/>
  <c r="GK113" i="13"/>
  <c r="GM113" i="13" s="1"/>
  <c r="GG113" i="13"/>
  <c r="GI113" i="13" s="1"/>
  <c r="GJ113" i="13" s="1"/>
  <c r="FY113" i="13"/>
  <c r="GA113" i="13" s="1"/>
  <c r="GB113" i="13" s="1"/>
  <c r="EL113" i="13"/>
  <c r="EM113" i="13" s="1"/>
  <c r="N113" i="13" s="1"/>
  <c r="EK113" i="13"/>
  <c r="EO113" i="13" s="1"/>
  <c r="EG113" i="13"/>
  <c r="GT113" i="13" s="1"/>
  <c r="EE113" i="13"/>
  <c r="EH113" i="13" s="1"/>
  <c r="EF113" i="13" s="1"/>
  <c r="ED113" i="13"/>
  <c r="EA113" i="13"/>
  <c r="DD113" i="13"/>
  <c r="DC113" i="13"/>
  <c r="CG113" i="13"/>
  <c r="CF113" i="13"/>
  <c r="AF113" i="13"/>
  <c r="AA113" i="13"/>
  <c r="X113" i="13"/>
  <c r="S113" i="13"/>
  <c r="Q113" i="13"/>
  <c r="O113" i="13"/>
  <c r="I113" i="13"/>
  <c r="ER113" i="13" s="1"/>
  <c r="F113" i="13"/>
  <c r="EJ113" i="13" s="1"/>
  <c r="MG112" i="13"/>
  <c r="LZ112" i="13"/>
  <c r="KB112" i="13"/>
  <c r="KD112" i="13" s="1"/>
  <c r="JX112" i="13"/>
  <c r="JZ112" i="13" s="1"/>
  <c r="KA112" i="13" s="1"/>
  <c r="JT112" i="13"/>
  <c r="JV112" i="13" s="1"/>
  <c r="JP112" i="13"/>
  <c r="JR112" i="13" s="1"/>
  <c r="JS112" i="13" s="1"/>
  <c r="JB112" i="13"/>
  <c r="JD112" i="13" s="1"/>
  <c r="JE112" i="13" s="1"/>
  <c r="GK112" i="13"/>
  <c r="GM112" i="13" s="1"/>
  <c r="GG112" i="13"/>
  <c r="GI112" i="13" s="1"/>
  <c r="GJ112" i="13" s="1"/>
  <c r="FY112" i="13"/>
  <c r="GA112" i="13" s="1"/>
  <c r="GB112" i="13" s="1"/>
  <c r="EL112" i="13"/>
  <c r="EM112" i="13" s="1"/>
  <c r="EK112" i="13"/>
  <c r="EO112" i="13" s="1"/>
  <c r="EG112" i="13"/>
  <c r="EE112" i="13"/>
  <c r="EH112" i="13" s="1"/>
  <c r="ED112" i="13"/>
  <c r="EA112" i="13"/>
  <c r="DD112" i="13"/>
  <c r="DC112" i="13"/>
  <c r="CG112" i="13"/>
  <c r="CF112" i="13"/>
  <c r="AF112" i="13"/>
  <c r="AA112" i="13"/>
  <c r="X112" i="13"/>
  <c r="S112" i="13"/>
  <c r="Q112" i="13"/>
  <c r="O112" i="13"/>
  <c r="I112" i="13"/>
  <c r="ER112" i="13" s="1"/>
  <c r="F112" i="13"/>
  <c r="EJ112" i="13" s="1"/>
  <c r="MG111" i="13"/>
  <c r="LZ111" i="13"/>
  <c r="KB111" i="13"/>
  <c r="KD111" i="13" s="1"/>
  <c r="JX111" i="13"/>
  <c r="JZ111" i="13" s="1"/>
  <c r="KA111" i="13" s="1"/>
  <c r="JT111" i="13"/>
  <c r="JV111" i="13" s="1"/>
  <c r="JP111" i="13"/>
  <c r="JR111" i="13" s="1"/>
  <c r="JS111" i="13" s="1"/>
  <c r="JB111" i="13"/>
  <c r="JD111" i="13" s="1"/>
  <c r="JE111" i="13" s="1"/>
  <c r="GK111" i="13"/>
  <c r="GM111" i="13" s="1"/>
  <c r="GG111" i="13"/>
  <c r="GI111" i="13" s="1"/>
  <c r="GJ111" i="13" s="1"/>
  <c r="GA111" i="13"/>
  <c r="GB111" i="13" s="1"/>
  <c r="FY111" i="13"/>
  <c r="EL111" i="13"/>
  <c r="EM111" i="13" s="1"/>
  <c r="EP111" i="13" s="1"/>
  <c r="EK111" i="13"/>
  <c r="EO111" i="13" s="1"/>
  <c r="EG111" i="13"/>
  <c r="EE111" i="13"/>
  <c r="AM111" i="13" s="1"/>
  <c r="ED111" i="13"/>
  <c r="EA111" i="13"/>
  <c r="DD111" i="13"/>
  <c r="DC111" i="13"/>
  <c r="CG111" i="13"/>
  <c r="CF111" i="13"/>
  <c r="AF111" i="13"/>
  <c r="AA111" i="13"/>
  <c r="X111" i="13"/>
  <c r="S111" i="13"/>
  <c r="Q111" i="13"/>
  <c r="O111" i="13"/>
  <c r="I111" i="13"/>
  <c r="ER111" i="13" s="1"/>
  <c r="F111" i="13"/>
  <c r="EJ111" i="13" s="1"/>
  <c r="AC111" i="13" s="1"/>
  <c r="MG110" i="13"/>
  <c r="LZ110" i="13"/>
  <c r="KB110" i="13"/>
  <c r="KD110" i="13" s="1"/>
  <c r="JX110" i="13"/>
  <c r="JZ110" i="13" s="1"/>
  <c r="KA110" i="13" s="1"/>
  <c r="JT110" i="13"/>
  <c r="JV110" i="13" s="1"/>
  <c r="JP110" i="13"/>
  <c r="JR110" i="13" s="1"/>
  <c r="JS110" i="13" s="1"/>
  <c r="JB110" i="13"/>
  <c r="JD110" i="13" s="1"/>
  <c r="JE110" i="13" s="1"/>
  <c r="GK110" i="13"/>
  <c r="GM110" i="13" s="1"/>
  <c r="GG110" i="13"/>
  <c r="GI110" i="13" s="1"/>
  <c r="GJ110" i="13" s="1"/>
  <c r="FY110" i="13"/>
  <c r="GA110" i="13" s="1"/>
  <c r="GB110" i="13" s="1"/>
  <c r="ER110" i="13"/>
  <c r="EM110" i="13"/>
  <c r="EP110" i="13" s="1"/>
  <c r="EL110" i="13"/>
  <c r="EK110" i="13"/>
  <c r="EO110" i="13" s="1"/>
  <c r="EC110" i="13" s="1"/>
  <c r="EG110" i="13"/>
  <c r="EE110" i="13"/>
  <c r="AM110" i="13" s="1"/>
  <c r="ED110" i="13"/>
  <c r="EA110" i="13"/>
  <c r="DD110" i="13"/>
  <c r="DC110" i="13"/>
  <c r="CG110" i="13"/>
  <c r="CF110" i="13"/>
  <c r="AF110" i="13"/>
  <c r="AA110" i="13"/>
  <c r="X110" i="13"/>
  <c r="S110" i="13"/>
  <c r="Q110" i="13"/>
  <c r="O110" i="13"/>
  <c r="I110" i="13"/>
  <c r="F110" i="13"/>
  <c r="EJ110" i="13" s="1"/>
  <c r="MG109" i="13"/>
  <c r="LZ109" i="13"/>
  <c r="KB109" i="13"/>
  <c r="KD109" i="13" s="1"/>
  <c r="JX109" i="13"/>
  <c r="JZ109" i="13" s="1"/>
  <c r="KA109" i="13" s="1"/>
  <c r="JT109" i="13"/>
  <c r="JV109" i="13" s="1"/>
  <c r="JP109" i="13"/>
  <c r="JR109" i="13" s="1"/>
  <c r="JS109" i="13" s="1"/>
  <c r="JB109" i="13"/>
  <c r="JD109" i="13" s="1"/>
  <c r="JE109" i="13" s="1"/>
  <c r="GK109" i="13"/>
  <c r="GM109" i="13" s="1"/>
  <c r="GG109" i="13"/>
  <c r="GI109" i="13" s="1"/>
  <c r="GJ109" i="13" s="1"/>
  <c r="FY109" i="13"/>
  <c r="GA109" i="13" s="1"/>
  <c r="GB109" i="13" s="1"/>
  <c r="EL109" i="13"/>
  <c r="EM109" i="13" s="1"/>
  <c r="EK109" i="13"/>
  <c r="EO109" i="13" s="1"/>
  <c r="EG109" i="13"/>
  <c r="EE109" i="13"/>
  <c r="ED109" i="13"/>
  <c r="EA109" i="13"/>
  <c r="DD109" i="13"/>
  <c r="DC109" i="13"/>
  <c r="CG109" i="13"/>
  <c r="CF109" i="13"/>
  <c r="AF109" i="13"/>
  <c r="AA109" i="13"/>
  <c r="X109" i="13"/>
  <c r="S109" i="13"/>
  <c r="Q109" i="13"/>
  <c r="O109" i="13"/>
  <c r="I109" i="13"/>
  <c r="ER109" i="13" s="1"/>
  <c r="F109" i="13"/>
  <c r="EJ109" i="13" s="1"/>
  <c r="MG108" i="13"/>
  <c r="LZ108" i="13"/>
  <c r="KB108" i="13"/>
  <c r="KD108" i="13" s="1"/>
  <c r="JX108" i="13"/>
  <c r="JZ108" i="13" s="1"/>
  <c r="KA108" i="13" s="1"/>
  <c r="JT108" i="13"/>
  <c r="JV108" i="13" s="1"/>
  <c r="JP108" i="13"/>
  <c r="JR108" i="13" s="1"/>
  <c r="JS108" i="13" s="1"/>
  <c r="JB108" i="13"/>
  <c r="JD108" i="13" s="1"/>
  <c r="JE108" i="13" s="1"/>
  <c r="GK108" i="13"/>
  <c r="GM108" i="13" s="1"/>
  <c r="GG108" i="13"/>
  <c r="GI108" i="13" s="1"/>
  <c r="GJ108" i="13" s="1"/>
  <c r="FY108" i="13"/>
  <c r="GA108" i="13" s="1"/>
  <c r="GB108" i="13" s="1"/>
  <c r="EL108" i="13"/>
  <c r="EM108" i="13" s="1"/>
  <c r="EP108" i="13" s="1"/>
  <c r="EK108" i="13"/>
  <c r="EO108" i="13" s="1"/>
  <c r="EG108" i="13"/>
  <c r="EE108" i="13"/>
  <c r="ED108" i="13"/>
  <c r="EA108" i="13"/>
  <c r="DD108" i="13"/>
  <c r="DC108" i="13"/>
  <c r="CG108" i="13"/>
  <c r="CF108" i="13"/>
  <c r="AF108" i="13"/>
  <c r="AA108" i="13"/>
  <c r="X108" i="13"/>
  <c r="S108" i="13"/>
  <c r="Q108" i="13"/>
  <c r="O108" i="13"/>
  <c r="I108" i="13"/>
  <c r="ER108" i="13" s="1"/>
  <c r="F108" i="13"/>
  <c r="EJ108" i="13" s="1"/>
  <c r="MG107" i="13"/>
  <c r="LZ107" i="13"/>
  <c r="KB107" i="13"/>
  <c r="KD107" i="13" s="1"/>
  <c r="JX107" i="13"/>
  <c r="JZ107" i="13" s="1"/>
  <c r="KA107" i="13" s="1"/>
  <c r="JT107" i="13"/>
  <c r="JV107" i="13" s="1"/>
  <c r="JP107" i="13"/>
  <c r="JR107" i="13" s="1"/>
  <c r="JS107" i="13" s="1"/>
  <c r="JB107" i="13"/>
  <c r="JD107" i="13" s="1"/>
  <c r="JE107" i="13" s="1"/>
  <c r="GK107" i="13"/>
  <c r="GM107" i="13" s="1"/>
  <c r="GG107" i="13"/>
  <c r="GI107" i="13" s="1"/>
  <c r="GJ107" i="13" s="1"/>
  <c r="FY107" i="13"/>
  <c r="GA107" i="13" s="1"/>
  <c r="GB107" i="13" s="1"/>
  <c r="EL107" i="13"/>
  <c r="EM107" i="13" s="1"/>
  <c r="EP107" i="13" s="1"/>
  <c r="EK107" i="13"/>
  <c r="EO107" i="13" s="1"/>
  <c r="EG107" i="13"/>
  <c r="EE107" i="13"/>
  <c r="ED107" i="13"/>
  <c r="EA107" i="13"/>
  <c r="DD107" i="13"/>
  <c r="DC107" i="13"/>
  <c r="CG107" i="13"/>
  <c r="CF107" i="13"/>
  <c r="AF107" i="13"/>
  <c r="AA107" i="13"/>
  <c r="X107" i="13"/>
  <c r="S107" i="13"/>
  <c r="Q107" i="13"/>
  <c r="O107" i="13"/>
  <c r="I107" i="13"/>
  <c r="ER107" i="13" s="1"/>
  <c r="AH107" i="13" s="1"/>
  <c r="F107" i="13"/>
  <c r="EJ107" i="13" s="1"/>
  <c r="MG106" i="13"/>
  <c r="LZ106" i="13"/>
  <c r="KB106" i="13"/>
  <c r="KD106" i="13" s="1"/>
  <c r="JX106" i="13"/>
  <c r="JZ106" i="13" s="1"/>
  <c r="KA106" i="13" s="1"/>
  <c r="JT106" i="13"/>
  <c r="JV106" i="13" s="1"/>
  <c r="JP106" i="13"/>
  <c r="JR106" i="13" s="1"/>
  <c r="JS106" i="13" s="1"/>
  <c r="JB106" i="13"/>
  <c r="JD106" i="13" s="1"/>
  <c r="JE106" i="13" s="1"/>
  <c r="GK106" i="13"/>
  <c r="GM106" i="13" s="1"/>
  <c r="GG106" i="13"/>
  <c r="GI106" i="13" s="1"/>
  <c r="GJ106" i="13" s="1"/>
  <c r="FY106" i="13"/>
  <c r="GA106" i="13" s="1"/>
  <c r="GB106" i="13" s="1"/>
  <c r="EL106" i="13"/>
  <c r="EM106" i="13" s="1"/>
  <c r="EK106" i="13"/>
  <c r="EO106" i="13" s="1"/>
  <c r="EG106" i="13"/>
  <c r="EE106" i="13"/>
  <c r="EH106" i="13" s="1"/>
  <c r="EI106" i="13" s="1"/>
  <c r="ED106" i="13"/>
  <c r="EA106" i="13"/>
  <c r="DD106" i="13"/>
  <c r="DC106" i="13"/>
  <c r="CG106" i="13"/>
  <c r="CF106" i="13"/>
  <c r="AF106" i="13"/>
  <c r="AA106" i="13"/>
  <c r="X106" i="13"/>
  <c r="S106" i="13"/>
  <c r="Q106" i="13"/>
  <c r="O106" i="13"/>
  <c r="I106" i="13"/>
  <c r="ER106" i="13" s="1"/>
  <c r="F106" i="13"/>
  <c r="EJ106" i="13" s="1"/>
  <c r="MG105" i="13"/>
  <c r="LZ105" i="13"/>
  <c r="KB105" i="13"/>
  <c r="KD105" i="13" s="1"/>
  <c r="JX105" i="13"/>
  <c r="JZ105" i="13" s="1"/>
  <c r="KA105" i="13" s="1"/>
  <c r="JT105" i="13"/>
  <c r="JV105" i="13" s="1"/>
  <c r="JP105" i="13"/>
  <c r="JR105" i="13" s="1"/>
  <c r="JS105" i="13" s="1"/>
  <c r="JB105" i="13"/>
  <c r="JD105" i="13" s="1"/>
  <c r="JE105" i="13" s="1"/>
  <c r="GK105" i="13"/>
  <c r="GM105" i="13" s="1"/>
  <c r="GG105" i="13"/>
  <c r="GI105" i="13" s="1"/>
  <c r="GJ105" i="13" s="1"/>
  <c r="FY105" i="13"/>
  <c r="GA105" i="13" s="1"/>
  <c r="GB105" i="13" s="1"/>
  <c r="EL105" i="13"/>
  <c r="EM105" i="13" s="1"/>
  <c r="EK105" i="13"/>
  <c r="EG105" i="13"/>
  <c r="GT105" i="13" s="1"/>
  <c r="EE105" i="13"/>
  <c r="AM105" i="13" s="1"/>
  <c r="ED105" i="13"/>
  <c r="EA105" i="13"/>
  <c r="DD105" i="13"/>
  <c r="DC105" i="13"/>
  <c r="CG105" i="13"/>
  <c r="CF105" i="13"/>
  <c r="AF105" i="13"/>
  <c r="AA105" i="13"/>
  <c r="X105" i="13"/>
  <c r="S105" i="13"/>
  <c r="Q105" i="13"/>
  <c r="O105" i="13"/>
  <c r="I105" i="13"/>
  <c r="ER105" i="13" s="1"/>
  <c r="AH105" i="13" s="1"/>
  <c r="F105" i="13"/>
  <c r="EJ105" i="13" s="1"/>
  <c r="MG104" i="13"/>
  <c r="G5" i="141" s="1"/>
  <c r="LZ104" i="13"/>
  <c r="C5" i="141" s="1"/>
  <c r="KB104" i="13"/>
  <c r="KD104" i="13" s="1"/>
  <c r="JX104" i="13"/>
  <c r="JZ104" i="13" s="1"/>
  <c r="KA104" i="13" s="1"/>
  <c r="JT104" i="13"/>
  <c r="JV104" i="13" s="1"/>
  <c r="JP104" i="13"/>
  <c r="JR104" i="13" s="1"/>
  <c r="JS104" i="13" s="1"/>
  <c r="JB104" i="13"/>
  <c r="JD104" i="13" s="1"/>
  <c r="JE104" i="13" s="1"/>
  <c r="GK104" i="13"/>
  <c r="GM104" i="13" s="1"/>
  <c r="GG104" i="13"/>
  <c r="GI104" i="13" s="1"/>
  <c r="GJ104" i="13" s="1"/>
  <c r="FY104" i="13"/>
  <c r="Z5" i="141" s="1"/>
  <c r="EO104" i="13"/>
  <c r="EM104" i="13"/>
  <c r="N104" i="13" s="1"/>
  <c r="EL104" i="13"/>
  <c r="EK104" i="13"/>
  <c r="EG104" i="13"/>
  <c r="EE104" i="13"/>
  <c r="M104" i="13" s="1"/>
  <c r="ED104" i="13"/>
  <c r="EA104" i="13"/>
  <c r="DD104" i="13"/>
  <c r="DC104" i="13"/>
  <c r="CG104" i="13"/>
  <c r="CF104" i="13"/>
  <c r="AM104" i="13"/>
  <c r="AF104" i="13"/>
  <c r="AA104" i="13"/>
  <c r="X104" i="13"/>
  <c r="S104" i="13"/>
  <c r="Q104" i="13"/>
  <c r="O104" i="13"/>
  <c r="I104" i="13"/>
  <c r="ER104" i="13" s="1"/>
  <c r="AH104" i="13" s="1"/>
  <c r="F104" i="13"/>
  <c r="EJ104" i="13" s="1"/>
  <c r="MG103" i="13"/>
  <c r="LZ103" i="13"/>
  <c r="KB103" i="13"/>
  <c r="KD103" i="13" s="1"/>
  <c r="JX103" i="13"/>
  <c r="JZ103" i="13" s="1"/>
  <c r="KA103" i="13" s="1"/>
  <c r="JT103" i="13"/>
  <c r="JV103" i="13" s="1"/>
  <c r="JP103" i="13"/>
  <c r="JR103" i="13" s="1"/>
  <c r="JS103" i="13" s="1"/>
  <c r="JB103" i="13"/>
  <c r="JD103" i="13" s="1"/>
  <c r="JE103" i="13" s="1"/>
  <c r="GK103" i="13"/>
  <c r="GM103" i="13" s="1"/>
  <c r="GJ103" i="13"/>
  <c r="GI103" i="13"/>
  <c r="GG103" i="13"/>
  <c r="FY103" i="13"/>
  <c r="GA103" i="13" s="1"/>
  <c r="GB103" i="13" s="1"/>
  <c r="EL103" i="13"/>
  <c r="EM103" i="13" s="1"/>
  <c r="EK103" i="13"/>
  <c r="EO103" i="13" s="1"/>
  <c r="EG103" i="13"/>
  <c r="EE103" i="13"/>
  <c r="AM103" i="13" s="1"/>
  <c r="ED103" i="13"/>
  <c r="EA103" i="13"/>
  <c r="DD103" i="13"/>
  <c r="DC103" i="13"/>
  <c r="CG103" i="13"/>
  <c r="CF103" i="13"/>
  <c r="AF103" i="13"/>
  <c r="AA103" i="13"/>
  <c r="X103" i="13"/>
  <c r="S103" i="13"/>
  <c r="Q103" i="13"/>
  <c r="O103" i="13"/>
  <c r="I103" i="13"/>
  <c r="ER103" i="13" s="1"/>
  <c r="F103" i="13"/>
  <c r="EJ103" i="13" s="1"/>
  <c r="MG102" i="13"/>
  <c r="LZ102" i="13"/>
  <c r="KB102" i="13"/>
  <c r="KD102" i="13" s="1"/>
  <c r="JX102" i="13"/>
  <c r="JZ102" i="13" s="1"/>
  <c r="KA102" i="13" s="1"/>
  <c r="JT102" i="13"/>
  <c r="JV102" i="13" s="1"/>
  <c r="JP102" i="13"/>
  <c r="JR102" i="13" s="1"/>
  <c r="JS102" i="13" s="1"/>
  <c r="JB102" i="13"/>
  <c r="JD102" i="13" s="1"/>
  <c r="JE102" i="13" s="1"/>
  <c r="GK102" i="13"/>
  <c r="GM102" i="13" s="1"/>
  <c r="GG102" i="13"/>
  <c r="GI102" i="13" s="1"/>
  <c r="GJ102" i="13" s="1"/>
  <c r="FY102" i="13"/>
  <c r="GA102" i="13" s="1"/>
  <c r="GB102" i="13" s="1"/>
  <c r="EL102" i="13"/>
  <c r="EM102" i="13" s="1"/>
  <c r="EK102" i="13"/>
  <c r="EO102" i="13" s="1"/>
  <c r="EJ102" i="13"/>
  <c r="AC102" i="13" s="1"/>
  <c r="EG102" i="13"/>
  <c r="EE102" i="13"/>
  <c r="AM102" i="13" s="1"/>
  <c r="ED102" i="13"/>
  <c r="EA102" i="13"/>
  <c r="DD102" i="13"/>
  <c r="DC102" i="13"/>
  <c r="CG102" i="13"/>
  <c r="CF102" i="13"/>
  <c r="AF102" i="13"/>
  <c r="AA102" i="13"/>
  <c r="X102" i="13"/>
  <c r="S102" i="13"/>
  <c r="Q102" i="13"/>
  <c r="O102" i="13"/>
  <c r="I102" i="13"/>
  <c r="ER102" i="13" s="1"/>
  <c r="F102" i="13"/>
  <c r="MG101" i="13"/>
  <c r="LZ101" i="13"/>
  <c r="KB101" i="13"/>
  <c r="KD101" i="13" s="1"/>
  <c r="JX101" i="13"/>
  <c r="JZ101" i="13" s="1"/>
  <c r="KA101" i="13" s="1"/>
  <c r="JT101" i="13"/>
  <c r="JV101" i="13" s="1"/>
  <c r="JP101" i="13"/>
  <c r="JR101" i="13" s="1"/>
  <c r="JS101" i="13" s="1"/>
  <c r="JB101" i="13"/>
  <c r="JD101" i="13" s="1"/>
  <c r="JE101" i="13" s="1"/>
  <c r="GK101" i="13"/>
  <c r="GM101" i="13" s="1"/>
  <c r="GG101" i="13"/>
  <c r="GI101" i="13" s="1"/>
  <c r="GJ101" i="13" s="1"/>
  <c r="FY101" i="13"/>
  <c r="GA101" i="13" s="1"/>
  <c r="GB101" i="13" s="1"/>
  <c r="EM101" i="13"/>
  <c r="N101" i="13" s="1"/>
  <c r="EL101" i="13"/>
  <c r="EK101" i="13"/>
  <c r="EO101" i="13" s="1"/>
  <c r="EJ101" i="13"/>
  <c r="EG101" i="13"/>
  <c r="EE101" i="13"/>
  <c r="ED101" i="13"/>
  <c r="EA101" i="13"/>
  <c r="DD101" i="13"/>
  <c r="DC101" i="13"/>
  <c r="CG101" i="13"/>
  <c r="CF101" i="13"/>
  <c r="AF101" i="13"/>
  <c r="AC101" i="13"/>
  <c r="AA101" i="13"/>
  <c r="X101" i="13"/>
  <c r="S101" i="13"/>
  <c r="Q101" i="13"/>
  <c r="O101" i="13"/>
  <c r="I101" i="13"/>
  <c r="ER101" i="13" s="1"/>
  <c r="AH101" i="13" s="1"/>
  <c r="F101" i="13"/>
  <c r="MG100" i="13"/>
  <c r="LZ100" i="13"/>
  <c r="KB100" i="13"/>
  <c r="KD100" i="13" s="1"/>
  <c r="JX100" i="13"/>
  <c r="JZ100" i="13" s="1"/>
  <c r="KA100" i="13" s="1"/>
  <c r="JT100" i="13"/>
  <c r="JV100" i="13" s="1"/>
  <c r="JP100" i="13"/>
  <c r="JR100" i="13" s="1"/>
  <c r="JS100" i="13" s="1"/>
  <c r="JB100" i="13"/>
  <c r="JD100" i="13" s="1"/>
  <c r="JE100" i="13" s="1"/>
  <c r="GK100" i="13"/>
  <c r="GM100" i="13" s="1"/>
  <c r="GG100" i="13"/>
  <c r="GI100" i="13" s="1"/>
  <c r="GJ100" i="13" s="1"/>
  <c r="FY100" i="13"/>
  <c r="GA100" i="13" s="1"/>
  <c r="GB100" i="13" s="1"/>
  <c r="EL100" i="13"/>
  <c r="EM100" i="13" s="1"/>
  <c r="N100" i="13" s="1"/>
  <c r="EK100" i="13"/>
  <c r="EO100" i="13" s="1"/>
  <c r="EG100" i="13"/>
  <c r="EE100" i="13"/>
  <c r="ED100" i="13"/>
  <c r="EA100" i="13"/>
  <c r="DD100" i="13"/>
  <c r="DC100" i="13"/>
  <c r="CG100" i="13"/>
  <c r="CF100" i="13"/>
  <c r="AF100" i="13"/>
  <c r="AA100" i="13"/>
  <c r="X100" i="13"/>
  <c r="S100" i="13"/>
  <c r="Q100" i="13"/>
  <c r="O100" i="13"/>
  <c r="I100" i="13"/>
  <c r="ER100" i="13" s="1"/>
  <c r="AH100" i="13" s="1"/>
  <c r="F100" i="13"/>
  <c r="EJ100" i="13" s="1"/>
  <c r="MG99" i="13"/>
  <c r="LZ99" i="13"/>
  <c r="KB99" i="13"/>
  <c r="KD99" i="13" s="1"/>
  <c r="JX99" i="13"/>
  <c r="JZ99" i="13" s="1"/>
  <c r="KA99" i="13" s="1"/>
  <c r="JT99" i="13"/>
  <c r="JV99" i="13" s="1"/>
  <c r="JP99" i="13"/>
  <c r="JR99" i="13" s="1"/>
  <c r="JB99" i="13"/>
  <c r="JD99" i="13" s="1"/>
  <c r="JE99" i="13" s="1"/>
  <c r="GK99" i="13"/>
  <c r="GM99" i="13" s="1"/>
  <c r="GG99" i="13"/>
  <c r="GI99" i="13" s="1"/>
  <c r="FY99" i="13"/>
  <c r="GA99" i="13" s="1"/>
  <c r="GB99" i="13" s="1"/>
  <c r="ER99" i="13"/>
  <c r="EO99" i="13"/>
  <c r="EC99" i="13" s="1"/>
  <c r="IZ99" i="13" s="1"/>
  <c r="EL99" i="13"/>
  <c r="EM99" i="13" s="1"/>
  <c r="AG99" i="13" s="1"/>
  <c r="EK99" i="13"/>
  <c r="MI99" i="13" s="1"/>
  <c r="MM99" i="13" s="1"/>
  <c r="EG99" i="13"/>
  <c r="EE99" i="13"/>
  <c r="ED99" i="13"/>
  <c r="EA99" i="13"/>
  <c r="DD99" i="13"/>
  <c r="DC99" i="13"/>
  <c r="CG99" i="13"/>
  <c r="CF99" i="13"/>
  <c r="AA99" i="13"/>
  <c r="X99" i="13"/>
  <c r="S99" i="13"/>
  <c r="Q99" i="13"/>
  <c r="O99" i="13"/>
  <c r="F99" i="13"/>
  <c r="EJ99" i="13" s="1"/>
  <c r="MG98" i="13"/>
  <c r="LZ98" i="13"/>
  <c r="KB98" i="13"/>
  <c r="KD98" i="13" s="1"/>
  <c r="JX98" i="13"/>
  <c r="JZ98" i="13" s="1"/>
  <c r="KA98" i="13" s="1"/>
  <c r="JT98" i="13"/>
  <c r="JV98" i="13" s="1"/>
  <c r="JP98" i="13"/>
  <c r="JR98" i="13" s="1"/>
  <c r="JS98" i="13" s="1"/>
  <c r="JB98" i="13"/>
  <c r="JD98" i="13" s="1"/>
  <c r="JE98" i="13" s="1"/>
  <c r="GK98" i="13"/>
  <c r="GM98" i="13" s="1"/>
  <c r="GG98" i="13"/>
  <c r="GI98" i="13" s="1"/>
  <c r="GJ98" i="13" s="1"/>
  <c r="FY98" i="13"/>
  <c r="GA98" i="13" s="1"/>
  <c r="GB98" i="13" s="1"/>
  <c r="ER98" i="13"/>
  <c r="AH98" i="13" s="1"/>
  <c r="EL98" i="13"/>
  <c r="EM98" i="13" s="1"/>
  <c r="N98" i="13" s="1"/>
  <c r="EK98" i="13"/>
  <c r="EO98" i="13" s="1"/>
  <c r="EW98" i="13" s="1"/>
  <c r="EX98" i="13" s="1"/>
  <c r="EG98" i="13"/>
  <c r="EE98" i="13"/>
  <c r="EH98" i="13" s="1"/>
  <c r="EI98" i="13" s="1"/>
  <c r="ED98" i="13"/>
  <c r="EA98" i="13"/>
  <c r="DD98" i="13"/>
  <c r="DC98" i="13"/>
  <c r="CG98" i="13"/>
  <c r="CF98" i="13"/>
  <c r="AA98" i="13"/>
  <c r="X98" i="13"/>
  <c r="S98" i="13"/>
  <c r="Q98" i="13"/>
  <c r="O98" i="13"/>
  <c r="M98" i="13"/>
  <c r="F98" i="13"/>
  <c r="EJ98" i="13" s="1"/>
  <c r="MG97" i="13"/>
  <c r="LZ97" i="13"/>
  <c r="KB97" i="13"/>
  <c r="KD97" i="13" s="1"/>
  <c r="JX97" i="13"/>
  <c r="JZ97" i="13" s="1"/>
  <c r="KA97" i="13" s="1"/>
  <c r="JT97" i="13"/>
  <c r="JV97" i="13" s="1"/>
  <c r="JP97" i="13"/>
  <c r="JR97" i="13" s="1"/>
  <c r="JS97" i="13" s="1"/>
  <c r="JB97" i="13"/>
  <c r="JD97" i="13" s="1"/>
  <c r="JE97" i="13" s="1"/>
  <c r="GK97" i="13"/>
  <c r="GM97" i="13" s="1"/>
  <c r="GG97" i="13"/>
  <c r="GI97" i="13" s="1"/>
  <c r="GJ97" i="13" s="1"/>
  <c r="FY97" i="13"/>
  <c r="GA97" i="13" s="1"/>
  <c r="GB97" i="13" s="1"/>
  <c r="ER97" i="13"/>
  <c r="AH97" i="13" s="1"/>
  <c r="EO97" i="13"/>
  <c r="EL97" i="13"/>
  <c r="EM97" i="13" s="1"/>
  <c r="EK97" i="13"/>
  <c r="MI97" i="13" s="1"/>
  <c r="MM97" i="13" s="1"/>
  <c r="MY97" i="13" s="1"/>
  <c r="EG97" i="13"/>
  <c r="EE97" i="13"/>
  <c r="AM97" i="13" s="1"/>
  <c r="ED97" i="13"/>
  <c r="EA97" i="13"/>
  <c r="DD97" i="13"/>
  <c r="DC97" i="13"/>
  <c r="CG97" i="13"/>
  <c r="CF97" i="13"/>
  <c r="AA97" i="13"/>
  <c r="X97" i="13"/>
  <c r="S97" i="13"/>
  <c r="Q97" i="13"/>
  <c r="O97" i="13"/>
  <c r="F97" i="13"/>
  <c r="EJ97" i="13" s="1"/>
  <c r="MG96" i="13"/>
  <c r="LZ96" i="13"/>
  <c r="KB96" i="13"/>
  <c r="KD96" i="13" s="1"/>
  <c r="JX96" i="13"/>
  <c r="JZ96" i="13" s="1"/>
  <c r="KA96" i="13" s="1"/>
  <c r="JT96" i="13"/>
  <c r="JV96" i="13" s="1"/>
  <c r="JP96" i="13"/>
  <c r="JR96" i="13" s="1"/>
  <c r="JS96" i="13" s="1"/>
  <c r="JB96" i="13"/>
  <c r="JD96" i="13" s="1"/>
  <c r="JE96" i="13" s="1"/>
  <c r="GK96" i="13"/>
  <c r="GM96" i="13" s="1"/>
  <c r="GG96" i="13"/>
  <c r="GI96" i="13" s="1"/>
  <c r="GJ96" i="13" s="1"/>
  <c r="FY96" i="13"/>
  <c r="GA96" i="13" s="1"/>
  <c r="GB96" i="13" s="1"/>
  <c r="ER96" i="13"/>
  <c r="EP96" i="13"/>
  <c r="EN96" i="13" s="1"/>
  <c r="EO96" i="13"/>
  <c r="EL96" i="13"/>
  <c r="EM96" i="13" s="1"/>
  <c r="EK96" i="13"/>
  <c r="MI96" i="13" s="1"/>
  <c r="MM96" i="13" s="1"/>
  <c r="EG96" i="13"/>
  <c r="EE96" i="13"/>
  <c r="AM96" i="13" s="1"/>
  <c r="ED96" i="13"/>
  <c r="EA96" i="13"/>
  <c r="DD96" i="13"/>
  <c r="DC96" i="13"/>
  <c r="CG96" i="13"/>
  <c r="CF96" i="13"/>
  <c r="AA96" i="13"/>
  <c r="X96" i="13"/>
  <c r="S96" i="13"/>
  <c r="Q96" i="13"/>
  <c r="O96" i="13"/>
  <c r="F96" i="13"/>
  <c r="EJ96" i="13" s="1"/>
  <c r="MG95" i="13"/>
  <c r="LZ95" i="13"/>
  <c r="KB95" i="13"/>
  <c r="KD95" i="13" s="1"/>
  <c r="JX95" i="13"/>
  <c r="JZ95" i="13" s="1"/>
  <c r="KA95" i="13" s="1"/>
  <c r="JT95" i="13"/>
  <c r="JV95" i="13" s="1"/>
  <c r="JP95" i="13"/>
  <c r="JR95" i="13" s="1"/>
  <c r="JS95" i="13" s="1"/>
  <c r="JB95" i="13"/>
  <c r="JD95" i="13" s="1"/>
  <c r="JE95" i="13" s="1"/>
  <c r="GK95" i="13"/>
  <c r="GM95" i="13" s="1"/>
  <c r="GG95" i="13"/>
  <c r="GI95" i="13" s="1"/>
  <c r="GJ95" i="13" s="1"/>
  <c r="FY95" i="13"/>
  <c r="GA95" i="13" s="1"/>
  <c r="GB95" i="13" s="1"/>
  <c r="ER95" i="13"/>
  <c r="AH95" i="13" s="1"/>
  <c r="EO95" i="13"/>
  <c r="EW95" i="13" s="1"/>
  <c r="EX95" i="13" s="1"/>
  <c r="EL95" i="13"/>
  <c r="EM95" i="13" s="1"/>
  <c r="EK95" i="13"/>
  <c r="MI95" i="13" s="1"/>
  <c r="MM95" i="13" s="1"/>
  <c r="MY95" i="13" s="1"/>
  <c r="EG95" i="13"/>
  <c r="EE95" i="13"/>
  <c r="AM95" i="13" s="1"/>
  <c r="ED95" i="13"/>
  <c r="EA95" i="13"/>
  <c r="DD95" i="13"/>
  <c r="DC95" i="13"/>
  <c r="CG95" i="13"/>
  <c r="CF95" i="13"/>
  <c r="AC95" i="13"/>
  <c r="AA95" i="13"/>
  <c r="X95" i="13"/>
  <c r="S95" i="13"/>
  <c r="Q95" i="13"/>
  <c r="O95" i="13"/>
  <c r="F95" i="13"/>
  <c r="EJ95" i="13" s="1"/>
  <c r="MG94" i="13"/>
  <c r="LZ94" i="13"/>
  <c r="KB94" i="13"/>
  <c r="KD94" i="13" s="1"/>
  <c r="JX94" i="13"/>
  <c r="JZ94" i="13" s="1"/>
  <c r="KA94" i="13" s="1"/>
  <c r="JT94" i="13"/>
  <c r="JV94" i="13" s="1"/>
  <c r="JP94" i="13"/>
  <c r="JR94" i="13" s="1"/>
  <c r="JS94" i="13" s="1"/>
  <c r="JB94" i="13"/>
  <c r="JD94" i="13" s="1"/>
  <c r="JE94" i="13" s="1"/>
  <c r="GK94" i="13"/>
  <c r="GM94" i="13" s="1"/>
  <c r="GG94" i="13"/>
  <c r="GI94" i="13" s="1"/>
  <c r="GJ94" i="13" s="1"/>
  <c r="FY94" i="13"/>
  <c r="GA94" i="13" s="1"/>
  <c r="GB94" i="13" s="1"/>
  <c r="ER94" i="13"/>
  <c r="EL94" i="13"/>
  <c r="EM94" i="13" s="1"/>
  <c r="EK94" i="13"/>
  <c r="EO94" i="13" s="1"/>
  <c r="EH94" i="13"/>
  <c r="EI94" i="13" s="1"/>
  <c r="EG94" i="13"/>
  <c r="EE94" i="13"/>
  <c r="ED94" i="13"/>
  <c r="EA94" i="13"/>
  <c r="DD94" i="13"/>
  <c r="DC94" i="13"/>
  <c r="CG94" i="13"/>
  <c r="CF94" i="13"/>
  <c r="AM94" i="13"/>
  <c r="AA94" i="13"/>
  <c r="X94" i="13"/>
  <c r="S94" i="13"/>
  <c r="Q94" i="13"/>
  <c r="O94" i="13"/>
  <c r="M94" i="13"/>
  <c r="F94" i="13"/>
  <c r="EJ94" i="13" s="1"/>
  <c r="AC94" i="13" s="1"/>
  <c r="MG93" i="13"/>
  <c r="LZ93" i="13"/>
  <c r="KB93" i="13"/>
  <c r="KD93" i="13" s="1"/>
  <c r="JX93" i="13"/>
  <c r="JZ93" i="13" s="1"/>
  <c r="KA93" i="13" s="1"/>
  <c r="JT93" i="13"/>
  <c r="JV93" i="13" s="1"/>
  <c r="JP93" i="13"/>
  <c r="JR93" i="13" s="1"/>
  <c r="JS93" i="13" s="1"/>
  <c r="JB93" i="13"/>
  <c r="JD93" i="13" s="1"/>
  <c r="JE93" i="13" s="1"/>
  <c r="GK93" i="13"/>
  <c r="GM93" i="13" s="1"/>
  <c r="GG93" i="13"/>
  <c r="GI93" i="13" s="1"/>
  <c r="GJ93" i="13" s="1"/>
  <c r="FY93" i="13"/>
  <c r="GA93" i="13" s="1"/>
  <c r="GB93" i="13" s="1"/>
  <c r="ER93" i="13"/>
  <c r="EL93" i="13"/>
  <c r="EM93" i="13" s="1"/>
  <c r="EK93" i="13"/>
  <c r="MI93" i="13" s="1"/>
  <c r="MM93" i="13" s="1"/>
  <c r="EG93" i="13"/>
  <c r="GT93" i="13" s="1"/>
  <c r="EE93" i="13"/>
  <c r="EH93" i="13" s="1"/>
  <c r="ED93" i="13"/>
  <c r="EA93" i="13"/>
  <c r="DD93" i="13"/>
  <c r="DC93" i="13"/>
  <c r="CG93" i="13"/>
  <c r="CF93" i="13"/>
  <c r="AM93" i="13"/>
  <c r="AA93" i="13"/>
  <c r="AB93" i="13" s="1"/>
  <c r="X93" i="13"/>
  <c r="S93" i="13"/>
  <c r="Q93" i="13"/>
  <c r="O93" i="13"/>
  <c r="M93" i="13"/>
  <c r="F93" i="13"/>
  <c r="EJ93" i="13" s="1"/>
  <c r="AC93" i="13" s="1"/>
  <c r="MG92" i="13"/>
  <c r="LZ92" i="13"/>
  <c r="KB92" i="13"/>
  <c r="KD92" i="13" s="1"/>
  <c r="JX92" i="13"/>
  <c r="JZ92" i="13" s="1"/>
  <c r="KA92" i="13" s="1"/>
  <c r="JT92" i="13"/>
  <c r="JV92" i="13" s="1"/>
  <c r="JP92" i="13"/>
  <c r="JR92" i="13" s="1"/>
  <c r="JS92" i="13" s="1"/>
  <c r="JB92" i="13"/>
  <c r="JD92" i="13" s="1"/>
  <c r="JE92" i="13" s="1"/>
  <c r="GK92" i="13"/>
  <c r="GM92" i="13" s="1"/>
  <c r="GG92" i="13"/>
  <c r="GI92" i="13" s="1"/>
  <c r="GJ92" i="13" s="1"/>
  <c r="FY92" i="13"/>
  <c r="GA92" i="13" s="1"/>
  <c r="GB92" i="13" s="1"/>
  <c r="ER92" i="13"/>
  <c r="EM92" i="13"/>
  <c r="AG92" i="13" s="1"/>
  <c r="EL92" i="13"/>
  <c r="EK92" i="13"/>
  <c r="EO92" i="13" s="1"/>
  <c r="EG92" i="13"/>
  <c r="GT92" i="13" s="1"/>
  <c r="EE92" i="13"/>
  <c r="EH92" i="13" s="1"/>
  <c r="ED92" i="13"/>
  <c r="EA92" i="13"/>
  <c r="DD92" i="13"/>
  <c r="DC92" i="13"/>
  <c r="CG92" i="13"/>
  <c r="CF92" i="13"/>
  <c r="AA92" i="13"/>
  <c r="X92" i="13"/>
  <c r="S92" i="13"/>
  <c r="Q92" i="13"/>
  <c r="O92" i="13"/>
  <c r="M92" i="13"/>
  <c r="F92" i="13"/>
  <c r="EJ92" i="13" s="1"/>
  <c r="MG91" i="13"/>
  <c r="LZ91" i="13"/>
  <c r="KB91" i="13"/>
  <c r="KD91" i="13" s="1"/>
  <c r="JX91" i="13"/>
  <c r="JZ91" i="13" s="1"/>
  <c r="KA91" i="13" s="1"/>
  <c r="JT91" i="13"/>
  <c r="JV91" i="13" s="1"/>
  <c r="JP91" i="13"/>
  <c r="JR91" i="13" s="1"/>
  <c r="JS91" i="13" s="1"/>
  <c r="JB91" i="13"/>
  <c r="JD91" i="13" s="1"/>
  <c r="JE91" i="13" s="1"/>
  <c r="GK91" i="13"/>
  <c r="GM91" i="13" s="1"/>
  <c r="GG91" i="13"/>
  <c r="GI91" i="13" s="1"/>
  <c r="GJ91" i="13" s="1"/>
  <c r="FY91" i="13"/>
  <c r="GA91" i="13" s="1"/>
  <c r="GB91" i="13" s="1"/>
  <c r="ER91" i="13"/>
  <c r="EL91" i="13"/>
  <c r="EM91" i="13" s="1"/>
  <c r="EK91" i="13"/>
  <c r="EG91" i="13"/>
  <c r="GT91" i="13" s="1"/>
  <c r="EE91" i="13"/>
  <c r="EH91" i="13" s="1"/>
  <c r="EF91" i="13" s="1"/>
  <c r="ED91" i="13"/>
  <c r="EA91" i="13"/>
  <c r="DD91" i="13"/>
  <c r="DC91" i="13"/>
  <c r="CG91" i="13"/>
  <c r="CF91" i="13"/>
  <c r="AH91" i="13"/>
  <c r="AA91" i="13"/>
  <c r="X91" i="13"/>
  <c r="S91" i="13"/>
  <c r="Q91" i="13"/>
  <c r="O91" i="13"/>
  <c r="F91" i="13"/>
  <c r="EJ91" i="13" s="1"/>
  <c r="MG90" i="13"/>
  <c r="LZ90" i="13"/>
  <c r="KB90" i="13"/>
  <c r="KD90" i="13" s="1"/>
  <c r="JX90" i="13"/>
  <c r="JZ90" i="13" s="1"/>
  <c r="KA90" i="13" s="1"/>
  <c r="JT90" i="13"/>
  <c r="JV90" i="13" s="1"/>
  <c r="JP90" i="13"/>
  <c r="JR90" i="13" s="1"/>
  <c r="JS90" i="13" s="1"/>
  <c r="JB90" i="13"/>
  <c r="JD90" i="13" s="1"/>
  <c r="JE90" i="13" s="1"/>
  <c r="GK90" i="13"/>
  <c r="GM90" i="13" s="1"/>
  <c r="GG90" i="13"/>
  <c r="GI90" i="13" s="1"/>
  <c r="GJ90" i="13" s="1"/>
  <c r="FY90" i="13"/>
  <c r="GA90" i="13" s="1"/>
  <c r="GB90" i="13" s="1"/>
  <c r="ER90" i="13"/>
  <c r="EL90" i="13"/>
  <c r="EM90" i="13" s="1"/>
  <c r="AG90" i="13" s="1"/>
  <c r="EK90" i="13"/>
  <c r="MI90" i="13" s="1"/>
  <c r="MM90" i="13" s="1"/>
  <c r="EG90" i="13"/>
  <c r="EE90" i="13"/>
  <c r="AM90" i="13" s="1"/>
  <c r="ED90" i="13"/>
  <c r="EA90" i="13"/>
  <c r="DD90" i="13"/>
  <c r="DC90" i="13"/>
  <c r="CG90" i="13"/>
  <c r="CF90" i="13"/>
  <c r="AH90" i="13"/>
  <c r="AA90" i="13"/>
  <c r="X90" i="13"/>
  <c r="S90" i="13"/>
  <c r="Q90" i="13"/>
  <c r="O90" i="13"/>
  <c r="F90" i="13"/>
  <c r="EJ90" i="13" s="1"/>
  <c r="MG89" i="13"/>
  <c r="LZ89" i="13"/>
  <c r="KB89" i="13"/>
  <c r="KD89" i="13" s="1"/>
  <c r="JX89" i="13"/>
  <c r="JZ89" i="13" s="1"/>
  <c r="KA89" i="13" s="1"/>
  <c r="JT89" i="13"/>
  <c r="JV89" i="13" s="1"/>
  <c r="JP89" i="13"/>
  <c r="JR89" i="13" s="1"/>
  <c r="JS89" i="13" s="1"/>
  <c r="JB89" i="13"/>
  <c r="JD89" i="13" s="1"/>
  <c r="JE89" i="13" s="1"/>
  <c r="GK89" i="13"/>
  <c r="GM89" i="13" s="1"/>
  <c r="GG89" i="13"/>
  <c r="GI89" i="13" s="1"/>
  <c r="GJ89" i="13" s="1"/>
  <c r="FY89" i="13"/>
  <c r="GA89" i="13" s="1"/>
  <c r="GB89" i="13" s="1"/>
  <c r="ER89" i="13"/>
  <c r="EO89" i="13"/>
  <c r="EW89" i="13" s="1"/>
  <c r="EX89" i="13" s="1"/>
  <c r="EL89" i="13"/>
  <c r="EM89" i="13" s="1"/>
  <c r="EK89" i="13"/>
  <c r="MI89" i="13" s="1"/>
  <c r="MM89" i="13" s="1"/>
  <c r="EH89" i="13"/>
  <c r="EI89" i="13" s="1"/>
  <c r="EG89" i="13"/>
  <c r="EE89" i="13"/>
  <c r="M89" i="13" s="1"/>
  <c r="ED89" i="13"/>
  <c r="EA89" i="13"/>
  <c r="DD89" i="13"/>
  <c r="DC89" i="13"/>
  <c r="CG89" i="13"/>
  <c r="CF89" i="13"/>
  <c r="AM89" i="13"/>
  <c r="AH89" i="13"/>
  <c r="AA89" i="13"/>
  <c r="X89" i="13"/>
  <c r="S89" i="13"/>
  <c r="Q89" i="13"/>
  <c r="O89" i="13"/>
  <c r="F89" i="13"/>
  <c r="EJ89" i="13" s="1"/>
  <c r="MG88" i="13"/>
  <c r="LZ88" i="13"/>
  <c r="KB88" i="13"/>
  <c r="KD88" i="13" s="1"/>
  <c r="JX88" i="13"/>
  <c r="JZ88" i="13" s="1"/>
  <c r="JT88" i="13"/>
  <c r="JV88" i="13" s="1"/>
  <c r="JP88" i="13"/>
  <c r="JR88" i="13" s="1"/>
  <c r="JS88" i="13" s="1"/>
  <c r="JB88" i="13"/>
  <c r="JD88" i="13" s="1"/>
  <c r="JE88" i="13" s="1"/>
  <c r="GK88" i="13"/>
  <c r="GM88" i="13" s="1"/>
  <c r="GG88" i="13"/>
  <c r="GI88" i="13" s="1"/>
  <c r="GJ88" i="13" s="1"/>
  <c r="FY88" i="13"/>
  <c r="GA88" i="13" s="1"/>
  <c r="GB88" i="13" s="1"/>
  <c r="ER88" i="13"/>
  <c r="EL88" i="13"/>
  <c r="EM88" i="13" s="1"/>
  <c r="EK88" i="13"/>
  <c r="EO88" i="13" s="1"/>
  <c r="EG88" i="13"/>
  <c r="EE88" i="13"/>
  <c r="AM88" i="13" s="1"/>
  <c r="ED88" i="13"/>
  <c r="EA88" i="13"/>
  <c r="DD88" i="13"/>
  <c r="DC88" i="13"/>
  <c r="CG88" i="13"/>
  <c r="CF88" i="13"/>
  <c r="AH88" i="13"/>
  <c r="AA88" i="13"/>
  <c r="X88" i="13"/>
  <c r="S88" i="13"/>
  <c r="Q88" i="13"/>
  <c r="O88" i="13"/>
  <c r="N88" i="13"/>
  <c r="F88" i="13"/>
  <c r="EJ88" i="13" s="1"/>
  <c r="MG87" i="13"/>
  <c r="LZ87" i="13"/>
  <c r="KB87" i="13"/>
  <c r="KD87" i="13" s="1"/>
  <c r="JX87" i="13"/>
  <c r="JZ87" i="13" s="1"/>
  <c r="KA87" i="13" s="1"/>
  <c r="JT87" i="13"/>
  <c r="JV87" i="13" s="1"/>
  <c r="JP87" i="13"/>
  <c r="JR87" i="13" s="1"/>
  <c r="JS87" i="13" s="1"/>
  <c r="JB87" i="13"/>
  <c r="JD87" i="13" s="1"/>
  <c r="JE87" i="13" s="1"/>
  <c r="GK87" i="13"/>
  <c r="GM87" i="13" s="1"/>
  <c r="GG87" i="13"/>
  <c r="GI87" i="13" s="1"/>
  <c r="GJ87" i="13" s="1"/>
  <c r="FY87" i="13"/>
  <c r="GA87" i="13" s="1"/>
  <c r="GB87" i="13" s="1"/>
  <c r="ER87" i="13"/>
  <c r="EL87" i="13"/>
  <c r="EM87" i="13" s="1"/>
  <c r="AG87" i="13" s="1"/>
  <c r="EK87" i="13"/>
  <c r="EG87" i="13"/>
  <c r="GT87" i="13" s="1"/>
  <c r="EE87" i="13"/>
  <c r="EH87" i="13" s="1"/>
  <c r="EI87" i="13" s="1"/>
  <c r="ED87" i="13"/>
  <c r="EA87" i="13"/>
  <c r="DD87" i="13"/>
  <c r="DC87" i="13"/>
  <c r="CG87" i="13"/>
  <c r="CF87" i="13"/>
  <c r="AA87" i="13"/>
  <c r="X87" i="13"/>
  <c r="S87" i="13"/>
  <c r="Q87" i="13"/>
  <c r="O87" i="13"/>
  <c r="F87" i="13"/>
  <c r="EJ87" i="13" s="1"/>
  <c r="MG86" i="13"/>
  <c r="LZ86" i="13"/>
  <c r="KB86" i="13"/>
  <c r="KD86" i="13" s="1"/>
  <c r="JX86" i="13"/>
  <c r="JZ86" i="13" s="1"/>
  <c r="KA86" i="13" s="1"/>
  <c r="JT86" i="13"/>
  <c r="JV86" i="13" s="1"/>
  <c r="JP86" i="13"/>
  <c r="JR86" i="13" s="1"/>
  <c r="JS86" i="13" s="1"/>
  <c r="JB86" i="13"/>
  <c r="JD86" i="13" s="1"/>
  <c r="JE86" i="13" s="1"/>
  <c r="GK86" i="13"/>
  <c r="GM86" i="13" s="1"/>
  <c r="GG86" i="13"/>
  <c r="GI86" i="13" s="1"/>
  <c r="GJ86" i="13" s="1"/>
  <c r="FY86" i="13"/>
  <c r="GA86" i="13" s="1"/>
  <c r="GB86" i="13" s="1"/>
  <c r="ES86" i="13"/>
  <c r="ER86" i="13"/>
  <c r="AH86" i="13" s="1"/>
  <c r="EL86" i="13"/>
  <c r="EM86" i="13" s="1"/>
  <c r="EK86" i="13"/>
  <c r="EO86" i="13" s="1"/>
  <c r="EC86" i="13" s="1"/>
  <c r="EG86" i="13"/>
  <c r="EE86" i="13"/>
  <c r="ED86" i="13"/>
  <c r="EA86" i="13"/>
  <c r="DD86" i="13"/>
  <c r="DC86" i="13"/>
  <c r="CG86" i="13"/>
  <c r="CF86" i="13"/>
  <c r="AA86" i="13"/>
  <c r="X86" i="13"/>
  <c r="S86" i="13"/>
  <c r="Q86" i="13"/>
  <c r="O86" i="13"/>
  <c r="F86" i="13"/>
  <c r="EJ86" i="13" s="1"/>
  <c r="MG85" i="13"/>
  <c r="LZ85" i="13"/>
  <c r="KB85" i="13"/>
  <c r="KD85" i="13" s="1"/>
  <c r="JX85" i="13"/>
  <c r="JZ85" i="13" s="1"/>
  <c r="KA85" i="13" s="1"/>
  <c r="JT85" i="13"/>
  <c r="JV85" i="13" s="1"/>
  <c r="JP85" i="13"/>
  <c r="JR85" i="13" s="1"/>
  <c r="JS85" i="13" s="1"/>
  <c r="JB85" i="13"/>
  <c r="JD85" i="13" s="1"/>
  <c r="JE85" i="13" s="1"/>
  <c r="GK85" i="13"/>
  <c r="GM85" i="13" s="1"/>
  <c r="GG85" i="13"/>
  <c r="GI85" i="13" s="1"/>
  <c r="GJ85" i="13" s="1"/>
  <c r="FY85" i="13"/>
  <c r="GA85" i="13" s="1"/>
  <c r="GB85" i="13" s="1"/>
  <c r="ES85" i="13"/>
  <c r="IS85" i="13" s="1"/>
  <c r="IU85" i="13" s="1"/>
  <c r="ER85" i="13"/>
  <c r="EL85" i="13"/>
  <c r="EM85" i="13" s="1"/>
  <c r="EK85" i="13"/>
  <c r="EO85" i="13" s="1"/>
  <c r="EW85" i="13" s="1"/>
  <c r="EX85" i="13" s="1"/>
  <c r="EG85" i="13"/>
  <c r="EE85" i="13"/>
  <c r="GT85" i="13" s="1"/>
  <c r="ED85" i="13"/>
  <c r="EA85" i="13"/>
  <c r="DD85" i="13"/>
  <c r="DC85" i="13"/>
  <c r="CG85" i="13"/>
  <c r="CF85" i="13"/>
  <c r="AA85" i="13"/>
  <c r="X85" i="13"/>
  <c r="S85" i="13"/>
  <c r="Q85" i="13"/>
  <c r="O85" i="13"/>
  <c r="F85" i="13"/>
  <c r="EJ85" i="13" s="1"/>
  <c r="AC85" i="13" s="1"/>
  <c r="MG84" i="13"/>
  <c r="LZ84" i="13"/>
  <c r="KB84" i="13"/>
  <c r="KD84" i="13" s="1"/>
  <c r="JX84" i="13"/>
  <c r="JZ84" i="13" s="1"/>
  <c r="KA84" i="13" s="1"/>
  <c r="JT84" i="13"/>
  <c r="JV84" i="13" s="1"/>
  <c r="JP84" i="13"/>
  <c r="JR84" i="13" s="1"/>
  <c r="JS84" i="13" s="1"/>
  <c r="JB84" i="13"/>
  <c r="JD84" i="13" s="1"/>
  <c r="JE84" i="13" s="1"/>
  <c r="GK84" i="13"/>
  <c r="GM84" i="13" s="1"/>
  <c r="GG84" i="13"/>
  <c r="GI84" i="13" s="1"/>
  <c r="GJ84" i="13" s="1"/>
  <c r="FY84" i="13"/>
  <c r="GA84" i="13" s="1"/>
  <c r="GB84" i="13" s="1"/>
  <c r="ER84" i="13"/>
  <c r="AH84" i="13" s="1"/>
  <c r="EL84" i="13"/>
  <c r="EM84" i="13" s="1"/>
  <c r="EP84" i="13" s="1"/>
  <c r="EN84" i="13" s="1"/>
  <c r="EK84" i="13"/>
  <c r="EH84" i="13"/>
  <c r="EF84" i="13" s="1"/>
  <c r="EG84" i="13"/>
  <c r="EE84" i="13"/>
  <c r="ED84" i="13"/>
  <c r="EA84" i="13"/>
  <c r="DD84" i="13"/>
  <c r="DC84" i="13"/>
  <c r="CG84" i="13"/>
  <c r="CF84" i="13"/>
  <c r="AM84" i="13"/>
  <c r="AG84" i="13"/>
  <c r="AA84" i="13"/>
  <c r="X84" i="13"/>
  <c r="S84" i="13"/>
  <c r="Q84" i="13"/>
  <c r="O84" i="13"/>
  <c r="N84" i="13"/>
  <c r="M84" i="13"/>
  <c r="F84" i="13"/>
  <c r="EJ84" i="13" s="1"/>
  <c r="MG83" i="13"/>
  <c r="LZ83" i="13"/>
  <c r="KB83" i="13"/>
  <c r="KD83" i="13" s="1"/>
  <c r="JX83" i="13"/>
  <c r="JZ83" i="13" s="1"/>
  <c r="KA83" i="13" s="1"/>
  <c r="JT83" i="13"/>
  <c r="JV83" i="13" s="1"/>
  <c r="JR83" i="13"/>
  <c r="JS83" i="13" s="1"/>
  <c r="JP83" i="13"/>
  <c r="JB83" i="13"/>
  <c r="JD83" i="13" s="1"/>
  <c r="JE83" i="13" s="1"/>
  <c r="GK83" i="13"/>
  <c r="GM83" i="13" s="1"/>
  <c r="GG83" i="13"/>
  <c r="GI83" i="13" s="1"/>
  <c r="GJ83" i="13" s="1"/>
  <c r="FY83" i="13"/>
  <c r="GA83" i="13" s="1"/>
  <c r="GB83" i="13" s="1"/>
  <c r="ER83" i="13"/>
  <c r="EM83" i="13"/>
  <c r="EP83" i="13" s="1"/>
  <c r="EL83" i="13"/>
  <c r="EK83" i="13"/>
  <c r="EO83" i="13" s="1"/>
  <c r="EC83" i="13" s="1"/>
  <c r="EG83" i="13"/>
  <c r="EE83" i="13"/>
  <c r="AM83" i="13" s="1"/>
  <c r="ED83" i="13"/>
  <c r="EA83" i="13"/>
  <c r="DD83" i="13"/>
  <c r="DC83" i="13"/>
  <c r="CG83" i="13"/>
  <c r="CF83" i="13"/>
  <c r="AH83" i="13"/>
  <c r="AA83" i="13"/>
  <c r="X83" i="13"/>
  <c r="S83" i="13"/>
  <c r="Q83" i="13"/>
  <c r="O83" i="13"/>
  <c r="F83" i="13"/>
  <c r="EJ83" i="13" s="1"/>
  <c r="AC83" i="13" s="1"/>
  <c r="MG82" i="13"/>
  <c r="LZ82" i="13"/>
  <c r="KB82" i="13"/>
  <c r="KD82" i="13" s="1"/>
  <c r="JX82" i="13"/>
  <c r="JZ82" i="13" s="1"/>
  <c r="KA82" i="13" s="1"/>
  <c r="JT82" i="13"/>
  <c r="JV82" i="13" s="1"/>
  <c r="JP82" i="13"/>
  <c r="JR82" i="13" s="1"/>
  <c r="JS82" i="13" s="1"/>
  <c r="JB82" i="13"/>
  <c r="JD82" i="13" s="1"/>
  <c r="JE82" i="13" s="1"/>
  <c r="GM82" i="13"/>
  <c r="GK82" i="13"/>
  <c r="GG82" i="13"/>
  <c r="GI82" i="13" s="1"/>
  <c r="GJ82" i="13" s="1"/>
  <c r="FY82" i="13"/>
  <c r="GA82" i="13" s="1"/>
  <c r="GB82" i="13" s="1"/>
  <c r="ER82" i="13"/>
  <c r="EL82" i="13"/>
  <c r="EM82" i="13" s="1"/>
  <c r="EP82" i="13" s="1"/>
  <c r="EK82" i="13"/>
  <c r="EO82" i="13" s="1"/>
  <c r="EW82" i="13" s="1"/>
  <c r="EX82" i="13" s="1"/>
  <c r="EG82" i="13"/>
  <c r="EE82" i="13"/>
  <c r="AM82" i="13" s="1"/>
  <c r="ED82" i="13"/>
  <c r="EC82" i="13"/>
  <c r="EA82" i="13"/>
  <c r="DD82" i="13"/>
  <c r="DC82" i="13"/>
  <c r="CG82" i="13"/>
  <c r="CF82" i="13"/>
  <c r="AA82" i="13"/>
  <c r="X82" i="13"/>
  <c r="S82" i="13"/>
  <c r="Q82" i="13"/>
  <c r="O82" i="13"/>
  <c r="F82" i="13"/>
  <c r="EJ82" i="13" s="1"/>
  <c r="MG81" i="13"/>
  <c r="LZ81" i="13"/>
  <c r="KB81" i="13"/>
  <c r="KD81" i="13" s="1"/>
  <c r="JX81" i="13"/>
  <c r="JZ81" i="13" s="1"/>
  <c r="KA81" i="13" s="1"/>
  <c r="JT81" i="13"/>
  <c r="JV81" i="13" s="1"/>
  <c r="JP81" i="13"/>
  <c r="JR81" i="13" s="1"/>
  <c r="JS81" i="13" s="1"/>
  <c r="JB81" i="13"/>
  <c r="JD81" i="13" s="1"/>
  <c r="JE81" i="13" s="1"/>
  <c r="GK81" i="13"/>
  <c r="GM81" i="13" s="1"/>
  <c r="GG81" i="13"/>
  <c r="GI81" i="13" s="1"/>
  <c r="GJ81" i="13" s="1"/>
  <c r="FY81" i="13"/>
  <c r="GA81" i="13" s="1"/>
  <c r="GB81" i="13" s="1"/>
  <c r="ER81" i="13"/>
  <c r="EL81" i="13"/>
  <c r="EM81" i="13" s="1"/>
  <c r="EK81" i="13"/>
  <c r="EO81" i="13" s="1"/>
  <c r="EG81" i="13"/>
  <c r="EE81" i="13"/>
  <c r="AM81" i="13" s="1"/>
  <c r="ED81" i="13"/>
  <c r="EA81" i="13"/>
  <c r="DD81" i="13"/>
  <c r="DC81" i="13"/>
  <c r="CG81" i="13"/>
  <c r="CF81" i="13"/>
  <c r="AA81" i="13"/>
  <c r="X81" i="13"/>
  <c r="S81" i="13"/>
  <c r="Q81" i="13"/>
  <c r="O81" i="13"/>
  <c r="M81" i="13"/>
  <c r="F81" i="13"/>
  <c r="EJ81" i="13" s="1"/>
  <c r="MG80" i="13"/>
  <c r="LZ80" i="13"/>
  <c r="KB80" i="13"/>
  <c r="KD80" i="13" s="1"/>
  <c r="JX80" i="13"/>
  <c r="JZ80" i="13" s="1"/>
  <c r="KA80" i="13" s="1"/>
  <c r="JT80" i="13"/>
  <c r="JV80" i="13" s="1"/>
  <c r="JP80" i="13"/>
  <c r="JR80" i="13" s="1"/>
  <c r="JS80" i="13" s="1"/>
  <c r="JB80" i="13"/>
  <c r="JD80" i="13" s="1"/>
  <c r="JE80" i="13" s="1"/>
  <c r="GK80" i="13"/>
  <c r="GM80" i="13" s="1"/>
  <c r="GG80" i="13"/>
  <c r="GI80" i="13" s="1"/>
  <c r="GJ80" i="13" s="1"/>
  <c r="FY80" i="13"/>
  <c r="GA80" i="13" s="1"/>
  <c r="GB80" i="13" s="1"/>
  <c r="ER80" i="13"/>
  <c r="EL80" i="13"/>
  <c r="EM80" i="13" s="1"/>
  <c r="EP80" i="13" s="1"/>
  <c r="EK80" i="13"/>
  <c r="EO80" i="13" s="1"/>
  <c r="EG80" i="13"/>
  <c r="EE80" i="13"/>
  <c r="EH80" i="13" s="1"/>
  <c r="ED80" i="13"/>
  <c r="EA80" i="13"/>
  <c r="DD80" i="13"/>
  <c r="DC80" i="13"/>
  <c r="CG80" i="13"/>
  <c r="CF80" i="13"/>
  <c r="AM80" i="13"/>
  <c r="AA80" i="13"/>
  <c r="X80" i="13"/>
  <c r="S80" i="13"/>
  <c r="Q80" i="13"/>
  <c r="O80" i="13"/>
  <c r="F80" i="13"/>
  <c r="EJ80" i="13" s="1"/>
  <c r="MG79" i="13"/>
  <c r="LZ79" i="13"/>
  <c r="KB79" i="13"/>
  <c r="KD79" i="13" s="1"/>
  <c r="JX79" i="13"/>
  <c r="JZ79" i="13" s="1"/>
  <c r="KA79" i="13" s="1"/>
  <c r="JT79" i="13"/>
  <c r="JV79" i="13" s="1"/>
  <c r="JP79" i="13"/>
  <c r="JR79" i="13" s="1"/>
  <c r="JS79" i="13" s="1"/>
  <c r="JB79" i="13"/>
  <c r="JD79" i="13" s="1"/>
  <c r="JE79" i="13" s="1"/>
  <c r="GK79" i="13"/>
  <c r="GM79" i="13" s="1"/>
  <c r="GG79" i="13"/>
  <c r="GI79" i="13" s="1"/>
  <c r="GJ79" i="13" s="1"/>
  <c r="FY79" i="13"/>
  <c r="GA79" i="13" s="1"/>
  <c r="GB79" i="13" s="1"/>
  <c r="ER79" i="13"/>
  <c r="EL79" i="13"/>
  <c r="EM79" i="13" s="1"/>
  <c r="EK79" i="13"/>
  <c r="MI79" i="13" s="1"/>
  <c r="MM79" i="13" s="1"/>
  <c r="NA79" i="13" s="1"/>
  <c r="EG79" i="13"/>
  <c r="EE79" i="13"/>
  <c r="AM79" i="13" s="1"/>
  <c r="ED79" i="13"/>
  <c r="EA79" i="13"/>
  <c r="DD79" i="13"/>
  <c r="DC79" i="13"/>
  <c r="CG79" i="13"/>
  <c r="CF79" i="13"/>
  <c r="AH79" i="13"/>
  <c r="AA79" i="13"/>
  <c r="X79" i="13"/>
  <c r="S79" i="13"/>
  <c r="Q79" i="13"/>
  <c r="O79" i="13"/>
  <c r="F79" i="13"/>
  <c r="EJ79" i="13" s="1"/>
  <c r="MI78" i="13"/>
  <c r="MM78" i="13" s="1"/>
  <c r="MG78" i="13"/>
  <c r="LZ78" i="13"/>
  <c r="KB78" i="13"/>
  <c r="KD78" i="13" s="1"/>
  <c r="JX78" i="13"/>
  <c r="JZ78" i="13" s="1"/>
  <c r="KA78" i="13" s="1"/>
  <c r="JT78" i="13"/>
  <c r="JV78" i="13" s="1"/>
  <c r="JP78" i="13"/>
  <c r="JR78" i="13" s="1"/>
  <c r="JS78" i="13" s="1"/>
  <c r="JB78" i="13"/>
  <c r="JD78" i="13" s="1"/>
  <c r="JE78" i="13" s="1"/>
  <c r="GK78" i="13"/>
  <c r="GM78" i="13" s="1"/>
  <c r="GG78" i="13"/>
  <c r="GI78" i="13" s="1"/>
  <c r="GJ78" i="13" s="1"/>
  <c r="FY78" i="13"/>
  <c r="GA78" i="13" s="1"/>
  <c r="GB78" i="13" s="1"/>
  <c r="ER78" i="13"/>
  <c r="EO78" i="13"/>
  <c r="EL78" i="13"/>
  <c r="EM78" i="13" s="1"/>
  <c r="EK78" i="13"/>
  <c r="EG78" i="13"/>
  <c r="EE78" i="13"/>
  <c r="AM78" i="13" s="1"/>
  <c r="ED78" i="13"/>
  <c r="EA78" i="13"/>
  <c r="DD78" i="13"/>
  <c r="DC78" i="13"/>
  <c r="CG78" i="13"/>
  <c r="CF78" i="13"/>
  <c r="AH78" i="13"/>
  <c r="AA78" i="13"/>
  <c r="X78" i="13"/>
  <c r="S78" i="13"/>
  <c r="Q78" i="13"/>
  <c r="O78" i="13"/>
  <c r="F78" i="13"/>
  <c r="EJ78" i="13" s="1"/>
  <c r="MG77" i="13"/>
  <c r="LZ77" i="13"/>
  <c r="KB77" i="13"/>
  <c r="KD77" i="13" s="1"/>
  <c r="JX77" i="13"/>
  <c r="JZ77" i="13" s="1"/>
  <c r="KA77" i="13" s="1"/>
  <c r="JT77" i="13"/>
  <c r="JV77" i="13" s="1"/>
  <c r="JP77" i="13"/>
  <c r="JR77" i="13" s="1"/>
  <c r="JS77" i="13" s="1"/>
  <c r="JB77" i="13"/>
  <c r="JD77" i="13" s="1"/>
  <c r="JE77" i="13" s="1"/>
  <c r="GK77" i="13"/>
  <c r="GM77" i="13" s="1"/>
  <c r="GG77" i="13"/>
  <c r="GI77" i="13" s="1"/>
  <c r="GJ77" i="13" s="1"/>
  <c r="FY77" i="13"/>
  <c r="GA77" i="13" s="1"/>
  <c r="GB77" i="13" s="1"/>
  <c r="ER77" i="13"/>
  <c r="EO77" i="13"/>
  <c r="EW77" i="13" s="1"/>
  <c r="EX77" i="13" s="1"/>
  <c r="EM77" i="13"/>
  <c r="EL77" i="13"/>
  <c r="EK77" i="13"/>
  <c r="MI77" i="13" s="1"/>
  <c r="MM77" i="13" s="1"/>
  <c r="MY77" i="13" s="1"/>
  <c r="EG77" i="13"/>
  <c r="EE77" i="13"/>
  <c r="AM77" i="13" s="1"/>
  <c r="ED77" i="13"/>
  <c r="EA77" i="13"/>
  <c r="DD77" i="13"/>
  <c r="DC77" i="13"/>
  <c r="CG77" i="13"/>
  <c r="CF77" i="13"/>
  <c r="AH77" i="13"/>
  <c r="AA77" i="13"/>
  <c r="X77" i="13"/>
  <c r="S77" i="13"/>
  <c r="Q77" i="13"/>
  <c r="O77" i="13"/>
  <c r="F77" i="13"/>
  <c r="EJ77" i="13" s="1"/>
  <c r="MG76" i="13"/>
  <c r="LZ76" i="13"/>
  <c r="KB76" i="13"/>
  <c r="KD76" i="13" s="1"/>
  <c r="JX76" i="13"/>
  <c r="JZ76" i="13" s="1"/>
  <c r="KA76" i="13" s="1"/>
  <c r="JT76" i="13"/>
  <c r="JV76" i="13" s="1"/>
  <c r="JP76" i="13"/>
  <c r="JR76" i="13" s="1"/>
  <c r="JS76" i="13" s="1"/>
  <c r="JB76" i="13"/>
  <c r="JD76" i="13" s="1"/>
  <c r="JE76" i="13" s="1"/>
  <c r="GK76" i="13"/>
  <c r="GM76" i="13" s="1"/>
  <c r="GG76" i="13"/>
  <c r="GI76" i="13" s="1"/>
  <c r="GJ76" i="13" s="1"/>
  <c r="FY76" i="13"/>
  <c r="GA76" i="13" s="1"/>
  <c r="GB76" i="13" s="1"/>
  <c r="ER76" i="13"/>
  <c r="EM76" i="13"/>
  <c r="EL76" i="13"/>
  <c r="EK76" i="13"/>
  <c r="MI76" i="13" s="1"/>
  <c r="MM76" i="13" s="1"/>
  <c r="MO76" i="13" s="1"/>
  <c r="EG76" i="13"/>
  <c r="EE76" i="13"/>
  <c r="EH76" i="13" s="1"/>
  <c r="ED76" i="13"/>
  <c r="EA76" i="13"/>
  <c r="DD76" i="13"/>
  <c r="DC76" i="13"/>
  <c r="CG76" i="13"/>
  <c r="CF76" i="13"/>
  <c r="AA76" i="13"/>
  <c r="X76" i="13"/>
  <c r="S76" i="13"/>
  <c r="Q76" i="13"/>
  <c r="O76" i="13"/>
  <c r="F76" i="13"/>
  <c r="EJ76" i="13" s="1"/>
  <c r="MG75" i="13"/>
  <c r="LZ75" i="13"/>
  <c r="KB75" i="13"/>
  <c r="KD75" i="13" s="1"/>
  <c r="JX75" i="13"/>
  <c r="JZ75" i="13" s="1"/>
  <c r="KA75" i="13" s="1"/>
  <c r="JT75" i="13"/>
  <c r="JV75" i="13" s="1"/>
  <c r="JR75" i="13"/>
  <c r="JS75" i="13" s="1"/>
  <c r="JP75" i="13"/>
  <c r="JB75" i="13"/>
  <c r="JD75" i="13" s="1"/>
  <c r="JE75" i="13" s="1"/>
  <c r="GK75" i="13"/>
  <c r="GM75" i="13" s="1"/>
  <c r="GG75" i="13"/>
  <c r="GI75" i="13" s="1"/>
  <c r="GJ75" i="13" s="1"/>
  <c r="FY75" i="13"/>
  <c r="GA75" i="13" s="1"/>
  <c r="GB75" i="13" s="1"/>
  <c r="ER75" i="13"/>
  <c r="EL75" i="13"/>
  <c r="EM75" i="13" s="1"/>
  <c r="EK75" i="13"/>
  <c r="EG75" i="13"/>
  <c r="GT75" i="13" s="1"/>
  <c r="EE75" i="13"/>
  <c r="EH75" i="13" s="1"/>
  <c r="ED75" i="13"/>
  <c r="EA75" i="13"/>
  <c r="DD75" i="13"/>
  <c r="DC75" i="13"/>
  <c r="CG75" i="13"/>
  <c r="CF75" i="13"/>
  <c r="AA75" i="13"/>
  <c r="X75" i="13"/>
  <c r="S75" i="13"/>
  <c r="Q75" i="13"/>
  <c r="O75" i="13"/>
  <c r="N75" i="13"/>
  <c r="F75" i="13"/>
  <c r="EJ75" i="13" s="1"/>
  <c r="MG74" i="13"/>
  <c r="LZ74" i="13"/>
  <c r="KB74" i="13"/>
  <c r="KD74" i="13" s="1"/>
  <c r="JX74" i="13"/>
  <c r="JZ74" i="13" s="1"/>
  <c r="KA74" i="13" s="1"/>
  <c r="JT74" i="13"/>
  <c r="JV74" i="13" s="1"/>
  <c r="JP74" i="13"/>
  <c r="JR74" i="13" s="1"/>
  <c r="JS74" i="13" s="1"/>
  <c r="JB74" i="13"/>
  <c r="JD74" i="13" s="1"/>
  <c r="JE74" i="13" s="1"/>
  <c r="GK74" i="13"/>
  <c r="GM74" i="13" s="1"/>
  <c r="GG74" i="13"/>
  <c r="GI74" i="13" s="1"/>
  <c r="GJ74" i="13" s="1"/>
  <c r="FY74" i="13"/>
  <c r="GA74" i="13" s="1"/>
  <c r="GB74" i="13" s="1"/>
  <c r="ER74" i="13"/>
  <c r="EL74" i="13"/>
  <c r="EM74" i="13" s="1"/>
  <c r="EK74" i="13"/>
  <c r="EG74" i="13"/>
  <c r="GT74" i="13" s="1"/>
  <c r="EE74" i="13"/>
  <c r="EH74" i="13" s="1"/>
  <c r="ED74" i="13"/>
  <c r="EA74" i="13"/>
  <c r="DD74" i="13"/>
  <c r="DC74" i="13"/>
  <c r="CG74" i="13"/>
  <c r="CF74" i="13"/>
  <c r="AA74" i="13"/>
  <c r="X74" i="13"/>
  <c r="S74" i="13"/>
  <c r="Q74" i="13"/>
  <c r="O74" i="13"/>
  <c r="F74" i="13"/>
  <c r="EJ74" i="13" s="1"/>
  <c r="MG73" i="13"/>
  <c r="LZ73" i="13"/>
  <c r="KD73" i="13"/>
  <c r="KB73" i="13"/>
  <c r="JX73" i="13"/>
  <c r="JZ73" i="13" s="1"/>
  <c r="KA73" i="13" s="1"/>
  <c r="JT73" i="13"/>
  <c r="JV73" i="13" s="1"/>
  <c r="JP73" i="13"/>
  <c r="JR73" i="13" s="1"/>
  <c r="JS73" i="13" s="1"/>
  <c r="JB73" i="13"/>
  <c r="JD73" i="13" s="1"/>
  <c r="JE73" i="13" s="1"/>
  <c r="GK73" i="13"/>
  <c r="GM73" i="13" s="1"/>
  <c r="GG73" i="13"/>
  <c r="GI73" i="13" s="1"/>
  <c r="GJ73" i="13" s="1"/>
  <c r="FY73" i="13"/>
  <c r="GA73" i="13" s="1"/>
  <c r="GB73" i="13" s="1"/>
  <c r="ER73" i="13"/>
  <c r="EL73" i="13"/>
  <c r="EM73" i="13" s="1"/>
  <c r="EK73" i="13"/>
  <c r="EO73" i="13" s="1"/>
  <c r="EG73" i="13"/>
  <c r="GT73" i="13" s="1"/>
  <c r="EE73" i="13"/>
  <c r="EH73" i="13" s="1"/>
  <c r="EF73" i="13" s="1"/>
  <c r="ED73" i="13"/>
  <c r="EA73" i="13"/>
  <c r="DD73" i="13"/>
  <c r="DC73" i="13"/>
  <c r="CG73" i="13"/>
  <c r="CF73" i="13"/>
  <c r="AH73" i="13"/>
  <c r="AA73" i="13"/>
  <c r="X73" i="13"/>
  <c r="S73" i="13"/>
  <c r="Q73" i="13"/>
  <c r="O73" i="13"/>
  <c r="F73" i="13"/>
  <c r="EJ73" i="13" s="1"/>
  <c r="MG72" i="13"/>
  <c r="LZ72" i="13"/>
  <c r="KB72" i="13"/>
  <c r="KD72" i="13" s="1"/>
  <c r="JX72" i="13"/>
  <c r="JZ72" i="13" s="1"/>
  <c r="KA72" i="13" s="1"/>
  <c r="JT72" i="13"/>
  <c r="JV72" i="13" s="1"/>
  <c r="JP72" i="13"/>
  <c r="JR72" i="13" s="1"/>
  <c r="JS72" i="13" s="1"/>
  <c r="JB72" i="13"/>
  <c r="JD72" i="13" s="1"/>
  <c r="JE72" i="13" s="1"/>
  <c r="GK72" i="13"/>
  <c r="GM72" i="13" s="1"/>
  <c r="GG72" i="13"/>
  <c r="GI72" i="13" s="1"/>
  <c r="GJ72" i="13" s="1"/>
  <c r="FY72" i="13"/>
  <c r="GA72" i="13" s="1"/>
  <c r="GB72" i="13" s="1"/>
  <c r="ER72" i="13"/>
  <c r="EL72" i="13"/>
  <c r="EM72" i="13" s="1"/>
  <c r="EK72" i="13"/>
  <c r="EO72" i="13" s="1"/>
  <c r="EG72" i="13"/>
  <c r="GT72" i="13" s="1"/>
  <c r="EE72" i="13"/>
  <c r="EH72" i="13" s="1"/>
  <c r="ED72" i="13"/>
  <c r="EA72" i="13"/>
  <c r="DD72" i="13"/>
  <c r="DC72" i="13"/>
  <c r="CG72" i="13"/>
  <c r="CF72" i="13"/>
  <c r="AH72" i="13"/>
  <c r="AA72" i="13"/>
  <c r="X72" i="13"/>
  <c r="S72" i="13"/>
  <c r="Q72" i="13"/>
  <c r="O72" i="13"/>
  <c r="F72" i="13"/>
  <c r="EJ72" i="13" s="1"/>
  <c r="MG71" i="13"/>
  <c r="LZ71" i="13"/>
  <c r="KB71" i="13"/>
  <c r="KD71" i="13" s="1"/>
  <c r="JX71" i="13"/>
  <c r="JZ71" i="13" s="1"/>
  <c r="KA71" i="13" s="1"/>
  <c r="JT71" i="13"/>
  <c r="JV71" i="13" s="1"/>
  <c r="JP71" i="13"/>
  <c r="JR71" i="13" s="1"/>
  <c r="JS71" i="13" s="1"/>
  <c r="JB71" i="13"/>
  <c r="JD71" i="13" s="1"/>
  <c r="JE71" i="13" s="1"/>
  <c r="GK71" i="13"/>
  <c r="GM71" i="13" s="1"/>
  <c r="GG71" i="13"/>
  <c r="GI71" i="13" s="1"/>
  <c r="GJ71" i="13" s="1"/>
  <c r="FY71" i="13"/>
  <c r="GA71" i="13" s="1"/>
  <c r="GB71" i="13" s="1"/>
  <c r="ER71" i="13"/>
  <c r="EL71" i="13"/>
  <c r="EM71" i="13" s="1"/>
  <c r="EK71" i="13"/>
  <c r="EO71" i="13" s="1"/>
  <c r="EW71" i="13" s="1"/>
  <c r="EX71" i="13" s="1"/>
  <c r="EG71" i="13"/>
  <c r="EE71" i="13"/>
  <c r="EH71" i="13" s="1"/>
  <c r="ED71" i="13"/>
  <c r="EA71" i="13"/>
  <c r="DD71" i="13"/>
  <c r="DC71" i="13"/>
  <c r="CG71" i="13"/>
  <c r="CF71" i="13"/>
  <c r="AM71" i="13"/>
  <c r="AH71" i="13"/>
  <c r="AA71" i="13"/>
  <c r="X71" i="13"/>
  <c r="S71" i="13"/>
  <c r="Q71" i="13"/>
  <c r="O71" i="13"/>
  <c r="M71" i="13"/>
  <c r="F71" i="13"/>
  <c r="EJ71" i="13" s="1"/>
  <c r="MG70" i="13"/>
  <c r="LZ70" i="13"/>
  <c r="KB70" i="13"/>
  <c r="KD70" i="13" s="1"/>
  <c r="JX70" i="13"/>
  <c r="JZ70" i="13" s="1"/>
  <c r="KA70" i="13" s="1"/>
  <c r="JT70" i="13"/>
  <c r="JV70" i="13" s="1"/>
  <c r="JS70" i="13"/>
  <c r="JR70" i="13"/>
  <c r="JP70" i="13"/>
  <c r="JB70" i="13"/>
  <c r="JD70" i="13" s="1"/>
  <c r="JE70" i="13" s="1"/>
  <c r="GK70" i="13"/>
  <c r="GM70" i="13" s="1"/>
  <c r="GG70" i="13"/>
  <c r="GI70" i="13" s="1"/>
  <c r="GJ70" i="13" s="1"/>
  <c r="FY70" i="13"/>
  <c r="GA70" i="13" s="1"/>
  <c r="GB70" i="13" s="1"/>
  <c r="ER70" i="13"/>
  <c r="EL70" i="13"/>
  <c r="EM70" i="13" s="1"/>
  <c r="EK70" i="13"/>
  <c r="EO70" i="13" s="1"/>
  <c r="EW70" i="13" s="1"/>
  <c r="EX70" i="13" s="1"/>
  <c r="EG70" i="13"/>
  <c r="EE70" i="13"/>
  <c r="AM70" i="13" s="1"/>
  <c r="ED70" i="13"/>
  <c r="EA70" i="13"/>
  <c r="DD70" i="13"/>
  <c r="DC70" i="13"/>
  <c r="CG70" i="13"/>
  <c r="CF70" i="13"/>
  <c r="AH70" i="13"/>
  <c r="AA70" i="13"/>
  <c r="X70" i="13"/>
  <c r="S70" i="13"/>
  <c r="Q70" i="13"/>
  <c r="O70" i="13"/>
  <c r="M70" i="13"/>
  <c r="F70" i="13"/>
  <c r="EJ70" i="13" s="1"/>
  <c r="MG69" i="13"/>
  <c r="LZ69" i="13"/>
  <c r="KB69" i="13"/>
  <c r="KD69" i="13" s="1"/>
  <c r="JX69" i="13"/>
  <c r="JZ69" i="13" s="1"/>
  <c r="KA69" i="13" s="1"/>
  <c r="JT69" i="13"/>
  <c r="JV69" i="13" s="1"/>
  <c r="JP69" i="13"/>
  <c r="JR69" i="13" s="1"/>
  <c r="JS69" i="13" s="1"/>
  <c r="JB69" i="13"/>
  <c r="JD69" i="13" s="1"/>
  <c r="JE69" i="13" s="1"/>
  <c r="GM69" i="13"/>
  <c r="GK69" i="13"/>
  <c r="GG69" i="13"/>
  <c r="GI69" i="13" s="1"/>
  <c r="GJ69" i="13" s="1"/>
  <c r="FY69" i="13"/>
  <c r="GA69" i="13" s="1"/>
  <c r="GB69" i="13" s="1"/>
  <c r="ER69" i="13"/>
  <c r="EL69" i="13"/>
  <c r="EM69" i="13" s="1"/>
  <c r="EK69" i="13"/>
  <c r="EO69" i="13" s="1"/>
  <c r="EG69" i="13"/>
  <c r="EE69" i="13"/>
  <c r="ED69" i="13"/>
  <c r="EA69" i="13"/>
  <c r="DD69" i="13"/>
  <c r="DC69" i="13"/>
  <c r="CG69" i="13"/>
  <c r="CF69" i="13"/>
  <c r="AH69" i="13"/>
  <c r="AA69" i="13"/>
  <c r="X69" i="13"/>
  <c r="S69" i="13"/>
  <c r="Q69" i="13"/>
  <c r="O69" i="13"/>
  <c r="F69" i="13"/>
  <c r="EJ69" i="13" s="1"/>
  <c r="MG68" i="13"/>
  <c r="LZ68" i="13"/>
  <c r="KB68" i="13"/>
  <c r="KD68" i="13" s="1"/>
  <c r="JX68" i="13"/>
  <c r="JZ68" i="13" s="1"/>
  <c r="KA68" i="13" s="1"/>
  <c r="JT68" i="13"/>
  <c r="JV68" i="13" s="1"/>
  <c r="JP68" i="13"/>
  <c r="JR68" i="13" s="1"/>
  <c r="JS68" i="13" s="1"/>
  <c r="JD68" i="13"/>
  <c r="JE68" i="13" s="1"/>
  <c r="JB68" i="13"/>
  <c r="GK68" i="13"/>
  <c r="GM68" i="13" s="1"/>
  <c r="GG68" i="13"/>
  <c r="GI68" i="13" s="1"/>
  <c r="GJ68" i="13" s="1"/>
  <c r="FY68" i="13"/>
  <c r="GA68" i="13" s="1"/>
  <c r="GB68" i="13" s="1"/>
  <c r="ER68" i="13"/>
  <c r="EL68" i="13"/>
  <c r="EM68" i="13" s="1"/>
  <c r="EK68" i="13"/>
  <c r="EO68" i="13" s="1"/>
  <c r="EG68" i="13"/>
  <c r="EE68" i="13"/>
  <c r="ED68" i="13"/>
  <c r="EA68" i="13"/>
  <c r="DD68" i="13"/>
  <c r="DC68" i="13"/>
  <c r="CG68" i="13"/>
  <c r="CF68" i="13"/>
  <c r="AH68" i="13"/>
  <c r="AA68" i="13"/>
  <c r="X68" i="13"/>
  <c r="S68" i="13"/>
  <c r="Q68" i="13"/>
  <c r="O68" i="13"/>
  <c r="M68" i="13"/>
  <c r="F68" i="13"/>
  <c r="EJ68" i="13" s="1"/>
  <c r="MG67" i="13"/>
  <c r="LZ67" i="13"/>
  <c r="KB67" i="13"/>
  <c r="KD67" i="13" s="1"/>
  <c r="JX67" i="13"/>
  <c r="JZ67" i="13" s="1"/>
  <c r="KA67" i="13" s="1"/>
  <c r="JT67" i="13"/>
  <c r="JV67" i="13" s="1"/>
  <c r="JP67" i="13"/>
  <c r="JR67" i="13" s="1"/>
  <c r="JS67" i="13" s="1"/>
  <c r="JB67" i="13"/>
  <c r="JD67" i="13" s="1"/>
  <c r="JE67" i="13" s="1"/>
  <c r="GK67" i="13"/>
  <c r="GM67" i="13" s="1"/>
  <c r="GG67" i="13"/>
  <c r="GI67" i="13" s="1"/>
  <c r="GJ67" i="13" s="1"/>
  <c r="FY67" i="13"/>
  <c r="GA67" i="13" s="1"/>
  <c r="GB67" i="13" s="1"/>
  <c r="ER67" i="13"/>
  <c r="EL67" i="13"/>
  <c r="EM67" i="13" s="1"/>
  <c r="EK67" i="13"/>
  <c r="EG67" i="13"/>
  <c r="GT67" i="13" s="1"/>
  <c r="EE67" i="13"/>
  <c r="AM67" i="13" s="1"/>
  <c r="ED67" i="13"/>
  <c r="EA67" i="13"/>
  <c r="DD67" i="13"/>
  <c r="DC67" i="13"/>
  <c r="CG67" i="13"/>
  <c r="CF67" i="13"/>
  <c r="AH67" i="13"/>
  <c r="AA67" i="13"/>
  <c r="X67" i="13"/>
  <c r="S67" i="13"/>
  <c r="Q67" i="13"/>
  <c r="O67" i="13"/>
  <c r="F67" i="13"/>
  <c r="EJ67" i="13" s="1"/>
  <c r="MG66" i="13"/>
  <c r="LZ66" i="13"/>
  <c r="KD66" i="13"/>
  <c r="KB66" i="13"/>
  <c r="JX66" i="13"/>
  <c r="JZ66" i="13" s="1"/>
  <c r="KA66" i="13" s="1"/>
  <c r="JT66" i="13"/>
  <c r="JV66" i="13" s="1"/>
  <c r="JP66" i="13"/>
  <c r="JR66" i="13" s="1"/>
  <c r="JS66" i="13" s="1"/>
  <c r="JB66" i="13"/>
  <c r="JD66" i="13" s="1"/>
  <c r="JE66" i="13" s="1"/>
  <c r="GK66" i="13"/>
  <c r="GM66" i="13" s="1"/>
  <c r="GG66" i="13"/>
  <c r="GI66" i="13" s="1"/>
  <c r="GJ66" i="13" s="1"/>
  <c r="FY66" i="13"/>
  <c r="GA66" i="13" s="1"/>
  <c r="GB66" i="13" s="1"/>
  <c r="ER66" i="13"/>
  <c r="EL66" i="13"/>
  <c r="EM66" i="13" s="1"/>
  <c r="EK66" i="13"/>
  <c r="MI66" i="13" s="1"/>
  <c r="MM66" i="13" s="1"/>
  <c r="EG66" i="13"/>
  <c r="GT66" i="13" s="1"/>
  <c r="EE66" i="13"/>
  <c r="EH66" i="13" s="1"/>
  <c r="EF66" i="13" s="1"/>
  <c r="ED66" i="13"/>
  <c r="EA66" i="13"/>
  <c r="DD66" i="13"/>
  <c r="DC66" i="13"/>
  <c r="CG66" i="13"/>
  <c r="CF66" i="13"/>
  <c r="AH66" i="13"/>
  <c r="AA66" i="13"/>
  <c r="X66" i="13"/>
  <c r="S66" i="13"/>
  <c r="Q66" i="13"/>
  <c r="O66" i="13"/>
  <c r="F66" i="13"/>
  <c r="EJ66" i="13" s="1"/>
  <c r="MI65" i="13"/>
  <c r="MM65" i="13" s="1"/>
  <c r="MG65" i="13"/>
  <c r="LZ65" i="13"/>
  <c r="KB65" i="13"/>
  <c r="KD65" i="13" s="1"/>
  <c r="JX65" i="13"/>
  <c r="JZ65" i="13" s="1"/>
  <c r="KA65" i="13" s="1"/>
  <c r="JT65" i="13"/>
  <c r="JV65" i="13" s="1"/>
  <c r="JP65" i="13"/>
  <c r="JR65" i="13" s="1"/>
  <c r="JS65" i="13" s="1"/>
  <c r="JB65" i="13"/>
  <c r="JD65" i="13" s="1"/>
  <c r="JE65" i="13" s="1"/>
  <c r="GK65" i="13"/>
  <c r="GM65" i="13" s="1"/>
  <c r="GG65" i="13"/>
  <c r="GI65" i="13" s="1"/>
  <c r="GJ65" i="13" s="1"/>
  <c r="FY65" i="13"/>
  <c r="GA65" i="13" s="1"/>
  <c r="GB65" i="13" s="1"/>
  <c r="ER65" i="13"/>
  <c r="AH65" i="13" s="1"/>
  <c r="EL65" i="13"/>
  <c r="EM65" i="13" s="1"/>
  <c r="EK65" i="13"/>
  <c r="EO65" i="13" s="1"/>
  <c r="EW65" i="13" s="1"/>
  <c r="EX65" i="13" s="1"/>
  <c r="EG65" i="13"/>
  <c r="EE65" i="13"/>
  <c r="GT65" i="13" s="1"/>
  <c r="ED65" i="13"/>
  <c r="EA65" i="13"/>
  <c r="DD65" i="13"/>
  <c r="DC65" i="13"/>
  <c r="CG65" i="13"/>
  <c r="CF65" i="13"/>
  <c r="AM65" i="13"/>
  <c r="AA65" i="13"/>
  <c r="X65" i="13"/>
  <c r="S65" i="13"/>
  <c r="Q65" i="13"/>
  <c r="O65" i="13"/>
  <c r="M65" i="13"/>
  <c r="F65" i="13"/>
  <c r="EJ65" i="13" s="1"/>
  <c r="MG64" i="13"/>
  <c r="LZ64" i="13"/>
  <c r="KB64" i="13"/>
  <c r="KD64" i="13" s="1"/>
  <c r="JX64" i="13"/>
  <c r="JZ64" i="13" s="1"/>
  <c r="KA64" i="13" s="1"/>
  <c r="JT64" i="13"/>
  <c r="JV64" i="13" s="1"/>
  <c r="JP64" i="13"/>
  <c r="JR64" i="13" s="1"/>
  <c r="JS64" i="13" s="1"/>
  <c r="JB64" i="13"/>
  <c r="JD64" i="13" s="1"/>
  <c r="JE64" i="13" s="1"/>
  <c r="GK64" i="13"/>
  <c r="GM64" i="13" s="1"/>
  <c r="GG64" i="13"/>
  <c r="GI64" i="13" s="1"/>
  <c r="FY64" i="13"/>
  <c r="GA64" i="13" s="1"/>
  <c r="GB64" i="13" s="1"/>
  <c r="ER64" i="13"/>
  <c r="AH64" i="13" s="1"/>
  <c r="EL64" i="13"/>
  <c r="EM64" i="13" s="1"/>
  <c r="AG64" i="13" s="1"/>
  <c r="EK64" i="13"/>
  <c r="EO64" i="13" s="1"/>
  <c r="EW64" i="13" s="1"/>
  <c r="EX64" i="13" s="1"/>
  <c r="EG64" i="13"/>
  <c r="EE64" i="13"/>
  <c r="AM64" i="13" s="1"/>
  <c r="ED64" i="13"/>
  <c r="EA64" i="13"/>
  <c r="DD64" i="13"/>
  <c r="DC64" i="13"/>
  <c r="CG64" i="13"/>
  <c r="CF64" i="13"/>
  <c r="AA64" i="13"/>
  <c r="X64" i="13"/>
  <c r="S64" i="13"/>
  <c r="Q64" i="13"/>
  <c r="O64" i="13"/>
  <c r="F64" i="13"/>
  <c r="EJ64" i="13" s="1"/>
  <c r="MG63" i="13"/>
  <c r="LZ63" i="13"/>
  <c r="KB63" i="13"/>
  <c r="KD63" i="13" s="1"/>
  <c r="JX63" i="13"/>
  <c r="JZ63" i="13" s="1"/>
  <c r="KA63" i="13" s="1"/>
  <c r="JT63" i="13"/>
  <c r="JV63" i="13" s="1"/>
  <c r="JP63" i="13"/>
  <c r="JR63" i="13" s="1"/>
  <c r="JS63" i="13" s="1"/>
  <c r="JD63" i="13"/>
  <c r="JE63" i="13" s="1"/>
  <c r="JB63" i="13"/>
  <c r="GK63" i="13"/>
  <c r="GM63" i="13" s="1"/>
  <c r="GG63" i="13"/>
  <c r="GI63" i="13" s="1"/>
  <c r="GJ63" i="13" s="1"/>
  <c r="FY63" i="13"/>
  <c r="GA63" i="13" s="1"/>
  <c r="GB63" i="13" s="1"/>
  <c r="ER63" i="13"/>
  <c r="EL63" i="13"/>
  <c r="EM63" i="13" s="1"/>
  <c r="EK63" i="13"/>
  <c r="EO63" i="13" s="1"/>
  <c r="EW63" i="13" s="1"/>
  <c r="EX63" i="13" s="1"/>
  <c r="EG63" i="13"/>
  <c r="EE63" i="13"/>
  <c r="AM63" i="13" s="1"/>
  <c r="ED63" i="13"/>
  <c r="EA63" i="13"/>
  <c r="DD63" i="13"/>
  <c r="DC63" i="13"/>
  <c r="CG63" i="13"/>
  <c r="CF63" i="13"/>
  <c r="AH63" i="13"/>
  <c r="AA63" i="13"/>
  <c r="X63" i="13"/>
  <c r="S63" i="13"/>
  <c r="Q63" i="13"/>
  <c r="O63" i="13"/>
  <c r="M63" i="13"/>
  <c r="F63" i="13"/>
  <c r="EJ63" i="13" s="1"/>
  <c r="MG62" i="13"/>
  <c r="LZ62" i="13"/>
  <c r="KB62" i="13"/>
  <c r="KD62" i="13" s="1"/>
  <c r="JX62" i="13"/>
  <c r="JZ62" i="13" s="1"/>
  <c r="KA62" i="13" s="1"/>
  <c r="JT62" i="13"/>
  <c r="JV62" i="13" s="1"/>
  <c r="JP62" i="13"/>
  <c r="JR62" i="13" s="1"/>
  <c r="JS62" i="13" s="1"/>
  <c r="JB62" i="13"/>
  <c r="JD62" i="13" s="1"/>
  <c r="JE62" i="13" s="1"/>
  <c r="GK62" i="13"/>
  <c r="GM62" i="13" s="1"/>
  <c r="GG62" i="13"/>
  <c r="GI62" i="13" s="1"/>
  <c r="GJ62" i="13" s="1"/>
  <c r="FY62" i="13"/>
  <c r="GA62" i="13" s="1"/>
  <c r="GB62" i="13" s="1"/>
  <c r="ER62" i="13"/>
  <c r="AH62" i="13" s="1"/>
  <c r="EL62" i="13"/>
  <c r="EM62" i="13" s="1"/>
  <c r="AG62" i="13" s="1"/>
  <c r="EK62" i="13"/>
  <c r="EO62" i="13" s="1"/>
  <c r="EG62" i="13"/>
  <c r="EE62" i="13"/>
  <c r="ED62" i="13"/>
  <c r="EA62" i="13"/>
  <c r="DD62" i="13"/>
  <c r="DC62" i="13"/>
  <c r="CG62" i="13"/>
  <c r="CF62" i="13"/>
  <c r="AA62" i="13"/>
  <c r="X62" i="13"/>
  <c r="S62" i="13"/>
  <c r="Q62" i="13"/>
  <c r="O62" i="13"/>
  <c r="F62" i="13"/>
  <c r="EJ62" i="13" s="1"/>
  <c r="MG61" i="13"/>
  <c r="LZ61" i="13"/>
  <c r="KB61" i="13"/>
  <c r="KD61" i="13" s="1"/>
  <c r="JX61" i="13"/>
  <c r="JZ61" i="13" s="1"/>
  <c r="KA61" i="13" s="1"/>
  <c r="JT61" i="13"/>
  <c r="JV61" i="13" s="1"/>
  <c r="JP61" i="13"/>
  <c r="JR61" i="13" s="1"/>
  <c r="JS61" i="13" s="1"/>
  <c r="JB61" i="13"/>
  <c r="JD61" i="13" s="1"/>
  <c r="JE61" i="13" s="1"/>
  <c r="GK61" i="13"/>
  <c r="GM61" i="13" s="1"/>
  <c r="GG61" i="13"/>
  <c r="GI61" i="13" s="1"/>
  <c r="GJ61" i="13" s="1"/>
  <c r="FY61" i="13"/>
  <c r="GA61" i="13" s="1"/>
  <c r="GB61" i="13" s="1"/>
  <c r="ER61" i="13"/>
  <c r="EL61" i="13"/>
  <c r="EM61" i="13" s="1"/>
  <c r="EK61" i="13"/>
  <c r="EO61" i="13" s="1"/>
  <c r="EG61" i="13"/>
  <c r="EE61" i="13"/>
  <c r="ED61" i="13"/>
  <c r="EA61" i="13"/>
  <c r="DD61" i="13"/>
  <c r="DC61" i="13"/>
  <c r="CG61" i="13"/>
  <c r="CF61" i="13"/>
  <c r="AH61" i="13"/>
  <c r="AA61" i="13"/>
  <c r="X61" i="13"/>
  <c r="S61" i="13"/>
  <c r="Q61" i="13"/>
  <c r="O61" i="13"/>
  <c r="F61" i="13"/>
  <c r="EJ61" i="13" s="1"/>
  <c r="MG60" i="13"/>
  <c r="LZ60" i="13"/>
  <c r="KB60" i="13"/>
  <c r="KD60" i="13" s="1"/>
  <c r="JX60" i="13"/>
  <c r="JZ60" i="13" s="1"/>
  <c r="KA60" i="13" s="1"/>
  <c r="JT60" i="13"/>
  <c r="JV60" i="13" s="1"/>
  <c r="JP60" i="13"/>
  <c r="JR60" i="13" s="1"/>
  <c r="JS60" i="13" s="1"/>
  <c r="JB60" i="13"/>
  <c r="JD60" i="13" s="1"/>
  <c r="JE60" i="13" s="1"/>
  <c r="GK60" i="13"/>
  <c r="GM60" i="13" s="1"/>
  <c r="GG60" i="13"/>
  <c r="GI60" i="13" s="1"/>
  <c r="GJ60" i="13" s="1"/>
  <c r="FY60" i="13"/>
  <c r="GA60" i="13" s="1"/>
  <c r="GB60" i="13" s="1"/>
  <c r="ER60" i="13"/>
  <c r="EL60" i="13"/>
  <c r="EM60" i="13" s="1"/>
  <c r="EK60" i="13"/>
  <c r="EO60" i="13" s="1"/>
  <c r="EG60" i="13"/>
  <c r="EE60" i="13"/>
  <c r="EH60" i="13" s="1"/>
  <c r="ED60" i="13"/>
  <c r="EC60" i="13"/>
  <c r="EA60" i="13"/>
  <c r="DD60" i="13"/>
  <c r="DC60" i="13"/>
  <c r="CG60" i="13"/>
  <c r="CF60" i="13"/>
  <c r="AH60" i="13"/>
  <c r="AA60" i="13"/>
  <c r="X60" i="13"/>
  <c r="S60" i="13"/>
  <c r="Q60" i="13"/>
  <c r="O60" i="13"/>
  <c r="F60" i="13"/>
  <c r="EJ60" i="13" s="1"/>
  <c r="AC60" i="13" s="1"/>
  <c r="MG59" i="13"/>
  <c r="LZ59" i="13"/>
  <c r="KB59" i="13"/>
  <c r="KD59" i="13" s="1"/>
  <c r="JX59" i="13"/>
  <c r="JZ59" i="13" s="1"/>
  <c r="KA59" i="13" s="1"/>
  <c r="JT59" i="13"/>
  <c r="JV59" i="13" s="1"/>
  <c r="JP59" i="13"/>
  <c r="JR59" i="13" s="1"/>
  <c r="JS59" i="13" s="1"/>
  <c r="JB59" i="13"/>
  <c r="JD59" i="13" s="1"/>
  <c r="JE59" i="13" s="1"/>
  <c r="GK59" i="13"/>
  <c r="GM59" i="13" s="1"/>
  <c r="GG59" i="13"/>
  <c r="GI59" i="13" s="1"/>
  <c r="GJ59" i="13" s="1"/>
  <c r="FY59" i="13"/>
  <c r="GA59" i="13" s="1"/>
  <c r="GB59" i="13" s="1"/>
  <c r="ER59" i="13"/>
  <c r="EL59" i="13"/>
  <c r="EM59" i="13" s="1"/>
  <c r="EK59" i="13"/>
  <c r="EO59" i="13" s="1"/>
  <c r="EW59" i="13" s="1"/>
  <c r="EX59" i="13" s="1"/>
  <c r="EH59" i="13"/>
  <c r="EI59" i="13" s="1"/>
  <c r="EG59" i="13"/>
  <c r="EE59" i="13"/>
  <c r="AM59" i="13" s="1"/>
  <c r="ED59" i="13"/>
  <c r="EA59" i="13"/>
  <c r="DD59" i="13"/>
  <c r="DC59" i="13"/>
  <c r="CG59" i="13"/>
  <c r="CF59" i="13"/>
  <c r="AA59" i="13"/>
  <c r="X59" i="13"/>
  <c r="S59" i="13"/>
  <c r="Q59" i="13"/>
  <c r="O59" i="13"/>
  <c r="F59" i="13"/>
  <c r="EJ59" i="13" s="1"/>
  <c r="AC59" i="13" s="1"/>
  <c r="MG58" i="13"/>
  <c r="LZ58" i="13"/>
  <c r="KB58" i="13"/>
  <c r="KD58" i="13" s="1"/>
  <c r="JX58" i="13"/>
  <c r="JZ58" i="13" s="1"/>
  <c r="KA58" i="13" s="1"/>
  <c r="JT58" i="13"/>
  <c r="JV58" i="13" s="1"/>
  <c r="JP58" i="13"/>
  <c r="JR58" i="13" s="1"/>
  <c r="JS58" i="13" s="1"/>
  <c r="JB58" i="13"/>
  <c r="JD58" i="13" s="1"/>
  <c r="JE58" i="13" s="1"/>
  <c r="GK58" i="13"/>
  <c r="GM58" i="13" s="1"/>
  <c r="GG58" i="13"/>
  <c r="GI58" i="13" s="1"/>
  <c r="GJ58" i="13" s="1"/>
  <c r="FY58" i="13"/>
  <c r="GA58" i="13" s="1"/>
  <c r="GB58" i="13" s="1"/>
  <c r="ER58" i="13"/>
  <c r="EL58" i="13"/>
  <c r="EM58" i="13" s="1"/>
  <c r="EK58" i="13"/>
  <c r="EO58" i="13" s="1"/>
  <c r="EG58" i="13"/>
  <c r="EE58" i="13"/>
  <c r="EH58" i="13" s="1"/>
  <c r="ED58" i="13"/>
  <c r="EA58" i="13"/>
  <c r="DD58" i="13"/>
  <c r="DC58" i="13"/>
  <c r="CG58" i="13"/>
  <c r="CF58" i="13"/>
  <c r="AA58" i="13"/>
  <c r="X58" i="13"/>
  <c r="S58" i="13"/>
  <c r="Q58" i="13"/>
  <c r="O58" i="13"/>
  <c r="M58" i="13"/>
  <c r="F58" i="13"/>
  <c r="EJ58" i="13" s="1"/>
  <c r="MG57" i="13"/>
  <c r="LZ57" i="13"/>
  <c r="KB57" i="13"/>
  <c r="KD57" i="13" s="1"/>
  <c r="JX57" i="13"/>
  <c r="JZ57" i="13" s="1"/>
  <c r="KA57" i="13" s="1"/>
  <c r="JT57" i="13"/>
  <c r="JV57" i="13" s="1"/>
  <c r="JP57" i="13"/>
  <c r="JR57" i="13" s="1"/>
  <c r="JS57" i="13" s="1"/>
  <c r="JB57" i="13"/>
  <c r="JD57" i="13" s="1"/>
  <c r="JE57" i="13" s="1"/>
  <c r="GK57" i="13"/>
  <c r="GM57" i="13" s="1"/>
  <c r="GG57" i="13"/>
  <c r="GI57" i="13" s="1"/>
  <c r="GJ57" i="13" s="1"/>
  <c r="FY57" i="13"/>
  <c r="GA57" i="13" s="1"/>
  <c r="GB57" i="13" s="1"/>
  <c r="ER57" i="13"/>
  <c r="EL57" i="13"/>
  <c r="EM57" i="13" s="1"/>
  <c r="EK57" i="13"/>
  <c r="EO57" i="13" s="1"/>
  <c r="EG57" i="13"/>
  <c r="EE57" i="13"/>
  <c r="EH57" i="13" s="1"/>
  <c r="ED57" i="13"/>
  <c r="EA57" i="13"/>
  <c r="DD57" i="13"/>
  <c r="DC57" i="13"/>
  <c r="CG57" i="13"/>
  <c r="CF57" i="13"/>
  <c r="AH57" i="13"/>
  <c r="AA57" i="13"/>
  <c r="X57" i="13"/>
  <c r="S57" i="13"/>
  <c r="Q57" i="13"/>
  <c r="O57" i="13"/>
  <c r="F57" i="13"/>
  <c r="EJ57" i="13" s="1"/>
  <c r="NA56" i="13"/>
  <c r="MG56" i="13"/>
  <c r="LZ56" i="13"/>
  <c r="KB56" i="13"/>
  <c r="KD56" i="13" s="1"/>
  <c r="JX56" i="13"/>
  <c r="JZ56" i="13" s="1"/>
  <c r="KA56" i="13" s="1"/>
  <c r="JT56" i="13"/>
  <c r="JV56" i="13" s="1"/>
  <c r="JP56" i="13"/>
  <c r="JR56" i="13" s="1"/>
  <c r="JS56" i="13" s="1"/>
  <c r="JB56" i="13"/>
  <c r="JD56" i="13" s="1"/>
  <c r="JE56" i="13" s="1"/>
  <c r="GK56" i="13"/>
  <c r="GM56" i="13" s="1"/>
  <c r="GG56" i="13"/>
  <c r="GI56" i="13" s="1"/>
  <c r="GJ56" i="13" s="1"/>
  <c r="FY56" i="13"/>
  <c r="GA56" i="13" s="1"/>
  <c r="GB56" i="13" s="1"/>
  <c r="ER56" i="13"/>
  <c r="EL56" i="13"/>
  <c r="EM56" i="13" s="1"/>
  <c r="EK56" i="13"/>
  <c r="MI56" i="13" s="1"/>
  <c r="MM56" i="13" s="1"/>
  <c r="EG56" i="13"/>
  <c r="EE56" i="13"/>
  <c r="AM56" i="13" s="1"/>
  <c r="ED56" i="13"/>
  <c r="EA56" i="13"/>
  <c r="DD56" i="13"/>
  <c r="DC56" i="13"/>
  <c r="CG56" i="13"/>
  <c r="CF56" i="13"/>
  <c r="AH56" i="13"/>
  <c r="AA56" i="13"/>
  <c r="X56" i="13"/>
  <c r="S56" i="13"/>
  <c r="Q56" i="13"/>
  <c r="O56" i="13"/>
  <c r="F56" i="13"/>
  <c r="EJ56" i="13" s="1"/>
  <c r="MG55" i="13"/>
  <c r="LZ55" i="13"/>
  <c r="KB55" i="13"/>
  <c r="KD55" i="13" s="1"/>
  <c r="JX55" i="13"/>
  <c r="JZ55" i="13" s="1"/>
  <c r="KA55" i="13" s="1"/>
  <c r="JT55" i="13"/>
  <c r="JV55" i="13" s="1"/>
  <c r="JP55" i="13"/>
  <c r="JR55" i="13" s="1"/>
  <c r="JS55" i="13" s="1"/>
  <c r="JB55" i="13"/>
  <c r="JD55" i="13" s="1"/>
  <c r="JE55" i="13" s="1"/>
  <c r="GK55" i="13"/>
  <c r="GM55" i="13" s="1"/>
  <c r="GG55" i="13"/>
  <c r="GI55" i="13" s="1"/>
  <c r="GJ55" i="13" s="1"/>
  <c r="FY55" i="13"/>
  <c r="GA55" i="13" s="1"/>
  <c r="GB55" i="13" s="1"/>
  <c r="ER55" i="13"/>
  <c r="EL55" i="13"/>
  <c r="EM55" i="13" s="1"/>
  <c r="EK55" i="13"/>
  <c r="EO55" i="13" s="1"/>
  <c r="EG55" i="13"/>
  <c r="EE55" i="13"/>
  <c r="M55" i="13" s="1"/>
  <c r="ED55" i="13"/>
  <c r="EA55" i="13"/>
  <c r="DD55" i="13"/>
  <c r="DC55" i="13"/>
  <c r="CG55" i="13"/>
  <c r="CF55" i="13"/>
  <c r="AH55" i="13"/>
  <c r="AA55" i="13"/>
  <c r="X55" i="13"/>
  <c r="S55" i="13"/>
  <c r="Q55" i="13"/>
  <c r="O55" i="13"/>
  <c r="F55" i="13"/>
  <c r="EJ55" i="13" s="1"/>
  <c r="MG54" i="13"/>
  <c r="LZ54" i="13"/>
  <c r="KB54" i="13"/>
  <c r="KD54" i="13" s="1"/>
  <c r="JX54" i="13"/>
  <c r="JZ54" i="13" s="1"/>
  <c r="KA54" i="13" s="1"/>
  <c r="JV54" i="13"/>
  <c r="JT54" i="13"/>
  <c r="JP54" i="13"/>
  <c r="JR54" i="13" s="1"/>
  <c r="JS54" i="13" s="1"/>
  <c r="JB54" i="13"/>
  <c r="JD54" i="13" s="1"/>
  <c r="JE54" i="13" s="1"/>
  <c r="GK54" i="13"/>
  <c r="GM54" i="13" s="1"/>
  <c r="GG54" i="13"/>
  <c r="GI54" i="13" s="1"/>
  <c r="GJ54" i="13" s="1"/>
  <c r="FY54" i="13"/>
  <c r="GA54" i="13" s="1"/>
  <c r="GB54" i="13" s="1"/>
  <c r="ER54" i="13"/>
  <c r="EL54" i="13"/>
  <c r="EM54" i="13" s="1"/>
  <c r="EK54" i="13"/>
  <c r="EO54" i="13" s="1"/>
  <c r="EG54" i="13"/>
  <c r="GT54" i="13" s="1"/>
  <c r="EE54" i="13"/>
  <c r="EH54" i="13" s="1"/>
  <c r="ED54" i="13"/>
  <c r="EA54" i="13"/>
  <c r="DD54" i="13"/>
  <c r="DC54" i="13"/>
  <c r="CG54" i="13"/>
  <c r="CF54" i="13"/>
  <c r="AH54" i="13"/>
  <c r="AA54" i="13"/>
  <c r="X54" i="13"/>
  <c r="S54" i="13"/>
  <c r="Q54" i="13"/>
  <c r="O54" i="13"/>
  <c r="F54" i="13"/>
  <c r="EJ54" i="13" s="1"/>
  <c r="MG53" i="13"/>
  <c r="LZ53" i="13"/>
  <c r="KB53" i="13"/>
  <c r="KD53" i="13" s="1"/>
  <c r="JX53" i="13"/>
  <c r="JZ53" i="13" s="1"/>
  <c r="KA53" i="13" s="1"/>
  <c r="JT53" i="13"/>
  <c r="JV53" i="13" s="1"/>
  <c r="JP53" i="13"/>
  <c r="JR53" i="13" s="1"/>
  <c r="JS53" i="13" s="1"/>
  <c r="JB53" i="13"/>
  <c r="JD53" i="13" s="1"/>
  <c r="JE53" i="13" s="1"/>
  <c r="GK53" i="13"/>
  <c r="GM53" i="13" s="1"/>
  <c r="GG53" i="13"/>
  <c r="GI53" i="13" s="1"/>
  <c r="GJ53" i="13" s="1"/>
  <c r="FY53" i="13"/>
  <c r="GA53" i="13" s="1"/>
  <c r="GB53" i="13" s="1"/>
  <c r="ER53" i="13"/>
  <c r="EM53" i="13"/>
  <c r="EL53" i="13"/>
  <c r="EK53" i="13"/>
  <c r="EO53" i="13" s="1"/>
  <c r="EG53" i="13"/>
  <c r="EE53" i="13"/>
  <c r="EH53" i="13" s="1"/>
  <c r="ED53" i="13"/>
  <c r="EA53" i="13"/>
  <c r="DD53" i="13"/>
  <c r="DC53" i="13"/>
  <c r="CG53" i="13"/>
  <c r="CF53" i="13"/>
  <c r="AA53" i="13"/>
  <c r="X53" i="13"/>
  <c r="S53" i="13"/>
  <c r="Q53" i="13"/>
  <c r="O53" i="13"/>
  <c r="F53" i="13"/>
  <c r="EJ53" i="13" s="1"/>
  <c r="MG52" i="13"/>
  <c r="LZ52" i="13"/>
  <c r="KD52" i="13"/>
  <c r="KB52" i="13"/>
  <c r="JX52" i="13"/>
  <c r="JZ52" i="13" s="1"/>
  <c r="JT52" i="13"/>
  <c r="JV52" i="13" s="1"/>
  <c r="JP52" i="13"/>
  <c r="JR52" i="13" s="1"/>
  <c r="JS52" i="13" s="1"/>
  <c r="JB52" i="13"/>
  <c r="JD52" i="13" s="1"/>
  <c r="JE52" i="13" s="1"/>
  <c r="GK52" i="13"/>
  <c r="GM52" i="13" s="1"/>
  <c r="GG52" i="13"/>
  <c r="GI52" i="13" s="1"/>
  <c r="GJ52" i="13" s="1"/>
  <c r="FY52" i="13"/>
  <c r="GA52" i="13" s="1"/>
  <c r="GB52" i="13" s="1"/>
  <c r="ER52" i="13"/>
  <c r="EL52" i="13"/>
  <c r="EM52" i="13" s="1"/>
  <c r="EK52" i="13"/>
  <c r="EG52" i="13"/>
  <c r="GT52" i="13" s="1"/>
  <c r="EE52" i="13"/>
  <c r="EH52" i="13" s="1"/>
  <c r="ED52" i="13"/>
  <c r="EA52" i="13"/>
  <c r="DD52" i="13"/>
  <c r="DC52" i="13"/>
  <c r="CG52" i="13"/>
  <c r="CF52" i="13"/>
  <c r="AH52" i="13"/>
  <c r="AA52" i="13"/>
  <c r="X52" i="13"/>
  <c r="S52" i="13"/>
  <c r="Q52" i="13"/>
  <c r="O52" i="13"/>
  <c r="F52" i="13"/>
  <c r="EJ52" i="13" s="1"/>
  <c r="MG51" i="13"/>
  <c r="LZ51" i="13"/>
  <c r="KB51" i="13"/>
  <c r="KD51" i="13" s="1"/>
  <c r="JX51" i="13"/>
  <c r="JZ51" i="13" s="1"/>
  <c r="KA51" i="13" s="1"/>
  <c r="JT51" i="13"/>
  <c r="JV51" i="13" s="1"/>
  <c r="JP51" i="13"/>
  <c r="JR51" i="13" s="1"/>
  <c r="JS51" i="13" s="1"/>
  <c r="JB51" i="13"/>
  <c r="JD51" i="13" s="1"/>
  <c r="JE51" i="13" s="1"/>
  <c r="GK51" i="13"/>
  <c r="GM51" i="13" s="1"/>
  <c r="GG51" i="13"/>
  <c r="GI51" i="13" s="1"/>
  <c r="GJ51" i="13" s="1"/>
  <c r="FY51" i="13"/>
  <c r="GA51" i="13" s="1"/>
  <c r="GB51" i="13" s="1"/>
  <c r="ER51" i="13"/>
  <c r="EL51" i="13"/>
  <c r="EM51" i="13" s="1"/>
  <c r="EK51" i="13"/>
  <c r="EG51" i="13"/>
  <c r="GT51" i="13" s="1"/>
  <c r="EE51" i="13"/>
  <c r="EH51" i="13" s="1"/>
  <c r="ED51" i="13"/>
  <c r="EA51" i="13"/>
  <c r="DD51" i="13"/>
  <c r="DC51" i="13"/>
  <c r="CG51" i="13"/>
  <c r="CF51" i="13"/>
  <c r="AA51" i="13"/>
  <c r="X51" i="13"/>
  <c r="S51" i="13"/>
  <c r="Q51" i="13"/>
  <c r="O51" i="13"/>
  <c r="F51" i="13"/>
  <c r="EJ51" i="13" s="1"/>
  <c r="MG50" i="13"/>
  <c r="LZ50" i="13"/>
  <c r="KD50" i="13"/>
  <c r="KB50" i="13"/>
  <c r="JX50" i="13"/>
  <c r="JZ50" i="13" s="1"/>
  <c r="KA50" i="13" s="1"/>
  <c r="JT50" i="13"/>
  <c r="JV50" i="13" s="1"/>
  <c r="JP50" i="13"/>
  <c r="JR50" i="13" s="1"/>
  <c r="JS50" i="13" s="1"/>
  <c r="JB50" i="13"/>
  <c r="JD50" i="13" s="1"/>
  <c r="JE50" i="13" s="1"/>
  <c r="GK50" i="13"/>
  <c r="GM50" i="13" s="1"/>
  <c r="GG50" i="13"/>
  <c r="GI50" i="13" s="1"/>
  <c r="GJ50" i="13" s="1"/>
  <c r="FY50" i="13"/>
  <c r="GA50" i="13" s="1"/>
  <c r="GB50" i="13" s="1"/>
  <c r="ER50" i="13"/>
  <c r="AH50" i="13" s="1"/>
  <c r="EL50" i="13"/>
  <c r="EM50" i="13" s="1"/>
  <c r="AG50" i="13" s="1"/>
  <c r="EK50" i="13"/>
  <c r="MI50" i="13" s="1"/>
  <c r="MM50" i="13" s="1"/>
  <c r="EG50" i="13"/>
  <c r="GT50" i="13" s="1"/>
  <c r="EE50" i="13"/>
  <c r="EH50" i="13" s="1"/>
  <c r="EF50" i="13" s="1"/>
  <c r="ED50" i="13"/>
  <c r="EA50" i="13"/>
  <c r="DD50" i="13"/>
  <c r="DC50" i="13"/>
  <c r="CG50" i="13"/>
  <c r="CF50" i="13"/>
  <c r="AA50" i="13"/>
  <c r="X50" i="13"/>
  <c r="S50" i="13"/>
  <c r="Q50" i="13"/>
  <c r="O50" i="13"/>
  <c r="F50" i="13"/>
  <c r="EJ50" i="13" s="1"/>
  <c r="MG49" i="13"/>
  <c r="LZ49" i="13"/>
  <c r="KB49" i="13"/>
  <c r="KD49" i="13" s="1"/>
  <c r="JX49" i="13"/>
  <c r="JZ49" i="13" s="1"/>
  <c r="KA49" i="13" s="1"/>
  <c r="JT49" i="13"/>
  <c r="JV49" i="13" s="1"/>
  <c r="JP49" i="13"/>
  <c r="JR49" i="13" s="1"/>
  <c r="JS49" i="13" s="1"/>
  <c r="JB49" i="13"/>
  <c r="JD49" i="13" s="1"/>
  <c r="JE49" i="13" s="1"/>
  <c r="GK49" i="13"/>
  <c r="GM49" i="13" s="1"/>
  <c r="GG49" i="13"/>
  <c r="GI49" i="13" s="1"/>
  <c r="GJ49" i="13" s="1"/>
  <c r="FY49" i="13"/>
  <c r="GA49" i="13" s="1"/>
  <c r="GB49" i="13" s="1"/>
  <c r="ER49" i="13"/>
  <c r="EL49" i="13"/>
  <c r="EM49" i="13" s="1"/>
  <c r="EK49" i="13"/>
  <c r="EO49" i="13" s="1"/>
  <c r="EW49" i="13" s="1"/>
  <c r="EX49" i="13" s="1"/>
  <c r="EH49" i="13"/>
  <c r="EF49" i="13" s="1"/>
  <c r="EG49" i="13"/>
  <c r="EE49" i="13"/>
  <c r="AM49" i="13" s="1"/>
  <c r="ED49" i="13"/>
  <c r="EA49" i="13"/>
  <c r="DD49" i="13"/>
  <c r="DC49" i="13"/>
  <c r="CG49" i="13"/>
  <c r="CF49" i="13"/>
  <c r="AH49" i="13"/>
  <c r="AA49" i="13"/>
  <c r="X49" i="13"/>
  <c r="S49" i="13"/>
  <c r="Q49" i="13"/>
  <c r="O49" i="13"/>
  <c r="M49" i="13"/>
  <c r="F49" i="13"/>
  <c r="EJ49" i="13" s="1"/>
  <c r="MG48" i="13"/>
  <c r="LZ48" i="13"/>
  <c r="KB48" i="13"/>
  <c r="KD48" i="13" s="1"/>
  <c r="JX48" i="13"/>
  <c r="JZ48" i="13" s="1"/>
  <c r="KA48" i="13" s="1"/>
  <c r="JT48" i="13"/>
  <c r="JV48" i="13" s="1"/>
  <c r="JW48" i="13" s="1"/>
  <c r="JS48" i="13"/>
  <c r="JP48" i="13"/>
  <c r="JR48" i="13" s="1"/>
  <c r="JB48" i="13"/>
  <c r="JD48" i="13" s="1"/>
  <c r="JE48" i="13" s="1"/>
  <c r="GK48" i="13"/>
  <c r="GM48" i="13" s="1"/>
  <c r="GG48" i="13"/>
  <c r="GI48" i="13" s="1"/>
  <c r="GJ48" i="13" s="1"/>
  <c r="FY48" i="13"/>
  <c r="GA48" i="13" s="1"/>
  <c r="GB48" i="13" s="1"/>
  <c r="ER48" i="13"/>
  <c r="EM48" i="13"/>
  <c r="AG48" i="13" s="1"/>
  <c r="EL48" i="13"/>
  <c r="EK48" i="13"/>
  <c r="EO48" i="13" s="1"/>
  <c r="EG48" i="13"/>
  <c r="EE48" i="13"/>
  <c r="AM48" i="13" s="1"/>
  <c r="ED48" i="13"/>
  <c r="EA48" i="13"/>
  <c r="DD48" i="13"/>
  <c r="DC48" i="13"/>
  <c r="CG48" i="13"/>
  <c r="CF48" i="13"/>
  <c r="AH48" i="13"/>
  <c r="AA48" i="13"/>
  <c r="X48" i="13"/>
  <c r="S48" i="13"/>
  <c r="Q48" i="13"/>
  <c r="O48" i="13"/>
  <c r="F48" i="13"/>
  <c r="EJ48" i="13" s="1"/>
  <c r="MG47" i="13"/>
  <c r="LZ47" i="13"/>
  <c r="KB47" i="13"/>
  <c r="KD47" i="13" s="1"/>
  <c r="JZ47" i="13"/>
  <c r="KA47" i="13" s="1"/>
  <c r="JX47" i="13"/>
  <c r="JT47" i="13"/>
  <c r="JV47" i="13" s="1"/>
  <c r="JP47" i="13"/>
  <c r="JR47" i="13" s="1"/>
  <c r="JS47" i="13" s="1"/>
  <c r="JB47" i="13"/>
  <c r="JD47" i="13" s="1"/>
  <c r="JE47" i="13" s="1"/>
  <c r="GM47" i="13"/>
  <c r="GK47" i="13"/>
  <c r="GG47" i="13"/>
  <c r="GI47" i="13" s="1"/>
  <c r="GJ47" i="13" s="1"/>
  <c r="FY47" i="13"/>
  <c r="GA47" i="13" s="1"/>
  <c r="GB47" i="13" s="1"/>
  <c r="ER47" i="13"/>
  <c r="EL47" i="13"/>
  <c r="EM47" i="13" s="1"/>
  <c r="EK47" i="13"/>
  <c r="EO47" i="13" s="1"/>
  <c r="EH47" i="13"/>
  <c r="EI47" i="13" s="1"/>
  <c r="EG47" i="13"/>
  <c r="EE47" i="13"/>
  <c r="AM47" i="13" s="1"/>
  <c r="ED47" i="13"/>
  <c r="EA47" i="13"/>
  <c r="DD47" i="13"/>
  <c r="DC47" i="13"/>
  <c r="CG47" i="13"/>
  <c r="CF47" i="13"/>
  <c r="AH47" i="13"/>
  <c r="AA47" i="13"/>
  <c r="X47" i="13"/>
  <c r="S47" i="13"/>
  <c r="Q47" i="13"/>
  <c r="O47" i="13"/>
  <c r="M47" i="13"/>
  <c r="F47" i="13"/>
  <c r="EJ47" i="13" s="1"/>
  <c r="MG46" i="13"/>
  <c r="LZ46" i="13"/>
  <c r="KB46" i="13"/>
  <c r="KD46" i="13" s="1"/>
  <c r="JX46" i="13"/>
  <c r="JZ46" i="13" s="1"/>
  <c r="KA46" i="13" s="1"/>
  <c r="JT46" i="13"/>
  <c r="JV46" i="13" s="1"/>
  <c r="JP46" i="13"/>
  <c r="JR46" i="13" s="1"/>
  <c r="JS46" i="13" s="1"/>
  <c r="JB46" i="13"/>
  <c r="JD46" i="13" s="1"/>
  <c r="JE46" i="13" s="1"/>
  <c r="GK46" i="13"/>
  <c r="GM46" i="13" s="1"/>
  <c r="GG46" i="13"/>
  <c r="GI46" i="13" s="1"/>
  <c r="GJ46" i="13" s="1"/>
  <c r="FY46" i="13"/>
  <c r="GA46" i="13" s="1"/>
  <c r="GB46" i="13" s="1"/>
  <c r="ER46" i="13"/>
  <c r="EL46" i="13"/>
  <c r="EM46" i="13" s="1"/>
  <c r="AG46" i="13" s="1"/>
  <c r="EK46" i="13"/>
  <c r="EO46" i="13" s="1"/>
  <c r="EG46" i="13"/>
  <c r="EE46" i="13"/>
  <c r="ED46" i="13"/>
  <c r="EA46" i="13"/>
  <c r="DD46" i="13"/>
  <c r="DC46" i="13"/>
  <c r="CG46" i="13"/>
  <c r="CF46" i="13"/>
  <c r="AH46" i="13"/>
  <c r="AA46" i="13"/>
  <c r="X46" i="13"/>
  <c r="S46" i="13"/>
  <c r="Q46" i="13"/>
  <c r="O46" i="13"/>
  <c r="F46" i="13"/>
  <c r="EJ46" i="13" s="1"/>
  <c r="MG45" i="13"/>
  <c r="LZ45" i="13"/>
  <c r="KD45" i="13"/>
  <c r="KB45" i="13"/>
  <c r="JX45" i="13"/>
  <c r="JZ45" i="13" s="1"/>
  <c r="KA45" i="13" s="1"/>
  <c r="JT45" i="13"/>
  <c r="JV45" i="13" s="1"/>
  <c r="JP45" i="13"/>
  <c r="JR45" i="13" s="1"/>
  <c r="JS45" i="13" s="1"/>
  <c r="JB45" i="13"/>
  <c r="JD45" i="13" s="1"/>
  <c r="JE45" i="13" s="1"/>
  <c r="GK45" i="13"/>
  <c r="GM45" i="13" s="1"/>
  <c r="GG45" i="13"/>
  <c r="GI45" i="13" s="1"/>
  <c r="GJ45" i="13" s="1"/>
  <c r="FY45" i="13"/>
  <c r="GA45" i="13" s="1"/>
  <c r="GB45" i="13" s="1"/>
  <c r="ER45" i="13"/>
  <c r="EL45" i="13"/>
  <c r="EM45" i="13" s="1"/>
  <c r="EK45" i="13"/>
  <c r="EO45" i="13" s="1"/>
  <c r="EG45" i="13"/>
  <c r="EE45" i="13"/>
  <c r="ED45" i="13"/>
  <c r="EA45" i="13"/>
  <c r="DD45" i="13"/>
  <c r="DC45" i="13"/>
  <c r="CG45" i="13"/>
  <c r="CF45" i="13"/>
  <c r="AH45" i="13"/>
  <c r="AA45" i="13"/>
  <c r="X45" i="13"/>
  <c r="S45" i="13"/>
  <c r="Q45" i="13"/>
  <c r="O45" i="13"/>
  <c r="F45" i="13"/>
  <c r="EJ45" i="13" s="1"/>
  <c r="MG44" i="13"/>
  <c r="LZ44" i="13"/>
  <c r="KB44" i="13"/>
  <c r="KD44" i="13" s="1"/>
  <c r="JX44" i="13"/>
  <c r="JZ44" i="13" s="1"/>
  <c r="KA44" i="13" s="1"/>
  <c r="JT44" i="13"/>
  <c r="JV44" i="13" s="1"/>
  <c r="JP44" i="13"/>
  <c r="JR44" i="13" s="1"/>
  <c r="JS44" i="13" s="1"/>
  <c r="JB44" i="13"/>
  <c r="JD44" i="13" s="1"/>
  <c r="JE44" i="13" s="1"/>
  <c r="GK44" i="13"/>
  <c r="GM44" i="13" s="1"/>
  <c r="GG44" i="13"/>
  <c r="GI44" i="13" s="1"/>
  <c r="GJ44" i="13" s="1"/>
  <c r="FY44" i="13"/>
  <c r="GA44" i="13" s="1"/>
  <c r="GB44" i="13" s="1"/>
  <c r="ER44" i="13"/>
  <c r="AH44" i="13" s="1"/>
  <c r="EL44" i="13"/>
  <c r="EM44" i="13" s="1"/>
  <c r="EK44" i="13"/>
  <c r="EO44" i="13" s="1"/>
  <c r="EC44" i="13" s="1"/>
  <c r="EG44" i="13"/>
  <c r="EE44" i="13"/>
  <c r="AM44" i="13" s="1"/>
  <c r="ED44" i="13"/>
  <c r="EA44" i="13"/>
  <c r="DD44" i="13"/>
  <c r="DC44" i="13"/>
  <c r="CG44" i="13"/>
  <c r="CF44" i="13"/>
  <c r="AA44" i="13"/>
  <c r="X44" i="13"/>
  <c r="S44" i="13"/>
  <c r="Q44" i="13"/>
  <c r="O44" i="13"/>
  <c r="F44" i="13"/>
  <c r="EJ44" i="13" s="1"/>
  <c r="AC44" i="13" s="1"/>
  <c r="MG43" i="13"/>
  <c r="LZ43" i="13"/>
  <c r="KB43" i="13"/>
  <c r="KD43" i="13" s="1"/>
  <c r="JX43" i="13"/>
  <c r="JZ43" i="13" s="1"/>
  <c r="KA43" i="13" s="1"/>
  <c r="JT43" i="13"/>
  <c r="JV43" i="13" s="1"/>
  <c r="JP43" i="13"/>
  <c r="JR43" i="13" s="1"/>
  <c r="JS43" i="13" s="1"/>
  <c r="JB43" i="13"/>
  <c r="JD43" i="13" s="1"/>
  <c r="JE43" i="13" s="1"/>
  <c r="GK43" i="13"/>
  <c r="GM43" i="13" s="1"/>
  <c r="GG43" i="13"/>
  <c r="GI43" i="13" s="1"/>
  <c r="GJ43" i="13" s="1"/>
  <c r="FY43" i="13"/>
  <c r="GA43" i="13" s="1"/>
  <c r="GB43" i="13" s="1"/>
  <c r="ER43" i="13"/>
  <c r="EL43" i="13"/>
  <c r="EM43" i="13" s="1"/>
  <c r="EK43" i="13"/>
  <c r="EO43" i="13" s="1"/>
  <c r="EW43" i="13" s="1"/>
  <c r="EX43" i="13" s="1"/>
  <c r="EG43" i="13"/>
  <c r="EE43" i="13"/>
  <c r="EH43" i="13" s="1"/>
  <c r="ED43" i="13"/>
  <c r="EA43" i="13"/>
  <c r="DD43" i="13"/>
  <c r="DC43" i="13"/>
  <c r="CG43" i="13"/>
  <c r="CF43" i="13"/>
  <c r="AA43" i="13"/>
  <c r="X43" i="13"/>
  <c r="S43" i="13"/>
  <c r="Q43" i="13"/>
  <c r="O43" i="13"/>
  <c r="F43" i="13"/>
  <c r="EJ43" i="13" s="1"/>
  <c r="MG42" i="13"/>
  <c r="LZ42" i="13"/>
  <c r="KB42" i="13"/>
  <c r="KD42" i="13" s="1"/>
  <c r="JX42" i="13"/>
  <c r="JZ42" i="13" s="1"/>
  <c r="KA42" i="13" s="1"/>
  <c r="JT42" i="13"/>
  <c r="JV42" i="13" s="1"/>
  <c r="JP42" i="13"/>
  <c r="JR42" i="13" s="1"/>
  <c r="JS42" i="13" s="1"/>
  <c r="JB42" i="13"/>
  <c r="JD42" i="13" s="1"/>
  <c r="JE42" i="13" s="1"/>
  <c r="GK42" i="13"/>
  <c r="GM42" i="13" s="1"/>
  <c r="GG42" i="13"/>
  <c r="GI42" i="13" s="1"/>
  <c r="GJ42" i="13" s="1"/>
  <c r="FY42" i="13"/>
  <c r="GA42" i="13" s="1"/>
  <c r="GB42" i="13" s="1"/>
  <c r="ER42" i="13"/>
  <c r="EL42" i="13"/>
  <c r="EM42" i="13" s="1"/>
  <c r="EK42" i="13"/>
  <c r="EO42" i="13" s="1"/>
  <c r="EG42" i="13"/>
  <c r="EE42" i="13"/>
  <c r="M42" i="13" s="1"/>
  <c r="ED42" i="13"/>
  <c r="EA42" i="13"/>
  <c r="DD42" i="13"/>
  <c r="DC42" i="13"/>
  <c r="CG42" i="13"/>
  <c r="CF42" i="13"/>
  <c r="AA42" i="13"/>
  <c r="X42" i="13"/>
  <c r="S42" i="13"/>
  <c r="Q42" i="13"/>
  <c r="O42" i="13"/>
  <c r="F42" i="13"/>
  <c r="EJ42" i="13" s="1"/>
  <c r="MG41" i="13"/>
  <c r="LZ41" i="13"/>
  <c r="KB41" i="13"/>
  <c r="KD41" i="13" s="1"/>
  <c r="JX41" i="13"/>
  <c r="JZ41" i="13" s="1"/>
  <c r="KA41" i="13" s="1"/>
  <c r="JT41" i="13"/>
  <c r="JV41" i="13" s="1"/>
  <c r="JP41" i="13"/>
  <c r="JR41" i="13" s="1"/>
  <c r="JS41" i="13" s="1"/>
  <c r="JB41" i="13"/>
  <c r="JD41" i="13" s="1"/>
  <c r="JE41" i="13" s="1"/>
  <c r="GK41" i="13"/>
  <c r="GM41" i="13" s="1"/>
  <c r="GG41" i="13"/>
  <c r="GI41" i="13" s="1"/>
  <c r="GJ41" i="13" s="1"/>
  <c r="FY41" i="13"/>
  <c r="GA41" i="13" s="1"/>
  <c r="GB41" i="13" s="1"/>
  <c r="ER41" i="13"/>
  <c r="EL41" i="13"/>
  <c r="EM41" i="13" s="1"/>
  <c r="EK41" i="13"/>
  <c r="EO41" i="13" s="1"/>
  <c r="EG41" i="13"/>
  <c r="EE41" i="13"/>
  <c r="EH41" i="13" s="1"/>
  <c r="ED41" i="13"/>
  <c r="EA41" i="13"/>
  <c r="DD41" i="13"/>
  <c r="DC41" i="13"/>
  <c r="CG41" i="13"/>
  <c r="CF41" i="13"/>
  <c r="AH41" i="13"/>
  <c r="AA41" i="13"/>
  <c r="X41" i="13"/>
  <c r="S41" i="13"/>
  <c r="Q41" i="13"/>
  <c r="O41" i="13"/>
  <c r="F41" i="13"/>
  <c r="EJ41" i="13" s="1"/>
  <c r="MG40" i="13"/>
  <c r="LZ40" i="13"/>
  <c r="KB40" i="13"/>
  <c r="KD40" i="13" s="1"/>
  <c r="JX40" i="13"/>
  <c r="JZ40" i="13" s="1"/>
  <c r="KA40" i="13" s="1"/>
  <c r="JT40" i="13"/>
  <c r="JV40" i="13" s="1"/>
  <c r="JP40" i="13"/>
  <c r="JR40" i="13" s="1"/>
  <c r="JS40" i="13" s="1"/>
  <c r="JB40" i="13"/>
  <c r="JD40" i="13" s="1"/>
  <c r="JE40" i="13" s="1"/>
  <c r="GK40" i="13"/>
  <c r="GM40" i="13" s="1"/>
  <c r="GG40" i="13"/>
  <c r="GI40" i="13" s="1"/>
  <c r="GJ40" i="13" s="1"/>
  <c r="FY40" i="13"/>
  <c r="GA40" i="13" s="1"/>
  <c r="GB40" i="13" s="1"/>
  <c r="ER40" i="13"/>
  <c r="EL40" i="13"/>
  <c r="EM40" i="13" s="1"/>
  <c r="EP40" i="13" s="1"/>
  <c r="EK40" i="13"/>
  <c r="MI40" i="13" s="1"/>
  <c r="MM40" i="13" s="1"/>
  <c r="EG40" i="13"/>
  <c r="EE40" i="13"/>
  <c r="EH40" i="13" s="1"/>
  <c r="ED40" i="13"/>
  <c r="EA40" i="13"/>
  <c r="DD40" i="13"/>
  <c r="DC40" i="13"/>
  <c r="CG40" i="13"/>
  <c r="CF40" i="13"/>
  <c r="AM40" i="13"/>
  <c r="AH40" i="13"/>
  <c r="AA40" i="13"/>
  <c r="X40" i="13"/>
  <c r="S40" i="13"/>
  <c r="Q40" i="13"/>
  <c r="O40" i="13"/>
  <c r="F40" i="13"/>
  <c r="EJ40" i="13" s="1"/>
  <c r="MG39" i="13"/>
  <c r="LZ39" i="13"/>
  <c r="KB39" i="13"/>
  <c r="KD39" i="13" s="1"/>
  <c r="JX39" i="13"/>
  <c r="JZ39" i="13" s="1"/>
  <c r="KA39" i="13" s="1"/>
  <c r="JT39" i="13"/>
  <c r="JV39" i="13" s="1"/>
  <c r="JP39" i="13"/>
  <c r="JR39" i="13" s="1"/>
  <c r="JS39" i="13" s="1"/>
  <c r="JB39" i="13"/>
  <c r="JD39" i="13" s="1"/>
  <c r="JE39" i="13" s="1"/>
  <c r="GK39" i="13"/>
  <c r="GM39" i="13" s="1"/>
  <c r="GG39" i="13"/>
  <c r="GI39" i="13" s="1"/>
  <c r="GJ39" i="13" s="1"/>
  <c r="FY39" i="13"/>
  <c r="GA39" i="13" s="1"/>
  <c r="GB39" i="13" s="1"/>
  <c r="ER39" i="13"/>
  <c r="EL39" i="13"/>
  <c r="EM39" i="13" s="1"/>
  <c r="EK39" i="13"/>
  <c r="EO39" i="13" s="1"/>
  <c r="EG39" i="13"/>
  <c r="EE39" i="13"/>
  <c r="AM39" i="13" s="1"/>
  <c r="ED39" i="13"/>
  <c r="EA39" i="13"/>
  <c r="DD39" i="13"/>
  <c r="DC39" i="13"/>
  <c r="CG39" i="13"/>
  <c r="CF39" i="13"/>
  <c r="AH39" i="13"/>
  <c r="AA39" i="13"/>
  <c r="X39" i="13"/>
  <c r="S39" i="13"/>
  <c r="Q39" i="13"/>
  <c r="O39" i="13"/>
  <c r="F39" i="13"/>
  <c r="EJ39" i="13" s="1"/>
  <c r="MG38" i="13"/>
  <c r="LZ38" i="13"/>
  <c r="KB38" i="13"/>
  <c r="KD38" i="13" s="1"/>
  <c r="JX38" i="13"/>
  <c r="JZ38" i="13" s="1"/>
  <c r="KA38" i="13" s="1"/>
  <c r="JT38" i="13"/>
  <c r="JV38" i="13" s="1"/>
  <c r="JP38" i="13"/>
  <c r="JR38" i="13" s="1"/>
  <c r="JS38" i="13" s="1"/>
  <c r="JB38" i="13"/>
  <c r="JD38" i="13" s="1"/>
  <c r="JE38" i="13" s="1"/>
  <c r="GK38" i="13"/>
  <c r="GM38" i="13" s="1"/>
  <c r="GG38" i="13"/>
  <c r="GI38" i="13" s="1"/>
  <c r="GJ38" i="13" s="1"/>
  <c r="GB38" i="13"/>
  <c r="FY38" i="13"/>
  <c r="GA38" i="13" s="1"/>
  <c r="ER38" i="13"/>
  <c r="EL38" i="13"/>
  <c r="EM38" i="13" s="1"/>
  <c r="EK38" i="13"/>
  <c r="EO38" i="13" s="1"/>
  <c r="EG38" i="13"/>
  <c r="EE38" i="13"/>
  <c r="EH38" i="13" s="1"/>
  <c r="ED38" i="13"/>
  <c r="EA38" i="13"/>
  <c r="DD38" i="13"/>
  <c r="DC38" i="13"/>
  <c r="CG38" i="13"/>
  <c r="CF38" i="13"/>
  <c r="AH38" i="13"/>
  <c r="AA38" i="13"/>
  <c r="X38" i="13"/>
  <c r="S38" i="13"/>
  <c r="Q38" i="13"/>
  <c r="O38" i="13"/>
  <c r="F38" i="13"/>
  <c r="EJ38" i="13" s="1"/>
  <c r="MG37" i="13"/>
  <c r="LZ37" i="13"/>
  <c r="KB37" i="13"/>
  <c r="KD37" i="13" s="1"/>
  <c r="JX37" i="13"/>
  <c r="JZ37" i="13" s="1"/>
  <c r="KA37" i="13" s="1"/>
  <c r="JT37" i="13"/>
  <c r="JV37" i="13" s="1"/>
  <c r="JR37" i="13"/>
  <c r="JS37" i="13" s="1"/>
  <c r="JP37" i="13"/>
  <c r="JB37" i="13"/>
  <c r="JD37" i="13" s="1"/>
  <c r="JE37" i="13" s="1"/>
  <c r="GK37" i="13"/>
  <c r="GM37" i="13" s="1"/>
  <c r="GG37" i="13"/>
  <c r="GI37" i="13" s="1"/>
  <c r="GJ37" i="13" s="1"/>
  <c r="FY37" i="13"/>
  <c r="GA37" i="13" s="1"/>
  <c r="GB37" i="13" s="1"/>
  <c r="ER37" i="13"/>
  <c r="EL37" i="13"/>
  <c r="EM37" i="13" s="1"/>
  <c r="N37" i="13" s="1"/>
  <c r="EK37" i="13"/>
  <c r="EO37" i="13" s="1"/>
  <c r="EG37" i="13"/>
  <c r="EE37" i="13"/>
  <c r="EH37" i="13" s="1"/>
  <c r="ED37" i="13"/>
  <c r="EA37" i="13"/>
  <c r="DD37" i="13"/>
  <c r="DC37" i="13"/>
  <c r="CG37" i="13"/>
  <c r="CF37" i="13"/>
  <c r="AH37" i="13"/>
  <c r="AA37" i="13"/>
  <c r="X37" i="13"/>
  <c r="S37" i="13"/>
  <c r="Q37" i="13"/>
  <c r="O37" i="13"/>
  <c r="F37" i="13"/>
  <c r="EJ37" i="13" s="1"/>
  <c r="MG36" i="13"/>
  <c r="LZ36" i="13"/>
  <c r="KB36" i="13"/>
  <c r="KD36" i="13" s="1"/>
  <c r="JX36" i="13"/>
  <c r="JZ36" i="13" s="1"/>
  <c r="KA36" i="13" s="1"/>
  <c r="JT36" i="13"/>
  <c r="JV36" i="13" s="1"/>
  <c r="JP36" i="13"/>
  <c r="JR36" i="13" s="1"/>
  <c r="JS36" i="13" s="1"/>
  <c r="JB36" i="13"/>
  <c r="JD36" i="13" s="1"/>
  <c r="JE36" i="13" s="1"/>
  <c r="GK36" i="13"/>
  <c r="GM36" i="13" s="1"/>
  <c r="GI36" i="13"/>
  <c r="GJ36" i="13" s="1"/>
  <c r="GG36" i="13"/>
  <c r="FY36" i="13"/>
  <c r="GA36" i="13" s="1"/>
  <c r="GB36" i="13" s="1"/>
  <c r="ER36" i="13"/>
  <c r="EL36" i="13"/>
  <c r="EM36" i="13" s="1"/>
  <c r="EK36" i="13"/>
  <c r="EG36" i="13"/>
  <c r="GT36" i="13" s="1"/>
  <c r="EE36" i="13"/>
  <c r="EH36" i="13" s="1"/>
  <c r="ED36" i="13"/>
  <c r="EA36" i="13"/>
  <c r="DD36" i="13"/>
  <c r="DC36" i="13"/>
  <c r="CG36" i="13"/>
  <c r="CF36" i="13"/>
  <c r="AA36" i="13"/>
  <c r="X36" i="13"/>
  <c r="S36" i="13"/>
  <c r="Q36" i="13"/>
  <c r="M36" i="13"/>
  <c r="F36" i="13"/>
  <c r="EJ36" i="13" s="1"/>
  <c r="AB36" i="13" s="1"/>
  <c r="OC35" i="13"/>
  <c r="OB35" i="13"/>
  <c r="MG35" i="13"/>
  <c r="LZ35" i="13"/>
  <c r="KB35" i="13"/>
  <c r="KD35" i="13" s="1"/>
  <c r="JX35" i="13"/>
  <c r="JZ35" i="13" s="1"/>
  <c r="KA35" i="13" s="1"/>
  <c r="JT35" i="13"/>
  <c r="JV35" i="13" s="1"/>
  <c r="JR35" i="13"/>
  <c r="JS35" i="13" s="1"/>
  <c r="JP35" i="13"/>
  <c r="JL35" i="13"/>
  <c r="JN35" i="13" s="1"/>
  <c r="JI35" i="13"/>
  <c r="JH35" i="13"/>
  <c r="JF35" i="13"/>
  <c r="JB35" i="13"/>
  <c r="JD35" i="13" s="1"/>
  <c r="JE35" i="13" s="1"/>
  <c r="GK35" i="13"/>
  <c r="GM35" i="13" s="1"/>
  <c r="GG35" i="13"/>
  <c r="GI35" i="13" s="1"/>
  <c r="GJ35" i="13" s="1"/>
  <c r="GC35" i="13"/>
  <c r="GE35" i="13" s="1"/>
  <c r="FY35" i="13"/>
  <c r="GA35" i="13" s="1"/>
  <c r="GB35" i="13" s="1"/>
  <c r="ER35" i="13"/>
  <c r="EM35" i="13"/>
  <c r="N35" i="13" s="1"/>
  <c r="EL35" i="13"/>
  <c r="EK35" i="13"/>
  <c r="MI35" i="13" s="1"/>
  <c r="MM35" i="13" s="1"/>
  <c r="EJ35" i="13"/>
  <c r="EG35" i="13"/>
  <c r="EE35" i="13"/>
  <c r="EH35" i="13" s="1"/>
  <c r="AB35" i="13" s="1"/>
  <c r="ED35" i="13"/>
  <c r="EA35" i="13"/>
  <c r="DD35" i="13"/>
  <c r="DC35" i="13"/>
  <c r="CG35" i="13"/>
  <c r="CF35" i="13"/>
  <c r="AH35" i="13"/>
  <c r="AC35" i="13"/>
  <c r="X35" i="13"/>
  <c r="S35" i="13"/>
  <c r="Q35" i="13"/>
  <c r="M35" i="13"/>
  <c r="OC34" i="13"/>
  <c r="OB34" i="13"/>
  <c r="MG34" i="13"/>
  <c r="LZ34" i="13"/>
  <c r="KB34" i="13"/>
  <c r="KD34" i="13" s="1"/>
  <c r="JX34" i="13"/>
  <c r="JZ34" i="13" s="1"/>
  <c r="KA34" i="13" s="1"/>
  <c r="JT34" i="13"/>
  <c r="JV34" i="13" s="1"/>
  <c r="JP34" i="13"/>
  <c r="JR34" i="13" s="1"/>
  <c r="JS34" i="13" s="1"/>
  <c r="JL34" i="13"/>
  <c r="JN34" i="13" s="1"/>
  <c r="JF34" i="13"/>
  <c r="JH34" i="13" s="1"/>
  <c r="JD34" i="13"/>
  <c r="JE34" i="13" s="1"/>
  <c r="JB34" i="13"/>
  <c r="GK34" i="13"/>
  <c r="GM34" i="13" s="1"/>
  <c r="GG34" i="13"/>
  <c r="GI34" i="13" s="1"/>
  <c r="GJ34" i="13" s="1"/>
  <c r="GC34" i="13"/>
  <c r="GE34" i="13" s="1"/>
  <c r="FY34" i="13"/>
  <c r="GA34" i="13" s="1"/>
  <c r="GB34" i="13" s="1"/>
  <c r="ER34" i="13"/>
  <c r="AH34" i="13" s="1"/>
  <c r="EL34" i="13"/>
  <c r="EM34" i="13" s="1"/>
  <c r="EP34" i="13" s="1"/>
  <c r="EK34" i="13"/>
  <c r="EO34" i="13" s="1"/>
  <c r="EJ34" i="13"/>
  <c r="AC34" i="13" s="1"/>
  <c r="EG34" i="13"/>
  <c r="EE34" i="13"/>
  <c r="AM34" i="13" s="1"/>
  <c r="ED34" i="13"/>
  <c r="EA34" i="13"/>
  <c r="DD34" i="13"/>
  <c r="DC34" i="13"/>
  <c r="CG34" i="13"/>
  <c r="CF34" i="13"/>
  <c r="X34" i="13"/>
  <c r="S34" i="13"/>
  <c r="Q34" i="13"/>
  <c r="OC33" i="13"/>
  <c r="OB33" i="13"/>
  <c r="MG33" i="13"/>
  <c r="LZ33" i="13"/>
  <c r="KB33" i="13"/>
  <c r="KD33" i="13" s="1"/>
  <c r="JX33" i="13"/>
  <c r="JZ33" i="13" s="1"/>
  <c r="KA33" i="13" s="1"/>
  <c r="JT33" i="13"/>
  <c r="JV33" i="13" s="1"/>
  <c r="JR33" i="13"/>
  <c r="JS33" i="13" s="1"/>
  <c r="JP33" i="13"/>
  <c r="JN33" i="13"/>
  <c r="JL33" i="13"/>
  <c r="JF33" i="13"/>
  <c r="JH33" i="13" s="1"/>
  <c r="JB33" i="13"/>
  <c r="JD33" i="13" s="1"/>
  <c r="JE33" i="13" s="1"/>
  <c r="GT33" i="13"/>
  <c r="GK33" i="13"/>
  <c r="GM33" i="13" s="1"/>
  <c r="GO33" i="13" s="1"/>
  <c r="GG33" i="13"/>
  <c r="GI33" i="13" s="1"/>
  <c r="GJ33" i="13" s="1"/>
  <c r="GC33" i="13"/>
  <c r="GE33" i="13" s="1"/>
  <c r="FY33" i="13"/>
  <c r="GA33" i="13" s="1"/>
  <c r="GB33" i="13" s="1"/>
  <c r="ER33" i="13"/>
  <c r="EL33" i="13"/>
  <c r="EM33" i="13" s="1"/>
  <c r="EK33" i="13"/>
  <c r="MI33" i="13" s="1"/>
  <c r="MM33" i="13" s="1"/>
  <c r="EJ33" i="13"/>
  <c r="AC33" i="13" s="1"/>
  <c r="EG33" i="13"/>
  <c r="EE33" i="13"/>
  <c r="AM33" i="13" s="1"/>
  <c r="ED33" i="13"/>
  <c r="EA33" i="13"/>
  <c r="DD33" i="13"/>
  <c r="DC33" i="13"/>
  <c r="CG33" i="13"/>
  <c r="CF33" i="13"/>
  <c r="AH33" i="13"/>
  <c r="X33" i="13"/>
  <c r="S33" i="13"/>
  <c r="Q33" i="13"/>
  <c r="OC32" i="13"/>
  <c r="OB32" i="13"/>
  <c r="MG32" i="13"/>
  <c r="LZ32" i="13"/>
  <c r="KB32" i="13"/>
  <c r="KD32" i="13" s="1"/>
  <c r="JX32" i="13"/>
  <c r="JZ32" i="13" s="1"/>
  <c r="KA32" i="13" s="1"/>
  <c r="JT32" i="13"/>
  <c r="JV32" i="13" s="1"/>
  <c r="JP32" i="13"/>
  <c r="JR32" i="13" s="1"/>
  <c r="JS32" i="13" s="1"/>
  <c r="JL32" i="13"/>
  <c r="JN32" i="13" s="1"/>
  <c r="JO32" i="13" s="1"/>
  <c r="JF32" i="13"/>
  <c r="JH32" i="13" s="1"/>
  <c r="JI32" i="13" s="1"/>
  <c r="JB32" i="13"/>
  <c r="JD32" i="13" s="1"/>
  <c r="GT32" i="13"/>
  <c r="GK32" i="13"/>
  <c r="GM32" i="13" s="1"/>
  <c r="GO32" i="13" s="1"/>
  <c r="GG32" i="13"/>
  <c r="GI32" i="13" s="1"/>
  <c r="GJ32" i="13" s="1"/>
  <c r="GC32" i="13"/>
  <c r="GE32" i="13" s="1"/>
  <c r="FY32" i="13"/>
  <c r="GA32" i="13" s="1"/>
  <c r="GB32" i="13" s="1"/>
  <c r="ER32" i="13"/>
  <c r="EL32" i="13"/>
  <c r="EM32" i="13" s="1"/>
  <c r="EK32" i="13"/>
  <c r="EJ32" i="13"/>
  <c r="EG32" i="13"/>
  <c r="EE32" i="13"/>
  <c r="EH32" i="13" s="1"/>
  <c r="OE32" i="13" s="1"/>
  <c r="ED32" i="13"/>
  <c r="EA32" i="13"/>
  <c r="DD32" i="13"/>
  <c r="DC32" i="13"/>
  <c r="CG32" i="13"/>
  <c r="CF32" i="13"/>
  <c r="X32" i="13"/>
  <c r="S32" i="13"/>
  <c r="Q32" i="13"/>
  <c r="OC31" i="13"/>
  <c r="OB31" i="13"/>
  <c r="MG31" i="13"/>
  <c r="LZ31" i="13"/>
  <c r="KB31" i="13"/>
  <c r="KD31" i="13" s="1"/>
  <c r="JX31" i="13"/>
  <c r="JZ31" i="13" s="1"/>
  <c r="KA31" i="13" s="1"/>
  <c r="JT31" i="13"/>
  <c r="JV31" i="13" s="1"/>
  <c r="JP31" i="13"/>
  <c r="JR31" i="13" s="1"/>
  <c r="JS31" i="13" s="1"/>
  <c r="JL31" i="13"/>
  <c r="JN31" i="13" s="1"/>
  <c r="JF31" i="13"/>
  <c r="JH31" i="13" s="1"/>
  <c r="JB31" i="13"/>
  <c r="JD31" i="13" s="1"/>
  <c r="JE31" i="13" s="1"/>
  <c r="GK31" i="13"/>
  <c r="GM31" i="13" s="1"/>
  <c r="GI31" i="13"/>
  <c r="GJ31" i="13" s="1"/>
  <c r="GG31" i="13"/>
  <c r="GC31" i="13"/>
  <c r="GE31" i="13" s="1"/>
  <c r="FY31" i="13"/>
  <c r="GA31" i="13" s="1"/>
  <c r="GB31" i="13" s="1"/>
  <c r="ER31" i="13"/>
  <c r="EL31" i="13"/>
  <c r="EM31" i="13" s="1"/>
  <c r="EK31" i="13"/>
  <c r="EO31" i="13" s="1"/>
  <c r="EJ31" i="13"/>
  <c r="EG31" i="13"/>
  <c r="GT31" i="13" s="1"/>
  <c r="EE31" i="13"/>
  <c r="EH31" i="13" s="1"/>
  <c r="ED31" i="13"/>
  <c r="EA31" i="13"/>
  <c r="DD31" i="13"/>
  <c r="DC31" i="13"/>
  <c r="CG31" i="13"/>
  <c r="CF31" i="13"/>
  <c r="AC31" i="13"/>
  <c r="X31" i="13"/>
  <c r="S31" i="13"/>
  <c r="Q31" i="13"/>
  <c r="OC30" i="13"/>
  <c r="OB30" i="13"/>
  <c r="MI30" i="13"/>
  <c r="MM30" i="13" s="1"/>
  <c r="MG30" i="13"/>
  <c r="LZ30" i="13"/>
  <c r="KB30" i="13"/>
  <c r="KD30" i="13" s="1"/>
  <c r="JX30" i="13"/>
  <c r="JZ30" i="13" s="1"/>
  <c r="KA30" i="13" s="1"/>
  <c r="JT30" i="13"/>
  <c r="JV30" i="13" s="1"/>
  <c r="JP30" i="13"/>
  <c r="JR30" i="13" s="1"/>
  <c r="JS30" i="13" s="1"/>
  <c r="JL30" i="13"/>
  <c r="JN30" i="13" s="1"/>
  <c r="JF30" i="13"/>
  <c r="JH30" i="13" s="1"/>
  <c r="JB30" i="13"/>
  <c r="JD30" i="13" s="1"/>
  <c r="JE30" i="13" s="1"/>
  <c r="GK30" i="13"/>
  <c r="GM30" i="13" s="1"/>
  <c r="GG30" i="13"/>
  <c r="GI30" i="13" s="1"/>
  <c r="GJ30" i="13" s="1"/>
  <c r="GC30" i="13"/>
  <c r="GE30" i="13" s="1"/>
  <c r="FY30" i="13"/>
  <c r="GA30" i="13" s="1"/>
  <c r="GB30" i="13" s="1"/>
  <c r="ER30" i="13"/>
  <c r="EL30" i="13"/>
  <c r="EM30" i="13" s="1"/>
  <c r="EK30" i="13"/>
  <c r="EO30" i="13" s="1"/>
  <c r="EJ30" i="13"/>
  <c r="EG30" i="13"/>
  <c r="GT30" i="13" s="1"/>
  <c r="EE30" i="13"/>
  <c r="M30" i="13" s="1"/>
  <c r="ED30" i="13"/>
  <c r="EA30" i="13"/>
  <c r="DD30" i="13"/>
  <c r="DC30" i="13"/>
  <c r="CG30" i="13"/>
  <c r="CF30" i="13"/>
  <c r="AC30" i="13"/>
  <c r="X30" i="13"/>
  <c r="S30" i="13"/>
  <c r="Q30" i="13"/>
  <c r="OC29" i="13"/>
  <c r="OB29" i="13"/>
  <c r="MG29" i="13"/>
  <c r="LZ29" i="13"/>
  <c r="KF29" i="13"/>
  <c r="KB29" i="13"/>
  <c r="KD29" i="13" s="1"/>
  <c r="JX29" i="13"/>
  <c r="JZ29" i="13" s="1"/>
  <c r="KA29" i="13" s="1"/>
  <c r="JT29" i="13"/>
  <c r="JV29" i="13" s="1"/>
  <c r="JR29" i="13"/>
  <c r="JS29" i="13" s="1"/>
  <c r="JP29" i="13"/>
  <c r="JL29" i="13"/>
  <c r="JN29" i="13" s="1"/>
  <c r="JF29" i="13"/>
  <c r="JH29" i="13" s="1"/>
  <c r="JI29" i="13" s="1"/>
  <c r="JB29" i="13"/>
  <c r="JD29" i="13" s="1"/>
  <c r="JE29" i="13" s="1"/>
  <c r="GK29" i="13"/>
  <c r="GM29" i="13" s="1"/>
  <c r="GG29" i="13"/>
  <c r="GI29" i="13" s="1"/>
  <c r="GJ29" i="13" s="1"/>
  <c r="GC29" i="13"/>
  <c r="GE29" i="13" s="1"/>
  <c r="FY29" i="13"/>
  <c r="GA29" i="13" s="1"/>
  <c r="GB29" i="13" s="1"/>
  <c r="ER29" i="13"/>
  <c r="EL29" i="13"/>
  <c r="EM29" i="13" s="1"/>
  <c r="EK29" i="13"/>
  <c r="EO29" i="13" s="1"/>
  <c r="EJ29" i="13"/>
  <c r="EG29" i="13"/>
  <c r="EE29" i="13"/>
  <c r="M29" i="13" s="1"/>
  <c r="ED29" i="13"/>
  <c r="EA29" i="13"/>
  <c r="DD29" i="13"/>
  <c r="DC29" i="13"/>
  <c r="CG29" i="13"/>
  <c r="CF29" i="13"/>
  <c r="AH29" i="13"/>
  <c r="AC29" i="13"/>
  <c r="X29" i="13"/>
  <c r="S29" i="13"/>
  <c r="Q29" i="13"/>
  <c r="OC28" i="13"/>
  <c r="OE28" i="13" s="1"/>
  <c r="OB28" i="13"/>
  <c r="MG28" i="13"/>
  <c r="LZ28" i="13"/>
  <c r="KB28" i="13"/>
  <c r="KD28" i="13" s="1"/>
  <c r="JX28" i="13"/>
  <c r="JZ28" i="13" s="1"/>
  <c r="KA28" i="13" s="1"/>
  <c r="JT28" i="13"/>
  <c r="JV28" i="13" s="1"/>
  <c r="JP28" i="13"/>
  <c r="JR28" i="13" s="1"/>
  <c r="JS28" i="13" s="1"/>
  <c r="JL28" i="13"/>
  <c r="JN28" i="13" s="1"/>
  <c r="JO28" i="13" s="1"/>
  <c r="JF28" i="13"/>
  <c r="JH28" i="13" s="1"/>
  <c r="JB28" i="13"/>
  <c r="JD28" i="13" s="1"/>
  <c r="JE28" i="13" s="1"/>
  <c r="GK28" i="13"/>
  <c r="GM28" i="13" s="1"/>
  <c r="GG28" i="13"/>
  <c r="GI28" i="13" s="1"/>
  <c r="GJ28" i="13" s="1"/>
  <c r="GC28" i="13"/>
  <c r="GE28" i="13" s="1"/>
  <c r="FY28" i="13"/>
  <c r="GA28" i="13" s="1"/>
  <c r="GB28" i="13" s="1"/>
  <c r="ER28" i="13"/>
  <c r="EL28" i="13"/>
  <c r="EM28" i="13" s="1"/>
  <c r="EK28" i="13"/>
  <c r="EO28" i="13" s="1"/>
  <c r="EW28" i="13" s="1"/>
  <c r="EX28" i="13" s="1"/>
  <c r="EJ28" i="13"/>
  <c r="LW28" i="13" s="1"/>
  <c r="LX28" i="13" s="1"/>
  <c r="EH28" i="13"/>
  <c r="EI28" i="13" s="1"/>
  <c r="EG28" i="13"/>
  <c r="GT28" i="13" s="1"/>
  <c r="EE28" i="13"/>
  <c r="M28" i="13" s="1"/>
  <c r="ED28" i="13"/>
  <c r="EA28" i="13"/>
  <c r="DD28" i="13"/>
  <c r="DC28" i="13"/>
  <c r="CG28" i="13"/>
  <c r="CF28" i="13"/>
  <c r="AC28" i="13"/>
  <c r="X28" i="13"/>
  <c r="S28" i="13"/>
  <c r="Q28" i="13"/>
  <c r="OC27" i="13"/>
  <c r="OB27" i="13"/>
  <c r="MG27" i="13"/>
  <c r="LZ27" i="13"/>
  <c r="KB27" i="13"/>
  <c r="KD27" i="13" s="1"/>
  <c r="JX27" i="13"/>
  <c r="JZ27" i="13" s="1"/>
  <c r="KA27" i="13" s="1"/>
  <c r="JT27" i="13"/>
  <c r="JV27" i="13" s="1"/>
  <c r="JP27" i="13"/>
  <c r="JR27" i="13" s="1"/>
  <c r="JS27" i="13" s="1"/>
  <c r="JL27" i="13"/>
  <c r="JN27" i="13" s="1"/>
  <c r="JF27" i="13"/>
  <c r="JH27" i="13" s="1"/>
  <c r="JB27" i="13"/>
  <c r="JD27" i="13" s="1"/>
  <c r="JE27" i="13" s="1"/>
  <c r="GM27" i="13"/>
  <c r="GK27" i="13"/>
  <c r="GG27" i="13"/>
  <c r="GI27" i="13" s="1"/>
  <c r="GJ27" i="13" s="1"/>
  <c r="GC27" i="13"/>
  <c r="GE27" i="13" s="1"/>
  <c r="FY27" i="13"/>
  <c r="GA27" i="13" s="1"/>
  <c r="GB27" i="13" s="1"/>
  <c r="ER27" i="13"/>
  <c r="EL27" i="13"/>
  <c r="EM27" i="13" s="1"/>
  <c r="EK27" i="13"/>
  <c r="EO27" i="13" s="1"/>
  <c r="EJ27" i="13"/>
  <c r="AC27" i="13" s="1"/>
  <c r="EG27" i="13"/>
  <c r="EE27" i="13"/>
  <c r="ED27" i="13"/>
  <c r="EA27" i="13"/>
  <c r="DD27" i="13"/>
  <c r="DC27" i="13"/>
  <c r="CG27" i="13"/>
  <c r="CF27" i="13"/>
  <c r="AH27" i="13"/>
  <c r="X27" i="13"/>
  <c r="S27" i="13"/>
  <c r="Q27" i="13"/>
  <c r="OC26" i="13"/>
  <c r="OB26" i="13"/>
  <c r="MG26" i="13"/>
  <c r="LZ26" i="13"/>
  <c r="KB26" i="13"/>
  <c r="KD26" i="13" s="1"/>
  <c r="JX26" i="13"/>
  <c r="JZ26" i="13" s="1"/>
  <c r="KA26" i="13" s="1"/>
  <c r="JT26" i="13"/>
  <c r="JV26" i="13" s="1"/>
  <c r="JP26" i="13"/>
  <c r="JR26" i="13" s="1"/>
  <c r="JS26" i="13" s="1"/>
  <c r="JL26" i="13"/>
  <c r="JN26" i="13" s="1"/>
  <c r="JF26" i="13"/>
  <c r="JH26" i="13" s="1"/>
  <c r="JB26" i="13"/>
  <c r="JD26" i="13" s="1"/>
  <c r="JE26" i="13" s="1"/>
  <c r="GK26" i="13"/>
  <c r="GM26" i="13" s="1"/>
  <c r="GG26" i="13"/>
  <c r="GI26" i="13" s="1"/>
  <c r="GJ26" i="13" s="1"/>
  <c r="GC26" i="13"/>
  <c r="GE26" i="13" s="1"/>
  <c r="FY26" i="13"/>
  <c r="GA26" i="13" s="1"/>
  <c r="GB26" i="13" s="1"/>
  <c r="EW26" i="13"/>
  <c r="EX26" i="13" s="1"/>
  <c r="ER26" i="13"/>
  <c r="EL26" i="13"/>
  <c r="EM26" i="13" s="1"/>
  <c r="EK26" i="13"/>
  <c r="EO26" i="13" s="1"/>
  <c r="EJ26" i="13"/>
  <c r="AC26" i="13" s="1"/>
  <c r="EG26" i="13"/>
  <c r="EE26" i="13"/>
  <c r="AM26" i="13" s="1"/>
  <c r="EH26" i="13" s="1"/>
  <c r="EI26" i="13" s="1"/>
  <c r="ED26" i="13"/>
  <c r="EA26" i="13"/>
  <c r="DD26" i="13"/>
  <c r="DC26" i="13"/>
  <c r="CG26" i="13"/>
  <c r="CF26" i="13"/>
  <c r="AH26" i="13"/>
  <c r="AG26" i="13"/>
  <c r="X26" i="13"/>
  <c r="S26" i="13"/>
  <c r="Q26" i="13"/>
  <c r="OC25" i="13"/>
  <c r="OB25" i="13"/>
  <c r="MG25" i="13"/>
  <c r="LZ25" i="13"/>
  <c r="KB25" i="13"/>
  <c r="KD25" i="13" s="1"/>
  <c r="JX25" i="13"/>
  <c r="JZ25" i="13" s="1"/>
  <c r="KA25" i="13" s="1"/>
  <c r="JT25" i="13"/>
  <c r="JV25" i="13" s="1"/>
  <c r="JP25" i="13"/>
  <c r="JR25" i="13" s="1"/>
  <c r="JS25" i="13" s="1"/>
  <c r="JL25" i="13"/>
  <c r="JN25" i="13" s="1"/>
  <c r="JF25" i="13"/>
  <c r="JH25" i="13" s="1"/>
  <c r="JB25" i="13"/>
  <c r="JD25" i="13" s="1"/>
  <c r="JE25" i="13" s="1"/>
  <c r="GK25" i="13"/>
  <c r="GM25" i="13" s="1"/>
  <c r="GG25" i="13"/>
  <c r="GI25" i="13" s="1"/>
  <c r="GJ25" i="13" s="1"/>
  <c r="GC25" i="13"/>
  <c r="GE25" i="13" s="1"/>
  <c r="GA25" i="13"/>
  <c r="GB25" i="13" s="1"/>
  <c r="FY25" i="13"/>
  <c r="ER25" i="13"/>
  <c r="EL25" i="13"/>
  <c r="EM25" i="13" s="1"/>
  <c r="EK25" i="13"/>
  <c r="MI25" i="13" s="1"/>
  <c r="MM25" i="13" s="1"/>
  <c r="EJ25" i="13"/>
  <c r="AC25" i="13" s="1"/>
  <c r="EG25" i="13"/>
  <c r="GT25" i="13" s="1"/>
  <c r="EE25" i="13"/>
  <c r="M25" i="13" s="1"/>
  <c r="ED25" i="13"/>
  <c r="EA25" i="13"/>
  <c r="DD25" i="13"/>
  <c r="DC25" i="13"/>
  <c r="CG25" i="13"/>
  <c r="CF25" i="13"/>
  <c r="AH25" i="13"/>
  <c r="X25" i="13"/>
  <c r="S25" i="13"/>
  <c r="Q25" i="13"/>
  <c r="OC24" i="13"/>
  <c r="OB24" i="13"/>
  <c r="MG24" i="13"/>
  <c r="LZ24" i="13"/>
  <c r="KB24" i="13"/>
  <c r="KD24" i="13" s="1"/>
  <c r="JX24" i="13"/>
  <c r="JZ24" i="13" s="1"/>
  <c r="KA24" i="13" s="1"/>
  <c r="JV24" i="13"/>
  <c r="JT24" i="13"/>
  <c r="JR24" i="13"/>
  <c r="JS24" i="13" s="1"/>
  <c r="JP24" i="13"/>
  <c r="JL24" i="13"/>
  <c r="JN24" i="13" s="1"/>
  <c r="JF24" i="13"/>
  <c r="JH24" i="13" s="1"/>
  <c r="JI24" i="13" s="1"/>
  <c r="JB24" i="13"/>
  <c r="JD24" i="13" s="1"/>
  <c r="GK24" i="13"/>
  <c r="GM24" i="13" s="1"/>
  <c r="GG24" i="13"/>
  <c r="GI24" i="13" s="1"/>
  <c r="GJ24" i="13" s="1"/>
  <c r="GC24" i="13"/>
  <c r="GE24" i="13" s="1"/>
  <c r="FY24" i="13"/>
  <c r="GA24" i="13" s="1"/>
  <c r="GB24" i="13" s="1"/>
  <c r="ER24" i="13"/>
  <c r="EL24" i="13"/>
  <c r="EM24" i="13" s="1"/>
  <c r="EK24" i="13"/>
  <c r="EJ24" i="13"/>
  <c r="EG24" i="13"/>
  <c r="GT24" i="13" s="1"/>
  <c r="EE24" i="13"/>
  <c r="M24" i="13" s="1"/>
  <c r="ED24" i="13"/>
  <c r="EA24" i="13"/>
  <c r="DD24" i="13"/>
  <c r="DC24" i="13"/>
  <c r="CG24" i="13"/>
  <c r="CF24" i="13"/>
  <c r="AH24" i="13"/>
  <c r="X24" i="13"/>
  <c r="S24" i="13"/>
  <c r="Q24" i="13"/>
  <c r="OC23" i="13"/>
  <c r="OB23" i="13"/>
  <c r="MG23" i="13"/>
  <c r="LZ23" i="13"/>
  <c r="KB23" i="13"/>
  <c r="KD23" i="13" s="1"/>
  <c r="JX23" i="13"/>
  <c r="JZ23" i="13" s="1"/>
  <c r="KA23" i="13" s="1"/>
  <c r="JT23" i="13"/>
  <c r="JV23" i="13" s="1"/>
  <c r="JP23" i="13"/>
  <c r="JR23" i="13" s="1"/>
  <c r="JS23" i="13" s="1"/>
  <c r="JL23" i="13"/>
  <c r="JN23" i="13" s="1"/>
  <c r="JF23" i="13"/>
  <c r="JH23" i="13" s="1"/>
  <c r="JB23" i="13"/>
  <c r="JD23" i="13" s="1"/>
  <c r="JE23" i="13" s="1"/>
  <c r="GK23" i="13"/>
  <c r="GM23" i="13" s="1"/>
  <c r="GI23" i="13"/>
  <c r="GJ23" i="13" s="1"/>
  <c r="GG23" i="13"/>
  <c r="GC23" i="13"/>
  <c r="GE23" i="13" s="1"/>
  <c r="GA23" i="13"/>
  <c r="GB23" i="13" s="1"/>
  <c r="FY23" i="13"/>
  <c r="ER23" i="13"/>
  <c r="EL23" i="13"/>
  <c r="EM23" i="13" s="1"/>
  <c r="EK23" i="13"/>
  <c r="EO23" i="13" s="1"/>
  <c r="EJ23" i="13"/>
  <c r="EG23" i="13"/>
  <c r="EE23" i="13"/>
  <c r="M23" i="13" s="1"/>
  <c r="ED23" i="13"/>
  <c r="EA23" i="13"/>
  <c r="DD23" i="13"/>
  <c r="DC23" i="13"/>
  <c r="CG23" i="13"/>
  <c r="CF23" i="13"/>
  <c r="AC23" i="13"/>
  <c r="X23" i="13"/>
  <c r="S23" i="13"/>
  <c r="Q23" i="13"/>
  <c r="OC22" i="13"/>
  <c r="OB22" i="13"/>
  <c r="MG22" i="13"/>
  <c r="LZ22" i="13"/>
  <c r="KB22" i="13"/>
  <c r="KD22" i="13" s="1"/>
  <c r="JX22" i="13"/>
  <c r="JZ22" i="13" s="1"/>
  <c r="KA22" i="13" s="1"/>
  <c r="JT22" i="13"/>
  <c r="JV22" i="13" s="1"/>
  <c r="JP22" i="13"/>
  <c r="JR22" i="13" s="1"/>
  <c r="JS22" i="13" s="1"/>
  <c r="JL22" i="13"/>
  <c r="JN22" i="13" s="1"/>
  <c r="JF22" i="13"/>
  <c r="JH22" i="13" s="1"/>
  <c r="JB22" i="13"/>
  <c r="JD22" i="13" s="1"/>
  <c r="JE22" i="13" s="1"/>
  <c r="GK22" i="13"/>
  <c r="GM22" i="13" s="1"/>
  <c r="GG22" i="13"/>
  <c r="GI22" i="13" s="1"/>
  <c r="GJ22" i="13" s="1"/>
  <c r="GC22" i="13"/>
  <c r="GE22" i="13" s="1"/>
  <c r="FY22" i="13"/>
  <c r="GA22" i="13" s="1"/>
  <c r="GB22" i="13" s="1"/>
  <c r="ER22" i="13"/>
  <c r="EL22" i="13"/>
  <c r="EM22" i="13" s="1"/>
  <c r="EK22" i="13"/>
  <c r="MI22" i="13" s="1"/>
  <c r="MM22" i="13" s="1"/>
  <c r="EJ22" i="13"/>
  <c r="EG22" i="13"/>
  <c r="EE22" i="13"/>
  <c r="M22" i="13" s="1"/>
  <c r="ED22" i="13"/>
  <c r="EA22" i="13"/>
  <c r="DD22" i="13"/>
  <c r="DC22" i="13"/>
  <c r="CG22" i="13"/>
  <c r="CF22" i="13"/>
  <c r="AH22" i="13"/>
  <c r="AC22" i="13"/>
  <c r="X22" i="13"/>
  <c r="S22" i="13"/>
  <c r="Q22" i="13"/>
  <c r="N22" i="13"/>
  <c r="OC21" i="13"/>
  <c r="OB21" i="13"/>
  <c r="MG21" i="13"/>
  <c r="LZ21" i="13"/>
  <c r="KB21" i="13"/>
  <c r="KD21" i="13" s="1"/>
  <c r="JX21" i="13"/>
  <c r="JZ21" i="13" s="1"/>
  <c r="KA21" i="13" s="1"/>
  <c r="JT21" i="13"/>
  <c r="JV21" i="13" s="1"/>
  <c r="JR21" i="13"/>
  <c r="JS21" i="13" s="1"/>
  <c r="JP21" i="13"/>
  <c r="JL21" i="13"/>
  <c r="JN21" i="13" s="1"/>
  <c r="JH21" i="13"/>
  <c r="JI21" i="13" s="1"/>
  <c r="JF21" i="13"/>
  <c r="JB21" i="13"/>
  <c r="JD21" i="13" s="1"/>
  <c r="JE21" i="13" s="1"/>
  <c r="GK21" i="13"/>
  <c r="GM21" i="13" s="1"/>
  <c r="GG21" i="13"/>
  <c r="GI21" i="13" s="1"/>
  <c r="GJ21" i="13" s="1"/>
  <c r="GC21" i="13"/>
  <c r="GE21" i="13" s="1"/>
  <c r="FY21" i="13"/>
  <c r="GA21" i="13" s="1"/>
  <c r="GB21" i="13" s="1"/>
  <c r="ER21" i="13"/>
  <c r="AH21" i="13" s="1"/>
  <c r="EL21" i="13"/>
  <c r="EM21" i="13" s="1"/>
  <c r="EK21" i="13"/>
  <c r="EO21" i="13" s="1"/>
  <c r="EJ21" i="13"/>
  <c r="AC21" i="13" s="1"/>
  <c r="EG21" i="13"/>
  <c r="EE21" i="13"/>
  <c r="M21" i="13" s="1"/>
  <c r="ED21" i="13"/>
  <c r="EA21" i="13"/>
  <c r="DD21" i="13"/>
  <c r="DC21" i="13"/>
  <c r="CG21" i="13"/>
  <c r="CF21" i="13"/>
  <c r="AM21" i="13"/>
  <c r="EH21" i="13" s="1"/>
  <c r="X21" i="13"/>
  <c r="S21" i="13"/>
  <c r="Q21" i="13"/>
  <c r="OC20" i="13"/>
  <c r="OB20" i="13"/>
  <c r="MG20" i="13"/>
  <c r="LZ20" i="13"/>
  <c r="KB20" i="13"/>
  <c r="KD20" i="13" s="1"/>
  <c r="JX20" i="13"/>
  <c r="JZ20" i="13" s="1"/>
  <c r="KA20" i="13" s="1"/>
  <c r="JT20" i="13"/>
  <c r="JV20" i="13" s="1"/>
  <c r="JP20" i="13"/>
  <c r="JR20" i="13" s="1"/>
  <c r="JS20" i="13" s="1"/>
  <c r="JL20" i="13"/>
  <c r="JN20" i="13" s="1"/>
  <c r="JO20" i="13" s="1"/>
  <c r="JF20" i="13"/>
  <c r="JH20" i="13" s="1"/>
  <c r="JB20" i="13"/>
  <c r="JD20" i="13" s="1"/>
  <c r="JE20" i="13" s="1"/>
  <c r="GK20" i="13"/>
  <c r="GM20" i="13" s="1"/>
  <c r="GI20" i="13"/>
  <c r="GJ20" i="13" s="1"/>
  <c r="GG20" i="13"/>
  <c r="GC20" i="13"/>
  <c r="GE20" i="13" s="1"/>
  <c r="FY20" i="13"/>
  <c r="GA20" i="13" s="1"/>
  <c r="GB20" i="13" s="1"/>
  <c r="ER20" i="13"/>
  <c r="EL20" i="13"/>
  <c r="EM20" i="13" s="1"/>
  <c r="EK20" i="13"/>
  <c r="EO20" i="13" s="1"/>
  <c r="EW20" i="13" s="1"/>
  <c r="EX20" i="13" s="1"/>
  <c r="EJ20" i="13"/>
  <c r="EG20" i="13"/>
  <c r="GT20" i="13" s="1"/>
  <c r="EE20" i="13"/>
  <c r="M20" i="13" s="1"/>
  <c r="ED20" i="13"/>
  <c r="EA20" i="13"/>
  <c r="DD20" i="13"/>
  <c r="DC20" i="13"/>
  <c r="CG20" i="13"/>
  <c r="CF20" i="13"/>
  <c r="AC20" i="13"/>
  <c r="X20" i="13"/>
  <c r="Q20" i="13"/>
  <c r="OC19" i="13"/>
  <c r="OB19" i="13"/>
  <c r="MG19" i="13"/>
  <c r="LZ19" i="13"/>
  <c r="KB19" i="13"/>
  <c r="KD19" i="13" s="1"/>
  <c r="JX19" i="13"/>
  <c r="JZ19" i="13" s="1"/>
  <c r="KA19" i="13" s="1"/>
  <c r="JT19" i="13"/>
  <c r="JV19" i="13" s="1"/>
  <c r="JP19" i="13"/>
  <c r="JR19" i="13" s="1"/>
  <c r="JS19" i="13" s="1"/>
  <c r="JL19" i="13"/>
  <c r="JN19" i="13" s="1"/>
  <c r="JF19" i="13"/>
  <c r="JH19" i="13" s="1"/>
  <c r="JB19" i="13"/>
  <c r="JD19" i="13" s="1"/>
  <c r="JE19" i="13" s="1"/>
  <c r="GK19" i="13"/>
  <c r="GM19" i="13" s="1"/>
  <c r="GG19" i="13"/>
  <c r="GI19" i="13" s="1"/>
  <c r="GJ19" i="13" s="1"/>
  <c r="GC19" i="13"/>
  <c r="GE19" i="13" s="1"/>
  <c r="FY19" i="13"/>
  <c r="GA19" i="13" s="1"/>
  <c r="GB19" i="13" s="1"/>
  <c r="ER19" i="13"/>
  <c r="EL19" i="13"/>
  <c r="EM19" i="13" s="1"/>
  <c r="EP19" i="13" s="1"/>
  <c r="EQ19" i="13" s="1"/>
  <c r="EK19" i="13"/>
  <c r="EJ19" i="13"/>
  <c r="AC19" i="13" s="1"/>
  <c r="EG19" i="13"/>
  <c r="EE19" i="13"/>
  <c r="EH19" i="13" s="1"/>
  <c r="LW19" i="13" s="1"/>
  <c r="LX19" i="13" s="1"/>
  <c r="ED19" i="13"/>
  <c r="EA19" i="13"/>
  <c r="DD19" i="13"/>
  <c r="DC19" i="13"/>
  <c r="CG19" i="13"/>
  <c r="CF19" i="13"/>
  <c r="AH19" i="13"/>
  <c r="X19" i="13"/>
  <c r="Q19" i="13"/>
  <c r="OC18" i="13"/>
  <c r="OB18" i="13"/>
  <c r="MG18" i="13"/>
  <c r="LZ18" i="13"/>
  <c r="KB18" i="13"/>
  <c r="KD18" i="13" s="1"/>
  <c r="JX18" i="13"/>
  <c r="JZ18" i="13" s="1"/>
  <c r="KA18" i="13" s="1"/>
  <c r="JT18" i="13"/>
  <c r="JV18" i="13" s="1"/>
  <c r="JP18" i="13"/>
  <c r="JR18" i="13" s="1"/>
  <c r="JS18" i="13" s="1"/>
  <c r="JL18" i="13"/>
  <c r="JN18" i="13" s="1"/>
  <c r="JO18" i="13" s="1"/>
  <c r="JF18" i="13"/>
  <c r="JH18" i="13" s="1"/>
  <c r="JB18" i="13"/>
  <c r="JD18" i="13" s="1"/>
  <c r="JE18" i="13" s="1"/>
  <c r="GK18" i="13"/>
  <c r="GM18" i="13" s="1"/>
  <c r="GG18" i="13"/>
  <c r="GI18" i="13" s="1"/>
  <c r="GJ18" i="13" s="1"/>
  <c r="GE18" i="13"/>
  <c r="GC18" i="13"/>
  <c r="FY18" i="13"/>
  <c r="GA18" i="13" s="1"/>
  <c r="GB18" i="13" s="1"/>
  <c r="ER18" i="13"/>
  <c r="EL18" i="13"/>
  <c r="EM18" i="13" s="1"/>
  <c r="EK18" i="13"/>
  <c r="EO18" i="13" s="1"/>
  <c r="EJ18" i="13"/>
  <c r="AC18" i="13" s="1"/>
  <c r="EG18" i="13"/>
  <c r="GT18" i="13" s="1"/>
  <c r="EE18" i="13"/>
  <c r="M18" i="13" s="1"/>
  <c r="ED18" i="13"/>
  <c r="EA18" i="13"/>
  <c r="DD18" i="13"/>
  <c r="DC18" i="13"/>
  <c r="CG18" i="13"/>
  <c r="CF18" i="13"/>
  <c r="X18" i="13"/>
  <c r="Q18" i="13"/>
  <c r="OC17" i="13"/>
  <c r="OB17" i="13"/>
  <c r="MG17" i="13"/>
  <c r="LZ17" i="13"/>
  <c r="KD17" i="13"/>
  <c r="KB17" i="13"/>
  <c r="JX17" i="13"/>
  <c r="JZ17" i="13" s="1"/>
  <c r="JT17" i="13"/>
  <c r="JV17" i="13" s="1"/>
  <c r="JP17" i="13"/>
  <c r="JR17" i="13" s="1"/>
  <c r="JS17" i="13" s="1"/>
  <c r="JL17" i="13"/>
  <c r="JN17" i="13" s="1"/>
  <c r="JO17" i="13" s="1"/>
  <c r="JF17" i="13"/>
  <c r="JH17" i="13" s="1"/>
  <c r="JB17" i="13"/>
  <c r="JD17" i="13" s="1"/>
  <c r="JE17" i="13" s="1"/>
  <c r="GK17" i="13"/>
  <c r="GM17" i="13" s="1"/>
  <c r="GG17" i="13"/>
  <c r="GI17" i="13" s="1"/>
  <c r="GJ17" i="13" s="1"/>
  <c r="GC17" i="13"/>
  <c r="GE17" i="13" s="1"/>
  <c r="FY17" i="13"/>
  <c r="GA17" i="13" s="1"/>
  <c r="GB17" i="13" s="1"/>
  <c r="ER17" i="13"/>
  <c r="EL17" i="13"/>
  <c r="EM17" i="13" s="1"/>
  <c r="EK17" i="13"/>
  <c r="EO17" i="13" s="1"/>
  <c r="EJ17" i="13"/>
  <c r="AC17" i="13" s="1"/>
  <c r="EG17" i="13"/>
  <c r="EE17" i="13"/>
  <c r="M17" i="13" s="1"/>
  <c r="ED17" i="13"/>
  <c r="EA17" i="13"/>
  <c r="DD17" i="13"/>
  <c r="DC17" i="13"/>
  <c r="CG17" i="13"/>
  <c r="CF17" i="13"/>
  <c r="AH17" i="13"/>
  <c r="X17" i="13"/>
  <c r="Q17" i="13"/>
  <c r="OC16" i="13"/>
  <c r="OB16" i="13"/>
  <c r="MG16" i="13"/>
  <c r="LZ16" i="13"/>
  <c r="KB16" i="13"/>
  <c r="KD16" i="13" s="1"/>
  <c r="JX16" i="13"/>
  <c r="JZ16" i="13" s="1"/>
  <c r="JT16" i="13"/>
  <c r="JV16" i="13" s="1"/>
  <c r="JP16" i="13"/>
  <c r="JR16" i="13" s="1"/>
  <c r="JS16" i="13" s="1"/>
  <c r="JO16" i="13"/>
  <c r="JL16" i="13"/>
  <c r="JN16" i="13" s="1"/>
  <c r="JF16" i="13"/>
  <c r="JH16" i="13" s="1"/>
  <c r="JB16" i="13"/>
  <c r="JD16" i="13" s="1"/>
  <c r="JE16" i="13" s="1"/>
  <c r="GK16" i="13"/>
  <c r="GM16" i="13" s="1"/>
  <c r="GG16" i="13"/>
  <c r="GI16" i="13" s="1"/>
  <c r="GJ16" i="13" s="1"/>
  <c r="GC16" i="13"/>
  <c r="GE16" i="13" s="1"/>
  <c r="FY16" i="13"/>
  <c r="GA16" i="13" s="1"/>
  <c r="GB16" i="13" s="1"/>
  <c r="ER16" i="13"/>
  <c r="AH16" i="13" s="1"/>
  <c r="EL16" i="13"/>
  <c r="EM16" i="13" s="1"/>
  <c r="EK16" i="13"/>
  <c r="EO16" i="13" s="1"/>
  <c r="EJ16" i="13"/>
  <c r="AC16" i="13" s="1"/>
  <c r="EG16" i="13"/>
  <c r="EE16" i="13"/>
  <c r="M16" i="13" s="1"/>
  <c r="ED16" i="13"/>
  <c r="EA16" i="13"/>
  <c r="DD16" i="13"/>
  <c r="DC16" i="13"/>
  <c r="CG16" i="13"/>
  <c r="CF16" i="13"/>
  <c r="X16" i="13"/>
  <c r="Q16" i="13"/>
  <c r="OC15" i="13"/>
  <c r="OB15" i="13"/>
  <c r="MG15" i="13"/>
  <c r="LZ15" i="13"/>
  <c r="KB15" i="13"/>
  <c r="KD15" i="13" s="1"/>
  <c r="JX15" i="13"/>
  <c r="JZ15" i="13" s="1"/>
  <c r="JT15" i="13"/>
  <c r="JV15" i="13" s="1"/>
  <c r="JP15" i="13"/>
  <c r="JR15" i="13" s="1"/>
  <c r="JS15" i="13" s="1"/>
  <c r="JL15" i="13"/>
  <c r="JN15" i="13" s="1"/>
  <c r="JO15" i="13" s="1"/>
  <c r="JF15" i="13"/>
  <c r="JH15" i="13" s="1"/>
  <c r="JB15" i="13"/>
  <c r="JD15" i="13" s="1"/>
  <c r="JE15" i="13" s="1"/>
  <c r="GK15" i="13"/>
  <c r="GM15" i="13" s="1"/>
  <c r="GG15" i="13"/>
  <c r="GI15" i="13" s="1"/>
  <c r="GJ15" i="13" s="1"/>
  <c r="GE15" i="13"/>
  <c r="GC15" i="13"/>
  <c r="FY15" i="13"/>
  <c r="GA15" i="13" s="1"/>
  <c r="GB15" i="13" s="1"/>
  <c r="ER15" i="13"/>
  <c r="EL15" i="13"/>
  <c r="EM15" i="13" s="1"/>
  <c r="EK15" i="13"/>
  <c r="EO15" i="13" s="1"/>
  <c r="EJ15" i="13"/>
  <c r="AC15" i="13" s="1"/>
  <c r="EG15" i="13"/>
  <c r="EE15" i="13"/>
  <c r="M15" i="13" s="1"/>
  <c r="ED15" i="13"/>
  <c r="EA15" i="13"/>
  <c r="DD15" i="13"/>
  <c r="DC15" i="13"/>
  <c r="CG15" i="13"/>
  <c r="CF15" i="13"/>
  <c r="AH15" i="13"/>
  <c r="X15" i="13"/>
  <c r="Q15" i="13"/>
  <c r="OC14" i="13"/>
  <c r="OB14" i="13"/>
  <c r="MG14" i="13"/>
  <c r="LZ14" i="13"/>
  <c r="KD14" i="13"/>
  <c r="KB14" i="13"/>
  <c r="JX14" i="13"/>
  <c r="JZ14" i="13" s="1"/>
  <c r="KA14" i="13" s="1"/>
  <c r="JT14" i="13"/>
  <c r="JV14" i="13" s="1"/>
  <c r="JP14" i="13"/>
  <c r="JR14" i="13" s="1"/>
  <c r="JS14" i="13" s="1"/>
  <c r="JL14" i="13"/>
  <c r="JN14" i="13" s="1"/>
  <c r="JO14" i="13" s="1"/>
  <c r="JF14" i="13"/>
  <c r="JH14" i="13" s="1"/>
  <c r="JB14" i="13"/>
  <c r="JD14" i="13" s="1"/>
  <c r="JE14" i="13" s="1"/>
  <c r="GK14" i="13"/>
  <c r="GM14" i="13" s="1"/>
  <c r="GG14" i="13"/>
  <c r="GI14" i="13" s="1"/>
  <c r="GJ14" i="13" s="1"/>
  <c r="GC14" i="13"/>
  <c r="GE14" i="13" s="1"/>
  <c r="FY14" i="13"/>
  <c r="GA14" i="13" s="1"/>
  <c r="GB14" i="13" s="1"/>
  <c r="ER14" i="13"/>
  <c r="EL14" i="13"/>
  <c r="EM14" i="13" s="1"/>
  <c r="EK14" i="13"/>
  <c r="EO14" i="13" s="1"/>
  <c r="EJ14" i="13"/>
  <c r="AC14" i="13" s="1"/>
  <c r="EG14" i="13"/>
  <c r="EE14" i="13"/>
  <c r="M14" i="13" s="1"/>
  <c r="ED14" i="13"/>
  <c r="EA14" i="13"/>
  <c r="DD14" i="13"/>
  <c r="DC14" i="13"/>
  <c r="CG14" i="13"/>
  <c r="CF14" i="13"/>
  <c r="AH14" i="13"/>
  <c r="X14" i="13"/>
  <c r="Q14" i="13"/>
  <c r="OC13" i="13"/>
  <c r="OB13" i="13"/>
  <c r="MG13" i="13"/>
  <c r="LZ13" i="13"/>
  <c r="KB13" i="13"/>
  <c r="KD13" i="13" s="1"/>
  <c r="JX13" i="13"/>
  <c r="JZ13" i="13" s="1"/>
  <c r="KA13" i="13" s="1"/>
  <c r="JT13" i="13"/>
  <c r="JV13" i="13" s="1"/>
  <c r="JP13" i="13"/>
  <c r="JR13" i="13" s="1"/>
  <c r="JS13" i="13" s="1"/>
  <c r="JL13" i="13"/>
  <c r="JN13" i="13" s="1"/>
  <c r="JO13" i="13" s="1"/>
  <c r="JF13" i="13"/>
  <c r="JH13" i="13" s="1"/>
  <c r="JB13" i="13"/>
  <c r="JD13" i="13" s="1"/>
  <c r="JE13" i="13" s="1"/>
  <c r="GK13" i="13"/>
  <c r="GM13" i="13" s="1"/>
  <c r="GG13" i="13"/>
  <c r="GI13" i="13" s="1"/>
  <c r="GJ13" i="13" s="1"/>
  <c r="GC13" i="13"/>
  <c r="GE13" i="13" s="1"/>
  <c r="FY13" i="13"/>
  <c r="GA13" i="13" s="1"/>
  <c r="GB13" i="13" s="1"/>
  <c r="ER13" i="13"/>
  <c r="EL13" i="13"/>
  <c r="EM13" i="13" s="1"/>
  <c r="EK13" i="13"/>
  <c r="EO13" i="13" s="1"/>
  <c r="EJ13" i="13"/>
  <c r="AC13" i="13" s="1"/>
  <c r="EG13" i="13"/>
  <c r="EE13" i="13"/>
  <c r="M13" i="13" s="1"/>
  <c r="ED13" i="13"/>
  <c r="EA13" i="13"/>
  <c r="DD13" i="13"/>
  <c r="DC13" i="13"/>
  <c r="CG13" i="13"/>
  <c r="CF13" i="13"/>
  <c r="AH13" i="13"/>
  <c r="X13" i="13"/>
  <c r="Q13" i="13"/>
  <c r="OC12" i="13"/>
  <c r="OB12" i="13"/>
  <c r="MG12" i="13"/>
  <c r="LZ12" i="13"/>
  <c r="KB12" i="13"/>
  <c r="KD12" i="13" s="1"/>
  <c r="JX12" i="13"/>
  <c r="JZ12" i="13" s="1"/>
  <c r="KA12" i="13" s="1"/>
  <c r="JT12" i="13"/>
  <c r="JV12" i="13" s="1"/>
  <c r="JW12" i="13" s="1"/>
  <c r="JP12" i="13"/>
  <c r="JR12" i="13" s="1"/>
  <c r="JS12" i="13" s="1"/>
  <c r="JL12" i="13"/>
  <c r="JN12" i="13" s="1"/>
  <c r="JO12" i="13" s="1"/>
  <c r="JF12" i="13"/>
  <c r="JH12" i="13" s="1"/>
  <c r="JB12" i="13"/>
  <c r="JD12" i="13" s="1"/>
  <c r="JE12" i="13" s="1"/>
  <c r="GK12" i="13"/>
  <c r="GM12" i="13" s="1"/>
  <c r="GG12" i="13"/>
  <c r="GI12" i="13" s="1"/>
  <c r="GJ12" i="13" s="1"/>
  <c r="GE12" i="13"/>
  <c r="GC12" i="13"/>
  <c r="FY12" i="13"/>
  <c r="GA12" i="13" s="1"/>
  <c r="GB12" i="13" s="1"/>
  <c r="ER12" i="13"/>
  <c r="EL12" i="13"/>
  <c r="EM12" i="13" s="1"/>
  <c r="EK12" i="13"/>
  <c r="EO12" i="13" s="1"/>
  <c r="EJ12" i="13"/>
  <c r="AC12" i="13" s="1"/>
  <c r="EG12" i="13"/>
  <c r="EE12" i="13"/>
  <c r="M12" i="13" s="1"/>
  <c r="ED12" i="13"/>
  <c r="EA12" i="13"/>
  <c r="DD12" i="13"/>
  <c r="DC12" i="13"/>
  <c r="CG12" i="13"/>
  <c r="CF12" i="13"/>
  <c r="AH12" i="13"/>
  <c r="NY11" i="13"/>
  <c r="LR9" i="13"/>
  <c r="LN9" i="13"/>
  <c r="LB9" i="13"/>
  <c r="KX9" i="13"/>
  <c r="KT9" i="13"/>
  <c r="KP9" i="13"/>
  <c r="HL9" i="13"/>
  <c r="HH9" i="13"/>
  <c r="HD9" i="13"/>
  <c r="GZ9" i="13"/>
  <c r="E6" i="13"/>
  <c r="AU4" i="13"/>
  <c r="AT4" i="13"/>
  <c r="AS4" i="13"/>
  <c r="AR4" i="13"/>
  <c r="AQ4" i="13"/>
  <c r="AP4" i="13"/>
  <c r="AU2" i="13"/>
  <c r="AT2" i="13"/>
  <c r="AS2" i="13"/>
  <c r="AR2" i="13"/>
  <c r="AP2" i="13"/>
  <c r="J137" i="12"/>
  <c r="D137" i="12"/>
  <c r="E137" i="12" s="1"/>
  <c r="J136" i="12"/>
  <c r="D136" i="12"/>
  <c r="E136" i="12" s="1"/>
  <c r="J135" i="12"/>
  <c r="E135" i="12"/>
  <c r="D135" i="12"/>
  <c r="J134" i="12"/>
  <c r="D134" i="12"/>
  <c r="E134" i="12" s="1"/>
  <c r="J133" i="12"/>
  <c r="D133" i="12"/>
  <c r="E133" i="12" s="1"/>
  <c r="J132" i="12"/>
  <c r="D132" i="12"/>
  <c r="E132" i="12" s="1"/>
  <c r="J131" i="12"/>
  <c r="D131" i="12"/>
  <c r="E131" i="12" s="1"/>
  <c r="J130" i="12"/>
  <c r="E130" i="12"/>
  <c r="D130" i="12"/>
  <c r="J129" i="12"/>
  <c r="D129" i="12"/>
  <c r="E129" i="12" s="1"/>
  <c r="J128" i="12"/>
  <c r="E128" i="12"/>
  <c r="D128" i="12"/>
  <c r="J127" i="12"/>
  <c r="D127" i="12"/>
  <c r="E127" i="12" s="1"/>
  <c r="J126" i="12"/>
  <c r="E126" i="12"/>
  <c r="D126" i="12"/>
  <c r="J125" i="12"/>
  <c r="D125" i="12"/>
  <c r="E125" i="12" s="1"/>
  <c r="J124" i="12"/>
  <c r="D124" i="12"/>
  <c r="E124" i="12" s="1"/>
  <c r="J123" i="12"/>
  <c r="D123" i="12"/>
  <c r="E123" i="12" s="1"/>
  <c r="J122" i="12"/>
  <c r="D122" i="12"/>
  <c r="E122" i="12" s="1"/>
  <c r="J121" i="12"/>
  <c r="D121" i="12"/>
  <c r="E121" i="12" s="1"/>
  <c r="J120" i="12"/>
  <c r="D120" i="12"/>
  <c r="E120" i="12" s="1"/>
  <c r="J119" i="12"/>
  <c r="E119" i="12"/>
  <c r="D119" i="12"/>
  <c r="J118" i="12"/>
  <c r="D118" i="12"/>
  <c r="E118" i="12" s="1"/>
  <c r="J117" i="12"/>
  <c r="D117" i="12"/>
  <c r="E117" i="12" s="1"/>
  <c r="J116" i="12"/>
  <c r="D116" i="12"/>
  <c r="E116" i="12" s="1"/>
  <c r="G110" i="12"/>
  <c r="E110" i="12"/>
  <c r="F110" i="12" s="1"/>
  <c r="D110" i="12"/>
  <c r="G109" i="12"/>
  <c r="E109" i="12"/>
  <c r="F109" i="12" s="1"/>
  <c r="D109" i="12"/>
  <c r="G108" i="12"/>
  <c r="E108" i="12"/>
  <c r="F108" i="12" s="1"/>
  <c r="D108" i="12"/>
  <c r="G107" i="12"/>
  <c r="E107" i="12"/>
  <c r="F107" i="12" s="1"/>
  <c r="D107" i="12"/>
  <c r="G106" i="12"/>
  <c r="E106" i="12"/>
  <c r="F106" i="12" s="1"/>
  <c r="D106" i="12"/>
  <c r="G105" i="12"/>
  <c r="E105" i="12"/>
  <c r="F105" i="12" s="1"/>
  <c r="D105" i="12"/>
  <c r="G104" i="12"/>
  <c r="E104" i="12"/>
  <c r="F104" i="12" s="1"/>
  <c r="D104" i="12"/>
  <c r="G103" i="12"/>
  <c r="E103" i="12"/>
  <c r="F103" i="12" s="1"/>
  <c r="D103" i="12"/>
  <c r="G102" i="12"/>
  <c r="E102" i="12"/>
  <c r="F102" i="12" s="1"/>
  <c r="D102" i="12"/>
  <c r="G101" i="12"/>
  <c r="E101" i="12"/>
  <c r="F101" i="12" s="1"/>
  <c r="D101" i="12"/>
  <c r="G100" i="12"/>
  <c r="E100" i="12"/>
  <c r="F100" i="12" s="1"/>
  <c r="D100" i="12"/>
  <c r="G99" i="12"/>
  <c r="E99" i="12"/>
  <c r="F99" i="12" s="1"/>
  <c r="D99" i="12"/>
  <c r="G98" i="12"/>
  <c r="E98" i="12"/>
  <c r="F98" i="12" s="1"/>
  <c r="D98" i="12"/>
  <c r="G97" i="12"/>
  <c r="E97" i="12"/>
  <c r="F97" i="12" s="1"/>
  <c r="D97" i="12"/>
  <c r="G96" i="12"/>
  <c r="E96" i="12"/>
  <c r="F96" i="12" s="1"/>
  <c r="D96" i="12"/>
  <c r="G95" i="12"/>
  <c r="E95" i="12"/>
  <c r="F95" i="12" s="1"/>
  <c r="D95" i="12"/>
  <c r="G94" i="12"/>
  <c r="E94" i="12"/>
  <c r="F94" i="12" s="1"/>
  <c r="D94" i="12"/>
  <c r="G93" i="12"/>
  <c r="E93" i="12"/>
  <c r="F93" i="12" s="1"/>
  <c r="D93" i="12"/>
  <c r="G92" i="12"/>
  <c r="E92" i="12"/>
  <c r="F92" i="12" s="1"/>
  <c r="D92" i="12"/>
  <c r="G91" i="12"/>
  <c r="E91" i="12"/>
  <c r="F91" i="12" s="1"/>
  <c r="D91" i="12"/>
  <c r="G90" i="12"/>
  <c r="E90" i="12"/>
  <c r="F90" i="12" s="1"/>
  <c r="D90" i="12"/>
  <c r="G89" i="12"/>
  <c r="E89" i="12"/>
  <c r="F89" i="12" s="1"/>
  <c r="D89" i="12"/>
  <c r="G88" i="12"/>
  <c r="E88" i="12"/>
  <c r="F88" i="12" s="1"/>
  <c r="D88" i="12"/>
  <c r="G87" i="12"/>
  <c r="E87" i="12"/>
  <c r="F87" i="12" s="1"/>
  <c r="D87" i="12"/>
  <c r="F76" i="12"/>
  <c r="F60" i="12"/>
  <c r="E60" i="12"/>
  <c r="F59" i="12"/>
  <c r="E59" i="12"/>
  <c r="F58" i="12"/>
  <c r="E58" i="12"/>
  <c r="F56" i="12"/>
  <c r="E56" i="12"/>
  <c r="F55" i="12"/>
  <c r="E55" i="12"/>
  <c r="F52" i="12"/>
  <c r="E52" i="12"/>
  <c r="F51" i="12"/>
  <c r="E51" i="12"/>
  <c r="E49" i="12"/>
  <c r="F48" i="12"/>
  <c r="E48" i="12"/>
  <c r="E47" i="12"/>
  <c r="F46" i="12"/>
  <c r="E46" i="12"/>
  <c r="E44" i="12"/>
  <c r="E41" i="12"/>
  <c r="E40" i="12"/>
  <c r="E39" i="12"/>
  <c r="JO27" i="13" s="1"/>
  <c r="E28" i="12"/>
  <c r="E27" i="12"/>
  <c r="E25" i="12"/>
  <c r="E24" i="12"/>
  <c r="E23" i="12"/>
  <c r="E21" i="12"/>
  <c r="E15" i="12"/>
  <c r="E14" i="12"/>
  <c r="E13" i="12"/>
  <c r="E12" i="12"/>
  <c r="E10" i="12"/>
  <c r="E9" i="12"/>
  <c r="E8" i="12"/>
  <c r="E7" i="12"/>
  <c r="I2" i="12"/>
  <c r="C48" i="140"/>
  <c r="X46" i="140"/>
  <c r="BY3" i="140"/>
  <c r="BN3" i="140"/>
  <c r="BH3" i="140"/>
  <c r="BC3" i="140"/>
  <c r="X3" i="140"/>
  <c r="C3" i="140"/>
  <c r="Q46" i="26"/>
  <c r="R46" i="26" s="1"/>
  <c r="M46" i="26"/>
  <c r="P46" i="26" s="1"/>
  <c r="L46" i="26"/>
  <c r="N46" i="26" s="1"/>
  <c r="K46" i="26"/>
  <c r="O46" i="26" s="1"/>
  <c r="J46" i="26"/>
  <c r="I46" i="26"/>
  <c r="H46" i="26"/>
  <c r="G46" i="26"/>
  <c r="F46" i="26"/>
  <c r="M45" i="26"/>
  <c r="L45" i="26"/>
  <c r="K45" i="26"/>
  <c r="J45" i="26"/>
  <c r="I45" i="26"/>
  <c r="H45" i="26"/>
  <c r="G45" i="26"/>
  <c r="O45" i="26" s="1"/>
  <c r="F45" i="26"/>
  <c r="Q44" i="26"/>
  <c r="M44" i="26"/>
  <c r="L44" i="26"/>
  <c r="N44" i="26" s="1"/>
  <c r="K44" i="26"/>
  <c r="O44" i="26" s="1"/>
  <c r="J44" i="26"/>
  <c r="I44" i="26"/>
  <c r="H44" i="26"/>
  <c r="G44" i="26"/>
  <c r="F44" i="26"/>
  <c r="R44" i="26" s="1"/>
  <c r="M43" i="26"/>
  <c r="L43" i="26"/>
  <c r="K43" i="26"/>
  <c r="O43" i="26" s="1"/>
  <c r="J43" i="26"/>
  <c r="I43" i="26"/>
  <c r="H43" i="26"/>
  <c r="Q43" i="26" s="1"/>
  <c r="R43" i="26" s="1"/>
  <c r="G43" i="26"/>
  <c r="F43" i="26"/>
  <c r="AA42" i="26"/>
  <c r="Q42" i="26"/>
  <c r="R42" i="26" s="1"/>
  <c r="M42" i="26"/>
  <c r="L42" i="26"/>
  <c r="N42" i="26" s="1"/>
  <c r="K42" i="26"/>
  <c r="O42" i="26" s="1"/>
  <c r="J42" i="26"/>
  <c r="I42" i="26"/>
  <c r="H42" i="26"/>
  <c r="G42" i="26"/>
  <c r="F42" i="26"/>
  <c r="N41" i="26"/>
  <c r="M41" i="26"/>
  <c r="L41" i="26"/>
  <c r="K41" i="26"/>
  <c r="O41" i="26" s="1"/>
  <c r="J41" i="26"/>
  <c r="I41" i="26"/>
  <c r="H41" i="26"/>
  <c r="Q41" i="26" s="1"/>
  <c r="R41" i="26" s="1"/>
  <c r="G41" i="26"/>
  <c r="F41" i="26"/>
  <c r="Q40" i="26"/>
  <c r="R40" i="26" s="1"/>
  <c r="M40" i="26"/>
  <c r="L40" i="26"/>
  <c r="N40" i="26" s="1"/>
  <c r="K40" i="26"/>
  <c r="O40" i="26" s="1"/>
  <c r="J40" i="26"/>
  <c r="I40" i="26"/>
  <c r="H40" i="26"/>
  <c r="G40" i="26"/>
  <c r="F40" i="26"/>
  <c r="P39" i="26"/>
  <c r="M39" i="26"/>
  <c r="L39" i="26"/>
  <c r="K39" i="26"/>
  <c r="J39" i="26"/>
  <c r="I39" i="26"/>
  <c r="H39" i="26"/>
  <c r="G39" i="26"/>
  <c r="O39" i="26" s="1"/>
  <c r="F39" i="26"/>
  <c r="Q38" i="26"/>
  <c r="R38" i="26" s="1"/>
  <c r="M38" i="26"/>
  <c r="P38" i="26" s="1"/>
  <c r="L38" i="26"/>
  <c r="N38" i="26" s="1"/>
  <c r="K38" i="26"/>
  <c r="J38" i="26"/>
  <c r="I38" i="26"/>
  <c r="H38" i="26"/>
  <c r="G38" i="26"/>
  <c r="O38" i="26" s="1"/>
  <c r="F38" i="26"/>
  <c r="Q37" i="26"/>
  <c r="R37" i="26" s="1"/>
  <c r="N37" i="26"/>
  <c r="M37" i="26"/>
  <c r="P37" i="26" s="1"/>
  <c r="L37" i="26"/>
  <c r="K37" i="26"/>
  <c r="O37" i="26" s="1"/>
  <c r="J37" i="26"/>
  <c r="I37" i="26"/>
  <c r="H37" i="26"/>
  <c r="G37" i="26"/>
  <c r="F37" i="26"/>
  <c r="M36" i="26"/>
  <c r="P36" i="26" s="1"/>
  <c r="L36" i="26"/>
  <c r="K36" i="26"/>
  <c r="O36" i="26" s="1"/>
  <c r="J36" i="26"/>
  <c r="I36" i="26"/>
  <c r="H36" i="26"/>
  <c r="Q36" i="26" s="1"/>
  <c r="R36" i="26" s="1"/>
  <c r="G36" i="26"/>
  <c r="F36" i="26"/>
  <c r="Q35" i="26"/>
  <c r="R35" i="26" s="1"/>
  <c r="P35" i="26"/>
  <c r="M35" i="26"/>
  <c r="L35" i="26"/>
  <c r="N35" i="26" s="1"/>
  <c r="K35" i="26"/>
  <c r="O35" i="26" s="1"/>
  <c r="J35" i="26"/>
  <c r="I35" i="26"/>
  <c r="H35" i="26"/>
  <c r="G35" i="26"/>
  <c r="F35" i="26"/>
  <c r="O34" i="26"/>
  <c r="N34" i="26"/>
  <c r="M34" i="26"/>
  <c r="P34" i="26" s="1"/>
  <c r="L34" i="26"/>
  <c r="K34" i="26"/>
  <c r="J34" i="26"/>
  <c r="I34" i="26"/>
  <c r="H34" i="26"/>
  <c r="Q34" i="26" s="1"/>
  <c r="R34" i="26" s="1"/>
  <c r="G34" i="26"/>
  <c r="F34" i="26"/>
  <c r="G25" i="26"/>
  <c r="G24" i="26"/>
  <c r="H23" i="26"/>
  <c r="G23" i="26"/>
  <c r="H22" i="26"/>
  <c r="G22" i="26"/>
  <c r="H21" i="26"/>
  <c r="G21" i="26"/>
  <c r="H20" i="26"/>
  <c r="G20" i="26"/>
  <c r="H19" i="26"/>
  <c r="G19" i="26"/>
  <c r="H18" i="26"/>
  <c r="G18" i="26"/>
  <c r="H17" i="26"/>
  <c r="G17" i="26"/>
  <c r="H16" i="26"/>
  <c r="H15" i="26"/>
  <c r="H14" i="26"/>
  <c r="H13" i="26"/>
  <c r="EI80" i="13" l="1"/>
  <c r="EF80" i="13"/>
  <c r="JK21" i="13"/>
  <c r="EP70" i="13"/>
  <c r="AG70" i="13"/>
  <c r="N70" i="13"/>
  <c r="EP71" i="13"/>
  <c r="N71" i="13"/>
  <c r="AG71" i="13"/>
  <c r="EP68" i="13"/>
  <c r="AG68" i="13"/>
  <c r="N68" i="13"/>
  <c r="EP89" i="13"/>
  <c r="MD89" i="13" s="1"/>
  <c r="ME89" i="13" s="1"/>
  <c r="AG89" i="13"/>
  <c r="EW94" i="13"/>
  <c r="EX94" i="13" s="1"/>
  <c r="ES94" i="13"/>
  <c r="EC94" i="13"/>
  <c r="EF43" i="13"/>
  <c r="EI43" i="13"/>
  <c r="EF72" i="13"/>
  <c r="EI72" i="13"/>
  <c r="JJ35" i="13"/>
  <c r="AG18" i="13"/>
  <c r="EP18" i="13"/>
  <c r="EQ18" i="13" s="1"/>
  <c r="ML18" i="13" s="1"/>
  <c r="MC18" i="13" s="1"/>
  <c r="N18" i="13"/>
  <c r="LW92" i="13"/>
  <c r="LX92" i="13" s="1"/>
  <c r="AB92" i="13"/>
  <c r="OE24" i="13"/>
  <c r="AM23" i="13"/>
  <c r="EH23" i="13" s="1"/>
  <c r="EF23" i="13" s="1"/>
  <c r="AM36" i="13"/>
  <c r="AM43" i="13"/>
  <c r="M66" i="13"/>
  <c r="M73" i="13"/>
  <c r="AG98" i="13"/>
  <c r="KF21" i="13"/>
  <c r="AM42" i="13"/>
  <c r="AM51" i="13"/>
  <c r="EC59" i="13"/>
  <c r="M75" i="13"/>
  <c r="AM85" i="13"/>
  <c r="M91" i="13"/>
  <c r="N92" i="13"/>
  <c r="M26" i="13"/>
  <c r="EH33" i="13"/>
  <c r="EF33" i="13" s="1"/>
  <c r="AM41" i="13"/>
  <c r="M48" i="13"/>
  <c r="EH48" i="13"/>
  <c r="AM52" i="13"/>
  <c r="EO66" i="13"/>
  <c r="EW66" i="13" s="1"/>
  <c r="EX66" i="13" s="1"/>
  <c r="M67" i="13"/>
  <c r="EH67" i="13"/>
  <c r="EI67" i="13" s="1"/>
  <c r="M74" i="13"/>
  <c r="GT76" i="13"/>
  <c r="AM87" i="13"/>
  <c r="EO90" i="13"/>
  <c r="EW99" i="13"/>
  <c r="EX99" i="13" s="1"/>
  <c r="EP101" i="13"/>
  <c r="GT22" i="13"/>
  <c r="AM32" i="13"/>
  <c r="GT38" i="13"/>
  <c r="AM53" i="13"/>
  <c r="MI54" i="13"/>
  <c r="MM54" i="13" s="1"/>
  <c r="MO54" i="13" s="1"/>
  <c r="GT55" i="13"/>
  <c r="GT56" i="13"/>
  <c r="GT69" i="13"/>
  <c r="M76" i="13"/>
  <c r="EC77" i="13"/>
  <c r="IZ77" i="13" s="1"/>
  <c r="GT80" i="13"/>
  <c r="GT81" i="13"/>
  <c r="EH82" i="13"/>
  <c r="EI82" i="13" s="1"/>
  <c r="MI92" i="13"/>
  <c r="MM92" i="13" s="1"/>
  <c r="AM98" i="13"/>
  <c r="AM29" i="13"/>
  <c r="M33" i="13"/>
  <c r="EF35" i="13"/>
  <c r="AM37" i="13"/>
  <c r="M38" i="13"/>
  <c r="MI38" i="13"/>
  <c r="MM38" i="13" s="1"/>
  <c r="MY38" i="13" s="1"/>
  <c r="GT39" i="13"/>
  <c r="GT49" i="13"/>
  <c r="MI55" i="13"/>
  <c r="MM55" i="13" s="1"/>
  <c r="GT58" i="13"/>
  <c r="M59" i="13"/>
  <c r="GT59" i="13"/>
  <c r="LW59" i="13"/>
  <c r="LX59" i="13" s="1"/>
  <c r="GT79" i="13"/>
  <c r="M80" i="13"/>
  <c r="EH81" i="13"/>
  <c r="LW81" i="13" s="1"/>
  <c r="LX81" i="13" s="1"/>
  <c r="MI39" i="13"/>
  <c r="MM39" i="13" s="1"/>
  <c r="MY39" i="13" s="1"/>
  <c r="AM24" i="13"/>
  <c r="EH24" i="13" s="1"/>
  <c r="JK29" i="13"/>
  <c r="EO33" i="13"/>
  <c r="EW33" i="13" s="1"/>
  <c r="EX33" i="13" s="1"/>
  <c r="EI35" i="13"/>
  <c r="MJ35" i="13" s="1"/>
  <c r="LV35" i="13" s="1"/>
  <c r="LY35" i="13" s="1"/>
  <c r="MA35" i="13" s="1"/>
  <c r="MB35" i="13" s="1"/>
  <c r="MK35" i="13" s="1"/>
  <c r="EC43" i="13"/>
  <c r="FS43" i="13" s="1"/>
  <c r="EI49" i="13"/>
  <c r="AM54" i="13"/>
  <c r="EO56" i="13"/>
  <c r="GT57" i="13"/>
  <c r="EH63" i="13"/>
  <c r="AM72" i="13"/>
  <c r="EO76" i="13"/>
  <c r="GT77" i="13"/>
  <c r="GT78" i="13"/>
  <c r="M83" i="13"/>
  <c r="EP92" i="13"/>
  <c r="GT94" i="13"/>
  <c r="EO22" i="13"/>
  <c r="JJ29" i="13"/>
  <c r="LW35" i="13"/>
  <c r="LX35" i="13" s="1"/>
  <c r="GT40" i="13"/>
  <c r="MI49" i="13"/>
  <c r="MM49" i="13" s="1"/>
  <c r="M57" i="13"/>
  <c r="AM66" i="13"/>
  <c r="AM73" i="13"/>
  <c r="EO79" i="13"/>
  <c r="EC85" i="13"/>
  <c r="FS85" i="13" s="1"/>
  <c r="EF94" i="13"/>
  <c r="MJ125" i="13"/>
  <c r="LV125" i="13" s="1"/>
  <c r="GT23" i="13"/>
  <c r="M31" i="13"/>
  <c r="M40" i="13"/>
  <c r="M60" i="13"/>
  <c r="GT60" i="13"/>
  <c r="AM74" i="13"/>
  <c r="AM75" i="13"/>
  <c r="MD80" i="13"/>
  <c r="ME80" i="13" s="1"/>
  <c r="ES82" i="13"/>
  <c r="GT84" i="13"/>
  <c r="EF89" i="13"/>
  <c r="AM91" i="13"/>
  <c r="EO93" i="13"/>
  <c r="LW94" i="13"/>
  <c r="LX94" i="13" s="1"/>
  <c r="GT42" i="13"/>
  <c r="MJ43" i="13"/>
  <c r="LV43" i="13" s="1"/>
  <c r="GT43" i="13"/>
  <c r="M50" i="13"/>
  <c r="EH64" i="13"/>
  <c r="AM76" i="13"/>
  <c r="ES89" i="13"/>
  <c r="AM92" i="13"/>
  <c r="EC95" i="13"/>
  <c r="IZ95" i="13" s="1"/>
  <c r="OE21" i="13"/>
  <c r="JJ21" i="13"/>
  <c r="GO26" i="13"/>
  <c r="JK35" i="13"/>
  <c r="EO40" i="13"/>
  <c r="GT41" i="13"/>
  <c r="EH42" i="13"/>
  <c r="EI42" i="13" s="1"/>
  <c r="M43" i="13"/>
  <c r="M85" i="13"/>
  <c r="MD18" i="13"/>
  <c r="ME18" i="13" s="1"/>
  <c r="EO25" i="13"/>
  <c r="EW25" i="13" s="1"/>
  <c r="EX25" i="13" s="1"/>
  <c r="AB28" i="13"/>
  <c r="ES28" i="13"/>
  <c r="ET28" i="13" s="1"/>
  <c r="EO35" i="13"/>
  <c r="IM35" i="13" s="1"/>
  <c r="IN35" i="13" s="1"/>
  <c r="AM38" i="13"/>
  <c r="M41" i="13"/>
  <c r="EO50" i="13"/>
  <c r="EW50" i="13" s="1"/>
  <c r="EX50" i="13" s="1"/>
  <c r="M51" i="13"/>
  <c r="M52" i="13"/>
  <c r="GT53" i="13"/>
  <c r="AM55" i="13"/>
  <c r="MI64" i="13"/>
  <c r="MM64" i="13" s="1"/>
  <c r="EH85" i="13"/>
  <c r="EF85" i="13" s="1"/>
  <c r="MI94" i="13"/>
  <c r="MM94" i="13" s="1"/>
  <c r="GT29" i="13"/>
  <c r="MI31" i="13"/>
  <c r="MM31" i="13" s="1"/>
  <c r="MO31" i="13" s="1"/>
  <c r="AM35" i="13"/>
  <c r="EP35" i="13"/>
  <c r="EN35" i="13" s="1"/>
  <c r="M37" i="13"/>
  <c r="GT37" i="13"/>
  <c r="GT44" i="13"/>
  <c r="EF47" i="13"/>
  <c r="AM58" i="13"/>
  <c r="EH65" i="13"/>
  <c r="EF65" i="13" s="1"/>
  <c r="ES77" i="13"/>
  <c r="ET77" i="13" s="1"/>
  <c r="M87" i="13"/>
  <c r="AB94" i="13"/>
  <c r="GT95" i="13"/>
  <c r="ES99" i="13"/>
  <c r="GT101" i="13"/>
  <c r="AH18" i="13"/>
  <c r="GT21" i="13"/>
  <c r="AM25" i="13"/>
  <c r="EH25" i="13" s="1"/>
  <c r="AM28" i="13"/>
  <c r="AM31" i="13"/>
  <c r="EH34" i="13"/>
  <c r="LW34" i="13" s="1"/>
  <c r="LX34" i="13" s="1"/>
  <c r="M53" i="13"/>
  <c r="AG83" i="13"/>
  <c r="EQ84" i="13"/>
  <c r="ML84" i="13" s="1"/>
  <c r="EH90" i="13"/>
  <c r="AB112" i="13"/>
  <c r="AM57" i="13"/>
  <c r="OE31" i="13"/>
  <c r="M34" i="13"/>
  <c r="M54" i="13"/>
  <c r="AM60" i="13"/>
  <c r="M72" i="13"/>
  <c r="EP98" i="13"/>
  <c r="AJ98" i="13" s="1"/>
  <c r="AI98" i="13" s="1"/>
  <c r="EP173" i="13"/>
  <c r="N173" i="13"/>
  <c r="AG173" i="13"/>
  <c r="EP128" i="13"/>
  <c r="N128" i="13"/>
  <c r="EC143" i="13"/>
  <c r="IZ143" i="13" s="1"/>
  <c r="ES143" i="13"/>
  <c r="EP193" i="13"/>
  <c r="AG193" i="13"/>
  <c r="N199" i="13"/>
  <c r="AG199" i="13"/>
  <c r="EP199" i="13"/>
  <c r="EQ199" i="13" s="1"/>
  <c r="ML199" i="13" s="1"/>
  <c r="MC199" i="13" s="1"/>
  <c r="MO205" i="13"/>
  <c r="NA205" i="13"/>
  <c r="MY205" i="13"/>
  <c r="AG165" i="13"/>
  <c r="N165" i="13"/>
  <c r="N189" i="13"/>
  <c r="AG189" i="13"/>
  <c r="EP189" i="13"/>
  <c r="ES111" i="13"/>
  <c r="ET111" i="13" s="1"/>
  <c r="EC111" i="13"/>
  <c r="EP149" i="13"/>
  <c r="AG149" i="13"/>
  <c r="N149" i="13"/>
  <c r="N198" i="13"/>
  <c r="AG198" i="13"/>
  <c r="EP198" i="13"/>
  <c r="N140" i="13"/>
  <c r="EP140" i="13"/>
  <c r="AG164" i="13"/>
  <c r="N164" i="13"/>
  <c r="N180" i="13"/>
  <c r="AG180" i="13"/>
  <c r="EP180" i="13"/>
  <c r="NA184" i="13"/>
  <c r="MY184" i="13"/>
  <c r="EP148" i="13"/>
  <c r="AG148" i="13"/>
  <c r="N148" i="13"/>
  <c r="EP163" i="13"/>
  <c r="AJ163" i="13" s="1"/>
  <c r="AI163" i="13" s="1"/>
  <c r="AG163" i="13"/>
  <c r="N163" i="13"/>
  <c r="EI147" i="13"/>
  <c r="MJ147" i="13" s="1"/>
  <c r="LV147" i="13" s="1"/>
  <c r="EF147" i="13"/>
  <c r="EI210" i="13"/>
  <c r="EF210" i="13"/>
  <c r="EP138" i="13"/>
  <c r="N138" i="13"/>
  <c r="EP162" i="13"/>
  <c r="AJ162" i="13" s="1"/>
  <c r="AI162" i="13" s="1"/>
  <c r="AG162" i="13"/>
  <c r="N162" i="13"/>
  <c r="MY178" i="13"/>
  <c r="NA178" i="13"/>
  <c r="ES129" i="13"/>
  <c r="EC129" i="13"/>
  <c r="ML131" i="13"/>
  <c r="MC131" i="13" s="1"/>
  <c r="EI116" i="13"/>
  <c r="EF116" i="13"/>
  <c r="EP160" i="13"/>
  <c r="AJ160" i="13" s="1"/>
  <c r="AI160" i="13" s="1"/>
  <c r="AG160" i="13"/>
  <c r="EP161" i="13"/>
  <c r="AJ161" i="13" s="1"/>
  <c r="AI161" i="13" s="1"/>
  <c r="N161" i="13"/>
  <c r="AG161" i="13"/>
  <c r="AM116" i="13"/>
  <c r="EH128" i="13"/>
  <c r="GT130" i="13"/>
  <c r="GT143" i="13"/>
  <c r="EH148" i="13"/>
  <c r="EI148" i="13" s="1"/>
  <c r="DD150" i="13"/>
  <c r="AM127" i="13"/>
  <c r="MJ143" i="13"/>
  <c r="LV143" i="13" s="1"/>
  <c r="AM147" i="13"/>
  <c r="ES151" i="13"/>
  <c r="IS151" i="13" s="1"/>
  <c r="IU151" i="13" s="1"/>
  <c r="M152" i="13"/>
  <c r="DD154" i="13"/>
  <c r="MI158" i="13"/>
  <c r="MM158" i="13" s="1"/>
  <c r="LW161" i="13"/>
  <c r="LX161" i="13" s="1"/>
  <c r="AM168" i="13"/>
  <c r="EH171" i="13"/>
  <c r="M174" i="13"/>
  <c r="EH174" i="13"/>
  <c r="EF174" i="13" s="1"/>
  <c r="AG179" i="13"/>
  <c r="EO185" i="13"/>
  <c r="MO187" i="13"/>
  <c r="EO188" i="13"/>
  <c r="GT189" i="13"/>
  <c r="EO192" i="13"/>
  <c r="EW192" i="13" s="1"/>
  <c r="EX192" i="13" s="1"/>
  <c r="AM196" i="13"/>
  <c r="AM201" i="13"/>
  <c r="GT205" i="13"/>
  <c r="M112" i="13"/>
  <c r="GT112" i="13"/>
  <c r="AM156" i="13"/>
  <c r="AM169" i="13"/>
  <c r="DD172" i="13"/>
  <c r="AM176" i="13"/>
  <c r="AM179" i="13"/>
  <c r="EO180" i="13"/>
  <c r="AM182" i="13"/>
  <c r="EH189" i="13"/>
  <c r="EQ192" i="13"/>
  <c r="CG193" i="13"/>
  <c r="M194" i="13"/>
  <c r="EI211" i="13"/>
  <c r="CG214" i="13"/>
  <c r="EP104" i="13"/>
  <c r="EQ104" i="13" s="1"/>
  <c r="ML104" i="13" s="1"/>
  <c r="MC104" i="13" s="1"/>
  <c r="EH115" i="13"/>
  <c r="AM120" i="13"/>
  <c r="AM123" i="13"/>
  <c r="M125" i="13"/>
  <c r="GT125" i="13"/>
  <c r="M153" i="13"/>
  <c r="AM157" i="13"/>
  <c r="DD160" i="13"/>
  <c r="DD162" i="13"/>
  <c r="MI165" i="13"/>
  <c r="MM165" i="13" s="1"/>
  <c r="NA165" i="13" s="1"/>
  <c r="AM173" i="13"/>
  <c r="N181" i="13"/>
  <c r="AG191" i="13"/>
  <c r="ML192" i="13"/>
  <c r="MC192" i="13" s="1"/>
  <c r="N194" i="13"/>
  <c r="M205" i="13"/>
  <c r="LW211" i="13"/>
  <c r="LX211" i="13" s="1"/>
  <c r="EH213" i="13"/>
  <c r="EY213" i="13" s="1"/>
  <c r="FA213" i="13" s="1"/>
  <c r="FB213" i="13" s="1"/>
  <c r="M105" i="13"/>
  <c r="LW125" i="13"/>
  <c r="LX125" i="13" s="1"/>
  <c r="M129" i="13"/>
  <c r="GT129" i="13"/>
  <c r="AM135" i="13"/>
  <c r="MD148" i="13"/>
  <c r="ME148" i="13" s="1"/>
  <c r="EH149" i="13"/>
  <c r="AM151" i="13"/>
  <c r="DD155" i="13"/>
  <c r="M159" i="13"/>
  <c r="EH175" i="13"/>
  <c r="EO199" i="13"/>
  <c r="EW199" i="13" s="1"/>
  <c r="EX199" i="13" s="1"/>
  <c r="AB204" i="13"/>
  <c r="AM106" i="13"/>
  <c r="N110" i="13"/>
  <c r="AM124" i="13"/>
  <c r="EC137" i="13"/>
  <c r="M141" i="13"/>
  <c r="GT141" i="13"/>
  <c r="EO161" i="13"/>
  <c r="EW161" i="13" s="1"/>
  <c r="EX161" i="13" s="1"/>
  <c r="DD164" i="13"/>
  <c r="N166" i="13"/>
  <c r="GT167" i="13"/>
  <c r="AM170" i="13"/>
  <c r="EO171" i="13"/>
  <c r="EW171" i="13" s="1"/>
  <c r="EX171" i="13" s="1"/>
  <c r="AJ192" i="13"/>
  <c r="AI192" i="13" s="1"/>
  <c r="M193" i="13"/>
  <c r="MI194" i="13"/>
  <c r="MM194" i="13" s="1"/>
  <c r="AM198" i="13"/>
  <c r="GT200" i="13"/>
  <c r="DD202" i="13"/>
  <c r="EH105" i="13"/>
  <c r="AM114" i="13"/>
  <c r="M118" i="13"/>
  <c r="EH118" i="13"/>
  <c r="AM121" i="13"/>
  <c r="AM143" i="13"/>
  <c r="M154" i="13"/>
  <c r="DD156" i="13"/>
  <c r="MI159" i="13"/>
  <c r="MM159" i="13" s="1"/>
  <c r="LW118" i="13"/>
  <c r="LX118" i="13" s="1"/>
  <c r="M122" i="13"/>
  <c r="GT122" i="13"/>
  <c r="AM128" i="13"/>
  <c r="EP132" i="13"/>
  <c r="DD157" i="13"/>
  <c r="AM165" i="13"/>
  <c r="MI172" i="13"/>
  <c r="MM172" i="13" s="1"/>
  <c r="DD173" i="13"/>
  <c r="EO175" i="13"/>
  <c r="EW175" i="13" s="1"/>
  <c r="EX175" i="13" s="1"/>
  <c r="EO181" i="13"/>
  <c r="GT193" i="13"/>
  <c r="AH199" i="13"/>
  <c r="M111" i="13"/>
  <c r="GT111" i="13"/>
  <c r="EI113" i="13"/>
  <c r="MJ113" i="13" s="1"/>
  <c r="LV113" i="13" s="1"/>
  <c r="AM130" i="13"/>
  <c r="GT134" i="13"/>
  <c r="M139" i="13"/>
  <c r="DD151" i="13"/>
  <c r="AM152" i="13"/>
  <c r="MI154" i="13"/>
  <c r="MM154" i="13" s="1"/>
  <c r="NA154" i="13" s="1"/>
  <c r="M160" i="13"/>
  <c r="EH160" i="13"/>
  <c r="EH162" i="13"/>
  <c r="EO163" i="13"/>
  <c r="EW163" i="13" s="1"/>
  <c r="EX163" i="13" s="1"/>
  <c r="EP166" i="13"/>
  <c r="EN166" i="13" s="1"/>
  <c r="M172" i="13"/>
  <c r="EO178" i="13"/>
  <c r="EP181" i="13"/>
  <c r="EQ181" i="13" s="1"/>
  <c r="M195" i="13"/>
  <c r="EI200" i="13"/>
  <c r="M210" i="13"/>
  <c r="GT214" i="13"/>
  <c r="EP100" i="13"/>
  <c r="M116" i="13"/>
  <c r="GT116" i="13"/>
  <c r="AB122" i="13"/>
  <c r="EH137" i="13"/>
  <c r="EI137" i="13" s="1"/>
  <c r="M164" i="13"/>
  <c r="MD166" i="13"/>
  <c r="ME166" i="13" s="1"/>
  <c r="MI167" i="13"/>
  <c r="MM167" i="13" s="1"/>
  <c r="NA167" i="13" s="1"/>
  <c r="MI168" i="13"/>
  <c r="MM168" i="13" s="1"/>
  <c r="MY168" i="13" s="1"/>
  <c r="M173" i="13"/>
  <c r="ES189" i="13"/>
  <c r="DD192" i="13"/>
  <c r="AG194" i="13"/>
  <c r="EQ194" i="13"/>
  <c r="ML194" i="13" s="1"/>
  <c r="AB197" i="13"/>
  <c r="GT202" i="13"/>
  <c r="AG213" i="13"/>
  <c r="EH214" i="13"/>
  <c r="LW214" i="13" s="1"/>
  <c r="LX214" i="13" s="1"/>
  <c r="AM112" i="13"/>
  <c r="AM115" i="13"/>
  <c r="EH127" i="13"/>
  <c r="EF127" i="13" s="1"/>
  <c r="GT131" i="13"/>
  <c r="GT140" i="13"/>
  <c r="M147" i="13"/>
  <c r="ES150" i="13"/>
  <c r="IS150" i="13" s="1"/>
  <c r="IU150" i="13" s="1"/>
  <c r="AM153" i="13"/>
  <c r="M155" i="13"/>
  <c r="N179" i="13"/>
  <c r="ML181" i="13"/>
  <c r="EH193" i="13"/>
  <c r="M196" i="13"/>
  <c r="CG204" i="13"/>
  <c r="GT212" i="13"/>
  <c r="AM125" i="13"/>
  <c r="AM129" i="13"/>
  <c r="EH131" i="13"/>
  <c r="EF131" i="13" s="1"/>
  <c r="AM132" i="13"/>
  <c r="AG150" i="13"/>
  <c r="AM159" i="13"/>
  <c r="DD161" i="13"/>
  <c r="GT173" i="13"/>
  <c r="AM181" i="13"/>
  <c r="N190" i="13"/>
  <c r="EO195" i="13"/>
  <c r="AB200" i="13"/>
  <c r="M201" i="13"/>
  <c r="EH123" i="13"/>
  <c r="AM146" i="13"/>
  <c r="M151" i="13"/>
  <c r="DD152" i="13"/>
  <c r="EO160" i="13"/>
  <c r="EO169" i="13"/>
  <c r="EW169" i="13" s="1"/>
  <c r="EX169" i="13" s="1"/>
  <c r="DD174" i="13"/>
  <c r="DD177" i="13"/>
  <c r="AG178" i="13"/>
  <c r="NA179" i="13"/>
  <c r="EP195" i="13"/>
  <c r="GT198" i="13"/>
  <c r="MJ207" i="13"/>
  <c r="LV207" i="13" s="1"/>
  <c r="AG209" i="13"/>
  <c r="EI212" i="13"/>
  <c r="M124" i="13"/>
  <c r="CG149" i="13"/>
  <c r="AM154" i="13"/>
  <c r="EO162" i="13"/>
  <c r="EW162" i="13" s="1"/>
  <c r="EX162" i="13" s="1"/>
  <c r="EO183" i="13"/>
  <c r="MD183" i="13" s="1"/>
  <c r="ME183" i="13" s="1"/>
  <c r="GT185" i="13"/>
  <c r="EO186" i="13"/>
  <c r="EW186" i="13" s="1"/>
  <c r="EX186" i="13" s="1"/>
  <c r="M106" i="13"/>
  <c r="GT109" i="13"/>
  <c r="GT114" i="13"/>
  <c r="M121" i="13"/>
  <c r="DD153" i="13"/>
  <c r="DD163" i="13"/>
  <c r="GT171" i="13"/>
  <c r="AM172" i="13"/>
  <c r="EO176" i="13"/>
  <c r="EW176" i="13" s="1"/>
  <c r="EX176" i="13" s="1"/>
  <c r="EP183" i="13"/>
  <c r="EN183" i="13" s="1"/>
  <c r="EP186" i="13"/>
  <c r="EC189" i="13"/>
  <c r="M207" i="13"/>
  <c r="AM113" i="13"/>
  <c r="M114" i="13"/>
  <c r="AM137" i="13"/>
  <c r="AM139" i="13"/>
  <c r="EF143" i="13"/>
  <c r="EH145" i="13"/>
  <c r="GT155" i="13"/>
  <c r="M158" i="13"/>
  <c r="EI158" i="13"/>
  <c r="DD159" i="13"/>
  <c r="AM160" i="13"/>
  <c r="EO164" i="13"/>
  <c r="EW164" i="13" s="1"/>
  <c r="EX164" i="13" s="1"/>
  <c r="EF165" i="13"/>
  <c r="AM167" i="13"/>
  <c r="EO170" i="13"/>
  <c r="EW170" i="13" s="1"/>
  <c r="EX170" i="13" s="1"/>
  <c r="MI173" i="13"/>
  <c r="MM173" i="13" s="1"/>
  <c r="DD175" i="13"/>
  <c r="EP191" i="13"/>
  <c r="N192" i="13"/>
  <c r="JJ12" i="13"/>
  <c r="JI12" i="13"/>
  <c r="JK12" i="13" s="1"/>
  <c r="ES18" i="13"/>
  <c r="EC18" i="13"/>
  <c r="EW18" i="13"/>
  <c r="EX18" i="13" s="1"/>
  <c r="JJ18" i="13"/>
  <c r="JI18" i="13"/>
  <c r="JK18" i="13" s="1"/>
  <c r="GO15" i="13"/>
  <c r="GN15" i="13"/>
  <c r="JW25" i="13"/>
  <c r="JW32" i="13"/>
  <c r="ES12" i="13"/>
  <c r="EC12" i="13"/>
  <c r="EW12" i="13"/>
  <c r="EX12" i="13" s="1"/>
  <c r="JJ13" i="13"/>
  <c r="JI13" i="13"/>
  <c r="JK13" i="13" s="1"/>
  <c r="GF21" i="13"/>
  <c r="GF29" i="13"/>
  <c r="AG30" i="13"/>
  <c r="EP30" i="13"/>
  <c r="N30" i="13"/>
  <c r="Q45" i="26"/>
  <c r="R45" i="26" s="1"/>
  <c r="N45" i="26"/>
  <c r="N12" i="13"/>
  <c r="EP12" i="13"/>
  <c r="AG12" i="13"/>
  <c r="GO16" i="13"/>
  <c r="GN16" i="13"/>
  <c r="GO14" i="13"/>
  <c r="GN14" i="13"/>
  <c r="GP14" i="13" s="1"/>
  <c r="N21" i="13"/>
  <c r="AG21" i="13"/>
  <c r="EP21" i="13"/>
  <c r="ES13" i="13"/>
  <c r="EC13" i="13"/>
  <c r="EW13" i="13"/>
  <c r="EX13" i="13" s="1"/>
  <c r="JJ14" i="13"/>
  <c r="JI14" i="13"/>
  <c r="JK14" i="13" s="1"/>
  <c r="JW18" i="13"/>
  <c r="IZ43" i="13"/>
  <c r="EP13" i="13"/>
  <c r="N13" i="13"/>
  <c r="AG13" i="13"/>
  <c r="GO17" i="13"/>
  <c r="GN17" i="13"/>
  <c r="EO19" i="13"/>
  <c r="MI19" i="13"/>
  <c r="MM19" i="13" s="1"/>
  <c r="MO65" i="13"/>
  <c r="NA65" i="13"/>
  <c r="MY65" i="13"/>
  <c r="MD13" i="13"/>
  <c r="ME13" i="13" s="1"/>
  <c r="JW13" i="13"/>
  <c r="ES14" i="13"/>
  <c r="EC14" i="13"/>
  <c r="EW14" i="13"/>
  <c r="EX14" i="13" s="1"/>
  <c r="JJ15" i="13"/>
  <c r="JI15" i="13"/>
  <c r="JK15" i="13" s="1"/>
  <c r="GF30" i="13"/>
  <c r="KF12" i="13"/>
  <c r="EP14" i="13"/>
  <c r="N14" i="13"/>
  <c r="AG14" i="13"/>
  <c r="KF18" i="13"/>
  <c r="KF22" i="13"/>
  <c r="KE22" i="13"/>
  <c r="JW14" i="13"/>
  <c r="ES15" i="13"/>
  <c r="EC15" i="13"/>
  <c r="EW15" i="13"/>
  <c r="EX15" i="13" s="1"/>
  <c r="JJ16" i="13"/>
  <c r="JI16" i="13"/>
  <c r="JK16" i="13" s="1"/>
  <c r="KF13" i="13"/>
  <c r="EP15" i="13"/>
  <c r="N15" i="13"/>
  <c r="AG15" i="13"/>
  <c r="JW210" i="13"/>
  <c r="JW213" i="13"/>
  <c r="JW208" i="13"/>
  <c r="JW203" i="13"/>
  <c r="JW204" i="13"/>
  <c r="JW198" i="13"/>
  <c r="JW177" i="13"/>
  <c r="JW173" i="13"/>
  <c r="JW159" i="13"/>
  <c r="JW157" i="13"/>
  <c r="JW158" i="13"/>
  <c r="JW146" i="13"/>
  <c r="JW150" i="13"/>
  <c r="JW143" i="13"/>
  <c r="JW139" i="13"/>
  <c r="JW138" i="13"/>
  <c r="JW129" i="13"/>
  <c r="JW121" i="13"/>
  <c r="JW112" i="13"/>
  <c r="JW102" i="13"/>
  <c r="JW104" i="13"/>
  <c r="JW97" i="13"/>
  <c r="JW92" i="13"/>
  <c r="JW79" i="13"/>
  <c r="JW86" i="13"/>
  <c r="JW67" i="13"/>
  <c r="JW37" i="13"/>
  <c r="JW44" i="13"/>
  <c r="JW74" i="13"/>
  <c r="JW73" i="13"/>
  <c r="JW24" i="13"/>
  <c r="GF18" i="13"/>
  <c r="GF17" i="13"/>
  <c r="GF16" i="13"/>
  <c r="GF15" i="13"/>
  <c r="GF14" i="13"/>
  <c r="GF13" i="13"/>
  <c r="GF12" i="13"/>
  <c r="MD15" i="13"/>
  <c r="ME15" i="13" s="1"/>
  <c r="JW15" i="13"/>
  <c r="ES16" i="13"/>
  <c r="EC16" i="13"/>
  <c r="EW16" i="13"/>
  <c r="EX16" i="13" s="1"/>
  <c r="JJ17" i="13"/>
  <c r="JI17" i="13"/>
  <c r="JK17" i="13" s="1"/>
  <c r="KF17" i="13"/>
  <c r="KA17" i="13"/>
  <c r="Q39" i="26"/>
  <c r="R39" i="26" s="1"/>
  <c r="N39" i="26"/>
  <c r="GN211" i="13"/>
  <c r="GN214" i="13"/>
  <c r="KE212" i="13"/>
  <c r="KE211" i="13"/>
  <c r="KE208" i="13"/>
  <c r="KE210" i="13"/>
  <c r="KE205" i="13"/>
  <c r="KE204" i="13"/>
  <c r="KE203" i="13"/>
  <c r="KE201" i="13"/>
  <c r="GN204" i="13"/>
  <c r="GN192" i="13"/>
  <c r="KE191" i="13"/>
  <c r="KE189" i="13"/>
  <c r="KE188" i="13"/>
  <c r="KE183" i="13"/>
  <c r="KE177" i="13"/>
  <c r="KE180" i="13"/>
  <c r="KE178" i="13"/>
  <c r="KE179" i="13"/>
  <c r="KE165" i="13"/>
  <c r="KE146" i="13"/>
  <c r="KE142" i="13"/>
  <c r="GN142" i="13"/>
  <c r="GN137" i="13"/>
  <c r="GN143" i="13"/>
  <c r="KE140" i="13"/>
  <c r="GN133" i="13"/>
  <c r="GN130" i="13"/>
  <c r="GN129" i="13"/>
  <c r="GN124" i="13"/>
  <c r="GN121" i="13"/>
  <c r="KE124" i="13"/>
  <c r="GN115" i="13"/>
  <c r="GN113" i="13"/>
  <c r="KE116" i="13"/>
  <c r="GN125" i="13"/>
  <c r="GN119" i="13"/>
  <c r="KE111" i="13"/>
  <c r="KE113" i="13"/>
  <c r="GN116" i="13"/>
  <c r="KE108" i="13"/>
  <c r="GN106" i="13"/>
  <c r="KE101" i="13"/>
  <c r="KE100" i="13"/>
  <c r="GN107" i="13"/>
  <c r="GN99" i="13"/>
  <c r="KE98" i="13"/>
  <c r="GN105" i="13"/>
  <c r="GN87" i="13"/>
  <c r="KE92" i="13"/>
  <c r="GN89" i="13"/>
  <c r="GN69" i="13"/>
  <c r="GN70" i="13"/>
  <c r="GN63" i="13"/>
  <c r="KE57" i="13"/>
  <c r="GN62" i="13"/>
  <c r="GN47" i="13"/>
  <c r="GN33" i="13"/>
  <c r="GN35" i="13"/>
  <c r="KE35" i="13"/>
  <c r="KE40" i="13"/>
  <c r="KE18" i="13"/>
  <c r="KE17" i="13"/>
  <c r="KE16" i="13"/>
  <c r="KE15" i="13"/>
  <c r="KE14" i="13"/>
  <c r="KE13" i="13"/>
  <c r="KG13" i="13" s="1"/>
  <c r="KE12" i="13"/>
  <c r="KG12" i="13" s="1"/>
  <c r="GO12" i="13"/>
  <c r="GN12" i="13"/>
  <c r="GP12" i="13" s="1"/>
  <c r="KF14" i="13"/>
  <c r="KF15" i="13"/>
  <c r="KA15" i="13"/>
  <c r="EP16" i="13"/>
  <c r="MD16" i="13" s="1"/>
  <c r="ME16" i="13" s="1"/>
  <c r="N16" i="13"/>
  <c r="AG16" i="13"/>
  <c r="GO18" i="13"/>
  <c r="GN18" i="13"/>
  <c r="GP18" i="13" s="1"/>
  <c r="AG31" i="13"/>
  <c r="EP31" i="13"/>
  <c r="N31" i="13"/>
  <c r="JW16" i="13"/>
  <c r="ES17" i="13"/>
  <c r="EC17" i="13"/>
  <c r="EW17" i="13"/>
  <c r="EX17" i="13" s="1"/>
  <c r="GO19" i="13"/>
  <c r="GN19" i="13"/>
  <c r="GF20" i="13"/>
  <c r="GF22" i="13"/>
  <c r="GO13" i="13"/>
  <c r="GN13" i="13"/>
  <c r="GP13" i="13" s="1"/>
  <c r="KF16" i="13"/>
  <c r="KA16" i="13"/>
  <c r="EP17" i="13"/>
  <c r="N17" i="13"/>
  <c r="AG17" i="13"/>
  <c r="KE29" i="13"/>
  <c r="JW33" i="13"/>
  <c r="MD17" i="13"/>
  <c r="ME17" i="13" s="1"/>
  <c r="JW17" i="13"/>
  <c r="AG23" i="13"/>
  <c r="EP23" i="13"/>
  <c r="N23" i="13"/>
  <c r="EB214" i="13"/>
  <c r="EB213" i="13"/>
  <c r="EB209" i="13"/>
  <c r="EB210" i="13"/>
  <c r="EB203" i="13"/>
  <c r="EB204" i="13"/>
  <c r="EB199" i="13"/>
  <c r="EB200" i="13"/>
  <c r="EB202" i="13"/>
  <c r="EB193" i="13"/>
  <c r="EB192" i="13"/>
  <c r="EB190" i="13"/>
  <c r="EB183" i="13"/>
  <c r="EB174" i="13"/>
  <c r="EB173" i="13"/>
  <c r="EB179" i="13"/>
  <c r="EB177" i="13"/>
  <c r="EB182" i="13"/>
  <c r="EB172" i="13"/>
  <c r="EB165" i="13"/>
  <c r="EB164" i="13"/>
  <c r="EB163" i="13"/>
  <c r="EB162" i="13"/>
  <c r="EB161" i="13"/>
  <c r="EB160" i="13"/>
  <c r="EB143" i="13"/>
  <c r="EB142" i="13"/>
  <c r="EB147" i="13"/>
  <c r="EB146" i="13"/>
  <c r="EB149" i="13"/>
  <c r="EB148" i="13"/>
  <c r="EB145" i="13"/>
  <c r="EB137" i="13"/>
  <c r="EB136" i="13"/>
  <c r="EB144" i="13"/>
  <c r="EB141" i="13"/>
  <c r="EB140" i="13"/>
  <c r="EB139" i="13"/>
  <c r="EB138" i="13"/>
  <c r="EB129" i="13"/>
  <c r="EB128" i="13"/>
  <c r="EB135" i="13"/>
  <c r="EB134" i="13"/>
  <c r="EB133" i="13"/>
  <c r="EB132" i="13"/>
  <c r="EB131" i="13"/>
  <c r="EB126" i="13"/>
  <c r="EB127" i="13"/>
  <c r="EB125" i="13"/>
  <c r="EB124" i="13"/>
  <c r="EB123" i="13"/>
  <c r="EB122" i="13"/>
  <c r="EB121" i="13"/>
  <c r="EB120" i="13"/>
  <c r="EB119" i="13"/>
  <c r="EB118" i="13"/>
  <c r="EB117" i="13"/>
  <c r="EB116" i="13"/>
  <c r="EB115" i="13"/>
  <c r="EB114" i="13"/>
  <c r="EB113" i="13"/>
  <c r="EB112" i="13"/>
  <c r="EB110" i="13"/>
  <c r="EB109" i="13"/>
  <c r="EB130" i="13"/>
  <c r="EB108" i="13"/>
  <c r="EB107" i="13"/>
  <c r="EB106" i="13"/>
  <c r="EB105" i="13"/>
  <c r="EB111" i="13"/>
  <c r="EB103" i="13"/>
  <c r="EB104" i="13"/>
  <c r="EB102" i="13"/>
  <c r="EB101" i="13"/>
  <c r="EB99" i="13"/>
  <c r="EB95" i="13"/>
  <c r="EB96" i="13"/>
  <c r="EB100" i="13"/>
  <c r="EB97" i="13"/>
  <c r="EB98" i="13"/>
  <c r="EB86" i="13"/>
  <c r="EB87" i="13"/>
  <c r="EB88" i="13"/>
  <c r="EB89" i="13"/>
  <c r="EB90" i="13"/>
  <c r="EB91" i="13"/>
  <c r="EB93" i="13"/>
  <c r="EB92" i="13"/>
  <c r="EB94" i="13"/>
  <c r="EB83" i="13"/>
  <c r="EB68" i="13"/>
  <c r="EB69" i="13"/>
  <c r="EB70" i="13"/>
  <c r="EB71" i="13"/>
  <c r="EB72" i="13"/>
  <c r="EB84" i="13"/>
  <c r="EB73" i="13"/>
  <c r="EB74" i="13"/>
  <c r="EB75" i="13"/>
  <c r="EB76" i="13"/>
  <c r="EB85" i="13"/>
  <c r="EB77" i="13"/>
  <c r="EB78" i="13"/>
  <c r="EB79" i="13"/>
  <c r="EB80" i="13"/>
  <c r="EB60" i="13"/>
  <c r="EB61" i="13"/>
  <c r="EB62" i="13"/>
  <c r="EB63" i="13"/>
  <c r="EB64" i="13"/>
  <c r="EB65" i="13"/>
  <c r="EB66" i="13"/>
  <c r="EB82" i="13"/>
  <c r="EB67" i="13"/>
  <c r="EB52" i="13"/>
  <c r="EB53" i="13"/>
  <c r="EB54" i="13"/>
  <c r="EB55" i="13"/>
  <c r="EB56" i="13"/>
  <c r="EB57" i="13"/>
  <c r="EB58" i="13"/>
  <c r="EB44" i="13"/>
  <c r="EB45" i="13"/>
  <c r="EB46" i="13"/>
  <c r="EB47" i="13"/>
  <c r="EB48" i="13"/>
  <c r="EB49" i="13"/>
  <c r="EB81" i="13"/>
  <c r="EB50" i="13"/>
  <c r="EB51" i="13"/>
  <c r="EB37" i="13"/>
  <c r="EB38" i="13"/>
  <c r="EB39" i="13"/>
  <c r="EB40" i="13"/>
  <c r="EB41" i="13"/>
  <c r="EB27" i="13"/>
  <c r="EB42" i="13"/>
  <c r="EB26" i="13"/>
  <c r="EB35" i="13"/>
  <c r="EB34" i="13"/>
  <c r="EB33" i="13"/>
  <c r="EB25" i="13"/>
  <c r="EB59" i="13"/>
  <c r="EB32" i="13"/>
  <c r="EB24" i="13"/>
  <c r="EB36" i="13"/>
  <c r="EB31" i="13"/>
  <c r="EB23" i="13"/>
  <c r="EB30" i="13"/>
  <c r="EB22" i="13"/>
  <c r="EB29" i="13"/>
  <c r="EB21" i="13"/>
  <c r="JW22" i="13"/>
  <c r="KF24" i="13"/>
  <c r="KE24" i="13"/>
  <c r="GF26" i="13"/>
  <c r="JJ27" i="13"/>
  <c r="JI27" i="13"/>
  <c r="JK27" i="13" s="1"/>
  <c r="GO31" i="13"/>
  <c r="GN31" i="13"/>
  <c r="ES34" i="13"/>
  <c r="EC34" i="13"/>
  <c r="JW36" i="13"/>
  <c r="AG19" i="13"/>
  <c r="EN19" i="13"/>
  <c r="JW20" i="13"/>
  <c r="JJ23" i="13"/>
  <c r="JI23" i="13"/>
  <c r="JK23" i="13" s="1"/>
  <c r="EI24" i="13"/>
  <c r="EF24" i="13"/>
  <c r="JW26" i="13"/>
  <c r="MJ28" i="13"/>
  <c r="LV28" i="13" s="1"/>
  <c r="JW29" i="13"/>
  <c r="EW30" i="13"/>
  <c r="EX30" i="13" s="1"/>
  <c r="ES30" i="13"/>
  <c r="EC30" i="13"/>
  <c r="EI31" i="13"/>
  <c r="MJ31" i="13" s="1"/>
  <c r="LV31" i="13" s="1"/>
  <c r="EF31" i="13"/>
  <c r="LW31" i="13"/>
  <c r="LX31" i="13" s="1"/>
  <c r="AB31" i="13"/>
  <c r="KF31" i="13"/>
  <c r="KE31" i="13"/>
  <c r="EI33" i="13"/>
  <c r="JW40" i="13"/>
  <c r="ML19" i="13"/>
  <c r="MC19" i="13" s="1"/>
  <c r="MD19" i="13"/>
  <c r="ME19" i="13" s="1"/>
  <c r="EB20" i="13"/>
  <c r="MD21" i="13"/>
  <c r="ME21" i="13" s="1"/>
  <c r="JO23" i="13"/>
  <c r="EY25" i="13"/>
  <c r="IS28" i="13"/>
  <c r="IU28" i="13" s="1"/>
  <c r="IV28" i="13" s="1"/>
  <c r="MD30" i="13"/>
  <c r="ME30" i="13" s="1"/>
  <c r="MO30" i="13"/>
  <c r="NA30" i="13"/>
  <c r="GF32" i="13"/>
  <c r="EQ34" i="13"/>
  <c r="ML34" i="13" s="1"/>
  <c r="MC34" i="13" s="1"/>
  <c r="EN34" i="13"/>
  <c r="AJ34" i="13"/>
  <c r="AI34" i="13" s="1"/>
  <c r="EC20" i="13"/>
  <c r="GO20" i="13"/>
  <c r="GN20" i="13"/>
  <c r="KF20" i="13"/>
  <c r="KE20" i="13"/>
  <c r="KG20" i="13" s="1"/>
  <c r="GO22" i="13"/>
  <c r="GN22" i="13"/>
  <c r="AC24" i="13"/>
  <c r="LW24" i="13"/>
  <c r="LX24" i="13" s="1"/>
  <c r="AB24" i="13"/>
  <c r="MJ24" i="13"/>
  <c r="LV24" i="13" s="1"/>
  <c r="GN26" i="13"/>
  <c r="GP26" i="13" s="1"/>
  <c r="EP28" i="13"/>
  <c r="N28" i="13"/>
  <c r="AG28" i="13"/>
  <c r="GO29" i="13"/>
  <c r="GN29" i="13"/>
  <c r="GP29" i="13" s="1"/>
  <c r="JJ30" i="13"/>
  <c r="EI38" i="13"/>
  <c r="EF38" i="13"/>
  <c r="KE43" i="13"/>
  <c r="AJ18" i="13"/>
  <c r="AI18" i="13" s="1"/>
  <c r="AJ19" i="13"/>
  <c r="AI19" i="13" s="1"/>
  <c r="EO24" i="13"/>
  <c r="MI24" i="13"/>
  <c r="MM24" i="13" s="1"/>
  <c r="IM24" i="13" s="1"/>
  <c r="IN24" i="13" s="1"/>
  <c r="JJ25" i="13"/>
  <c r="EF26" i="13"/>
  <c r="KF26" i="13"/>
  <c r="KE26" i="13"/>
  <c r="OE26" i="13"/>
  <c r="JW27" i="13"/>
  <c r="AH28" i="13"/>
  <c r="JI30" i="13"/>
  <c r="JK30" i="13" s="1"/>
  <c r="MY30" i="13"/>
  <c r="EW31" i="13"/>
  <c r="EX31" i="13" s="1"/>
  <c r="ES31" i="13"/>
  <c r="EC31" i="13"/>
  <c r="AG33" i="13"/>
  <c r="EP33" i="13"/>
  <c r="N33" i="13"/>
  <c r="OE33" i="13"/>
  <c r="EW34" i="13"/>
  <c r="EX34" i="13" s="1"/>
  <c r="EU19" i="13"/>
  <c r="GF23" i="13"/>
  <c r="AG24" i="13"/>
  <c r="EP24" i="13"/>
  <c r="N24" i="13"/>
  <c r="JJ24" i="13"/>
  <c r="JE24" i="13"/>
  <c r="JO25" i="13"/>
  <c r="GT26" i="13"/>
  <c r="GF27" i="13"/>
  <c r="JO30" i="13"/>
  <c r="KF32" i="13"/>
  <c r="KE32" i="13"/>
  <c r="KG32" i="13" s="1"/>
  <c r="KF33" i="13"/>
  <c r="KE33" i="13"/>
  <c r="EU212" i="13"/>
  <c r="EU211" i="13"/>
  <c r="EU210" i="13"/>
  <c r="EY211" i="13"/>
  <c r="FA211" i="13" s="1"/>
  <c r="FB211" i="13" s="1"/>
  <c r="EU207" i="13"/>
  <c r="IM205" i="13"/>
  <c r="IN205" i="13" s="1"/>
  <c r="EY204" i="13"/>
  <c r="FA204" i="13" s="1"/>
  <c r="FB204" i="13" s="1"/>
  <c r="EU204" i="13"/>
  <c r="EU201" i="13"/>
  <c r="IM198" i="13"/>
  <c r="IN198" i="13" s="1"/>
  <c r="EU200" i="13"/>
  <c r="EU198" i="13"/>
  <c r="EY198" i="13"/>
  <c r="FA198" i="13" s="1"/>
  <c r="FB198" i="13" s="1"/>
  <c r="IM195" i="13"/>
  <c r="IN195" i="13" s="1"/>
  <c r="EU197" i="13"/>
  <c r="EU194" i="13"/>
  <c r="EU193" i="13"/>
  <c r="EU195" i="13"/>
  <c r="EY194" i="13"/>
  <c r="FA194" i="13" s="1"/>
  <c r="FB194" i="13" s="1"/>
  <c r="EY195" i="13"/>
  <c r="FA195" i="13" s="1"/>
  <c r="FB195" i="13" s="1"/>
  <c r="IM194" i="13"/>
  <c r="IN194" i="13" s="1"/>
  <c r="EY192" i="13"/>
  <c r="FA192" i="13" s="1"/>
  <c r="FB192" i="13" s="1"/>
  <c r="IM192" i="13"/>
  <c r="IN192" i="13" s="1"/>
  <c r="EU192" i="13"/>
  <c r="IM188" i="13"/>
  <c r="IN188" i="13" s="1"/>
  <c r="IM187" i="13"/>
  <c r="IN187" i="13" s="1"/>
  <c r="IM189" i="13"/>
  <c r="IN189" i="13" s="1"/>
  <c r="EY193" i="13"/>
  <c r="FA193" i="13" s="1"/>
  <c r="FB193" i="13" s="1"/>
  <c r="EY189" i="13"/>
  <c r="FA189" i="13" s="1"/>
  <c r="FB189" i="13" s="1"/>
  <c r="EU189" i="13"/>
  <c r="IM185" i="13"/>
  <c r="IN185" i="13" s="1"/>
  <c r="IM184" i="13"/>
  <c r="IN184" i="13" s="1"/>
  <c r="IM183" i="13"/>
  <c r="IN183" i="13" s="1"/>
  <c r="IM180" i="13"/>
  <c r="IN180" i="13" s="1"/>
  <c r="IM178" i="13"/>
  <c r="IN178" i="13" s="1"/>
  <c r="EU182" i="13"/>
  <c r="IM181" i="13"/>
  <c r="IN181" i="13" s="1"/>
  <c r="EU174" i="13"/>
  <c r="EU173" i="13"/>
  <c r="EU176" i="13"/>
  <c r="EU175" i="13"/>
  <c r="IM176" i="13"/>
  <c r="IN176" i="13" s="1"/>
  <c r="IM175" i="13"/>
  <c r="IN175" i="13" s="1"/>
  <c r="EY174" i="13"/>
  <c r="FA174" i="13" s="1"/>
  <c r="FB174" i="13" s="1"/>
  <c r="EY173" i="13"/>
  <c r="FA173" i="13" s="1"/>
  <c r="FB173" i="13" s="1"/>
  <c r="EY176" i="13"/>
  <c r="FA176" i="13" s="1"/>
  <c r="FB176" i="13" s="1"/>
  <c r="EY175" i="13"/>
  <c r="FA175" i="13" s="1"/>
  <c r="FB175" i="13" s="1"/>
  <c r="IM171" i="13"/>
  <c r="IN171" i="13" s="1"/>
  <c r="IM170" i="13"/>
  <c r="IN170" i="13" s="1"/>
  <c r="IM168" i="13"/>
  <c r="IN168" i="13" s="1"/>
  <c r="IM173" i="13"/>
  <c r="IN173" i="13" s="1"/>
  <c r="EY172" i="13"/>
  <c r="FA172" i="13" s="1"/>
  <c r="FB172" i="13" s="1"/>
  <c r="EY171" i="13"/>
  <c r="FA171" i="13" s="1"/>
  <c r="FB171" i="13" s="1"/>
  <c r="EY165" i="13"/>
  <c r="FA165" i="13" s="1"/>
  <c r="FB165" i="13" s="1"/>
  <c r="EU172" i="13"/>
  <c r="IM172" i="13"/>
  <c r="IN172" i="13" s="1"/>
  <c r="EU171" i="13"/>
  <c r="EU159" i="13"/>
  <c r="EU158" i="13"/>
  <c r="IM165" i="13"/>
  <c r="IN165" i="13" s="1"/>
  <c r="EU164" i="13"/>
  <c r="EU163" i="13"/>
  <c r="EU162" i="13"/>
  <c r="EU161" i="13"/>
  <c r="EU160" i="13"/>
  <c r="EU165" i="13"/>
  <c r="IM159" i="13"/>
  <c r="IN159" i="13" s="1"/>
  <c r="IM158" i="13"/>
  <c r="IN158" i="13" s="1"/>
  <c r="IM164" i="13"/>
  <c r="IN164" i="13" s="1"/>
  <c r="IM163" i="13"/>
  <c r="IN163" i="13" s="1"/>
  <c r="IM162" i="13"/>
  <c r="IN162" i="13" s="1"/>
  <c r="IM161" i="13"/>
  <c r="IN161" i="13" s="1"/>
  <c r="IM160" i="13"/>
  <c r="IN160" i="13" s="1"/>
  <c r="IM167" i="13"/>
  <c r="IN167" i="13" s="1"/>
  <c r="EY159" i="13"/>
  <c r="FA159" i="13" s="1"/>
  <c r="FB159" i="13" s="1"/>
  <c r="EY164" i="13"/>
  <c r="FA164" i="13" s="1"/>
  <c r="FB164" i="13" s="1"/>
  <c r="EY163" i="13"/>
  <c r="FA163" i="13" s="1"/>
  <c r="FB163" i="13" s="1"/>
  <c r="EY162" i="13"/>
  <c r="FA162" i="13" s="1"/>
  <c r="FB162" i="13" s="1"/>
  <c r="EY161" i="13"/>
  <c r="FA161" i="13" s="1"/>
  <c r="FB161" i="13" s="1"/>
  <c r="EY160" i="13"/>
  <c r="FA160" i="13" s="1"/>
  <c r="FB160" i="13" s="1"/>
  <c r="EY154" i="13"/>
  <c r="FA154" i="13" s="1"/>
  <c r="FB154" i="13" s="1"/>
  <c r="EY153" i="13"/>
  <c r="FA153" i="13" s="1"/>
  <c r="FB153" i="13" s="1"/>
  <c r="EY151" i="13"/>
  <c r="FA151" i="13" s="1"/>
  <c r="FB151" i="13" s="1"/>
  <c r="EU154" i="13"/>
  <c r="EU153" i="13"/>
  <c r="EU152" i="13"/>
  <c r="EU151" i="13"/>
  <c r="EU155" i="13"/>
  <c r="EY158" i="13"/>
  <c r="FA158" i="13" s="1"/>
  <c r="FB158" i="13" s="1"/>
  <c r="EY149" i="13"/>
  <c r="FA149" i="13" s="1"/>
  <c r="FB149" i="13" s="1"/>
  <c r="EY148" i="13"/>
  <c r="FA148" i="13" s="1"/>
  <c r="FB148" i="13" s="1"/>
  <c r="EY145" i="13"/>
  <c r="FA145" i="13" s="1"/>
  <c r="FB145" i="13" s="1"/>
  <c r="EU147" i="13"/>
  <c r="EU149" i="13"/>
  <c r="EU148" i="13"/>
  <c r="EU145" i="13"/>
  <c r="EU143" i="13"/>
  <c r="EU141" i="13"/>
  <c r="EU139" i="13"/>
  <c r="EU137" i="13"/>
  <c r="EU135" i="13"/>
  <c r="EY129" i="13"/>
  <c r="FA129" i="13" s="1"/>
  <c r="FB129" i="13" s="1"/>
  <c r="EW129" i="13"/>
  <c r="EX129" i="13" s="1"/>
  <c r="EU129" i="13"/>
  <c r="EU128" i="13"/>
  <c r="EU125" i="13"/>
  <c r="EU124" i="13"/>
  <c r="EU123" i="13"/>
  <c r="EU122" i="13"/>
  <c r="EU127" i="13"/>
  <c r="EU121" i="13"/>
  <c r="EU116" i="13"/>
  <c r="EU115" i="13"/>
  <c r="EU114" i="13"/>
  <c r="EU113" i="13"/>
  <c r="EU112" i="13"/>
  <c r="EW132" i="13"/>
  <c r="EX132" i="13" s="1"/>
  <c r="EU118" i="13"/>
  <c r="EU106" i="13"/>
  <c r="IM99" i="13"/>
  <c r="IN99" i="13" s="1"/>
  <c r="EY98" i="13"/>
  <c r="FA98" i="13" s="1"/>
  <c r="FB98" i="13" s="1"/>
  <c r="IM96" i="13"/>
  <c r="IN96" i="13" s="1"/>
  <c r="EY92" i="13"/>
  <c r="FA92" i="13" s="1"/>
  <c r="FB92" i="13" s="1"/>
  <c r="EU98" i="13"/>
  <c r="EY93" i="13"/>
  <c r="FA93" i="13" s="1"/>
  <c r="FB93" i="13" s="1"/>
  <c r="EY94" i="13"/>
  <c r="FA94" i="13" s="1"/>
  <c r="FB94" i="13" s="1"/>
  <c r="EU92" i="13"/>
  <c r="EU94" i="13"/>
  <c r="IM97" i="13"/>
  <c r="IN97" i="13" s="1"/>
  <c r="EU89" i="13"/>
  <c r="EU90" i="13"/>
  <c r="IM94" i="13"/>
  <c r="IN94" i="13" s="1"/>
  <c r="EU91" i="13"/>
  <c r="IM92" i="13"/>
  <c r="IN92" i="13" s="1"/>
  <c r="IM93" i="13"/>
  <c r="IN93" i="13" s="1"/>
  <c r="IM89" i="13"/>
  <c r="IN89" i="13" s="1"/>
  <c r="IM90" i="13"/>
  <c r="IN90" i="13" s="1"/>
  <c r="EU93" i="13"/>
  <c r="EU84" i="13"/>
  <c r="EY89" i="13"/>
  <c r="FA89" i="13" s="1"/>
  <c r="FB89" i="13" s="1"/>
  <c r="EU85" i="13"/>
  <c r="IM95" i="13"/>
  <c r="IN95" i="13" s="1"/>
  <c r="EU87" i="13"/>
  <c r="IM78" i="13"/>
  <c r="IN78" i="13" s="1"/>
  <c r="IM79" i="13"/>
  <c r="IN79" i="13" s="1"/>
  <c r="EU71" i="13"/>
  <c r="EY76" i="13"/>
  <c r="FA76" i="13" s="1"/>
  <c r="FB76" i="13" s="1"/>
  <c r="EU72" i="13"/>
  <c r="EU73" i="13"/>
  <c r="EU74" i="13"/>
  <c r="EU75" i="13"/>
  <c r="EY80" i="13"/>
  <c r="FA80" i="13" s="1"/>
  <c r="FB80" i="13" s="1"/>
  <c r="EU76" i="13"/>
  <c r="EY81" i="13"/>
  <c r="FA81" i="13" s="1"/>
  <c r="FB81" i="13" s="1"/>
  <c r="EY82" i="13"/>
  <c r="FA82" i="13" s="1"/>
  <c r="FB82" i="13" s="1"/>
  <c r="EU80" i="13"/>
  <c r="EY90" i="13"/>
  <c r="FA90" i="13" s="1"/>
  <c r="FB90" i="13" s="1"/>
  <c r="EU81" i="13"/>
  <c r="EY85" i="13"/>
  <c r="FA85" i="13" s="1"/>
  <c r="FB85" i="13" s="1"/>
  <c r="EU82" i="13"/>
  <c r="EY71" i="13"/>
  <c r="FA71" i="13" s="1"/>
  <c r="FB71" i="13" s="1"/>
  <c r="EU63" i="13"/>
  <c r="IM55" i="13"/>
  <c r="IN55" i="13" s="1"/>
  <c r="EU64" i="13"/>
  <c r="IM56" i="13"/>
  <c r="IN56" i="13" s="1"/>
  <c r="IM76" i="13"/>
  <c r="IN76" i="13" s="1"/>
  <c r="EY73" i="13"/>
  <c r="FA73" i="13" s="1"/>
  <c r="FB73" i="13" s="1"/>
  <c r="EU65" i="13"/>
  <c r="EY53" i="13"/>
  <c r="FA53" i="13" s="1"/>
  <c r="FB53" i="13" s="1"/>
  <c r="EU66" i="13"/>
  <c r="EY54" i="13"/>
  <c r="FA54" i="13" s="1"/>
  <c r="FB54" i="13" s="1"/>
  <c r="EU67" i="13"/>
  <c r="EU52" i="13"/>
  <c r="EY72" i="13"/>
  <c r="FA72" i="13" s="1"/>
  <c r="FB72" i="13" s="1"/>
  <c r="EY57" i="13"/>
  <c r="FA57" i="13" s="1"/>
  <c r="FB57" i="13" s="1"/>
  <c r="EU53" i="13"/>
  <c r="EY58" i="13"/>
  <c r="FA58" i="13" s="1"/>
  <c r="FB58" i="13" s="1"/>
  <c r="EU54" i="13"/>
  <c r="IM77" i="13"/>
  <c r="IN77" i="13" s="1"/>
  <c r="EY59" i="13"/>
  <c r="FA59" i="13" s="1"/>
  <c r="FB59" i="13" s="1"/>
  <c r="IM64" i="13"/>
  <c r="IN64" i="13" s="1"/>
  <c r="EY60" i="13"/>
  <c r="FA60" i="13" s="1"/>
  <c r="FB60" i="13" s="1"/>
  <c r="IM65" i="13"/>
  <c r="IN65" i="13" s="1"/>
  <c r="EU57" i="13"/>
  <c r="IM66" i="13"/>
  <c r="IN66" i="13" s="1"/>
  <c r="EU58" i="13"/>
  <c r="EY63" i="13"/>
  <c r="FA63" i="13" s="1"/>
  <c r="FB63" i="13" s="1"/>
  <c r="EU59" i="13"/>
  <c r="EY64" i="13"/>
  <c r="FA64" i="13" s="1"/>
  <c r="FB64" i="13" s="1"/>
  <c r="EU60" i="13"/>
  <c r="EU47" i="13"/>
  <c r="IM39" i="13"/>
  <c r="IN39" i="13" s="1"/>
  <c r="EU48" i="13"/>
  <c r="IM40" i="13"/>
  <c r="IN40" i="13" s="1"/>
  <c r="EU49" i="13"/>
  <c r="EY37" i="13"/>
  <c r="FA37" i="13" s="1"/>
  <c r="FB37" i="13" s="1"/>
  <c r="EU50" i="13"/>
  <c r="EY38" i="13"/>
  <c r="FA38" i="13" s="1"/>
  <c r="FB38" i="13" s="1"/>
  <c r="EU51" i="13"/>
  <c r="EY66" i="13"/>
  <c r="FA66" i="13" s="1"/>
  <c r="FB66" i="13" s="1"/>
  <c r="EY40" i="13"/>
  <c r="FA40" i="13" s="1"/>
  <c r="FB40" i="13" s="1"/>
  <c r="EU36" i="13"/>
  <c r="EY41" i="13"/>
  <c r="FA41" i="13" s="1"/>
  <c r="FB41" i="13" s="1"/>
  <c r="EU37" i="13"/>
  <c r="EY42" i="13"/>
  <c r="FA42" i="13" s="1"/>
  <c r="FB42" i="13" s="1"/>
  <c r="EU38" i="13"/>
  <c r="EY43" i="13"/>
  <c r="FA43" i="13" s="1"/>
  <c r="FB43" i="13" s="1"/>
  <c r="EU40" i="13"/>
  <c r="IM49" i="13"/>
  <c r="IN49" i="13" s="1"/>
  <c r="EU41" i="13"/>
  <c r="IM50" i="13"/>
  <c r="IN50" i="13" s="1"/>
  <c r="EU42" i="13"/>
  <c r="EY65" i="13"/>
  <c r="FA65" i="13" s="1"/>
  <c r="FB65" i="13" s="1"/>
  <c r="EY47" i="13"/>
  <c r="FA47" i="13" s="1"/>
  <c r="FB47" i="13" s="1"/>
  <c r="EU43" i="13"/>
  <c r="EY48" i="13"/>
  <c r="FA48" i="13" s="1"/>
  <c r="FB48" i="13" s="1"/>
  <c r="IM30" i="13"/>
  <c r="IN30" i="13" s="1"/>
  <c r="EU26" i="13"/>
  <c r="EY24" i="13"/>
  <c r="IM22" i="13"/>
  <c r="IN22" i="13" s="1"/>
  <c r="EU34" i="13"/>
  <c r="EU33" i="13"/>
  <c r="EY31" i="13"/>
  <c r="AK31" i="13" s="1"/>
  <c r="EU25" i="13"/>
  <c r="EY50" i="13"/>
  <c r="FA50" i="13" s="1"/>
  <c r="FB50" i="13" s="1"/>
  <c r="EU32" i="13"/>
  <c r="EU24" i="13"/>
  <c r="IM19" i="13"/>
  <c r="IN19" i="13" s="1"/>
  <c r="EU35" i="13"/>
  <c r="EU31" i="13"/>
  <c r="EY21" i="13"/>
  <c r="EY28" i="13"/>
  <c r="EY19" i="13"/>
  <c r="EY49" i="13"/>
  <c r="FA49" i="13" s="1"/>
  <c r="FB49" i="13" s="1"/>
  <c r="IM33" i="13"/>
  <c r="IN33" i="13" s="1"/>
  <c r="IM25" i="13"/>
  <c r="IN25" i="13" s="1"/>
  <c r="EU21" i="13"/>
  <c r="EU28" i="13"/>
  <c r="EY26" i="13"/>
  <c r="GT12" i="13"/>
  <c r="GT13" i="13"/>
  <c r="GT14" i="13"/>
  <c r="GT15" i="13"/>
  <c r="GT16" i="13"/>
  <c r="GT17" i="13"/>
  <c r="JO21" i="13"/>
  <c r="MD24" i="13"/>
  <c r="ME24" i="13" s="1"/>
  <c r="MO25" i="13"/>
  <c r="NA25" i="13"/>
  <c r="MY25" i="13"/>
  <c r="KF27" i="13"/>
  <c r="KE27" i="13"/>
  <c r="KG27" i="13" s="1"/>
  <c r="JJ28" i="13"/>
  <c r="JI28" i="13"/>
  <c r="JK28" i="13" s="1"/>
  <c r="IM31" i="13"/>
  <c r="IN31" i="13" s="1"/>
  <c r="GF35" i="13"/>
  <c r="JW49" i="13"/>
  <c r="F77" i="12"/>
  <c r="AM12" i="13"/>
  <c r="EH12" i="13" s="1"/>
  <c r="LW12" i="13" s="1"/>
  <c r="LX12" i="13" s="1"/>
  <c r="AM13" i="13"/>
  <c r="EH13" i="13" s="1"/>
  <c r="AM14" i="13"/>
  <c r="EH14" i="13" s="1"/>
  <c r="AM15" i="13"/>
  <c r="EH15" i="13" s="1"/>
  <c r="AB15" i="13" s="1"/>
  <c r="AM16" i="13"/>
  <c r="EH16" i="13" s="1"/>
  <c r="AB16" i="13" s="1"/>
  <c r="AM17" i="13"/>
  <c r="EH17" i="13" s="1"/>
  <c r="AB17" i="13" s="1"/>
  <c r="AM18" i="13"/>
  <c r="EH18" i="13" s="1"/>
  <c r="AB18" i="13" s="1"/>
  <c r="AM19" i="13"/>
  <c r="JW23" i="13"/>
  <c r="JK24" i="13"/>
  <c r="GF25" i="13"/>
  <c r="ES26" i="13"/>
  <c r="EC26" i="13"/>
  <c r="MD31" i="13"/>
  <c r="ME31" i="13" s="1"/>
  <c r="JW35" i="13"/>
  <c r="JW45" i="13"/>
  <c r="IM17" i="13"/>
  <c r="IN17" i="13" s="1"/>
  <c r="JJ19" i="13"/>
  <c r="JI19" i="13"/>
  <c r="JK19" i="13" s="1"/>
  <c r="AG22" i="13"/>
  <c r="EP22" i="13"/>
  <c r="MD22" i="13" s="1"/>
  <c r="ME22" i="13" s="1"/>
  <c r="EI23" i="13"/>
  <c r="MJ23" i="13" s="1"/>
  <c r="LV23" i="13" s="1"/>
  <c r="GO23" i="13"/>
  <c r="GN23" i="13"/>
  <c r="JO24" i="13"/>
  <c r="EP26" i="13"/>
  <c r="N26" i="13"/>
  <c r="GO27" i="13"/>
  <c r="GN27" i="13"/>
  <c r="GP27" i="13" s="1"/>
  <c r="EW29" i="13"/>
  <c r="EX29" i="13" s="1"/>
  <c r="ES29" i="13"/>
  <c r="EC29" i="13"/>
  <c r="JW30" i="13"/>
  <c r="EI32" i="13"/>
  <c r="MJ32" i="13" s="1"/>
  <c r="LV32" i="13" s="1"/>
  <c r="EF32" i="13"/>
  <c r="EY33" i="13"/>
  <c r="JJ34" i="13"/>
  <c r="JI34" i="13"/>
  <c r="JK34" i="13" s="1"/>
  <c r="AC41" i="13"/>
  <c r="LW41" i="13"/>
  <c r="LX41" i="13" s="1"/>
  <c r="AB41" i="13"/>
  <c r="MI12" i="13"/>
  <c r="MM12" i="13" s="1"/>
  <c r="IM12" i="13" s="1"/>
  <c r="IN12" i="13" s="1"/>
  <c r="MI13" i="13"/>
  <c r="MM13" i="13" s="1"/>
  <c r="MI14" i="13"/>
  <c r="MM14" i="13" s="1"/>
  <c r="MI15" i="13"/>
  <c r="MM15" i="13" s="1"/>
  <c r="MI16" i="13"/>
  <c r="MM16" i="13" s="1"/>
  <c r="IM16" i="13" s="1"/>
  <c r="IN16" i="13" s="1"/>
  <c r="MI17" i="13"/>
  <c r="MM17" i="13" s="1"/>
  <c r="EN18" i="13"/>
  <c r="MI18" i="13"/>
  <c r="MM18" i="13" s="1"/>
  <c r="M19" i="13"/>
  <c r="EB19" i="13"/>
  <c r="EP20" i="13"/>
  <c r="N20" i="13"/>
  <c r="AG20" i="13"/>
  <c r="EI21" i="13"/>
  <c r="EF21" i="13"/>
  <c r="AB21" i="13"/>
  <c r="GO21" i="13"/>
  <c r="GN21" i="13"/>
  <c r="GP21" i="13" s="1"/>
  <c r="JW21" i="13"/>
  <c r="GO25" i="13"/>
  <c r="GN25" i="13"/>
  <c r="GP25" i="13" s="1"/>
  <c r="AK28" i="13"/>
  <c r="GF28" i="13"/>
  <c r="N29" i="13"/>
  <c r="AG29" i="13"/>
  <c r="GF34" i="13"/>
  <c r="JO34" i="13"/>
  <c r="LV6" i="13"/>
  <c r="N19" i="13"/>
  <c r="JO19" i="13"/>
  <c r="MD20" i="13"/>
  <c r="ME20" i="13" s="1"/>
  <c r="AH20" i="13"/>
  <c r="EW22" i="13"/>
  <c r="EX22" i="13" s="1"/>
  <c r="ES22" i="13"/>
  <c r="EC22" i="13"/>
  <c r="MO22" i="13"/>
  <c r="NA22" i="13"/>
  <c r="M27" i="13"/>
  <c r="AM27" i="13"/>
  <c r="GT27" i="13"/>
  <c r="EH27" i="13"/>
  <c r="AB27" i="13" s="1"/>
  <c r="EP29" i="13"/>
  <c r="GO30" i="13"/>
  <c r="GN30" i="13"/>
  <c r="GP30" i="13" s="1"/>
  <c r="JJ31" i="13"/>
  <c r="JI31" i="13"/>
  <c r="JK31" i="13" s="1"/>
  <c r="AC32" i="13"/>
  <c r="LW32" i="13"/>
  <c r="LX32" i="13" s="1"/>
  <c r="AB32" i="13"/>
  <c r="AG37" i="13"/>
  <c r="EP37" i="13"/>
  <c r="MD37" i="13" s="1"/>
  <c r="ME37" i="13" s="1"/>
  <c r="ES47" i="13"/>
  <c r="EC47" i="13"/>
  <c r="EW47" i="13"/>
  <c r="EX47" i="13" s="1"/>
  <c r="N36" i="26"/>
  <c r="N43" i="26"/>
  <c r="GF19" i="13"/>
  <c r="ES20" i="13"/>
  <c r="JJ20" i="13"/>
  <c r="JI20" i="13"/>
  <c r="JK20" i="13" s="1"/>
  <c r="KF23" i="13"/>
  <c r="KE23" i="13"/>
  <c r="KG23" i="13" s="1"/>
  <c r="GF24" i="13"/>
  <c r="EB28" i="13"/>
  <c r="JW28" i="13"/>
  <c r="KF30" i="13"/>
  <c r="KE30" i="13"/>
  <c r="JO31" i="13"/>
  <c r="EO32" i="13"/>
  <c r="MI32" i="13"/>
  <c r="MM32" i="13" s="1"/>
  <c r="OE19" i="13"/>
  <c r="EI19" i="13"/>
  <c r="EF19" i="13"/>
  <c r="JW19" i="13"/>
  <c r="KE21" i="13"/>
  <c r="JJ22" i="13"/>
  <c r="MY22" i="13"/>
  <c r="EW23" i="13"/>
  <c r="EX23" i="13" s="1"/>
  <c r="ES23" i="13"/>
  <c r="EC23" i="13"/>
  <c r="OE25" i="13"/>
  <c r="JJ26" i="13"/>
  <c r="JI26" i="13"/>
  <c r="JK26" i="13" s="1"/>
  <c r="EC28" i="13"/>
  <c r="MD29" i="13"/>
  <c r="ME29" i="13" s="1"/>
  <c r="AG32" i="13"/>
  <c r="EP32" i="13"/>
  <c r="N32" i="13"/>
  <c r="JJ33" i="13"/>
  <c r="JW34" i="13"/>
  <c r="GN43" i="13"/>
  <c r="JW50" i="13"/>
  <c r="JW66" i="13"/>
  <c r="AB12" i="13"/>
  <c r="EB12" i="13"/>
  <c r="AB13" i="13"/>
  <c r="EB13" i="13"/>
  <c r="LW13" i="13"/>
  <c r="LX13" i="13" s="1"/>
  <c r="AB14" i="13"/>
  <c r="EB14" i="13"/>
  <c r="LW14" i="13"/>
  <c r="LX14" i="13" s="1"/>
  <c r="EB15" i="13"/>
  <c r="EB16" i="13"/>
  <c r="EB17" i="13"/>
  <c r="EB18" i="13"/>
  <c r="AB19" i="13"/>
  <c r="GT19" i="13"/>
  <c r="MJ21" i="13"/>
  <c r="LV21" i="13" s="1"/>
  <c r="JI22" i="13"/>
  <c r="JK22" i="13" s="1"/>
  <c r="GO24" i="13"/>
  <c r="GN24" i="13"/>
  <c r="KF25" i="13"/>
  <c r="KE25" i="13"/>
  <c r="JO26" i="13"/>
  <c r="ES27" i="13"/>
  <c r="EC27" i="13"/>
  <c r="EW27" i="13"/>
  <c r="EX27" i="13" s="1"/>
  <c r="GO28" i="13"/>
  <c r="GN28" i="13"/>
  <c r="KF28" i="13"/>
  <c r="KE28" i="13"/>
  <c r="GF31" i="13"/>
  <c r="JW31" i="13"/>
  <c r="MD32" i="13"/>
  <c r="ME32" i="13" s="1"/>
  <c r="JJ32" i="13"/>
  <c r="JE32" i="13"/>
  <c r="JK32" i="13" s="1"/>
  <c r="GF33" i="13"/>
  <c r="GT34" i="13"/>
  <c r="GN34" i="13"/>
  <c r="MJ19" i="13"/>
  <c r="LV19" i="13" s="1"/>
  <c r="KF19" i="13"/>
  <c r="KE19" i="13"/>
  <c r="EW21" i="13"/>
  <c r="EX21" i="13" s="1"/>
  <c r="ES21" i="13"/>
  <c r="EC21" i="13"/>
  <c r="JO22" i="13"/>
  <c r="AG25" i="13"/>
  <c r="EP25" i="13"/>
  <c r="N25" i="13"/>
  <c r="EP27" i="13"/>
  <c r="N27" i="13"/>
  <c r="AG27" i="13"/>
  <c r="JO29" i="13"/>
  <c r="JO33" i="13"/>
  <c r="MO33" i="13"/>
  <c r="NA33" i="13"/>
  <c r="MY33" i="13"/>
  <c r="EI34" i="13"/>
  <c r="GO34" i="13"/>
  <c r="KF34" i="13"/>
  <c r="KE34" i="13"/>
  <c r="KG34" i="13" s="1"/>
  <c r="EB43" i="13"/>
  <c r="JW61" i="13"/>
  <c r="LW21" i="13"/>
  <c r="LX21" i="13" s="1"/>
  <c r="MI23" i="13"/>
  <c r="MM23" i="13" s="1"/>
  <c r="IM23" i="13" s="1"/>
  <c r="IN23" i="13" s="1"/>
  <c r="MY31" i="13"/>
  <c r="MD34" i="13"/>
  <c r="ME34" i="13" s="1"/>
  <c r="MY35" i="13"/>
  <c r="MO35" i="13"/>
  <c r="EW42" i="13"/>
  <c r="EX42" i="13" s="1"/>
  <c r="ES42" i="13"/>
  <c r="EC42" i="13"/>
  <c r="AC45" i="13"/>
  <c r="LW45" i="13"/>
  <c r="LX45" i="13" s="1"/>
  <c r="AC46" i="13"/>
  <c r="EP47" i="13"/>
  <c r="N47" i="13"/>
  <c r="AC49" i="13"/>
  <c r="LW49" i="13"/>
  <c r="LX49" i="13" s="1"/>
  <c r="AB49" i="13"/>
  <c r="MJ49" i="13"/>
  <c r="LV49" i="13" s="1"/>
  <c r="AG49" i="13"/>
  <c r="EP49" i="13"/>
  <c r="N49" i="13"/>
  <c r="GN50" i="13"/>
  <c r="KA52" i="13"/>
  <c r="EW54" i="13"/>
  <c r="EX54" i="13" s="1"/>
  <c r="ES54" i="13"/>
  <c r="EC54" i="13"/>
  <c r="EP63" i="13"/>
  <c r="N63" i="13"/>
  <c r="AG63" i="13"/>
  <c r="AC66" i="13"/>
  <c r="LW66" i="13"/>
  <c r="LX66" i="13" s="1"/>
  <c r="AB66" i="13"/>
  <c r="MD26" i="13"/>
  <c r="ME26" i="13" s="1"/>
  <c r="M32" i="13"/>
  <c r="AJ35" i="13"/>
  <c r="AI35" i="13" s="1"/>
  <c r="KE36" i="13"/>
  <c r="EW38" i="13"/>
  <c r="EX38" i="13" s="1"/>
  <c r="ES38" i="13"/>
  <c r="EC38" i="13"/>
  <c r="GN40" i="13"/>
  <c r="EP42" i="13"/>
  <c r="N42" i="13"/>
  <c r="AG42" i="13"/>
  <c r="KE44" i="13"/>
  <c r="MD47" i="13"/>
  <c r="ME47" i="13" s="1"/>
  <c r="KE48" i="13"/>
  <c r="KE70" i="13"/>
  <c r="EF28" i="13"/>
  <c r="NA31" i="13"/>
  <c r="NA35" i="13"/>
  <c r="JW41" i="13"/>
  <c r="JW46" i="13"/>
  <c r="AC47" i="13"/>
  <c r="LW47" i="13"/>
  <c r="LX47" i="13" s="1"/>
  <c r="AB47" i="13"/>
  <c r="MJ47" i="13"/>
  <c r="LV47" i="13" s="1"/>
  <c r="GN48" i="13"/>
  <c r="MO49" i="13"/>
  <c r="NA49" i="13"/>
  <c r="MY49" i="13"/>
  <c r="MD27" i="13"/>
  <c r="ME27" i="13" s="1"/>
  <c r="EW35" i="13"/>
  <c r="EX35" i="13" s="1"/>
  <c r="ES35" i="13"/>
  <c r="KF35" i="13"/>
  <c r="N38" i="13"/>
  <c r="AG38" i="13"/>
  <c r="EP38" i="13"/>
  <c r="MD38" i="13" s="1"/>
  <c r="ME38" i="13" s="1"/>
  <c r="N39" i="13"/>
  <c r="AG39" i="13"/>
  <c r="EP39" i="13"/>
  <c r="MO39" i="13"/>
  <c r="NA39" i="13"/>
  <c r="MJ42" i="13"/>
  <c r="LV42" i="13" s="1"/>
  <c r="AC42" i="13"/>
  <c r="MD42" i="13"/>
  <c r="ME42" i="13" s="1"/>
  <c r="AH42" i="13"/>
  <c r="LW43" i="13"/>
  <c r="LX43" i="13" s="1"/>
  <c r="GN44" i="13"/>
  <c r="EI50" i="13"/>
  <c r="KE83" i="13"/>
  <c r="AC38" i="13"/>
  <c r="LW38" i="13"/>
  <c r="LX38" i="13" s="1"/>
  <c r="AB38" i="13"/>
  <c r="AK38" i="13" s="1"/>
  <c r="MJ38" i="13"/>
  <c r="LV38" i="13" s="1"/>
  <c r="EI40" i="13"/>
  <c r="MJ40" i="13" s="1"/>
  <c r="LV40" i="13" s="1"/>
  <c r="EF40" i="13"/>
  <c r="JW42" i="13"/>
  <c r="GN45" i="13"/>
  <c r="KE46" i="13"/>
  <c r="AC50" i="13"/>
  <c r="LW50" i="13"/>
  <c r="LX50" i="13" s="1"/>
  <c r="AB50" i="13"/>
  <c r="AK50" i="13" s="1"/>
  <c r="MJ50" i="13"/>
  <c r="LV50" i="13" s="1"/>
  <c r="AG52" i="13"/>
  <c r="EP52" i="13"/>
  <c r="N52" i="13"/>
  <c r="GN59" i="13"/>
  <c r="JW62" i="13"/>
  <c r="KE64" i="13"/>
  <c r="JI25" i="13"/>
  <c r="JK25" i="13" s="1"/>
  <c r="JI33" i="13"/>
  <c r="JK33" i="13" s="1"/>
  <c r="MJ33" i="13"/>
  <c r="LV33" i="13" s="1"/>
  <c r="MI34" i="13"/>
  <c r="MM34" i="13" s="1"/>
  <c r="EQ35" i="13"/>
  <c r="GN37" i="13"/>
  <c r="EW39" i="13"/>
  <c r="EX39" i="13" s="1"/>
  <c r="ES39" i="13"/>
  <c r="EC39" i="13"/>
  <c r="GN41" i="13"/>
  <c r="KE41" i="13"/>
  <c r="IZ44" i="13"/>
  <c r="FS44" i="13"/>
  <c r="GT48" i="13"/>
  <c r="MO50" i="13"/>
  <c r="NA50" i="13"/>
  <c r="MY50" i="13"/>
  <c r="AC62" i="13"/>
  <c r="GN75" i="13"/>
  <c r="MI26" i="13"/>
  <c r="MM26" i="13" s="1"/>
  <c r="EH29" i="13"/>
  <c r="N34" i="13"/>
  <c r="MJ34" i="13"/>
  <c r="LV34" i="13" s="1"/>
  <c r="MD35" i="13"/>
  <c r="ME35" i="13" s="1"/>
  <c r="EI36" i="13"/>
  <c r="EF36" i="13"/>
  <c r="MD39" i="13"/>
  <c r="ME39" i="13" s="1"/>
  <c r="MY40" i="13"/>
  <c r="MO40" i="13"/>
  <c r="KE42" i="13"/>
  <c r="EP43" i="13"/>
  <c r="N43" i="13"/>
  <c r="AG43" i="13"/>
  <c r="GN46" i="13"/>
  <c r="EF48" i="13"/>
  <c r="EI48" i="13"/>
  <c r="EI51" i="13"/>
  <c r="MJ51" i="13" s="1"/>
  <c r="LV51" i="13" s="1"/>
  <c r="EF51" i="13"/>
  <c r="MJ26" i="13"/>
  <c r="LV26" i="13" s="1"/>
  <c r="AH30" i="13"/>
  <c r="EI37" i="13"/>
  <c r="EF37" i="13"/>
  <c r="JW38" i="13"/>
  <c r="AC39" i="13"/>
  <c r="N40" i="13"/>
  <c r="AG40" i="13"/>
  <c r="MD43" i="13"/>
  <c r="ME43" i="13" s="1"/>
  <c r="AH43" i="13"/>
  <c r="AM46" i="13"/>
  <c r="GT46" i="13"/>
  <c r="M46" i="13"/>
  <c r="EH46" i="13"/>
  <c r="LW46" i="13" s="1"/>
  <c r="LX46" i="13" s="1"/>
  <c r="ES48" i="13"/>
  <c r="EC48" i="13"/>
  <c r="JW55" i="13"/>
  <c r="EW57" i="13"/>
  <c r="EX57" i="13" s="1"/>
  <c r="ES57" i="13"/>
  <c r="EC57" i="13"/>
  <c r="EI58" i="13"/>
  <c r="EF58" i="13"/>
  <c r="AM20" i="13"/>
  <c r="EH20" i="13" s="1"/>
  <c r="EY20" i="13" s="1"/>
  <c r="AB25" i="13"/>
  <c r="LW25" i="13"/>
  <c r="LX25" i="13" s="1"/>
  <c r="MI27" i="13"/>
  <c r="MM27" i="13" s="1"/>
  <c r="EH30" i="13"/>
  <c r="EY30" i="13" s="1"/>
  <c r="AB33" i="13"/>
  <c r="AK33" i="13" s="1"/>
  <c r="LW33" i="13"/>
  <c r="LX33" i="13" s="1"/>
  <c r="GO35" i="13"/>
  <c r="OE35" i="13"/>
  <c r="EO36" i="13"/>
  <c r="MD36" i="13" s="1"/>
  <c r="ME36" i="13" s="1"/>
  <c r="MI36" i="13"/>
  <c r="MM36" i="13" s="1"/>
  <c r="KE37" i="13"/>
  <c r="EW40" i="13"/>
  <c r="EX40" i="13" s="1"/>
  <c r="ES40" i="13"/>
  <c r="EC40" i="13"/>
  <c r="ES43" i="13"/>
  <c r="AM45" i="13"/>
  <c r="GT45" i="13"/>
  <c r="M45" i="13"/>
  <c r="EH45" i="13"/>
  <c r="EU45" i="13" s="1"/>
  <c r="JW47" i="13"/>
  <c r="LW51" i="13"/>
  <c r="LX51" i="13" s="1"/>
  <c r="AC51" i="13"/>
  <c r="AB51" i="13"/>
  <c r="N57" i="13"/>
  <c r="AG57" i="13"/>
  <c r="EP57" i="13"/>
  <c r="MD57" i="13" s="1"/>
  <c r="ME57" i="13" s="1"/>
  <c r="GN66" i="13"/>
  <c r="IV85" i="13"/>
  <c r="AH23" i="13"/>
  <c r="EC25" i="13"/>
  <c r="ES25" i="13"/>
  <c r="AH31" i="13"/>
  <c r="EC33" i="13"/>
  <c r="ES33" i="13"/>
  <c r="AC36" i="13"/>
  <c r="LW36" i="13"/>
  <c r="LX36" i="13" s="1"/>
  <c r="MJ36" i="13"/>
  <c r="LV36" i="13" s="1"/>
  <c r="AG36" i="13"/>
  <c r="EP36" i="13"/>
  <c r="N36" i="13"/>
  <c r="EW37" i="13"/>
  <c r="EX37" i="13" s="1"/>
  <c r="ES37" i="13"/>
  <c r="EC37" i="13"/>
  <c r="JW39" i="13"/>
  <c r="AC40" i="13"/>
  <c r="LW40" i="13"/>
  <c r="LX40" i="13" s="1"/>
  <c r="AB40" i="13"/>
  <c r="AK40" i="13" s="1"/>
  <c r="EN40" i="13"/>
  <c r="AJ40" i="13"/>
  <c r="AI40" i="13" s="1"/>
  <c r="EQ40" i="13"/>
  <c r="ML40" i="13" s="1"/>
  <c r="MC40" i="13" s="1"/>
  <c r="EI41" i="13"/>
  <c r="MJ41" i="13" s="1"/>
  <c r="LV41" i="13" s="1"/>
  <c r="EF41" i="13"/>
  <c r="GN42" i="13"/>
  <c r="EW44" i="13"/>
  <c r="EX44" i="13" s="1"/>
  <c r="AG47" i="13"/>
  <c r="AK47" i="13" s="1"/>
  <c r="KE49" i="13"/>
  <c r="MI51" i="13"/>
  <c r="MM51" i="13" s="1"/>
  <c r="EO51" i="13"/>
  <c r="JW51" i="13"/>
  <c r="KE55" i="13"/>
  <c r="AC65" i="13"/>
  <c r="LW65" i="13"/>
  <c r="LX65" i="13" s="1"/>
  <c r="AB65" i="13"/>
  <c r="MI20" i="13"/>
  <c r="MM20" i="13" s="1"/>
  <c r="AB26" i="13"/>
  <c r="AK26" i="13" s="1"/>
  <c r="LW26" i="13"/>
  <c r="LX26" i="13" s="1"/>
  <c r="MI28" i="13"/>
  <c r="MM28" i="13" s="1"/>
  <c r="GN32" i="13"/>
  <c r="AH36" i="13"/>
  <c r="KE38" i="13"/>
  <c r="MD40" i="13"/>
  <c r="ME40" i="13" s="1"/>
  <c r="AB42" i="13"/>
  <c r="AK42" i="13" s="1"/>
  <c r="EP44" i="13"/>
  <c r="MD44" i="13" s="1"/>
  <c r="ME44" i="13" s="1"/>
  <c r="N44" i="13"/>
  <c r="AG44" i="13"/>
  <c r="ES45" i="13"/>
  <c r="EC45" i="13"/>
  <c r="EW45" i="13"/>
  <c r="EX45" i="13" s="1"/>
  <c r="ES46" i="13"/>
  <c r="EC46" i="13"/>
  <c r="EW46" i="13"/>
  <c r="EX46" i="13" s="1"/>
  <c r="AC48" i="13"/>
  <c r="LW48" i="13"/>
  <c r="LX48" i="13" s="1"/>
  <c r="AB48" i="13"/>
  <c r="AK48" i="13" s="1"/>
  <c r="MJ48" i="13"/>
  <c r="LV48" i="13" s="1"/>
  <c r="GN49" i="13"/>
  <c r="AG51" i="13"/>
  <c r="EP51" i="13"/>
  <c r="N51" i="13"/>
  <c r="AG53" i="13"/>
  <c r="EP53" i="13"/>
  <c r="MD53" i="13" s="1"/>
  <c r="ME53" i="13" s="1"/>
  <c r="N53" i="13"/>
  <c r="AH32" i="13"/>
  <c r="JO35" i="13"/>
  <c r="EW41" i="13"/>
  <c r="EX41" i="13" s="1"/>
  <c r="ES41" i="13"/>
  <c r="EC41" i="13"/>
  <c r="EP45" i="13"/>
  <c r="MD45" i="13" s="1"/>
  <c r="ME45" i="13" s="1"/>
  <c r="N45" i="13"/>
  <c r="AG45" i="13"/>
  <c r="EP46" i="13"/>
  <c r="MD46" i="13" s="1"/>
  <c r="ME46" i="13" s="1"/>
  <c r="N46" i="13"/>
  <c r="KE47" i="13"/>
  <c r="EW48" i="13"/>
  <c r="EX48" i="13" s="1"/>
  <c r="MI21" i="13"/>
  <c r="MM21" i="13" s="1"/>
  <c r="AM22" i="13"/>
  <c r="EH22" i="13" s="1"/>
  <c r="MI29" i="13"/>
  <c r="MM29" i="13" s="1"/>
  <c r="AM30" i="13"/>
  <c r="GN38" i="13"/>
  <c r="KE39" i="13"/>
  <c r="NA40" i="13"/>
  <c r="N41" i="13"/>
  <c r="AG41" i="13"/>
  <c r="AK41" i="13" s="1"/>
  <c r="AB43" i="13"/>
  <c r="AK43" i="13" s="1"/>
  <c r="JW43" i="13"/>
  <c r="ES44" i="13"/>
  <c r="GN61" i="13"/>
  <c r="GT35" i="13"/>
  <c r="AC37" i="13"/>
  <c r="LW37" i="13"/>
  <c r="LX37" i="13" s="1"/>
  <c r="AB37" i="13"/>
  <c r="MJ37" i="13"/>
  <c r="LV37" i="13" s="1"/>
  <c r="EP41" i="13"/>
  <c r="AC43" i="13"/>
  <c r="GT47" i="13"/>
  <c r="AC56" i="13"/>
  <c r="AB56" i="13"/>
  <c r="GJ64" i="13"/>
  <c r="KE77" i="13"/>
  <c r="ML35" i="13"/>
  <c r="MC35" i="13" s="1"/>
  <c r="MI37" i="13"/>
  <c r="MM37" i="13" s="1"/>
  <c r="IM37" i="13" s="1"/>
  <c r="IN37" i="13" s="1"/>
  <c r="IZ59" i="13"/>
  <c r="FS59" i="13"/>
  <c r="JW60" i="13"/>
  <c r="AC63" i="13"/>
  <c r="LW63" i="13"/>
  <c r="LX63" i="13" s="1"/>
  <c r="AB63" i="13"/>
  <c r="GN64" i="13"/>
  <c r="IZ83" i="13"/>
  <c r="FS83" i="13"/>
  <c r="N50" i="13"/>
  <c r="AM50" i="13"/>
  <c r="JW52" i="13"/>
  <c r="AC53" i="13"/>
  <c r="LW53" i="13"/>
  <c r="LX53" i="13" s="1"/>
  <c r="AB53" i="13"/>
  <c r="AK53" i="13" s="1"/>
  <c r="N54" i="13"/>
  <c r="AG54" i="13"/>
  <c r="EP54" i="13"/>
  <c r="JW56" i="13"/>
  <c r="EW58" i="13"/>
  <c r="EX58" i="13" s="1"/>
  <c r="ES58" i="13"/>
  <c r="EC58" i="13"/>
  <c r="AC61" i="13"/>
  <c r="KE61" i="13"/>
  <c r="GN67" i="13"/>
  <c r="KE51" i="13"/>
  <c r="AC52" i="13"/>
  <c r="LW52" i="13"/>
  <c r="LX52" i="13" s="1"/>
  <c r="AB52" i="13"/>
  <c r="JW53" i="13"/>
  <c r="AC54" i="13"/>
  <c r="LW54" i="13"/>
  <c r="LX54" i="13" s="1"/>
  <c r="AB54" i="13"/>
  <c r="AK54" i="13" s="1"/>
  <c r="AC57" i="13"/>
  <c r="LW57" i="13"/>
  <c r="LX57" i="13" s="1"/>
  <c r="AB57" i="13"/>
  <c r="EP58" i="13"/>
  <c r="MD58" i="13" s="1"/>
  <c r="ME58" i="13" s="1"/>
  <c r="N58" i="13"/>
  <c r="AG58" i="13"/>
  <c r="KE60" i="13"/>
  <c r="EC64" i="13"/>
  <c r="GT64" i="13"/>
  <c r="EI66" i="13"/>
  <c r="MJ66" i="13" s="1"/>
  <c r="LV66" i="13" s="1"/>
  <c r="AC71" i="13"/>
  <c r="LW71" i="13"/>
  <c r="LX71" i="13" s="1"/>
  <c r="AB71" i="13"/>
  <c r="MJ82" i="13"/>
  <c r="LV82" i="13" s="1"/>
  <c r="LW82" i="13"/>
  <c r="LX82" i="13" s="1"/>
  <c r="AC82" i="13"/>
  <c r="AB82" i="13"/>
  <c r="JW84" i="13"/>
  <c r="EF42" i="13"/>
  <c r="EH44" i="13"/>
  <c r="LW44" i="13" s="1"/>
  <c r="LX44" i="13" s="1"/>
  <c r="N48" i="13"/>
  <c r="MD54" i="13"/>
  <c r="ME54" i="13" s="1"/>
  <c r="GN55" i="13"/>
  <c r="EF64" i="13"/>
  <c r="EI64" i="13"/>
  <c r="JW57" i="13"/>
  <c r="AH58" i="13"/>
  <c r="GN60" i="13"/>
  <c r="JW65" i="13"/>
  <c r="MO66" i="13"/>
  <c r="NA66" i="13"/>
  <c r="MY66" i="13"/>
  <c r="AC74" i="13"/>
  <c r="LW74" i="13"/>
  <c r="LX74" i="13" s="1"/>
  <c r="AB74" i="13"/>
  <c r="JW78" i="13"/>
  <c r="GN81" i="13"/>
  <c r="MI48" i="13"/>
  <c r="MM48" i="13" s="1"/>
  <c r="EP50" i="13"/>
  <c r="KE50" i="13"/>
  <c r="KE52" i="13"/>
  <c r="KE56" i="13"/>
  <c r="MJ58" i="13"/>
  <c r="LV58" i="13" s="1"/>
  <c r="AC58" i="13"/>
  <c r="JW58" i="13"/>
  <c r="AG66" i="13"/>
  <c r="EP66" i="13"/>
  <c r="N66" i="13"/>
  <c r="ES68" i="13"/>
  <c r="EC68" i="13"/>
  <c r="EW68" i="13"/>
  <c r="EX68" i="13" s="1"/>
  <c r="EQ82" i="13"/>
  <c r="ML82" i="13" s="1"/>
  <c r="MC82" i="13" s="1"/>
  <c r="EN82" i="13"/>
  <c r="AJ82" i="13"/>
  <c r="AI82" i="13" s="1"/>
  <c r="GN39" i="13"/>
  <c r="M44" i="13"/>
  <c r="MI47" i="13"/>
  <c r="MM47" i="13" s="1"/>
  <c r="GN52" i="13"/>
  <c r="KE53" i="13"/>
  <c r="MJ59" i="13"/>
  <c r="LV59" i="13" s="1"/>
  <c r="EP59" i="13"/>
  <c r="N59" i="13"/>
  <c r="AG59" i="13"/>
  <c r="IZ60" i="13"/>
  <c r="FS60" i="13"/>
  <c r="AM62" i="13"/>
  <c r="GT62" i="13"/>
  <c r="M62" i="13"/>
  <c r="EH62" i="13"/>
  <c r="EU62" i="13" s="1"/>
  <c r="KE65" i="13"/>
  <c r="KE78" i="13"/>
  <c r="MD82" i="13"/>
  <c r="ME82" i="13" s="1"/>
  <c r="AH82" i="13"/>
  <c r="MI46" i="13"/>
  <c r="MM46" i="13" s="1"/>
  <c r="IM46" i="13" s="1"/>
  <c r="IN46" i="13" s="1"/>
  <c r="EP48" i="13"/>
  <c r="GN53" i="13"/>
  <c r="N55" i="13"/>
  <c r="AG55" i="13"/>
  <c r="EP55" i="13"/>
  <c r="MD55" i="13" s="1"/>
  <c r="ME55" i="13" s="1"/>
  <c r="KE58" i="13"/>
  <c r="MD59" i="13"/>
  <c r="ME59" i="13" s="1"/>
  <c r="AH59" i="13"/>
  <c r="JW63" i="13"/>
  <c r="ES64" i="13"/>
  <c r="MO64" i="13"/>
  <c r="NA64" i="13"/>
  <c r="MY64" i="13"/>
  <c r="GN65" i="13"/>
  <c r="EH39" i="13"/>
  <c r="EY39" i="13" s="1"/>
  <c r="FA39" i="13" s="1"/>
  <c r="FB39" i="13" s="1"/>
  <c r="MI45" i="13"/>
  <c r="MM45" i="13" s="1"/>
  <c r="IM45" i="13" s="1"/>
  <c r="IN45" i="13" s="1"/>
  <c r="EC50" i="13"/>
  <c r="ES50" i="13"/>
  <c r="MO55" i="13"/>
  <c r="NA55" i="13"/>
  <c r="GN57" i="13"/>
  <c r="ES59" i="13"/>
  <c r="EI60" i="13"/>
  <c r="MJ60" i="13" s="1"/>
  <c r="LV60" i="13" s="1"/>
  <c r="EF60" i="13"/>
  <c r="MJ67" i="13"/>
  <c r="LV67" i="13" s="1"/>
  <c r="LW67" i="13"/>
  <c r="LX67" i="13" s="1"/>
  <c r="AC67" i="13"/>
  <c r="AB67" i="13"/>
  <c r="EQ71" i="13"/>
  <c r="EN71" i="13"/>
  <c r="AJ71" i="13"/>
  <c r="AI71" i="13" s="1"/>
  <c r="KE75" i="13"/>
  <c r="EO84" i="13"/>
  <c r="EY84" i="13" s="1"/>
  <c r="FA84" i="13" s="1"/>
  <c r="FB84" i="13" s="1"/>
  <c r="MI84" i="13"/>
  <c r="MM84" i="13" s="1"/>
  <c r="GN36" i="13"/>
  <c r="MI44" i="13"/>
  <c r="MM44" i="13" s="1"/>
  <c r="EC49" i="13"/>
  <c r="ES49" i="13"/>
  <c r="EW55" i="13"/>
  <c r="EX55" i="13" s="1"/>
  <c r="ES55" i="13"/>
  <c r="EC55" i="13"/>
  <c r="MY56" i="13"/>
  <c r="MO56" i="13"/>
  <c r="AM61" i="13"/>
  <c r="GT61" i="13"/>
  <c r="M61" i="13"/>
  <c r="EH61" i="13"/>
  <c r="EY61" i="13" s="1"/>
  <c r="FA61" i="13" s="1"/>
  <c r="FB61" i="13" s="1"/>
  <c r="ES62" i="13"/>
  <c r="EC62" i="13"/>
  <c r="EW62" i="13"/>
  <c r="EX62" i="13" s="1"/>
  <c r="AC64" i="13"/>
  <c r="LW64" i="13"/>
  <c r="LX64" i="13" s="1"/>
  <c r="AB64" i="13"/>
  <c r="AK64" i="13" s="1"/>
  <c r="MJ64" i="13"/>
  <c r="LV64" i="13" s="1"/>
  <c r="MI67" i="13"/>
  <c r="MM67" i="13" s="1"/>
  <c r="EO67" i="13"/>
  <c r="JW72" i="13"/>
  <c r="MI43" i="13"/>
  <c r="MM43" i="13" s="1"/>
  <c r="IM43" i="13" s="1"/>
  <c r="IN43" i="13" s="1"/>
  <c r="KE45" i="13"/>
  <c r="GN51" i="13"/>
  <c r="EI53" i="13"/>
  <c r="MJ53" i="13" s="1"/>
  <c r="LV53" i="13" s="1"/>
  <c r="EF53" i="13"/>
  <c r="JW54" i="13"/>
  <c r="AC55" i="13"/>
  <c r="MY55" i="13"/>
  <c r="N56" i="13"/>
  <c r="AG56" i="13"/>
  <c r="GN58" i="13"/>
  <c r="MD60" i="13"/>
  <c r="ME60" i="13" s="1"/>
  <c r="EW60" i="13"/>
  <c r="EX60" i="13" s="1"/>
  <c r="EP62" i="13"/>
  <c r="MD62" i="13" s="1"/>
  <c r="ME62" i="13" s="1"/>
  <c r="N62" i="13"/>
  <c r="KE63" i="13"/>
  <c r="AG67" i="13"/>
  <c r="EP67" i="13"/>
  <c r="N67" i="13"/>
  <c r="M39" i="13"/>
  <c r="MI42" i="13"/>
  <c r="MM42" i="13" s="1"/>
  <c r="AH51" i="13"/>
  <c r="EI52" i="13"/>
  <c r="MJ52" i="13" s="1"/>
  <c r="LV52" i="13" s="1"/>
  <c r="EF52" i="13"/>
  <c r="EW56" i="13"/>
  <c r="EX56" i="13" s="1"/>
  <c r="ES56" i="13"/>
  <c r="EC56" i="13"/>
  <c r="JW59" i="13"/>
  <c r="EP60" i="13"/>
  <c r="N60" i="13"/>
  <c r="AG60" i="13"/>
  <c r="ES61" i="13"/>
  <c r="EC61" i="13"/>
  <c r="EW61" i="13"/>
  <c r="EX61" i="13" s="1"/>
  <c r="GT63" i="13"/>
  <c r="AK63" i="13"/>
  <c r="EI65" i="13"/>
  <c r="MJ65" i="13" s="1"/>
  <c r="LV65" i="13" s="1"/>
  <c r="AC79" i="13"/>
  <c r="MI41" i="13"/>
  <c r="MM41" i="13" s="1"/>
  <c r="IM41" i="13" s="1"/>
  <c r="IN41" i="13" s="1"/>
  <c r="EW53" i="13"/>
  <c r="EX53" i="13" s="1"/>
  <c r="ES53" i="13"/>
  <c r="EC53" i="13"/>
  <c r="GN54" i="13"/>
  <c r="EP56" i="13"/>
  <c r="EI57" i="13"/>
  <c r="MJ57" i="13" s="1"/>
  <c r="LV57" i="13" s="1"/>
  <c r="EF57" i="13"/>
  <c r="AB58" i="13"/>
  <c r="LW60" i="13"/>
  <c r="LX60" i="13" s="1"/>
  <c r="AB60" i="13"/>
  <c r="EP61" i="13"/>
  <c r="N61" i="13"/>
  <c r="AG61" i="13"/>
  <c r="JW64" i="13"/>
  <c r="EO52" i="13"/>
  <c r="MD52" i="13" s="1"/>
  <c r="ME52" i="13" s="1"/>
  <c r="MI52" i="13"/>
  <c r="MM52" i="13" s="1"/>
  <c r="EI54" i="13"/>
  <c r="MJ54" i="13" s="1"/>
  <c r="LV54" i="13" s="1"/>
  <c r="EF54" i="13"/>
  <c r="KE54" i="13"/>
  <c r="MD56" i="13"/>
  <c r="ME56" i="13" s="1"/>
  <c r="LW58" i="13"/>
  <c r="LX58" i="13" s="1"/>
  <c r="AB59" i="13"/>
  <c r="KE59" i="13"/>
  <c r="ES60" i="13"/>
  <c r="ES63" i="13"/>
  <c r="EC63" i="13"/>
  <c r="AG65" i="13"/>
  <c r="EP65" i="13"/>
  <c r="N65" i="13"/>
  <c r="GN68" i="13"/>
  <c r="AM86" i="13"/>
  <c r="GT86" i="13"/>
  <c r="EH86" i="13"/>
  <c r="EU86" i="13" s="1"/>
  <c r="M86" i="13"/>
  <c r="MI53" i="13"/>
  <c r="MM53" i="13" s="1"/>
  <c r="EQ68" i="13"/>
  <c r="ML68" i="13" s="1"/>
  <c r="MC68" i="13" s="1"/>
  <c r="EN68" i="13"/>
  <c r="AJ68" i="13"/>
  <c r="AI68" i="13" s="1"/>
  <c r="ES69" i="13"/>
  <c r="EC69" i="13"/>
  <c r="EW69" i="13"/>
  <c r="EX69" i="13" s="1"/>
  <c r="ML71" i="13"/>
  <c r="MC71" i="13" s="1"/>
  <c r="KE74" i="13"/>
  <c r="EW80" i="13"/>
  <c r="EX80" i="13" s="1"/>
  <c r="ES80" i="13"/>
  <c r="EC80" i="13"/>
  <c r="KE81" i="13"/>
  <c r="GN83" i="13"/>
  <c r="N94" i="13"/>
  <c r="AG94" i="13"/>
  <c r="AK94" i="13" s="1"/>
  <c r="EP94" i="13"/>
  <c r="MD94" i="13" s="1"/>
  <c r="ME94" i="13" s="1"/>
  <c r="MD63" i="13"/>
  <c r="ME63" i="13" s="1"/>
  <c r="EP69" i="13"/>
  <c r="N69" i="13"/>
  <c r="GN73" i="13"/>
  <c r="GN78" i="13"/>
  <c r="N80" i="13"/>
  <c r="AG80" i="13"/>
  <c r="EF59" i="13"/>
  <c r="M64" i="13"/>
  <c r="GT70" i="13"/>
  <c r="EN80" i="13"/>
  <c r="AJ80" i="13"/>
  <c r="AI80" i="13" s="1"/>
  <c r="MD61" i="13"/>
  <c r="ME61" i="13" s="1"/>
  <c r="N64" i="13"/>
  <c r="ES70" i="13"/>
  <c r="EC70" i="13"/>
  <c r="JW71" i="13"/>
  <c r="EW72" i="13"/>
  <c r="EX72" i="13" s="1"/>
  <c r="ES72" i="13"/>
  <c r="EC72" i="13"/>
  <c r="GN74" i="13"/>
  <c r="MJ80" i="13"/>
  <c r="LV80" i="13" s="1"/>
  <c r="AC80" i="13"/>
  <c r="LW80" i="13"/>
  <c r="LX80" i="13" s="1"/>
  <c r="AB80" i="13"/>
  <c r="AK80" i="13" s="1"/>
  <c r="EQ80" i="13"/>
  <c r="ML80" i="13" s="1"/>
  <c r="MC80" i="13" s="1"/>
  <c r="JW85" i="13"/>
  <c r="KE67" i="13"/>
  <c r="AC72" i="13"/>
  <c r="LW72" i="13"/>
  <c r="LX72" i="13" s="1"/>
  <c r="AB72" i="13"/>
  <c r="MJ72" i="13"/>
  <c r="LV72" i="13" s="1"/>
  <c r="AG72" i="13"/>
  <c r="EP72" i="13"/>
  <c r="N72" i="13"/>
  <c r="EI76" i="13"/>
  <c r="EF76" i="13"/>
  <c r="JW76" i="13"/>
  <c r="N77" i="13"/>
  <c r="AG77" i="13"/>
  <c r="EP77" i="13"/>
  <c r="GN56" i="13"/>
  <c r="KE66" i="13"/>
  <c r="EQ70" i="13"/>
  <c r="ML70" i="13" s="1"/>
  <c r="MC70" i="13" s="1"/>
  <c r="EN70" i="13"/>
  <c r="AJ70" i="13"/>
  <c r="AI70" i="13" s="1"/>
  <c r="KE71" i="13"/>
  <c r="EI75" i="13"/>
  <c r="MJ75" i="13" s="1"/>
  <c r="LV75" i="13" s="1"/>
  <c r="EF75" i="13"/>
  <c r="GN76" i="13"/>
  <c r="EW81" i="13"/>
  <c r="EX81" i="13" s="1"/>
  <c r="ES81" i="13"/>
  <c r="EC81" i="13"/>
  <c r="JW82" i="13"/>
  <c r="MD83" i="13"/>
  <c r="ME83" i="13" s="1"/>
  <c r="EW83" i="13"/>
  <c r="EX83" i="13" s="1"/>
  <c r="MI63" i="13"/>
  <c r="MM63" i="13" s="1"/>
  <c r="MD67" i="13"/>
  <c r="ME67" i="13" s="1"/>
  <c r="JW68" i="13"/>
  <c r="AC69" i="13"/>
  <c r="JW69" i="13"/>
  <c r="EI73" i="13"/>
  <c r="MJ73" i="13" s="1"/>
  <c r="LV73" i="13" s="1"/>
  <c r="AC77" i="13"/>
  <c r="MO77" i="13"/>
  <c r="NA77" i="13"/>
  <c r="KE79" i="13"/>
  <c r="JW80" i="13"/>
  <c r="EP81" i="13"/>
  <c r="N81" i="13"/>
  <c r="AG81" i="13"/>
  <c r="ET85" i="13"/>
  <c r="EH56" i="13"/>
  <c r="EU56" i="13" s="1"/>
  <c r="MI62" i="13"/>
  <c r="MM62" i="13" s="1"/>
  <c r="EP64" i="13"/>
  <c r="AC70" i="13"/>
  <c r="GN71" i="13"/>
  <c r="AC73" i="13"/>
  <c r="LW73" i="13"/>
  <c r="LX73" i="13" s="1"/>
  <c r="AB73" i="13"/>
  <c r="AK73" i="13" s="1"/>
  <c r="EI74" i="13"/>
  <c r="MJ74" i="13" s="1"/>
  <c r="LV74" i="13" s="1"/>
  <c r="EF74" i="13"/>
  <c r="EO75" i="13"/>
  <c r="EY75" i="13" s="1"/>
  <c r="FA75" i="13" s="1"/>
  <c r="FB75" i="13" s="1"/>
  <c r="MI75" i="13"/>
  <c r="MM75" i="13" s="1"/>
  <c r="MD77" i="13"/>
  <c r="ME77" i="13" s="1"/>
  <c r="N78" i="13"/>
  <c r="AG78" i="13"/>
  <c r="EP78" i="13"/>
  <c r="AC81" i="13"/>
  <c r="IZ82" i="13"/>
  <c r="FS82" i="13"/>
  <c r="EQ83" i="13"/>
  <c r="EN83" i="13"/>
  <c r="AJ83" i="13"/>
  <c r="AI83" i="13" s="1"/>
  <c r="EH55" i="13"/>
  <c r="LW55" i="13" s="1"/>
  <c r="LX55" i="13" s="1"/>
  <c r="MI61" i="13"/>
  <c r="MM61" i="13" s="1"/>
  <c r="IM61" i="13" s="1"/>
  <c r="IN61" i="13" s="1"/>
  <c r="EC66" i="13"/>
  <c r="ES66" i="13"/>
  <c r="KE68" i="13"/>
  <c r="EW73" i="13"/>
  <c r="EX73" i="13" s="1"/>
  <c r="ES73" i="13"/>
  <c r="EC73" i="13"/>
  <c r="AG75" i="13"/>
  <c r="EP75" i="13"/>
  <c r="AG76" i="13"/>
  <c r="EP76" i="13"/>
  <c r="KE76" i="13"/>
  <c r="AH81" i="13"/>
  <c r="KE82" i="13"/>
  <c r="ML83" i="13"/>
  <c r="MC83" i="13" s="1"/>
  <c r="AH53" i="13"/>
  <c r="MI60" i="13"/>
  <c r="MM60" i="13" s="1"/>
  <c r="KE62" i="13"/>
  <c r="EC65" i="13"/>
  <c r="ES65" i="13"/>
  <c r="KE69" i="13"/>
  <c r="AG73" i="13"/>
  <c r="EP73" i="13"/>
  <c r="MD73" i="13" s="1"/>
  <c r="ME73" i="13" s="1"/>
  <c r="N73" i="13"/>
  <c r="MD78" i="13"/>
  <c r="ME78" i="13" s="1"/>
  <c r="EW78" i="13"/>
  <c r="EX78" i="13" s="1"/>
  <c r="ES78" i="13"/>
  <c r="EC78" i="13"/>
  <c r="MO78" i="13"/>
  <c r="NA78" i="13"/>
  <c r="KE80" i="13"/>
  <c r="ES83" i="13"/>
  <c r="M56" i="13"/>
  <c r="MI59" i="13"/>
  <c r="MM59" i="13" s="1"/>
  <c r="EF67" i="13"/>
  <c r="EO74" i="13"/>
  <c r="EY74" i="13" s="1"/>
  <c r="FA74" i="13" s="1"/>
  <c r="FB74" i="13" s="1"/>
  <c r="MI74" i="13"/>
  <c r="MM74" i="13" s="1"/>
  <c r="AC76" i="13"/>
  <c r="LW76" i="13"/>
  <c r="LX76" i="13" s="1"/>
  <c r="AB76" i="13"/>
  <c r="MJ76" i="13"/>
  <c r="LV76" i="13" s="1"/>
  <c r="MY79" i="13"/>
  <c r="MO79" i="13"/>
  <c r="GN80" i="13"/>
  <c r="MI58" i="13"/>
  <c r="MM58" i="13" s="1"/>
  <c r="GT71" i="13"/>
  <c r="KE72" i="13"/>
  <c r="AG74" i="13"/>
  <c r="EP74" i="13"/>
  <c r="N74" i="13"/>
  <c r="JW75" i="13"/>
  <c r="JW77" i="13"/>
  <c r="AC78" i="13"/>
  <c r="MY78" i="13"/>
  <c r="N79" i="13"/>
  <c r="AG79" i="13"/>
  <c r="ET89" i="13"/>
  <c r="IS89" i="13"/>
  <c r="IU89" i="13" s="1"/>
  <c r="IV89" i="13" s="1"/>
  <c r="GN91" i="13"/>
  <c r="MI57" i="13"/>
  <c r="MM57" i="13" s="1"/>
  <c r="AM68" i="13"/>
  <c r="GT68" i="13"/>
  <c r="EH68" i="13"/>
  <c r="EU68" i="13" s="1"/>
  <c r="EF71" i="13"/>
  <c r="EI71" i="13"/>
  <c r="MJ71" i="13" s="1"/>
  <c r="LV71" i="13" s="1"/>
  <c r="N76" i="13"/>
  <c r="EW79" i="13"/>
  <c r="EX79" i="13" s="1"/>
  <c r="ES79" i="13"/>
  <c r="EC79" i="13"/>
  <c r="AC68" i="13"/>
  <c r="LW68" i="13"/>
  <c r="LX68" i="13" s="1"/>
  <c r="AB68" i="13"/>
  <c r="AG69" i="13"/>
  <c r="AM69" i="13"/>
  <c r="M69" i="13"/>
  <c r="EH69" i="13"/>
  <c r="EY69" i="13" s="1"/>
  <c r="FA69" i="13" s="1"/>
  <c r="FB69" i="13" s="1"/>
  <c r="JW70" i="13"/>
  <c r="ES71" i="13"/>
  <c r="EC71" i="13"/>
  <c r="MD71" i="13"/>
  <c r="ME71" i="13" s="1"/>
  <c r="GN72" i="13"/>
  <c r="AC75" i="13"/>
  <c r="LW75" i="13"/>
  <c r="LX75" i="13" s="1"/>
  <c r="AB75" i="13"/>
  <c r="EP79" i="13"/>
  <c r="MD79" i="13" s="1"/>
  <c r="ME79" i="13" s="1"/>
  <c r="JW81" i="13"/>
  <c r="JW83" i="13"/>
  <c r="AC84" i="13"/>
  <c r="AB84" i="13"/>
  <c r="LW84" i="13"/>
  <c r="LX84" i="13" s="1"/>
  <c r="EH70" i="13"/>
  <c r="MY76" i="13"/>
  <c r="IZ85" i="13"/>
  <c r="KE89" i="13"/>
  <c r="AC90" i="13"/>
  <c r="LW90" i="13"/>
  <c r="LX90" i="13" s="1"/>
  <c r="AB90" i="13"/>
  <c r="MO90" i="13"/>
  <c r="NA90" i="13"/>
  <c r="MY90" i="13"/>
  <c r="AJ96" i="13"/>
  <c r="AI96" i="13" s="1"/>
  <c r="EQ96" i="13"/>
  <c r="ML96" i="13" s="1"/>
  <c r="MC96" i="13" s="1"/>
  <c r="NA96" i="13"/>
  <c r="MY96" i="13"/>
  <c r="MO96" i="13"/>
  <c r="MD70" i="13"/>
  <c r="ME70" i="13" s="1"/>
  <c r="LW86" i="13"/>
  <c r="LX86" i="13" s="1"/>
  <c r="GN86" i="13"/>
  <c r="JW88" i="13"/>
  <c r="MD69" i="13"/>
  <c r="ME69" i="13" s="1"/>
  <c r="NA76" i="13"/>
  <c r="AG82" i="13"/>
  <c r="EF82" i="13"/>
  <c r="GN82" i="13"/>
  <c r="EW86" i="13"/>
  <c r="EX86" i="13" s="1"/>
  <c r="AJ92" i="13"/>
  <c r="AI92" i="13" s="1"/>
  <c r="EN92" i="13"/>
  <c r="EQ92" i="13"/>
  <c r="ML92" i="13" s="1"/>
  <c r="MC92" i="13" s="1"/>
  <c r="MD68" i="13"/>
  <c r="ME68" i="13" s="1"/>
  <c r="MI73" i="13"/>
  <c r="MM73" i="13" s="1"/>
  <c r="IM73" i="13" s="1"/>
  <c r="IN73" i="13" s="1"/>
  <c r="IS77" i="13"/>
  <c r="IU77" i="13" s="1"/>
  <c r="IV77" i="13" s="1"/>
  <c r="EH83" i="13"/>
  <c r="LW83" i="13" s="1"/>
  <c r="LX83" i="13" s="1"/>
  <c r="AJ84" i="13"/>
  <c r="AI84" i="13" s="1"/>
  <c r="EP86" i="13"/>
  <c r="MD86" i="13" s="1"/>
  <c r="ME86" i="13" s="1"/>
  <c r="N86" i="13"/>
  <c r="AG86" i="13"/>
  <c r="AC89" i="13"/>
  <c r="LW89" i="13"/>
  <c r="LX89" i="13" s="1"/>
  <c r="AB89" i="13"/>
  <c r="AK89" i="13" s="1"/>
  <c r="MJ89" i="13"/>
  <c r="LV89" i="13" s="1"/>
  <c r="AJ89" i="13"/>
  <c r="AI89" i="13" s="1"/>
  <c r="EI91" i="13"/>
  <c r="MJ91" i="13" s="1"/>
  <c r="LV91" i="13" s="1"/>
  <c r="MD92" i="13"/>
  <c r="ME92" i="13" s="1"/>
  <c r="AH92" i="13"/>
  <c r="KE95" i="13"/>
  <c r="MI72" i="13"/>
  <c r="MM72" i="13" s="1"/>
  <c r="GN88" i="13"/>
  <c r="MI91" i="13"/>
  <c r="MM91" i="13" s="1"/>
  <c r="EO91" i="13"/>
  <c r="MI71" i="13"/>
  <c r="MM71" i="13" s="1"/>
  <c r="KE73" i="13"/>
  <c r="GN79" i="13"/>
  <c r="AH80" i="13"/>
  <c r="IS86" i="13"/>
  <c r="IU86" i="13" s="1"/>
  <c r="IV86" i="13" s="1"/>
  <c r="ET86" i="13"/>
  <c r="KE88" i="13"/>
  <c r="JW90" i="13"/>
  <c r="AG91" i="13"/>
  <c r="EP91" i="13"/>
  <c r="N91" i="13"/>
  <c r="MI70" i="13"/>
  <c r="MM70" i="13" s="1"/>
  <c r="GT83" i="13"/>
  <c r="GN84" i="13"/>
  <c r="KE86" i="13"/>
  <c r="LW91" i="13"/>
  <c r="LX91" i="13" s="1"/>
  <c r="AC91" i="13"/>
  <c r="AB91" i="13"/>
  <c r="AG93" i="13"/>
  <c r="EP93" i="13"/>
  <c r="MD93" i="13" s="1"/>
  <c r="ME93" i="13" s="1"/>
  <c r="N93" i="13"/>
  <c r="MI69" i="13"/>
  <c r="MM69" i="13" s="1"/>
  <c r="FS77" i="13"/>
  <c r="GN77" i="13"/>
  <c r="EH79" i="13"/>
  <c r="M82" i="13"/>
  <c r="GT82" i="13"/>
  <c r="N83" i="13"/>
  <c r="AC86" i="13"/>
  <c r="JW87" i="13"/>
  <c r="M88" i="13"/>
  <c r="EH88" i="13"/>
  <c r="LW88" i="13" s="1"/>
  <c r="LX88" i="13" s="1"/>
  <c r="KE90" i="13"/>
  <c r="JW91" i="13"/>
  <c r="EW93" i="13"/>
  <c r="EX93" i="13" s="1"/>
  <c r="EC93" i="13"/>
  <c r="ES93" i="13"/>
  <c r="MI68" i="13"/>
  <c r="MM68" i="13" s="1"/>
  <c r="EH78" i="13"/>
  <c r="N82" i="13"/>
  <c r="LW85" i="13"/>
  <c r="LX85" i="13" s="1"/>
  <c r="GT88" i="13"/>
  <c r="GN90" i="13"/>
  <c r="AH93" i="13"/>
  <c r="AH76" i="13"/>
  <c r="EH77" i="13"/>
  <c r="MI83" i="13"/>
  <c r="MM83" i="13" s="1"/>
  <c r="AB85" i="13"/>
  <c r="EI85" i="13"/>
  <c r="MJ85" i="13" s="1"/>
  <c r="LV85" i="13" s="1"/>
  <c r="KE87" i="13"/>
  <c r="ES88" i="13"/>
  <c r="EC88" i="13"/>
  <c r="MO89" i="13"/>
  <c r="NA89" i="13"/>
  <c r="MY89" i="13"/>
  <c r="GT90" i="13"/>
  <c r="AK90" i="13"/>
  <c r="KE91" i="13"/>
  <c r="KE104" i="13"/>
  <c r="AH75" i="13"/>
  <c r="M79" i="13"/>
  <c r="MI82" i="13"/>
  <c r="MM82" i="13" s="1"/>
  <c r="EF87" i="13"/>
  <c r="EP88" i="13"/>
  <c r="MD88" i="13" s="1"/>
  <c r="ME88" i="13" s="1"/>
  <c r="AG88" i="13"/>
  <c r="AH74" i="13"/>
  <c r="M78" i="13"/>
  <c r="MI81" i="13"/>
  <c r="MM81" i="13" s="1"/>
  <c r="KE85" i="13"/>
  <c r="AC87" i="13"/>
  <c r="LW87" i="13"/>
  <c r="LX87" i="13" s="1"/>
  <c r="AB87" i="13"/>
  <c r="MJ87" i="13"/>
  <c r="LV87" i="13" s="1"/>
  <c r="AK92" i="13"/>
  <c r="MO92" i="13"/>
  <c r="NA92" i="13"/>
  <c r="MO94" i="13"/>
  <c r="NA94" i="13"/>
  <c r="MY94" i="13"/>
  <c r="JW96" i="13"/>
  <c r="AK76" i="13"/>
  <c r="M77" i="13"/>
  <c r="MI80" i="13"/>
  <c r="MM80" i="13" s="1"/>
  <c r="IM80" i="13" s="1"/>
  <c r="IN80" i="13" s="1"/>
  <c r="KE84" i="13"/>
  <c r="EP85" i="13"/>
  <c r="N85" i="13"/>
  <c r="AG85" i="13"/>
  <c r="IZ86" i="13"/>
  <c r="FS86" i="13"/>
  <c r="EO87" i="13"/>
  <c r="MI87" i="13"/>
  <c r="MM87" i="13" s="1"/>
  <c r="JW89" i="13"/>
  <c r="EI84" i="13"/>
  <c r="MJ84" i="13" s="1"/>
  <c r="LV84" i="13" s="1"/>
  <c r="AH85" i="13"/>
  <c r="GN85" i="13"/>
  <c r="EP87" i="13"/>
  <c r="N87" i="13"/>
  <c r="AC88" i="13"/>
  <c r="EW88" i="13"/>
  <c r="EX88" i="13" s="1"/>
  <c r="MY92" i="13"/>
  <c r="KE96" i="13"/>
  <c r="AH94" i="13"/>
  <c r="GN94" i="13"/>
  <c r="EW96" i="13"/>
  <c r="EX96" i="13" s="1"/>
  <c r="ES96" i="13"/>
  <c r="EC96" i="13"/>
  <c r="KE97" i="13"/>
  <c r="KE105" i="13"/>
  <c r="EQ107" i="13"/>
  <c r="EN107" i="13"/>
  <c r="AG107" i="13"/>
  <c r="AH87" i="13"/>
  <c r="MD96" i="13"/>
  <c r="ME96" i="13" s="1"/>
  <c r="M90" i="13"/>
  <c r="GN97" i="13"/>
  <c r="GT89" i="13"/>
  <c r="N90" i="13"/>
  <c r="GN92" i="13"/>
  <c r="GN93" i="13"/>
  <c r="IZ94" i="13"/>
  <c r="FS94" i="13"/>
  <c r="EW107" i="13"/>
  <c r="EX107" i="13" s="1"/>
  <c r="N89" i="13"/>
  <c r="MO93" i="13"/>
  <c r="NA93" i="13"/>
  <c r="MY93" i="13"/>
  <c r="JW93" i="13"/>
  <c r="KA88" i="13"/>
  <c r="GN95" i="13"/>
  <c r="AC96" i="13"/>
  <c r="KE102" i="13"/>
  <c r="MI88" i="13"/>
  <c r="MM88" i="13" s="1"/>
  <c r="EP90" i="13"/>
  <c r="EI92" i="13"/>
  <c r="MJ92" i="13" s="1"/>
  <c r="LV92" i="13" s="1"/>
  <c r="EF92" i="13"/>
  <c r="MJ94" i="13"/>
  <c r="LV94" i="13" s="1"/>
  <c r="N95" i="13"/>
  <c r="AG95" i="13"/>
  <c r="EP95" i="13"/>
  <c r="GN104" i="13"/>
  <c r="JW94" i="13"/>
  <c r="N97" i="13"/>
  <c r="AG97" i="13"/>
  <c r="EP97" i="13"/>
  <c r="ET99" i="13"/>
  <c r="IS99" i="13"/>
  <c r="IU99" i="13" s="1"/>
  <c r="IV99" i="13" s="1"/>
  <c r="MI86" i="13"/>
  <c r="MM86" i="13" s="1"/>
  <c r="AC92" i="13"/>
  <c r="EI93" i="13"/>
  <c r="MJ93" i="13" s="1"/>
  <c r="LV93" i="13" s="1"/>
  <c r="EF93" i="13"/>
  <c r="EW97" i="13"/>
  <c r="EX97" i="13" s="1"/>
  <c r="ES97" i="13"/>
  <c r="EC97" i="13"/>
  <c r="KE106" i="13"/>
  <c r="MI85" i="13"/>
  <c r="MM85" i="13" s="1"/>
  <c r="EC90" i="13"/>
  <c r="EW92" i="13"/>
  <c r="EX92" i="13" s="1"/>
  <c r="ES92" i="13"/>
  <c r="EC92" i="13"/>
  <c r="AK93" i="13"/>
  <c r="KE93" i="13"/>
  <c r="MD95" i="13"/>
  <c r="ME95" i="13" s="1"/>
  <c r="JW95" i="13"/>
  <c r="AC97" i="13"/>
  <c r="EC89" i="13"/>
  <c r="ES95" i="13"/>
  <c r="MO95" i="13"/>
  <c r="NA95" i="13"/>
  <c r="GN98" i="13"/>
  <c r="AH109" i="13"/>
  <c r="LW93" i="13"/>
  <c r="LX93" i="13" s="1"/>
  <c r="KE94" i="13"/>
  <c r="N96" i="13"/>
  <c r="AG96" i="13"/>
  <c r="GN96" i="13"/>
  <c r="MD99" i="13"/>
  <c r="ME99" i="13" s="1"/>
  <c r="AH99" i="13"/>
  <c r="N102" i="13"/>
  <c r="GN102" i="13"/>
  <c r="AC104" i="13"/>
  <c r="AB104" i="13"/>
  <c r="IZ110" i="13"/>
  <c r="FS110" i="13"/>
  <c r="AH113" i="13"/>
  <c r="MD97" i="13"/>
  <c r="ME97" i="13" s="1"/>
  <c r="AM101" i="13"/>
  <c r="M101" i="13"/>
  <c r="EH101" i="13"/>
  <c r="LW101" i="13" s="1"/>
  <c r="LX101" i="13" s="1"/>
  <c r="ES102" i="13"/>
  <c r="EC102" i="13"/>
  <c r="EF98" i="13"/>
  <c r="NA99" i="13"/>
  <c r="MY99" i="13"/>
  <c r="MO99" i="13"/>
  <c r="EP102" i="13"/>
  <c r="MD102" i="13" s="1"/>
  <c r="ME102" i="13" s="1"/>
  <c r="EC109" i="13"/>
  <c r="ES109" i="13"/>
  <c r="NA97" i="13"/>
  <c r="GT98" i="13"/>
  <c r="AM100" i="13"/>
  <c r="M100" i="13"/>
  <c r="EH100" i="13"/>
  <c r="LW98" i="13"/>
  <c r="LX98" i="13" s="1"/>
  <c r="AC105" i="13"/>
  <c r="MJ98" i="13"/>
  <c r="LV98" i="13" s="1"/>
  <c r="AC98" i="13"/>
  <c r="ES98" i="13"/>
  <c r="EC98" i="13"/>
  <c r="GJ99" i="13"/>
  <c r="GT100" i="13"/>
  <c r="GN101" i="13"/>
  <c r="ES104" i="13"/>
  <c r="EC104" i="13"/>
  <c r="EO105" i="13"/>
  <c r="GN111" i="13"/>
  <c r="GT97" i="13"/>
  <c r="AM99" i="13"/>
  <c r="M99" i="13"/>
  <c r="JS99" i="13"/>
  <c r="ES100" i="13"/>
  <c r="EC100" i="13"/>
  <c r="AC103" i="13"/>
  <c r="N105" i="13"/>
  <c r="EP105" i="13"/>
  <c r="AH96" i="13"/>
  <c r="EH97" i="13"/>
  <c r="LW97" i="13" s="1"/>
  <c r="LX97" i="13" s="1"/>
  <c r="EN98" i="13"/>
  <c r="JW99" i="13"/>
  <c r="EW101" i="13"/>
  <c r="EX101" i="13" s="1"/>
  <c r="ES101" i="13"/>
  <c r="EC101" i="13"/>
  <c r="EH96" i="13"/>
  <c r="LW96" i="13" s="1"/>
  <c r="LX96" i="13" s="1"/>
  <c r="GT99" i="13"/>
  <c r="EN100" i="13"/>
  <c r="JW100" i="13"/>
  <c r="LW100" i="13"/>
  <c r="LX100" i="13" s="1"/>
  <c r="EN101" i="13"/>
  <c r="AG101" i="13"/>
  <c r="JW101" i="13"/>
  <c r="GN103" i="13"/>
  <c r="EH95" i="13"/>
  <c r="AB95" i="13" s="1"/>
  <c r="EQ98" i="13"/>
  <c r="ML98" i="13" s="1"/>
  <c r="MC98" i="13" s="1"/>
  <c r="EH99" i="13"/>
  <c r="EQ100" i="13"/>
  <c r="ML100" i="13" s="1"/>
  <c r="MC100" i="13" s="1"/>
  <c r="EQ101" i="13"/>
  <c r="ML101" i="13" s="1"/>
  <c r="MC101" i="13" s="1"/>
  <c r="JW103" i="13"/>
  <c r="M97" i="13"/>
  <c r="MD98" i="13"/>
  <c r="ME98" i="13" s="1"/>
  <c r="AB100" i="13"/>
  <c r="MD100" i="13"/>
  <c r="ME100" i="13" s="1"/>
  <c r="MD101" i="13"/>
  <c r="ME101" i="13" s="1"/>
  <c r="N103" i="13"/>
  <c r="EP103" i="13"/>
  <c r="AG103" i="13" s="1"/>
  <c r="EP106" i="13"/>
  <c r="AG106" i="13" s="1"/>
  <c r="N106" i="13"/>
  <c r="GN109" i="13"/>
  <c r="M96" i="13"/>
  <c r="GT96" i="13"/>
  <c r="MO97" i="13"/>
  <c r="AC100" i="13"/>
  <c r="GN100" i="13"/>
  <c r="M95" i="13"/>
  <c r="JW98" i="13"/>
  <c r="AC99" i="13"/>
  <c r="FS99" i="13"/>
  <c r="KE99" i="13"/>
  <c r="ES103" i="13"/>
  <c r="EC103" i="13"/>
  <c r="JW110" i="13"/>
  <c r="AB98" i="13"/>
  <c r="AK98" i="13" s="1"/>
  <c r="EP99" i="13"/>
  <c r="N99" i="13"/>
  <c r="AG100" i="13"/>
  <c r="EW100" i="13"/>
  <c r="EX100" i="13" s="1"/>
  <c r="MD103" i="13"/>
  <c r="ME103" i="13" s="1"/>
  <c r="KE103" i="13"/>
  <c r="GN108" i="13"/>
  <c r="JW106" i="13"/>
  <c r="EP109" i="13"/>
  <c r="EW109" i="13" s="1"/>
  <c r="EX109" i="13" s="1"/>
  <c r="N109" i="13"/>
  <c r="KE110" i="13"/>
  <c r="ES106" i="13"/>
  <c r="EC106" i="13"/>
  <c r="AC108" i="13"/>
  <c r="GN110" i="13"/>
  <c r="EQ111" i="13"/>
  <c r="ML111" i="13" s="1"/>
  <c r="MC111" i="13" s="1"/>
  <c r="EN111" i="13"/>
  <c r="AJ111" i="13"/>
  <c r="AI111" i="13" s="1"/>
  <c r="ES113" i="13"/>
  <c r="EC113" i="13"/>
  <c r="JW114" i="13"/>
  <c r="LW106" i="13"/>
  <c r="LX106" i="13" s="1"/>
  <c r="AC106" i="13"/>
  <c r="AB106" i="13"/>
  <c r="MD108" i="13"/>
  <c r="ME108" i="13" s="1"/>
  <c r="AH108" i="13"/>
  <c r="AM108" i="13"/>
  <c r="M108" i="13"/>
  <c r="EH108" i="13"/>
  <c r="IS111" i="13"/>
  <c r="IU111" i="13" s="1"/>
  <c r="IV111" i="13" s="1"/>
  <c r="GT104" i="13"/>
  <c r="MD106" i="13"/>
  <c r="ME106" i="13" s="1"/>
  <c r="MD111" i="13"/>
  <c r="ME111" i="13" s="1"/>
  <c r="AH111" i="13"/>
  <c r="EP113" i="13"/>
  <c r="MD113" i="13" s="1"/>
  <c r="ME113" i="13" s="1"/>
  <c r="JW107" i="13"/>
  <c r="GT108" i="13"/>
  <c r="JW108" i="13"/>
  <c r="EP112" i="13"/>
  <c r="AG112" i="13" s="1"/>
  <c r="N112" i="13"/>
  <c r="ES108" i="13"/>
  <c r="EC108" i="13"/>
  <c r="EW108" i="13"/>
  <c r="EX108" i="13" s="1"/>
  <c r="EW110" i="13"/>
  <c r="EX110" i="13" s="1"/>
  <c r="EQ119" i="13"/>
  <c r="ML119" i="13" s="1"/>
  <c r="MC119" i="13" s="1"/>
  <c r="EN119" i="13"/>
  <c r="AH102" i="13"/>
  <c r="EH104" i="13"/>
  <c r="GA104" i="13"/>
  <c r="GB104" i="13" s="1"/>
  <c r="AA5" i="141" s="1"/>
  <c r="AC107" i="13"/>
  <c r="EH102" i="13"/>
  <c r="AB102" i="13" s="1"/>
  <c r="AH103" i="13"/>
  <c r="ML107" i="13"/>
  <c r="MC107" i="13" s="1"/>
  <c r="MD107" i="13"/>
  <c r="ME107" i="13" s="1"/>
  <c r="EQ108" i="13"/>
  <c r="ML108" i="13" s="1"/>
  <c r="MC108" i="13" s="1"/>
  <c r="EN108" i="13"/>
  <c r="EQ110" i="13"/>
  <c r="ML110" i="13" s="1"/>
  <c r="MC110" i="13" s="1"/>
  <c r="EN110" i="13"/>
  <c r="AJ110" i="13"/>
  <c r="AI110" i="13" s="1"/>
  <c r="EH103" i="13"/>
  <c r="MJ106" i="13"/>
  <c r="LV106" i="13" s="1"/>
  <c r="KE107" i="13"/>
  <c r="JW111" i="13"/>
  <c r="MD112" i="13"/>
  <c r="ME112" i="13" s="1"/>
  <c r="AH112" i="13"/>
  <c r="M102" i="13"/>
  <c r="AM107" i="13"/>
  <c r="M107" i="13"/>
  <c r="EH107" i="13"/>
  <c r="ES110" i="13"/>
  <c r="EW111" i="13"/>
  <c r="EX111" i="13" s="1"/>
  <c r="AH118" i="13"/>
  <c r="GT102" i="13"/>
  <c r="M103" i="13"/>
  <c r="EF106" i="13"/>
  <c r="AG108" i="13"/>
  <c r="IZ111" i="13"/>
  <c r="FS111" i="13"/>
  <c r="GT115" i="13"/>
  <c r="MI98" i="13"/>
  <c r="MM98" i="13" s="1"/>
  <c r="GT103" i="13"/>
  <c r="JW105" i="13"/>
  <c r="GT106" i="13"/>
  <c r="GT107" i="13"/>
  <c r="LW114" i="13"/>
  <c r="LX114" i="13" s="1"/>
  <c r="AC114" i="13"/>
  <c r="AB114" i="13"/>
  <c r="AH106" i="13"/>
  <c r="ES107" i="13"/>
  <c r="EC107" i="13"/>
  <c r="AM109" i="13"/>
  <c r="M109" i="13"/>
  <c r="EH109" i="13"/>
  <c r="JW109" i="13"/>
  <c r="AC110" i="13"/>
  <c r="AM117" i="13"/>
  <c r="M117" i="13"/>
  <c r="EH117" i="13"/>
  <c r="AG110" i="13"/>
  <c r="KE112" i="13"/>
  <c r="ES115" i="13"/>
  <c r="EC115" i="13"/>
  <c r="JW115" i="13"/>
  <c r="GT117" i="13"/>
  <c r="ES122" i="13"/>
  <c r="EC122" i="13"/>
  <c r="AH110" i="13"/>
  <c r="AG111" i="13"/>
  <c r="ES117" i="13"/>
  <c r="EC117" i="13"/>
  <c r="JW118" i="13"/>
  <c r="EP125" i="13"/>
  <c r="AG125" i="13" s="1"/>
  <c r="N125" i="13"/>
  <c r="N107" i="13"/>
  <c r="EH110" i="13"/>
  <c r="LW110" i="13" s="1"/>
  <c r="LX110" i="13" s="1"/>
  <c r="AH114" i="13"/>
  <c r="KE115" i="13"/>
  <c r="EP117" i="13"/>
  <c r="EW117" i="13" s="1"/>
  <c r="EX117" i="13" s="1"/>
  <c r="N117" i="13"/>
  <c r="AG117" i="13"/>
  <c r="KE119" i="13"/>
  <c r="KA120" i="13"/>
  <c r="EC121" i="13"/>
  <c r="ES121" i="13"/>
  <c r="N108" i="13"/>
  <c r="MD110" i="13"/>
  <c r="ME110" i="13" s="1"/>
  <c r="EH111" i="13"/>
  <c r="EY111" i="13" s="1"/>
  <c r="FA111" i="13" s="1"/>
  <c r="FB111" i="13" s="1"/>
  <c r="AH115" i="13"/>
  <c r="JW116" i="13"/>
  <c r="KE118" i="13"/>
  <c r="MD119" i="13"/>
  <c r="ME119" i="13" s="1"/>
  <c r="AH119" i="13"/>
  <c r="M110" i="13"/>
  <c r="EI112" i="13"/>
  <c r="MJ112" i="13" s="1"/>
  <c r="LV112" i="13" s="1"/>
  <c r="EF112" i="13"/>
  <c r="EW115" i="13"/>
  <c r="EX115" i="13" s="1"/>
  <c r="GN118" i="13"/>
  <c r="EP121" i="13"/>
  <c r="EW121" i="13" s="1"/>
  <c r="EX121" i="13" s="1"/>
  <c r="N121" i="13"/>
  <c r="GT110" i="13"/>
  <c r="EF114" i="13"/>
  <c r="EI114" i="13"/>
  <c r="MJ114" i="13" s="1"/>
  <c r="LV114" i="13" s="1"/>
  <c r="GN114" i="13"/>
  <c r="LW116" i="13"/>
  <c r="LX116" i="13" s="1"/>
  <c r="AC116" i="13"/>
  <c r="AB116" i="13"/>
  <c r="MJ116" i="13"/>
  <c r="LV116" i="13" s="1"/>
  <c r="GJ116" i="13"/>
  <c r="N111" i="13"/>
  <c r="LW112" i="13"/>
  <c r="LX112" i="13" s="1"/>
  <c r="AC112" i="13"/>
  <c r="JW113" i="13"/>
  <c r="MD116" i="13"/>
  <c r="ME116" i="13" s="1"/>
  <c r="AH116" i="13"/>
  <c r="ES112" i="13"/>
  <c r="EC112" i="13"/>
  <c r="LW117" i="13"/>
  <c r="LX117" i="13" s="1"/>
  <c r="AC117" i="13"/>
  <c r="AB117" i="13"/>
  <c r="EP114" i="13"/>
  <c r="MD114" i="13" s="1"/>
  <c r="ME114" i="13" s="1"/>
  <c r="N114" i="13"/>
  <c r="KE114" i="13"/>
  <c r="MD117" i="13"/>
  <c r="ME117" i="13" s="1"/>
  <c r="KE109" i="13"/>
  <c r="EW114" i="13"/>
  <c r="EX114" i="13" s="1"/>
  <c r="ES114" i="13"/>
  <c r="EC114" i="13"/>
  <c r="AB109" i="13"/>
  <c r="ES116" i="13"/>
  <c r="EC116" i="13"/>
  <c r="JW117" i="13"/>
  <c r="EW119" i="13"/>
  <c r="EX119" i="13" s="1"/>
  <c r="AM119" i="13"/>
  <c r="M119" i="13"/>
  <c r="EH119" i="13"/>
  <c r="EY119" i="13" s="1"/>
  <c r="FA119" i="13" s="1"/>
  <c r="FB119" i="13" s="1"/>
  <c r="AC109" i="13"/>
  <c r="LW115" i="13"/>
  <c r="LX115" i="13" s="1"/>
  <c r="AC115" i="13"/>
  <c r="AB115" i="13"/>
  <c r="ES118" i="13"/>
  <c r="EC118" i="13"/>
  <c r="GT119" i="13"/>
  <c r="GN112" i="13"/>
  <c r="LW113" i="13"/>
  <c r="LX113" i="13" s="1"/>
  <c r="AC113" i="13"/>
  <c r="AB113" i="13"/>
  <c r="EP116" i="13"/>
  <c r="N116" i="13"/>
  <c r="GN117" i="13"/>
  <c r="EP118" i="13"/>
  <c r="EW118" i="13" s="1"/>
  <c r="EX118" i="13" s="1"/>
  <c r="N118" i="13"/>
  <c r="EO128" i="13"/>
  <c r="M113" i="13"/>
  <c r="EP122" i="13"/>
  <c r="EW122" i="13" s="1"/>
  <c r="EX122" i="13" s="1"/>
  <c r="N122" i="13"/>
  <c r="JW122" i="13"/>
  <c r="ET125" i="13"/>
  <c r="IS125" i="13"/>
  <c r="IU125" i="13" s="1"/>
  <c r="IV125" i="13" s="1"/>
  <c r="JW125" i="13"/>
  <c r="ES126" i="13"/>
  <c r="EC126" i="13"/>
  <c r="EW126" i="13"/>
  <c r="EX126" i="13" s="1"/>
  <c r="JW126" i="13"/>
  <c r="AG119" i="13"/>
  <c r="MD121" i="13"/>
  <c r="ME121" i="13" s="1"/>
  <c r="AH122" i="13"/>
  <c r="EF123" i="13"/>
  <c r="EI123" i="13"/>
  <c r="JW123" i="13"/>
  <c r="EQ126" i="13"/>
  <c r="EN126" i="13"/>
  <c r="AJ126" i="13"/>
  <c r="AI126" i="13" s="1"/>
  <c r="GT127" i="13"/>
  <c r="AH133" i="13"/>
  <c r="N115" i="13"/>
  <c r="KE121" i="13"/>
  <c r="KE122" i="13"/>
  <c r="EW123" i="13"/>
  <c r="EX123" i="13" s="1"/>
  <c r="ES123" i="13"/>
  <c r="EC123" i="13"/>
  <c r="EP123" i="13"/>
  <c r="MD123" i="13" s="1"/>
  <c r="ME123" i="13" s="1"/>
  <c r="N123" i="13"/>
  <c r="KE123" i="13"/>
  <c r="GT124" i="13"/>
  <c r="KE126" i="13"/>
  <c r="JW120" i="13"/>
  <c r="MD125" i="13"/>
  <c r="ME125" i="13" s="1"/>
  <c r="AH125" i="13"/>
  <c r="EP127" i="13"/>
  <c r="N127" i="13"/>
  <c r="AG127" i="13"/>
  <c r="ES124" i="13"/>
  <c r="EC124" i="13"/>
  <c r="KE131" i="13"/>
  <c r="N119" i="13"/>
  <c r="MD122" i="13"/>
  <c r="ME122" i="13" s="1"/>
  <c r="AG124" i="13"/>
  <c r="EP124" i="13"/>
  <c r="N124" i="13"/>
  <c r="KE127" i="13"/>
  <c r="EP115" i="13"/>
  <c r="MD115" i="13" s="1"/>
  <c r="ME115" i="13" s="1"/>
  <c r="ES119" i="13"/>
  <c r="EC119" i="13"/>
  <c r="KE120" i="13"/>
  <c r="EW124" i="13"/>
  <c r="EX124" i="13" s="1"/>
  <c r="JW124" i="13"/>
  <c r="GN123" i="13"/>
  <c r="MF131" i="13"/>
  <c r="MH131" i="13" s="1"/>
  <c r="MI131" i="13" s="1"/>
  <c r="MM131" i="13" s="1"/>
  <c r="GJ114" i="13"/>
  <c r="KE117" i="13"/>
  <c r="AC120" i="13"/>
  <c r="GN126" i="13"/>
  <c r="JW119" i="13"/>
  <c r="EF122" i="13"/>
  <c r="LW122" i="13"/>
  <c r="LX122" i="13" s="1"/>
  <c r="LW123" i="13"/>
  <c r="LX123" i="13" s="1"/>
  <c r="AC123" i="13"/>
  <c r="AB123" i="13"/>
  <c r="MJ123" i="13"/>
  <c r="LV123" i="13" s="1"/>
  <c r="EF125" i="13"/>
  <c r="MD132" i="13"/>
  <c r="ME132" i="13" s="1"/>
  <c r="AG132" i="13"/>
  <c r="AH132" i="13"/>
  <c r="AB118" i="13"/>
  <c r="GN120" i="13"/>
  <c r="EI121" i="13"/>
  <c r="EF121" i="13"/>
  <c r="AH123" i="13"/>
  <c r="AC126" i="13"/>
  <c r="AC118" i="13"/>
  <c r="AB119" i="13"/>
  <c r="ES120" i="13"/>
  <c r="EC120" i="13"/>
  <c r="GT120" i="13"/>
  <c r="LW124" i="13"/>
  <c r="LX124" i="13" s="1"/>
  <c r="AC124" i="13"/>
  <c r="AB124" i="13"/>
  <c r="ML126" i="13"/>
  <c r="MC126" i="13" s="1"/>
  <c r="MD126" i="13"/>
  <c r="ME126" i="13" s="1"/>
  <c r="AH126" i="13"/>
  <c r="AG126" i="13"/>
  <c r="AH127" i="13"/>
  <c r="EP120" i="13"/>
  <c r="MD120" i="13" s="1"/>
  <c r="ME120" i="13" s="1"/>
  <c r="LW121" i="13"/>
  <c r="LX121" i="13" s="1"/>
  <c r="AC121" i="13"/>
  <c r="AB121" i="13"/>
  <c r="MJ121" i="13"/>
  <c r="LV121" i="13" s="1"/>
  <c r="MD124" i="13"/>
  <c r="ME124" i="13" s="1"/>
  <c r="AM126" i="13"/>
  <c r="M126" i="13"/>
  <c r="EH126" i="13"/>
  <c r="AB126" i="13" s="1"/>
  <c r="EW125" i="13"/>
  <c r="EX125" i="13" s="1"/>
  <c r="EI131" i="13"/>
  <c r="MJ131" i="13" s="1"/>
  <c r="LV131" i="13" s="1"/>
  <c r="AC134" i="13"/>
  <c r="EI124" i="13"/>
  <c r="MJ124" i="13" s="1"/>
  <c r="LV124" i="13" s="1"/>
  <c r="EI127" i="13"/>
  <c r="EQ128" i="13"/>
  <c r="EN128" i="13"/>
  <c r="IZ129" i="13"/>
  <c r="FS129" i="13"/>
  <c r="JW130" i="13"/>
  <c r="EW131" i="13"/>
  <c r="EX131" i="13" s="1"/>
  <c r="ES131" i="13"/>
  <c r="EC131" i="13"/>
  <c r="JW132" i="13"/>
  <c r="LW127" i="13"/>
  <c r="LX127" i="13" s="1"/>
  <c r="GN127" i="13"/>
  <c r="EI129" i="13"/>
  <c r="MJ129" i="13" s="1"/>
  <c r="LV129" i="13" s="1"/>
  <c r="EF129" i="13"/>
  <c r="AC131" i="13"/>
  <c r="EN131" i="13"/>
  <c r="AJ131" i="13"/>
  <c r="AI131" i="13" s="1"/>
  <c r="LW128" i="13"/>
  <c r="LX128" i="13" s="1"/>
  <c r="AC128" i="13"/>
  <c r="AB128" i="13"/>
  <c r="LW135" i="13"/>
  <c r="LX135" i="13" s="1"/>
  <c r="AC135" i="13"/>
  <c r="AB135" i="13"/>
  <c r="MJ122" i="13"/>
  <c r="LV122" i="13" s="1"/>
  <c r="N126" i="13"/>
  <c r="ML128" i="13"/>
  <c r="AH128" i="13"/>
  <c r="LW129" i="13"/>
  <c r="LX129" i="13" s="1"/>
  <c r="AC129" i="13"/>
  <c r="AB129" i="13"/>
  <c r="KE130" i="13"/>
  <c r="MD131" i="13"/>
  <c r="ME131" i="13" s="1"/>
  <c r="N133" i="13"/>
  <c r="EP133" i="13"/>
  <c r="MD133" i="13" s="1"/>
  <c r="ME133" i="13" s="1"/>
  <c r="JW133" i="13"/>
  <c r="AH135" i="13"/>
  <c r="IS137" i="13"/>
  <c r="IU137" i="13" s="1"/>
  <c r="IV137" i="13" s="1"/>
  <c r="ET137" i="13"/>
  <c r="EO127" i="13"/>
  <c r="JW128" i="13"/>
  <c r="EQ130" i="13"/>
  <c r="ML130" i="13" s="1"/>
  <c r="MC130" i="13" s="1"/>
  <c r="EN130" i="13"/>
  <c r="KE132" i="13"/>
  <c r="EW133" i="13"/>
  <c r="EX133" i="13" s="1"/>
  <c r="ES133" i="13"/>
  <c r="EC133" i="13"/>
  <c r="MD129" i="13"/>
  <c r="ME129" i="13" s="1"/>
  <c r="AH129" i="13"/>
  <c r="KE129" i="13"/>
  <c r="EW130" i="13"/>
  <c r="EX130" i="13" s="1"/>
  <c r="GN132" i="13"/>
  <c r="N134" i="13"/>
  <c r="EP134" i="13"/>
  <c r="MD134" i="13" s="1"/>
  <c r="ME134" i="13" s="1"/>
  <c r="JW135" i="13"/>
  <c r="N141" i="13"/>
  <c r="EP141" i="13"/>
  <c r="KE128" i="13"/>
  <c r="EQ129" i="13"/>
  <c r="ML129" i="13" s="1"/>
  <c r="MC129" i="13" s="1"/>
  <c r="EN129" i="13"/>
  <c r="AJ129" i="13"/>
  <c r="AI129" i="13" s="1"/>
  <c r="AH130" i="13"/>
  <c r="AG130" i="13"/>
  <c r="KE133" i="13"/>
  <c r="EI135" i="13"/>
  <c r="MJ135" i="13" s="1"/>
  <c r="LV135" i="13" s="1"/>
  <c r="EF135" i="13"/>
  <c r="KE125" i="13"/>
  <c r="GN128" i="13"/>
  <c r="JW134" i="13"/>
  <c r="IV136" i="13"/>
  <c r="AB125" i="13"/>
  <c r="IS129" i="13"/>
  <c r="IU129" i="13" s="1"/>
  <c r="IV129" i="13" s="1"/>
  <c r="ET129" i="13"/>
  <c r="AB131" i="13"/>
  <c r="GT132" i="13"/>
  <c r="JW131" i="13"/>
  <c r="ES132" i="13"/>
  <c r="EC132" i="13"/>
  <c r="N135" i="13"/>
  <c r="AG135" i="13"/>
  <c r="EP135" i="13"/>
  <c r="EH120" i="13"/>
  <c r="GN122" i="13"/>
  <c r="EC125" i="13"/>
  <c r="AB127" i="13"/>
  <c r="MD130" i="13"/>
  <c r="ME130" i="13" s="1"/>
  <c r="KE134" i="13"/>
  <c r="AC127" i="13"/>
  <c r="JW127" i="13"/>
  <c r="MJ127" i="13"/>
  <c r="LV127" i="13" s="1"/>
  <c r="EI128" i="13"/>
  <c r="MJ128" i="13" s="1"/>
  <c r="LV128" i="13" s="1"/>
  <c r="EF128" i="13"/>
  <c r="AJ130" i="13"/>
  <c r="AI130" i="13" s="1"/>
  <c r="AC132" i="13"/>
  <c r="EN132" i="13"/>
  <c r="AJ132" i="13"/>
  <c r="AI132" i="13" s="1"/>
  <c r="EQ132" i="13"/>
  <c r="ML132" i="13" s="1"/>
  <c r="MC132" i="13" s="1"/>
  <c r="AC133" i="13"/>
  <c r="GN136" i="13"/>
  <c r="EC130" i="13"/>
  <c r="ES130" i="13"/>
  <c r="EW140" i="13"/>
  <c r="EX140" i="13" s="1"/>
  <c r="ES140" i="13"/>
  <c r="EC140" i="13"/>
  <c r="ES141" i="13"/>
  <c r="EC141" i="13"/>
  <c r="JW141" i="13"/>
  <c r="AG128" i="13"/>
  <c r="GN135" i="13"/>
  <c r="KE135" i="13"/>
  <c r="KE139" i="13"/>
  <c r="EH150" i="13"/>
  <c r="GT150" i="13"/>
  <c r="M150" i="13"/>
  <c r="AM150" i="13"/>
  <c r="AG129" i="13"/>
  <c r="ES135" i="13"/>
  <c r="EC135" i="13"/>
  <c r="EP136" i="13"/>
  <c r="N136" i="13"/>
  <c r="EO138" i="13"/>
  <c r="EN140" i="13"/>
  <c r="EQ140" i="13"/>
  <c r="ES142" i="13"/>
  <c r="EC142" i="13"/>
  <c r="JW145" i="13"/>
  <c r="AG131" i="13"/>
  <c r="GN131" i="13"/>
  <c r="EC134" i="13"/>
  <c r="ES134" i="13"/>
  <c r="ET136" i="13"/>
  <c r="AH139" i="13"/>
  <c r="GN139" i="13"/>
  <c r="LW141" i="13"/>
  <c r="LX141" i="13" s="1"/>
  <c r="AC141" i="13"/>
  <c r="AB141" i="13"/>
  <c r="KE141" i="13"/>
  <c r="EP142" i="13"/>
  <c r="AG142" i="13" s="1"/>
  <c r="N142" i="13"/>
  <c r="EH130" i="13"/>
  <c r="AB130" i="13" s="1"/>
  <c r="AC136" i="13"/>
  <c r="JW137" i="13"/>
  <c r="EQ138" i="13"/>
  <c r="EN138" i="13"/>
  <c r="ML138" i="13"/>
  <c r="AH138" i="13"/>
  <c r="JW140" i="13"/>
  <c r="KE143" i="13"/>
  <c r="N129" i="13"/>
  <c r="EH132" i="13"/>
  <c r="GN134" i="13"/>
  <c r="GN141" i="13"/>
  <c r="IS143" i="13"/>
  <c r="IU143" i="13" s="1"/>
  <c r="IV143" i="13" s="1"/>
  <c r="ET143" i="13"/>
  <c r="N130" i="13"/>
  <c r="M131" i="13"/>
  <c r="EH133" i="13"/>
  <c r="LW133" i="13" s="1"/>
  <c r="LX133" i="13" s="1"/>
  <c r="AH134" i="13"/>
  <c r="IZ137" i="13"/>
  <c r="FS137" i="13"/>
  <c r="KE137" i="13"/>
  <c r="N131" i="13"/>
  <c r="EH134" i="13"/>
  <c r="EI139" i="13"/>
  <c r="MJ139" i="13" s="1"/>
  <c r="LV139" i="13" s="1"/>
  <c r="EF139" i="13"/>
  <c r="MJ141" i="13"/>
  <c r="LV141" i="13" s="1"/>
  <c r="M133" i="13"/>
  <c r="LW137" i="13"/>
  <c r="LX137" i="13" s="1"/>
  <c r="AC137" i="13"/>
  <c r="AB137" i="13"/>
  <c r="MJ137" i="13"/>
  <c r="LV137" i="13" s="1"/>
  <c r="AC140" i="13"/>
  <c r="ES147" i="13"/>
  <c r="EC147" i="13"/>
  <c r="GT133" i="13"/>
  <c r="M134" i="13"/>
  <c r="GT135" i="13"/>
  <c r="AH137" i="13"/>
  <c r="GJ138" i="13"/>
  <c r="AB139" i="13"/>
  <c r="MD140" i="13"/>
  <c r="ME140" i="13" s="1"/>
  <c r="AH140" i="13"/>
  <c r="ML140" i="13"/>
  <c r="MC140" i="13" s="1"/>
  <c r="ES139" i="13"/>
  <c r="EC139" i="13"/>
  <c r="EW144" i="13"/>
  <c r="EX144" i="13" s="1"/>
  <c r="ES144" i="13"/>
  <c r="EC144" i="13"/>
  <c r="JW136" i="13"/>
  <c r="GN138" i="13"/>
  <c r="EP139" i="13"/>
  <c r="MD139" i="13" s="1"/>
  <c r="ME139" i="13" s="1"/>
  <c r="N139" i="13"/>
  <c r="JW144" i="13"/>
  <c r="GT136" i="13"/>
  <c r="MD136" i="13"/>
  <c r="ME136" i="13" s="1"/>
  <c r="EP137" i="13"/>
  <c r="AG137" i="13" s="1"/>
  <c r="N137" i="13"/>
  <c r="AC139" i="13"/>
  <c r="LW139" i="13"/>
  <c r="LX139" i="13" s="1"/>
  <c r="ES146" i="13"/>
  <c r="EC146" i="13"/>
  <c r="JW147" i="13"/>
  <c r="EW148" i="13"/>
  <c r="EX148" i="13" s="1"/>
  <c r="ES148" i="13"/>
  <c r="EC148" i="13"/>
  <c r="JW148" i="13"/>
  <c r="EQ144" i="13"/>
  <c r="ML144" i="13" s="1"/>
  <c r="MC144" i="13" s="1"/>
  <c r="EN144" i="13"/>
  <c r="N146" i="13"/>
  <c r="AG146" i="13"/>
  <c r="EF137" i="13"/>
  <c r="AH144" i="13"/>
  <c r="GN145" i="13"/>
  <c r="EN146" i="13"/>
  <c r="EQ146" i="13"/>
  <c r="LW147" i="13"/>
  <c r="LX147" i="13" s="1"/>
  <c r="AC147" i="13"/>
  <c r="AB147" i="13"/>
  <c r="EN148" i="13"/>
  <c r="AJ148" i="13"/>
  <c r="AI148" i="13" s="1"/>
  <c r="KE148" i="13"/>
  <c r="EH136" i="13"/>
  <c r="LW136" i="13" s="1"/>
  <c r="LX136" i="13" s="1"/>
  <c r="AG138" i="13"/>
  <c r="JW142" i="13"/>
  <c r="KE144" i="13"/>
  <c r="KE145" i="13"/>
  <c r="MD146" i="13"/>
  <c r="ME146" i="13" s="1"/>
  <c r="ML146" i="13"/>
  <c r="MC146" i="13" s="1"/>
  <c r="EW146" i="13"/>
  <c r="EX146" i="13" s="1"/>
  <c r="KE147" i="13"/>
  <c r="EQ148" i="13"/>
  <c r="ML148" i="13" s="1"/>
  <c r="MC148" i="13" s="1"/>
  <c r="IV151" i="13"/>
  <c r="GN153" i="13"/>
  <c r="EH138" i="13"/>
  <c r="AG140" i="13"/>
  <c r="GN140" i="13"/>
  <c r="EH142" i="13"/>
  <c r="JW152" i="13"/>
  <c r="M137" i="13"/>
  <c r="EF141" i="13"/>
  <c r="FS143" i="13"/>
  <c r="LW145" i="13"/>
  <c r="LX145" i="13" s="1"/>
  <c r="AC145" i="13"/>
  <c r="EI145" i="13"/>
  <c r="MJ145" i="13" s="1"/>
  <c r="LV145" i="13" s="1"/>
  <c r="EF145" i="13"/>
  <c r="GN147" i="13"/>
  <c r="MD149" i="13"/>
  <c r="ME149" i="13" s="1"/>
  <c r="EW149" i="13"/>
  <c r="EX149" i="13" s="1"/>
  <c r="ES149" i="13"/>
  <c r="EC149" i="13"/>
  <c r="JW149" i="13"/>
  <c r="IV150" i="13"/>
  <c r="AC156" i="13"/>
  <c r="AB156" i="13"/>
  <c r="M138" i="13"/>
  <c r="EH140" i="13"/>
  <c r="LW140" i="13" s="1"/>
  <c r="LX140" i="13" s="1"/>
  <c r="MD145" i="13"/>
  <c r="ME145" i="13" s="1"/>
  <c r="AH145" i="13"/>
  <c r="EW145" i="13"/>
  <c r="EX145" i="13" s="1"/>
  <c r="ES145" i="13"/>
  <c r="EC145" i="13"/>
  <c r="GN148" i="13"/>
  <c r="EN149" i="13"/>
  <c r="AJ149" i="13"/>
  <c r="AI149" i="13" s="1"/>
  <c r="KE149" i="13"/>
  <c r="IZ153" i="13"/>
  <c r="FS153" i="13"/>
  <c r="JW153" i="13"/>
  <c r="M140" i="13"/>
  <c r="LW143" i="13"/>
  <c r="LX143" i="13" s="1"/>
  <c r="AC143" i="13"/>
  <c r="AB143" i="13"/>
  <c r="AC144" i="13"/>
  <c r="EN145" i="13"/>
  <c r="EQ149" i="13"/>
  <c r="ML149" i="13" s="1"/>
  <c r="MC149" i="13" s="1"/>
  <c r="MD142" i="13"/>
  <c r="ME142" i="13" s="1"/>
  <c r="AM142" i="13"/>
  <c r="EQ145" i="13"/>
  <c r="ML145" i="13" s="1"/>
  <c r="MC145" i="13" s="1"/>
  <c r="KE136" i="13"/>
  <c r="GT142" i="13"/>
  <c r="MJ148" i="13"/>
  <c r="LV148" i="13" s="1"/>
  <c r="AC148" i="13"/>
  <c r="LW148" i="13"/>
  <c r="LX148" i="13" s="1"/>
  <c r="AB148" i="13"/>
  <c r="AK148" i="13" s="1"/>
  <c r="EP143" i="13"/>
  <c r="EW143" i="13" s="1"/>
  <c r="EX143" i="13" s="1"/>
  <c r="N143" i="13"/>
  <c r="AM144" i="13"/>
  <c r="M144" i="13"/>
  <c r="EH144" i="13"/>
  <c r="LW144" i="13" s="1"/>
  <c r="LX144" i="13" s="1"/>
  <c r="MD144" i="13"/>
  <c r="ME144" i="13" s="1"/>
  <c r="GN146" i="13"/>
  <c r="KE138" i="13"/>
  <c r="GT144" i="13"/>
  <c r="AB145" i="13"/>
  <c r="EI151" i="13"/>
  <c r="MJ151" i="13" s="1"/>
  <c r="LV151" i="13" s="1"/>
  <c r="EF151" i="13"/>
  <c r="EC136" i="13"/>
  <c r="GJ143" i="13"/>
  <c r="GN144" i="13"/>
  <c r="GT146" i="13"/>
  <c r="N147" i="13"/>
  <c r="EP147" i="13"/>
  <c r="GN149" i="13"/>
  <c r="JW151" i="13"/>
  <c r="JW154" i="13"/>
  <c r="LW149" i="13"/>
  <c r="LX149" i="13" s="1"/>
  <c r="LW152" i="13"/>
  <c r="LX152" i="13" s="1"/>
  <c r="AC152" i="13"/>
  <c r="AB152" i="13"/>
  <c r="GN152" i="13"/>
  <c r="AC146" i="13"/>
  <c r="LW150" i="13"/>
  <c r="LX150" i="13" s="1"/>
  <c r="AC150" i="13"/>
  <c r="AB150" i="13"/>
  <c r="LW151" i="13"/>
  <c r="LX151" i="13" s="1"/>
  <c r="AC151" i="13"/>
  <c r="AB151" i="13"/>
  <c r="EO152" i="13"/>
  <c r="MI152" i="13"/>
  <c r="MM152" i="13" s="1"/>
  <c r="EI153" i="13"/>
  <c r="EF153" i="13"/>
  <c r="AG152" i="13"/>
  <c r="EP152" i="13"/>
  <c r="MD152" i="13" s="1"/>
  <c r="ME152" i="13" s="1"/>
  <c r="EI154" i="13"/>
  <c r="MJ154" i="13" s="1"/>
  <c r="LV154" i="13" s="1"/>
  <c r="EF154" i="13"/>
  <c r="LW155" i="13"/>
  <c r="LX155" i="13" s="1"/>
  <c r="AC155" i="13"/>
  <c r="AB155" i="13"/>
  <c r="JW156" i="13"/>
  <c r="MI157" i="13"/>
  <c r="MM157" i="13" s="1"/>
  <c r="EO157" i="13"/>
  <c r="AG144" i="13"/>
  <c r="AJ150" i="13"/>
  <c r="AI150" i="13" s="1"/>
  <c r="EQ150" i="13"/>
  <c r="AG151" i="13"/>
  <c r="EP151" i="13"/>
  <c r="LW153" i="13"/>
  <c r="LX153" i="13" s="1"/>
  <c r="AC153" i="13"/>
  <c r="AB153" i="13"/>
  <c r="MJ153" i="13"/>
  <c r="LV153" i="13" s="1"/>
  <c r="AG157" i="13"/>
  <c r="EP157" i="13"/>
  <c r="AG145" i="13"/>
  <c r="EF148" i="13"/>
  <c r="EF149" i="13"/>
  <c r="LW154" i="13"/>
  <c r="LX154" i="13" s="1"/>
  <c r="AC154" i="13"/>
  <c r="AB154" i="13"/>
  <c r="EI155" i="13"/>
  <c r="MJ155" i="13" s="1"/>
  <c r="LV155" i="13" s="1"/>
  <c r="EF155" i="13"/>
  <c r="JW155" i="13"/>
  <c r="EO156" i="13"/>
  <c r="MI156" i="13"/>
  <c r="MM156" i="13" s="1"/>
  <c r="AH148" i="13"/>
  <c r="MD150" i="13"/>
  <c r="ME150" i="13" s="1"/>
  <c r="MD151" i="13"/>
  <c r="ME151" i="13" s="1"/>
  <c r="GN151" i="13"/>
  <c r="KE152" i="13"/>
  <c r="AG153" i="13"/>
  <c r="EP153" i="13"/>
  <c r="MD153" i="13" s="1"/>
  <c r="ME153" i="13" s="1"/>
  <c r="N153" i="13"/>
  <c r="EW154" i="13"/>
  <c r="EX154" i="13" s="1"/>
  <c r="ES154" i="13"/>
  <c r="EC154" i="13"/>
  <c r="AG156" i="13"/>
  <c r="EP156" i="13"/>
  <c r="AG154" i="13"/>
  <c r="EP154" i="13"/>
  <c r="N154" i="13"/>
  <c r="EO155" i="13"/>
  <c r="MI155" i="13"/>
  <c r="MM155" i="13" s="1"/>
  <c r="EH146" i="13"/>
  <c r="LW146" i="13" s="1"/>
  <c r="LX146" i="13" s="1"/>
  <c r="AH147" i="13"/>
  <c r="ET150" i="13"/>
  <c r="ET151" i="13"/>
  <c r="ES153" i="13"/>
  <c r="AG155" i="13"/>
  <c r="EP155" i="13"/>
  <c r="N155" i="13"/>
  <c r="N144" i="13"/>
  <c r="M145" i="13"/>
  <c r="M149" i="13"/>
  <c r="GN150" i="13"/>
  <c r="GN157" i="13"/>
  <c r="N145" i="13"/>
  <c r="GT148" i="13"/>
  <c r="AM149" i="13"/>
  <c r="KE150" i="13"/>
  <c r="N152" i="13"/>
  <c r="KE154" i="13"/>
  <c r="M148" i="13"/>
  <c r="N150" i="13"/>
  <c r="GN156" i="13"/>
  <c r="MI149" i="13"/>
  <c r="MM149" i="13" s="1"/>
  <c r="ES159" i="13"/>
  <c r="EC159" i="13"/>
  <c r="EW159" i="13"/>
  <c r="EX159" i="13" s="1"/>
  <c r="MI148" i="13"/>
  <c r="MM148" i="13" s="1"/>
  <c r="IM148" i="13" s="1"/>
  <c r="IN148" i="13" s="1"/>
  <c r="GN155" i="13"/>
  <c r="EC150" i="13"/>
  <c r="EC151" i="13"/>
  <c r="MI151" i="13"/>
  <c r="MM151" i="13" s="1"/>
  <c r="KE153" i="13"/>
  <c r="AC157" i="13"/>
  <c r="MI150" i="13"/>
  <c r="MM150" i="13" s="1"/>
  <c r="KE151" i="13"/>
  <c r="EI152" i="13"/>
  <c r="MJ152" i="13" s="1"/>
  <c r="LV152" i="13" s="1"/>
  <c r="EF152" i="13"/>
  <c r="GN154" i="13"/>
  <c r="N157" i="13"/>
  <c r="GT158" i="13"/>
  <c r="AG159" i="13"/>
  <c r="EP159" i="13"/>
  <c r="N159" i="13"/>
  <c r="KE159" i="13"/>
  <c r="MO161" i="13"/>
  <c r="NA161" i="13"/>
  <c r="MY161" i="13"/>
  <c r="LW158" i="13"/>
  <c r="LX158" i="13" s="1"/>
  <c r="AC158" i="13"/>
  <c r="AB158" i="13"/>
  <c r="AK158" i="13" s="1"/>
  <c r="MJ158" i="13"/>
  <c r="LV158" i="13" s="1"/>
  <c r="JW164" i="13"/>
  <c r="JW172" i="13"/>
  <c r="ES158" i="13"/>
  <c r="EC158" i="13"/>
  <c r="MD158" i="13"/>
  <c r="ME158" i="13" s="1"/>
  <c r="MI153" i="13"/>
  <c r="MM153" i="13" s="1"/>
  <c r="EQ158" i="13"/>
  <c r="AJ158" i="13"/>
  <c r="AI158" i="13" s="1"/>
  <c r="JW161" i="13"/>
  <c r="EF163" i="13"/>
  <c r="EI163" i="13"/>
  <c r="MJ163" i="13" s="1"/>
  <c r="LV163" i="13" s="1"/>
  <c r="EW165" i="13"/>
  <c r="EX165" i="13" s="1"/>
  <c r="ES165" i="13"/>
  <c r="EC165" i="13"/>
  <c r="KE167" i="13"/>
  <c r="KE155" i="13"/>
  <c r="KE156" i="13"/>
  <c r="N158" i="13"/>
  <c r="EN158" i="13"/>
  <c r="GN158" i="13"/>
  <c r="JW160" i="13"/>
  <c r="LW163" i="13"/>
  <c r="LX163" i="13" s="1"/>
  <c r="ML158" i="13"/>
  <c r="MC158" i="13" s="1"/>
  <c r="MO163" i="13"/>
  <c r="NA163" i="13"/>
  <c r="MY163" i="13"/>
  <c r="ML150" i="13"/>
  <c r="MC150" i="13" s="1"/>
  <c r="EB155" i="13"/>
  <c r="EB156" i="13"/>
  <c r="EB157" i="13"/>
  <c r="GN166" i="13"/>
  <c r="LW172" i="13"/>
  <c r="LX172" i="13" s="1"/>
  <c r="AC172" i="13"/>
  <c r="AB172" i="13"/>
  <c r="EB150" i="13"/>
  <c r="EB151" i="13"/>
  <c r="EB152" i="13"/>
  <c r="EB153" i="13"/>
  <c r="EB154" i="13"/>
  <c r="EW158" i="13"/>
  <c r="EX158" i="13" s="1"/>
  <c r="KE160" i="13"/>
  <c r="EQ163" i="13"/>
  <c r="ML163" i="13" s="1"/>
  <c r="MC163" i="13" s="1"/>
  <c r="EN163" i="13"/>
  <c r="MO159" i="13"/>
  <c r="NA159" i="13"/>
  <c r="EF162" i="13"/>
  <c r="EI162" i="13"/>
  <c r="MJ162" i="13" s="1"/>
  <c r="LV162" i="13" s="1"/>
  <c r="JW163" i="13"/>
  <c r="LW162" i="13"/>
  <c r="LX162" i="13" s="1"/>
  <c r="MY159" i="13"/>
  <c r="EF160" i="13"/>
  <c r="EI160" i="13"/>
  <c r="MJ160" i="13" s="1"/>
  <c r="LV160" i="13" s="1"/>
  <c r="MO162" i="13"/>
  <c r="NA162" i="13"/>
  <c r="MY162" i="13"/>
  <c r="AG158" i="13"/>
  <c r="MO160" i="13"/>
  <c r="NA160" i="13"/>
  <c r="MY160" i="13"/>
  <c r="GN165" i="13"/>
  <c r="M166" i="13"/>
  <c r="EH166" i="13"/>
  <c r="AM166" i="13"/>
  <c r="GT166" i="13"/>
  <c r="EH156" i="13"/>
  <c r="EH157" i="13"/>
  <c r="KE158" i="13"/>
  <c r="EF159" i="13"/>
  <c r="EI159" i="13"/>
  <c r="MJ159" i="13" s="1"/>
  <c r="LV159" i="13" s="1"/>
  <c r="EQ162" i="13"/>
  <c r="EN162" i="13"/>
  <c r="EF164" i="13"/>
  <c r="EI164" i="13"/>
  <c r="MJ164" i="13" s="1"/>
  <c r="LV164" i="13" s="1"/>
  <c r="ES173" i="13"/>
  <c r="EC173" i="13"/>
  <c r="EW173" i="13"/>
  <c r="EX173" i="13" s="1"/>
  <c r="GT159" i="13"/>
  <c r="EN160" i="13"/>
  <c r="LW164" i="13"/>
  <c r="LX164" i="13" s="1"/>
  <c r="KE157" i="13"/>
  <c r="MY158" i="13"/>
  <c r="LW159" i="13"/>
  <c r="LX159" i="13" s="1"/>
  <c r="AC159" i="13"/>
  <c r="AB159" i="13"/>
  <c r="AK159" i="13" s="1"/>
  <c r="GN159" i="13"/>
  <c r="LW160" i="13"/>
  <c r="LX160" i="13" s="1"/>
  <c r="AC160" i="13"/>
  <c r="AB160" i="13"/>
  <c r="EW160" i="13"/>
  <c r="EX160" i="13" s="1"/>
  <c r="ES160" i="13"/>
  <c r="EC160" i="13"/>
  <c r="EF161" i="13"/>
  <c r="EI161" i="13"/>
  <c r="MJ161" i="13" s="1"/>
  <c r="LV161" i="13" s="1"/>
  <c r="JW162" i="13"/>
  <c r="MO164" i="13"/>
  <c r="NA164" i="13"/>
  <c r="MY164" i="13"/>
  <c r="MD162" i="13"/>
  <c r="ME162" i="13" s="1"/>
  <c r="MD163" i="13"/>
  <c r="ME163" i="13" s="1"/>
  <c r="LW165" i="13"/>
  <c r="LX165" i="13" s="1"/>
  <c r="MJ165" i="13"/>
  <c r="LV165" i="13" s="1"/>
  <c r="N167" i="13"/>
  <c r="AG167" i="13"/>
  <c r="EP167" i="13"/>
  <c r="GN170" i="13"/>
  <c r="JW171" i="13"/>
  <c r="EW172" i="13"/>
  <c r="EX172" i="13" s="1"/>
  <c r="EC172" i="13"/>
  <c r="ES172" i="13"/>
  <c r="AC166" i="13"/>
  <c r="EW166" i="13"/>
  <c r="EX166" i="13" s="1"/>
  <c r="ES166" i="13"/>
  <c r="EC166" i="13"/>
  <c r="AC170" i="13"/>
  <c r="MO170" i="13"/>
  <c r="NA170" i="13"/>
  <c r="EP172" i="13"/>
  <c r="N172" i="13"/>
  <c r="AG172" i="13"/>
  <c r="KE172" i="13"/>
  <c r="KE173" i="13"/>
  <c r="MD167" i="13"/>
  <c r="ME167" i="13" s="1"/>
  <c r="EW168" i="13"/>
  <c r="EX168" i="13" s="1"/>
  <c r="ES168" i="13"/>
  <c r="EC168" i="13"/>
  <c r="KE171" i="13"/>
  <c r="N160" i="13"/>
  <c r="MO165" i="13"/>
  <c r="N168" i="13"/>
  <c r="AG168" i="13"/>
  <c r="EP168" i="13"/>
  <c r="DD166" i="13"/>
  <c r="CG166" i="13"/>
  <c r="EB166" i="13"/>
  <c r="JW168" i="13"/>
  <c r="N169" i="13"/>
  <c r="AG169" i="13"/>
  <c r="EP169" i="13"/>
  <c r="LW171" i="13"/>
  <c r="LX171" i="13" s="1"/>
  <c r="AC171" i="13"/>
  <c r="AB171" i="13"/>
  <c r="EP165" i="13"/>
  <c r="AJ166" i="13"/>
  <c r="AI166" i="13" s="1"/>
  <c r="EQ166" i="13"/>
  <c r="ML166" i="13" s="1"/>
  <c r="MC166" i="13" s="1"/>
  <c r="MI166" i="13"/>
  <c r="MM166" i="13" s="1"/>
  <c r="MD168" i="13"/>
  <c r="ME168" i="13" s="1"/>
  <c r="MD165" i="13"/>
  <c r="ME165" i="13" s="1"/>
  <c r="KE168" i="13"/>
  <c r="GN171" i="13"/>
  <c r="NA172" i="13"/>
  <c r="MY172" i="13"/>
  <c r="MO172" i="13"/>
  <c r="EF176" i="13"/>
  <c r="EI176" i="13"/>
  <c r="MJ176" i="13" s="1"/>
  <c r="LV176" i="13" s="1"/>
  <c r="KE161" i="13"/>
  <c r="KE162" i="13"/>
  <c r="KE163" i="13"/>
  <c r="EP164" i="13"/>
  <c r="MD164" i="13" s="1"/>
  <c r="ME164" i="13" s="1"/>
  <c r="KE164" i="13"/>
  <c r="AB165" i="13"/>
  <c r="MY165" i="13"/>
  <c r="JW166" i="13"/>
  <c r="JW169" i="13"/>
  <c r="N170" i="13"/>
  <c r="AG170" i="13"/>
  <c r="EP170" i="13"/>
  <c r="MD170" i="13" s="1"/>
  <c r="ME170" i="13" s="1"/>
  <c r="MO171" i="13"/>
  <c r="NA171" i="13"/>
  <c r="AB161" i="13"/>
  <c r="AK161" i="13" s="1"/>
  <c r="AB162" i="13"/>
  <c r="AK162" i="13" s="1"/>
  <c r="ML162" i="13"/>
  <c r="MC162" i="13" s="1"/>
  <c r="AB163" i="13"/>
  <c r="AK163" i="13" s="1"/>
  <c r="AB164" i="13"/>
  <c r="AC165" i="13"/>
  <c r="KE169" i="13"/>
  <c r="LW173" i="13"/>
  <c r="LX173" i="13" s="1"/>
  <c r="AC173" i="13"/>
  <c r="AB173" i="13"/>
  <c r="AK173" i="13" s="1"/>
  <c r="EB158" i="13"/>
  <c r="EB159" i="13"/>
  <c r="EC161" i="13"/>
  <c r="ES161" i="13"/>
  <c r="EC162" i="13"/>
  <c r="ES162" i="13"/>
  <c r="EC163" i="13"/>
  <c r="ES163" i="13"/>
  <c r="EC164" i="13"/>
  <c r="ES164" i="13"/>
  <c r="JW165" i="13"/>
  <c r="KE166" i="13"/>
  <c r="MO167" i="13"/>
  <c r="GN168" i="13"/>
  <c r="JW170" i="13"/>
  <c r="GN167" i="13"/>
  <c r="MY167" i="13"/>
  <c r="MO168" i="13"/>
  <c r="NA168" i="13"/>
  <c r="JW167" i="13"/>
  <c r="KE170" i="13"/>
  <c r="GN160" i="13"/>
  <c r="GN161" i="13"/>
  <c r="GN162" i="13"/>
  <c r="GN163" i="13"/>
  <c r="GN164" i="13"/>
  <c r="AC167" i="13"/>
  <c r="AC168" i="13"/>
  <c r="GN169" i="13"/>
  <c r="N171" i="13"/>
  <c r="AG171" i="13"/>
  <c r="EP171" i="13"/>
  <c r="MD171" i="13" s="1"/>
  <c r="ME171" i="13" s="1"/>
  <c r="EF172" i="13"/>
  <c r="EI172" i="13"/>
  <c r="MJ172" i="13" s="1"/>
  <c r="LV172" i="13" s="1"/>
  <c r="EW167" i="13"/>
  <c r="EX167" i="13" s="1"/>
  <c r="ES167" i="13"/>
  <c r="EC167" i="13"/>
  <c r="AC169" i="13"/>
  <c r="MO169" i="13"/>
  <c r="NA169" i="13"/>
  <c r="MO173" i="13"/>
  <c r="NA173" i="13"/>
  <c r="AG174" i="13"/>
  <c r="EP174" i="13"/>
  <c r="JW174" i="13"/>
  <c r="MO176" i="13"/>
  <c r="NA176" i="13"/>
  <c r="MY176" i="13"/>
  <c r="EN179" i="13"/>
  <c r="AJ179" i="13"/>
  <c r="AI179" i="13" s="1"/>
  <c r="LW175" i="13"/>
  <c r="LX175" i="13" s="1"/>
  <c r="AC175" i="13"/>
  <c r="AB175" i="13"/>
  <c r="AG176" i="13"/>
  <c r="EP176" i="13"/>
  <c r="N176" i="13"/>
  <c r="EW181" i="13"/>
  <c r="EX181" i="13" s="1"/>
  <c r="ES181" i="13"/>
  <c r="EC181" i="13"/>
  <c r="MD181" i="13"/>
  <c r="ME181" i="13" s="1"/>
  <c r="EI173" i="13"/>
  <c r="MJ173" i="13" s="1"/>
  <c r="LV173" i="13" s="1"/>
  <c r="KE174" i="13"/>
  <c r="GN175" i="13"/>
  <c r="EN178" i="13"/>
  <c r="AJ178" i="13"/>
  <c r="AI178" i="13" s="1"/>
  <c r="EQ178" i="13"/>
  <c r="ML178" i="13" s="1"/>
  <c r="MC178" i="13" s="1"/>
  <c r="EB167" i="13"/>
  <c r="EB168" i="13"/>
  <c r="EB169" i="13"/>
  <c r="EB170" i="13"/>
  <c r="EB171" i="13"/>
  <c r="EC170" i="13"/>
  <c r="ES170" i="13"/>
  <c r="EC171" i="13"/>
  <c r="ES171" i="13"/>
  <c r="MC181" i="13"/>
  <c r="KE181" i="13"/>
  <c r="KE182" i="13"/>
  <c r="GN172" i="13"/>
  <c r="JW176" i="13"/>
  <c r="MY173" i="13"/>
  <c r="EN177" i="13"/>
  <c r="AJ177" i="13"/>
  <c r="AI177" i="13" s="1"/>
  <c r="DD178" i="13"/>
  <c r="CG178" i="13"/>
  <c r="EB178" i="13"/>
  <c r="CG167" i="13"/>
  <c r="CG168" i="13"/>
  <c r="CG169" i="13"/>
  <c r="CG170" i="13"/>
  <c r="CG171" i="13"/>
  <c r="EF175" i="13"/>
  <c r="EI175" i="13"/>
  <c r="MJ175" i="13" s="1"/>
  <c r="LV175" i="13" s="1"/>
  <c r="MO175" i="13"/>
  <c r="NA175" i="13"/>
  <c r="MY175" i="13"/>
  <c r="EH167" i="13"/>
  <c r="EH168" i="13"/>
  <c r="AB168" i="13" s="1"/>
  <c r="EH169" i="13"/>
  <c r="LW169" i="13" s="1"/>
  <c r="LX169" i="13" s="1"/>
  <c r="EH170" i="13"/>
  <c r="LW170" i="13" s="1"/>
  <c r="LX170" i="13" s="1"/>
  <c r="AG175" i="13"/>
  <c r="EP175" i="13"/>
  <c r="MD175" i="13" s="1"/>
  <c r="ME175" i="13" s="1"/>
  <c r="N175" i="13"/>
  <c r="LW176" i="13"/>
  <c r="LX176" i="13" s="1"/>
  <c r="AC176" i="13"/>
  <c r="AB176" i="13"/>
  <c r="AK176" i="13" s="1"/>
  <c r="GN178" i="13"/>
  <c r="GN173" i="13"/>
  <c r="GN176" i="13"/>
  <c r="M167" i="13"/>
  <c r="M168" i="13"/>
  <c r="M169" i="13"/>
  <c r="M170" i="13"/>
  <c r="M171" i="13"/>
  <c r="MI174" i="13"/>
  <c r="MM174" i="13" s="1"/>
  <c r="JW175" i="13"/>
  <c r="MY177" i="13"/>
  <c r="NA177" i="13"/>
  <c r="MO177" i="13"/>
  <c r="LW174" i="13"/>
  <c r="LX174" i="13" s="1"/>
  <c r="AC174" i="13"/>
  <c r="AB174" i="13"/>
  <c r="AK174" i="13" s="1"/>
  <c r="GN177" i="13"/>
  <c r="ES174" i="13"/>
  <c r="EC174" i="13"/>
  <c r="MD174" i="13"/>
  <c r="ME174" i="13" s="1"/>
  <c r="GN174" i="13"/>
  <c r="DD180" i="13"/>
  <c r="CG180" i="13"/>
  <c r="EB180" i="13"/>
  <c r="GN182" i="13"/>
  <c r="MD176" i="13"/>
  <c r="ME176" i="13" s="1"/>
  <c r="AH177" i="13"/>
  <c r="EN181" i="13"/>
  <c r="AJ181" i="13"/>
  <c r="AI181" i="13" s="1"/>
  <c r="MD173" i="13"/>
  <c r="ME173" i="13" s="1"/>
  <c r="EI174" i="13"/>
  <c r="MJ174" i="13" s="1"/>
  <c r="LV174" i="13" s="1"/>
  <c r="GT178" i="13"/>
  <c r="JW179" i="13"/>
  <c r="GN180" i="13"/>
  <c r="JW178" i="13"/>
  <c r="JW180" i="13"/>
  <c r="KE185" i="13"/>
  <c r="MO178" i="13"/>
  <c r="MY180" i="13"/>
  <c r="MO180" i="13"/>
  <c r="GN184" i="13"/>
  <c r="NA180" i="13"/>
  <c r="M178" i="13"/>
  <c r="EH178" i="13"/>
  <c r="MO179" i="13"/>
  <c r="MO182" i="13"/>
  <c r="NA182" i="13"/>
  <c r="NA185" i="13"/>
  <c r="MY185" i="13"/>
  <c r="MO185" i="13"/>
  <c r="EW180" i="13"/>
  <c r="EX180" i="13" s="1"/>
  <c r="ES180" i="13"/>
  <c r="EC180" i="13"/>
  <c r="KE175" i="13"/>
  <c r="KE176" i="13"/>
  <c r="EN180" i="13"/>
  <c r="AJ180" i="13"/>
  <c r="AI180" i="13" s="1"/>
  <c r="MO181" i="13"/>
  <c r="FF181" i="13" s="1"/>
  <c r="NA181" i="13"/>
  <c r="AG177" i="13"/>
  <c r="EH177" i="13"/>
  <c r="N178" i="13"/>
  <c r="EQ180" i="13"/>
  <c r="ML180" i="13" s="1"/>
  <c r="MC180" i="13" s="1"/>
  <c r="DD181" i="13"/>
  <c r="CG181" i="13"/>
  <c r="EB181" i="13"/>
  <c r="GN183" i="13"/>
  <c r="JW184" i="13"/>
  <c r="JW187" i="13"/>
  <c r="EB175" i="13"/>
  <c r="EB176" i="13"/>
  <c r="MD180" i="13"/>
  <c r="ME180" i="13" s="1"/>
  <c r="JW181" i="13"/>
  <c r="MY181" i="13"/>
  <c r="NA183" i="13"/>
  <c r="MY183" i="13"/>
  <c r="EC175" i="13"/>
  <c r="ES175" i="13"/>
  <c r="EC176" i="13"/>
  <c r="ES176" i="13"/>
  <c r="DD179" i="13"/>
  <c r="CG179" i="13"/>
  <c r="MO183" i="13"/>
  <c r="KE184" i="13"/>
  <c r="GN179" i="13"/>
  <c r="AM177" i="13"/>
  <c r="N187" i="13"/>
  <c r="EP187" i="13"/>
  <c r="MD187" i="13" s="1"/>
  <c r="ME187" i="13" s="1"/>
  <c r="AG187" i="13"/>
  <c r="EO177" i="13"/>
  <c r="MD177" i="13" s="1"/>
  <c r="ME177" i="13" s="1"/>
  <c r="MD178" i="13"/>
  <c r="ME178" i="13" s="1"/>
  <c r="AH178" i="13"/>
  <c r="EO179" i="13"/>
  <c r="MD179" i="13" s="1"/>
  <c r="ME179" i="13" s="1"/>
  <c r="N177" i="13"/>
  <c r="GT177" i="13"/>
  <c r="ML177" i="13"/>
  <c r="ES178" i="13"/>
  <c r="KE186" i="13"/>
  <c r="EC187" i="13"/>
  <c r="EW187" i="13"/>
  <c r="EX187" i="13" s="1"/>
  <c r="ES187" i="13"/>
  <c r="EI182" i="13"/>
  <c r="EF182" i="13"/>
  <c r="N184" i="13"/>
  <c r="EP184" i="13"/>
  <c r="MD184" i="13" s="1"/>
  <c r="ME184" i="13" s="1"/>
  <c r="JW185" i="13"/>
  <c r="DD186" i="13"/>
  <c r="CG186" i="13"/>
  <c r="EB186" i="13"/>
  <c r="AM186" i="13"/>
  <c r="M186" i="13"/>
  <c r="GT186" i="13"/>
  <c r="EH186" i="13"/>
  <c r="GN186" i="13"/>
  <c r="GN188" i="13"/>
  <c r="ET190" i="13"/>
  <c r="IS190" i="13"/>
  <c r="IU190" i="13" s="1"/>
  <c r="IV190" i="13" s="1"/>
  <c r="LW182" i="13"/>
  <c r="LX182" i="13" s="1"/>
  <c r="GT183" i="13"/>
  <c r="M183" i="13"/>
  <c r="EH183" i="13"/>
  <c r="EW184" i="13"/>
  <c r="EX184" i="13" s="1"/>
  <c r="ES184" i="13"/>
  <c r="EC184" i="13"/>
  <c r="GN185" i="13"/>
  <c r="M182" i="13"/>
  <c r="N182" i="13"/>
  <c r="AG182" i="13"/>
  <c r="DD183" i="13"/>
  <c r="CG183" i="13"/>
  <c r="AG184" i="13"/>
  <c r="AH179" i="13"/>
  <c r="AH180" i="13"/>
  <c r="AH181" i="13"/>
  <c r="GN181" i="13"/>
  <c r="EN182" i="13"/>
  <c r="GT181" i="13"/>
  <c r="EO182" i="13"/>
  <c r="MD182" i="13" s="1"/>
  <c r="ME182" i="13" s="1"/>
  <c r="JW183" i="13"/>
  <c r="N185" i="13"/>
  <c r="AG185" i="13"/>
  <c r="EP185" i="13"/>
  <c r="EH179" i="13"/>
  <c r="EH180" i="13"/>
  <c r="EH181" i="13"/>
  <c r="LW181" i="13" s="1"/>
  <c r="LX181" i="13" s="1"/>
  <c r="EN186" i="13"/>
  <c r="AJ186" i="13"/>
  <c r="AI186" i="13" s="1"/>
  <c r="EQ186" i="13"/>
  <c r="ML186" i="13" s="1"/>
  <c r="MY186" i="13"/>
  <c r="NA186" i="13"/>
  <c r="MO186" i="13"/>
  <c r="GN187" i="13"/>
  <c r="EQ182" i="13"/>
  <c r="ML182" i="13" s="1"/>
  <c r="MC182" i="13" s="1"/>
  <c r="EW185" i="13"/>
  <c r="EX185" i="13" s="1"/>
  <c r="ES185" i="13"/>
  <c r="EC185" i="13"/>
  <c r="LW186" i="13"/>
  <c r="LX186" i="13" s="1"/>
  <c r="AC186" i="13"/>
  <c r="AB186" i="13"/>
  <c r="AB182" i="13"/>
  <c r="MJ182" i="13"/>
  <c r="LV182" i="13" s="1"/>
  <c r="MD185" i="13"/>
  <c r="ME185" i="13" s="1"/>
  <c r="AM183" i="13"/>
  <c r="AJ183" i="13"/>
  <c r="AI183" i="13" s="1"/>
  <c r="EQ183" i="13"/>
  <c r="ML183" i="13" s="1"/>
  <c r="MC183" i="13" s="1"/>
  <c r="AH183" i="13"/>
  <c r="N188" i="13"/>
  <c r="AG188" i="13"/>
  <c r="EP188" i="13"/>
  <c r="MD188" i="13" s="1"/>
  <c r="ME188" i="13" s="1"/>
  <c r="AH182" i="13"/>
  <c r="GT182" i="13"/>
  <c r="EC188" i="13"/>
  <c r="EW188" i="13"/>
  <c r="EX188" i="13" s="1"/>
  <c r="ES188" i="13"/>
  <c r="JW182" i="13"/>
  <c r="MO184" i="13"/>
  <c r="AG186" i="13"/>
  <c r="EN189" i="13"/>
  <c r="AJ189" i="13"/>
  <c r="AI189" i="13" s="1"/>
  <c r="DD188" i="13"/>
  <c r="CG188" i="13"/>
  <c r="EB188" i="13"/>
  <c r="EQ189" i="13"/>
  <c r="ML189" i="13" s="1"/>
  <c r="MC189" i="13" s="1"/>
  <c r="EB184" i="13"/>
  <c r="EB185" i="13"/>
  <c r="AC188" i="13"/>
  <c r="JW188" i="13"/>
  <c r="GN191" i="13"/>
  <c r="KE187" i="13"/>
  <c r="NA189" i="13"/>
  <c r="MY189" i="13"/>
  <c r="MO189" i="13"/>
  <c r="JW193" i="13"/>
  <c r="AH186" i="13"/>
  <c r="AH184" i="13"/>
  <c r="CG184" i="13"/>
  <c r="AH185" i="13"/>
  <c r="CG185" i="13"/>
  <c r="JW189" i="13"/>
  <c r="DD189" i="13"/>
  <c r="CG189" i="13"/>
  <c r="EB189" i="13"/>
  <c r="EH184" i="13"/>
  <c r="EH185" i="13"/>
  <c r="JW186" i="13"/>
  <c r="GN190" i="13"/>
  <c r="GT191" i="13"/>
  <c r="NA187" i="13"/>
  <c r="AC190" i="13"/>
  <c r="M184" i="13"/>
  <c r="M185" i="13"/>
  <c r="GN189" i="13"/>
  <c r="EC191" i="13"/>
  <c r="AM184" i="13"/>
  <c r="M187" i="13"/>
  <c r="EH187" i="13"/>
  <c r="AB187" i="13" s="1"/>
  <c r="LW189" i="13"/>
  <c r="LX189" i="13" s="1"/>
  <c r="AC189" i="13"/>
  <c r="DD187" i="13"/>
  <c r="CG187" i="13"/>
  <c r="EB187" i="13"/>
  <c r="GT187" i="13"/>
  <c r="GT188" i="13"/>
  <c r="AC187" i="13"/>
  <c r="MY188" i="13"/>
  <c r="MO188" i="13"/>
  <c r="EC190" i="13"/>
  <c r="EW190" i="13"/>
  <c r="EX190" i="13" s="1"/>
  <c r="JW194" i="13"/>
  <c r="CG191" i="13"/>
  <c r="LW192" i="13"/>
  <c r="LX192" i="13" s="1"/>
  <c r="AC192" i="13"/>
  <c r="AB192" i="13"/>
  <c r="MJ192" i="13"/>
  <c r="LV192" i="13" s="1"/>
  <c r="GT192" i="13"/>
  <c r="GN193" i="13"/>
  <c r="M190" i="13"/>
  <c r="EH190" i="13"/>
  <c r="EN191" i="13"/>
  <c r="AJ191" i="13"/>
  <c r="AI191" i="13" s="1"/>
  <c r="KE193" i="13"/>
  <c r="KE194" i="13"/>
  <c r="EQ191" i="13"/>
  <c r="ML191" i="13" s="1"/>
  <c r="MC191" i="13" s="1"/>
  <c r="JW191" i="13"/>
  <c r="LW193" i="13"/>
  <c r="LX193" i="13" s="1"/>
  <c r="AB193" i="13"/>
  <c r="AK193" i="13" s="1"/>
  <c r="ES194" i="13"/>
  <c r="EC194" i="13"/>
  <c r="MD194" i="13"/>
  <c r="ME194" i="13" s="1"/>
  <c r="EW194" i="13"/>
  <c r="EX194" i="13" s="1"/>
  <c r="EF189" i="13"/>
  <c r="EF192" i="13"/>
  <c r="EW193" i="13"/>
  <c r="EX193" i="13" s="1"/>
  <c r="ES193" i="13"/>
  <c r="EC193" i="13"/>
  <c r="MC194" i="13"/>
  <c r="AH187" i="13"/>
  <c r="AH188" i="13"/>
  <c r="JW190" i="13"/>
  <c r="ES191" i="13"/>
  <c r="NA192" i="13"/>
  <c r="MO192" i="13"/>
  <c r="FF192" i="13" s="1"/>
  <c r="EH188" i="13"/>
  <c r="AB188" i="13" s="1"/>
  <c r="MD189" i="13"/>
  <c r="ME189" i="13" s="1"/>
  <c r="MD193" i="13"/>
  <c r="ME193" i="13" s="1"/>
  <c r="MO194" i="13"/>
  <c r="FF194" i="13" s="1"/>
  <c r="NA194" i="13"/>
  <c r="MY194" i="13"/>
  <c r="GT190" i="13"/>
  <c r="KE190" i="13"/>
  <c r="M188" i="13"/>
  <c r="M189" i="13"/>
  <c r="EP190" i="13"/>
  <c r="MI190" i="13"/>
  <c r="MM190" i="13" s="1"/>
  <c r="EB191" i="13"/>
  <c r="EW191" i="13"/>
  <c r="EX191" i="13" s="1"/>
  <c r="AH192" i="13"/>
  <c r="ES192" i="13"/>
  <c r="EC192" i="13"/>
  <c r="JW192" i="13"/>
  <c r="MD192" i="13"/>
  <c r="ME192" i="13" s="1"/>
  <c r="LW195" i="13"/>
  <c r="LX195" i="13" s="1"/>
  <c r="AC195" i="13"/>
  <c r="AB195" i="13"/>
  <c r="M191" i="13"/>
  <c r="EH191" i="13"/>
  <c r="MD191" i="13"/>
  <c r="ME191" i="13" s="1"/>
  <c r="AM192" i="13"/>
  <c r="KE192" i="13"/>
  <c r="JW195" i="13"/>
  <c r="GN196" i="13"/>
  <c r="MI193" i="13"/>
  <c r="MM193" i="13" s="1"/>
  <c r="KE195" i="13"/>
  <c r="GN194" i="13"/>
  <c r="GN195" i="13"/>
  <c r="NA195" i="13"/>
  <c r="MY195" i="13"/>
  <c r="MO195" i="13"/>
  <c r="GT195" i="13"/>
  <c r="GT194" i="13"/>
  <c r="EB195" i="13"/>
  <c r="CG195" i="13"/>
  <c r="LW198" i="13"/>
  <c r="LX198" i="13" s="1"/>
  <c r="AC198" i="13"/>
  <c r="AB198" i="13"/>
  <c r="AK198" i="13" s="1"/>
  <c r="EN193" i="13"/>
  <c r="AB194" i="13"/>
  <c r="AK194" i="13" s="1"/>
  <c r="EF194" i="13"/>
  <c r="DD195" i="13"/>
  <c r="ES195" i="13"/>
  <c r="EC195" i="13"/>
  <c r="MD195" i="13"/>
  <c r="ME195" i="13" s="1"/>
  <c r="MY198" i="13"/>
  <c r="NA198" i="13"/>
  <c r="MO198" i="13"/>
  <c r="MI191" i="13"/>
  <c r="MM191" i="13" s="1"/>
  <c r="N193" i="13"/>
  <c r="LW194" i="13"/>
  <c r="LX194" i="13" s="1"/>
  <c r="AC194" i="13"/>
  <c r="N196" i="13"/>
  <c r="AG196" i="13"/>
  <c r="EW195" i="13"/>
  <c r="EX195" i="13" s="1"/>
  <c r="EP196" i="13"/>
  <c r="AG192" i="13"/>
  <c r="EN194" i="13"/>
  <c r="KE196" i="13"/>
  <c r="MY197" i="13"/>
  <c r="MO197" i="13"/>
  <c r="NA197" i="13"/>
  <c r="AG195" i="13"/>
  <c r="EB196" i="13"/>
  <c r="DD196" i="13"/>
  <c r="CG196" i="13"/>
  <c r="N197" i="13"/>
  <c r="AG197" i="13"/>
  <c r="EB194" i="13"/>
  <c r="EH196" i="13"/>
  <c r="AB196" i="13" s="1"/>
  <c r="EP197" i="13"/>
  <c r="AC196" i="13"/>
  <c r="EO196" i="13"/>
  <c r="MI196" i="13"/>
  <c r="MM196" i="13" s="1"/>
  <c r="GN198" i="13"/>
  <c r="MD196" i="13"/>
  <c r="ME196" i="13" s="1"/>
  <c r="JW197" i="13"/>
  <c r="DD194" i="13"/>
  <c r="EI195" i="13"/>
  <c r="MJ195" i="13" s="1"/>
  <c r="LV195" i="13" s="1"/>
  <c r="JW199" i="13"/>
  <c r="KE197" i="13"/>
  <c r="GN197" i="13"/>
  <c r="EI198" i="13"/>
  <c r="MJ198" i="13" s="1"/>
  <c r="LV198" i="13" s="1"/>
  <c r="EF198" i="13"/>
  <c r="EN195" i="13"/>
  <c r="JW196" i="13"/>
  <c r="GN199" i="13"/>
  <c r="KE199" i="13"/>
  <c r="KE200" i="13"/>
  <c r="FS205" i="13"/>
  <c r="IZ205" i="13"/>
  <c r="EB197" i="13"/>
  <c r="NA199" i="13"/>
  <c r="MY199" i="13"/>
  <c r="MD198" i="13"/>
  <c r="ME198" i="13" s="1"/>
  <c r="MO199" i="13"/>
  <c r="GN200" i="13"/>
  <c r="AM199" i="13"/>
  <c r="M199" i="13"/>
  <c r="LW200" i="13"/>
  <c r="LX200" i="13" s="1"/>
  <c r="AC203" i="13"/>
  <c r="AM197" i="13"/>
  <c r="EF197" i="13"/>
  <c r="MY200" i="13"/>
  <c r="MO200" i="13"/>
  <c r="NA200" i="13"/>
  <c r="EB201" i="13"/>
  <c r="M197" i="13"/>
  <c r="MJ197" i="13"/>
  <c r="LV197" i="13" s="1"/>
  <c r="AH198" i="13"/>
  <c r="EH199" i="13"/>
  <c r="EN198" i="13"/>
  <c r="AJ198" i="13"/>
  <c r="AI198" i="13" s="1"/>
  <c r="EN200" i="13"/>
  <c r="EQ200" i="13"/>
  <c r="ML200" i="13" s="1"/>
  <c r="AJ200" i="13"/>
  <c r="AI200" i="13" s="1"/>
  <c r="EQ198" i="13"/>
  <c r="ML198" i="13" s="1"/>
  <c r="MC198" i="13" s="1"/>
  <c r="ES198" i="13"/>
  <c r="LW199" i="13"/>
  <c r="LX199" i="13" s="1"/>
  <c r="LW197" i="13"/>
  <c r="LX197" i="13" s="1"/>
  <c r="CG198" i="13"/>
  <c r="EB198" i="13"/>
  <c r="KE198" i="13"/>
  <c r="EO197" i="13"/>
  <c r="EC198" i="13"/>
  <c r="EC199" i="13"/>
  <c r="ES199" i="13"/>
  <c r="JW200" i="13"/>
  <c r="JW205" i="13"/>
  <c r="KE202" i="13"/>
  <c r="EB205" i="13"/>
  <c r="GN203" i="13"/>
  <c r="AG202" i="13"/>
  <c r="MY202" i="13"/>
  <c r="NA202" i="13"/>
  <c r="EB207" i="13"/>
  <c r="MJ200" i="13"/>
  <c r="LV200" i="13" s="1"/>
  <c r="EN202" i="13"/>
  <c r="AJ202" i="13"/>
  <c r="AI202" i="13" s="1"/>
  <c r="AG200" i="13"/>
  <c r="EO200" i="13"/>
  <c r="EQ202" i="13"/>
  <c r="ML202" i="13" s="1"/>
  <c r="MJ204" i="13"/>
  <c r="LV204" i="13" s="1"/>
  <c r="LW204" i="13"/>
  <c r="LX204" i="13" s="1"/>
  <c r="AH202" i="13"/>
  <c r="AM203" i="13"/>
  <c r="M203" i="13"/>
  <c r="EH203" i="13"/>
  <c r="LW203" i="13" s="1"/>
  <c r="LX203" i="13" s="1"/>
  <c r="EW204" i="13"/>
  <c r="EX204" i="13" s="1"/>
  <c r="EC204" i="13"/>
  <c r="ES204" i="13"/>
  <c r="AJ199" i="13"/>
  <c r="AI199" i="13" s="1"/>
  <c r="EI201" i="13"/>
  <c r="EF201" i="13"/>
  <c r="JW201" i="13"/>
  <c r="LW201" i="13"/>
  <c r="LX201" i="13" s="1"/>
  <c r="EN199" i="13"/>
  <c r="MJ201" i="13"/>
  <c r="LV201" i="13" s="1"/>
  <c r="GT203" i="13"/>
  <c r="AC205" i="13"/>
  <c r="GN205" i="13"/>
  <c r="DD201" i="13"/>
  <c r="CG201" i="13"/>
  <c r="EO201" i="13"/>
  <c r="MI201" i="13"/>
  <c r="MM201" i="13" s="1"/>
  <c r="N201" i="13"/>
  <c r="AG201" i="13"/>
  <c r="EP201" i="13"/>
  <c r="GN201" i="13"/>
  <c r="N202" i="13"/>
  <c r="M200" i="13"/>
  <c r="MD201" i="13"/>
  <c r="ME201" i="13" s="1"/>
  <c r="AH201" i="13"/>
  <c r="AB201" i="13"/>
  <c r="JW202" i="13"/>
  <c r="EP204" i="13"/>
  <c r="MD204" i="13" s="1"/>
  <c r="ME204" i="13" s="1"/>
  <c r="AG204" i="13"/>
  <c r="AK204" i="13" s="1"/>
  <c r="GN209" i="13"/>
  <c r="GN202" i="13"/>
  <c r="N203" i="13"/>
  <c r="EO203" i="13"/>
  <c r="MI203" i="13"/>
  <c r="MM203" i="13" s="1"/>
  <c r="EH202" i="13"/>
  <c r="EP205" i="13"/>
  <c r="EP203" i="13"/>
  <c r="GN206" i="13"/>
  <c r="EB206" i="13"/>
  <c r="DD206" i="13"/>
  <c r="CG206" i="13"/>
  <c r="AC208" i="13"/>
  <c r="M202" i="13"/>
  <c r="ES205" i="13"/>
  <c r="GT207" i="13"/>
  <c r="M209" i="13"/>
  <c r="AM209" i="13"/>
  <c r="GT209" i="13"/>
  <c r="EH209" i="13"/>
  <c r="EF204" i="13"/>
  <c r="EW205" i="13"/>
  <c r="EX205" i="13" s="1"/>
  <c r="EO202" i="13"/>
  <c r="GT204" i="13"/>
  <c r="AG205" i="13"/>
  <c r="AH205" i="13"/>
  <c r="N206" i="13"/>
  <c r="EP206" i="13"/>
  <c r="AG206" i="13"/>
  <c r="NA206" i="13"/>
  <c r="GN208" i="13"/>
  <c r="AH208" i="13"/>
  <c r="EQ209" i="13"/>
  <c r="EN209" i="13"/>
  <c r="M206" i="13"/>
  <c r="EH206" i="13"/>
  <c r="CG207" i="13"/>
  <c r="EH208" i="13"/>
  <c r="AB208" i="13" s="1"/>
  <c r="M208" i="13"/>
  <c r="GT206" i="13"/>
  <c r="JW206" i="13"/>
  <c r="EP207" i="13"/>
  <c r="AG207" i="13" s="1"/>
  <c r="KE209" i="13"/>
  <c r="EH205" i="13"/>
  <c r="AB205" i="13" s="1"/>
  <c r="ES207" i="13"/>
  <c r="GN207" i="13"/>
  <c r="JW207" i="13"/>
  <c r="KE206" i="13"/>
  <c r="EO208" i="13"/>
  <c r="JW211" i="13"/>
  <c r="EP208" i="13"/>
  <c r="KA211" i="13"/>
  <c r="EO206" i="13"/>
  <c r="EC207" i="13"/>
  <c r="AH209" i="13"/>
  <c r="ML209" i="13"/>
  <c r="MC209" i="13" s="1"/>
  <c r="MD209" i="13"/>
  <c r="ME209" i="13" s="1"/>
  <c r="CG210" i="13"/>
  <c r="DD210" i="13"/>
  <c r="MI204" i="13"/>
  <c r="MM204" i="13" s="1"/>
  <c r="LW206" i="13"/>
  <c r="LX206" i="13" s="1"/>
  <c r="AM206" i="13"/>
  <c r="KE207" i="13"/>
  <c r="AM208" i="13"/>
  <c r="LW207" i="13"/>
  <c r="LX207" i="13" s="1"/>
  <c r="EB208" i="13"/>
  <c r="AH210" i="13"/>
  <c r="AC213" i="13"/>
  <c r="EW209" i="13"/>
  <c r="EX209" i="13" s="1"/>
  <c r="GT210" i="13"/>
  <c r="EF214" i="13"/>
  <c r="DD208" i="13"/>
  <c r="MJ210" i="13"/>
  <c r="LV210" i="13" s="1"/>
  <c r="LW210" i="13"/>
  <c r="LX210" i="13" s="1"/>
  <c r="AG211" i="13"/>
  <c r="EW211" i="13"/>
  <c r="EX211" i="13" s="1"/>
  <c r="ES211" i="13"/>
  <c r="EC211" i="13"/>
  <c r="AG212" i="13"/>
  <c r="EP212" i="13"/>
  <c r="JW212" i="13"/>
  <c r="ES209" i="13"/>
  <c r="EP210" i="13"/>
  <c r="EQ211" i="13"/>
  <c r="ML211" i="13" s="1"/>
  <c r="MC211" i="13" s="1"/>
  <c r="JW209" i="13"/>
  <c r="GN210" i="13"/>
  <c r="AC207" i="13"/>
  <c r="LW212" i="13"/>
  <c r="LX212" i="13" s="1"/>
  <c r="AC212" i="13"/>
  <c r="MJ212" i="13"/>
  <c r="LV212" i="13" s="1"/>
  <c r="AB212" i="13"/>
  <c r="EC209" i="13"/>
  <c r="AB210" i="13"/>
  <c r="EB211" i="13"/>
  <c r="DD211" i="13"/>
  <c r="GJ211" i="13"/>
  <c r="ES212" i="13"/>
  <c r="EC212" i="13"/>
  <c r="EI213" i="13"/>
  <c r="MJ213" i="13" s="1"/>
  <c r="LV213" i="13" s="1"/>
  <c r="ES214" i="13"/>
  <c r="EC214" i="13"/>
  <c r="EP214" i="13"/>
  <c r="MD214" i="13" s="1"/>
  <c r="ME214" i="13" s="1"/>
  <c r="EW213" i="13"/>
  <c r="EX213" i="13" s="1"/>
  <c r="ES213" i="13"/>
  <c r="EC213" i="13"/>
  <c r="CG212" i="13"/>
  <c r="EB212" i="13"/>
  <c r="GN212" i="13"/>
  <c r="GN213" i="13"/>
  <c r="KE213" i="13"/>
  <c r="MJ211" i="13"/>
  <c r="LV211" i="13" s="1"/>
  <c r="EN213" i="13"/>
  <c r="AB209" i="13"/>
  <c r="AB211" i="13"/>
  <c r="EO210" i="13"/>
  <c r="AC211" i="13"/>
  <c r="JW214" i="13"/>
  <c r="AH212" i="13"/>
  <c r="MD212" i="13"/>
  <c r="ME212" i="13" s="1"/>
  <c r="MD213" i="13"/>
  <c r="ME213" i="13" s="1"/>
  <c r="AH213" i="13"/>
  <c r="ML213" i="13"/>
  <c r="MC213" i="13" s="1"/>
  <c r="AM213" i="13"/>
  <c r="GT213" i="13"/>
  <c r="M214" i="13"/>
  <c r="KE214" i="13"/>
  <c r="AC214" i="13"/>
  <c r="AJ140" i="13" l="1"/>
  <c r="AI140" i="13" s="1"/>
  <c r="AB97" i="13"/>
  <c r="EQ89" i="13"/>
  <c r="ML89" i="13" s="1"/>
  <c r="MC89" i="13" s="1"/>
  <c r="KG30" i="13"/>
  <c r="GP32" i="13"/>
  <c r="KG28" i="13"/>
  <c r="LW18" i="13"/>
  <c r="LX18" i="13" s="1"/>
  <c r="EU23" i="13"/>
  <c r="EF25" i="13"/>
  <c r="EI25" i="13"/>
  <c r="MJ25" i="13" s="1"/>
  <c r="LV25" i="13" s="1"/>
  <c r="MD75" i="13"/>
  <c r="ME75" i="13" s="1"/>
  <c r="AK58" i="13"/>
  <c r="MY54" i="13"/>
  <c r="OE34" i="13"/>
  <c r="GP28" i="13"/>
  <c r="GP22" i="13"/>
  <c r="EF81" i="13"/>
  <c r="AB81" i="13"/>
  <c r="AK81" i="13" s="1"/>
  <c r="EI81" i="13"/>
  <c r="MJ81" i="13" s="1"/>
  <c r="LV81" i="13" s="1"/>
  <c r="AK57" i="13"/>
  <c r="EF34" i="13"/>
  <c r="KG19" i="13"/>
  <c r="LW17" i="13"/>
  <c r="LX17" i="13" s="1"/>
  <c r="AB34" i="13"/>
  <c r="AK34" i="13" s="1"/>
  <c r="ES90" i="13"/>
  <c r="EW90" i="13"/>
  <c r="EX90" i="13" s="1"/>
  <c r="FF92" i="13"/>
  <c r="LY125" i="13"/>
  <c r="MA125" i="13" s="1"/>
  <c r="MB125" i="13" s="1"/>
  <c r="MK125" i="13" s="1"/>
  <c r="EW102" i="13"/>
  <c r="EX102" i="13" s="1"/>
  <c r="MC84" i="13"/>
  <c r="AK37" i="13"/>
  <c r="AK25" i="13"/>
  <c r="AK21" i="13"/>
  <c r="EY34" i="13"/>
  <c r="IM54" i="13"/>
  <c r="IN54" i="13" s="1"/>
  <c r="EC76" i="13"/>
  <c r="EW76" i="13"/>
  <c r="EX76" i="13" s="1"/>
  <c r="ES76" i="13"/>
  <c r="LW27" i="13"/>
  <c r="LX27" i="13" s="1"/>
  <c r="FF40" i="13"/>
  <c r="FF35" i="13"/>
  <c r="GP34" i="13"/>
  <c r="LW16" i="13"/>
  <c r="LX16" i="13" s="1"/>
  <c r="OE23" i="13"/>
  <c r="GP20" i="13"/>
  <c r="LY147" i="13"/>
  <c r="MA147" i="13" s="1"/>
  <c r="MB147" i="13" s="1"/>
  <c r="MK147" i="13" s="1"/>
  <c r="MX147" i="13" s="1"/>
  <c r="FS95" i="13"/>
  <c r="AB86" i="13"/>
  <c r="AK86" i="13" s="1"/>
  <c r="MD74" i="13"/>
  <c r="ME74" i="13" s="1"/>
  <c r="AK60" i="13"/>
  <c r="KG21" i="13"/>
  <c r="GP23" i="13"/>
  <c r="EY35" i="13"/>
  <c r="EI63" i="13"/>
  <c r="MJ63" i="13" s="1"/>
  <c r="LV63" i="13" s="1"/>
  <c r="EF63" i="13"/>
  <c r="AJ108" i="13"/>
  <c r="AI108" i="13" s="1"/>
  <c r="NA54" i="13"/>
  <c r="LY43" i="13"/>
  <c r="MA43" i="13" s="1"/>
  <c r="MB43" i="13" s="1"/>
  <c r="MK43" i="13" s="1"/>
  <c r="NA38" i="13"/>
  <c r="KG25" i="13"/>
  <c r="KG18" i="13"/>
  <c r="MF18" i="13"/>
  <c r="MH18" i="13" s="1"/>
  <c r="LW42" i="13"/>
  <c r="LX42" i="13" s="1"/>
  <c r="EN89" i="13"/>
  <c r="AJ213" i="13"/>
  <c r="AI213" i="13" s="1"/>
  <c r="AK211" i="13"/>
  <c r="MO38" i="13"/>
  <c r="LW15" i="13"/>
  <c r="LX15" i="13" s="1"/>
  <c r="AB23" i="13"/>
  <c r="AK23" i="13" s="1"/>
  <c r="IM38" i="13"/>
  <c r="IN38" i="13" s="1"/>
  <c r="EY23" i="13"/>
  <c r="GP16" i="13"/>
  <c r="AB88" i="13"/>
  <c r="FF89" i="13"/>
  <c r="AK59" i="13"/>
  <c r="EC35" i="13"/>
  <c r="GP24" i="13"/>
  <c r="LW23" i="13"/>
  <c r="LX23" i="13" s="1"/>
  <c r="EF90" i="13"/>
  <c r="EI90" i="13"/>
  <c r="MJ90" i="13" s="1"/>
  <c r="LV90" i="13" s="1"/>
  <c r="LY90" i="13" s="1"/>
  <c r="MA90" i="13" s="1"/>
  <c r="MB90" i="13" s="1"/>
  <c r="MK90" i="13" s="1"/>
  <c r="ET82" i="13"/>
  <c r="IS82" i="13"/>
  <c r="IU82" i="13" s="1"/>
  <c r="IV82" i="13" s="1"/>
  <c r="ET94" i="13"/>
  <c r="IS94" i="13"/>
  <c r="IU94" i="13" s="1"/>
  <c r="IV94" i="13" s="1"/>
  <c r="AK71" i="13"/>
  <c r="AK49" i="13"/>
  <c r="EI105" i="13"/>
  <c r="MJ105" i="13" s="1"/>
  <c r="LV105" i="13" s="1"/>
  <c r="EF105" i="13"/>
  <c r="EF213" i="13"/>
  <c r="EI214" i="13"/>
  <c r="MJ214" i="13" s="1"/>
  <c r="LV214" i="13" s="1"/>
  <c r="MF192" i="13"/>
  <c r="MH192" i="13" s="1"/>
  <c r="FF182" i="13"/>
  <c r="EQ160" i="13"/>
  <c r="ML160" i="13" s="1"/>
  <c r="MC160" i="13" s="1"/>
  <c r="LW105" i="13"/>
  <c r="LX105" i="13" s="1"/>
  <c r="IM169" i="13"/>
  <c r="IN169" i="13" s="1"/>
  <c r="EF115" i="13"/>
  <c r="EI115" i="13"/>
  <c r="MJ115" i="13" s="1"/>
  <c r="LV115" i="13" s="1"/>
  <c r="LY115" i="13" s="1"/>
  <c r="MA115" i="13" s="1"/>
  <c r="MB115" i="13" s="1"/>
  <c r="MK115" i="13" s="1"/>
  <c r="NA158" i="13"/>
  <c r="MO158" i="13"/>
  <c r="AB214" i="13"/>
  <c r="AG139" i="13"/>
  <c r="AJ119" i="13"/>
  <c r="AI119" i="13" s="1"/>
  <c r="AB213" i="13"/>
  <c r="AK213" i="13" s="1"/>
  <c r="EC183" i="13"/>
  <c r="EY138" i="13"/>
  <c r="FA138" i="13" s="1"/>
  <c r="FB138" i="13" s="1"/>
  <c r="EW104" i="13"/>
  <c r="AJ104" i="13" s="1"/>
  <c r="AI104" i="13" s="1"/>
  <c r="FS189" i="13"/>
  <c r="IZ189" i="13"/>
  <c r="MD137" i="13"/>
  <c r="ME137" i="13" s="1"/>
  <c r="MD104" i="13"/>
  <c r="ME104" i="13" s="1"/>
  <c r="EU213" i="13"/>
  <c r="LW213" i="13"/>
  <c r="LX213" i="13" s="1"/>
  <c r="EW183" i="13"/>
  <c r="EX183" i="13" s="1"/>
  <c r="MY154" i="13"/>
  <c r="EW134" i="13"/>
  <c r="EX134" i="13" s="1"/>
  <c r="AG134" i="13"/>
  <c r="EU105" i="13"/>
  <c r="EU214" i="13"/>
  <c r="EI193" i="13"/>
  <c r="MJ193" i="13" s="1"/>
  <c r="LV193" i="13" s="1"/>
  <c r="EF193" i="13"/>
  <c r="MC186" i="13"/>
  <c r="MD169" i="13"/>
  <c r="ME169" i="13" s="1"/>
  <c r="LW168" i="13"/>
  <c r="LX168" i="13" s="1"/>
  <c r="MO154" i="13"/>
  <c r="EW103" i="13"/>
  <c r="EX103" i="13" s="1"/>
  <c r="EU131" i="13"/>
  <c r="AE131" i="13" s="1"/>
  <c r="AD131" i="13" s="1"/>
  <c r="IM154" i="13"/>
  <c r="IN154" i="13" s="1"/>
  <c r="EI189" i="13"/>
  <c r="MJ189" i="13" s="1"/>
  <c r="LV189" i="13" s="1"/>
  <c r="LY189" i="13" s="1"/>
  <c r="MA189" i="13" s="1"/>
  <c r="MB189" i="13" s="1"/>
  <c r="MK189" i="13" s="1"/>
  <c r="AB189" i="13"/>
  <c r="AK189" i="13" s="1"/>
  <c r="EQ193" i="13"/>
  <c r="ML193" i="13" s="1"/>
  <c r="MC193" i="13" s="1"/>
  <c r="MF193" i="13" s="1"/>
  <c r="MH193" i="13" s="1"/>
  <c r="AJ193" i="13"/>
  <c r="AI193" i="13" s="1"/>
  <c r="FF178" i="13"/>
  <c r="FG178" i="13" s="1"/>
  <c r="ES169" i="13"/>
  <c r="AG115" i="13"/>
  <c r="IM186" i="13"/>
  <c r="IN186" i="13" s="1"/>
  <c r="IS189" i="13"/>
  <c r="IU189" i="13" s="1"/>
  <c r="IV189" i="13" s="1"/>
  <c r="ET189" i="13"/>
  <c r="EW178" i="13"/>
  <c r="EX178" i="13" s="1"/>
  <c r="EC178" i="13"/>
  <c r="EI149" i="13"/>
  <c r="MJ149" i="13" s="1"/>
  <c r="LV149" i="13" s="1"/>
  <c r="AB149" i="13"/>
  <c r="AK149" i="13" s="1"/>
  <c r="MC138" i="13"/>
  <c r="EC169" i="13"/>
  <c r="AK164" i="13"/>
  <c r="AK165" i="13"/>
  <c r="MD161" i="13"/>
  <c r="ME161" i="13" s="1"/>
  <c r="EN161" i="13"/>
  <c r="EN104" i="13"/>
  <c r="ES183" i="13"/>
  <c r="EC186" i="13"/>
  <c r="MD160" i="13"/>
  <c r="ME160" i="13" s="1"/>
  <c r="EQ161" i="13"/>
  <c r="ML161" i="13" s="1"/>
  <c r="MC161" i="13" s="1"/>
  <c r="EY131" i="13"/>
  <c r="FA131" i="13" s="1"/>
  <c r="FB131" i="13" s="1"/>
  <c r="EQ195" i="13"/>
  <c r="ML195" i="13" s="1"/>
  <c r="MC195" i="13" s="1"/>
  <c r="AJ195" i="13"/>
  <c r="AI195" i="13" s="1"/>
  <c r="AK160" i="13"/>
  <c r="ES186" i="13"/>
  <c r="AG104" i="13"/>
  <c r="EI118" i="13"/>
  <c r="MJ118" i="13" s="1"/>
  <c r="LV118" i="13" s="1"/>
  <c r="LY118" i="13" s="1"/>
  <c r="MA118" i="13" s="1"/>
  <c r="MB118" i="13" s="1"/>
  <c r="MK118" i="13" s="1"/>
  <c r="EF118" i="13"/>
  <c r="FF199" i="13"/>
  <c r="FG199" i="13" s="1"/>
  <c r="MD186" i="13"/>
  <c r="ME186" i="13" s="1"/>
  <c r="MC177" i="13"/>
  <c r="MF177" i="13" s="1"/>
  <c r="MH177" i="13" s="1"/>
  <c r="AK151" i="13"/>
  <c r="EW139" i="13"/>
  <c r="EX139" i="13" s="1"/>
  <c r="LW131" i="13"/>
  <c r="LX131" i="13" s="1"/>
  <c r="AG214" i="13"/>
  <c r="AK195" i="13"/>
  <c r="AB136" i="13"/>
  <c r="IM199" i="13"/>
  <c r="IN199" i="13" s="1"/>
  <c r="EF171" i="13"/>
  <c r="EI171" i="13"/>
  <c r="MJ171" i="13" s="1"/>
  <c r="LV171" i="13" s="1"/>
  <c r="LY171" i="13" s="1"/>
  <c r="MA171" i="13" s="1"/>
  <c r="MB171" i="13" s="1"/>
  <c r="MK171" i="13" s="1"/>
  <c r="MD199" i="13"/>
  <c r="ME199" i="13" s="1"/>
  <c r="AB105" i="13"/>
  <c r="EQ173" i="13"/>
  <c r="ML173" i="13" s="1"/>
  <c r="MC173" i="13" s="1"/>
  <c r="MF173" i="13" s="1"/>
  <c r="MH173" i="13" s="1"/>
  <c r="AJ173" i="13"/>
  <c r="AI173" i="13" s="1"/>
  <c r="EN173" i="13"/>
  <c r="LY152" i="13"/>
  <c r="MA152" i="13" s="1"/>
  <c r="MB152" i="13" s="1"/>
  <c r="MK152" i="13" s="1"/>
  <c r="MF129" i="13"/>
  <c r="MH129" i="13" s="1"/>
  <c r="MI129" i="13" s="1"/>
  <c r="MM129" i="13" s="1"/>
  <c r="LY129" i="13"/>
  <c r="MA129" i="13" s="1"/>
  <c r="MB129" i="13" s="1"/>
  <c r="MK129" i="13" s="1"/>
  <c r="MF211" i="13"/>
  <c r="MH211" i="13" s="1"/>
  <c r="MI211" i="13" s="1"/>
  <c r="MM211" i="13" s="1"/>
  <c r="LY172" i="13"/>
  <c r="MA172" i="13" s="1"/>
  <c r="MB172" i="13" s="1"/>
  <c r="MK172" i="13" s="1"/>
  <c r="MF130" i="13"/>
  <c r="MH130" i="13" s="1"/>
  <c r="MI130" i="13" s="1"/>
  <c r="MM130" i="13" s="1"/>
  <c r="LY175" i="13"/>
  <c r="MA175" i="13" s="1"/>
  <c r="MB175" i="13" s="1"/>
  <c r="MK175" i="13" s="1"/>
  <c r="MF144" i="13"/>
  <c r="MH144" i="13" s="1"/>
  <c r="MI144" i="13" s="1"/>
  <c r="MM144" i="13" s="1"/>
  <c r="LY139" i="13"/>
  <c r="MA139" i="13" s="1"/>
  <c r="MB139" i="13" s="1"/>
  <c r="MK139" i="13" s="1"/>
  <c r="MF111" i="13"/>
  <c r="MH111" i="13" s="1"/>
  <c r="MI111" i="13" s="1"/>
  <c r="MM111" i="13" s="1"/>
  <c r="LY173" i="13"/>
  <c r="MA173" i="13" s="1"/>
  <c r="MB173" i="13" s="1"/>
  <c r="MK173" i="13" s="1"/>
  <c r="AK119" i="13"/>
  <c r="MF110" i="13"/>
  <c r="MH110" i="13" s="1"/>
  <c r="MI110" i="13" s="1"/>
  <c r="MM110" i="13" s="1"/>
  <c r="MF189" i="13"/>
  <c r="MH189" i="13" s="1"/>
  <c r="MH198" i="13"/>
  <c r="MF198" i="13"/>
  <c r="MF132" i="13"/>
  <c r="MH132" i="13" s="1"/>
  <c r="MI132" i="13" s="1"/>
  <c r="MM132" i="13" s="1"/>
  <c r="MF191" i="13"/>
  <c r="MH191" i="13" s="1"/>
  <c r="MF149" i="13"/>
  <c r="MH149" i="13" s="1"/>
  <c r="LY145" i="13"/>
  <c r="MA145" i="13" s="1"/>
  <c r="MB145" i="13" s="1"/>
  <c r="MK145" i="13" s="1"/>
  <c r="MF108" i="13"/>
  <c r="MH108" i="13" s="1"/>
  <c r="MI108" i="13" s="1"/>
  <c r="MM108" i="13" s="1"/>
  <c r="LY135" i="13"/>
  <c r="MA135" i="13" s="1"/>
  <c r="MB135" i="13" s="1"/>
  <c r="MK135" i="13" s="1"/>
  <c r="MA155" i="13"/>
  <c r="MB155" i="13" s="1"/>
  <c r="MK155" i="13" s="1"/>
  <c r="LY155" i="13"/>
  <c r="LY124" i="13"/>
  <c r="MA124" i="13" s="1"/>
  <c r="MB124" i="13" s="1"/>
  <c r="MK124" i="13" s="1"/>
  <c r="LY114" i="13"/>
  <c r="MA114" i="13" s="1"/>
  <c r="MB114" i="13" s="1"/>
  <c r="MK114" i="13" s="1"/>
  <c r="LY85" i="13"/>
  <c r="MA85" i="13" s="1"/>
  <c r="MB85" i="13" s="1"/>
  <c r="MK85" i="13" s="1"/>
  <c r="LY195" i="13"/>
  <c r="MA195" i="13" s="1"/>
  <c r="MB195" i="13" s="1"/>
  <c r="MK195" i="13" s="1"/>
  <c r="LY128" i="13"/>
  <c r="MA128" i="13" s="1"/>
  <c r="MB128" i="13" s="1"/>
  <c r="MK128" i="13" s="1"/>
  <c r="MY131" i="13"/>
  <c r="NA131" i="13" s="1"/>
  <c r="MO131" i="13"/>
  <c r="FF131" i="13" s="1"/>
  <c r="IM131" i="13"/>
  <c r="IN131" i="13" s="1"/>
  <c r="ET212" i="13"/>
  <c r="IS212" i="13"/>
  <c r="IU212" i="13" s="1"/>
  <c r="IV212" i="13" s="1"/>
  <c r="MY201" i="13"/>
  <c r="NA201" i="13"/>
  <c r="MO201" i="13"/>
  <c r="IM201" i="13"/>
  <c r="IN201" i="13" s="1"/>
  <c r="EW200" i="13"/>
  <c r="EX200" i="13" s="1"/>
  <c r="EC200" i="13"/>
  <c r="ES200" i="13"/>
  <c r="IM200" i="13"/>
  <c r="IN200" i="13" s="1"/>
  <c r="EY200" i="13"/>
  <c r="FA200" i="13" s="1"/>
  <c r="FB200" i="13" s="1"/>
  <c r="MC200" i="13"/>
  <c r="MF194" i="13"/>
  <c r="MH194" i="13" s="1"/>
  <c r="N214" i="13"/>
  <c r="N213" i="13"/>
  <c r="N207" i="13"/>
  <c r="N212" i="13"/>
  <c r="N210" i="13"/>
  <c r="N211" i="13"/>
  <c r="N209" i="13"/>
  <c r="N208" i="13"/>
  <c r="IS187" i="13"/>
  <c r="IU187" i="13" s="1"/>
  <c r="IV187" i="13" s="1"/>
  <c r="ET187" i="13"/>
  <c r="EI177" i="13"/>
  <c r="MJ177" i="13" s="1"/>
  <c r="LV177" i="13" s="1"/>
  <c r="EF177" i="13"/>
  <c r="EY177" i="13"/>
  <c r="FA177" i="13" s="1"/>
  <c r="FB177" i="13" s="1"/>
  <c r="EU177" i="13"/>
  <c r="LY174" i="13"/>
  <c r="MA174" i="13" s="1"/>
  <c r="MB174" i="13" s="1"/>
  <c r="MK174" i="13" s="1"/>
  <c r="EI167" i="13"/>
  <c r="MJ167" i="13" s="1"/>
  <c r="LV167" i="13" s="1"/>
  <c r="EF167" i="13"/>
  <c r="EY167" i="13"/>
  <c r="FA167" i="13" s="1"/>
  <c r="FB167" i="13" s="1"/>
  <c r="EU167" i="13"/>
  <c r="IZ169" i="13"/>
  <c r="FS169" i="13"/>
  <c r="ET161" i="13"/>
  <c r="IS161" i="13"/>
  <c r="IU161" i="13" s="1"/>
  <c r="IV161" i="13" s="1"/>
  <c r="NA149" i="13"/>
  <c r="MY149" i="13"/>
  <c r="MO149" i="13"/>
  <c r="FF149" i="13" s="1"/>
  <c r="IM149" i="13"/>
  <c r="IN149" i="13" s="1"/>
  <c r="EW157" i="13"/>
  <c r="EX157" i="13" s="1"/>
  <c r="ES157" i="13"/>
  <c r="EC157" i="13"/>
  <c r="IS142" i="13"/>
  <c r="IU142" i="13" s="1"/>
  <c r="IV142" i="13" s="1"/>
  <c r="ET142" i="13"/>
  <c r="ET140" i="13"/>
  <c r="IS140" i="13"/>
  <c r="IU140" i="13" s="1"/>
  <c r="IV140" i="13" s="1"/>
  <c r="EI120" i="13"/>
  <c r="MJ120" i="13" s="1"/>
  <c r="LV120" i="13" s="1"/>
  <c r="EF120" i="13"/>
  <c r="EY120" i="13"/>
  <c r="FA120" i="13" s="1"/>
  <c r="FB120" i="13" s="1"/>
  <c r="EU120" i="13"/>
  <c r="EN141" i="13"/>
  <c r="EQ141" i="13"/>
  <c r="ML141" i="13" s="1"/>
  <c r="MC141" i="13" s="1"/>
  <c r="EY141" i="13"/>
  <c r="FA141" i="13" s="1"/>
  <c r="FB141" i="13" s="1"/>
  <c r="LY122" i="13"/>
  <c r="MA122" i="13" s="1"/>
  <c r="MB122" i="13" s="1"/>
  <c r="MK122" i="13" s="1"/>
  <c r="LY131" i="13"/>
  <c r="MA131" i="13" s="1"/>
  <c r="MB131" i="13" s="1"/>
  <c r="MK131" i="13" s="1"/>
  <c r="ET116" i="13"/>
  <c r="IS116" i="13"/>
  <c r="IU116" i="13" s="1"/>
  <c r="IV116" i="13" s="1"/>
  <c r="IZ122" i="13"/>
  <c r="FS122" i="13"/>
  <c r="EI103" i="13"/>
  <c r="MJ103" i="13" s="1"/>
  <c r="LV103" i="13" s="1"/>
  <c r="EF103" i="13"/>
  <c r="EU103" i="13"/>
  <c r="EY103" i="13"/>
  <c r="FA103" i="13" s="1"/>
  <c r="FB103" i="13" s="1"/>
  <c r="EQ105" i="13"/>
  <c r="ML105" i="13" s="1"/>
  <c r="MC105" i="13" s="1"/>
  <c r="EN105" i="13"/>
  <c r="EW105" i="13"/>
  <c r="EX105" i="13" s="1"/>
  <c r="EC105" i="13"/>
  <c r="ES105" i="13"/>
  <c r="EY105" i="13"/>
  <c r="FA105" i="13" s="1"/>
  <c r="FB105" i="13" s="1"/>
  <c r="FS90" i="13"/>
  <c r="IZ90" i="13"/>
  <c r="MO71" i="13"/>
  <c r="FF71" i="13" s="1"/>
  <c r="NA71" i="13"/>
  <c r="MY71" i="13"/>
  <c r="IM71" i="13"/>
  <c r="IN71" i="13" s="1"/>
  <c r="IZ79" i="13"/>
  <c r="FS79" i="13"/>
  <c r="MF70" i="13"/>
  <c r="MH70" i="13" s="1"/>
  <c r="EV86" i="13"/>
  <c r="AE86" i="13"/>
  <c r="AD86" i="13" s="1"/>
  <c r="LY54" i="13"/>
  <c r="MA54" i="13" s="1"/>
  <c r="MB54" i="13" s="1"/>
  <c r="MK54" i="13" s="1"/>
  <c r="ET56" i="13"/>
  <c r="IS56" i="13"/>
  <c r="IU56" i="13" s="1"/>
  <c r="IV56" i="13" s="1"/>
  <c r="EW51" i="13"/>
  <c r="EX51" i="13" s="1"/>
  <c r="ES51" i="13"/>
  <c r="EC51" i="13"/>
  <c r="MD51" i="13"/>
  <c r="ME51" i="13" s="1"/>
  <c r="EY51" i="13"/>
  <c r="FA51" i="13" s="1"/>
  <c r="FB51" i="13" s="1"/>
  <c r="EV21" i="13"/>
  <c r="AE21" i="13"/>
  <c r="AD21" i="13" s="1"/>
  <c r="H96" i="12"/>
  <c r="I96" i="12" s="1"/>
  <c r="J96" i="12" s="1"/>
  <c r="K96" i="12" s="1"/>
  <c r="M96" i="12" s="1"/>
  <c r="AE63" i="13"/>
  <c r="AD63" i="13" s="1"/>
  <c r="EV63" i="13"/>
  <c r="EN205" i="13"/>
  <c r="AJ205" i="13"/>
  <c r="AI205" i="13" s="1"/>
  <c r="EQ205" i="13"/>
  <c r="ML205" i="13" s="1"/>
  <c r="EW201" i="13"/>
  <c r="EX201" i="13" s="1"/>
  <c r="ES201" i="13"/>
  <c r="EC201" i="13"/>
  <c r="EY201" i="13"/>
  <c r="FA201" i="13" s="1"/>
  <c r="FB201" i="13" s="1"/>
  <c r="IZ193" i="13"/>
  <c r="FS193" i="13"/>
  <c r="IZ188" i="13"/>
  <c r="FS188" i="13"/>
  <c r="IZ183" i="13"/>
  <c r="FS183" i="13"/>
  <c r="FS161" i="13"/>
  <c r="IZ161" i="13"/>
  <c r="AJ165" i="13"/>
  <c r="AI165" i="13" s="1"/>
  <c r="EQ165" i="13"/>
  <c r="ML165" i="13" s="1"/>
  <c r="MC165" i="13" s="1"/>
  <c r="EN165" i="13"/>
  <c r="EI157" i="13"/>
  <c r="MJ157" i="13" s="1"/>
  <c r="LV157" i="13" s="1"/>
  <c r="EF157" i="13"/>
  <c r="EY157" i="13"/>
  <c r="FA157" i="13" s="1"/>
  <c r="FB157" i="13" s="1"/>
  <c r="EU157" i="13"/>
  <c r="FF162" i="13"/>
  <c r="LW157" i="13"/>
  <c r="LX157" i="13" s="1"/>
  <c r="MO155" i="13"/>
  <c r="NA155" i="13"/>
  <c r="MY155" i="13"/>
  <c r="IM155" i="13"/>
  <c r="IN155" i="13" s="1"/>
  <c r="NA157" i="13"/>
  <c r="MO157" i="13"/>
  <c r="MY157" i="13"/>
  <c r="IM157" i="13"/>
  <c r="IN157" i="13" s="1"/>
  <c r="AB146" i="13"/>
  <c r="EQ143" i="13"/>
  <c r="ML143" i="13" s="1"/>
  <c r="MC143" i="13" s="1"/>
  <c r="AJ143" i="13"/>
  <c r="AI143" i="13" s="1"/>
  <c r="EN143" i="13"/>
  <c r="EY143" i="13"/>
  <c r="FA143" i="13" s="1"/>
  <c r="FB143" i="13" s="1"/>
  <c r="MH148" i="13"/>
  <c r="MF148" i="13"/>
  <c r="EQ135" i="13"/>
  <c r="ML135" i="13" s="1"/>
  <c r="MC135" i="13" s="1"/>
  <c r="EN135" i="13"/>
  <c r="EY135" i="13"/>
  <c r="FA135" i="13" s="1"/>
  <c r="FB135" i="13" s="1"/>
  <c r="EW135" i="13"/>
  <c r="EX135" i="13" s="1"/>
  <c r="AG141" i="13"/>
  <c r="AK141" i="13" s="1"/>
  <c r="AK135" i="13"/>
  <c r="MN125" i="13"/>
  <c r="FD125" i="13" s="1"/>
  <c r="FE125" i="13" s="1"/>
  <c r="MX125" i="13"/>
  <c r="IZ118" i="13"/>
  <c r="FS118" i="13"/>
  <c r="ET122" i="13"/>
  <c r="IS122" i="13"/>
  <c r="IU122" i="13" s="1"/>
  <c r="IV122" i="13" s="1"/>
  <c r="EI109" i="13"/>
  <c r="MJ109" i="13" s="1"/>
  <c r="LV109" i="13" s="1"/>
  <c r="EF109" i="13"/>
  <c r="EU109" i="13"/>
  <c r="EY109" i="13"/>
  <c r="FA109" i="13" s="1"/>
  <c r="FB109" i="13" s="1"/>
  <c r="EI107" i="13"/>
  <c r="MJ107" i="13" s="1"/>
  <c r="LV107" i="13" s="1"/>
  <c r="EF107" i="13"/>
  <c r="EY107" i="13"/>
  <c r="FA107" i="13" s="1"/>
  <c r="FB107" i="13" s="1"/>
  <c r="EU107" i="13"/>
  <c r="LW107" i="13"/>
  <c r="LX107" i="13" s="1"/>
  <c r="EQ109" i="13"/>
  <c r="ML109" i="13" s="1"/>
  <c r="MC109" i="13" s="1"/>
  <c r="EN109" i="13"/>
  <c r="AJ109" i="13"/>
  <c r="AI109" i="13" s="1"/>
  <c r="LW111" i="13"/>
  <c r="LX111" i="13" s="1"/>
  <c r="AJ102" i="13"/>
  <c r="AI102" i="13" s="1"/>
  <c r="EQ102" i="13"/>
  <c r="ML102" i="13" s="1"/>
  <c r="MC102" i="13" s="1"/>
  <c r="EN102" i="13"/>
  <c r="NA85" i="13"/>
  <c r="MY85" i="13"/>
  <c r="MO85" i="13"/>
  <c r="IM85" i="13"/>
  <c r="IN85" i="13" s="1"/>
  <c r="EN97" i="13"/>
  <c r="AJ97" i="13"/>
  <c r="AI97" i="13" s="1"/>
  <c r="EQ97" i="13"/>
  <c r="ML97" i="13" s="1"/>
  <c r="MC97" i="13" s="1"/>
  <c r="AB96" i="13"/>
  <c r="EU133" i="13"/>
  <c r="EI202" i="13"/>
  <c r="MJ202" i="13" s="1"/>
  <c r="LV202" i="13" s="1"/>
  <c r="EF202" i="13"/>
  <c r="AB202" i="13"/>
  <c r="EY202" i="13"/>
  <c r="FA202" i="13" s="1"/>
  <c r="FB202" i="13" s="1"/>
  <c r="EU202" i="13"/>
  <c r="ET199" i="13"/>
  <c r="IS199" i="13"/>
  <c r="IU199" i="13" s="1"/>
  <c r="IV199" i="13" s="1"/>
  <c r="ET193" i="13"/>
  <c r="IS193" i="13"/>
  <c r="IU193" i="13" s="1"/>
  <c r="IV193" i="13" s="1"/>
  <c r="ET183" i="13"/>
  <c r="IS183" i="13"/>
  <c r="IU183" i="13" s="1"/>
  <c r="IV183" i="13" s="1"/>
  <c r="FF186" i="13"/>
  <c r="EW182" i="13"/>
  <c r="EX182" i="13" s="1"/>
  <c r="ES182" i="13"/>
  <c r="EC182" i="13"/>
  <c r="IM182" i="13"/>
  <c r="IN182" i="13" s="1"/>
  <c r="EY182" i="13"/>
  <c r="FA182" i="13" s="1"/>
  <c r="FB182" i="13" s="1"/>
  <c r="EI186" i="13"/>
  <c r="MJ186" i="13" s="1"/>
  <c r="LV186" i="13" s="1"/>
  <c r="EF186" i="13"/>
  <c r="EY186" i="13"/>
  <c r="FA186" i="13" s="1"/>
  <c r="FB186" i="13" s="1"/>
  <c r="EU186" i="13"/>
  <c r="IZ187" i="13"/>
  <c r="FS187" i="13"/>
  <c r="IZ167" i="13"/>
  <c r="FS167" i="13"/>
  <c r="AB167" i="13"/>
  <c r="AK167" i="13" s="1"/>
  <c r="AB170" i="13"/>
  <c r="LY161" i="13"/>
  <c r="MA161" i="13" s="1"/>
  <c r="MB161" i="13" s="1"/>
  <c r="MK161" i="13" s="1"/>
  <c r="EI156" i="13"/>
  <c r="MJ156" i="13" s="1"/>
  <c r="LV156" i="13" s="1"/>
  <c r="EF156" i="13"/>
  <c r="EY156" i="13"/>
  <c r="FA156" i="13" s="1"/>
  <c r="FB156" i="13" s="1"/>
  <c r="EU156" i="13"/>
  <c r="LY160" i="13"/>
  <c r="MA160" i="13" s="1"/>
  <c r="MB160" i="13" s="1"/>
  <c r="MK160" i="13" s="1"/>
  <c r="FS158" i="13"/>
  <c r="IZ158" i="13"/>
  <c r="EQ159" i="13"/>
  <c r="ML159" i="13" s="1"/>
  <c r="MC159" i="13" s="1"/>
  <c r="AJ159" i="13"/>
  <c r="AI159" i="13" s="1"/>
  <c r="EN159" i="13"/>
  <c r="MD155" i="13"/>
  <c r="ME155" i="13" s="1"/>
  <c r="EW155" i="13"/>
  <c r="EX155" i="13" s="1"/>
  <c r="ES155" i="13"/>
  <c r="EC155" i="13"/>
  <c r="LW156" i="13"/>
  <c r="LX156" i="13" s="1"/>
  <c r="EQ137" i="13"/>
  <c r="ML137" i="13" s="1"/>
  <c r="MC137" i="13" s="1"/>
  <c r="EN137" i="13"/>
  <c r="EY137" i="13"/>
  <c r="FA137" i="13" s="1"/>
  <c r="FB137" i="13" s="1"/>
  <c r="IZ139" i="13"/>
  <c r="FS139" i="13"/>
  <c r="AG143" i="13"/>
  <c r="MH126" i="13"/>
  <c r="MI126" i="13" s="1"/>
  <c r="MM126" i="13" s="1"/>
  <c r="MF126" i="13"/>
  <c r="ES128" i="13"/>
  <c r="EC128" i="13"/>
  <c r="EW128" i="13"/>
  <c r="EY128" i="13"/>
  <c r="FA128" i="13" s="1"/>
  <c r="FB128" i="13" s="1"/>
  <c r="IS118" i="13"/>
  <c r="IU118" i="13" s="1"/>
  <c r="IV118" i="13" s="1"/>
  <c r="ET118" i="13"/>
  <c r="FS114" i="13"/>
  <c r="IZ114" i="13"/>
  <c r="MY98" i="13"/>
  <c r="NA98" i="13"/>
  <c r="MO98" i="13"/>
  <c r="FF98" i="13" s="1"/>
  <c r="IM98" i="13"/>
  <c r="IN98" i="13" s="1"/>
  <c r="IZ103" i="13"/>
  <c r="FS103" i="13"/>
  <c r="H5" i="141"/>
  <c r="EX104" i="13"/>
  <c r="I5" i="141" s="1"/>
  <c r="ET95" i="13"/>
  <c r="IS95" i="13"/>
  <c r="IU95" i="13" s="1"/>
  <c r="IV95" i="13" s="1"/>
  <c r="AJ107" i="13"/>
  <c r="AI107" i="13" s="1"/>
  <c r="LY84" i="13"/>
  <c r="MA84" i="13" s="1"/>
  <c r="MB84" i="13" s="1"/>
  <c r="MK84" i="13" s="1"/>
  <c r="EV135" i="13"/>
  <c r="AE135" i="13"/>
  <c r="AD135" i="13" s="1"/>
  <c r="EN210" i="13"/>
  <c r="EQ210" i="13"/>
  <c r="ML210" i="13" s="1"/>
  <c r="MC210" i="13" s="1"/>
  <c r="EQ208" i="13"/>
  <c r="ML208" i="13" s="1"/>
  <c r="MC208" i="13" s="1"/>
  <c r="EN208" i="13"/>
  <c r="EI208" i="13"/>
  <c r="MJ208" i="13" s="1"/>
  <c r="LV208" i="13" s="1"/>
  <c r="EF208" i="13"/>
  <c r="EY208" i="13"/>
  <c r="FA208" i="13" s="1"/>
  <c r="FB208" i="13" s="1"/>
  <c r="EU208" i="13"/>
  <c r="IS205" i="13"/>
  <c r="IU205" i="13" s="1"/>
  <c r="IV205" i="13" s="1"/>
  <c r="ET205" i="13"/>
  <c r="MY203" i="13"/>
  <c r="MO203" i="13"/>
  <c r="NA203" i="13"/>
  <c r="IM203" i="13"/>
  <c r="IN203" i="13" s="1"/>
  <c r="FS199" i="13"/>
  <c r="IZ199" i="13"/>
  <c r="NA193" i="13"/>
  <c r="MO193" i="13"/>
  <c r="MY193" i="13"/>
  <c r="IM193" i="13"/>
  <c r="IN193" i="13" s="1"/>
  <c r="IZ190" i="13"/>
  <c r="FS190" i="13"/>
  <c r="MF166" i="13"/>
  <c r="MH166" i="13" s="1"/>
  <c r="IS167" i="13"/>
  <c r="IU167" i="13" s="1"/>
  <c r="IV167" i="13" s="1"/>
  <c r="ET167" i="13"/>
  <c r="MF160" i="13"/>
  <c r="MH160" i="13" s="1"/>
  <c r="AK171" i="13"/>
  <c r="IS158" i="13"/>
  <c r="IU158" i="13" s="1"/>
  <c r="IV158" i="13" s="1"/>
  <c r="ET158" i="13"/>
  <c r="AK145" i="13"/>
  <c r="ET139" i="13"/>
  <c r="IS139" i="13"/>
  <c r="IU139" i="13" s="1"/>
  <c r="IV139" i="13" s="1"/>
  <c r="LY141" i="13"/>
  <c r="MA141" i="13" s="1"/>
  <c r="MB141" i="13" s="1"/>
  <c r="MK141" i="13" s="1"/>
  <c r="EQ124" i="13"/>
  <c r="ML124" i="13" s="1"/>
  <c r="MC124" i="13" s="1"/>
  <c r="EN124" i="13"/>
  <c r="AJ124" i="13"/>
  <c r="AI124" i="13" s="1"/>
  <c r="EY124" i="13"/>
  <c r="FA124" i="13" s="1"/>
  <c r="FB124" i="13" s="1"/>
  <c r="ET114" i="13"/>
  <c r="IS114" i="13"/>
  <c r="IU114" i="13" s="1"/>
  <c r="IV114" i="13" s="1"/>
  <c r="EI104" i="13"/>
  <c r="MJ104" i="13" s="1"/>
  <c r="LV104" i="13" s="1"/>
  <c r="EF104" i="13"/>
  <c r="EU104" i="13"/>
  <c r="EY104" i="13"/>
  <c r="EI108" i="13"/>
  <c r="MJ108" i="13" s="1"/>
  <c r="LV108" i="13" s="1"/>
  <c r="EF108" i="13"/>
  <c r="EY108" i="13"/>
  <c r="FA108" i="13" s="1"/>
  <c r="FB108" i="13" s="1"/>
  <c r="EU108" i="13"/>
  <c r="ET103" i="13"/>
  <c r="IS103" i="13"/>
  <c r="IU103" i="13" s="1"/>
  <c r="IV103" i="13" s="1"/>
  <c r="MF101" i="13"/>
  <c r="MH101" i="13" s="1"/>
  <c r="MI101" i="13" s="1"/>
  <c r="MM101" i="13" s="1"/>
  <c r="AJ100" i="13"/>
  <c r="AI100" i="13" s="1"/>
  <c r="IZ104" i="13"/>
  <c r="FS104" i="13"/>
  <c r="V5" i="141" s="1"/>
  <c r="FG89" i="13"/>
  <c r="EV56" i="13"/>
  <c r="AE56" i="13"/>
  <c r="AD56" i="13" s="1"/>
  <c r="LY52" i="13"/>
  <c r="MA52" i="13" s="1"/>
  <c r="MB52" i="13" s="1"/>
  <c r="MK52" i="13" s="1"/>
  <c r="AE116" i="13"/>
  <c r="AD116" i="13" s="1"/>
  <c r="EV116" i="13"/>
  <c r="LY214" i="13"/>
  <c r="MA214" i="13" s="1"/>
  <c r="MB214" i="13" s="1"/>
  <c r="MK214" i="13" s="1"/>
  <c r="EW210" i="13"/>
  <c r="EX210" i="13" s="1"/>
  <c r="ES210" i="13"/>
  <c r="EC210" i="13"/>
  <c r="EY210" i="13"/>
  <c r="FA210" i="13" s="1"/>
  <c r="FB210" i="13" s="1"/>
  <c r="AG210" i="13"/>
  <c r="MA210" i="13"/>
  <c r="MB210" i="13" s="1"/>
  <c r="MK210" i="13" s="1"/>
  <c r="LY210" i="13"/>
  <c r="EW207" i="13"/>
  <c r="EX207" i="13" s="1"/>
  <c r="EQ206" i="13"/>
  <c r="ML206" i="13" s="1"/>
  <c r="EN206" i="13"/>
  <c r="AJ206" i="13"/>
  <c r="AI206" i="13" s="1"/>
  <c r="EW203" i="13"/>
  <c r="EX203" i="13" s="1"/>
  <c r="EC203" i="13"/>
  <c r="ES203" i="13"/>
  <c r="MD203" i="13"/>
  <c r="ME203" i="13" s="1"/>
  <c r="IS204" i="13"/>
  <c r="IU204" i="13" s="1"/>
  <c r="IV204" i="13" s="1"/>
  <c r="ET204" i="13"/>
  <c r="LY200" i="13"/>
  <c r="MA200" i="13" s="1"/>
  <c r="MB200" i="13" s="1"/>
  <c r="MK200" i="13" s="1"/>
  <c r="IZ198" i="13"/>
  <c r="FS198" i="13"/>
  <c r="EF199" i="13"/>
  <c r="EI199" i="13"/>
  <c r="MJ199" i="13" s="1"/>
  <c r="LV199" i="13" s="1"/>
  <c r="AB199" i="13"/>
  <c r="EU199" i="13"/>
  <c r="EY199" i="13"/>
  <c r="FA199" i="13" s="1"/>
  <c r="FB199" i="13" s="1"/>
  <c r="IZ192" i="13"/>
  <c r="FS192" i="13"/>
  <c r="FG194" i="13"/>
  <c r="EN188" i="13"/>
  <c r="AJ188" i="13"/>
  <c r="AI188" i="13" s="1"/>
  <c r="EQ188" i="13"/>
  <c r="ML188" i="13" s="1"/>
  <c r="MC188" i="13" s="1"/>
  <c r="MA182" i="13"/>
  <c r="MB182" i="13" s="1"/>
  <c r="MK182" i="13" s="1"/>
  <c r="LY182" i="13"/>
  <c r="IS178" i="13"/>
  <c r="IU178" i="13" s="1"/>
  <c r="IV178" i="13" s="1"/>
  <c r="ET178" i="13"/>
  <c r="FF177" i="13"/>
  <c r="LW167" i="13"/>
  <c r="LX167" i="13" s="1"/>
  <c r="IZ168" i="13"/>
  <c r="FS168" i="13"/>
  <c r="AJ167" i="13"/>
  <c r="AI167" i="13" s="1"/>
  <c r="EQ167" i="13"/>
  <c r="ML167" i="13" s="1"/>
  <c r="MC167" i="13" s="1"/>
  <c r="EN167" i="13"/>
  <c r="FS160" i="13"/>
  <c r="IZ160" i="13"/>
  <c r="MO151" i="13"/>
  <c r="NA151" i="13"/>
  <c r="MY151" i="13"/>
  <c r="IM151" i="13"/>
  <c r="IN151" i="13" s="1"/>
  <c r="AJ154" i="13"/>
  <c r="AI154" i="13" s="1"/>
  <c r="EQ154" i="13"/>
  <c r="ML154" i="13" s="1"/>
  <c r="MC154" i="13" s="1"/>
  <c r="EN154" i="13"/>
  <c r="AJ145" i="13"/>
  <c r="AI145" i="13" s="1"/>
  <c r="LY149" i="13"/>
  <c r="MA149" i="13" s="1"/>
  <c r="MB149" i="13" s="1"/>
  <c r="MK149" i="13" s="1"/>
  <c r="IZ148" i="13"/>
  <c r="FS148" i="13"/>
  <c r="EI150" i="13"/>
  <c r="MJ150" i="13" s="1"/>
  <c r="LV150" i="13" s="1"/>
  <c r="EF150" i="13"/>
  <c r="EY150" i="13"/>
  <c r="FA150" i="13" s="1"/>
  <c r="FB150" i="13" s="1"/>
  <c r="EU150" i="13"/>
  <c r="ET130" i="13"/>
  <c r="IS130" i="13"/>
  <c r="IU130" i="13" s="1"/>
  <c r="IV130" i="13" s="1"/>
  <c r="IZ132" i="13"/>
  <c r="FS132" i="13"/>
  <c r="EQ134" i="13"/>
  <c r="ML134" i="13" s="1"/>
  <c r="MC134" i="13" s="1"/>
  <c r="EN134" i="13"/>
  <c r="EQ118" i="13"/>
  <c r="ML118" i="13" s="1"/>
  <c r="MC118" i="13" s="1"/>
  <c r="EN118" i="13"/>
  <c r="AJ118" i="13"/>
  <c r="AI118" i="13" s="1"/>
  <c r="EY118" i="13"/>
  <c r="FA118" i="13" s="1"/>
  <c r="FB118" i="13" s="1"/>
  <c r="ET121" i="13"/>
  <c r="IS121" i="13"/>
  <c r="IU121" i="13" s="1"/>
  <c r="IV121" i="13" s="1"/>
  <c r="EI110" i="13"/>
  <c r="MJ110" i="13" s="1"/>
  <c r="LV110" i="13" s="1"/>
  <c r="EF110" i="13"/>
  <c r="EU110" i="13"/>
  <c r="EY110" i="13"/>
  <c r="FA110" i="13" s="1"/>
  <c r="FB110" i="13" s="1"/>
  <c r="IZ107" i="13"/>
  <c r="FS107" i="13"/>
  <c r="AB110" i="13"/>
  <c r="AK110" i="13" s="1"/>
  <c r="MF100" i="13"/>
  <c r="MH100" i="13" s="1"/>
  <c r="MI100" i="13" s="1"/>
  <c r="MM100" i="13" s="1"/>
  <c r="AB103" i="13"/>
  <c r="AK103" i="13" s="1"/>
  <c r="IS104" i="13"/>
  <c r="IU104" i="13" s="1"/>
  <c r="IV104" i="13" s="1"/>
  <c r="ET104" i="13"/>
  <c r="FS89" i="13"/>
  <c r="IZ89" i="13"/>
  <c r="IZ97" i="13"/>
  <c r="FS97" i="13"/>
  <c r="NA87" i="13"/>
  <c r="MY87" i="13"/>
  <c r="MO87" i="13"/>
  <c r="IM87" i="13"/>
  <c r="IN87" i="13" s="1"/>
  <c r="EQ88" i="13"/>
  <c r="ML88" i="13" s="1"/>
  <c r="MC88" i="13" s="1"/>
  <c r="EN88" i="13"/>
  <c r="AJ88" i="13"/>
  <c r="AI88" i="13" s="1"/>
  <c r="IZ88" i="13"/>
  <c r="FS88" i="13"/>
  <c r="LY26" i="13"/>
  <c r="MA26" i="13" s="1"/>
  <c r="MB26" i="13" s="1"/>
  <c r="MK26" i="13" s="1"/>
  <c r="MA34" i="13"/>
  <c r="MB34" i="13" s="1"/>
  <c r="MK34" i="13" s="1"/>
  <c r="LY34" i="13"/>
  <c r="FS213" i="13"/>
  <c r="IZ213" i="13"/>
  <c r="IS209" i="13"/>
  <c r="IU209" i="13" s="1"/>
  <c r="IV209" i="13" s="1"/>
  <c r="ET209" i="13"/>
  <c r="EW208" i="13"/>
  <c r="EX208" i="13" s="1"/>
  <c r="ES208" i="13"/>
  <c r="EC208" i="13"/>
  <c r="IZ204" i="13"/>
  <c r="FS204" i="13"/>
  <c r="EW197" i="13"/>
  <c r="EX197" i="13" s="1"/>
  <c r="EC197" i="13"/>
  <c r="MD197" i="13"/>
  <c r="ME197" i="13" s="1"/>
  <c r="ES197" i="13"/>
  <c r="EY197" i="13"/>
  <c r="FA197" i="13" s="1"/>
  <c r="FB197" i="13" s="1"/>
  <c r="IM197" i="13"/>
  <c r="IN197" i="13" s="1"/>
  <c r="MO196" i="13"/>
  <c r="NA196" i="13"/>
  <c r="MY196" i="13"/>
  <c r="IM196" i="13"/>
  <c r="IN196" i="13" s="1"/>
  <c r="LY198" i="13"/>
  <c r="MA198" i="13" s="1"/>
  <c r="MB198" i="13" s="1"/>
  <c r="MK198" i="13" s="1"/>
  <c r="IS192" i="13"/>
  <c r="IU192" i="13" s="1"/>
  <c r="IV192" i="13" s="1"/>
  <c r="ET192" i="13"/>
  <c r="FG181" i="13"/>
  <c r="FG182" i="13"/>
  <c r="ET168" i="13"/>
  <c r="IS168" i="13"/>
  <c r="IU168" i="13" s="1"/>
  <c r="IV168" i="13" s="1"/>
  <c r="IZ166" i="13"/>
  <c r="FS166" i="13"/>
  <c r="ET160" i="13"/>
  <c r="IS160" i="13"/>
  <c r="IU160" i="13" s="1"/>
  <c r="IV160" i="13" s="1"/>
  <c r="EI166" i="13"/>
  <c r="MJ166" i="13" s="1"/>
  <c r="LV166" i="13" s="1"/>
  <c r="EF166" i="13"/>
  <c r="EU166" i="13"/>
  <c r="EY166" i="13"/>
  <c r="FA166" i="13" s="1"/>
  <c r="FB166" i="13" s="1"/>
  <c r="MF150" i="13"/>
  <c r="MH150" i="13" s="1"/>
  <c r="IZ151" i="13"/>
  <c r="FS151" i="13"/>
  <c r="AJ157" i="13"/>
  <c r="AI157" i="13" s="1"/>
  <c r="EQ157" i="13"/>
  <c r="ML157" i="13" s="1"/>
  <c r="MC157" i="13" s="1"/>
  <c r="EN157" i="13"/>
  <c r="LY148" i="13"/>
  <c r="MA148" i="13" s="1"/>
  <c r="MB148" i="13" s="1"/>
  <c r="MK148" i="13" s="1"/>
  <c r="IZ149" i="13"/>
  <c r="FS149" i="13"/>
  <c r="EI142" i="13"/>
  <c r="MJ142" i="13" s="1"/>
  <c r="LV142" i="13" s="1"/>
  <c r="EF142" i="13"/>
  <c r="AB142" i="13"/>
  <c r="AK142" i="13" s="1"/>
  <c r="EY142" i="13"/>
  <c r="FA142" i="13" s="1"/>
  <c r="FB142" i="13" s="1"/>
  <c r="EU142" i="13"/>
  <c r="MF146" i="13"/>
  <c r="MH146" i="13" s="1"/>
  <c r="MI146" i="13" s="1"/>
  <c r="MM146" i="13" s="1"/>
  <c r="ET148" i="13"/>
  <c r="IS148" i="13"/>
  <c r="IU148" i="13" s="1"/>
  <c r="IV148" i="13" s="1"/>
  <c r="IZ147" i="13"/>
  <c r="FS147" i="13"/>
  <c r="EW138" i="13"/>
  <c r="ES138" i="13"/>
  <c r="EC138" i="13"/>
  <c r="MD141" i="13"/>
  <c r="ME141" i="13" s="1"/>
  <c r="IZ130" i="13"/>
  <c r="FS130" i="13"/>
  <c r="LY127" i="13"/>
  <c r="MA127" i="13" s="1"/>
  <c r="MB127" i="13" s="1"/>
  <c r="MK127" i="13" s="1"/>
  <c r="ET132" i="13"/>
  <c r="IS132" i="13"/>
  <c r="IU132" i="13" s="1"/>
  <c r="IV132" i="13" s="1"/>
  <c r="ES127" i="13"/>
  <c r="EC127" i="13"/>
  <c r="EW127" i="13"/>
  <c r="EX127" i="13" s="1"/>
  <c r="EY127" i="13"/>
  <c r="FA127" i="13" s="1"/>
  <c r="FB127" i="13" s="1"/>
  <c r="IZ112" i="13"/>
  <c r="FS112" i="13"/>
  <c r="LY116" i="13"/>
  <c r="MA116" i="13" s="1"/>
  <c r="MB116" i="13" s="1"/>
  <c r="MK116" i="13" s="1"/>
  <c r="IZ121" i="13"/>
  <c r="FS121" i="13"/>
  <c r="ET107" i="13"/>
  <c r="IS107" i="13"/>
  <c r="IU107" i="13" s="1"/>
  <c r="IV107" i="13" s="1"/>
  <c r="EI99" i="13"/>
  <c r="MJ99" i="13" s="1"/>
  <c r="LV99" i="13" s="1"/>
  <c r="EF99" i="13"/>
  <c r="EY99" i="13"/>
  <c r="FA99" i="13" s="1"/>
  <c r="FB99" i="13" s="1"/>
  <c r="EU99" i="13"/>
  <c r="IS97" i="13"/>
  <c r="IU97" i="13" s="1"/>
  <c r="IV97" i="13" s="1"/>
  <c r="ET97" i="13"/>
  <c r="ES87" i="13"/>
  <c r="EC87" i="13"/>
  <c r="EW87" i="13"/>
  <c r="EX87" i="13" s="1"/>
  <c r="EY87" i="13"/>
  <c r="FA87" i="13" s="1"/>
  <c r="FB87" i="13" s="1"/>
  <c r="ET88" i="13"/>
  <c r="IS88" i="13"/>
  <c r="IU88" i="13" s="1"/>
  <c r="IV88" i="13" s="1"/>
  <c r="EI78" i="13"/>
  <c r="MJ78" i="13" s="1"/>
  <c r="LV78" i="13" s="1"/>
  <c r="EF78" i="13"/>
  <c r="EU78" i="13"/>
  <c r="LW78" i="13"/>
  <c r="LX78" i="13" s="1"/>
  <c r="AB78" i="13"/>
  <c r="EY78" i="13"/>
  <c r="FA78" i="13" s="1"/>
  <c r="FB78" i="13" s="1"/>
  <c r="LY65" i="13"/>
  <c r="MA65" i="13" s="1"/>
  <c r="MB65" i="13" s="1"/>
  <c r="MK65" i="13" s="1"/>
  <c r="EV38" i="13"/>
  <c r="AE38" i="13"/>
  <c r="AD38" i="13" s="1"/>
  <c r="AE47" i="13"/>
  <c r="AD47" i="13" s="1"/>
  <c r="EV47" i="13"/>
  <c r="ET213" i="13"/>
  <c r="IS213" i="13"/>
  <c r="IU213" i="13" s="1"/>
  <c r="IV213" i="13" s="1"/>
  <c r="MY204" i="13"/>
  <c r="MO204" i="13"/>
  <c r="NA204" i="13"/>
  <c r="IM204" i="13"/>
  <c r="IN204" i="13" s="1"/>
  <c r="EF206" i="13"/>
  <c r="EI206" i="13"/>
  <c r="MJ206" i="13" s="1"/>
  <c r="LV206" i="13" s="1"/>
  <c r="AB206" i="13"/>
  <c r="EY206" i="13"/>
  <c r="FA206" i="13" s="1"/>
  <c r="FB206" i="13" s="1"/>
  <c r="EU206" i="13"/>
  <c r="LW205" i="13"/>
  <c r="LX205" i="13" s="1"/>
  <c r="MA197" i="13"/>
  <c r="MB197" i="13" s="1"/>
  <c r="MK197" i="13" s="1"/>
  <c r="LY197" i="13"/>
  <c r="ES196" i="13"/>
  <c r="EC196" i="13"/>
  <c r="EW196" i="13"/>
  <c r="EX196" i="13" s="1"/>
  <c r="NA191" i="13"/>
  <c r="MY191" i="13"/>
  <c r="MO191" i="13"/>
  <c r="FF191" i="13" s="1"/>
  <c r="IM191" i="13"/>
  <c r="IN191" i="13" s="1"/>
  <c r="EI190" i="13"/>
  <c r="MJ190" i="13" s="1"/>
  <c r="LV190" i="13" s="1"/>
  <c r="EF190" i="13"/>
  <c r="EY190" i="13"/>
  <c r="FA190" i="13" s="1"/>
  <c r="FB190" i="13" s="1"/>
  <c r="EU190" i="13"/>
  <c r="EI187" i="13"/>
  <c r="MJ187" i="13" s="1"/>
  <c r="LV187" i="13" s="1"/>
  <c r="EF187" i="13"/>
  <c r="EU187" i="13"/>
  <c r="EY187" i="13"/>
  <c r="FA187" i="13" s="1"/>
  <c r="FB187" i="13" s="1"/>
  <c r="AK182" i="13"/>
  <c r="IZ184" i="13"/>
  <c r="FS184" i="13"/>
  <c r="FF183" i="13"/>
  <c r="FF179" i="13"/>
  <c r="LY176" i="13"/>
  <c r="MA176" i="13" s="1"/>
  <c r="MB176" i="13" s="1"/>
  <c r="MK176" i="13" s="1"/>
  <c r="MF178" i="13"/>
  <c r="MH178" i="13" s="1"/>
  <c r="IZ181" i="13"/>
  <c r="FS181" i="13"/>
  <c r="FF167" i="13"/>
  <c r="AJ170" i="13"/>
  <c r="AI170" i="13" s="1"/>
  <c r="EQ170" i="13"/>
  <c r="ML170" i="13" s="1"/>
  <c r="MC170" i="13" s="1"/>
  <c r="EN170" i="13"/>
  <c r="AJ169" i="13"/>
  <c r="AI169" i="13" s="1"/>
  <c r="EQ169" i="13"/>
  <c r="ML169" i="13" s="1"/>
  <c r="MC169" i="13" s="1"/>
  <c r="EN169" i="13"/>
  <c r="IS166" i="13"/>
  <c r="IU166" i="13" s="1"/>
  <c r="IV166" i="13" s="1"/>
  <c r="ET166" i="13"/>
  <c r="IZ165" i="13"/>
  <c r="FS165" i="13"/>
  <c r="IZ150" i="13"/>
  <c r="FS150" i="13"/>
  <c r="EN147" i="13"/>
  <c r="EQ147" i="13"/>
  <c r="ML147" i="13" s="1"/>
  <c r="MC147" i="13" s="1"/>
  <c r="EY147" i="13"/>
  <c r="FA147" i="13" s="1"/>
  <c r="FB147" i="13" s="1"/>
  <c r="MD143" i="13"/>
  <c r="ME143" i="13" s="1"/>
  <c r="AJ144" i="13"/>
  <c r="AI144" i="13" s="1"/>
  <c r="ET149" i="13"/>
  <c r="IS149" i="13"/>
  <c r="IU149" i="13" s="1"/>
  <c r="IV149" i="13" s="1"/>
  <c r="AJ146" i="13"/>
  <c r="AI146" i="13" s="1"/>
  <c r="ET147" i="13"/>
  <c r="IS147" i="13"/>
  <c r="IU147" i="13" s="1"/>
  <c r="IV147" i="13" s="1"/>
  <c r="EI134" i="13"/>
  <c r="MJ134" i="13" s="1"/>
  <c r="LV134" i="13" s="1"/>
  <c r="EF134" i="13"/>
  <c r="EU134" i="13"/>
  <c r="EY134" i="13"/>
  <c r="FA134" i="13" s="1"/>
  <c r="FB134" i="13" s="1"/>
  <c r="LY121" i="13"/>
  <c r="MA121" i="13" s="1"/>
  <c r="MB121" i="13" s="1"/>
  <c r="MK121" i="13" s="1"/>
  <c r="ET112" i="13"/>
  <c r="IS112" i="13"/>
  <c r="IU112" i="13" s="1"/>
  <c r="IV112" i="13" s="1"/>
  <c r="FS115" i="13"/>
  <c r="IZ115" i="13"/>
  <c r="AB108" i="13"/>
  <c r="EQ106" i="13"/>
  <c r="ML106" i="13" s="1"/>
  <c r="MC106" i="13" s="1"/>
  <c r="EN106" i="13"/>
  <c r="EY106" i="13"/>
  <c r="FA106" i="13" s="1"/>
  <c r="FB106" i="13" s="1"/>
  <c r="EW106" i="13"/>
  <c r="EX106" i="13" s="1"/>
  <c r="LW103" i="13"/>
  <c r="LX103" i="13" s="1"/>
  <c r="LW109" i="13"/>
  <c r="LX109" i="13" s="1"/>
  <c r="AJ95" i="13"/>
  <c r="AI95" i="13" s="1"/>
  <c r="EQ95" i="13"/>
  <c r="ML95" i="13" s="1"/>
  <c r="MC95" i="13" s="1"/>
  <c r="EN95" i="13"/>
  <c r="MD87" i="13"/>
  <c r="ME87" i="13" s="1"/>
  <c r="FG92" i="13"/>
  <c r="EI79" i="13"/>
  <c r="MJ79" i="13" s="1"/>
  <c r="LV79" i="13" s="1"/>
  <c r="EF79" i="13"/>
  <c r="EY79" i="13"/>
  <c r="FA79" i="13" s="1"/>
  <c r="FB79" i="13" s="1"/>
  <c r="EU79" i="13"/>
  <c r="LW79" i="13"/>
  <c r="LX79" i="13" s="1"/>
  <c r="AB79" i="13"/>
  <c r="LY71" i="13"/>
  <c r="MA71" i="13" s="1"/>
  <c r="MB71" i="13" s="1"/>
  <c r="MK71" i="13" s="1"/>
  <c r="EQ25" i="13"/>
  <c r="ML25" i="13" s="1"/>
  <c r="MC25" i="13" s="1"/>
  <c r="EN25" i="13"/>
  <c r="AJ25" i="13"/>
  <c r="AI25" i="13" s="1"/>
  <c r="MD25" i="13"/>
  <c r="ME25" i="13" s="1"/>
  <c r="AE125" i="13"/>
  <c r="AD125" i="13" s="1"/>
  <c r="EV125" i="13"/>
  <c r="FF158" i="13"/>
  <c r="FS209" i="13"/>
  <c r="IZ209" i="13"/>
  <c r="AG208" i="13"/>
  <c r="EI203" i="13"/>
  <c r="MJ203" i="13" s="1"/>
  <c r="LV203" i="13" s="1"/>
  <c r="EF203" i="13"/>
  <c r="EY203" i="13"/>
  <c r="FA203" i="13" s="1"/>
  <c r="FB203" i="13" s="1"/>
  <c r="EU203" i="13"/>
  <c r="FF198" i="13"/>
  <c r="FF188" i="13"/>
  <c r="LW187" i="13"/>
  <c r="LX187" i="13" s="1"/>
  <c r="AK186" i="13"/>
  <c r="IS184" i="13"/>
  <c r="IU184" i="13" s="1"/>
  <c r="IV184" i="13" s="1"/>
  <c r="ET184" i="13"/>
  <c r="EI178" i="13"/>
  <c r="MJ178" i="13" s="1"/>
  <c r="LV178" i="13" s="1"/>
  <c r="EF178" i="13"/>
  <c r="AB178" i="13"/>
  <c r="LW178" i="13"/>
  <c r="LX178" i="13" s="1"/>
  <c r="EY178" i="13"/>
  <c r="FA178" i="13" s="1"/>
  <c r="FB178" i="13" s="1"/>
  <c r="EU178" i="13"/>
  <c r="IS181" i="13"/>
  <c r="IU181" i="13" s="1"/>
  <c r="IV181" i="13" s="1"/>
  <c r="ET181" i="13"/>
  <c r="LY165" i="13"/>
  <c r="MA165" i="13" s="1"/>
  <c r="MB165" i="13" s="1"/>
  <c r="MK165" i="13" s="1"/>
  <c r="FS173" i="13"/>
  <c r="IZ173" i="13"/>
  <c r="IS165" i="13"/>
  <c r="IU165" i="13" s="1"/>
  <c r="IV165" i="13" s="1"/>
  <c r="ET165" i="13"/>
  <c r="LY158" i="13"/>
  <c r="MA158" i="13" s="1"/>
  <c r="MB158" i="13" s="1"/>
  <c r="MK158" i="13" s="1"/>
  <c r="AJ155" i="13"/>
  <c r="AI155" i="13" s="1"/>
  <c r="EQ155" i="13"/>
  <c r="ML155" i="13" s="1"/>
  <c r="MC155" i="13" s="1"/>
  <c r="EN155" i="13"/>
  <c r="MD157" i="13"/>
  <c r="ME157" i="13" s="1"/>
  <c r="LY153" i="13"/>
  <c r="MA153" i="13" s="1"/>
  <c r="MB153" i="13" s="1"/>
  <c r="MK153" i="13" s="1"/>
  <c r="AG147" i="13"/>
  <c r="AK143" i="13"/>
  <c r="FS145" i="13"/>
  <c r="IZ145" i="13"/>
  <c r="MF140" i="13"/>
  <c r="MH140" i="13" s="1"/>
  <c r="MI140" i="13" s="1"/>
  <c r="MM140" i="13" s="1"/>
  <c r="EW147" i="13"/>
  <c r="EX147" i="13" s="1"/>
  <c r="LY143" i="13"/>
  <c r="MA143" i="13" s="1"/>
  <c r="MB143" i="13" s="1"/>
  <c r="MK143" i="13" s="1"/>
  <c r="AB133" i="13"/>
  <c r="IZ126" i="13"/>
  <c r="FS126" i="13"/>
  <c r="EQ116" i="13"/>
  <c r="ML116" i="13" s="1"/>
  <c r="MC116" i="13" s="1"/>
  <c r="EN116" i="13"/>
  <c r="AG116" i="13"/>
  <c r="EY116" i="13"/>
  <c r="FA116" i="13" s="1"/>
  <c r="FB116" i="13" s="1"/>
  <c r="MF119" i="13"/>
  <c r="MH119" i="13" s="1"/>
  <c r="MI119" i="13" s="1"/>
  <c r="MM119" i="13" s="1"/>
  <c r="ET115" i="13"/>
  <c r="IS115" i="13"/>
  <c r="IU115" i="13" s="1"/>
  <c r="IV115" i="13" s="1"/>
  <c r="AG105" i="13"/>
  <c r="AK105" i="13" s="1"/>
  <c r="EI96" i="13"/>
  <c r="MJ96" i="13" s="1"/>
  <c r="LV96" i="13" s="1"/>
  <c r="EF96" i="13"/>
  <c r="EU96" i="13"/>
  <c r="EY96" i="13"/>
  <c r="FA96" i="13" s="1"/>
  <c r="FB96" i="13" s="1"/>
  <c r="IZ100" i="13"/>
  <c r="FS100" i="13"/>
  <c r="EI100" i="13"/>
  <c r="MJ100" i="13" s="1"/>
  <c r="LV100" i="13" s="1"/>
  <c r="EF100" i="13"/>
  <c r="EU100" i="13"/>
  <c r="EY100" i="13"/>
  <c r="FA100" i="13" s="1"/>
  <c r="FB100" i="13" s="1"/>
  <c r="NA82" i="13"/>
  <c r="MY82" i="13"/>
  <c r="MO82" i="13"/>
  <c r="FF82" i="13" s="1"/>
  <c r="IM82" i="13"/>
  <c r="IN82" i="13" s="1"/>
  <c r="NA68" i="13"/>
  <c r="MY68" i="13"/>
  <c r="MO68" i="13"/>
  <c r="FF68" i="13" s="1"/>
  <c r="IM68" i="13"/>
  <c r="IN68" i="13" s="1"/>
  <c r="FF96" i="13"/>
  <c r="NA59" i="13"/>
  <c r="MY59" i="13"/>
  <c r="MO59" i="13"/>
  <c r="IM59" i="13"/>
  <c r="IN59" i="13" s="1"/>
  <c r="EN81" i="13"/>
  <c r="AJ81" i="13"/>
  <c r="AI81" i="13" s="1"/>
  <c r="EQ81" i="13"/>
  <c r="ML81" i="13" s="1"/>
  <c r="MC81" i="13" s="1"/>
  <c r="MD81" i="13"/>
  <c r="ME81" i="13" s="1"/>
  <c r="ET58" i="13"/>
  <c r="IS58" i="13"/>
  <c r="IU58" i="13" s="1"/>
  <c r="IV58" i="13" s="1"/>
  <c r="LY41" i="13"/>
  <c r="MA41" i="13" s="1"/>
  <c r="MB41" i="13" s="1"/>
  <c r="MK41" i="13" s="1"/>
  <c r="OD19" i="13"/>
  <c r="OF19" i="13" s="1"/>
  <c r="FA19" i="13"/>
  <c r="FB19" i="13" s="1"/>
  <c r="EY155" i="13"/>
  <c r="FA155" i="13" s="1"/>
  <c r="FB155" i="13" s="1"/>
  <c r="EQ214" i="13"/>
  <c r="ML214" i="13" s="1"/>
  <c r="MC214" i="13" s="1"/>
  <c r="EN214" i="13"/>
  <c r="EY214" i="13"/>
  <c r="FA214" i="13" s="1"/>
  <c r="FB214" i="13" s="1"/>
  <c r="AJ209" i="13"/>
  <c r="AI209" i="13" s="1"/>
  <c r="LW208" i="13"/>
  <c r="LX208" i="13" s="1"/>
  <c r="AK200" i="13"/>
  <c r="EI188" i="13"/>
  <c r="MJ188" i="13" s="1"/>
  <c r="LV188" i="13" s="1"/>
  <c r="EF188" i="13"/>
  <c r="EY188" i="13"/>
  <c r="FA188" i="13" s="1"/>
  <c r="FB188" i="13" s="1"/>
  <c r="EU188" i="13"/>
  <c r="LW188" i="13"/>
  <c r="LX188" i="13" s="1"/>
  <c r="MH183" i="13"/>
  <c r="MF183" i="13"/>
  <c r="EI181" i="13"/>
  <c r="MJ181" i="13" s="1"/>
  <c r="LV181" i="13" s="1"/>
  <c r="EF181" i="13"/>
  <c r="AB181" i="13"/>
  <c r="EY181" i="13"/>
  <c r="FA181" i="13" s="1"/>
  <c r="FB181" i="13" s="1"/>
  <c r="EU181" i="13"/>
  <c r="EW179" i="13"/>
  <c r="EX179" i="13" s="1"/>
  <c r="ES179" i="13"/>
  <c r="EC179" i="13"/>
  <c r="IM179" i="13"/>
  <c r="IN179" i="13" s="1"/>
  <c r="MO174" i="13"/>
  <c r="NA174" i="13"/>
  <c r="MY174" i="13"/>
  <c r="IM174" i="13"/>
  <c r="IN174" i="13" s="1"/>
  <c r="EQ174" i="13"/>
  <c r="ML174" i="13" s="1"/>
  <c r="MC174" i="13" s="1"/>
  <c r="AJ174" i="13"/>
  <c r="AI174" i="13" s="1"/>
  <c r="EN174" i="13"/>
  <c r="AJ171" i="13"/>
  <c r="AI171" i="13" s="1"/>
  <c r="EQ171" i="13"/>
  <c r="ML171" i="13" s="1"/>
  <c r="MC171" i="13" s="1"/>
  <c r="EN171" i="13"/>
  <c r="ET173" i="13"/>
  <c r="IS173" i="13"/>
  <c r="IU173" i="13" s="1"/>
  <c r="IV173" i="13" s="1"/>
  <c r="MA162" i="13"/>
  <c r="MB162" i="13" s="1"/>
  <c r="MK162" i="13" s="1"/>
  <c r="LY162" i="13"/>
  <c r="AK172" i="13"/>
  <c r="FF163" i="13"/>
  <c r="AJ156" i="13"/>
  <c r="AI156" i="13" s="1"/>
  <c r="EQ156" i="13"/>
  <c r="ML156" i="13" s="1"/>
  <c r="MC156" i="13" s="1"/>
  <c r="EN156" i="13"/>
  <c r="MO156" i="13"/>
  <c r="NA156" i="13"/>
  <c r="MY156" i="13"/>
  <c r="IM156" i="13"/>
  <c r="IN156" i="13" s="1"/>
  <c r="AK153" i="13"/>
  <c r="ET145" i="13"/>
  <c r="IS145" i="13"/>
  <c r="IU145" i="13" s="1"/>
  <c r="IV145" i="13" s="1"/>
  <c r="EI138" i="13"/>
  <c r="MJ138" i="13" s="1"/>
  <c r="LV138" i="13" s="1"/>
  <c r="EF138" i="13"/>
  <c r="LW138" i="13"/>
  <c r="LX138" i="13" s="1"/>
  <c r="EU138" i="13"/>
  <c r="MD147" i="13"/>
  <c r="ME147" i="13" s="1"/>
  <c r="AB140" i="13"/>
  <c r="EI132" i="13"/>
  <c r="MJ132" i="13" s="1"/>
  <c r="LV132" i="13" s="1"/>
  <c r="EF132" i="13"/>
  <c r="EU132" i="13"/>
  <c r="EY132" i="13"/>
  <c r="FA132" i="13" s="1"/>
  <c r="FB132" i="13" s="1"/>
  <c r="ET134" i="13"/>
  <c r="IS134" i="13"/>
  <c r="IU134" i="13" s="1"/>
  <c r="IV134" i="13" s="1"/>
  <c r="AK129" i="13"/>
  <c r="AB134" i="13"/>
  <c r="IZ120" i="13"/>
  <c r="FS120" i="13"/>
  <c r="ET126" i="13"/>
  <c r="IS126" i="13"/>
  <c r="IU126" i="13" s="1"/>
  <c r="IV126" i="13" s="1"/>
  <c r="AB120" i="13"/>
  <c r="LW108" i="13"/>
  <c r="LX108" i="13" s="1"/>
  <c r="MF98" i="13"/>
  <c r="MH98" i="13" s="1"/>
  <c r="AJ103" i="13"/>
  <c r="AI103" i="13" s="1"/>
  <c r="EQ103" i="13"/>
  <c r="ML103" i="13" s="1"/>
  <c r="MC103" i="13" s="1"/>
  <c r="EN103" i="13"/>
  <c r="EI95" i="13"/>
  <c r="MJ95" i="13" s="1"/>
  <c r="LV95" i="13" s="1"/>
  <c r="EF95" i="13"/>
  <c r="EU95" i="13"/>
  <c r="EY95" i="13"/>
  <c r="FA95" i="13" s="1"/>
  <c r="FB95" i="13" s="1"/>
  <c r="ET100" i="13"/>
  <c r="IS100" i="13"/>
  <c r="IU100" i="13" s="1"/>
  <c r="IV100" i="13" s="1"/>
  <c r="IZ102" i="13"/>
  <c r="FS102" i="13"/>
  <c r="LW104" i="13"/>
  <c r="LX104" i="13" s="1"/>
  <c r="LW95" i="13"/>
  <c r="LX95" i="13" s="1"/>
  <c r="ET93" i="13"/>
  <c r="IS93" i="13"/>
  <c r="IU93" i="13" s="1"/>
  <c r="IV93" i="13" s="1"/>
  <c r="EV68" i="13"/>
  <c r="AE68" i="13"/>
  <c r="AD68" i="13" s="1"/>
  <c r="FS72" i="13"/>
  <c r="IZ72" i="13"/>
  <c r="ET63" i="13"/>
  <c r="IS63" i="13"/>
  <c r="IU63" i="13" s="1"/>
  <c r="IV63" i="13" s="1"/>
  <c r="LY53" i="13"/>
  <c r="MA53" i="13" s="1"/>
  <c r="MB53" i="13" s="1"/>
  <c r="MK53" i="13" s="1"/>
  <c r="MF213" i="13"/>
  <c r="MH213" i="13" s="1"/>
  <c r="MI213" i="13" s="1"/>
  <c r="MM213" i="13" s="1"/>
  <c r="LY212" i="13"/>
  <c r="MA212" i="13" s="1"/>
  <c r="MB212" i="13" s="1"/>
  <c r="MK212" i="13" s="1"/>
  <c r="EQ212" i="13"/>
  <c r="ML212" i="13" s="1"/>
  <c r="MC212" i="13" s="1"/>
  <c r="EN212" i="13"/>
  <c r="EY212" i="13"/>
  <c r="FA212" i="13" s="1"/>
  <c r="FB212" i="13" s="1"/>
  <c r="EW212" i="13"/>
  <c r="EX212" i="13" s="1"/>
  <c r="EW202" i="13"/>
  <c r="EX202" i="13" s="1"/>
  <c r="ES202" i="13"/>
  <c r="EC202" i="13"/>
  <c r="IM202" i="13"/>
  <c r="IN202" i="13" s="1"/>
  <c r="LW196" i="13"/>
  <c r="LX196" i="13" s="1"/>
  <c r="NA190" i="13"/>
  <c r="MY190" i="13"/>
  <c r="MO190" i="13"/>
  <c r="FG192" i="13"/>
  <c r="IZ194" i="13"/>
  <c r="FS194" i="13"/>
  <c r="IZ191" i="13"/>
  <c r="FS191" i="13"/>
  <c r="EI180" i="13"/>
  <c r="MJ180" i="13" s="1"/>
  <c r="LV180" i="13" s="1"/>
  <c r="EF180" i="13"/>
  <c r="LW180" i="13"/>
  <c r="LX180" i="13" s="1"/>
  <c r="AB180" i="13"/>
  <c r="EY180" i="13"/>
  <c r="FA180" i="13" s="1"/>
  <c r="FB180" i="13" s="1"/>
  <c r="EU180" i="13"/>
  <c r="EI183" i="13"/>
  <c r="MJ183" i="13" s="1"/>
  <c r="LV183" i="13" s="1"/>
  <c r="EF183" i="13"/>
  <c r="LW183" i="13"/>
  <c r="LX183" i="13" s="1"/>
  <c r="AB183" i="13"/>
  <c r="EU183" i="13"/>
  <c r="EY183" i="13"/>
  <c r="FA183" i="13" s="1"/>
  <c r="FB183" i="13" s="1"/>
  <c r="ET176" i="13"/>
  <c r="IS176" i="13"/>
  <c r="IU176" i="13" s="1"/>
  <c r="IV176" i="13" s="1"/>
  <c r="MF181" i="13"/>
  <c r="MH181" i="13" s="1"/>
  <c r="MC179" i="13"/>
  <c r="AB166" i="13"/>
  <c r="AK166" i="13" s="1"/>
  <c r="LY164" i="13"/>
  <c r="MA164" i="13" s="1"/>
  <c r="MB164" i="13" s="1"/>
  <c r="MK164" i="13" s="1"/>
  <c r="LY163" i="13"/>
  <c r="MA163" i="13" s="1"/>
  <c r="MB163" i="13" s="1"/>
  <c r="MK163" i="13" s="1"/>
  <c r="MD154" i="13"/>
  <c r="ME154" i="13" s="1"/>
  <c r="MD156" i="13"/>
  <c r="ME156" i="13" s="1"/>
  <c r="EW156" i="13"/>
  <c r="EX156" i="13" s="1"/>
  <c r="ES156" i="13"/>
  <c r="EC156" i="13"/>
  <c r="AJ152" i="13"/>
  <c r="AI152" i="13" s="1"/>
  <c r="EQ152" i="13"/>
  <c r="ML152" i="13" s="1"/>
  <c r="MC152" i="13" s="1"/>
  <c r="EN152" i="13"/>
  <c r="IZ146" i="13"/>
  <c r="FS146" i="13"/>
  <c r="EN139" i="13"/>
  <c r="AJ139" i="13"/>
  <c r="AI139" i="13" s="1"/>
  <c r="EQ139" i="13"/>
  <c r="ML139" i="13" s="1"/>
  <c r="MC139" i="13" s="1"/>
  <c r="EY139" i="13"/>
  <c r="FA139" i="13" s="1"/>
  <c r="FB139" i="13" s="1"/>
  <c r="IZ134" i="13"/>
  <c r="FS134" i="13"/>
  <c r="AB138" i="13"/>
  <c r="AK138" i="13" s="1"/>
  <c r="IS120" i="13"/>
  <c r="IU120" i="13" s="1"/>
  <c r="IV120" i="13" s="1"/>
  <c r="ET120" i="13"/>
  <c r="EI119" i="13"/>
  <c r="MJ119" i="13" s="1"/>
  <c r="LV119" i="13" s="1"/>
  <c r="EF119" i="13"/>
  <c r="LW119" i="13"/>
  <c r="LX119" i="13" s="1"/>
  <c r="EU119" i="13"/>
  <c r="EQ125" i="13"/>
  <c r="ML125" i="13" s="1"/>
  <c r="MC125" i="13" s="1"/>
  <c r="EN125" i="13"/>
  <c r="AJ125" i="13"/>
  <c r="AI125" i="13" s="1"/>
  <c r="EY125" i="13"/>
  <c r="FA125" i="13" s="1"/>
  <c r="FB125" i="13" s="1"/>
  <c r="MF107" i="13"/>
  <c r="MH107" i="13" s="1"/>
  <c r="MI107" i="13" s="1"/>
  <c r="MM107" i="13" s="1"/>
  <c r="EQ113" i="13"/>
  <c r="ML113" i="13" s="1"/>
  <c r="MC113" i="13" s="1"/>
  <c r="EN113" i="13"/>
  <c r="EY113" i="13"/>
  <c r="FA113" i="13" s="1"/>
  <c r="FB113" i="13" s="1"/>
  <c r="IZ106" i="13"/>
  <c r="FS106" i="13"/>
  <c r="IZ101" i="13"/>
  <c r="FS101" i="13"/>
  <c r="ET102" i="13"/>
  <c r="IS102" i="13"/>
  <c r="IU102" i="13" s="1"/>
  <c r="IV102" i="13" s="1"/>
  <c r="LY94" i="13"/>
  <c r="MA94" i="13" s="1"/>
  <c r="MB94" i="13" s="1"/>
  <c r="MK94" i="13" s="1"/>
  <c r="IZ96" i="13"/>
  <c r="FS96" i="13"/>
  <c r="LY87" i="13"/>
  <c r="MA87" i="13" s="1"/>
  <c r="MB87" i="13" s="1"/>
  <c r="MK87" i="13" s="1"/>
  <c r="AK85" i="13"/>
  <c r="IZ93" i="13"/>
  <c r="FS93" i="13"/>
  <c r="MO69" i="13"/>
  <c r="NA69" i="13"/>
  <c r="MY69" i="13"/>
  <c r="IM69" i="13"/>
  <c r="IN69" i="13" s="1"/>
  <c r="OD30" i="13"/>
  <c r="OF30" i="13" s="1"/>
  <c r="OH30" i="13" s="1"/>
  <c r="FA30" i="13"/>
  <c r="FB30" i="13" s="1"/>
  <c r="FS214" i="13"/>
  <c r="IZ214" i="13"/>
  <c r="FF200" i="13"/>
  <c r="MF195" i="13"/>
  <c r="MH195" i="13" s="1"/>
  <c r="AJ190" i="13"/>
  <c r="AI190" i="13" s="1"/>
  <c r="EQ190" i="13"/>
  <c r="ML190" i="13" s="1"/>
  <c r="MC190" i="13" s="1"/>
  <c r="EN190" i="13"/>
  <c r="IS194" i="13"/>
  <c r="IU194" i="13" s="1"/>
  <c r="IV194" i="13" s="1"/>
  <c r="ET194" i="13"/>
  <c r="EI179" i="13"/>
  <c r="MJ179" i="13" s="1"/>
  <c r="LV179" i="13" s="1"/>
  <c r="EF179" i="13"/>
  <c r="LW179" i="13"/>
  <c r="LX179" i="13" s="1"/>
  <c r="AB179" i="13"/>
  <c r="EU179" i="13"/>
  <c r="EY179" i="13"/>
  <c r="FA179" i="13" s="1"/>
  <c r="FB179" i="13" s="1"/>
  <c r="FS176" i="13"/>
  <c r="IZ176" i="13"/>
  <c r="LW177" i="13"/>
  <c r="LX177" i="13" s="1"/>
  <c r="ET164" i="13"/>
  <c r="IS164" i="13"/>
  <c r="IU164" i="13" s="1"/>
  <c r="IV164" i="13" s="1"/>
  <c r="NA148" i="13"/>
  <c r="MY148" i="13"/>
  <c r="MO148" i="13"/>
  <c r="FF148" i="13" s="1"/>
  <c r="ET153" i="13"/>
  <c r="IS153" i="13"/>
  <c r="IU153" i="13" s="1"/>
  <c r="IV153" i="13" s="1"/>
  <c r="IZ154" i="13"/>
  <c r="FS154" i="13"/>
  <c r="LW142" i="13"/>
  <c r="LX142" i="13" s="1"/>
  <c r="ET146" i="13"/>
  <c r="IS146" i="13"/>
  <c r="IU146" i="13" s="1"/>
  <c r="IV146" i="13" s="1"/>
  <c r="EF130" i="13"/>
  <c r="LW130" i="13"/>
  <c r="LX130" i="13" s="1"/>
  <c r="EI130" i="13"/>
  <c r="MJ130" i="13" s="1"/>
  <c r="LV130" i="13" s="1"/>
  <c r="EU130" i="13"/>
  <c r="LW134" i="13"/>
  <c r="LX134" i="13" s="1"/>
  <c r="EQ120" i="13"/>
  <c r="ML120" i="13" s="1"/>
  <c r="MC120" i="13" s="1"/>
  <c r="EN120" i="13"/>
  <c r="EW120" i="13"/>
  <c r="EX120" i="13" s="1"/>
  <c r="FS124" i="13"/>
  <c r="IZ124" i="13"/>
  <c r="EI117" i="13"/>
  <c r="MJ117" i="13" s="1"/>
  <c r="LV117" i="13" s="1"/>
  <c r="EF117" i="13"/>
  <c r="EU117" i="13"/>
  <c r="EY117" i="13"/>
  <c r="FA117" i="13" s="1"/>
  <c r="FB117" i="13" s="1"/>
  <c r="MD105" i="13"/>
  <c r="ME105" i="13" s="1"/>
  <c r="AG113" i="13"/>
  <c r="AK113" i="13" s="1"/>
  <c r="ET106" i="13"/>
  <c r="IS106" i="13"/>
  <c r="IU106" i="13" s="1"/>
  <c r="IV106" i="13" s="1"/>
  <c r="ET101" i="13"/>
  <c r="IS101" i="13"/>
  <c r="IU101" i="13" s="1"/>
  <c r="IV101" i="13" s="1"/>
  <c r="LY93" i="13"/>
  <c r="MA93" i="13" s="1"/>
  <c r="MB93" i="13" s="1"/>
  <c r="MK93" i="13" s="1"/>
  <c r="IS96" i="13"/>
  <c r="IU96" i="13" s="1"/>
  <c r="IV96" i="13" s="1"/>
  <c r="ET96" i="13"/>
  <c r="EQ85" i="13"/>
  <c r="ML85" i="13" s="1"/>
  <c r="MC85" i="13" s="1"/>
  <c r="EN85" i="13"/>
  <c r="AJ85" i="13"/>
  <c r="AI85" i="13" s="1"/>
  <c r="AK87" i="13"/>
  <c r="NA83" i="13"/>
  <c r="MY83" i="13"/>
  <c r="MO83" i="13"/>
  <c r="FF83" i="13" s="1"/>
  <c r="IM83" i="13"/>
  <c r="IN83" i="13" s="1"/>
  <c r="MA74" i="13"/>
  <c r="MB74" i="13" s="1"/>
  <c r="MK74" i="13" s="1"/>
  <c r="LY74" i="13"/>
  <c r="ET69" i="13"/>
  <c r="IS69" i="13"/>
  <c r="IU69" i="13" s="1"/>
  <c r="IV69" i="13" s="1"/>
  <c r="EV45" i="13"/>
  <c r="AE45" i="13"/>
  <c r="AD45" i="13" s="1"/>
  <c r="MO34" i="13"/>
  <c r="FF34" i="13" s="1"/>
  <c r="NA34" i="13"/>
  <c r="MY34" i="13"/>
  <c r="IM34" i="13"/>
  <c r="IN34" i="13" s="1"/>
  <c r="AE26" i="13"/>
  <c r="AD26" i="13" s="1"/>
  <c r="EV26" i="13"/>
  <c r="H101" i="12"/>
  <c r="I101" i="12" s="1"/>
  <c r="J101" i="12" s="1"/>
  <c r="K101" i="12" s="1"/>
  <c r="M101" i="12" s="1"/>
  <c r="LY211" i="13"/>
  <c r="MA211" i="13" s="1"/>
  <c r="MB211" i="13" s="1"/>
  <c r="MK211" i="13" s="1"/>
  <c r="ET214" i="13"/>
  <c r="IS214" i="13"/>
  <c r="IU214" i="13" s="1"/>
  <c r="IV214" i="13" s="1"/>
  <c r="AJ211" i="13"/>
  <c r="AI211" i="13" s="1"/>
  <c r="MF209" i="13"/>
  <c r="MH209" i="13" s="1"/>
  <c r="MI209" i="13" s="1"/>
  <c r="MM209" i="13" s="1"/>
  <c r="ET207" i="13"/>
  <c r="IS207" i="13"/>
  <c r="IU207" i="13" s="1"/>
  <c r="IV207" i="13" s="1"/>
  <c r="EN201" i="13"/>
  <c r="AJ201" i="13"/>
  <c r="AI201" i="13" s="1"/>
  <c r="EQ201" i="13"/>
  <c r="ML201" i="13" s="1"/>
  <c r="MC201" i="13" s="1"/>
  <c r="LY201" i="13"/>
  <c r="MA201" i="13" s="1"/>
  <c r="MB201" i="13" s="1"/>
  <c r="MK201" i="13" s="1"/>
  <c r="MD202" i="13"/>
  <c r="ME202" i="13" s="1"/>
  <c r="ET198" i="13"/>
  <c r="IS198" i="13"/>
  <c r="IU198" i="13" s="1"/>
  <c r="IV198" i="13" s="1"/>
  <c r="EF191" i="13"/>
  <c r="EI191" i="13"/>
  <c r="MJ191" i="13" s="1"/>
  <c r="LV191" i="13" s="1"/>
  <c r="AB191" i="13"/>
  <c r="EU191" i="13"/>
  <c r="EY191" i="13"/>
  <c r="FA191" i="13" s="1"/>
  <c r="FB191" i="13" s="1"/>
  <c r="MD190" i="13"/>
  <c r="ME190" i="13" s="1"/>
  <c r="LY192" i="13"/>
  <c r="MA192" i="13" s="1"/>
  <c r="MB192" i="13" s="1"/>
  <c r="MK192" i="13" s="1"/>
  <c r="EI185" i="13"/>
  <c r="MJ185" i="13" s="1"/>
  <c r="LV185" i="13" s="1"/>
  <c r="EF185" i="13"/>
  <c r="LW185" i="13"/>
  <c r="LX185" i="13" s="1"/>
  <c r="AB185" i="13"/>
  <c r="EY185" i="13"/>
  <c r="FA185" i="13" s="1"/>
  <c r="FB185" i="13" s="1"/>
  <c r="EU185" i="13"/>
  <c r="FF189" i="13"/>
  <c r="MF182" i="13"/>
  <c r="MH182" i="13" s="1"/>
  <c r="IZ185" i="13"/>
  <c r="FS185" i="13"/>
  <c r="IZ186" i="13"/>
  <c r="FS186" i="13"/>
  <c r="EW177" i="13"/>
  <c r="EX177" i="13" s="1"/>
  <c r="EC177" i="13"/>
  <c r="ES177" i="13"/>
  <c r="IM177" i="13"/>
  <c r="IN177" i="13" s="1"/>
  <c r="ET175" i="13"/>
  <c r="IS175" i="13"/>
  <c r="IU175" i="13" s="1"/>
  <c r="IV175" i="13" s="1"/>
  <c r="AB177" i="13"/>
  <c r="AK177" i="13" s="1"/>
  <c r="EQ175" i="13"/>
  <c r="ML175" i="13" s="1"/>
  <c r="MC175" i="13" s="1"/>
  <c r="EN175" i="13"/>
  <c r="AJ175" i="13"/>
  <c r="AI175" i="13" s="1"/>
  <c r="ET171" i="13"/>
  <c r="IS171" i="13"/>
  <c r="IU171" i="13" s="1"/>
  <c r="IV171" i="13" s="1"/>
  <c r="EQ176" i="13"/>
  <c r="ML176" i="13" s="1"/>
  <c r="MC176" i="13" s="1"/>
  <c r="EN176" i="13"/>
  <c r="AJ176" i="13"/>
  <c r="AI176" i="13" s="1"/>
  <c r="FF173" i="13"/>
  <c r="FS164" i="13"/>
  <c r="IZ164" i="13"/>
  <c r="LW166" i="13"/>
  <c r="LX166" i="13" s="1"/>
  <c r="MA159" i="13"/>
  <c r="MB159" i="13" s="1"/>
  <c r="MK159" i="13" s="1"/>
  <c r="LY159" i="13"/>
  <c r="MF158" i="13"/>
  <c r="MH158" i="13" s="1"/>
  <c r="ET154" i="13"/>
  <c r="IS154" i="13"/>
  <c r="IU154" i="13" s="1"/>
  <c r="IV154" i="13" s="1"/>
  <c r="AJ151" i="13"/>
  <c r="AI151" i="13" s="1"/>
  <c r="EQ151" i="13"/>
  <c r="ML151" i="13" s="1"/>
  <c r="MC151" i="13" s="1"/>
  <c r="EN151" i="13"/>
  <c r="MF145" i="13"/>
  <c r="MH145" i="13" s="1"/>
  <c r="MI145" i="13" s="1"/>
  <c r="MM145" i="13" s="1"/>
  <c r="EW137" i="13"/>
  <c r="EX137" i="13" s="1"/>
  <c r="AK139" i="13"/>
  <c r="MD135" i="13"/>
  <c r="ME135" i="13" s="1"/>
  <c r="AG120" i="13"/>
  <c r="FS119" i="13"/>
  <c r="IZ119" i="13"/>
  <c r="ET124" i="13"/>
  <c r="IS124" i="13"/>
  <c r="IU124" i="13" s="1"/>
  <c r="IV124" i="13" s="1"/>
  <c r="EQ123" i="13"/>
  <c r="ML123" i="13" s="1"/>
  <c r="MC123" i="13" s="1"/>
  <c r="EN123" i="13"/>
  <c r="AJ123" i="13"/>
  <c r="AI123" i="13" s="1"/>
  <c r="EY123" i="13"/>
  <c r="FA123" i="13" s="1"/>
  <c r="FB123" i="13" s="1"/>
  <c r="IZ117" i="13"/>
  <c r="FS117" i="13"/>
  <c r="FS98" i="13"/>
  <c r="IZ98" i="13"/>
  <c r="EI101" i="13"/>
  <c r="MJ101" i="13" s="1"/>
  <c r="LV101" i="13" s="1"/>
  <c r="EF101" i="13"/>
  <c r="AB101" i="13"/>
  <c r="EU101" i="13"/>
  <c r="EY101" i="13"/>
  <c r="FA101" i="13" s="1"/>
  <c r="FB101" i="13" s="1"/>
  <c r="AG102" i="13"/>
  <c r="MD109" i="13"/>
  <c r="ME109" i="13" s="1"/>
  <c r="LY92" i="13"/>
  <c r="MA92" i="13" s="1"/>
  <c r="MB92" i="13" s="1"/>
  <c r="MK92" i="13" s="1"/>
  <c r="EQ87" i="13"/>
  <c r="ML87" i="13" s="1"/>
  <c r="MC87" i="13" s="1"/>
  <c r="EN87" i="13"/>
  <c r="AJ87" i="13"/>
  <c r="AI87" i="13" s="1"/>
  <c r="EI77" i="13"/>
  <c r="MJ77" i="13" s="1"/>
  <c r="LV77" i="13" s="1"/>
  <c r="EF77" i="13"/>
  <c r="LW77" i="13"/>
  <c r="LX77" i="13" s="1"/>
  <c r="AB77" i="13"/>
  <c r="EY77" i="13"/>
  <c r="FA77" i="13" s="1"/>
  <c r="FB77" i="13" s="1"/>
  <c r="EU77" i="13"/>
  <c r="FF25" i="13"/>
  <c r="EV71" i="13"/>
  <c r="AE71" i="13"/>
  <c r="AD71" i="13" s="1"/>
  <c r="IM190" i="13"/>
  <c r="IN190" i="13" s="1"/>
  <c r="EW214" i="13"/>
  <c r="EX214" i="13" s="1"/>
  <c r="EI205" i="13"/>
  <c r="MJ205" i="13" s="1"/>
  <c r="LV205" i="13" s="1"/>
  <c r="EF205" i="13"/>
  <c r="EU205" i="13"/>
  <c r="EY205" i="13"/>
  <c r="FA205" i="13" s="1"/>
  <c r="FB205" i="13" s="1"/>
  <c r="MD200" i="13"/>
  <c r="ME200" i="13" s="1"/>
  <c r="MC202" i="13"/>
  <c r="FF202" i="13"/>
  <c r="MD205" i="13"/>
  <c r="ME205" i="13" s="1"/>
  <c r="EN197" i="13"/>
  <c r="AJ197" i="13"/>
  <c r="AI197" i="13" s="1"/>
  <c r="EQ197" i="13"/>
  <c r="ML197" i="13" s="1"/>
  <c r="MC197" i="13" s="1"/>
  <c r="ET191" i="13"/>
  <c r="IS191" i="13"/>
  <c r="IU191" i="13" s="1"/>
  <c r="IV191" i="13" s="1"/>
  <c r="AK192" i="13"/>
  <c r="EI184" i="13"/>
  <c r="MJ184" i="13" s="1"/>
  <c r="LV184" i="13" s="1"/>
  <c r="EF184" i="13"/>
  <c r="LW184" i="13"/>
  <c r="LX184" i="13" s="1"/>
  <c r="AB184" i="13"/>
  <c r="EU184" i="13"/>
  <c r="EY184" i="13"/>
  <c r="FA184" i="13" s="1"/>
  <c r="FB184" i="13" s="1"/>
  <c r="IS185" i="13"/>
  <c r="IU185" i="13" s="1"/>
  <c r="IV185" i="13" s="1"/>
  <c r="ET185" i="13"/>
  <c r="IS186" i="13"/>
  <c r="IU186" i="13" s="1"/>
  <c r="IV186" i="13" s="1"/>
  <c r="ET186" i="13"/>
  <c r="AJ184" i="13"/>
  <c r="AI184" i="13" s="1"/>
  <c r="EQ184" i="13"/>
  <c r="ML184" i="13" s="1"/>
  <c r="MC184" i="13" s="1"/>
  <c r="EN184" i="13"/>
  <c r="FS175" i="13"/>
  <c r="IZ175" i="13"/>
  <c r="IZ180" i="13"/>
  <c r="FS180" i="13"/>
  <c r="FS174" i="13"/>
  <c r="IZ174" i="13"/>
  <c r="IZ171" i="13"/>
  <c r="FS171" i="13"/>
  <c r="ET163" i="13"/>
  <c r="IS163" i="13"/>
  <c r="IU163" i="13" s="1"/>
  <c r="IV163" i="13" s="1"/>
  <c r="IS172" i="13"/>
  <c r="IU172" i="13" s="1"/>
  <c r="IV172" i="13" s="1"/>
  <c r="ET172" i="13"/>
  <c r="FF159" i="13"/>
  <c r="EQ136" i="13"/>
  <c r="ML136" i="13" s="1"/>
  <c r="MC136" i="13" s="1"/>
  <c r="EN136" i="13"/>
  <c r="AG136" i="13"/>
  <c r="EW136" i="13"/>
  <c r="EX136" i="13" s="1"/>
  <c r="IZ141" i="13"/>
  <c r="FS141" i="13"/>
  <c r="MD128" i="13"/>
  <c r="ME128" i="13" s="1"/>
  <c r="FS131" i="13"/>
  <c r="IZ131" i="13"/>
  <c r="LW120" i="13"/>
  <c r="LX120" i="13" s="1"/>
  <c r="ET119" i="13"/>
  <c r="IS119" i="13"/>
  <c r="IU119" i="13" s="1"/>
  <c r="IV119" i="13" s="1"/>
  <c r="AG123" i="13"/>
  <c r="LY112" i="13"/>
  <c r="MA112" i="13" s="1"/>
  <c r="MB112" i="13" s="1"/>
  <c r="MK112" i="13" s="1"/>
  <c r="ET117" i="13"/>
  <c r="IS117" i="13"/>
  <c r="IU117" i="13" s="1"/>
  <c r="IV117" i="13" s="1"/>
  <c r="MD118" i="13"/>
  <c r="ME118" i="13" s="1"/>
  <c r="IZ108" i="13"/>
  <c r="FS108" i="13"/>
  <c r="IS98" i="13"/>
  <c r="IU98" i="13" s="1"/>
  <c r="IV98" i="13" s="1"/>
  <c r="ET98" i="13"/>
  <c r="EQ90" i="13"/>
  <c r="ML90" i="13" s="1"/>
  <c r="MC90" i="13" s="1"/>
  <c r="EN90" i="13"/>
  <c r="AJ90" i="13"/>
  <c r="AI90" i="13" s="1"/>
  <c r="MD90" i="13"/>
  <c r="ME90" i="13" s="1"/>
  <c r="MD85" i="13"/>
  <c r="ME85" i="13" s="1"/>
  <c r="MY80" i="13"/>
  <c r="MO80" i="13"/>
  <c r="FF80" i="13" s="1"/>
  <c r="NA80" i="13"/>
  <c r="LY57" i="13"/>
  <c r="MA57" i="13" s="1"/>
  <c r="MB57" i="13" s="1"/>
  <c r="MK57" i="13" s="1"/>
  <c r="IZ55" i="13"/>
  <c r="FS55" i="13"/>
  <c r="MD208" i="13"/>
  <c r="ME208" i="13" s="1"/>
  <c r="EF209" i="13"/>
  <c r="LW209" i="13"/>
  <c r="LX209" i="13" s="1"/>
  <c r="EI209" i="13"/>
  <c r="MJ209" i="13" s="1"/>
  <c r="LV209" i="13" s="1"/>
  <c r="EY209" i="13"/>
  <c r="FA209" i="13" s="1"/>
  <c r="FB209" i="13" s="1"/>
  <c r="EU209" i="13"/>
  <c r="LY207" i="13"/>
  <c r="MA207" i="13" s="1"/>
  <c r="MB207" i="13" s="1"/>
  <c r="MK207" i="13" s="1"/>
  <c r="LW202" i="13"/>
  <c r="LX202" i="13" s="1"/>
  <c r="EI196" i="13"/>
  <c r="MJ196" i="13" s="1"/>
  <c r="LV196" i="13" s="1"/>
  <c r="EF196" i="13"/>
  <c r="EU196" i="13"/>
  <c r="EY196" i="13"/>
  <c r="FA196" i="13" s="1"/>
  <c r="FB196" i="13" s="1"/>
  <c r="FS195" i="13"/>
  <c r="IZ195" i="13"/>
  <c r="LY194" i="13"/>
  <c r="MA194" i="13" s="1"/>
  <c r="MB194" i="13" s="1"/>
  <c r="MK194" i="13" s="1"/>
  <c r="LY193" i="13"/>
  <c r="MA193" i="13" s="1"/>
  <c r="MB193" i="13" s="1"/>
  <c r="MK193" i="13" s="1"/>
  <c r="FF184" i="13"/>
  <c r="EN187" i="13"/>
  <c r="AJ187" i="13"/>
  <c r="AI187" i="13" s="1"/>
  <c r="EQ187" i="13"/>
  <c r="ML187" i="13" s="1"/>
  <c r="ET180" i="13"/>
  <c r="IS180" i="13"/>
  <c r="IU180" i="13" s="1"/>
  <c r="IV180" i="13" s="1"/>
  <c r="ET174" i="13"/>
  <c r="IS174" i="13"/>
  <c r="IU174" i="13" s="1"/>
  <c r="IV174" i="13" s="1"/>
  <c r="EI170" i="13"/>
  <c r="MJ170" i="13" s="1"/>
  <c r="LV170" i="13" s="1"/>
  <c r="EF170" i="13"/>
  <c r="EU170" i="13"/>
  <c r="EY170" i="13"/>
  <c r="FA170" i="13" s="1"/>
  <c r="FB170" i="13" s="1"/>
  <c r="ET170" i="13"/>
  <c r="IS170" i="13"/>
  <c r="IU170" i="13" s="1"/>
  <c r="IV170" i="13" s="1"/>
  <c r="FS163" i="13"/>
  <c r="IZ163" i="13"/>
  <c r="MH163" i="13"/>
  <c r="MF163" i="13"/>
  <c r="AJ168" i="13"/>
  <c r="AI168" i="13" s="1"/>
  <c r="EQ168" i="13"/>
  <c r="ML168" i="13" s="1"/>
  <c r="MC168" i="13" s="1"/>
  <c r="EN168" i="13"/>
  <c r="FS172" i="13"/>
  <c r="IZ172" i="13"/>
  <c r="FF160" i="13"/>
  <c r="NA150" i="13"/>
  <c r="MY150" i="13"/>
  <c r="MO150" i="13"/>
  <c r="FF150" i="13" s="1"/>
  <c r="IM150" i="13"/>
  <c r="IN150" i="13" s="1"/>
  <c r="MD159" i="13"/>
  <c r="ME159" i="13" s="1"/>
  <c r="LY154" i="13"/>
  <c r="MA154" i="13" s="1"/>
  <c r="MB154" i="13" s="1"/>
  <c r="MK154" i="13" s="1"/>
  <c r="MO152" i="13"/>
  <c r="FF152" i="13" s="1"/>
  <c r="NA152" i="13"/>
  <c r="MY152" i="13"/>
  <c r="IM152" i="13"/>
  <c r="IN152" i="13" s="1"/>
  <c r="EF144" i="13"/>
  <c r="EI144" i="13"/>
  <c r="MJ144" i="13" s="1"/>
  <c r="LV144" i="13" s="1"/>
  <c r="EU144" i="13"/>
  <c r="EY144" i="13"/>
  <c r="FA144" i="13" s="1"/>
  <c r="FB144" i="13" s="1"/>
  <c r="EI140" i="13"/>
  <c r="MJ140" i="13" s="1"/>
  <c r="LV140" i="13" s="1"/>
  <c r="EF140" i="13"/>
  <c r="EU140" i="13"/>
  <c r="EY140" i="13"/>
  <c r="FA140" i="13" s="1"/>
  <c r="FB140" i="13" s="1"/>
  <c r="EF136" i="13"/>
  <c r="EI136" i="13"/>
  <c r="MJ136" i="13" s="1"/>
  <c r="LV136" i="13" s="1"/>
  <c r="EU136" i="13"/>
  <c r="EY136" i="13"/>
  <c r="FA136" i="13" s="1"/>
  <c r="FB136" i="13" s="1"/>
  <c r="AB144" i="13"/>
  <c r="LY137" i="13"/>
  <c r="MA137" i="13" s="1"/>
  <c r="MB137" i="13" s="1"/>
  <c r="MK137" i="13" s="1"/>
  <c r="EQ142" i="13"/>
  <c r="ML142" i="13" s="1"/>
  <c r="MC142" i="13" s="1"/>
  <c r="EN142" i="13"/>
  <c r="FS135" i="13"/>
  <c r="IZ135" i="13"/>
  <c r="ET141" i="13"/>
  <c r="IS141" i="13"/>
  <c r="IU141" i="13" s="1"/>
  <c r="IV141" i="13" s="1"/>
  <c r="AB132" i="13"/>
  <c r="MC128" i="13"/>
  <c r="ET131" i="13"/>
  <c r="IS131" i="13"/>
  <c r="IU131" i="13" s="1"/>
  <c r="IV131" i="13" s="1"/>
  <c r="EQ114" i="13"/>
  <c r="ML114" i="13" s="1"/>
  <c r="MC114" i="13" s="1"/>
  <c r="EN114" i="13"/>
  <c r="AJ114" i="13"/>
  <c r="AI114" i="13" s="1"/>
  <c r="EY114" i="13"/>
  <c r="FA114" i="13" s="1"/>
  <c r="FB114" i="13" s="1"/>
  <c r="EQ117" i="13"/>
  <c r="ML117" i="13" s="1"/>
  <c r="MC117" i="13" s="1"/>
  <c r="EN117" i="13"/>
  <c r="AJ117" i="13"/>
  <c r="AI117" i="13" s="1"/>
  <c r="LY113" i="13"/>
  <c r="MA113" i="13" s="1"/>
  <c r="MB113" i="13" s="1"/>
  <c r="MK113" i="13" s="1"/>
  <c r="EI102" i="13"/>
  <c r="MJ102" i="13" s="1"/>
  <c r="LV102" i="13" s="1"/>
  <c r="EF102" i="13"/>
  <c r="LW102" i="13"/>
  <c r="LX102" i="13" s="1"/>
  <c r="EY102" i="13"/>
  <c r="FA102" i="13" s="1"/>
  <c r="FB102" i="13" s="1"/>
  <c r="EU102" i="13"/>
  <c r="IS108" i="13"/>
  <c r="IU108" i="13" s="1"/>
  <c r="IV108" i="13" s="1"/>
  <c r="ET108" i="13"/>
  <c r="IZ113" i="13"/>
  <c r="FS113" i="13"/>
  <c r="AB99" i="13"/>
  <c r="AK99" i="13" s="1"/>
  <c r="AG118" i="13"/>
  <c r="IZ92" i="13"/>
  <c r="FS92" i="13"/>
  <c r="NA86" i="13"/>
  <c r="MY86" i="13"/>
  <c r="MO86" i="13"/>
  <c r="IM86" i="13"/>
  <c r="IN86" i="13" s="1"/>
  <c r="MO88" i="13"/>
  <c r="FF88" i="13" s="1"/>
  <c r="NA88" i="13"/>
  <c r="MY88" i="13"/>
  <c r="IM88" i="13"/>
  <c r="IN88" i="13" s="1"/>
  <c r="LY89" i="13"/>
  <c r="MA89" i="13" s="1"/>
  <c r="MB89" i="13" s="1"/>
  <c r="MK89" i="13" s="1"/>
  <c r="LY73" i="13"/>
  <c r="MA73" i="13" s="1"/>
  <c r="MB73" i="13" s="1"/>
  <c r="MK73" i="13" s="1"/>
  <c r="EY130" i="13"/>
  <c r="FA130" i="13" s="1"/>
  <c r="FB130" i="13" s="1"/>
  <c r="IZ211" i="13"/>
  <c r="FS211" i="13"/>
  <c r="IZ207" i="13"/>
  <c r="FS207" i="13"/>
  <c r="EN204" i="13"/>
  <c r="AJ204" i="13"/>
  <c r="AI204" i="13" s="1"/>
  <c r="EQ204" i="13"/>
  <c r="ML204" i="13" s="1"/>
  <c r="MC204" i="13" s="1"/>
  <c r="LY204" i="13"/>
  <c r="MA204" i="13" s="1"/>
  <c r="MB204" i="13" s="1"/>
  <c r="MK204" i="13" s="1"/>
  <c r="IS195" i="13"/>
  <c r="IU195" i="13" s="1"/>
  <c r="IV195" i="13" s="1"/>
  <c r="ET195" i="13"/>
  <c r="LW190" i="13"/>
  <c r="LX190" i="13" s="1"/>
  <c r="LW191" i="13"/>
  <c r="LX191" i="13" s="1"/>
  <c r="AJ185" i="13"/>
  <c r="AI185" i="13" s="1"/>
  <c r="EQ185" i="13"/>
  <c r="ML185" i="13" s="1"/>
  <c r="MC185" i="13" s="1"/>
  <c r="EN185" i="13"/>
  <c r="MF180" i="13"/>
  <c r="MH180" i="13" s="1"/>
  <c r="FF180" i="13"/>
  <c r="EI169" i="13"/>
  <c r="MJ169" i="13" s="1"/>
  <c r="LV169" i="13" s="1"/>
  <c r="EF169" i="13"/>
  <c r="EU169" i="13"/>
  <c r="EY169" i="13"/>
  <c r="FA169" i="13" s="1"/>
  <c r="FB169" i="13" s="1"/>
  <c r="IZ170" i="13"/>
  <c r="FS170" i="13"/>
  <c r="AK175" i="13"/>
  <c r="FF168" i="13"/>
  <c r="ET162" i="13"/>
  <c r="IS162" i="13"/>
  <c r="IU162" i="13" s="1"/>
  <c r="IV162" i="13" s="1"/>
  <c r="NA166" i="13"/>
  <c r="MY166" i="13"/>
  <c r="MO166" i="13"/>
  <c r="FF166" i="13" s="1"/>
  <c r="IM166" i="13"/>
  <c r="IN166" i="13" s="1"/>
  <c r="AJ172" i="13"/>
  <c r="AI172" i="13" s="1"/>
  <c r="EQ172" i="13"/>
  <c r="ML172" i="13" s="1"/>
  <c r="MC172" i="13" s="1"/>
  <c r="EN172" i="13"/>
  <c r="MO153" i="13"/>
  <c r="NA153" i="13"/>
  <c r="MY153" i="13"/>
  <c r="IM153" i="13"/>
  <c r="IN153" i="13" s="1"/>
  <c r="FF161" i="13"/>
  <c r="AB157" i="13"/>
  <c r="AK157" i="13" s="1"/>
  <c r="FS159" i="13"/>
  <c r="IZ159" i="13"/>
  <c r="EI146" i="13"/>
  <c r="MJ146" i="13" s="1"/>
  <c r="LV146" i="13" s="1"/>
  <c r="EF146" i="13"/>
  <c r="EY146" i="13"/>
  <c r="FA146" i="13" s="1"/>
  <c r="FB146" i="13" s="1"/>
  <c r="EU146" i="13"/>
  <c r="AJ153" i="13"/>
  <c r="AI153" i="13" s="1"/>
  <c r="EQ153" i="13"/>
  <c r="ML153" i="13" s="1"/>
  <c r="MC153" i="13" s="1"/>
  <c r="EN153" i="13"/>
  <c r="AK154" i="13"/>
  <c r="EW152" i="13"/>
  <c r="EX152" i="13" s="1"/>
  <c r="EC152" i="13"/>
  <c r="ES152" i="13"/>
  <c r="EY152" i="13"/>
  <c r="FA152" i="13" s="1"/>
  <c r="FB152" i="13" s="1"/>
  <c r="IZ144" i="13"/>
  <c r="FS144" i="13"/>
  <c r="EI133" i="13"/>
  <c r="MJ133" i="13" s="1"/>
  <c r="LV133" i="13" s="1"/>
  <c r="EF133" i="13"/>
  <c r="EY133" i="13"/>
  <c r="FA133" i="13" s="1"/>
  <c r="FB133" i="13" s="1"/>
  <c r="EW142" i="13"/>
  <c r="EX142" i="13" s="1"/>
  <c r="ET135" i="13"/>
  <c r="IS135" i="13"/>
  <c r="IU135" i="13" s="1"/>
  <c r="IV135" i="13" s="1"/>
  <c r="EW141" i="13"/>
  <c r="EX141" i="13" s="1"/>
  <c r="IZ125" i="13"/>
  <c r="FS125" i="13"/>
  <c r="IZ133" i="13"/>
  <c r="FS133" i="13"/>
  <c r="EN133" i="13"/>
  <c r="AJ133" i="13"/>
  <c r="AI133" i="13" s="1"/>
  <c r="EQ133" i="13"/>
  <c r="ML133" i="13" s="1"/>
  <c r="MC133" i="13" s="1"/>
  <c r="EI126" i="13"/>
  <c r="MJ126" i="13" s="1"/>
  <c r="LV126" i="13" s="1"/>
  <c r="EF126" i="13"/>
  <c r="EY126" i="13"/>
  <c r="FA126" i="13" s="1"/>
  <c r="FB126" i="13" s="1"/>
  <c r="EU126" i="13"/>
  <c r="MD127" i="13"/>
  <c r="ME127" i="13" s="1"/>
  <c r="EQ115" i="13"/>
  <c r="ML115" i="13" s="1"/>
  <c r="MC115" i="13" s="1"/>
  <c r="AJ115" i="13"/>
  <c r="AI115" i="13" s="1"/>
  <c r="EN115" i="13"/>
  <c r="EY115" i="13"/>
  <c r="FA115" i="13" s="1"/>
  <c r="FB115" i="13" s="1"/>
  <c r="EQ127" i="13"/>
  <c r="ML127" i="13" s="1"/>
  <c r="MC127" i="13" s="1"/>
  <c r="EN127" i="13"/>
  <c r="AJ127" i="13"/>
  <c r="AI127" i="13" s="1"/>
  <c r="FS123" i="13"/>
  <c r="IZ123" i="13"/>
  <c r="EQ122" i="13"/>
  <c r="ML122" i="13" s="1"/>
  <c r="MC122" i="13" s="1"/>
  <c r="EN122" i="13"/>
  <c r="AJ122" i="13"/>
  <c r="AI122" i="13" s="1"/>
  <c r="EY122" i="13"/>
  <c r="FA122" i="13" s="1"/>
  <c r="FB122" i="13" s="1"/>
  <c r="EW116" i="13"/>
  <c r="EX116" i="13" s="1"/>
  <c r="AG114" i="13"/>
  <c r="AJ121" i="13"/>
  <c r="AI121" i="13" s="1"/>
  <c r="EQ121" i="13"/>
  <c r="ML121" i="13" s="1"/>
  <c r="MC121" i="13" s="1"/>
  <c r="EN121" i="13"/>
  <c r="EY121" i="13"/>
  <c r="FA121" i="13" s="1"/>
  <c r="FB121" i="13" s="1"/>
  <c r="ET113" i="13"/>
  <c r="IS113" i="13"/>
  <c r="IU113" i="13" s="1"/>
  <c r="IV113" i="13" s="1"/>
  <c r="FF97" i="13"/>
  <c r="LW99" i="13"/>
  <c r="LX99" i="13" s="1"/>
  <c r="EI97" i="13"/>
  <c r="MJ97" i="13" s="1"/>
  <c r="LV97" i="13" s="1"/>
  <c r="EF97" i="13"/>
  <c r="EY97" i="13"/>
  <c r="EU97" i="13"/>
  <c r="MA98" i="13"/>
  <c r="MB98" i="13" s="1"/>
  <c r="MK98" i="13" s="1"/>
  <c r="LY98" i="13"/>
  <c r="IS109" i="13"/>
  <c r="IU109" i="13" s="1"/>
  <c r="IV109" i="13" s="1"/>
  <c r="ET109" i="13"/>
  <c r="IS92" i="13"/>
  <c r="IU92" i="13" s="1"/>
  <c r="IV92" i="13" s="1"/>
  <c r="ET92" i="13"/>
  <c r="FF90" i="13"/>
  <c r="OD20" i="13"/>
  <c r="OF20" i="13" s="1"/>
  <c r="OH20" i="13" s="1"/>
  <c r="FA20" i="13"/>
  <c r="FB20" i="13" s="1"/>
  <c r="FG40" i="13"/>
  <c r="FS212" i="13"/>
  <c r="IZ212" i="13"/>
  <c r="MD210" i="13"/>
  <c r="ME210" i="13" s="1"/>
  <c r="ET211" i="13"/>
  <c r="IS211" i="13"/>
  <c r="IU211" i="13" s="1"/>
  <c r="IV211" i="13" s="1"/>
  <c r="MD206" i="13"/>
  <c r="ME206" i="13" s="1"/>
  <c r="EW206" i="13"/>
  <c r="EX206" i="13" s="1"/>
  <c r="EC206" i="13"/>
  <c r="ES206" i="13"/>
  <c r="IM206" i="13"/>
  <c r="IN206" i="13" s="1"/>
  <c r="AJ207" i="13"/>
  <c r="AI207" i="13" s="1"/>
  <c r="EQ207" i="13"/>
  <c r="ML207" i="13" s="1"/>
  <c r="MC207" i="13" s="1"/>
  <c r="EN207" i="13"/>
  <c r="MD207" i="13"/>
  <c r="ME207" i="13" s="1"/>
  <c r="EY207" i="13"/>
  <c r="FA207" i="13" s="1"/>
  <c r="FB207" i="13" s="1"/>
  <c r="EN203" i="13"/>
  <c r="EQ203" i="13"/>
  <c r="ML203" i="13" s="1"/>
  <c r="MC203" i="13" s="1"/>
  <c r="AJ203" i="13"/>
  <c r="AI203" i="13" s="1"/>
  <c r="AB203" i="13"/>
  <c r="AK203" i="13" s="1"/>
  <c r="EQ196" i="13"/>
  <c r="ML196" i="13" s="1"/>
  <c r="MC196" i="13" s="1"/>
  <c r="EN196" i="13"/>
  <c r="AJ196" i="13"/>
  <c r="AI196" i="13" s="1"/>
  <c r="AB190" i="13"/>
  <c r="AK190" i="13" s="1"/>
  <c r="ET188" i="13"/>
  <c r="IS188" i="13"/>
  <c r="IU188" i="13" s="1"/>
  <c r="IV188" i="13" s="1"/>
  <c r="EI168" i="13"/>
  <c r="MJ168" i="13" s="1"/>
  <c r="LV168" i="13" s="1"/>
  <c r="EF168" i="13"/>
  <c r="EY168" i="13"/>
  <c r="FA168" i="13" s="1"/>
  <c r="FB168" i="13" s="1"/>
  <c r="EU168" i="13"/>
  <c r="ET169" i="13"/>
  <c r="IS169" i="13"/>
  <c r="IU169" i="13" s="1"/>
  <c r="IV169" i="13" s="1"/>
  <c r="AB169" i="13"/>
  <c r="FS162" i="13"/>
  <c r="IZ162" i="13"/>
  <c r="MH162" i="13"/>
  <c r="MF162" i="13"/>
  <c r="EQ164" i="13"/>
  <c r="ML164" i="13" s="1"/>
  <c r="MC164" i="13" s="1"/>
  <c r="EN164" i="13"/>
  <c r="AJ164" i="13"/>
  <c r="AI164" i="13" s="1"/>
  <c r="MD172" i="13"/>
  <c r="ME172" i="13" s="1"/>
  <c r="IS159" i="13"/>
  <c r="IU159" i="13" s="1"/>
  <c r="IV159" i="13" s="1"/>
  <c r="ET159" i="13"/>
  <c r="LY151" i="13"/>
  <c r="MA151" i="13" s="1"/>
  <c r="MB151" i="13" s="1"/>
  <c r="MK151" i="13" s="1"/>
  <c r="IZ136" i="13"/>
  <c r="FS136" i="13"/>
  <c r="ET144" i="13"/>
  <c r="IS144" i="13"/>
  <c r="IU144" i="13" s="1"/>
  <c r="IV144" i="13" s="1"/>
  <c r="MD138" i="13"/>
  <c r="ME138" i="13" s="1"/>
  <c r="FS142" i="13"/>
  <c r="IZ142" i="13"/>
  <c r="IZ140" i="13"/>
  <c r="FS140" i="13"/>
  <c r="LW132" i="13"/>
  <c r="LX132" i="13" s="1"/>
  <c r="ET133" i="13"/>
  <c r="IS133" i="13"/>
  <c r="IU133" i="13" s="1"/>
  <c r="IV133" i="13" s="1"/>
  <c r="AG133" i="13"/>
  <c r="LW126" i="13"/>
  <c r="LX126" i="13" s="1"/>
  <c r="LY123" i="13"/>
  <c r="MA123" i="13" s="1"/>
  <c r="MB123" i="13" s="1"/>
  <c r="MK123" i="13" s="1"/>
  <c r="ET123" i="13"/>
  <c r="IS123" i="13"/>
  <c r="IU123" i="13" s="1"/>
  <c r="IV123" i="13" s="1"/>
  <c r="AG122" i="13"/>
  <c r="FS116" i="13"/>
  <c r="IZ116" i="13"/>
  <c r="AG121" i="13"/>
  <c r="AB111" i="13"/>
  <c r="AK111" i="13" s="1"/>
  <c r="EI111" i="13"/>
  <c r="MJ111" i="13" s="1"/>
  <c r="LV111" i="13" s="1"/>
  <c r="EF111" i="13"/>
  <c r="EU111" i="13"/>
  <c r="IS110" i="13"/>
  <c r="IU110" i="13" s="1"/>
  <c r="IV110" i="13" s="1"/>
  <c r="ET110" i="13"/>
  <c r="LY106" i="13"/>
  <c r="MA106" i="13" s="1"/>
  <c r="MB106" i="13" s="1"/>
  <c r="MK106" i="13" s="1"/>
  <c r="AB107" i="13"/>
  <c r="AK107" i="13" s="1"/>
  <c r="EQ112" i="13"/>
  <c r="ML112" i="13" s="1"/>
  <c r="MC112" i="13" s="1"/>
  <c r="EN112" i="13"/>
  <c r="EW112" i="13"/>
  <c r="EX112" i="13" s="1"/>
  <c r="EY112" i="13"/>
  <c r="FA112" i="13" s="1"/>
  <c r="FB112" i="13" s="1"/>
  <c r="EW113" i="13"/>
  <c r="EX113" i="13" s="1"/>
  <c r="AG109" i="13"/>
  <c r="AK109" i="13" s="1"/>
  <c r="EN99" i="13"/>
  <c r="AJ99" i="13"/>
  <c r="AI99" i="13" s="1"/>
  <c r="EQ99" i="13"/>
  <c r="ML99" i="13" s="1"/>
  <c r="MC99" i="13" s="1"/>
  <c r="AJ101" i="13"/>
  <c r="AI101" i="13" s="1"/>
  <c r="LY105" i="13"/>
  <c r="MA105" i="13" s="1"/>
  <c r="MB105" i="13" s="1"/>
  <c r="MK105" i="13" s="1"/>
  <c r="IZ109" i="13"/>
  <c r="FS109" i="13"/>
  <c r="MF96" i="13"/>
  <c r="MH96" i="13" s="1"/>
  <c r="NA81" i="13"/>
  <c r="MY81" i="13"/>
  <c r="MO81" i="13"/>
  <c r="FF81" i="13" s="1"/>
  <c r="IM81" i="13"/>
  <c r="IN81" i="13" s="1"/>
  <c r="AJ76" i="13"/>
  <c r="AI76" i="13" s="1"/>
  <c r="EQ76" i="13"/>
  <c r="ML76" i="13" s="1"/>
  <c r="EN76" i="13"/>
  <c r="MD76" i="13"/>
  <c r="ME76" i="13" s="1"/>
  <c r="EV62" i="13"/>
  <c r="AE62" i="13"/>
  <c r="AD62" i="13" s="1"/>
  <c r="LY66" i="13"/>
  <c r="MA66" i="13" s="1"/>
  <c r="MB66" i="13" s="1"/>
  <c r="MK66" i="13" s="1"/>
  <c r="FG35" i="13"/>
  <c r="EV127" i="13"/>
  <c r="AE127" i="13"/>
  <c r="AD127" i="13" s="1"/>
  <c r="MO70" i="13"/>
  <c r="FF70" i="13" s="1"/>
  <c r="NA70" i="13"/>
  <c r="MY70" i="13"/>
  <c r="EW91" i="13"/>
  <c r="EX91" i="13" s="1"/>
  <c r="EC91" i="13"/>
  <c r="ES91" i="13"/>
  <c r="MD91" i="13"/>
  <c r="ME91" i="13" s="1"/>
  <c r="ET79" i="13"/>
  <c r="IS79" i="13"/>
  <c r="IU79" i="13" s="1"/>
  <c r="IV79" i="13" s="1"/>
  <c r="NA58" i="13"/>
  <c r="MY58" i="13"/>
  <c r="MO58" i="13"/>
  <c r="AB83" i="13"/>
  <c r="LY72" i="13"/>
  <c r="MA72" i="13" s="1"/>
  <c r="MB72" i="13" s="1"/>
  <c r="MK72" i="13" s="1"/>
  <c r="ET72" i="13"/>
  <c r="IS72" i="13"/>
  <c r="IU72" i="13" s="1"/>
  <c r="IV72" i="13" s="1"/>
  <c r="EQ61" i="13"/>
  <c r="ML61" i="13" s="1"/>
  <c r="MC61" i="13" s="1"/>
  <c r="EN61" i="13"/>
  <c r="AJ61" i="13"/>
  <c r="AI61" i="13" s="1"/>
  <c r="EW67" i="13"/>
  <c r="EX67" i="13" s="1"/>
  <c r="ES67" i="13"/>
  <c r="EC67" i="13"/>
  <c r="ET55" i="13"/>
  <c r="IS55" i="13"/>
  <c r="IU55" i="13" s="1"/>
  <c r="IV55" i="13" s="1"/>
  <c r="LY67" i="13"/>
  <c r="MA67" i="13" s="1"/>
  <c r="MB67" i="13" s="1"/>
  <c r="MK67" i="13" s="1"/>
  <c r="LY63" i="13"/>
  <c r="MA63" i="13"/>
  <c r="MB63" i="13" s="1"/>
  <c r="MK63" i="13" s="1"/>
  <c r="LW56" i="13"/>
  <c r="LX56" i="13" s="1"/>
  <c r="MY29" i="13"/>
  <c r="MO29" i="13"/>
  <c r="NA29" i="13"/>
  <c r="IZ41" i="13"/>
  <c r="FS41" i="13"/>
  <c r="MO51" i="13"/>
  <c r="NA51" i="13"/>
  <c r="MY51" i="13"/>
  <c r="ET25" i="13"/>
  <c r="IS25" i="13"/>
  <c r="IU25" i="13" s="1"/>
  <c r="IV25" i="13" s="1"/>
  <c r="NA27" i="13"/>
  <c r="MY27" i="13"/>
  <c r="MO27" i="13"/>
  <c r="LY33" i="13"/>
  <c r="MA33" i="13" s="1"/>
  <c r="MB33" i="13" s="1"/>
  <c r="MK33" i="13" s="1"/>
  <c r="IZ35" i="13"/>
  <c r="FS35" i="13"/>
  <c r="LY21" i="13"/>
  <c r="MA21" i="13" s="1"/>
  <c r="MB21" i="13" s="1"/>
  <c r="MK21" i="13" s="1"/>
  <c r="EN29" i="13"/>
  <c r="AJ29" i="13"/>
  <c r="AI29" i="13" s="1"/>
  <c r="EQ29" i="13"/>
  <c r="ML29" i="13" s="1"/>
  <c r="MC29" i="13" s="1"/>
  <c r="EQ26" i="13"/>
  <c r="ML26" i="13" s="1"/>
  <c r="MC26" i="13" s="1"/>
  <c r="EN26" i="13"/>
  <c r="AJ26" i="13"/>
  <c r="AI26" i="13" s="1"/>
  <c r="OE17" i="13"/>
  <c r="EI17" i="13"/>
  <c r="MJ17" i="13" s="1"/>
  <c r="LV17" i="13" s="1"/>
  <c r="EF17" i="13"/>
  <c r="EU17" i="13"/>
  <c r="EY17" i="13"/>
  <c r="OE13" i="13"/>
  <c r="EI13" i="13"/>
  <c r="MJ13" i="13" s="1"/>
  <c r="LV13" i="13" s="1"/>
  <c r="EF13" i="13"/>
  <c r="EU13" i="13"/>
  <c r="EY13" i="13"/>
  <c r="EV24" i="13"/>
  <c r="AE24" i="13"/>
  <c r="AD24" i="13" s="1"/>
  <c r="H99" i="12"/>
  <c r="I99" i="12" s="1"/>
  <c r="J99" i="12" s="1"/>
  <c r="K99" i="12" s="1"/>
  <c r="M99" i="12" s="1"/>
  <c r="EV48" i="13"/>
  <c r="AE48" i="13"/>
  <c r="AD48" i="13" s="1"/>
  <c r="EV64" i="13"/>
  <c r="AE64" i="13"/>
  <c r="AD64" i="13" s="1"/>
  <c r="EV84" i="13"/>
  <c r="AE84" i="13"/>
  <c r="AD84" i="13" s="1"/>
  <c r="EV137" i="13"/>
  <c r="AE137" i="13"/>
  <c r="AD137" i="13" s="1"/>
  <c r="EV171" i="13"/>
  <c r="AE171" i="13"/>
  <c r="AD171" i="13" s="1"/>
  <c r="EQ14" i="13"/>
  <c r="ML14" i="13" s="1"/>
  <c r="MC14" i="13" s="1"/>
  <c r="EN14" i="13"/>
  <c r="AJ14" i="13"/>
  <c r="AI14" i="13" s="1"/>
  <c r="MD14" i="13"/>
  <c r="ME14" i="13" s="1"/>
  <c r="MO91" i="13"/>
  <c r="NA91" i="13"/>
  <c r="MY91" i="13"/>
  <c r="ET65" i="13"/>
  <c r="IS65" i="13"/>
  <c r="IU65" i="13" s="1"/>
  <c r="IV65" i="13" s="1"/>
  <c r="AJ75" i="13"/>
  <c r="AI75" i="13" s="1"/>
  <c r="EQ75" i="13"/>
  <c r="ML75" i="13" s="1"/>
  <c r="MC75" i="13" s="1"/>
  <c r="EN75" i="13"/>
  <c r="AK72" i="13"/>
  <c r="IS60" i="13"/>
  <c r="IU60" i="13" s="1"/>
  <c r="IV60" i="13" s="1"/>
  <c r="ET60" i="13"/>
  <c r="NA67" i="13"/>
  <c r="MY67" i="13"/>
  <c r="MO67" i="13"/>
  <c r="EQ48" i="13"/>
  <c r="ML48" i="13" s="1"/>
  <c r="MC48" i="13" s="1"/>
  <c r="EN48" i="13"/>
  <c r="AJ48" i="13"/>
  <c r="AI48" i="13" s="1"/>
  <c r="AK82" i="13"/>
  <c r="ET41" i="13"/>
  <c r="IS41" i="13"/>
  <c r="IU41" i="13" s="1"/>
  <c r="IV41" i="13" s="1"/>
  <c r="FS25" i="13"/>
  <c r="IZ25" i="13"/>
  <c r="EI29" i="13"/>
  <c r="MJ29" i="13" s="1"/>
  <c r="LV29" i="13" s="1"/>
  <c r="EF29" i="13"/>
  <c r="AB29" i="13"/>
  <c r="OE29" i="13"/>
  <c r="ET35" i="13"/>
  <c r="IS35" i="13"/>
  <c r="IU35" i="13" s="1"/>
  <c r="IV35" i="13" s="1"/>
  <c r="EQ49" i="13"/>
  <c r="ML49" i="13" s="1"/>
  <c r="MC49" i="13" s="1"/>
  <c r="EN49" i="13"/>
  <c r="AJ49" i="13"/>
  <c r="AI49" i="13" s="1"/>
  <c r="MD49" i="13"/>
  <c r="ME49" i="13" s="1"/>
  <c r="IZ42" i="13"/>
  <c r="FS42" i="13"/>
  <c r="IZ28" i="13"/>
  <c r="FS28" i="13"/>
  <c r="NA15" i="13"/>
  <c r="MY15" i="13"/>
  <c r="MO15" i="13"/>
  <c r="IZ26" i="13"/>
  <c r="FS26" i="13"/>
  <c r="EU29" i="13"/>
  <c r="EV92" i="13"/>
  <c r="AE92" i="13"/>
  <c r="AD92" i="13" s="1"/>
  <c r="IS83" i="13"/>
  <c r="IU83" i="13" s="1"/>
  <c r="IV83" i="13" s="1"/>
  <c r="ET83" i="13"/>
  <c r="FS65" i="13"/>
  <c r="IZ65" i="13"/>
  <c r="LY60" i="13"/>
  <c r="MA60" i="13" s="1"/>
  <c r="MB60" i="13" s="1"/>
  <c r="MK60" i="13" s="1"/>
  <c r="LY64" i="13"/>
  <c r="MA64" i="13" s="1"/>
  <c r="MB64" i="13" s="1"/>
  <c r="MK64" i="13" s="1"/>
  <c r="ET49" i="13"/>
  <c r="IS49" i="13"/>
  <c r="IU49" i="13" s="1"/>
  <c r="IV49" i="13" s="1"/>
  <c r="MO46" i="13"/>
  <c r="NA46" i="13"/>
  <c r="MY46" i="13"/>
  <c r="EQ50" i="13"/>
  <c r="ML50" i="13" s="1"/>
  <c r="MC50" i="13" s="1"/>
  <c r="EN50" i="13"/>
  <c r="MD50" i="13"/>
  <c r="ME50" i="13" s="1"/>
  <c r="AJ50" i="13"/>
  <c r="AI50" i="13" s="1"/>
  <c r="AJ54" i="13"/>
  <c r="AI54" i="13" s="1"/>
  <c r="EQ54" i="13"/>
  <c r="ML54" i="13" s="1"/>
  <c r="MC54" i="13" s="1"/>
  <c r="EN54" i="13"/>
  <c r="ET43" i="13"/>
  <c r="IS43" i="13"/>
  <c r="IU43" i="13" s="1"/>
  <c r="IV43" i="13" s="1"/>
  <c r="MO26" i="13"/>
  <c r="NA26" i="13"/>
  <c r="MY26" i="13"/>
  <c r="AK66" i="13"/>
  <c r="ET42" i="13"/>
  <c r="IS42" i="13"/>
  <c r="IU42" i="13" s="1"/>
  <c r="IV42" i="13" s="1"/>
  <c r="AK19" i="13"/>
  <c r="IZ47" i="13"/>
  <c r="FS47" i="13"/>
  <c r="OE27" i="13"/>
  <c r="EI27" i="13"/>
  <c r="MJ27" i="13" s="1"/>
  <c r="LV27" i="13" s="1"/>
  <c r="EF27" i="13"/>
  <c r="EU27" i="13"/>
  <c r="ET26" i="13"/>
  <c r="IS26" i="13"/>
  <c r="IU26" i="13" s="1"/>
  <c r="IV26" i="13" s="1"/>
  <c r="IM26" i="13"/>
  <c r="IN26" i="13" s="1"/>
  <c r="EV32" i="13"/>
  <c r="AE32" i="13"/>
  <c r="AD32" i="13" s="1"/>
  <c r="H107" i="12"/>
  <c r="I107" i="12" s="1"/>
  <c r="J107" i="12" s="1"/>
  <c r="K107" i="12" s="1"/>
  <c r="M107" i="12" s="1"/>
  <c r="EY45" i="13"/>
  <c r="FA45" i="13" s="1"/>
  <c r="FB45" i="13" s="1"/>
  <c r="EY44" i="13"/>
  <c r="FA44" i="13" s="1"/>
  <c r="FB44" i="13" s="1"/>
  <c r="EY62" i="13"/>
  <c r="FA62" i="13" s="1"/>
  <c r="FB62" i="13" s="1"/>
  <c r="EV80" i="13"/>
  <c r="AE80" i="13"/>
  <c r="AD80" i="13" s="1"/>
  <c r="EV139" i="13"/>
  <c r="AE139" i="13"/>
  <c r="AD139" i="13" s="1"/>
  <c r="EV153" i="13"/>
  <c r="AE153" i="13"/>
  <c r="AD153" i="13" s="1"/>
  <c r="EV161" i="13"/>
  <c r="AE161" i="13"/>
  <c r="AD161" i="13" s="1"/>
  <c r="EQ91" i="13"/>
  <c r="ML91" i="13" s="1"/>
  <c r="MC91" i="13" s="1"/>
  <c r="EN91" i="13"/>
  <c r="AJ91" i="13"/>
  <c r="AI91" i="13" s="1"/>
  <c r="MO72" i="13"/>
  <c r="NA72" i="13"/>
  <c r="MY72" i="13"/>
  <c r="EI70" i="13"/>
  <c r="MJ70" i="13" s="1"/>
  <c r="LV70" i="13" s="1"/>
  <c r="EF70" i="13"/>
  <c r="IZ73" i="13"/>
  <c r="FS73" i="13"/>
  <c r="MO63" i="13"/>
  <c r="NA63" i="13"/>
  <c r="MY63" i="13"/>
  <c r="IZ70" i="13"/>
  <c r="FS70" i="13"/>
  <c r="FS49" i="13"/>
  <c r="IZ49" i="13"/>
  <c r="EQ59" i="13"/>
  <c r="ML59" i="13" s="1"/>
  <c r="MC59" i="13" s="1"/>
  <c r="EN59" i="13"/>
  <c r="AJ59" i="13"/>
  <c r="AI59" i="13" s="1"/>
  <c r="MO48" i="13"/>
  <c r="FF48" i="13" s="1"/>
  <c r="NA48" i="13"/>
  <c r="MY48" i="13"/>
  <c r="EN58" i="13"/>
  <c r="AJ58" i="13"/>
  <c r="AI58" i="13" s="1"/>
  <c r="EQ58" i="13"/>
  <c r="ML58" i="13" s="1"/>
  <c r="MC58" i="13" s="1"/>
  <c r="IS44" i="13"/>
  <c r="IU44" i="13" s="1"/>
  <c r="IV44" i="13" s="1"/>
  <c r="ET44" i="13"/>
  <c r="EI22" i="13"/>
  <c r="MJ22" i="13" s="1"/>
  <c r="LV22" i="13" s="1"/>
  <c r="EF22" i="13"/>
  <c r="AB22" i="13"/>
  <c r="OE22" i="13"/>
  <c r="IZ37" i="13"/>
  <c r="FS37" i="13"/>
  <c r="IZ40" i="13"/>
  <c r="FS40" i="13"/>
  <c r="EN42" i="13"/>
  <c r="AJ42" i="13"/>
  <c r="AI42" i="13" s="1"/>
  <c r="EQ42" i="13"/>
  <c r="ML42" i="13" s="1"/>
  <c r="MC42" i="13" s="1"/>
  <c r="LY49" i="13"/>
  <c r="MA49" i="13" s="1"/>
  <c r="MB49" i="13" s="1"/>
  <c r="MK49" i="13" s="1"/>
  <c r="IZ21" i="13"/>
  <c r="FS21" i="13"/>
  <c r="ET47" i="13"/>
  <c r="IS47" i="13"/>
  <c r="IU47" i="13" s="1"/>
  <c r="IV47" i="13" s="1"/>
  <c r="OE30" i="13"/>
  <c r="IM15" i="13"/>
  <c r="IN15" i="13" s="1"/>
  <c r="LW22" i="13"/>
  <c r="LX22" i="13" s="1"/>
  <c r="EY46" i="13"/>
  <c r="FA46" i="13" s="1"/>
  <c r="FB46" i="13" s="1"/>
  <c r="EV36" i="13"/>
  <c r="AE36" i="13"/>
  <c r="AD36" i="13" s="1"/>
  <c r="EV51" i="13"/>
  <c r="AE51" i="13"/>
  <c r="AD51" i="13" s="1"/>
  <c r="EV53" i="13"/>
  <c r="AE53" i="13"/>
  <c r="AD53" i="13" s="1"/>
  <c r="AE118" i="13"/>
  <c r="AD118" i="13" s="1"/>
  <c r="EV118" i="13"/>
  <c r="EV148" i="13"/>
  <c r="AE148" i="13"/>
  <c r="AD148" i="13" s="1"/>
  <c r="FS71" i="13"/>
  <c r="IZ71" i="13"/>
  <c r="NA60" i="13"/>
  <c r="MY60" i="13"/>
  <c r="MO60" i="13"/>
  <c r="ET73" i="13"/>
  <c r="IS73" i="13"/>
  <c r="IU73" i="13" s="1"/>
  <c r="IV73" i="13" s="1"/>
  <c r="AB70" i="13"/>
  <c r="AK70" i="13" s="1"/>
  <c r="ET70" i="13"/>
  <c r="IS70" i="13"/>
  <c r="IU70" i="13" s="1"/>
  <c r="IV70" i="13" s="1"/>
  <c r="MO53" i="13"/>
  <c r="NA53" i="13"/>
  <c r="MY53" i="13"/>
  <c r="NA42" i="13"/>
  <c r="MY42" i="13"/>
  <c r="MO42" i="13"/>
  <c r="FF42" i="13" s="1"/>
  <c r="NA44" i="13"/>
  <c r="MY44" i="13"/>
  <c r="MO44" i="13"/>
  <c r="ET59" i="13"/>
  <c r="IS59" i="13"/>
  <c r="IU59" i="13" s="1"/>
  <c r="IV59" i="13" s="1"/>
  <c r="LY59" i="13"/>
  <c r="MA59" i="13" s="1"/>
  <c r="MB59" i="13" s="1"/>
  <c r="MK59" i="13" s="1"/>
  <c r="LY82" i="13"/>
  <c r="MA82" i="13" s="1"/>
  <c r="MB82" i="13" s="1"/>
  <c r="MK82" i="13" s="1"/>
  <c r="MY21" i="13"/>
  <c r="MO21" i="13"/>
  <c r="NA21" i="13"/>
  <c r="IZ46" i="13"/>
  <c r="FS46" i="13"/>
  <c r="NA28" i="13"/>
  <c r="MY28" i="13"/>
  <c r="MO28" i="13"/>
  <c r="ET37" i="13"/>
  <c r="IS37" i="13"/>
  <c r="IU37" i="13" s="1"/>
  <c r="IV37" i="13" s="1"/>
  <c r="ET40" i="13"/>
  <c r="IS40" i="13"/>
  <c r="IU40" i="13" s="1"/>
  <c r="IV40" i="13" s="1"/>
  <c r="EI20" i="13"/>
  <c r="MJ20" i="13" s="1"/>
  <c r="LV20" i="13" s="1"/>
  <c r="EF20" i="13"/>
  <c r="LW20" i="13"/>
  <c r="LX20" i="13" s="1"/>
  <c r="AB20" i="13"/>
  <c r="AK20" i="13" s="1"/>
  <c r="MX43" i="13"/>
  <c r="MN43" i="13"/>
  <c r="FD43" i="13" s="1"/>
  <c r="FE43" i="13" s="1"/>
  <c r="ET21" i="13"/>
  <c r="IS21" i="13"/>
  <c r="IU21" i="13" s="1"/>
  <c r="IV21" i="13" s="1"/>
  <c r="MO32" i="13"/>
  <c r="NA32" i="13"/>
  <c r="MY32" i="13"/>
  <c r="EQ20" i="13"/>
  <c r="ML20" i="13" s="1"/>
  <c r="MC20" i="13" s="1"/>
  <c r="EN20" i="13"/>
  <c r="AJ20" i="13"/>
  <c r="AI20" i="13" s="1"/>
  <c r="NA14" i="13"/>
  <c r="MY14" i="13"/>
  <c r="MO14" i="13"/>
  <c r="OE16" i="13"/>
  <c r="EI16" i="13"/>
  <c r="MJ16" i="13" s="1"/>
  <c r="LV16" i="13" s="1"/>
  <c r="EF16" i="13"/>
  <c r="EU16" i="13"/>
  <c r="EY16" i="13"/>
  <c r="OE12" i="13"/>
  <c r="EI12" i="13"/>
  <c r="MJ12" i="13" s="1"/>
  <c r="LV12" i="13" s="1"/>
  <c r="EF12" i="13"/>
  <c r="EU12" i="13"/>
  <c r="EY12" i="13"/>
  <c r="EV35" i="13"/>
  <c r="H110" i="12"/>
  <c r="I110" i="12" s="1"/>
  <c r="J110" i="12" s="1"/>
  <c r="K110" i="12" s="1"/>
  <c r="M110" i="12" s="1"/>
  <c r="AE35" i="13"/>
  <c r="AD35" i="13" s="1"/>
  <c r="IM21" i="13"/>
  <c r="IN21" i="13" s="1"/>
  <c r="EU55" i="13"/>
  <c r="EY70" i="13"/>
  <c r="FA70" i="13" s="1"/>
  <c r="FB70" i="13" s="1"/>
  <c r="EV76" i="13"/>
  <c r="AE76" i="13"/>
  <c r="AD76" i="13" s="1"/>
  <c r="EV91" i="13"/>
  <c r="AE91" i="13"/>
  <c r="AD91" i="13" s="1"/>
  <c r="AE89" i="13"/>
  <c r="AD89" i="13" s="1"/>
  <c r="EV89" i="13"/>
  <c r="EV122" i="13"/>
  <c r="AE122" i="13"/>
  <c r="AD122" i="13" s="1"/>
  <c r="AE143" i="13"/>
  <c r="AD143" i="13" s="1"/>
  <c r="EV143" i="13"/>
  <c r="ET71" i="13"/>
  <c r="IS71" i="13"/>
  <c r="IU71" i="13" s="1"/>
  <c r="IV71" i="13" s="1"/>
  <c r="LY81" i="13"/>
  <c r="MA81" i="13" s="1"/>
  <c r="MB81" i="13" s="1"/>
  <c r="MK81" i="13" s="1"/>
  <c r="LW70" i="13"/>
  <c r="LX70" i="13" s="1"/>
  <c r="ET64" i="13"/>
  <c r="IS64" i="13"/>
  <c r="IU64" i="13" s="1"/>
  <c r="IV64" i="13" s="1"/>
  <c r="IZ68" i="13"/>
  <c r="FS68" i="13"/>
  <c r="ET46" i="13"/>
  <c r="IS46" i="13"/>
  <c r="IU46" i="13" s="1"/>
  <c r="IV46" i="13" s="1"/>
  <c r="LY42" i="13"/>
  <c r="MA42" i="13" s="1"/>
  <c r="MB42" i="13" s="1"/>
  <c r="MK42" i="13" s="1"/>
  <c r="AK12" i="13"/>
  <c r="EW32" i="13"/>
  <c r="EX32" i="13" s="1"/>
  <c r="ES32" i="13"/>
  <c r="EC32" i="13"/>
  <c r="AJ37" i="13"/>
  <c r="AI37" i="13" s="1"/>
  <c r="EQ37" i="13"/>
  <c r="ML37" i="13" s="1"/>
  <c r="MC37" i="13" s="1"/>
  <c r="EN37" i="13"/>
  <c r="OD33" i="13"/>
  <c r="OF33" i="13" s="1"/>
  <c r="OH33" i="13" s="1"/>
  <c r="FA33" i="13"/>
  <c r="FB33" i="13" s="1"/>
  <c r="IM14" i="13"/>
  <c r="IN14" i="13" s="1"/>
  <c r="E38" i="26"/>
  <c r="E45" i="26"/>
  <c r="E39" i="26"/>
  <c r="E40" i="26"/>
  <c r="E46" i="26"/>
  <c r="E41" i="26"/>
  <c r="E34" i="26"/>
  <c r="E42" i="26"/>
  <c r="E35" i="26"/>
  <c r="E43" i="26"/>
  <c r="E36" i="26"/>
  <c r="E44" i="26"/>
  <c r="E37" i="26"/>
  <c r="IM32" i="13"/>
  <c r="IN32" i="13" s="1"/>
  <c r="OD28" i="13"/>
  <c r="OF28" i="13" s="1"/>
  <c r="OH28" i="13" s="1"/>
  <c r="FA28" i="13"/>
  <c r="FB28" i="13" s="1"/>
  <c r="IM27" i="13"/>
  <c r="IN27" i="13" s="1"/>
  <c r="IM44" i="13"/>
  <c r="IN44" i="13" s="1"/>
  <c r="EU69" i="13"/>
  <c r="EV67" i="13"/>
  <c r="AE67" i="13"/>
  <c r="AD67" i="13" s="1"/>
  <c r="IM72" i="13"/>
  <c r="IN72" i="13" s="1"/>
  <c r="AE106" i="13"/>
  <c r="AD106" i="13" s="1"/>
  <c r="EV106" i="13"/>
  <c r="EV121" i="13"/>
  <c r="AE121" i="13"/>
  <c r="AD121" i="13" s="1"/>
  <c r="EV141" i="13"/>
  <c r="AE141" i="13"/>
  <c r="AD141" i="13" s="1"/>
  <c r="EV147" i="13"/>
  <c r="AE147" i="13"/>
  <c r="AD147" i="13" s="1"/>
  <c r="EV158" i="13"/>
  <c r="AE158" i="13"/>
  <c r="AD158" i="13" s="1"/>
  <c r="AJ93" i="13"/>
  <c r="AI93" i="13" s="1"/>
  <c r="EN93" i="13"/>
  <c r="EQ93" i="13"/>
  <c r="ML93" i="13" s="1"/>
  <c r="MC93" i="13" s="1"/>
  <c r="MF89" i="13"/>
  <c r="MH89" i="13" s="1"/>
  <c r="EQ86" i="13"/>
  <c r="ML86" i="13" s="1"/>
  <c r="MC86" i="13" s="1"/>
  <c r="EN86" i="13"/>
  <c r="AJ86" i="13"/>
  <c r="AI86" i="13" s="1"/>
  <c r="MF83" i="13"/>
  <c r="MH83" i="13" s="1"/>
  <c r="AJ78" i="13"/>
  <c r="AI78" i="13" s="1"/>
  <c r="EQ78" i="13"/>
  <c r="ML78" i="13" s="1"/>
  <c r="MC78" i="13" s="1"/>
  <c r="EN78" i="13"/>
  <c r="IZ80" i="13"/>
  <c r="FS80" i="13"/>
  <c r="EF86" i="13"/>
  <c r="EI86" i="13"/>
  <c r="MJ86" i="13" s="1"/>
  <c r="LV86" i="13" s="1"/>
  <c r="AB55" i="13"/>
  <c r="NA84" i="13"/>
  <c r="MY84" i="13"/>
  <c r="MO84" i="13"/>
  <c r="FF84" i="13" s="1"/>
  <c r="MF82" i="13"/>
  <c r="MH82" i="13" s="1"/>
  <c r="IS68" i="13"/>
  <c r="IU68" i="13" s="1"/>
  <c r="IV68" i="13" s="1"/>
  <c r="ET68" i="13"/>
  <c r="AB44" i="13"/>
  <c r="AK44" i="13" s="1"/>
  <c r="AJ53" i="13"/>
  <c r="AI53" i="13" s="1"/>
  <c r="EQ53" i="13"/>
  <c r="ML53" i="13" s="1"/>
  <c r="MC53" i="13" s="1"/>
  <c r="EN53" i="13"/>
  <c r="EN57" i="13"/>
  <c r="AJ57" i="13"/>
  <c r="AI57" i="13" s="1"/>
  <c r="EQ57" i="13"/>
  <c r="ML57" i="13" s="1"/>
  <c r="MC57" i="13" s="1"/>
  <c r="MA38" i="13"/>
  <c r="MB38" i="13" s="1"/>
  <c r="MK38" i="13" s="1"/>
  <c r="LY38" i="13"/>
  <c r="ET20" i="13"/>
  <c r="IS20" i="13"/>
  <c r="IU20" i="13" s="1"/>
  <c r="IV20" i="13" s="1"/>
  <c r="OD26" i="13"/>
  <c r="OF26" i="13" s="1"/>
  <c r="OH26" i="13" s="1"/>
  <c r="FA26" i="13"/>
  <c r="FB26" i="13" s="1"/>
  <c r="OD21" i="13"/>
  <c r="OF21" i="13" s="1"/>
  <c r="OH21" i="13" s="1"/>
  <c r="FA21" i="13"/>
  <c r="FB21" i="13" s="1"/>
  <c r="IM29" i="13"/>
  <c r="IN29" i="13" s="1"/>
  <c r="EU44" i="13"/>
  <c r="EV43" i="13"/>
  <c r="AE43" i="13"/>
  <c r="AD43" i="13" s="1"/>
  <c r="IM63" i="13"/>
  <c r="IN63" i="13" s="1"/>
  <c r="EV52" i="13"/>
  <c r="AE52" i="13"/>
  <c r="AD52" i="13" s="1"/>
  <c r="AE105" i="13"/>
  <c r="AD105" i="13" s="1"/>
  <c r="EV105" i="13"/>
  <c r="EV154" i="13"/>
  <c r="AE154" i="13"/>
  <c r="AD154" i="13" s="1"/>
  <c r="EV162" i="13"/>
  <c r="AE162" i="13"/>
  <c r="AD162" i="13" s="1"/>
  <c r="EI88" i="13"/>
  <c r="MJ88" i="13" s="1"/>
  <c r="LV88" i="13" s="1"/>
  <c r="EF88" i="13"/>
  <c r="AK84" i="13"/>
  <c r="EI69" i="13"/>
  <c r="MJ69" i="13" s="1"/>
  <c r="LV69" i="13" s="1"/>
  <c r="EF69" i="13"/>
  <c r="LY76" i="13"/>
  <c r="MA76" i="13" s="1"/>
  <c r="MB76" i="13" s="1"/>
  <c r="MK76" i="13" s="1"/>
  <c r="IZ78" i="13"/>
  <c r="FS78" i="13"/>
  <c r="IZ81" i="13"/>
  <c r="FS81" i="13"/>
  <c r="AJ77" i="13"/>
  <c r="AI77" i="13" s="1"/>
  <c r="EQ77" i="13"/>
  <c r="ML77" i="13" s="1"/>
  <c r="MC77" i="13" s="1"/>
  <c r="EN77" i="13"/>
  <c r="ET80" i="13"/>
  <c r="IS80" i="13"/>
  <c r="IU80" i="13" s="1"/>
  <c r="IV80" i="13" s="1"/>
  <c r="IZ62" i="13"/>
  <c r="FS62" i="13"/>
  <c r="EC84" i="13"/>
  <c r="EW84" i="13"/>
  <c r="EX84" i="13" s="1"/>
  <c r="ES84" i="13"/>
  <c r="MD84" i="13"/>
  <c r="ME84" i="13" s="1"/>
  <c r="MF40" i="13"/>
  <c r="MH40" i="13" s="1"/>
  <c r="IZ45" i="13"/>
  <c r="FS45" i="13"/>
  <c r="NA20" i="13"/>
  <c r="MY20" i="13"/>
  <c r="MO20" i="13"/>
  <c r="FF20" i="13" s="1"/>
  <c r="AJ36" i="13"/>
  <c r="AI36" i="13" s="1"/>
  <c r="EQ36" i="13"/>
  <c r="ML36" i="13" s="1"/>
  <c r="MC36" i="13" s="1"/>
  <c r="EN36" i="13"/>
  <c r="IZ57" i="13"/>
  <c r="FS57" i="13"/>
  <c r="EQ43" i="13"/>
  <c r="ML43" i="13" s="1"/>
  <c r="MC43" i="13" s="1"/>
  <c r="EN43" i="13"/>
  <c r="AJ43" i="13"/>
  <c r="AI43" i="13" s="1"/>
  <c r="AB62" i="13"/>
  <c r="AK62" i="13" s="1"/>
  <c r="IZ38" i="13"/>
  <c r="FS38" i="13"/>
  <c r="EQ63" i="13"/>
  <c r="ML63" i="13" s="1"/>
  <c r="MC63" i="13" s="1"/>
  <c r="EN63" i="13"/>
  <c r="AJ63" i="13"/>
  <c r="AI63" i="13" s="1"/>
  <c r="IZ27" i="13"/>
  <c r="FS27" i="13"/>
  <c r="IZ23" i="13"/>
  <c r="FS23" i="13"/>
  <c r="NA18" i="13"/>
  <c r="MY18" i="13"/>
  <c r="MO18" i="13"/>
  <c r="FF18" i="13" s="1"/>
  <c r="NA13" i="13"/>
  <c r="MY13" i="13"/>
  <c r="MO13" i="13"/>
  <c r="IM13" i="13"/>
  <c r="IN13" i="13" s="1"/>
  <c r="OD23" i="13"/>
  <c r="OF23" i="13" s="1"/>
  <c r="OH23" i="13" s="1"/>
  <c r="FA23" i="13"/>
  <c r="FB23" i="13" s="1"/>
  <c r="EU46" i="13"/>
  <c r="EV66" i="13"/>
  <c r="AE66" i="13"/>
  <c r="AD66" i="13" s="1"/>
  <c r="EY67" i="13"/>
  <c r="FA67" i="13" s="1"/>
  <c r="FB67" i="13" s="1"/>
  <c r="IM70" i="13"/>
  <c r="IN70" i="13" s="1"/>
  <c r="IM84" i="13"/>
  <c r="IN84" i="13" s="1"/>
  <c r="EV90" i="13"/>
  <c r="AE90" i="13"/>
  <c r="AD90" i="13" s="1"/>
  <c r="EV123" i="13"/>
  <c r="AE123" i="13"/>
  <c r="AD123" i="13" s="1"/>
  <c r="EV149" i="13"/>
  <c r="AE149" i="13"/>
  <c r="AD149" i="13" s="1"/>
  <c r="LY91" i="13"/>
  <c r="MA91" i="13" s="1"/>
  <c r="MB91" i="13" s="1"/>
  <c r="MK91" i="13" s="1"/>
  <c r="MF92" i="13"/>
  <c r="MH92" i="13" s="1"/>
  <c r="EI83" i="13"/>
  <c r="MJ83" i="13" s="1"/>
  <c r="LV83" i="13" s="1"/>
  <c r="EF83" i="13"/>
  <c r="EI68" i="13"/>
  <c r="MJ68" i="13" s="1"/>
  <c r="LV68" i="13" s="1"/>
  <c r="EF68" i="13"/>
  <c r="ET78" i="13"/>
  <c r="IS78" i="13"/>
  <c r="IU78" i="13" s="1"/>
  <c r="IV78" i="13" s="1"/>
  <c r="ET66" i="13"/>
  <c r="IS66" i="13"/>
  <c r="IU66" i="13" s="1"/>
  <c r="IV66" i="13" s="1"/>
  <c r="EQ64" i="13"/>
  <c r="ML64" i="13" s="1"/>
  <c r="MC64" i="13" s="1"/>
  <c r="EN64" i="13"/>
  <c r="MD64" i="13"/>
  <c r="ME64" i="13" s="1"/>
  <c r="AJ64" i="13"/>
  <c r="AI64" i="13" s="1"/>
  <c r="ET81" i="13"/>
  <c r="IS81" i="13"/>
  <c r="IU81" i="13" s="1"/>
  <c r="IV81" i="13" s="1"/>
  <c r="MF80" i="13"/>
  <c r="MH80" i="13" s="1"/>
  <c r="EN56" i="13"/>
  <c r="AJ56" i="13"/>
  <c r="AI56" i="13" s="1"/>
  <c r="EQ56" i="13"/>
  <c r="ML56" i="13" s="1"/>
  <c r="MC56" i="13" s="1"/>
  <c r="IZ61" i="13"/>
  <c r="FS61" i="13"/>
  <c r="AJ67" i="13"/>
  <c r="AI67" i="13" s="1"/>
  <c r="EQ67" i="13"/>
  <c r="ML67" i="13" s="1"/>
  <c r="MC67" i="13" s="1"/>
  <c r="EN67" i="13"/>
  <c r="ET62" i="13"/>
  <c r="IS62" i="13"/>
  <c r="IU62" i="13" s="1"/>
  <c r="IV62" i="13" s="1"/>
  <c r="EQ66" i="13"/>
  <c r="ML66" i="13" s="1"/>
  <c r="MC66" i="13" s="1"/>
  <c r="EN66" i="13"/>
  <c r="AJ66" i="13"/>
  <c r="AI66" i="13" s="1"/>
  <c r="MD66" i="13"/>
  <c r="ME66" i="13" s="1"/>
  <c r="AK74" i="13"/>
  <c r="MO37" i="13"/>
  <c r="FF37" i="13" s="1"/>
  <c r="NA37" i="13"/>
  <c r="MY37" i="13"/>
  <c r="IS45" i="13"/>
  <c r="IU45" i="13" s="1"/>
  <c r="IV45" i="13" s="1"/>
  <c r="ET45" i="13"/>
  <c r="MO36" i="13"/>
  <c r="NA36" i="13"/>
  <c r="MY36" i="13"/>
  <c r="ET57" i="13"/>
  <c r="IS57" i="13"/>
  <c r="IU57" i="13" s="1"/>
  <c r="IV57" i="13" s="1"/>
  <c r="AB39" i="13"/>
  <c r="AK39" i="13" s="1"/>
  <c r="LW62" i="13"/>
  <c r="LX62" i="13" s="1"/>
  <c r="IZ39" i="13"/>
  <c r="FS39" i="13"/>
  <c r="AJ39" i="13"/>
  <c r="AI39" i="13" s="1"/>
  <c r="EQ39" i="13"/>
  <c r="ML39" i="13" s="1"/>
  <c r="MC39" i="13" s="1"/>
  <c r="EN39" i="13"/>
  <c r="ET38" i="13"/>
  <c r="IS38" i="13"/>
  <c r="IU38" i="13" s="1"/>
  <c r="IV38" i="13" s="1"/>
  <c r="IZ54" i="13"/>
  <c r="FS54" i="13"/>
  <c r="EQ47" i="13"/>
  <c r="ML47" i="13" s="1"/>
  <c r="MC47" i="13" s="1"/>
  <c r="EN47" i="13"/>
  <c r="AJ47" i="13"/>
  <c r="AI47" i="13" s="1"/>
  <c r="LW29" i="13"/>
  <c r="LX29" i="13" s="1"/>
  <c r="LY19" i="13"/>
  <c r="MA19" i="13" s="1"/>
  <c r="MB19" i="13" s="1"/>
  <c r="MK19" i="13" s="1"/>
  <c r="IS27" i="13"/>
  <c r="IU27" i="13" s="1"/>
  <c r="IV27" i="13" s="1"/>
  <c r="ET27" i="13"/>
  <c r="ET23" i="13"/>
  <c r="IS23" i="13"/>
  <c r="IU23" i="13" s="1"/>
  <c r="IV23" i="13" s="1"/>
  <c r="LY32" i="13"/>
  <c r="MA32" i="13" s="1"/>
  <c r="MB32" i="13" s="1"/>
  <c r="MK32" i="13" s="1"/>
  <c r="OE15" i="13"/>
  <c r="EI15" i="13"/>
  <c r="MJ15" i="13" s="1"/>
  <c r="LV15" i="13" s="1"/>
  <c r="EF15" i="13"/>
  <c r="EU15" i="13"/>
  <c r="EY15" i="13"/>
  <c r="EU22" i="13"/>
  <c r="EY29" i="13"/>
  <c r="IM20" i="13"/>
  <c r="IN20" i="13" s="1"/>
  <c r="EV50" i="13"/>
  <c r="AE50" i="13"/>
  <c r="AD50" i="13" s="1"/>
  <c r="EV49" i="13"/>
  <c r="AE49" i="13"/>
  <c r="AD49" i="13" s="1"/>
  <c r="EV54" i="13"/>
  <c r="AE54" i="13"/>
  <c r="AD54" i="13" s="1"/>
  <c r="IM60" i="13"/>
  <c r="IN60" i="13" s="1"/>
  <c r="EY86" i="13"/>
  <c r="FA86" i="13" s="1"/>
  <c r="FB86" i="13" s="1"/>
  <c r="EY88" i="13"/>
  <c r="FA88" i="13" s="1"/>
  <c r="FB88" i="13" s="1"/>
  <c r="EY91" i="13"/>
  <c r="FA91" i="13" s="1"/>
  <c r="FB91" i="13" s="1"/>
  <c r="EV94" i="13"/>
  <c r="AE94" i="13"/>
  <c r="AD94" i="13" s="1"/>
  <c r="AJ74" i="13"/>
  <c r="AI74" i="13" s="1"/>
  <c r="EQ74" i="13"/>
  <c r="ML74" i="13" s="1"/>
  <c r="MC74" i="13" s="1"/>
  <c r="EN74" i="13"/>
  <c r="IZ66" i="13"/>
  <c r="FS66" i="13"/>
  <c r="MO62" i="13"/>
  <c r="NA62" i="13"/>
  <c r="MY62" i="13"/>
  <c r="IS61" i="13"/>
  <c r="IU61" i="13" s="1"/>
  <c r="IV61" i="13" s="1"/>
  <c r="ET61" i="13"/>
  <c r="EI61" i="13"/>
  <c r="MJ61" i="13" s="1"/>
  <c r="LV61" i="13" s="1"/>
  <c r="EF61" i="13"/>
  <c r="MF35" i="13"/>
  <c r="MH35" i="13" s="1"/>
  <c r="EN41" i="13"/>
  <c r="AJ41" i="13"/>
  <c r="AI41" i="13" s="1"/>
  <c r="EQ41" i="13"/>
  <c r="ML41" i="13" s="1"/>
  <c r="MC41" i="13" s="1"/>
  <c r="AJ51" i="13"/>
  <c r="AI51" i="13" s="1"/>
  <c r="EQ51" i="13"/>
  <c r="ML51" i="13" s="1"/>
  <c r="MC51" i="13" s="1"/>
  <c r="EN51" i="13"/>
  <c r="AK65" i="13"/>
  <c r="LY36" i="13"/>
  <c r="MA36" i="13" s="1"/>
  <c r="MB36" i="13" s="1"/>
  <c r="MK36" i="13" s="1"/>
  <c r="AK51" i="13"/>
  <c r="EW36" i="13"/>
  <c r="EX36" i="13" s="1"/>
  <c r="ES36" i="13"/>
  <c r="EC36" i="13"/>
  <c r="LW39" i="13"/>
  <c r="LX39" i="13" s="1"/>
  <c r="ET39" i="13"/>
  <c r="IS39" i="13"/>
  <c r="IU39" i="13" s="1"/>
  <c r="IV39" i="13" s="1"/>
  <c r="AJ52" i="13"/>
  <c r="AI52" i="13" s="1"/>
  <c r="EQ52" i="13"/>
  <c r="ML52" i="13" s="1"/>
  <c r="MC52" i="13" s="1"/>
  <c r="EN52" i="13"/>
  <c r="ET54" i="13"/>
  <c r="IS54" i="13"/>
  <c r="IU54" i="13" s="1"/>
  <c r="IV54" i="13" s="1"/>
  <c r="MO23" i="13"/>
  <c r="NA23" i="13"/>
  <c r="MY23" i="13"/>
  <c r="AJ22" i="13"/>
  <c r="AI22" i="13" s="1"/>
  <c r="EQ22" i="13"/>
  <c r="ML22" i="13" s="1"/>
  <c r="EN22" i="13"/>
  <c r="EU20" i="13"/>
  <c r="OD31" i="13"/>
  <c r="OF31" i="13" s="1"/>
  <c r="OH31" i="13" s="1"/>
  <c r="FA31" i="13"/>
  <c r="FB31" i="13" s="1"/>
  <c r="IM36" i="13"/>
  <c r="IN36" i="13" s="1"/>
  <c r="EY36" i="13"/>
  <c r="FA36" i="13" s="1"/>
  <c r="FB36" i="13" s="1"/>
  <c r="IM53" i="13"/>
  <c r="IN53" i="13" s="1"/>
  <c r="EV59" i="13"/>
  <c r="AE59" i="13"/>
  <c r="AD59" i="13" s="1"/>
  <c r="EV65" i="13"/>
  <c r="AE65" i="13"/>
  <c r="AD65" i="13" s="1"/>
  <c r="EY52" i="13"/>
  <c r="FA52" i="13" s="1"/>
  <c r="FB52" i="13" s="1"/>
  <c r="EY83" i="13"/>
  <c r="FA83" i="13" s="1"/>
  <c r="FB83" i="13" s="1"/>
  <c r="EV75" i="13"/>
  <c r="AE75" i="13"/>
  <c r="AD75" i="13" s="1"/>
  <c r="EV128" i="13"/>
  <c r="AE128" i="13"/>
  <c r="AD128" i="13" s="1"/>
  <c r="EV159" i="13"/>
  <c r="AE159" i="13"/>
  <c r="AD159" i="13" s="1"/>
  <c r="MX35" i="13"/>
  <c r="MN35" i="13"/>
  <c r="FD35" i="13" s="1"/>
  <c r="FE35" i="13" s="1"/>
  <c r="NA61" i="13"/>
  <c r="MY61" i="13"/>
  <c r="MO61" i="13"/>
  <c r="MO75" i="13"/>
  <c r="FF75" i="13" s="1"/>
  <c r="NA75" i="13"/>
  <c r="MY75" i="13"/>
  <c r="EQ69" i="13"/>
  <c r="ML69" i="13" s="1"/>
  <c r="MC69" i="13" s="1"/>
  <c r="EN69" i="13"/>
  <c r="AJ69" i="13"/>
  <c r="AI69" i="13" s="1"/>
  <c r="ET50" i="13"/>
  <c r="IS50" i="13"/>
  <c r="IU50" i="13" s="1"/>
  <c r="IV50" i="13" s="1"/>
  <c r="LY37" i="13"/>
  <c r="MA37" i="13" s="1"/>
  <c r="MB37" i="13" s="1"/>
  <c r="MK37" i="13" s="1"/>
  <c r="AB46" i="13"/>
  <c r="AK46" i="13" s="1"/>
  <c r="MD41" i="13"/>
  <c r="ME41" i="13" s="1"/>
  <c r="IZ22" i="13"/>
  <c r="FS22" i="13"/>
  <c r="NA12" i="13"/>
  <c r="MY12" i="13"/>
  <c r="MO12" i="13"/>
  <c r="IZ29" i="13"/>
  <c r="FS29" i="13"/>
  <c r="EU30" i="13"/>
  <c r="IM28" i="13"/>
  <c r="IN28" i="13" s="1"/>
  <c r="OD35" i="13"/>
  <c r="OF35" i="13" s="1"/>
  <c r="OH35" i="13" s="1"/>
  <c r="FA35" i="13"/>
  <c r="FB35" i="13" s="1"/>
  <c r="AK35" i="13"/>
  <c r="EV34" i="13"/>
  <c r="AE34" i="13"/>
  <c r="AD34" i="13" s="1"/>
  <c r="H109" i="12"/>
  <c r="I109" i="12" s="1"/>
  <c r="J109" i="12" s="1"/>
  <c r="K109" i="12" s="1"/>
  <c r="M109" i="12" s="1"/>
  <c r="FA24" i="13"/>
  <c r="FB24" i="13" s="1"/>
  <c r="OD24" i="13"/>
  <c r="OF24" i="13" s="1"/>
  <c r="OH24" i="13" s="1"/>
  <c r="EV41" i="13"/>
  <c r="AE41" i="13"/>
  <c r="AD41" i="13" s="1"/>
  <c r="EV40" i="13"/>
  <c r="AE40" i="13"/>
  <c r="AD40" i="13" s="1"/>
  <c r="EV60" i="13"/>
  <c r="AE60" i="13"/>
  <c r="AD60" i="13" s="1"/>
  <c r="EV58" i="13"/>
  <c r="AE58" i="13"/>
  <c r="AD58" i="13" s="1"/>
  <c r="IM62" i="13"/>
  <c r="IN62" i="13" s="1"/>
  <c r="IM58" i="13"/>
  <c r="IN58" i="13" s="1"/>
  <c r="EV74" i="13"/>
  <c r="AE74" i="13"/>
  <c r="AD74" i="13" s="1"/>
  <c r="EU88" i="13"/>
  <c r="IM91" i="13"/>
  <c r="IN91" i="13" s="1"/>
  <c r="EV114" i="13"/>
  <c r="AE114" i="13"/>
  <c r="AD114" i="13" s="1"/>
  <c r="EV151" i="13"/>
  <c r="AE151" i="13"/>
  <c r="AD151" i="13" s="1"/>
  <c r="AE165" i="13"/>
  <c r="AD165" i="13" s="1"/>
  <c r="EV165" i="13"/>
  <c r="EV163" i="13"/>
  <c r="AE163" i="13"/>
  <c r="AD163" i="13" s="1"/>
  <c r="AE197" i="13"/>
  <c r="AD197" i="13" s="1"/>
  <c r="EV197" i="13"/>
  <c r="OE20" i="13"/>
  <c r="MY57" i="13"/>
  <c r="MO57" i="13"/>
  <c r="FF57" i="13" s="1"/>
  <c r="NA57" i="13"/>
  <c r="MO74" i="13"/>
  <c r="FF74" i="13" s="1"/>
  <c r="NA74" i="13"/>
  <c r="MY74" i="13"/>
  <c r="EI55" i="13"/>
  <c r="MJ55" i="13" s="1"/>
  <c r="LV55" i="13" s="1"/>
  <c r="EF55" i="13"/>
  <c r="EW75" i="13"/>
  <c r="EX75" i="13" s="1"/>
  <c r="ES75" i="13"/>
  <c r="EC75" i="13"/>
  <c r="EI56" i="13"/>
  <c r="MJ56" i="13" s="1"/>
  <c r="LV56" i="13" s="1"/>
  <c r="EF56" i="13"/>
  <c r="MF68" i="13"/>
  <c r="MH68" i="13" s="1"/>
  <c r="MO52" i="13"/>
  <c r="FF52" i="13" s="1"/>
  <c r="NA52" i="13"/>
  <c r="MY52" i="13"/>
  <c r="IZ53" i="13"/>
  <c r="FS53" i="13"/>
  <c r="IZ50" i="13"/>
  <c r="FS50" i="13"/>
  <c r="AJ55" i="13"/>
  <c r="AI55" i="13" s="1"/>
  <c r="EQ55" i="13"/>
  <c r="ML55" i="13" s="1"/>
  <c r="MC55" i="13" s="1"/>
  <c r="EN55" i="13"/>
  <c r="EI62" i="13"/>
  <c r="MJ62" i="13" s="1"/>
  <c r="LV62" i="13" s="1"/>
  <c r="EF62" i="13"/>
  <c r="AB61" i="13"/>
  <c r="AK61" i="13" s="1"/>
  <c r="EQ46" i="13"/>
  <c r="ML46" i="13" s="1"/>
  <c r="MC46" i="13" s="1"/>
  <c r="EN46" i="13"/>
  <c r="AJ46" i="13"/>
  <c r="AI46" i="13" s="1"/>
  <c r="EQ44" i="13"/>
  <c r="ML44" i="13" s="1"/>
  <c r="MC44" i="13" s="1"/>
  <c r="EN44" i="13"/>
  <c r="AJ44" i="13"/>
  <c r="AI44" i="13" s="1"/>
  <c r="LY40" i="13"/>
  <c r="MA40" i="13" s="1"/>
  <c r="MB40" i="13" s="1"/>
  <c r="MK40" i="13" s="1"/>
  <c r="LY51" i="13"/>
  <c r="MA51" i="13" s="1"/>
  <c r="MB51" i="13" s="1"/>
  <c r="MK51" i="13" s="1"/>
  <c r="MD48" i="13"/>
  <c r="ME48" i="13" s="1"/>
  <c r="MA50" i="13"/>
  <c r="MB50" i="13" s="1"/>
  <c r="MK50" i="13" s="1"/>
  <c r="LY50" i="13"/>
  <c r="AJ38" i="13"/>
  <c r="AI38" i="13" s="1"/>
  <c r="EQ38" i="13"/>
  <c r="ML38" i="13" s="1"/>
  <c r="MC38" i="13" s="1"/>
  <c r="EN38" i="13"/>
  <c r="ET22" i="13"/>
  <c r="IS22" i="13"/>
  <c r="IU22" i="13" s="1"/>
  <c r="IV22" i="13" s="1"/>
  <c r="NA17" i="13"/>
  <c r="MY17" i="13"/>
  <c r="MO17" i="13"/>
  <c r="ET29" i="13"/>
  <c r="IS29" i="13"/>
  <c r="IU29" i="13" s="1"/>
  <c r="IV29" i="13" s="1"/>
  <c r="EV28" i="13"/>
  <c r="AE28" i="13"/>
  <c r="AD28" i="13" s="1"/>
  <c r="H103" i="12"/>
  <c r="I103" i="12" s="1"/>
  <c r="J103" i="12" s="1"/>
  <c r="K103" i="12" s="1"/>
  <c r="M103" i="12" s="1"/>
  <c r="EV23" i="13"/>
  <c r="AE23" i="13"/>
  <c r="AD23" i="13" s="1"/>
  <c r="H98" i="12"/>
  <c r="I98" i="12" s="1"/>
  <c r="J98" i="12" s="1"/>
  <c r="K98" i="12" s="1"/>
  <c r="M98" i="12" s="1"/>
  <c r="EY22" i="13"/>
  <c r="EV42" i="13"/>
  <c r="AE42" i="13"/>
  <c r="AD42" i="13" s="1"/>
  <c r="EU39" i="13"/>
  <c r="IM42" i="13"/>
  <c r="IN42" i="13" s="1"/>
  <c r="EU83" i="13"/>
  <c r="EV82" i="13"/>
  <c r="AE82" i="13"/>
  <c r="AD82" i="13" s="1"/>
  <c r="EY68" i="13"/>
  <c r="FA68" i="13" s="1"/>
  <c r="FB68" i="13" s="1"/>
  <c r="EV98" i="13"/>
  <c r="AE98" i="13"/>
  <c r="AD98" i="13" s="1"/>
  <c r="EV129" i="13"/>
  <c r="AE129" i="13"/>
  <c r="AD129" i="13" s="1"/>
  <c r="MO73" i="13"/>
  <c r="NA73" i="13"/>
  <c r="MY73" i="13"/>
  <c r="EN79" i="13"/>
  <c r="AJ79" i="13"/>
  <c r="AI79" i="13" s="1"/>
  <c r="EQ79" i="13"/>
  <c r="ML79" i="13" s="1"/>
  <c r="MC79" i="13" s="1"/>
  <c r="EW74" i="13"/>
  <c r="EX74" i="13" s="1"/>
  <c r="ES74" i="13"/>
  <c r="EC74" i="13"/>
  <c r="LY80" i="13"/>
  <c r="MA80" i="13" s="1"/>
  <c r="MB80" i="13" s="1"/>
  <c r="MK80" i="13" s="1"/>
  <c r="MF71" i="13"/>
  <c r="MH71" i="13" s="1"/>
  <c r="EQ65" i="13"/>
  <c r="ML65" i="13" s="1"/>
  <c r="EN65" i="13"/>
  <c r="MD65" i="13"/>
  <c r="ME65" i="13" s="1"/>
  <c r="AJ65" i="13"/>
  <c r="AI65" i="13" s="1"/>
  <c r="EW52" i="13"/>
  <c r="EX52" i="13" s="1"/>
  <c r="ES52" i="13"/>
  <c r="EC52" i="13"/>
  <c r="ET53" i="13"/>
  <c r="IS53" i="13"/>
  <c r="IU53" i="13" s="1"/>
  <c r="IV53" i="13" s="1"/>
  <c r="EQ60" i="13"/>
  <c r="ML60" i="13" s="1"/>
  <c r="MC60" i="13" s="1"/>
  <c r="EN60" i="13"/>
  <c r="AJ60" i="13"/>
  <c r="AI60" i="13" s="1"/>
  <c r="NA45" i="13"/>
  <c r="MY45" i="13"/>
  <c r="MO45" i="13"/>
  <c r="LY58" i="13"/>
  <c r="MA58" i="13" s="1"/>
  <c r="MB58" i="13" s="1"/>
  <c r="MK58" i="13" s="1"/>
  <c r="LW61" i="13"/>
  <c r="LX61" i="13" s="1"/>
  <c r="ET33" i="13"/>
  <c r="IS33" i="13"/>
  <c r="IU33" i="13" s="1"/>
  <c r="IV33" i="13" s="1"/>
  <c r="FS48" i="13"/>
  <c r="IZ48" i="13"/>
  <c r="LY47" i="13"/>
  <c r="MA47" i="13" s="1"/>
  <c r="MB47" i="13" s="1"/>
  <c r="MK47" i="13" s="1"/>
  <c r="AK17" i="13"/>
  <c r="LY25" i="13"/>
  <c r="MA25" i="13" s="1"/>
  <c r="MB25" i="13" s="1"/>
  <c r="MK25" i="13" s="1"/>
  <c r="OE18" i="13"/>
  <c r="EI18" i="13"/>
  <c r="MJ18" i="13" s="1"/>
  <c r="LV18" i="13" s="1"/>
  <c r="EF18" i="13"/>
  <c r="EU18" i="13"/>
  <c r="EY18" i="13"/>
  <c r="AK18" i="13" s="1"/>
  <c r="OE14" i="13"/>
  <c r="EI14" i="13"/>
  <c r="MJ14" i="13" s="1"/>
  <c r="LV14" i="13" s="1"/>
  <c r="EF14" i="13"/>
  <c r="EU14" i="13"/>
  <c r="EY14" i="13"/>
  <c r="EY27" i="13"/>
  <c r="EV25" i="13"/>
  <c r="AE25" i="13"/>
  <c r="AD25" i="13" s="1"/>
  <c r="H100" i="12"/>
  <c r="I100" i="12" s="1"/>
  <c r="J100" i="12" s="1"/>
  <c r="K100" i="12" s="1"/>
  <c r="M100" i="12" s="1"/>
  <c r="EY32" i="13"/>
  <c r="IM48" i="13"/>
  <c r="IN48" i="13" s="1"/>
  <c r="IM51" i="13"/>
  <c r="IN51" i="13" s="1"/>
  <c r="IM57" i="13"/>
  <c r="IN57" i="13" s="1"/>
  <c r="EV81" i="13"/>
  <c r="AE81" i="13"/>
  <c r="AD81" i="13" s="1"/>
  <c r="IM67" i="13"/>
  <c r="IN67" i="13" s="1"/>
  <c r="EV73" i="13"/>
  <c r="AE73" i="13"/>
  <c r="AD73" i="13" s="1"/>
  <c r="EV112" i="13"/>
  <c r="AE112" i="13"/>
  <c r="AD112" i="13" s="1"/>
  <c r="EV124" i="13"/>
  <c r="AE124" i="13"/>
  <c r="AD124" i="13" s="1"/>
  <c r="EV172" i="13"/>
  <c r="AE172" i="13"/>
  <c r="AD172" i="13" s="1"/>
  <c r="LY75" i="13"/>
  <c r="MA75" i="13" s="1"/>
  <c r="MB75" i="13" s="1"/>
  <c r="MK75" i="13" s="1"/>
  <c r="EQ73" i="13"/>
  <c r="ML73" i="13" s="1"/>
  <c r="MC73" i="13" s="1"/>
  <c r="EN73" i="13"/>
  <c r="AJ73" i="13"/>
  <c r="AI73" i="13" s="1"/>
  <c r="AB69" i="13"/>
  <c r="AK69" i="13" s="1"/>
  <c r="EQ62" i="13"/>
  <c r="ML62" i="13" s="1"/>
  <c r="MC62" i="13" s="1"/>
  <c r="EN62" i="13"/>
  <c r="AJ62" i="13"/>
  <c r="AI62" i="13" s="1"/>
  <c r="AK67" i="13"/>
  <c r="MO47" i="13"/>
  <c r="FF47" i="13" s="1"/>
  <c r="NA47" i="13"/>
  <c r="MY47" i="13"/>
  <c r="EI44" i="13"/>
  <c r="MJ44" i="13" s="1"/>
  <c r="LV44" i="13" s="1"/>
  <c r="EF44" i="13"/>
  <c r="FS64" i="13"/>
  <c r="IZ64" i="13"/>
  <c r="FS33" i="13"/>
  <c r="IZ33" i="13"/>
  <c r="ET48" i="13"/>
  <c r="IS48" i="13"/>
  <c r="IU48" i="13" s="1"/>
  <c r="IV48" i="13" s="1"/>
  <c r="EQ27" i="13"/>
  <c r="ML27" i="13" s="1"/>
  <c r="MC27" i="13" s="1"/>
  <c r="EN27" i="13"/>
  <c r="AJ27" i="13"/>
  <c r="AI27" i="13" s="1"/>
  <c r="IM18" i="13"/>
  <c r="IN18" i="13" s="1"/>
  <c r="EV31" i="13"/>
  <c r="AE31" i="13"/>
  <c r="AD31" i="13" s="1"/>
  <c r="H106" i="12"/>
  <c r="I106" i="12" s="1"/>
  <c r="J106" i="12" s="1"/>
  <c r="K106" i="12" s="1"/>
  <c r="M106" i="12" s="1"/>
  <c r="IM47" i="13"/>
  <c r="IN47" i="13" s="1"/>
  <c r="EV37" i="13"/>
  <c r="AE37" i="13"/>
  <c r="AD37" i="13" s="1"/>
  <c r="IM52" i="13"/>
  <c r="IN52" i="13" s="1"/>
  <c r="EV72" i="13"/>
  <c r="AE72" i="13"/>
  <c r="AD72" i="13" s="1"/>
  <c r="AE87" i="13"/>
  <c r="AD87" i="13" s="1"/>
  <c r="EV87" i="13"/>
  <c r="EV145" i="13"/>
  <c r="AE145" i="13"/>
  <c r="AD145" i="13" s="1"/>
  <c r="EV176" i="13"/>
  <c r="AE176" i="13"/>
  <c r="AD176" i="13" s="1"/>
  <c r="AK75" i="13"/>
  <c r="LW69" i="13"/>
  <c r="LX69" i="13" s="1"/>
  <c r="EQ72" i="13"/>
  <c r="ML72" i="13" s="1"/>
  <c r="MC72" i="13" s="1"/>
  <c r="EN72" i="13"/>
  <c r="AJ72" i="13"/>
  <c r="AI72" i="13" s="1"/>
  <c r="MD72" i="13"/>
  <c r="ME72" i="13" s="1"/>
  <c r="AJ94" i="13"/>
  <c r="AI94" i="13" s="1"/>
  <c r="EQ94" i="13"/>
  <c r="ML94" i="13" s="1"/>
  <c r="MC94" i="13" s="1"/>
  <c r="EN94" i="13"/>
  <c r="IZ69" i="13"/>
  <c r="FS69" i="13"/>
  <c r="IZ63" i="13"/>
  <c r="FS63" i="13"/>
  <c r="MY41" i="13"/>
  <c r="MO41" i="13"/>
  <c r="FF41" i="13" s="1"/>
  <c r="NA41" i="13"/>
  <c r="IZ56" i="13"/>
  <c r="FS56" i="13"/>
  <c r="NA43" i="13"/>
  <c r="MY43" i="13"/>
  <c r="MO43" i="13"/>
  <c r="FF43" i="13" s="1"/>
  <c r="EI39" i="13"/>
  <c r="MJ39" i="13" s="1"/>
  <c r="LV39" i="13" s="1"/>
  <c r="EF39" i="13"/>
  <c r="IZ58" i="13"/>
  <c r="FS58" i="13"/>
  <c r="EQ45" i="13"/>
  <c r="ML45" i="13" s="1"/>
  <c r="MC45" i="13" s="1"/>
  <c r="EN45" i="13"/>
  <c r="AJ45" i="13"/>
  <c r="AI45" i="13" s="1"/>
  <c r="LY48" i="13"/>
  <c r="MA48" i="13" s="1"/>
  <c r="MB48" i="13" s="1"/>
  <c r="MK48" i="13" s="1"/>
  <c r="EI45" i="13"/>
  <c r="MJ45" i="13" s="1"/>
  <c r="LV45" i="13" s="1"/>
  <c r="EF45" i="13"/>
  <c r="EI30" i="13"/>
  <c r="MJ30" i="13" s="1"/>
  <c r="LV30" i="13" s="1"/>
  <c r="EF30" i="13"/>
  <c r="LW30" i="13"/>
  <c r="LX30" i="13" s="1"/>
  <c r="AB30" i="13"/>
  <c r="AK30" i="13" s="1"/>
  <c r="EI46" i="13"/>
  <c r="MJ46" i="13" s="1"/>
  <c r="LV46" i="13" s="1"/>
  <c r="EF46" i="13"/>
  <c r="AB45" i="13"/>
  <c r="AK45" i="13" s="1"/>
  <c r="AJ32" i="13"/>
  <c r="AI32" i="13" s="1"/>
  <c r="EQ32" i="13"/>
  <c r="ML32" i="13" s="1"/>
  <c r="MC32" i="13" s="1"/>
  <c r="EN32" i="13"/>
  <c r="NA16" i="13"/>
  <c r="MY16" i="13"/>
  <c r="MO16" i="13"/>
  <c r="OD34" i="13"/>
  <c r="OF34" i="13" s="1"/>
  <c r="OH34" i="13" s="1"/>
  <c r="FA34" i="13"/>
  <c r="FB34" i="13" s="1"/>
  <c r="EU61" i="13"/>
  <c r="EV33" i="13"/>
  <c r="AE33" i="13"/>
  <c r="AD33" i="13" s="1"/>
  <c r="H108" i="12"/>
  <c r="I108" i="12" s="1"/>
  <c r="J108" i="12" s="1"/>
  <c r="K108" i="12" s="1"/>
  <c r="M108" i="12" s="1"/>
  <c r="EV57" i="13"/>
  <c r="AE57" i="13"/>
  <c r="AD57" i="13" s="1"/>
  <c r="EY56" i="13"/>
  <c r="FA56" i="13" s="1"/>
  <c r="FB56" i="13" s="1"/>
  <c r="EY55" i="13"/>
  <c r="FA55" i="13" s="1"/>
  <c r="FB55" i="13" s="1"/>
  <c r="IM75" i="13"/>
  <c r="IN75" i="13" s="1"/>
  <c r="IM74" i="13"/>
  <c r="IN74" i="13" s="1"/>
  <c r="EU70" i="13"/>
  <c r="EV85" i="13"/>
  <c r="AE85" i="13"/>
  <c r="AD85" i="13" s="1"/>
  <c r="EV93" i="13"/>
  <c r="AE93" i="13"/>
  <c r="AD93" i="13" s="1"/>
  <c r="EV113" i="13"/>
  <c r="AE113" i="13"/>
  <c r="AD113" i="13" s="1"/>
  <c r="EV115" i="13"/>
  <c r="AE115" i="13"/>
  <c r="AD115" i="13" s="1"/>
  <c r="EV155" i="13"/>
  <c r="AE155" i="13"/>
  <c r="AD155" i="13" s="1"/>
  <c r="EV152" i="13"/>
  <c r="AE152" i="13"/>
  <c r="AD152" i="13" s="1"/>
  <c r="EV160" i="13"/>
  <c r="AE160" i="13"/>
  <c r="AD160" i="13" s="1"/>
  <c r="EV164" i="13"/>
  <c r="AE164" i="13"/>
  <c r="AD164" i="13" s="1"/>
  <c r="EQ33" i="13"/>
  <c r="ML33" i="13" s="1"/>
  <c r="MC33" i="13" s="1"/>
  <c r="EN33" i="13"/>
  <c r="MD33" i="13"/>
  <c r="ME33" i="13" s="1"/>
  <c r="AJ33" i="13"/>
  <c r="AI33" i="13" s="1"/>
  <c r="IZ20" i="13"/>
  <c r="FS20" i="13"/>
  <c r="EV193" i="13"/>
  <c r="AE193" i="13"/>
  <c r="AD193" i="13" s="1"/>
  <c r="EV210" i="13"/>
  <c r="AE210" i="13"/>
  <c r="AD210" i="13" s="1"/>
  <c r="EQ28" i="13"/>
  <c r="ML28" i="13" s="1"/>
  <c r="MC28" i="13" s="1"/>
  <c r="EN28" i="13"/>
  <c r="AJ28" i="13"/>
  <c r="AI28" i="13" s="1"/>
  <c r="LY28" i="13"/>
  <c r="MA28" i="13" s="1"/>
  <c r="MB28" i="13" s="1"/>
  <c r="MK28" i="13" s="1"/>
  <c r="GP19" i="13"/>
  <c r="IZ16" i="13"/>
  <c r="FS16" i="13"/>
  <c r="IZ14" i="13"/>
  <c r="FS14" i="13"/>
  <c r="EV200" i="13"/>
  <c r="AE200" i="13"/>
  <c r="AD200" i="13" s="1"/>
  <c r="IZ31" i="13"/>
  <c r="FS31" i="13"/>
  <c r="MO24" i="13"/>
  <c r="NA24" i="13"/>
  <c r="MY24" i="13"/>
  <c r="AJ23" i="13"/>
  <c r="AI23" i="13" s="1"/>
  <c r="EQ23" i="13"/>
  <c r="ML23" i="13" s="1"/>
  <c r="MC23" i="13" s="1"/>
  <c r="EN23" i="13"/>
  <c r="IS16" i="13"/>
  <c r="IU16" i="13" s="1"/>
  <c r="IV16" i="13" s="1"/>
  <c r="ET16" i="13"/>
  <c r="IZ15" i="13"/>
  <c r="FS15" i="13"/>
  <c r="IS14" i="13"/>
  <c r="IU14" i="13" s="1"/>
  <c r="IV14" i="13" s="1"/>
  <c r="ET14" i="13"/>
  <c r="IZ12" i="13"/>
  <c r="FS12" i="13"/>
  <c r="EV174" i="13"/>
  <c r="AE174" i="13"/>
  <c r="AD174" i="13" s="1"/>
  <c r="AE214" i="13"/>
  <c r="AD214" i="13" s="1"/>
  <c r="EV214" i="13"/>
  <c r="KG33" i="13"/>
  <c r="ET31" i="13"/>
  <c r="IS31" i="13"/>
  <c r="IU31" i="13" s="1"/>
  <c r="IV31" i="13" s="1"/>
  <c r="EW24" i="13"/>
  <c r="EX24" i="13" s="1"/>
  <c r="ES24" i="13"/>
  <c r="EC24" i="13"/>
  <c r="IS15" i="13"/>
  <c r="IU15" i="13" s="1"/>
  <c r="IV15" i="13" s="1"/>
  <c r="ET15" i="13"/>
  <c r="EQ12" i="13"/>
  <c r="ML12" i="13" s="1"/>
  <c r="MC12" i="13" s="1"/>
  <c r="EN12" i="13"/>
  <c r="AJ12" i="13"/>
  <c r="AI12" i="13" s="1"/>
  <c r="IS12" i="13"/>
  <c r="IU12" i="13" s="1"/>
  <c r="IV12" i="13" s="1"/>
  <c r="ET12" i="13"/>
  <c r="EV189" i="13"/>
  <c r="AE189" i="13"/>
  <c r="AD189" i="13" s="1"/>
  <c r="EV201" i="13"/>
  <c r="AE201" i="13"/>
  <c r="AD201" i="13" s="1"/>
  <c r="EV204" i="13"/>
  <c r="AE204" i="13"/>
  <c r="AD204" i="13" s="1"/>
  <c r="AJ24" i="13"/>
  <c r="AI24" i="13" s="1"/>
  <c r="EQ24" i="13"/>
  <c r="ML24" i="13" s="1"/>
  <c r="MC24" i="13" s="1"/>
  <c r="EN24" i="13"/>
  <c r="IZ17" i="13"/>
  <c r="FS17" i="13"/>
  <c r="LY24" i="13"/>
  <c r="MA24" i="13" s="1"/>
  <c r="MB24" i="13" s="1"/>
  <c r="MK24" i="13" s="1"/>
  <c r="KG24" i="13"/>
  <c r="IS17" i="13"/>
  <c r="IU17" i="13" s="1"/>
  <c r="IV17" i="13" s="1"/>
  <c r="ET17" i="13"/>
  <c r="IZ13" i="13"/>
  <c r="FS13" i="13"/>
  <c r="EV175" i="13"/>
  <c r="AE175" i="13"/>
  <c r="AD175" i="13" s="1"/>
  <c r="AK24" i="13"/>
  <c r="OD25" i="13"/>
  <c r="OF25" i="13" s="1"/>
  <c r="OH25" i="13" s="1"/>
  <c r="FA25" i="13"/>
  <c r="FB25" i="13" s="1"/>
  <c r="KG22" i="13"/>
  <c r="IS13" i="13"/>
  <c r="IU13" i="13" s="1"/>
  <c r="IV13" i="13" s="1"/>
  <c r="ET13" i="13"/>
  <c r="GP15" i="13"/>
  <c r="AE192" i="13"/>
  <c r="AD192" i="13" s="1"/>
  <c r="EV192" i="13"/>
  <c r="EV195" i="13"/>
  <c r="AE195" i="13"/>
  <c r="AD195" i="13" s="1"/>
  <c r="MF34" i="13"/>
  <c r="MH34" i="13" s="1"/>
  <c r="KG31" i="13"/>
  <c r="KG29" i="13"/>
  <c r="KG14" i="13"/>
  <c r="MD12" i="13"/>
  <c r="ME12" i="13" s="1"/>
  <c r="MD23" i="13"/>
  <c r="ME23" i="13" s="1"/>
  <c r="EV198" i="13"/>
  <c r="AE198" i="13"/>
  <c r="AD198" i="13" s="1"/>
  <c r="KG15" i="13"/>
  <c r="NA19" i="13"/>
  <c r="MY19" i="13"/>
  <c r="MO19" i="13"/>
  <c r="FF19" i="13" s="1"/>
  <c r="EN21" i="13"/>
  <c r="AJ21" i="13"/>
  <c r="AI21" i="13" s="1"/>
  <c r="EQ21" i="13"/>
  <c r="ML21" i="13" s="1"/>
  <c r="MC21" i="13" s="1"/>
  <c r="EV213" i="13"/>
  <c r="AE213" i="13"/>
  <c r="AD213" i="13" s="1"/>
  <c r="MD28" i="13"/>
  <c r="ME28" i="13" s="1"/>
  <c r="LY31" i="13"/>
  <c r="MA31" i="13" s="1"/>
  <c r="MB31" i="13" s="1"/>
  <c r="MK31" i="13" s="1"/>
  <c r="AJ31" i="13"/>
  <c r="AI31" i="13" s="1"/>
  <c r="EQ31" i="13"/>
  <c r="ML31" i="13" s="1"/>
  <c r="EN31" i="13"/>
  <c r="KG16" i="13"/>
  <c r="EW19" i="13"/>
  <c r="EX19" i="13" s="1"/>
  <c r="EC19" i="13"/>
  <c r="ES19" i="13"/>
  <c r="AE207" i="13"/>
  <c r="AD207" i="13" s="1"/>
  <c r="EV207" i="13"/>
  <c r="AE211" i="13"/>
  <c r="AD211" i="13" s="1"/>
  <c r="EV211" i="13"/>
  <c r="EV19" i="13"/>
  <c r="H94" i="12"/>
  <c r="I94" i="12" s="1"/>
  <c r="J94" i="12" s="1"/>
  <c r="K94" i="12" s="1"/>
  <c r="M94" i="12" s="1"/>
  <c r="AE19" i="13"/>
  <c r="AD19" i="13" s="1"/>
  <c r="EQ17" i="13"/>
  <c r="ML17" i="13" s="1"/>
  <c r="MC17" i="13" s="1"/>
  <c r="EN17" i="13"/>
  <c r="AJ17" i="13"/>
  <c r="AI17" i="13" s="1"/>
  <c r="KG17" i="13"/>
  <c r="GP17" i="13"/>
  <c r="AJ30" i="13"/>
  <c r="AI30" i="13" s="1"/>
  <c r="EQ30" i="13"/>
  <c r="ML30" i="13" s="1"/>
  <c r="EN30" i="13"/>
  <c r="MF19" i="13"/>
  <c r="MH19" i="13" s="1"/>
  <c r="IZ18" i="13"/>
  <c r="FS18" i="13"/>
  <c r="EV182" i="13"/>
  <c r="AE182" i="13"/>
  <c r="AD182" i="13" s="1"/>
  <c r="AE194" i="13"/>
  <c r="AD194" i="13" s="1"/>
  <c r="EV194" i="13"/>
  <c r="EV212" i="13"/>
  <c r="AE212" i="13"/>
  <c r="AD212" i="13" s="1"/>
  <c r="KG26" i="13"/>
  <c r="IZ30" i="13"/>
  <c r="FS30" i="13"/>
  <c r="FS34" i="13"/>
  <c r="IZ34" i="13"/>
  <c r="KG35" i="13"/>
  <c r="EQ15" i="13"/>
  <c r="ML15" i="13" s="1"/>
  <c r="MC15" i="13" s="1"/>
  <c r="EN15" i="13"/>
  <c r="AJ15" i="13"/>
  <c r="AI15" i="13" s="1"/>
  <c r="IS18" i="13"/>
  <c r="IU18" i="13" s="1"/>
  <c r="IV18" i="13" s="1"/>
  <c r="ET18" i="13"/>
  <c r="ET30" i="13"/>
  <c r="IS30" i="13"/>
  <c r="IU30" i="13" s="1"/>
  <c r="IV30" i="13" s="1"/>
  <c r="ET34" i="13"/>
  <c r="IS34" i="13"/>
  <c r="IU34" i="13" s="1"/>
  <c r="IV34" i="13" s="1"/>
  <c r="GP35" i="13"/>
  <c r="EQ13" i="13"/>
  <c r="ML13" i="13" s="1"/>
  <c r="MC13" i="13" s="1"/>
  <c r="EN13" i="13"/>
  <c r="AJ13" i="13"/>
  <c r="AI13" i="13" s="1"/>
  <c r="EV173" i="13"/>
  <c r="AE173" i="13"/>
  <c r="AD173" i="13" s="1"/>
  <c r="GP31" i="13"/>
  <c r="EQ16" i="13"/>
  <c r="ML16" i="13" s="1"/>
  <c r="MC16" i="13" s="1"/>
  <c r="EN16" i="13"/>
  <c r="AJ16" i="13"/>
  <c r="AI16" i="13" s="1"/>
  <c r="GP33" i="13"/>
  <c r="AK185" i="13" l="1"/>
  <c r="AK123" i="13"/>
  <c r="AK79" i="13"/>
  <c r="MF104" i="13"/>
  <c r="MH104" i="13" s="1"/>
  <c r="MI104" i="13" s="1"/>
  <c r="MM104" i="13" s="1"/>
  <c r="FF26" i="13"/>
  <c r="EV131" i="13"/>
  <c r="LY213" i="13"/>
  <c r="MA213" i="13" s="1"/>
  <c r="MB213" i="13" s="1"/>
  <c r="MK213" i="13" s="1"/>
  <c r="ET90" i="13"/>
  <c r="IS90" i="13"/>
  <c r="IU90" i="13" s="1"/>
  <c r="IV90" i="13" s="1"/>
  <c r="AK102" i="13"/>
  <c r="MN147" i="13"/>
  <c r="FD147" i="13" s="1"/>
  <c r="FE147" i="13" s="1"/>
  <c r="IS76" i="13"/>
  <c r="IU76" i="13" s="1"/>
  <c r="IV76" i="13" s="1"/>
  <c r="ET76" i="13"/>
  <c r="LY23" i="13"/>
  <c r="MA23" i="13" s="1"/>
  <c r="MB23" i="13" s="1"/>
  <c r="MK23" i="13" s="1"/>
  <c r="MN23" i="13" s="1"/>
  <c r="IZ76" i="13"/>
  <c r="FS76" i="13"/>
  <c r="AK68" i="13"/>
  <c r="AK136" i="13"/>
  <c r="AK210" i="13"/>
  <c r="AK118" i="13"/>
  <c r="AJ134" i="13"/>
  <c r="AI134" i="13" s="1"/>
  <c r="AJ210" i="13"/>
  <c r="AI210" i="13" s="1"/>
  <c r="AK121" i="13"/>
  <c r="AK169" i="13"/>
  <c r="AK134" i="13"/>
  <c r="AK208" i="13"/>
  <c r="AK122" i="13"/>
  <c r="AK147" i="13"/>
  <c r="IZ178" i="13"/>
  <c r="FS178" i="13"/>
  <c r="AK128" i="13"/>
  <c r="AK114" i="13"/>
  <c r="AK132" i="13"/>
  <c r="AK116" i="13"/>
  <c r="FF193" i="13"/>
  <c r="FF174" i="13"/>
  <c r="FF195" i="13"/>
  <c r="FG195" i="13" s="1"/>
  <c r="MF161" i="13"/>
  <c r="MH161" i="13" s="1"/>
  <c r="AK131" i="13"/>
  <c r="FF154" i="13"/>
  <c r="MF186" i="13"/>
  <c r="MH186" i="13" s="1"/>
  <c r="MF199" i="13"/>
  <c r="MH199" i="13" s="1"/>
  <c r="MN47" i="13"/>
  <c r="FD47" i="13" s="1"/>
  <c r="FE47" i="13" s="1"/>
  <c r="MX47" i="13"/>
  <c r="MN32" i="13"/>
  <c r="FD32" i="13" s="1"/>
  <c r="FE32" i="13" s="1"/>
  <c r="MX32" i="13"/>
  <c r="MX82" i="13"/>
  <c r="MN82" i="13"/>
  <c r="MX60" i="13"/>
  <c r="MN60" i="13"/>
  <c r="FD60" i="13" s="1"/>
  <c r="FE60" i="13" s="1"/>
  <c r="MN105" i="13"/>
  <c r="FD105" i="13" s="1"/>
  <c r="FE105" i="13" s="1"/>
  <c r="MX105" i="13"/>
  <c r="MX145" i="13"/>
  <c r="MN145" i="13"/>
  <c r="FD145" i="13" s="1"/>
  <c r="FE145" i="13" s="1"/>
  <c r="MN72" i="13"/>
  <c r="FD72" i="13" s="1"/>
  <c r="FE72" i="13" s="1"/>
  <c r="MX72" i="13"/>
  <c r="MX137" i="13"/>
  <c r="MN137" i="13"/>
  <c r="MN163" i="13"/>
  <c r="FD163" i="13" s="1"/>
  <c r="FE163" i="13" s="1"/>
  <c r="MX163" i="13"/>
  <c r="MN26" i="13"/>
  <c r="FD26" i="13" s="1"/>
  <c r="FE26" i="13" s="1"/>
  <c r="MX26" i="13"/>
  <c r="MN174" i="13"/>
  <c r="FD174" i="13" s="1"/>
  <c r="FE174" i="13" s="1"/>
  <c r="MX174" i="13"/>
  <c r="MX28" i="13"/>
  <c r="MN28" i="13"/>
  <c r="MX21" i="13"/>
  <c r="MN21" i="13"/>
  <c r="FD21" i="13" s="1"/>
  <c r="FE21" i="13" s="1"/>
  <c r="MN66" i="13"/>
  <c r="FD66" i="13" s="1"/>
  <c r="FE66" i="13" s="1"/>
  <c r="MX66" i="13"/>
  <c r="MN164" i="13"/>
  <c r="FD164" i="13" s="1"/>
  <c r="FE164" i="13" s="1"/>
  <c r="MX164" i="13"/>
  <c r="MN165" i="13"/>
  <c r="FD165" i="13" s="1"/>
  <c r="FE165" i="13" s="1"/>
  <c r="MX165" i="13"/>
  <c r="MX139" i="13"/>
  <c r="MN139" i="13"/>
  <c r="FD139" i="13" s="1"/>
  <c r="FE139" i="13" s="1"/>
  <c r="MN37" i="13"/>
  <c r="FD37" i="13" s="1"/>
  <c r="FE37" i="13" s="1"/>
  <c r="MX37" i="13"/>
  <c r="MX200" i="13"/>
  <c r="MN200" i="13"/>
  <c r="FD200" i="13" s="1"/>
  <c r="FE200" i="13" s="1"/>
  <c r="MN161" i="13"/>
  <c r="FD161" i="13" s="1"/>
  <c r="FE161" i="13" s="1"/>
  <c r="MX161" i="13"/>
  <c r="MN128" i="13"/>
  <c r="FD128" i="13" s="1"/>
  <c r="FE128" i="13" s="1"/>
  <c r="MX128" i="13"/>
  <c r="MY144" i="13"/>
  <c r="NA144" i="13" s="1"/>
  <c r="MO144" i="13"/>
  <c r="FF144" i="13" s="1"/>
  <c r="IM144" i="13"/>
  <c r="IN144" i="13" s="1"/>
  <c r="MN51" i="13"/>
  <c r="FD51" i="13" s="1"/>
  <c r="FE51" i="13" s="1"/>
  <c r="MX51" i="13"/>
  <c r="MN195" i="13"/>
  <c r="FD195" i="13" s="1"/>
  <c r="MX195" i="13"/>
  <c r="MY132" i="13"/>
  <c r="NA132" i="13" s="1"/>
  <c r="MO132" i="13"/>
  <c r="FF132" i="13" s="1"/>
  <c r="IM132" i="13"/>
  <c r="IN132" i="13" s="1"/>
  <c r="MX40" i="13"/>
  <c r="MN40" i="13"/>
  <c r="FD40" i="13" s="1"/>
  <c r="MN36" i="13"/>
  <c r="FD36" i="13" s="1"/>
  <c r="FE36" i="13" s="1"/>
  <c r="MX36" i="13"/>
  <c r="MX19" i="13"/>
  <c r="MN19" i="13"/>
  <c r="FD19" i="13" s="1"/>
  <c r="FE19" i="13" s="1"/>
  <c r="MN33" i="13"/>
  <c r="FD33" i="13" s="1"/>
  <c r="FE33" i="13" s="1"/>
  <c r="MX33" i="13"/>
  <c r="MX57" i="13"/>
  <c r="MN57" i="13"/>
  <c r="FD57" i="13" s="1"/>
  <c r="FE57" i="13" s="1"/>
  <c r="MN112" i="13"/>
  <c r="FD112" i="13" s="1"/>
  <c r="FE112" i="13" s="1"/>
  <c r="MX112" i="13"/>
  <c r="MO107" i="13"/>
  <c r="FF107" i="13" s="1"/>
  <c r="MY107" i="13"/>
  <c r="NA107" i="13" s="1"/>
  <c r="IM107" i="13"/>
  <c r="IN107" i="13" s="1"/>
  <c r="MN212" i="13"/>
  <c r="FD212" i="13" s="1"/>
  <c r="FE212" i="13" s="1"/>
  <c r="MX212" i="13"/>
  <c r="MN116" i="13"/>
  <c r="FD116" i="13" s="1"/>
  <c r="FE116" i="13" s="1"/>
  <c r="MX116" i="13"/>
  <c r="MN214" i="13"/>
  <c r="FD214" i="13" s="1"/>
  <c r="FE214" i="13" s="1"/>
  <c r="MX214" i="13"/>
  <c r="MX85" i="13"/>
  <c r="MN85" i="13"/>
  <c r="MX58" i="13"/>
  <c r="MN58" i="13"/>
  <c r="FD58" i="13" s="1"/>
  <c r="FE58" i="13" s="1"/>
  <c r="MX81" i="13"/>
  <c r="MN81" i="13"/>
  <c r="FD81" i="13" s="1"/>
  <c r="FE81" i="13" s="1"/>
  <c r="MX67" i="13"/>
  <c r="MN67" i="13"/>
  <c r="FD67" i="13" s="1"/>
  <c r="FE67" i="13" s="1"/>
  <c r="MN73" i="13"/>
  <c r="FD73" i="13" s="1"/>
  <c r="FE73" i="13" s="1"/>
  <c r="MX73" i="13"/>
  <c r="MN118" i="13"/>
  <c r="FD118" i="13" s="1"/>
  <c r="FE118" i="13" s="1"/>
  <c r="MX118" i="13"/>
  <c r="MO213" i="13"/>
  <c r="FF213" i="13" s="1"/>
  <c r="MY213" i="13"/>
  <c r="NA213" i="13" s="1"/>
  <c r="IM213" i="13"/>
  <c r="IN213" i="13" s="1"/>
  <c r="MN121" i="13"/>
  <c r="FD121" i="13" s="1"/>
  <c r="FE121" i="13" s="1"/>
  <c r="MX121" i="13"/>
  <c r="MN176" i="13"/>
  <c r="FD176" i="13" s="1"/>
  <c r="FE176" i="13" s="1"/>
  <c r="MX176" i="13"/>
  <c r="MN122" i="13"/>
  <c r="FD122" i="13" s="1"/>
  <c r="FE122" i="13" s="1"/>
  <c r="MX122" i="13"/>
  <c r="MN114" i="13"/>
  <c r="FD114" i="13" s="1"/>
  <c r="FE114" i="13" s="1"/>
  <c r="MX114" i="13"/>
  <c r="MX80" i="13"/>
  <c r="MN80" i="13"/>
  <c r="FD80" i="13" s="1"/>
  <c r="FE80" i="13" s="1"/>
  <c r="MX201" i="13"/>
  <c r="MN201" i="13"/>
  <c r="FD201" i="13" s="1"/>
  <c r="FE201" i="13" s="1"/>
  <c r="MN87" i="13"/>
  <c r="FD87" i="13" s="1"/>
  <c r="FE87" i="13" s="1"/>
  <c r="MX87" i="13"/>
  <c r="MN53" i="13"/>
  <c r="FD53" i="13" s="1"/>
  <c r="FE53" i="13" s="1"/>
  <c r="MX53" i="13"/>
  <c r="MX189" i="13"/>
  <c r="MN189" i="13"/>
  <c r="MX153" i="13"/>
  <c r="MN153" i="13"/>
  <c r="FD153" i="13" s="1"/>
  <c r="FE153" i="13" s="1"/>
  <c r="MN52" i="13"/>
  <c r="FD52" i="13" s="1"/>
  <c r="FE52" i="13" s="1"/>
  <c r="MX52" i="13"/>
  <c r="MN31" i="13"/>
  <c r="FD31" i="13" s="1"/>
  <c r="FE31" i="13" s="1"/>
  <c r="MX31" i="13"/>
  <c r="MX151" i="13"/>
  <c r="MN151" i="13"/>
  <c r="MN49" i="13"/>
  <c r="FD49" i="13" s="1"/>
  <c r="FE49" i="13" s="1"/>
  <c r="MX49" i="13"/>
  <c r="MN123" i="13"/>
  <c r="FD123" i="13" s="1"/>
  <c r="FE123" i="13" s="1"/>
  <c r="MX123" i="13"/>
  <c r="MX93" i="13"/>
  <c r="MN93" i="13"/>
  <c r="FD93" i="13" s="1"/>
  <c r="FE93" i="13" s="1"/>
  <c r="MX172" i="13"/>
  <c r="MN172" i="13"/>
  <c r="FD172" i="13" s="1"/>
  <c r="FE172" i="13" s="1"/>
  <c r="MN90" i="13"/>
  <c r="MX90" i="13"/>
  <c r="MN76" i="13"/>
  <c r="MX76" i="13"/>
  <c r="MY110" i="13"/>
  <c r="NA110" i="13" s="1"/>
  <c r="MO110" i="13"/>
  <c r="FF110" i="13" s="1"/>
  <c r="IM110" i="13"/>
  <c r="IN110" i="13" s="1"/>
  <c r="MO211" i="13"/>
  <c r="FF211" i="13" s="1"/>
  <c r="MY211" i="13"/>
  <c r="NA211" i="13" s="1"/>
  <c r="IM211" i="13"/>
  <c r="IN211" i="13" s="1"/>
  <c r="MN48" i="13"/>
  <c r="FD48" i="13" s="1"/>
  <c r="FE48" i="13" s="1"/>
  <c r="MX48" i="13"/>
  <c r="MN115" i="13"/>
  <c r="FD115" i="13" s="1"/>
  <c r="FE115" i="13" s="1"/>
  <c r="MX115" i="13"/>
  <c r="MX129" i="13"/>
  <c r="MN129" i="13"/>
  <c r="MX204" i="13"/>
  <c r="MN204" i="13"/>
  <c r="FD204" i="13" s="1"/>
  <c r="FE204" i="13" s="1"/>
  <c r="MY209" i="13"/>
  <c r="NA209" i="13" s="1"/>
  <c r="MO209" i="13"/>
  <c r="FF209" i="13" s="1"/>
  <c r="IM209" i="13"/>
  <c r="IN209" i="13" s="1"/>
  <c r="MN158" i="13"/>
  <c r="FD158" i="13" s="1"/>
  <c r="FE158" i="13" s="1"/>
  <c r="MX158" i="13"/>
  <c r="MN135" i="13"/>
  <c r="FD135" i="13" s="1"/>
  <c r="FE135" i="13" s="1"/>
  <c r="MX135" i="13"/>
  <c r="MN173" i="13"/>
  <c r="FD173" i="13" s="1"/>
  <c r="FE173" i="13" s="1"/>
  <c r="MX173" i="13"/>
  <c r="MY129" i="13"/>
  <c r="NA129" i="13" s="1"/>
  <c r="MO129" i="13"/>
  <c r="FF129" i="13" s="1"/>
  <c r="IM129" i="13"/>
  <c r="IN129" i="13" s="1"/>
  <c r="MN24" i="13"/>
  <c r="FD24" i="13" s="1"/>
  <c r="FE24" i="13" s="1"/>
  <c r="MX24" i="13"/>
  <c r="MN91" i="13"/>
  <c r="FD91" i="13" s="1"/>
  <c r="FE91" i="13" s="1"/>
  <c r="MX91" i="13"/>
  <c r="MX42" i="13"/>
  <c r="MN42" i="13"/>
  <c r="FD42" i="13" s="1"/>
  <c r="FE42" i="13" s="1"/>
  <c r="MN65" i="13"/>
  <c r="FD65" i="13" s="1"/>
  <c r="FE65" i="13" s="1"/>
  <c r="MX65" i="13"/>
  <c r="MN127" i="13"/>
  <c r="FD127" i="13" s="1"/>
  <c r="FE127" i="13" s="1"/>
  <c r="MX127" i="13"/>
  <c r="MN160" i="13"/>
  <c r="FD160" i="13" s="1"/>
  <c r="FE160" i="13" s="1"/>
  <c r="MX160" i="13"/>
  <c r="MN75" i="13"/>
  <c r="FD75" i="13" s="1"/>
  <c r="FE75" i="13" s="1"/>
  <c r="MX75" i="13"/>
  <c r="MN64" i="13"/>
  <c r="FD64" i="13" s="1"/>
  <c r="FE64" i="13" s="1"/>
  <c r="MX64" i="13"/>
  <c r="MN71" i="13"/>
  <c r="FD71" i="13" s="1"/>
  <c r="FE71" i="13" s="1"/>
  <c r="MX71" i="13"/>
  <c r="MY101" i="13"/>
  <c r="NA101" i="13" s="1"/>
  <c r="MO101" i="13"/>
  <c r="FF101" i="13" s="1"/>
  <c r="IM101" i="13"/>
  <c r="IN101" i="13" s="1"/>
  <c r="MC31" i="13"/>
  <c r="FF31" i="13"/>
  <c r="ET24" i="13"/>
  <c r="IS24" i="13"/>
  <c r="IU24" i="13" s="1"/>
  <c r="IV24" i="13" s="1"/>
  <c r="MF33" i="13"/>
  <c r="MH33" i="13" s="1"/>
  <c r="MN25" i="13"/>
  <c r="FD25" i="13" s="1"/>
  <c r="FE25" i="13" s="1"/>
  <c r="MX25" i="13"/>
  <c r="MF38" i="13"/>
  <c r="MH38" i="13" s="1"/>
  <c r="MF51" i="13"/>
  <c r="MH51" i="13" s="1"/>
  <c r="LY83" i="13"/>
  <c r="MA83" i="13" s="1"/>
  <c r="MB83" i="13" s="1"/>
  <c r="MK83" i="13" s="1"/>
  <c r="MF36" i="13"/>
  <c r="MH36" i="13" s="1"/>
  <c r="LY69" i="13"/>
  <c r="MA69" i="13" s="1"/>
  <c r="MB69" i="13" s="1"/>
  <c r="MK69" i="13" s="1"/>
  <c r="MN38" i="13"/>
  <c r="FD38" i="13" s="1"/>
  <c r="FE38" i="13" s="1"/>
  <c r="MX38" i="13"/>
  <c r="MX59" i="13"/>
  <c r="MN59" i="13"/>
  <c r="FD59" i="13" s="1"/>
  <c r="FE59" i="13" s="1"/>
  <c r="MF54" i="13"/>
  <c r="MH54" i="13" s="1"/>
  <c r="LY13" i="13"/>
  <c r="MA13" i="13" s="1"/>
  <c r="MB13" i="13" s="1"/>
  <c r="MK13" i="13" s="1"/>
  <c r="MF61" i="13"/>
  <c r="MH61" i="13" s="1"/>
  <c r="MH99" i="13"/>
  <c r="MF99" i="13"/>
  <c r="MN194" i="13"/>
  <c r="FD194" i="13" s="1"/>
  <c r="MX194" i="13"/>
  <c r="MY145" i="13"/>
  <c r="NA145" i="13" s="1"/>
  <c r="MO145" i="13"/>
  <c r="FF145" i="13" s="1"/>
  <c r="IM145" i="13"/>
  <c r="IN145" i="13" s="1"/>
  <c r="FG83" i="13"/>
  <c r="EV130" i="13"/>
  <c r="AE130" i="13"/>
  <c r="AD130" i="13" s="1"/>
  <c r="LY179" i="13"/>
  <c r="MA179" i="13" s="1"/>
  <c r="MB179" i="13" s="1"/>
  <c r="MK179" i="13" s="1"/>
  <c r="MN94" i="13"/>
  <c r="MX94" i="13"/>
  <c r="IZ156" i="13"/>
  <c r="FS156" i="13"/>
  <c r="LY132" i="13"/>
  <c r="MA132" i="13" s="1"/>
  <c r="MB132" i="13" s="1"/>
  <c r="MK132" i="13" s="1"/>
  <c r="MO119" i="13"/>
  <c r="FF119" i="13" s="1"/>
  <c r="MY119" i="13"/>
  <c r="NA119" i="13" s="1"/>
  <c r="IM119" i="13"/>
  <c r="IN119" i="13" s="1"/>
  <c r="AE190" i="13"/>
  <c r="AD190" i="13" s="1"/>
  <c r="EV190" i="13"/>
  <c r="MN34" i="13"/>
  <c r="FD34" i="13" s="1"/>
  <c r="FE34" i="13" s="1"/>
  <c r="MX34" i="13"/>
  <c r="EV110" i="13"/>
  <c r="AE110" i="13"/>
  <c r="AD110" i="13" s="1"/>
  <c r="FG177" i="13"/>
  <c r="MF137" i="13"/>
  <c r="MH137" i="13" s="1"/>
  <c r="MI137" i="13" s="1"/>
  <c r="MM137" i="13" s="1"/>
  <c r="AE107" i="13"/>
  <c r="AD107" i="13" s="1"/>
  <c r="EV107" i="13"/>
  <c r="AK88" i="13"/>
  <c r="MZ147" i="13"/>
  <c r="IO147" i="13" s="1"/>
  <c r="IQ147" i="13" s="1"/>
  <c r="IK147" i="13"/>
  <c r="MO111" i="13"/>
  <c r="FF111" i="13" s="1"/>
  <c r="MY111" i="13"/>
  <c r="NA111" i="13" s="1"/>
  <c r="IM111" i="13"/>
  <c r="IN111" i="13" s="1"/>
  <c r="MY130" i="13"/>
  <c r="NA130" i="13" s="1"/>
  <c r="MO130" i="13"/>
  <c r="FF130" i="13" s="1"/>
  <c r="IM130" i="13"/>
  <c r="IN130" i="13" s="1"/>
  <c r="MF32" i="13"/>
  <c r="MH32" i="13" s="1"/>
  <c r="FH47" i="13"/>
  <c r="FJ47" i="13" s="1"/>
  <c r="FG47" i="13"/>
  <c r="FA32" i="13"/>
  <c r="FB32" i="13" s="1"/>
  <c r="OD32" i="13"/>
  <c r="OF32" i="13" s="1"/>
  <c r="OH32" i="13" s="1"/>
  <c r="EV83" i="13"/>
  <c r="AE83" i="13"/>
  <c r="AD83" i="13" s="1"/>
  <c r="FF62" i="13"/>
  <c r="MF20" i="13"/>
  <c r="MH20" i="13" s="1"/>
  <c r="MP47" i="13"/>
  <c r="MQ47" i="13" s="1"/>
  <c r="LY22" i="13"/>
  <c r="MA22" i="13" s="1"/>
  <c r="MB22" i="13" s="1"/>
  <c r="MK22" i="13" s="1"/>
  <c r="MC76" i="13"/>
  <c r="FF76" i="13"/>
  <c r="LY111" i="13"/>
  <c r="MA111" i="13" s="1"/>
  <c r="MB111" i="13" s="1"/>
  <c r="MK111" i="13" s="1"/>
  <c r="EV146" i="13"/>
  <c r="AE146" i="13"/>
  <c r="AD146" i="13" s="1"/>
  <c r="FG166" i="13"/>
  <c r="FG88" i="13"/>
  <c r="MF128" i="13"/>
  <c r="MH128" i="13" s="1"/>
  <c r="MI128" i="13" s="1"/>
  <c r="MM128" i="13" s="1"/>
  <c r="FH25" i="13"/>
  <c r="FJ25" i="13" s="1"/>
  <c r="FG25" i="13"/>
  <c r="LY130" i="13"/>
  <c r="MA130" i="13" s="1"/>
  <c r="MB130" i="13" s="1"/>
  <c r="MK130" i="13" s="1"/>
  <c r="ET156" i="13"/>
  <c r="IS156" i="13"/>
  <c r="IU156" i="13" s="1"/>
  <c r="IV156" i="13" s="1"/>
  <c r="MP176" i="13"/>
  <c r="MQ176" i="13" s="1"/>
  <c r="FR176" i="13" s="1"/>
  <c r="FF156" i="13"/>
  <c r="AK181" i="13"/>
  <c r="MF81" i="13"/>
  <c r="MH81" i="13" s="1"/>
  <c r="EV206" i="13"/>
  <c r="AE206" i="13"/>
  <c r="AD206" i="13" s="1"/>
  <c r="LY142" i="13"/>
  <c r="MA142" i="13" s="1"/>
  <c r="MB142" i="13" s="1"/>
  <c r="MK142" i="13" s="1"/>
  <c r="LY166" i="13"/>
  <c r="MA166" i="13" s="1"/>
  <c r="MB166" i="13" s="1"/>
  <c r="MK166" i="13" s="1"/>
  <c r="IS197" i="13"/>
  <c r="IU197" i="13" s="1"/>
  <c r="IV197" i="13" s="1"/>
  <c r="ET197" i="13"/>
  <c r="EV150" i="13"/>
  <c r="AE150" i="13"/>
  <c r="AD150" i="13" s="1"/>
  <c r="EV199" i="13"/>
  <c r="AE199" i="13"/>
  <c r="AD199" i="13" s="1"/>
  <c r="MF210" i="13"/>
  <c r="MH210" i="13" s="1"/>
  <c r="MI210" i="13" s="1"/>
  <c r="MM210" i="13" s="1"/>
  <c r="FF157" i="13"/>
  <c r="IZ51" i="13"/>
  <c r="FS51" i="13"/>
  <c r="FH71" i="13"/>
  <c r="FJ71" i="13" s="1"/>
  <c r="FG71" i="13"/>
  <c r="LY103" i="13"/>
  <c r="MA103" i="13" s="1"/>
  <c r="MB103" i="13" s="1"/>
  <c r="MK103" i="13" s="1"/>
  <c r="FG149" i="13"/>
  <c r="LY167" i="13"/>
  <c r="MA167" i="13" s="1"/>
  <c r="MB167" i="13" s="1"/>
  <c r="MK167" i="13" s="1"/>
  <c r="FF201" i="13"/>
  <c r="AK137" i="13"/>
  <c r="MF28" i="13"/>
  <c r="MH28" i="13" s="1"/>
  <c r="MF45" i="13"/>
  <c r="MH45" i="13" s="1"/>
  <c r="LY56" i="13"/>
  <c r="MA56" i="13" s="1"/>
  <c r="MB56" i="13" s="1"/>
  <c r="MK56" i="13" s="1"/>
  <c r="OD29" i="13"/>
  <c r="OF29" i="13" s="1"/>
  <c r="OH29" i="13" s="1"/>
  <c r="FA29" i="13"/>
  <c r="FB29" i="13" s="1"/>
  <c r="FG84" i="13"/>
  <c r="OD12" i="13"/>
  <c r="OF12" i="13" s="1"/>
  <c r="FA12" i="13"/>
  <c r="FB12" i="13" s="1"/>
  <c r="MP59" i="13"/>
  <c r="MQ59" i="13" s="1"/>
  <c r="FR59" i="13" s="1"/>
  <c r="MP73" i="13"/>
  <c r="MQ73" i="13" s="1"/>
  <c r="FR73" i="13" s="1"/>
  <c r="FF15" i="13"/>
  <c r="AK29" i="13"/>
  <c r="MP60" i="13"/>
  <c r="MQ60" i="13" s="1"/>
  <c r="FR60" i="13" s="1"/>
  <c r="OD17" i="13"/>
  <c r="OF17" i="13" s="1"/>
  <c r="FA17" i="13"/>
  <c r="FB17" i="13" s="1"/>
  <c r="MN63" i="13"/>
  <c r="FD63" i="13" s="1"/>
  <c r="FE63" i="13" s="1"/>
  <c r="MX63" i="13"/>
  <c r="MP72" i="13"/>
  <c r="MQ72" i="13" s="1"/>
  <c r="FR72" i="13" s="1"/>
  <c r="FG70" i="13"/>
  <c r="LY168" i="13"/>
  <c r="MA168" i="13" s="1"/>
  <c r="MB168" i="13" s="1"/>
  <c r="MK168" i="13" s="1"/>
  <c r="MX98" i="13"/>
  <c r="MN98" i="13"/>
  <c r="FD98" i="13" s="1"/>
  <c r="FE98" i="13" s="1"/>
  <c r="AE126" i="13"/>
  <c r="AD126" i="13" s="1"/>
  <c r="EV126" i="13"/>
  <c r="LY102" i="13"/>
  <c r="MA102" i="13" s="1"/>
  <c r="MB102" i="13" s="1"/>
  <c r="MK102" i="13" s="1"/>
  <c r="EV140" i="13"/>
  <c r="AE140" i="13"/>
  <c r="AD140" i="13" s="1"/>
  <c r="FF50" i="13"/>
  <c r="FG202" i="13"/>
  <c r="FF77" i="13"/>
  <c r="LY185" i="13"/>
  <c r="MA185" i="13" s="1"/>
  <c r="MB185" i="13" s="1"/>
  <c r="MK185" i="13" s="1"/>
  <c r="FF39" i="13"/>
  <c r="MP194" i="13"/>
  <c r="MQ194" i="13" s="1"/>
  <c r="FR194" i="13" s="1"/>
  <c r="MF125" i="13"/>
  <c r="MH125" i="13" s="1"/>
  <c r="MI125" i="13" s="1"/>
  <c r="MM125" i="13" s="1"/>
  <c r="AK140" i="13"/>
  <c r="MF171" i="13"/>
  <c r="MH171" i="13" s="1"/>
  <c r="MP165" i="13"/>
  <c r="MQ165" i="13" s="1"/>
  <c r="FR165" i="13" s="1"/>
  <c r="AK178" i="13"/>
  <c r="AK209" i="13"/>
  <c r="EV79" i="13"/>
  <c r="AE79" i="13"/>
  <c r="AD79" i="13" s="1"/>
  <c r="EV134" i="13"/>
  <c r="AE134" i="13"/>
  <c r="AD134" i="13" s="1"/>
  <c r="LY110" i="13"/>
  <c r="MA110" i="13" s="1"/>
  <c r="MB110" i="13" s="1"/>
  <c r="MK110" i="13" s="1"/>
  <c r="AK199" i="13"/>
  <c r="MC206" i="13"/>
  <c r="FF206" i="13"/>
  <c r="LY108" i="13"/>
  <c r="MA108" i="13" s="1"/>
  <c r="MB108" i="13" s="1"/>
  <c r="MK108" i="13" s="1"/>
  <c r="EX128" i="13"/>
  <c r="AJ128" i="13"/>
  <c r="AI128" i="13" s="1"/>
  <c r="EV156" i="13"/>
  <c r="AE156" i="13"/>
  <c r="AD156" i="13" s="1"/>
  <c r="ET51" i="13"/>
  <c r="IS51" i="13"/>
  <c r="IU51" i="13" s="1"/>
  <c r="IV51" i="13" s="1"/>
  <c r="LY120" i="13"/>
  <c r="MA120" i="13" s="1"/>
  <c r="MB120" i="13" s="1"/>
  <c r="MK120" i="13" s="1"/>
  <c r="AK100" i="13"/>
  <c r="MY108" i="13"/>
  <c r="NA108" i="13" s="1"/>
  <c r="MO108" i="13"/>
  <c r="FF108" i="13" s="1"/>
  <c r="IM108" i="13"/>
  <c r="IN108" i="13" s="1"/>
  <c r="AK127" i="13"/>
  <c r="MN213" i="13"/>
  <c r="FD213" i="13" s="1"/>
  <c r="FE213" i="13" s="1"/>
  <c r="MX213" i="13"/>
  <c r="MC30" i="13"/>
  <c r="FF30" i="13"/>
  <c r="MP31" i="13"/>
  <c r="MQ31" i="13" s="1"/>
  <c r="FR31" i="13" s="1"/>
  <c r="MN50" i="13"/>
  <c r="FD50" i="13" s="1"/>
  <c r="FE50" i="13" s="1"/>
  <c r="MX50" i="13"/>
  <c r="LY62" i="13"/>
  <c r="MA62" i="13"/>
  <c r="MB62" i="13" s="1"/>
  <c r="MK62" i="13" s="1"/>
  <c r="IZ75" i="13"/>
  <c r="FS75" i="13"/>
  <c r="MZ35" i="13"/>
  <c r="IO35" i="13" s="1"/>
  <c r="IQ35" i="13" s="1"/>
  <c r="IK35" i="13"/>
  <c r="MF52" i="13"/>
  <c r="MH52" i="13" s="1"/>
  <c r="MF41" i="13"/>
  <c r="MH41" i="13" s="1"/>
  <c r="EV22" i="13"/>
  <c r="AE22" i="13"/>
  <c r="AD22" i="13" s="1"/>
  <c r="H97" i="12"/>
  <c r="I97" i="12" s="1"/>
  <c r="J97" i="12" s="1"/>
  <c r="K97" i="12" s="1"/>
  <c r="M97" i="12" s="1"/>
  <c r="FG20" i="13"/>
  <c r="MP80" i="13"/>
  <c r="MQ80" i="13" s="1"/>
  <c r="FR80" i="13" s="1"/>
  <c r="H87" i="12"/>
  <c r="I87" i="12" s="1"/>
  <c r="J87" i="12" s="1"/>
  <c r="K87" i="12" s="1"/>
  <c r="M87" i="12" s="1"/>
  <c r="EV12" i="13"/>
  <c r="AE12" i="13"/>
  <c r="AD12" i="13" s="1"/>
  <c r="MP37" i="13"/>
  <c r="MQ37" i="13" s="1"/>
  <c r="FR37" i="13" s="1"/>
  <c r="FF44" i="13"/>
  <c r="FF60" i="13"/>
  <c r="FF63" i="13"/>
  <c r="MF14" i="13"/>
  <c r="MH14" i="13" s="1"/>
  <c r="H92" i="12"/>
  <c r="I92" i="12" s="1"/>
  <c r="J92" i="12" s="1"/>
  <c r="K92" i="12" s="1"/>
  <c r="M92" i="12" s="1"/>
  <c r="EV17" i="13"/>
  <c r="AE17" i="13"/>
  <c r="AD17" i="13" s="1"/>
  <c r="FF86" i="13"/>
  <c r="FG150" i="13"/>
  <c r="EV170" i="13"/>
  <c r="AE170" i="13"/>
  <c r="AD170" i="13" s="1"/>
  <c r="FF54" i="13"/>
  <c r="MP163" i="13"/>
  <c r="MQ163" i="13" s="1"/>
  <c r="FR163" i="13" s="1"/>
  <c r="MF202" i="13"/>
  <c r="MH202" i="13" s="1"/>
  <c r="EV77" i="13"/>
  <c r="AE77" i="13"/>
  <c r="AD77" i="13" s="1"/>
  <c r="MF123" i="13"/>
  <c r="MH123" i="13" s="1"/>
  <c r="MI123" i="13" s="1"/>
  <c r="MM123" i="13" s="1"/>
  <c r="MH151" i="13"/>
  <c r="MF151" i="13"/>
  <c r="IS177" i="13"/>
  <c r="IU177" i="13" s="1"/>
  <c r="IV177" i="13" s="1"/>
  <c r="ET177" i="13"/>
  <c r="MN192" i="13"/>
  <c r="FD192" i="13" s="1"/>
  <c r="MX192" i="13"/>
  <c r="MF201" i="13"/>
  <c r="MH201" i="13" s="1"/>
  <c r="AE117" i="13"/>
  <c r="AD117" i="13" s="1"/>
  <c r="EV117" i="13"/>
  <c r="EV183" i="13"/>
  <c r="AE183" i="13"/>
  <c r="AD183" i="13" s="1"/>
  <c r="AJ212" i="13"/>
  <c r="AI212" i="13" s="1"/>
  <c r="MP63" i="13"/>
  <c r="MQ63" i="13" s="1"/>
  <c r="FR63" i="13" s="1"/>
  <c r="MF156" i="13"/>
  <c r="MH156" i="13" s="1"/>
  <c r="LY181" i="13"/>
  <c r="MA181" i="13" s="1"/>
  <c r="MB181" i="13" s="1"/>
  <c r="MK181" i="13" s="1"/>
  <c r="AJ214" i="13"/>
  <c r="AI214" i="13" s="1"/>
  <c r="MY140" i="13"/>
  <c r="NA140" i="13" s="1"/>
  <c r="MO140" i="13"/>
  <c r="FF140" i="13" s="1"/>
  <c r="IM140" i="13"/>
  <c r="IN140" i="13" s="1"/>
  <c r="FH158" i="13"/>
  <c r="FJ158" i="13" s="1"/>
  <c r="FG158" i="13"/>
  <c r="AJ106" i="13"/>
  <c r="AI106" i="13" s="1"/>
  <c r="LY190" i="13"/>
  <c r="MA190" i="13" s="1"/>
  <c r="MB190" i="13" s="1"/>
  <c r="MK190" i="13" s="1"/>
  <c r="AK206" i="13"/>
  <c r="IZ87" i="13"/>
  <c r="FS87" i="13"/>
  <c r="IZ197" i="13"/>
  <c r="FS197" i="13"/>
  <c r="AK36" i="13"/>
  <c r="LY199" i="13"/>
  <c r="MA199" i="13" s="1"/>
  <c r="MB199" i="13" s="1"/>
  <c r="MK199" i="13" s="1"/>
  <c r="K5" i="141"/>
  <c r="FA104" i="13"/>
  <c r="FB104" i="13" s="1"/>
  <c r="FF99" i="13"/>
  <c r="IZ128" i="13"/>
  <c r="FS128" i="13"/>
  <c r="FF85" i="13"/>
  <c r="LY107" i="13"/>
  <c r="MA107" i="13" s="1"/>
  <c r="MB107" i="13" s="1"/>
  <c r="MK107" i="13" s="1"/>
  <c r="IZ201" i="13"/>
  <c r="FS201" i="13"/>
  <c r="AK112" i="13"/>
  <c r="AK196" i="13"/>
  <c r="MF94" i="13"/>
  <c r="MH94" i="13" s="1"/>
  <c r="MF60" i="13"/>
  <c r="MH60" i="13" s="1"/>
  <c r="IZ74" i="13"/>
  <c r="FS74" i="13"/>
  <c r="ET75" i="13"/>
  <c r="IS75" i="13"/>
  <c r="IU75" i="13" s="1"/>
  <c r="IV75" i="13" s="1"/>
  <c r="EV30" i="13"/>
  <c r="AE30" i="13"/>
  <c r="AD30" i="13" s="1"/>
  <c r="H105" i="12"/>
  <c r="I105" i="12" s="1"/>
  <c r="J105" i="12" s="1"/>
  <c r="K105" i="12" s="1"/>
  <c r="M105" i="12" s="1"/>
  <c r="OD15" i="13"/>
  <c r="OF15" i="13" s="1"/>
  <c r="FA15" i="13"/>
  <c r="FB15" i="13" s="1"/>
  <c r="MP57" i="13"/>
  <c r="MQ57" i="13" s="1"/>
  <c r="FR57" i="13" s="1"/>
  <c r="MF66" i="13"/>
  <c r="MH66" i="13" s="1"/>
  <c r="MP81" i="13"/>
  <c r="MQ81" i="13" s="1"/>
  <c r="FR81" i="13" s="1"/>
  <c r="LY88" i="13"/>
  <c r="MA88" i="13" s="1"/>
  <c r="MB88" i="13" s="1"/>
  <c r="MK88" i="13" s="1"/>
  <c r="MF57" i="13"/>
  <c r="MH57" i="13" s="1"/>
  <c r="MP64" i="13"/>
  <c r="MQ64" i="13" s="1"/>
  <c r="FR64" i="13" s="1"/>
  <c r="FF32" i="13"/>
  <c r="FF28" i="13"/>
  <c r="MF58" i="13"/>
  <c r="MH58" i="13" s="1"/>
  <c r="MA29" i="13"/>
  <c r="MB29" i="13" s="1"/>
  <c r="MK29" i="13" s="1"/>
  <c r="LY29" i="13"/>
  <c r="FF27" i="13"/>
  <c r="FH81" i="13"/>
  <c r="FJ81" i="13" s="1"/>
  <c r="FG81" i="13"/>
  <c r="MF207" i="13"/>
  <c r="MH207" i="13" s="1"/>
  <c r="MI207" i="13" s="1"/>
  <c r="MM207" i="13" s="1"/>
  <c r="EV97" i="13"/>
  <c r="AE97" i="13"/>
  <c r="AD97" i="13" s="1"/>
  <c r="LY146" i="13"/>
  <c r="MA146" i="13" s="1"/>
  <c r="MB146" i="13" s="1"/>
  <c r="MK146" i="13" s="1"/>
  <c r="MN113" i="13"/>
  <c r="FD113" i="13" s="1"/>
  <c r="FE113" i="13" s="1"/>
  <c r="MX113" i="13"/>
  <c r="LY140" i="13"/>
  <c r="MA140" i="13" s="1"/>
  <c r="MB140" i="13" s="1"/>
  <c r="MK140" i="13" s="1"/>
  <c r="EV196" i="13"/>
  <c r="AE196" i="13"/>
  <c r="AD196" i="13" s="1"/>
  <c r="FF64" i="13"/>
  <c r="MF90" i="13"/>
  <c r="MH90" i="13" s="1"/>
  <c r="EV101" i="13"/>
  <c r="AE101" i="13"/>
  <c r="AD101" i="13" s="1"/>
  <c r="FG173" i="13"/>
  <c r="FS177" i="13"/>
  <c r="IZ177" i="13"/>
  <c r="MP164" i="13"/>
  <c r="MQ164" i="13" s="1"/>
  <c r="FR164" i="13" s="1"/>
  <c r="AK183" i="13"/>
  <c r="FF190" i="13"/>
  <c r="MF212" i="13"/>
  <c r="MH212" i="13"/>
  <c r="MI212" i="13" s="1"/>
  <c r="MM212" i="13" s="1"/>
  <c r="EV95" i="13"/>
  <c r="AE95" i="13"/>
  <c r="AD95" i="13" s="1"/>
  <c r="AE100" i="13"/>
  <c r="AD100" i="13" s="1"/>
  <c r="EV100" i="13"/>
  <c r="LY178" i="13"/>
  <c r="MA178" i="13" s="1"/>
  <c r="MB178" i="13" s="1"/>
  <c r="MK178" i="13" s="1"/>
  <c r="MF106" i="13"/>
  <c r="MH106" i="13" s="1"/>
  <c r="MI106" i="13" s="1"/>
  <c r="MM106" i="13" s="1"/>
  <c r="LY134" i="13"/>
  <c r="MA134" i="13" s="1"/>
  <c r="MB134" i="13" s="1"/>
  <c r="MK134" i="13" s="1"/>
  <c r="AK197" i="13"/>
  <c r="LY206" i="13"/>
  <c r="MA206" i="13" s="1"/>
  <c r="MB206" i="13" s="1"/>
  <c r="MK206" i="13" s="1"/>
  <c r="IS87" i="13"/>
  <c r="IU87" i="13" s="1"/>
  <c r="IV87" i="13" s="1"/>
  <c r="ET87" i="13"/>
  <c r="IZ138" i="13"/>
  <c r="FS138" i="13"/>
  <c r="LY150" i="13"/>
  <c r="MA150" i="13" s="1"/>
  <c r="MB150" i="13" s="1"/>
  <c r="MK150" i="13" s="1"/>
  <c r="FF151" i="13"/>
  <c r="D5" i="141"/>
  <c r="AE104" i="13"/>
  <c r="AD104" i="13" s="1"/>
  <c r="EV104" i="13"/>
  <c r="E5" i="141" s="1"/>
  <c r="FF175" i="13"/>
  <c r="AK214" i="13"/>
  <c r="IS128" i="13"/>
  <c r="IU128" i="13" s="1"/>
  <c r="IV128" i="13" s="1"/>
  <c r="ET128" i="13"/>
  <c r="EV186" i="13"/>
  <c r="AE186" i="13"/>
  <c r="AD186" i="13" s="1"/>
  <c r="FF185" i="13"/>
  <c r="IS201" i="13"/>
  <c r="IU201" i="13" s="1"/>
  <c r="IV201" i="13" s="1"/>
  <c r="ET201" i="13"/>
  <c r="AK130" i="13"/>
  <c r="AK212" i="13"/>
  <c r="MF27" i="13"/>
  <c r="MH27" i="13" s="1"/>
  <c r="OD27" i="13"/>
  <c r="OF27" i="13" s="1"/>
  <c r="OH27" i="13" s="1"/>
  <c r="FA27" i="13"/>
  <c r="FB27" i="13" s="1"/>
  <c r="ET74" i="13"/>
  <c r="IS74" i="13"/>
  <c r="IU74" i="13" s="1"/>
  <c r="IV74" i="13" s="1"/>
  <c r="MH55" i="13"/>
  <c r="MF55" i="13"/>
  <c r="MP50" i="13"/>
  <c r="MQ50" i="13" s="1"/>
  <c r="FR50" i="13" s="1"/>
  <c r="MF74" i="13"/>
  <c r="MH74" i="13" s="1"/>
  <c r="H90" i="12"/>
  <c r="I90" i="12" s="1"/>
  <c r="J90" i="12" s="1"/>
  <c r="K90" i="12" s="1"/>
  <c r="M90" i="12" s="1"/>
  <c r="EV15" i="13"/>
  <c r="AE15" i="13"/>
  <c r="AD15" i="13" s="1"/>
  <c r="MF47" i="13"/>
  <c r="MH47" i="13" s="1"/>
  <c r="AE46" i="13"/>
  <c r="AD46" i="13" s="1"/>
  <c r="EV46" i="13"/>
  <c r="AK55" i="13"/>
  <c r="MF86" i="13"/>
  <c r="MH86" i="13" s="1"/>
  <c r="MF37" i="13"/>
  <c r="MH37" i="13" s="1"/>
  <c r="LW7" i="13"/>
  <c r="MA12" i="13"/>
  <c r="MB12" i="13" s="1"/>
  <c r="MK12" i="13" s="1"/>
  <c r="LY12" i="13"/>
  <c r="LY17" i="13"/>
  <c r="MA17" i="13" s="1"/>
  <c r="MB17" i="13" s="1"/>
  <c r="MK17" i="13" s="1"/>
  <c r="AK52" i="13"/>
  <c r="FA97" i="13"/>
  <c r="FB97" i="13" s="1"/>
  <c r="AK97" i="13"/>
  <c r="LY126" i="13"/>
  <c r="MA126" i="13" s="1"/>
  <c r="MB126" i="13" s="1"/>
  <c r="MK126" i="13" s="1"/>
  <c r="LY133" i="13"/>
  <c r="MA133" i="13" s="1"/>
  <c r="MB133" i="13" s="1"/>
  <c r="MK133" i="13" s="1"/>
  <c r="MF185" i="13"/>
  <c r="MH185" i="13" s="1"/>
  <c r="AP5" i="13"/>
  <c r="AP3" i="13"/>
  <c r="LY170" i="13"/>
  <c r="MA170" i="13" s="1"/>
  <c r="MB170" i="13" s="1"/>
  <c r="MK170" i="13" s="1"/>
  <c r="EV184" i="13"/>
  <c r="AE184" i="13"/>
  <c r="AD184" i="13" s="1"/>
  <c r="AK77" i="13"/>
  <c r="AK101" i="13"/>
  <c r="LY117" i="13"/>
  <c r="MA117" i="13" s="1"/>
  <c r="MB117" i="13" s="1"/>
  <c r="MK117" i="13" s="1"/>
  <c r="MF190" i="13"/>
  <c r="MH190" i="13" s="1"/>
  <c r="MF139" i="13"/>
  <c r="MH139" i="13" s="1"/>
  <c r="MI139" i="13" s="1"/>
  <c r="MM139" i="13" s="1"/>
  <c r="MF214" i="13"/>
  <c r="MH214" i="13" s="1"/>
  <c r="MI214" i="13" s="1"/>
  <c r="MM214" i="13" s="1"/>
  <c r="FF59" i="13"/>
  <c r="AJ116" i="13"/>
  <c r="AI116" i="13" s="1"/>
  <c r="LY79" i="13"/>
  <c r="MA79" i="13" s="1"/>
  <c r="MB79" i="13" s="1"/>
  <c r="MK79" i="13" s="1"/>
  <c r="FG179" i="13"/>
  <c r="ET138" i="13"/>
  <c r="IS138" i="13"/>
  <c r="IU138" i="13" s="1"/>
  <c r="IV138" i="13" s="1"/>
  <c r="MX148" i="13"/>
  <c r="MN148" i="13"/>
  <c r="FD148" i="13" s="1"/>
  <c r="FE148" i="13" s="1"/>
  <c r="MX182" i="13"/>
  <c r="MN182" i="13"/>
  <c r="FD182" i="13" s="1"/>
  <c r="MX210" i="13"/>
  <c r="MN210" i="13"/>
  <c r="FD210" i="13" s="1"/>
  <c r="FE210" i="13" s="1"/>
  <c r="MX141" i="13"/>
  <c r="MN141" i="13"/>
  <c r="FD141" i="13" s="1"/>
  <c r="FE141" i="13" s="1"/>
  <c r="FF203" i="13"/>
  <c r="IZ155" i="13"/>
  <c r="FS155" i="13"/>
  <c r="LY156" i="13"/>
  <c r="MA156" i="13" s="1"/>
  <c r="MB156" i="13" s="1"/>
  <c r="MK156" i="13" s="1"/>
  <c r="EV202" i="13"/>
  <c r="AE202" i="13"/>
  <c r="AD202" i="13" s="1"/>
  <c r="EV109" i="13"/>
  <c r="AE109" i="13"/>
  <c r="AD109" i="13" s="1"/>
  <c r="FF164" i="13"/>
  <c r="AK168" i="13"/>
  <c r="FF169" i="13"/>
  <c r="AK106" i="13"/>
  <c r="LY46" i="13"/>
  <c r="MA46" i="13" s="1"/>
  <c r="MB46" i="13" s="1"/>
  <c r="MK46" i="13" s="1"/>
  <c r="MA39" i="13"/>
  <c r="MB39" i="13" s="1"/>
  <c r="MK39" i="13" s="1"/>
  <c r="LY39" i="13"/>
  <c r="MF62" i="13"/>
  <c r="MH62" i="13" s="1"/>
  <c r="OD14" i="13"/>
  <c r="OF14" i="13" s="1"/>
  <c r="FA14" i="13"/>
  <c r="FB14" i="13" s="1"/>
  <c r="MP53" i="13"/>
  <c r="MQ53" i="13" s="1"/>
  <c r="FR53" i="13" s="1"/>
  <c r="MH63" i="13"/>
  <c r="MF63" i="13"/>
  <c r="MF77" i="13"/>
  <c r="MH77" i="13" s="1"/>
  <c r="EV44" i="13"/>
  <c r="AE44" i="13"/>
  <c r="AD44" i="13" s="1"/>
  <c r="MF84" i="13"/>
  <c r="MH84" i="13" s="1"/>
  <c r="MP21" i="13"/>
  <c r="MQ21" i="13" s="1"/>
  <c r="FR21" i="13" s="1"/>
  <c r="FH42" i="13"/>
  <c r="FJ42" i="13" s="1"/>
  <c r="FG42" i="13"/>
  <c r="MF42" i="13"/>
  <c r="MH42" i="13" s="1"/>
  <c r="MF50" i="13"/>
  <c r="MH50" i="13" s="1"/>
  <c r="AK83" i="13"/>
  <c r="FF79" i="13"/>
  <c r="MF122" i="13"/>
  <c r="MH122" i="13" s="1"/>
  <c r="MI122" i="13" s="1"/>
  <c r="MM122" i="13" s="1"/>
  <c r="MF133" i="13"/>
  <c r="MH133" i="13" s="1"/>
  <c r="MI133" i="13" s="1"/>
  <c r="MM133" i="13" s="1"/>
  <c r="EV144" i="13"/>
  <c r="AE144" i="13"/>
  <c r="AD144" i="13" s="1"/>
  <c r="FG160" i="13"/>
  <c r="LY196" i="13"/>
  <c r="MA196" i="13" s="1"/>
  <c r="MB196" i="13" s="1"/>
  <c r="MK196" i="13" s="1"/>
  <c r="AK184" i="13"/>
  <c r="AE205" i="13"/>
  <c r="AD205" i="13" s="1"/>
  <c r="EV205" i="13"/>
  <c r="FH34" i="13"/>
  <c r="FJ34" i="13" s="1"/>
  <c r="FG34" i="13"/>
  <c r="EV119" i="13"/>
  <c r="AE119" i="13"/>
  <c r="AD119" i="13" s="1"/>
  <c r="LY95" i="13"/>
  <c r="MA95" i="13" s="1"/>
  <c r="MB95" i="13" s="1"/>
  <c r="MK95" i="13" s="1"/>
  <c r="EV138" i="13"/>
  <c r="AE138" i="13"/>
  <c r="AD138" i="13" s="1"/>
  <c r="MF174" i="13"/>
  <c r="MH174" i="13" s="1"/>
  <c r="LY100" i="13"/>
  <c r="MA100" i="13" s="1"/>
  <c r="MB100" i="13" s="1"/>
  <c r="MK100" i="13" s="1"/>
  <c r="AK108" i="13"/>
  <c r="FG191" i="13"/>
  <c r="EX138" i="13"/>
  <c r="AJ138" i="13"/>
  <c r="AI138" i="13" s="1"/>
  <c r="MF188" i="13"/>
  <c r="MH188" i="13" s="1"/>
  <c r="FF94" i="13"/>
  <c r="LY104" i="13"/>
  <c r="MA104" i="13" s="1"/>
  <c r="MB104" i="13" s="1"/>
  <c r="MK104" i="13" s="1"/>
  <c r="ET155" i="13"/>
  <c r="IS155" i="13"/>
  <c r="IU155" i="13" s="1"/>
  <c r="IV155" i="13" s="1"/>
  <c r="FF95" i="13"/>
  <c r="MF135" i="13"/>
  <c r="MH135" i="13" s="1"/>
  <c r="MI135" i="13" s="1"/>
  <c r="MM135" i="13" s="1"/>
  <c r="FF155" i="13"/>
  <c r="AK201" i="13"/>
  <c r="FF170" i="13"/>
  <c r="AK117" i="13"/>
  <c r="AK188" i="13"/>
  <c r="MF13" i="13"/>
  <c r="MH13" i="13" s="1"/>
  <c r="MH15" i="13"/>
  <c r="MF15" i="13"/>
  <c r="IS19" i="13"/>
  <c r="IU19" i="13" s="1"/>
  <c r="IV19" i="13" s="1"/>
  <c r="ET19" i="13"/>
  <c r="MF21" i="13"/>
  <c r="MH21" i="13" s="1"/>
  <c r="MH12" i="13"/>
  <c r="MF12" i="13"/>
  <c r="AE70" i="13"/>
  <c r="AD70" i="13" s="1"/>
  <c r="EV70" i="13"/>
  <c r="FH43" i="13"/>
  <c r="FJ43" i="13" s="1"/>
  <c r="FG43" i="13"/>
  <c r="MP48" i="13"/>
  <c r="MQ48" i="13" s="1"/>
  <c r="FR48" i="13" s="1"/>
  <c r="H89" i="12"/>
  <c r="I89" i="12" s="1"/>
  <c r="J89" i="12" s="1"/>
  <c r="K89" i="12" s="1"/>
  <c r="M89" i="12" s="1"/>
  <c r="EV14" i="13"/>
  <c r="AE14" i="13"/>
  <c r="AD14" i="13" s="1"/>
  <c r="IZ52" i="13"/>
  <c r="FS52" i="13"/>
  <c r="LY55" i="13"/>
  <c r="MA55" i="13" s="1"/>
  <c r="MB55" i="13" s="1"/>
  <c r="MK55" i="13" s="1"/>
  <c r="FF12" i="13"/>
  <c r="LY15" i="13"/>
  <c r="MA15" i="13" s="1"/>
  <c r="MB15" i="13" s="1"/>
  <c r="MK15" i="13" s="1"/>
  <c r="FF36" i="13"/>
  <c r="IZ32" i="13"/>
  <c r="FS32" i="13"/>
  <c r="OD16" i="13"/>
  <c r="OF16" i="13" s="1"/>
  <c r="FA16" i="13"/>
  <c r="FB16" i="13" s="1"/>
  <c r="MP42" i="13"/>
  <c r="MQ42" i="13" s="1"/>
  <c r="FR42" i="13" s="1"/>
  <c r="AK16" i="13"/>
  <c r="FF58" i="13"/>
  <c r="MF164" i="13"/>
  <c r="MH164" i="13" s="1"/>
  <c r="IS206" i="13"/>
  <c r="IU206" i="13" s="1"/>
  <c r="IV206" i="13" s="1"/>
  <c r="ET206" i="13"/>
  <c r="LY97" i="13"/>
  <c r="MA97" i="13" s="1"/>
  <c r="MB97" i="13" s="1"/>
  <c r="MK97" i="13" s="1"/>
  <c r="FG168" i="13"/>
  <c r="MF117" i="13"/>
  <c r="MH117" i="13" s="1"/>
  <c r="MI117" i="13" s="1"/>
  <c r="MM117" i="13" s="1"/>
  <c r="AJ142" i="13"/>
  <c r="AI142" i="13" s="1"/>
  <c r="LY144" i="13"/>
  <c r="MA144" i="13" s="1"/>
  <c r="MB144" i="13" s="1"/>
  <c r="MK144" i="13" s="1"/>
  <c r="MP174" i="13"/>
  <c r="MQ174" i="13" s="1"/>
  <c r="FR174" i="13" s="1"/>
  <c r="LY101" i="13"/>
  <c r="MA101" i="13" s="1"/>
  <c r="MB101" i="13" s="1"/>
  <c r="MK101" i="13" s="1"/>
  <c r="MF176" i="13"/>
  <c r="MH176" i="13" s="1"/>
  <c r="EV191" i="13"/>
  <c r="AE191" i="13"/>
  <c r="AD191" i="13" s="1"/>
  <c r="MF85" i="13"/>
  <c r="MH85" i="13" s="1"/>
  <c r="FF69" i="13"/>
  <c r="LY183" i="13"/>
  <c r="MA183" i="13" s="1"/>
  <c r="MB183" i="13" s="1"/>
  <c r="MK183" i="13" s="1"/>
  <c r="FF197" i="13"/>
  <c r="FH163" i="13"/>
  <c r="FJ163" i="13" s="1"/>
  <c r="FG163" i="13"/>
  <c r="MF116" i="13"/>
  <c r="MH116" i="13" s="1"/>
  <c r="MI116" i="13" s="1"/>
  <c r="MM116" i="13" s="1"/>
  <c r="MH157" i="13"/>
  <c r="MF157" i="13"/>
  <c r="MP192" i="13"/>
  <c r="MQ192" i="13" s="1"/>
  <c r="FR192" i="13" s="1"/>
  <c r="AK56" i="13"/>
  <c r="MO126" i="13"/>
  <c r="FF126" i="13" s="1"/>
  <c r="NA126" i="13"/>
  <c r="MY126" i="13"/>
  <c r="IM126" i="13"/>
  <c r="IN126" i="13" s="1"/>
  <c r="LY186" i="13"/>
  <c r="MA186" i="13" s="1"/>
  <c r="MB186" i="13" s="1"/>
  <c r="MK186" i="13" s="1"/>
  <c r="AK202" i="13"/>
  <c r="LY109" i="13"/>
  <c r="MA109" i="13" s="1"/>
  <c r="MB109" i="13" s="1"/>
  <c r="MK109" i="13" s="1"/>
  <c r="AJ135" i="13"/>
  <c r="AI135" i="13" s="1"/>
  <c r="MC205" i="13"/>
  <c r="FF205" i="13"/>
  <c r="MN54" i="13"/>
  <c r="FD54" i="13" s="1"/>
  <c r="FE54" i="13" s="1"/>
  <c r="MX54" i="13"/>
  <c r="MF138" i="13"/>
  <c r="MH138" i="13" s="1"/>
  <c r="MI138" i="13" s="1"/>
  <c r="MM138" i="13" s="1"/>
  <c r="FF165" i="13"/>
  <c r="EV177" i="13"/>
  <c r="AE177" i="13"/>
  <c r="AD177" i="13" s="1"/>
  <c r="AK124" i="13"/>
  <c r="IZ19" i="13"/>
  <c r="FS19" i="13"/>
  <c r="ET52" i="13"/>
  <c r="IS52" i="13"/>
  <c r="IU52" i="13" s="1"/>
  <c r="IV52" i="13" s="1"/>
  <c r="FP7" i="13"/>
  <c r="FF17" i="13"/>
  <c r="EV20" i="13"/>
  <c r="AE20" i="13"/>
  <c r="AD20" i="13" s="1"/>
  <c r="H95" i="12"/>
  <c r="I95" i="12" s="1"/>
  <c r="J95" i="12" s="1"/>
  <c r="K95" i="12" s="1"/>
  <c r="M95" i="12" s="1"/>
  <c r="IZ36" i="13"/>
  <c r="FS36" i="13"/>
  <c r="MF64" i="13"/>
  <c r="MH64" i="13" s="1"/>
  <c r="MF53" i="13"/>
  <c r="MH53" i="13" s="1"/>
  <c r="LY86" i="13"/>
  <c r="MA86" i="13" s="1"/>
  <c r="MB86" i="13" s="1"/>
  <c r="MK86" i="13" s="1"/>
  <c r="MF93" i="13"/>
  <c r="MH93" i="13" s="1"/>
  <c r="ET32" i="13"/>
  <c r="IS32" i="13"/>
  <c r="IU32" i="13" s="1"/>
  <c r="IV32" i="13" s="1"/>
  <c r="EV16" i="13"/>
  <c r="AE16" i="13"/>
  <c r="AD16" i="13" s="1"/>
  <c r="H91" i="12"/>
  <c r="I91" i="12" s="1"/>
  <c r="J91" i="12" s="1"/>
  <c r="K91" i="12" s="1"/>
  <c r="M91" i="12" s="1"/>
  <c r="MZ43" i="13"/>
  <c r="IO43" i="13" s="1"/>
  <c r="IQ43" i="13" s="1"/>
  <c r="IK43" i="13"/>
  <c r="LY70" i="13"/>
  <c r="MA70" i="13" s="1"/>
  <c r="MB70" i="13" s="1"/>
  <c r="MK70" i="13" s="1"/>
  <c r="MF75" i="13"/>
  <c r="MH75" i="13" s="1"/>
  <c r="MP25" i="13"/>
  <c r="MQ25" i="13" s="1"/>
  <c r="FR25" i="13" s="1"/>
  <c r="FF33" i="13"/>
  <c r="MF112" i="13"/>
  <c r="MH112" i="13" s="1"/>
  <c r="MI112" i="13" s="1"/>
  <c r="MM112" i="13" s="1"/>
  <c r="FS206" i="13"/>
  <c r="IZ206" i="13"/>
  <c r="FG154" i="13"/>
  <c r="FH161" i="13"/>
  <c r="FJ161" i="13" s="1"/>
  <c r="FG161" i="13"/>
  <c r="MN207" i="13"/>
  <c r="FD207" i="13" s="1"/>
  <c r="FE207" i="13" s="1"/>
  <c r="MX207" i="13"/>
  <c r="LY205" i="13"/>
  <c r="MA205" i="13" s="1"/>
  <c r="MB205" i="13" s="1"/>
  <c r="MK205" i="13" s="1"/>
  <c r="LY77" i="13"/>
  <c r="MA77" i="13" s="1"/>
  <c r="MB77" i="13" s="1"/>
  <c r="MK77" i="13" s="1"/>
  <c r="AK191" i="13"/>
  <c r="EV180" i="13"/>
  <c r="AE180" i="13"/>
  <c r="AD180" i="13" s="1"/>
  <c r="MF103" i="13"/>
  <c r="MH103" i="13" s="1"/>
  <c r="MI103" i="13" s="1"/>
  <c r="MM103" i="13" s="1"/>
  <c r="FG96" i="13"/>
  <c r="MF169" i="13"/>
  <c r="MH169" i="13" s="1"/>
  <c r="FG183" i="13"/>
  <c r="FF172" i="13"/>
  <c r="IZ208" i="13"/>
  <c r="FS208" i="13"/>
  <c r="MF118" i="13"/>
  <c r="MH118" i="13" s="1"/>
  <c r="MI118" i="13" s="1"/>
  <c r="MM118" i="13" s="1"/>
  <c r="FS210" i="13"/>
  <c r="IZ210" i="13"/>
  <c r="ET105" i="13"/>
  <c r="IS105" i="13"/>
  <c r="IU105" i="13" s="1"/>
  <c r="IV105" i="13" s="1"/>
  <c r="MX131" i="13"/>
  <c r="MN131" i="13"/>
  <c r="FD131" i="13" s="1"/>
  <c r="FE131" i="13" s="1"/>
  <c r="J5" i="141"/>
  <c r="MO104" i="13"/>
  <c r="MY104" i="13"/>
  <c r="NA104" i="13" s="1"/>
  <c r="IM104" i="13"/>
  <c r="IN104" i="13" s="1"/>
  <c r="AK205" i="13"/>
  <c r="MF23" i="13"/>
  <c r="MH23" i="13" s="1"/>
  <c r="MF72" i="13"/>
  <c r="MH72" i="13" s="1"/>
  <c r="MA14" i="13"/>
  <c r="MB14" i="13" s="1"/>
  <c r="MK14" i="13" s="1"/>
  <c r="LY14" i="13"/>
  <c r="MP33" i="13"/>
  <c r="MQ33" i="13" s="1"/>
  <c r="FR33" i="13" s="1"/>
  <c r="MF79" i="13"/>
  <c r="MH79" i="13" s="1"/>
  <c r="EV39" i="13"/>
  <c r="AE39" i="13"/>
  <c r="AD39" i="13" s="1"/>
  <c r="ET36" i="13"/>
  <c r="IS36" i="13"/>
  <c r="IU36" i="13" s="1"/>
  <c r="IV36" i="13" s="1"/>
  <c r="MP38" i="13"/>
  <c r="MQ38" i="13" s="1"/>
  <c r="FR38" i="13" s="1"/>
  <c r="FF13" i="13"/>
  <c r="FH48" i="13"/>
  <c r="FJ48" i="13" s="1"/>
  <c r="FG48" i="13"/>
  <c r="FF46" i="13"/>
  <c r="MF26" i="13"/>
  <c r="MH26" i="13" s="1"/>
  <c r="AJ112" i="13"/>
  <c r="AI112" i="13" s="1"/>
  <c r="FG90" i="13"/>
  <c r="FG97" i="13"/>
  <c r="MP195" i="13"/>
  <c r="MQ195" i="13" s="1"/>
  <c r="FR195" i="13" s="1"/>
  <c r="MF142" i="13"/>
  <c r="MH142" i="13" s="1"/>
  <c r="MI142" i="13" s="1"/>
  <c r="MM142" i="13" s="1"/>
  <c r="AK152" i="13"/>
  <c r="FF78" i="13"/>
  <c r="LY184" i="13"/>
  <c r="MA184" i="13" s="1"/>
  <c r="MB184" i="13" s="1"/>
  <c r="MK184" i="13" s="1"/>
  <c r="LY191" i="13"/>
  <c r="MA191" i="13" s="1"/>
  <c r="MB191" i="13" s="1"/>
  <c r="MK191" i="13" s="1"/>
  <c r="AJ113" i="13"/>
  <c r="AI113" i="13" s="1"/>
  <c r="LY119" i="13"/>
  <c r="MA119" i="13" s="1"/>
  <c r="MB119" i="13" s="1"/>
  <c r="MK119" i="13" s="1"/>
  <c r="LY138" i="13"/>
  <c r="MA138" i="13" s="1"/>
  <c r="MB138" i="13" s="1"/>
  <c r="MK138" i="13" s="1"/>
  <c r="EV188" i="13"/>
  <c r="AE188" i="13"/>
  <c r="AD188" i="13" s="1"/>
  <c r="FG188" i="13"/>
  <c r="MF25" i="13"/>
  <c r="MH25" i="13" s="1"/>
  <c r="FF204" i="13"/>
  <c r="FF171" i="13"/>
  <c r="IS208" i="13"/>
  <c r="IU208" i="13" s="1"/>
  <c r="IV208" i="13" s="1"/>
  <c r="ET208" i="13"/>
  <c r="MX149" i="13"/>
  <c r="MN149" i="13"/>
  <c r="FD149" i="13" s="1"/>
  <c r="FE149" i="13" s="1"/>
  <c r="MH167" i="13"/>
  <c r="MF167" i="13"/>
  <c r="MP204" i="13"/>
  <c r="MQ204" i="13" s="1"/>
  <c r="FR204" i="13" s="1"/>
  <c r="ET210" i="13"/>
  <c r="IS210" i="13"/>
  <c r="IU210" i="13" s="1"/>
  <c r="IV210" i="13" s="1"/>
  <c r="AE208" i="13"/>
  <c r="AD208" i="13" s="1"/>
  <c r="EV208" i="13"/>
  <c r="FF55" i="13"/>
  <c r="AK170" i="13"/>
  <c r="LY202" i="13"/>
  <c r="MA202" i="13" s="1"/>
  <c r="MB202" i="13" s="1"/>
  <c r="MK202" i="13" s="1"/>
  <c r="MF102" i="13"/>
  <c r="MH102" i="13" s="1"/>
  <c r="MI102" i="13" s="1"/>
  <c r="MM102" i="13" s="1"/>
  <c r="FG162" i="13"/>
  <c r="FS105" i="13"/>
  <c r="IZ105" i="13"/>
  <c r="AK156" i="13"/>
  <c r="FH19" i="13"/>
  <c r="FJ19" i="13" s="1"/>
  <c r="FG19" i="13"/>
  <c r="EV61" i="13"/>
  <c r="AE61" i="13"/>
  <c r="AD61" i="13" s="1"/>
  <c r="MA30" i="13"/>
  <c r="MB30" i="13" s="1"/>
  <c r="MK30" i="13" s="1"/>
  <c r="LY30" i="13"/>
  <c r="FG74" i="13"/>
  <c r="MH69" i="13"/>
  <c r="MF69" i="13"/>
  <c r="MC22" i="13"/>
  <c r="FF22" i="13"/>
  <c r="LY61" i="13"/>
  <c r="MA61" i="13" s="1"/>
  <c r="MB61" i="13" s="1"/>
  <c r="MK61" i="13" s="1"/>
  <c r="MH67" i="13"/>
  <c r="MF67" i="13"/>
  <c r="MP66" i="13"/>
  <c r="MQ66" i="13" s="1"/>
  <c r="FR66" i="13" s="1"/>
  <c r="MA16" i="13"/>
  <c r="MB16" i="13" s="1"/>
  <c r="MK16" i="13" s="1"/>
  <c r="LY16" i="13"/>
  <c r="FF21" i="13"/>
  <c r="MF29" i="13"/>
  <c r="MH29" i="13" s="1"/>
  <c r="IZ67" i="13"/>
  <c r="FS67" i="13"/>
  <c r="FH35" i="13"/>
  <c r="FJ35" i="13" s="1"/>
  <c r="ET152" i="13"/>
  <c r="IS152" i="13"/>
  <c r="IU152" i="13" s="1"/>
  <c r="IV152" i="13" s="1"/>
  <c r="MN89" i="13"/>
  <c r="MX89" i="13"/>
  <c r="MF168" i="13"/>
  <c r="MH168" i="13" s="1"/>
  <c r="MC187" i="13"/>
  <c r="FF187" i="13"/>
  <c r="EV209" i="13"/>
  <c r="AE209" i="13"/>
  <c r="AD209" i="13" s="1"/>
  <c r="AJ136" i="13"/>
  <c r="AI136" i="13" s="1"/>
  <c r="FF56" i="13"/>
  <c r="AK180" i="13"/>
  <c r="MN162" i="13"/>
  <c r="FD162" i="13" s="1"/>
  <c r="FE162" i="13" s="1"/>
  <c r="MX162" i="13"/>
  <c r="FG174" i="13"/>
  <c r="MX41" i="13"/>
  <c r="MN41" i="13"/>
  <c r="FD41" i="13" s="1"/>
  <c r="FE41" i="13" s="1"/>
  <c r="EV96" i="13"/>
  <c r="AE96" i="13"/>
  <c r="AD96" i="13" s="1"/>
  <c r="FG198" i="13"/>
  <c r="MP149" i="13"/>
  <c r="MQ149" i="13" s="1"/>
  <c r="FR149" i="13" s="1"/>
  <c r="IZ196" i="13"/>
  <c r="FS196" i="13"/>
  <c r="AK78" i="13"/>
  <c r="AE99" i="13"/>
  <c r="AD99" i="13" s="1"/>
  <c r="EV99" i="13"/>
  <c r="MP148" i="13"/>
  <c r="MQ148" i="13" s="1"/>
  <c r="FR148" i="13" s="1"/>
  <c r="MX198" i="13"/>
  <c r="MN198" i="13"/>
  <c r="FD198" i="13" s="1"/>
  <c r="FE198" i="13" s="1"/>
  <c r="MY100" i="13"/>
  <c r="NA100" i="13" s="1"/>
  <c r="MO100" i="13"/>
  <c r="FF100" i="13" s="1"/>
  <c r="IM100" i="13"/>
  <c r="IN100" i="13" s="1"/>
  <c r="MP158" i="13"/>
  <c r="MQ158" i="13" s="1"/>
  <c r="FR158" i="13" s="1"/>
  <c r="FG98" i="13"/>
  <c r="IZ182" i="13"/>
  <c r="FS182" i="13"/>
  <c r="EV157" i="13"/>
  <c r="AE157" i="13"/>
  <c r="AD157" i="13" s="1"/>
  <c r="MP161" i="13"/>
  <c r="MQ161" i="13" s="1"/>
  <c r="FR161" i="13" s="1"/>
  <c r="LY177" i="13"/>
  <c r="MA177" i="13" s="1"/>
  <c r="MB177" i="13" s="1"/>
  <c r="MK177" i="13" s="1"/>
  <c r="MH200" i="13"/>
  <c r="MF200" i="13"/>
  <c r="FG131" i="13"/>
  <c r="MF24" i="13"/>
  <c r="MH24" i="13" s="1"/>
  <c r="OD18" i="13"/>
  <c r="OF18" i="13" s="1"/>
  <c r="FA18" i="13"/>
  <c r="FB18" i="13" s="1"/>
  <c r="MF44" i="13"/>
  <c r="MH44" i="13" s="1"/>
  <c r="AK91" i="13"/>
  <c r="AE69" i="13"/>
  <c r="AD69" i="13" s="1"/>
  <c r="EV69" i="13"/>
  <c r="FF53" i="13"/>
  <c r="FH26" i="13"/>
  <c r="FJ26" i="13" s="1"/>
  <c r="FG26" i="13"/>
  <c r="MP65" i="13"/>
  <c r="MQ65" i="13" s="1"/>
  <c r="FR65" i="13" s="1"/>
  <c r="FF51" i="13"/>
  <c r="IS67" i="13"/>
  <c r="IU67" i="13" s="1"/>
  <c r="IV67" i="13" s="1"/>
  <c r="ET67" i="13"/>
  <c r="MN106" i="13"/>
  <c r="FD106" i="13" s="1"/>
  <c r="FE106" i="13" s="1"/>
  <c r="MX106" i="13"/>
  <c r="MH196" i="13"/>
  <c r="MF196" i="13"/>
  <c r="MF127" i="13"/>
  <c r="MH127" i="13" s="1"/>
  <c r="MI127" i="13" s="1"/>
  <c r="MM127" i="13" s="1"/>
  <c r="IZ152" i="13"/>
  <c r="FS152" i="13"/>
  <c r="MF114" i="13"/>
  <c r="MH114" i="13" s="1"/>
  <c r="MI114" i="13" s="1"/>
  <c r="MM114" i="13" s="1"/>
  <c r="FG200" i="13"/>
  <c r="MF113" i="13"/>
  <c r="MH113" i="13" s="1"/>
  <c r="MI113" i="13" s="1"/>
  <c r="MM113" i="13" s="1"/>
  <c r="MH179" i="13"/>
  <c r="MF179" i="13"/>
  <c r="MP145" i="13"/>
  <c r="MQ145" i="13" s="1"/>
  <c r="FR145" i="13" s="1"/>
  <c r="FG68" i="13"/>
  <c r="EV203" i="13"/>
  <c r="AE203" i="13"/>
  <c r="AD203" i="13" s="1"/>
  <c r="MF170" i="13"/>
  <c r="MH170" i="13" s="1"/>
  <c r="IS196" i="13"/>
  <c r="IU196" i="13" s="1"/>
  <c r="IV196" i="13" s="1"/>
  <c r="ET196" i="13"/>
  <c r="IZ127" i="13"/>
  <c r="FS127" i="13"/>
  <c r="FF176" i="13"/>
  <c r="MF88" i="13"/>
  <c r="MH88" i="13" s="1"/>
  <c r="MF134" i="13"/>
  <c r="MH134" i="13" s="1"/>
  <c r="MI134" i="13" s="1"/>
  <c r="MM134" i="13" s="1"/>
  <c r="ET182" i="13"/>
  <c r="IS182" i="13"/>
  <c r="IU182" i="13" s="1"/>
  <c r="IV182" i="13" s="1"/>
  <c r="EV133" i="13"/>
  <c r="AE133" i="13"/>
  <c r="AD133" i="13" s="1"/>
  <c r="AJ105" i="13"/>
  <c r="AI105" i="13" s="1"/>
  <c r="IZ157" i="13"/>
  <c r="FS157" i="13"/>
  <c r="AK104" i="13"/>
  <c r="MN155" i="13"/>
  <c r="FD155" i="13" s="1"/>
  <c r="FE155" i="13" s="1"/>
  <c r="MX155" i="13"/>
  <c r="MF17" i="13"/>
  <c r="MH17" i="13" s="1"/>
  <c r="MA45" i="13"/>
  <c r="MB45" i="13" s="1"/>
  <c r="MK45" i="13" s="1"/>
  <c r="LY45" i="13"/>
  <c r="MF73" i="13"/>
  <c r="MH73" i="13" s="1"/>
  <c r="H93" i="12"/>
  <c r="I93" i="12" s="1"/>
  <c r="J93" i="12" s="1"/>
  <c r="K93" i="12" s="1"/>
  <c r="M93" i="12" s="1"/>
  <c r="EV18" i="13"/>
  <c r="AE18" i="13"/>
  <c r="AD18" i="13" s="1"/>
  <c r="AK32" i="13"/>
  <c r="MF39" i="13"/>
  <c r="MH39" i="13" s="1"/>
  <c r="FG18" i="13"/>
  <c r="MF43" i="13"/>
  <c r="MH43" i="13" s="1"/>
  <c r="IS84" i="13"/>
  <c r="IU84" i="13" s="1"/>
  <c r="IV84" i="13" s="1"/>
  <c r="ET84" i="13"/>
  <c r="MP71" i="13"/>
  <c r="MQ71" i="13" s="1"/>
  <c r="FR71" i="13" s="1"/>
  <c r="FR7" i="13"/>
  <c r="FF14" i="13"/>
  <c r="MF59" i="13"/>
  <c r="MH59" i="13" s="1"/>
  <c r="FF72" i="13"/>
  <c r="MP26" i="13"/>
  <c r="MQ26" i="13" s="1"/>
  <c r="FR26" i="13" s="1"/>
  <c r="FF153" i="13"/>
  <c r="EV169" i="13"/>
  <c r="AE169" i="13"/>
  <c r="AD169" i="13" s="1"/>
  <c r="AK144" i="13"/>
  <c r="LY209" i="13"/>
  <c r="MA209" i="13" s="1"/>
  <c r="MB209" i="13" s="1"/>
  <c r="MK209" i="13" s="1"/>
  <c r="MF136" i="13"/>
  <c r="MH136" i="13" s="1"/>
  <c r="MI136" i="13" s="1"/>
  <c r="MM136" i="13" s="1"/>
  <c r="MF87" i="13"/>
  <c r="MH87" i="13" s="1"/>
  <c r="FG189" i="13"/>
  <c r="MF120" i="13"/>
  <c r="MH120" i="13" s="1"/>
  <c r="MI120" i="13" s="1"/>
  <c r="MM120" i="13" s="1"/>
  <c r="EV179" i="13"/>
  <c r="AE179" i="13"/>
  <c r="AD179" i="13" s="1"/>
  <c r="MP93" i="13"/>
  <c r="MQ93" i="13" s="1"/>
  <c r="FR93" i="13" s="1"/>
  <c r="IZ179" i="13"/>
  <c r="FS179" i="13"/>
  <c r="LY188" i="13"/>
  <c r="MA188" i="13" s="1"/>
  <c r="MB188" i="13" s="1"/>
  <c r="MK188" i="13" s="1"/>
  <c r="MP58" i="13"/>
  <c r="MQ58" i="13" s="1"/>
  <c r="FR58" i="13" s="1"/>
  <c r="LY96" i="13"/>
  <c r="MA96" i="13" s="1"/>
  <c r="MB96" i="13" s="1"/>
  <c r="MK96" i="13" s="1"/>
  <c r="AK133" i="13"/>
  <c r="MF95" i="13"/>
  <c r="MH95" i="13"/>
  <c r="EV78" i="13"/>
  <c r="AE78" i="13"/>
  <c r="AD78" i="13" s="1"/>
  <c r="ET127" i="13"/>
  <c r="IS127" i="13"/>
  <c r="IU127" i="13" s="1"/>
  <c r="IV127" i="13" s="1"/>
  <c r="MY146" i="13"/>
  <c r="MO146" i="13"/>
  <c r="FF146" i="13" s="1"/>
  <c r="NA146" i="13"/>
  <c r="IM146" i="13"/>
  <c r="IN146" i="13" s="1"/>
  <c r="AK150" i="13"/>
  <c r="LY208" i="13"/>
  <c r="MA208" i="13" s="1"/>
  <c r="MB208" i="13" s="1"/>
  <c r="MK208" i="13" s="1"/>
  <c r="MX84" i="13"/>
  <c r="MN84" i="13"/>
  <c r="FD84" i="13" s="1"/>
  <c r="FE84" i="13" s="1"/>
  <c r="MF159" i="13"/>
  <c r="MH159" i="13" s="1"/>
  <c r="MX171" i="13"/>
  <c r="MN171" i="13"/>
  <c r="FD171" i="13" s="1"/>
  <c r="FE171" i="13" s="1"/>
  <c r="FF38" i="13"/>
  <c r="MF141" i="13"/>
  <c r="MH141" i="13" s="1"/>
  <c r="MI141" i="13" s="1"/>
  <c r="MM141" i="13" s="1"/>
  <c r="ET157" i="13"/>
  <c r="IS157" i="13"/>
  <c r="IU157" i="13" s="1"/>
  <c r="IV157" i="13" s="1"/>
  <c r="MN175" i="13"/>
  <c r="FD175" i="13" s="1"/>
  <c r="FE175" i="13" s="1"/>
  <c r="MX175" i="13"/>
  <c r="MP34" i="13"/>
  <c r="MQ34" i="13" s="1"/>
  <c r="FR34" i="13" s="1"/>
  <c r="FF24" i="13"/>
  <c r="FF16" i="13"/>
  <c r="FG41" i="13"/>
  <c r="LY44" i="13"/>
  <c r="MA44" i="13" s="1"/>
  <c r="MB44" i="13" s="1"/>
  <c r="MK44" i="13" s="1"/>
  <c r="MC65" i="13"/>
  <c r="FF65" i="13"/>
  <c r="AK14" i="13"/>
  <c r="FH52" i="13"/>
  <c r="FJ52" i="13" s="1"/>
  <c r="FG52" i="13"/>
  <c r="FG57" i="13"/>
  <c r="FH57" i="13"/>
  <c r="FJ57" i="13" s="1"/>
  <c r="FH75" i="13"/>
  <c r="FJ75" i="13" s="1"/>
  <c r="FG75" i="13"/>
  <c r="FH37" i="13"/>
  <c r="FJ37" i="13" s="1"/>
  <c r="FG37" i="13"/>
  <c r="EV55" i="13"/>
  <c r="AE55" i="13"/>
  <c r="AD55" i="13" s="1"/>
  <c r="EV27" i="13"/>
  <c r="AE27" i="13"/>
  <c r="AD27" i="13" s="1"/>
  <c r="H102" i="12"/>
  <c r="I102" i="12" s="1"/>
  <c r="J102" i="12" s="1"/>
  <c r="K102" i="12" s="1"/>
  <c r="M102" i="12" s="1"/>
  <c r="NB43" i="13"/>
  <c r="MP43" i="13"/>
  <c r="MQ43" i="13" s="1"/>
  <c r="FR43" i="13" s="1"/>
  <c r="MF49" i="13"/>
  <c r="MH49" i="13" s="1"/>
  <c r="OD13" i="13"/>
  <c r="OF13" i="13" s="1"/>
  <c r="FA13" i="13"/>
  <c r="FB13" i="13" s="1"/>
  <c r="AK13" i="13"/>
  <c r="IS91" i="13"/>
  <c r="IU91" i="13" s="1"/>
  <c r="IV91" i="13" s="1"/>
  <c r="ET91" i="13"/>
  <c r="MF204" i="13"/>
  <c r="MH204" i="13" s="1"/>
  <c r="FG152" i="13"/>
  <c r="FG184" i="13"/>
  <c r="FG80" i="13"/>
  <c r="FH80" i="13"/>
  <c r="FJ80" i="13" s="1"/>
  <c r="MF197" i="13"/>
  <c r="MH197" i="13" s="1"/>
  <c r="FF93" i="13"/>
  <c r="MF175" i="13"/>
  <c r="MH175" i="13" s="1"/>
  <c r="EV185" i="13"/>
  <c r="AE185" i="13"/>
  <c r="AD185" i="13" s="1"/>
  <c r="AJ120" i="13"/>
  <c r="AI120" i="13" s="1"/>
  <c r="MP153" i="13"/>
  <c r="MQ153" i="13" s="1"/>
  <c r="FR153" i="13" s="1"/>
  <c r="AK179" i="13"/>
  <c r="LY180" i="13"/>
  <c r="MA180" i="13" s="1"/>
  <c r="MB180" i="13" s="1"/>
  <c r="MK180" i="13" s="1"/>
  <c r="IZ202" i="13"/>
  <c r="FS202" i="13"/>
  <c r="FF49" i="13"/>
  <c r="IS179" i="13"/>
  <c r="IU179" i="13" s="1"/>
  <c r="IV179" i="13" s="1"/>
  <c r="ET179" i="13"/>
  <c r="MX143" i="13"/>
  <c r="MN143" i="13"/>
  <c r="MH155" i="13"/>
  <c r="MF155" i="13"/>
  <c r="FG167" i="13"/>
  <c r="EV187" i="13"/>
  <c r="AE187" i="13"/>
  <c r="AD187" i="13" s="1"/>
  <c r="LY99" i="13"/>
  <c r="MA99" i="13" s="1"/>
  <c r="MB99" i="13" s="1"/>
  <c r="MK99" i="13" s="1"/>
  <c r="AE142" i="13"/>
  <c r="AD142" i="13" s="1"/>
  <c r="EV142" i="13"/>
  <c r="FF87" i="13"/>
  <c r="AK155" i="13"/>
  <c r="ET203" i="13"/>
  <c r="IS203" i="13"/>
  <c r="IU203" i="13" s="1"/>
  <c r="IV203" i="13" s="1"/>
  <c r="FG186" i="13"/>
  <c r="MZ125" i="13"/>
  <c r="IK125" i="13"/>
  <c r="MF143" i="13"/>
  <c r="MH143" i="13" s="1"/>
  <c r="MI143" i="13" s="1"/>
  <c r="MM143" i="13" s="1"/>
  <c r="LY157" i="13"/>
  <c r="MA157" i="13" s="1"/>
  <c r="MB157" i="13" s="1"/>
  <c r="MK157" i="13" s="1"/>
  <c r="MF105" i="13"/>
  <c r="MH105" i="13" s="1"/>
  <c r="MI105" i="13" s="1"/>
  <c r="MM105" i="13" s="1"/>
  <c r="AJ141" i="13"/>
  <c r="AI141" i="13" s="1"/>
  <c r="IS200" i="13"/>
  <c r="IU200" i="13" s="1"/>
  <c r="IV200" i="13" s="1"/>
  <c r="ET200" i="13"/>
  <c r="AK187" i="13"/>
  <c r="MF16" i="13"/>
  <c r="MH16" i="13" s="1"/>
  <c r="LY18" i="13"/>
  <c r="MA18" i="13" s="1"/>
  <c r="MB18" i="13" s="1"/>
  <c r="MK18" i="13" s="1"/>
  <c r="FF45" i="13"/>
  <c r="FF73" i="13"/>
  <c r="EV88" i="13"/>
  <c r="AE88" i="13"/>
  <c r="AD88" i="13" s="1"/>
  <c r="FF61" i="13"/>
  <c r="MF56" i="13"/>
  <c r="MH56" i="13" s="1"/>
  <c r="LY68" i="13"/>
  <c r="MA68" i="13" s="1"/>
  <c r="MB68" i="13" s="1"/>
  <c r="MK68" i="13" s="1"/>
  <c r="FS84" i="13"/>
  <c r="IZ84" i="13"/>
  <c r="AK15" i="13"/>
  <c r="MF78" i="13"/>
  <c r="MH78" i="13" s="1"/>
  <c r="LY20" i="13"/>
  <c r="MA20" i="13" s="1"/>
  <c r="MB20" i="13" s="1"/>
  <c r="MK20" i="13" s="1"/>
  <c r="AK27" i="13"/>
  <c r="MF48" i="13"/>
  <c r="MH48" i="13" s="1"/>
  <c r="H88" i="12"/>
  <c r="I88" i="12" s="1"/>
  <c r="J88" i="12" s="1"/>
  <c r="K88" i="12" s="1"/>
  <c r="M88" i="12" s="1"/>
  <c r="EV13" i="13"/>
  <c r="AE13" i="13"/>
  <c r="AD13" i="13" s="1"/>
  <c r="IZ91" i="13"/>
  <c r="FS91" i="13"/>
  <c r="MF172" i="13"/>
  <c r="MH172" i="13" s="1"/>
  <c r="LY169" i="13"/>
  <c r="MA169" i="13" s="1"/>
  <c r="MB169" i="13" s="1"/>
  <c r="MK169" i="13" s="1"/>
  <c r="EV102" i="13"/>
  <c r="AE102" i="13"/>
  <c r="AD102" i="13" s="1"/>
  <c r="AE136" i="13"/>
  <c r="AD136" i="13" s="1"/>
  <c r="EV136" i="13"/>
  <c r="MF184" i="13"/>
  <c r="MH184" i="13" s="1"/>
  <c r="MN159" i="13"/>
  <c r="FD159" i="13" s="1"/>
  <c r="FE159" i="13" s="1"/>
  <c r="MX159" i="13"/>
  <c r="MX211" i="13"/>
  <c r="MN211" i="13"/>
  <c r="FD211" i="13" s="1"/>
  <c r="FE211" i="13" s="1"/>
  <c r="MN74" i="13"/>
  <c r="FD74" i="13" s="1"/>
  <c r="FE74" i="13" s="1"/>
  <c r="MX74" i="13"/>
  <c r="FH148" i="13"/>
  <c r="FJ148" i="13" s="1"/>
  <c r="FG148" i="13"/>
  <c r="MF152" i="13"/>
  <c r="MH152" i="13" s="1"/>
  <c r="ET202" i="13"/>
  <c r="IS202" i="13"/>
  <c r="IU202" i="13" s="1"/>
  <c r="IV202" i="13" s="1"/>
  <c r="AK120" i="13"/>
  <c r="EV132" i="13"/>
  <c r="AE132" i="13"/>
  <c r="AD132" i="13" s="1"/>
  <c r="LY203" i="13"/>
  <c r="MA203" i="13" s="1"/>
  <c r="MB203" i="13" s="1"/>
  <c r="MK203" i="13" s="1"/>
  <c r="MF147" i="13"/>
  <c r="MH147" i="13" s="1"/>
  <c r="MI147" i="13" s="1"/>
  <c r="MM147" i="13" s="1"/>
  <c r="MN197" i="13"/>
  <c r="FD197" i="13" s="1"/>
  <c r="FE197" i="13" s="1"/>
  <c r="MX197" i="13"/>
  <c r="LY78" i="13"/>
  <c r="MA78" i="13" s="1"/>
  <c r="MB78" i="13" s="1"/>
  <c r="MK78" i="13" s="1"/>
  <c r="FF196" i="13"/>
  <c r="FS203" i="13"/>
  <c r="IZ203" i="13"/>
  <c r="FG193" i="13"/>
  <c r="MF208" i="13"/>
  <c r="MH208" i="13" s="1"/>
  <c r="MI208" i="13" s="1"/>
  <c r="MM208" i="13" s="1"/>
  <c r="AJ137" i="13"/>
  <c r="AI137" i="13" s="1"/>
  <c r="AK96" i="13"/>
  <c r="MF109" i="13"/>
  <c r="MH109" i="13" s="1"/>
  <c r="MI109" i="13" s="1"/>
  <c r="MM109" i="13" s="1"/>
  <c r="AK146" i="13"/>
  <c r="EV167" i="13"/>
  <c r="AE167" i="13"/>
  <c r="AD167" i="13" s="1"/>
  <c r="FS200" i="13"/>
  <c r="IZ200" i="13"/>
  <c r="AK125" i="13"/>
  <c r="AK115" i="13"/>
  <c r="AK95" i="13"/>
  <c r="AK126" i="13"/>
  <c r="MX152" i="13"/>
  <c r="MN152" i="13"/>
  <c r="FD152" i="13" s="1"/>
  <c r="FE152" i="13" s="1"/>
  <c r="IZ24" i="13"/>
  <c r="FS24" i="13"/>
  <c r="OD22" i="13"/>
  <c r="OF22" i="13" s="1"/>
  <c r="OH22" i="13" s="1"/>
  <c r="FA22" i="13"/>
  <c r="FB22" i="13" s="1"/>
  <c r="MH46" i="13"/>
  <c r="MF46" i="13"/>
  <c r="FF23" i="13"/>
  <c r="AK22" i="13"/>
  <c r="MF91" i="13"/>
  <c r="MH91" i="13" s="1"/>
  <c r="LY27" i="13"/>
  <c r="MA27" i="13" s="1"/>
  <c r="MB27" i="13" s="1"/>
  <c r="MK27" i="13" s="1"/>
  <c r="EV29" i="13"/>
  <c r="AE29" i="13"/>
  <c r="AD29" i="13" s="1"/>
  <c r="H104" i="12"/>
  <c r="I104" i="12" s="1"/>
  <c r="J104" i="12" s="1"/>
  <c r="K104" i="12" s="1"/>
  <c r="M104" i="12" s="1"/>
  <c r="MP35" i="13"/>
  <c r="MQ35" i="13" s="1"/>
  <c r="FR35" i="13" s="1"/>
  <c r="NB35" i="13"/>
  <c r="FF67" i="13"/>
  <c r="FF91" i="13"/>
  <c r="FF29" i="13"/>
  <c r="EV111" i="13"/>
  <c r="AE111" i="13"/>
  <c r="AD111" i="13" s="1"/>
  <c r="EV168" i="13"/>
  <c r="AE168" i="13"/>
  <c r="AD168" i="13" s="1"/>
  <c r="MF203" i="13"/>
  <c r="MH203" i="13" s="1"/>
  <c r="MF121" i="13"/>
  <c r="MH121" i="13" s="1"/>
  <c r="MI121" i="13" s="1"/>
  <c r="MM121" i="13" s="1"/>
  <c r="MF115" i="13"/>
  <c r="MH115" i="13" s="1"/>
  <c r="MI115" i="13" s="1"/>
  <c r="MM115" i="13" s="1"/>
  <c r="MF153" i="13"/>
  <c r="MH153" i="13" s="1"/>
  <c r="FG180" i="13"/>
  <c r="LY136" i="13"/>
  <c r="MA136" i="13" s="1"/>
  <c r="MB136" i="13" s="1"/>
  <c r="MK136" i="13" s="1"/>
  <c r="MN154" i="13"/>
  <c r="FD154" i="13" s="1"/>
  <c r="FE154" i="13" s="1"/>
  <c r="MX154" i="13"/>
  <c r="MN193" i="13"/>
  <c r="FD193" i="13" s="1"/>
  <c r="FE193" i="13" s="1"/>
  <c r="MX193" i="13"/>
  <c r="FG159" i="13"/>
  <c r="MN92" i="13"/>
  <c r="FD92" i="13" s="1"/>
  <c r="MX92" i="13"/>
  <c r="MP198" i="13"/>
  <c r="MQ198" i="13" s="1"/>
  <c r="FR198" i="13" s="1"/>
  <c r="FF66" i="13"/>
  <c r="EV181" i="13"/>
  <c r="AE181" i="13"/>
  <c r="AD181" i="13" s="1"/>
  <c r="FG82" i="13"/>
  <c r="EV178" i="13"/>
  <c r="AE178" i="13"/>
  <c r="AD178" i="13" s="1"/>
  <c r="AJ147" i="13"/>
  <c r="AI147" i="13" s="1"/>
  <c r="MA187" i="13"/>
  <c r="MB187" i="13" s="1"/>
  <c r="MK187" i="13" s="1"/>
  <c r="LY187" i="13"/>
  <c r="EV166" i="13"/>
  <c r="AE166" i="13"/>
  <c r="AD166" i="13" s="1"/>
  <c r="MF154" i="13"/>
  <c r="MH154" i="13" s="1"/>
  <c r="EV108" i="13"/>
  <c r="AE108" i="13"/>
  <c r="AD108" i="13" s="1"/>
  <c r="MF124" i="13"/>
  <c r="MH124" i="13" s="1"/>
  <c r="MI124" i="13" s="1"/>
  <c r="MM124" i="13" s="1"/>
  <c r="AJ208" i="13"/>
  <c r="AI208" i="13" s="1"/>
  <c r="MF97" i="13"/>
  <c r="MH97" i="13" s="1"/>
  <c r="MF165" i="13"/>
  <c r="MH165" i="13" s="1"/>
  <c r="EV103" i="13"/>
  <c r="AE103" i="13"/>
  <c r="AD103" i="13" s="1"/>
  <c r="EV120" i="13"/>
  <c r="AE120" i="13"/>
  <c r="AD120" i="13" s="1"/>
  <c r="MN124" i="13"/>
  <c r="FD124" i="13" s="1"/>
  <c r="FE124" i="13" s="1"/>
  <c r="MX124" i="13"/>
  <c r="AK207" i="13"/>
  <c r="FD23" i="13" l="1"/>
  <c r="FE23" i="13" s="1"/>
  <c r="MP23" i="13"/>
  <c r="MQ23" i="13" s="1"/>
  <c r="FR23" i="13" s="1"/>
  <c r="MP98" i="13"/>
  <c r="MQ98" i="13" s="1"/>
  <c r="FR98" i="13" s="1"/>
  <c r="MX23" i="13"/>
  <c r="MP40" i="13"/>
  <c r="MQ40" i="13" s="1"/>
  <c r="FR40" i="13" s="1"/>
  <c r="FH174" i="13"/>
  <c r="FJ174" i="13" s="1"/>
  <c r="FH131" i="13"/>
  <c r="FJ131" i="13" s="1"/>
  <c r="FH98" i="13"/>
  <c r="FJ98" i="13" s="1"/>
  <c r="MP49" i="13"/>
  <c r="MQ49" i="13" s="1"/>
  <c r="FR49" i="13" s="1"/>
  <c r="MP173" i="13"/>
  <c r="MQ173" i="13" s="1"/>
  <c r="FR173" i="13" s="1"/>
  <c r="FH173" i="13"/>
  <c r="FJ173" i="13" s="1"/>
  <c r="FH41" i="13"/>
  <c r="FJ41" i="13" s="1"/>
  <c r="FH160" i="13"/>
  <c r="FJ160" i="13" s="1"/>
  <c r="FH200" i="13"/>
  <c r="FJ200" i="13" s="1"/>
  <c r="FP200" i="13" s="1"/>
  <c r="MP160" i="13"/>
  <c r="MQ160" i="13" s="1"/>
  <c r="FR160" i="13" s="1"/>
  <c r="MP213" i="13"/>
  <c r="MQ213" i="13" s="1"/>
  <c r="FR213" i="13" s="1"/>
  <c r="FT213" i="13" s="1"/>
  <c r="FU213" i="13" s="1"/>
  <c r="FW213" i="13" s="1"/>
  <c r="FX213" i="13" s="1"/>
  <c r="MN191" i="13"/>
  <c r="MX191" i="13"/>
  <c r="MO123" i="13"/>
  <c r="MY123" i="13"/>
  <c r="NA123" i="13" s="1"/>
  <c r="IM123" i="13"/>
  <c r="IN123" i="13" s="1"/>
  <c r="MN103" i="13"/>
  <c r="MX103" i="13"/>
  <c r="MN27" i="13"/>
  <c r="MX27" i="13"/>
  <c r="F5" i="141"/>
  <c r="MN104" i="13"/>
  <c r="MX104" i="13"/>
  <c r="MX133" i="13"/>
  <c r="MN133" i="13"/>
  <c r="MN111" i="13"/>
  <c r="MX111" i="13"/>
  <c r="MN69" i="13"/>
  <c r="MX69" i="13"/>
  <c r="MO115" i="13"/>
  <c r="MY115" i="13"/>
  <c r="NA115" i="13" s="1"/>
  <c r="IM115" i="13"/>
  <c r="IN115" i="13" s="1"/>
  <c r="MO116" i="13"/>
  <c r="MY116" i="13"/>
  <c r="NA116" i="13" s="1"/>
  <c r="IM116" i="13"/>
  <c r="IN116" i="13" s="1"/>
  <c r="MO117" i="13"/>
  <c r="FF117" i="13" s="1"/>
  <c r="MY117" i="13"/>
  <c r="NA117" i="13" s="1"/>
  <c r="IM117" i="13"/>
  <c r="IN117" i="13" s="1"/>
  <c r="MN15" i="13"/>
  <c r="MX15" i="13"/>
  <c r="MN126" i="13"/>
  <c r="MX126" i="13"/>
  <c r="MO121" i="13"/>
  <c r="MY121" i="13"/>
  <c r="NA121" i="13" s="1"/>
  <c r="IM121" i="13"/>
  <c r="IN121" i="13" s="1"/>
  <c r="MX203" i="13"/>
  <c r="MN203" i="13"/>
  <c r="FD203" i="13" s="1"/>
  <c r="FE203" i="13" s="1"/>
  <c r="MX99" i="13"/>
  <c r="MN99" i="13"/>
  <c r="MY141" i="13"/>
  <c r="MO141" i="13"/>
  <c r="FF141" i="13" s="1"/>
  <c r="NA141" i="13"/>
  <c r="IM141" i="13"/>
  <c r="IN141" i="13" s="1"/>
  <c r="MN70" i="13"/>
  <c r="MX70" i="13"/>
  <c r="MX83" i="13"/>
  <c r="MN83" i="13"/>
  <c r="MX180" i="13"/>
  <c r="MN180" i="13"/>
  <c r="MN77" i="13"/>
  <c r="MX77" i="13"/>
  <c r="MX55" i="13"/>
  <c r="MN55" i="13"/>
  <c r="MN46" i="13"/>
  <c r="MX46" i="13"/>
  <c r="MX134" i="13"/>
  <c r="MN134" i="13"/>
  <c r="MX22" i="13"/>
  <c r="MN22" i="13"/>
  <c r="MN61" i="13"/>
  <c r="MX61" i="13"/>
  <c r="MY142" i="13"/>
  <c r="NA142" i="13" s="1"/>
  <c r="MO142" i="13"/>
  <c r="FF142" i="13" s="1"/>
  <c r="IM142" i="13"/>
  <c r="IN142" i="13" s="1"/>
  <c r="MO106" i="13"/>
  <c r="MY106" i="13"/>
  <c r="NA106" i="13" s="1"/>
  <c r="IM106" i="13"/>
  <c r="IN106" i="13" s="1"/>
  <c r="MN108" i="13"/>
  <c r="MX108" i="13"/>
  <c r="MO125" i="13"/>
  <c r="MY125" i="13"/>
  <c r="NA125" i="13" s="1"/>
  <c r="NB125" i="13" s="1"/>
  <c r="IM125" i="13"/>
  <c r="IN125" i="13" s="1"/>
  <c r="MY109" i="13"/>
  <c r="NA109" i="13" s="1"/>
  <c r="MO109" i="13"/>
  <c r="FF109" i="13" s="1"/>
  <c r="IM109" i="13"/>
  <c r="IN109" i="13" s="1"/>
  <c r="MX183" i="13"/>
  <c r="MN183" i="13"/>
  <c r="MN17" i="13"/>
  <c r="MX17" i="13"/>
  <c r="MX190" i="13"/>
  <c r="MN190" i="13"/>
  <c r="MX169" i="13"/>
  <c r="MN169" i="13"/>
  <c r="MN157" i="13"/>
  <c r="FD157" i="13" s="1"/>
  <c r="FE157" i="13" s="1"/>
  <c r="MX157" i="13"/>
  <c r="MN202" i="13"/>
  <c r="FD202" i="13" s="1"/>
  <c r="MX202" i="13"/>
  <c r="MY118" i="13"/>
  <c r="NA118" i="13" s="1"/>
  <c r="MO118" i="13"/>
  <c r="IM118" i="13"/>
  <c r="IN118" i="13" s="1"/>
  <c r="MX196" i="13"/>
  <c r="MN196" i="13"/>
  <c r="FD196" i="13" s="1"/>
  <c r="FE196" i="13" s="1"/>
  <c r="MN68" i="13"/>
  <c r="MX68" i="13"/>
  <c r="MX132" i="13"/>
  <c r="MN132" i="13"/>
  <c r="MO208" i="13"/>
  <c r="FF208" i="13" s="1"/>
  <c r="MY208" i="13"/>
  <c r="NA208" i="13" s="1"/>
  <c r="IM208" i="13"/>
  <c r="IN208" i="13" s="1"/>
  <c r="MX186" i="13"/>
  <c r="MN186" i="13"/>
  <c r="MN208" i="13"/>
  <c r="FD208" i="13" s="1"/>
  <c r="FE208" i="13" s="1"/>
  <c r="MX208" i="13"/>
  <c r="MN13" i="13"/>
  <c r="MX13" i="13"/>
  <c r="MX188" i="13"/>
  <c r="MN188" i="13"/>
  <c r="MX138" i="13"/>
  <c r="MN138" i="13"/>
  <c r="FD138" i="13" s="1"/>
  <c r="FE138" i="13" s="1"/>
  <c r="MY133" i="13"/>
  <c r="NA133" i="13" s="1"/>
  <c r="MO133" i="13"/>
  <c r="FF133" i="13" s="1"/>
  <c r="IM133" i="13"/>
  <c r="IN133" i="13" s="1"/>
  <c r="MX150" i="13"/>
  <c r="MN150" i="13"/>
  <c r="MY128" i="13"/>
  <c r="NA128" i="13" s="1"/>
  <c r="MO128" i="13"/>
  <c r="FF128" i="13" s="1"/>
  <c r="IM128" i="13"/>
  <c r="IN128" i="13" s="1"/>
  <c r="MO113" i="13"/>
  <c r="MY113" i="13"/>
  <c r="NA113" i="13" s="1"/>
  <c r="IM113" i="13"/>
  <c r="IN113" i="13" s="1"/>
  <c r="MX101" i="13"/>
  <c r="MN101" i="13"/>
  <c r="MO135" i="13"/>
  <c r="MY135" i="13"/>
  <c r="NA135" i="13" s="1"/>
  <c r="IM135" i="13"/>
  <c r="IN135" i="13" s="1"/>
  <c r="MN156" i="13"/>
  <c r="FD156" i="13" s="1"/>
  <c r="FE156" i="13" s="1"/>
  <c r="MX156" i="13"/>
  <c r="MN136" i="13"/>
  <c r="MX136" i="13"/>
  <c r="MX78" i="13"/>
  <c r="MN78" i="13"/>
  <c r="MO112" i="13"/>
  <c r="MY112" i="13"/>
  <c r="NA112" i="13" s="1"/>
  <c r="IM112" i="13"/>
  <c r="IN112" i="13" s="1"/>
  <c r="MN120" i="13"/>
  <c r="MX120" i="13"/>
  <c r="MN166" i="13"/>
  <c r="MX166" i="13"/>
  <c r="MN18" i="13"/>
  <c r="MX18" i="13"/>
  <c r="MX146" i="13"/>
  <c r="MN146" i="13"/>
  <c r="MX102" i="13"/>
  <c r="MN102" i="13"/>
  <c r="MN142" i="13"/>
  <c r="MX142" i="13"/>
  <c r="MO124" i="13"/>
  <c r="FF124" i="13" s="1"/>
  <c r="MY124" i="13"/>
  <c r="NA124" i="13" s="1"/>
  <c r="IM124" i="13"/>
  <c r="IN124" i="13" s="1"/>
  <c r="MZ92" i="13"/>
  <c r="IK92" i="13"/>
  <c r="FH91" i="13"/>
  <c r="FJ91" i="13" s="1"/>
  <c r="FG91" i="13"/>
  <c r="MZ159" i="13"/>
  <c r="IK159" i="13"/>
  <c r="FH73" i="13"/>
  <c r="FJ73" i="13" s="1"/>
  <c r="FG73" i="13"/>
  <c r="MO105" i="13"/>
  <c r="FF105" i="13" s="1"/>
  <c r="MY105" i="13"/>
  <c r="NA105" i="13" s="1"/>
  <c r="IM105" i="13"/>
  <c r="IN105" i="13" s="1"/>
  <c r="MZ143" i="13"/>
  <c r="IK143" i="13"/>
  <c r="NC43" i="13"/>
  <c r="IY43" i="13"/>
  <c r="FT93" i="13"/>
  <c r="FU93" i="13" s="1"/>
  <c r="FW93" i="13" s="1"/>
  <c r="FX93" i="13" s="1"/>
  <c r="FT71" i="13"/>
  <c r="FU71" i="13" s="1"/>
  <c r="FW71" i="13" s="1"/>
  <c r="FX71" i="13" s="1"/>
  <c r="MR71" i="13"/>
  <c r="MS71" i="13" s="1"/>
  <c r="FG100" i="13"/>
  <c r="MN16" i="13"/>
  <c r="MX16" i="13"/>
  <c r="R5" i="141"/>
  <c r="FF104" i="13"/>
  <c r="MX144" i="13"/>
  <c r="MN144" i="13"/>
  <c r="FP160" i="13"/>
  <c r="FK160" i="13"/>
  <c r="FQ160" i="13" s="1"/>
  <c r="MX170" i="13"/>
  <c r="MN170" i="13"/>
  <c r="MP74" i="13"/>
  <c r="MQ74" i="13" s="1"/>
  <c r="FR74" i="13" s="1"/>
  <c r="MX199" i="13"/>
  <c r="MN199" i="13"/>
  <c r="FP158" i="13"/>
  <c r="FK158" i="13"/>
  <c r="FQ158" i="13" s="1"/>
  <c r="IW35" i="13"/>
  <c r="IR35" i="13"/>
  <c r="IX35" i="13" s="1"/>
  <c r="MO210" i="13"/>
  <c r="FF210" i="13" s="1"/>
  <c r="NA210" i="13"/>
  <c r="MY210" i="13"/>
  <c r="IM210" i="13"/>
  <c r="IN210" i="13" s="1"/>
  <c r="FG76" i="13"/>
  <c r="FG130" i="13"/>
  <c r="MY137" i="13"/>
  <c r="NA137" i="13" s="1"/>
  <c r="MO137" i="13"/>
  <c r="FF137" i="13" s="1"/>
  <c r="IM137" i="13"/>
  <c r="IN137" i="13" s="1"/>
  <c r="FG119" i="13"/>
  <c r="MP131" i="13"/>
  <c r="MQ131" i="13" s="1"/>
  <c r="FR131" i="13" s="1"/>
  <c r="MZ25" i="13"/>
  <c r="IK25" i="13"/>
  <c r="MZ75" i="13"/>
  <c r="IO75" i="13" s="1"/>
  <c r="IQ75" i="13" s="1"/>
  <c r="IK75" i="13"/>
  <c r="MZ115" i="13"/>
  <c r="IK115" i="13"/>
  <c r="MZ176" i="13"/>
  <c r="IK176" i="13"/>
  <c r="MZ51" i="13"/>
  <c r="IO51" i="13" s="1"/>
  <c r="IQ51" i="13" s="1"/>
  <c r="IK51" i="13"/>
  <c r="MZ165" i="13"/>
  <c r="IK165" i="13"/>
  <c r="FD137" i="13"/>
  <c r="FE137" i="13" s="1"/>
  <c r="FE92" i="13"/>
  <c r="FH92" i="13"/>
  <c r="FJ92" i="13" s="1"/>
  <c r="FH67" i="13"/>
  <c r="FJ67" i="13" s="1"/>
  <c r="FG67" i="13"/>
  <c r="FG45" i="13"/>
  <c r="FH87" i="13"/>
  <c r="FJ87" i="13" s="1"/>
  <c r="FG87" i="13"/>
  <c r="MP157" i="13"/>
  <c r="MQ157" i="13" s="1"/>
  <c r="FR157" i="13" s="1"/>
  <c r="MR23" i="13"/>
  <c r="MS23" i="13" s="1"/>
  <c r="FT23" i="13"/>
  <c r="FU23" i="13" s="1"/>
  <c r="FW23" i="13" s="1"/>
  <c r="FX23" i="13" s="1"/>
  <c r="MZ155" i="13"/>
  <c r="IO155" i="13" s="1"/>
  <c r="IQ155" i="13" s="1"/>
  <c r="IK155" i="13"/>
  <c r="FT65" i="13"/>
  <c r="FU65" i="13" s="1"/>
  <c r="FW65" i="13" s="1"/>
  <c r="FX65" i="13" s="1"/>
  <c r="FG187" i="13"/>
  <c r="MX30" i="13"/>
  <c r="MN30" i="13"/>
  <c r="MO102" i="13"/>
  <c r="FF102" i="13" s="1"/>
  <c r="MY102" i="13"/>
  <c r="NA102" i="13" s="1"/>
  <c r="IM102" i="13"/>
  <c r="IN102" i="13" s="1"/>
  <c r="FH154" i="13"/>
  <c r="FJ154" i="13" s="1"/>
  <c r="IL43" i="13"/>
  <c r="IG43" i="13"/>
  <c r="II43" i="13" s="1"/>
  <c r="IJ43" i="13" s="1"/>
  <c r="MZ113" i="13"/>
  <c r="IK113" i="13"/>
  <c r="MZ98" i="13"/>
  <c r="IK98" i="13"/>
  <c r="MF76" i="13"/>
  <c r="MH76" i="13"/>
  <c r="FG62" i="13"/>
  <c r="FT40" i="13"/>
  <c r="FU40" i="13" s="1"/>
  <c r="FW40" i="13" s="1"/>
  <c r="FX40" i="13" s="1"/>
  <c r="MZ172" i="13"/>
  <c r="IK172" i="13"/>
  <c r="MZ153" i="13"/>
  <c r="IK153" i="13"/>
  <c r="MZ58" i="13"/>
  <c r="IK58" i="13"/>
  <c r="MZ57" i="13"/>
  <c r="IK57" i="13"/>
  <c r="MZ137" i="13"/>
  <c r="IK137" i="13"/>
  <c r="NC35" i="13"/>
  <c r="IY35" i="13"/>
  <c r="FP52" i="13"/>
  <c r="FK52" i="13"/>
  <c r="FQ52" i="13" s="1"/>
  <c r="MY136" i="13"/>
  <c r="NA136" i="13" s="1"/>
  <c r="MO136" i="13"/>
  <c r="FF136" i="13" s="1"/>
  <c r="IM136" i="13"/>
  <c r="IN136" i="13" s="1"/>
  <c r="MP92" i="13"/>
  <c r="MQ92" i="13" s="1"/>
  <c r="FR92" i="13" s="1"/>
  <c r="MZ41" i="13"/>
  <c r="IK41" i="13"/>
  <c r="MF187" i="13"/>
  <c r="MH187" i="13" s="1"/>
  <c r="FH171" i="13"/>
  <c r="FJ171" i="13" s="1"/>
  <c r="FG171" i="13"/>
  <c r="IR43" i="13"/>
  <c r="IX43" i="13" s="1"/>
  <c r="IW43" i="13"/>
  <c r="MX109" i="13"/>
  <c r="MN109" i="13"/>
  <c r="FG69" i="13"/>
  <c r="FT48" i="13"/>
  <c r="FU48" i="13" s="1"/>
  <c r="FW48" i="13" s="1"/>
  <c r="FX48" i="13" s="1"/>
  <c r="MR48" i="13"/>
  <c r="MS48" i="13" s="1"/>
  <c r="FG169" i="13"/>
  <c r="MN117" i="13"/>
  <c r="MX117" i="13"/>
  <c r="AP6" i="13"/>
  <c r="FG28" i="13"/>
  <c r="FT80" i="13"/>
  <c r="FU80" i="13" s="1"/>
  <c r="FW80" i="13" s="1"/>
  <c r="FX80" i="13" s="1"/>
  <c r="MZ160" i="13"/>
  <c r="IK160" i="13"/>
  <c r="MZ173" i="13"/>
  <c r="IK173" i="13"/>
  <c r="MZ48" i="13"/>
  <c r="IK48" i="13"/>
  <c r="FD189" i="13"/>
  <c r="MP189" i="13"/>
  <c r="MQ189" i="13" s="1"/>
  <c r="FR189" i="13" s="1"/>
  <c r="MZ121" i="13"/>
  <c r="IK121" i="13"/>
  <c r="FD85" i="13"/>
  <c r="FE85" i="13" s="1"/>
  <c r="MP85" i="13"/>
  <c r="MQ85" i="13" s="1"/>
  <c r="FR85" i="13" s="1"/>
  <c r="MZ33" i="13"/>
  <c r="IK33" i="13"/>
  <c r="MZ164" i="13"/>
  <c r="IK164" i="13"/>
  <c r="MZ72" i="13"/>
  <c r="IK72" i="13"/>
  <c r="FH159" i="13"/>
  <c r="FJ159" i="13" s="1"/>
  <c r="MR35" i="13"/>
  <c r="MS35" i="13" s="1"/>
  <c r="FT35" i="13"/>
  <c r="FU35" i="13" s="1"/>
  <c r="FW35" i="13" s="1"/>
  <c r="FX35" i="13" s="1"/>
  <c r="MO143" i="13"/>
  <c r="FF143" i="13" s="1"/>
  <c r="MY143" i="13"/>
  <c r="NA143" i="13" s="1"/>
  <c r="IM143" i="13"/>
  <c r="IN143" i="13" s="1"/>
  <c r="FG146" i="13"/>
  <c r="MP84" i="13"/>
  <c r="MQ84" i="13" s="1"/>
  <c r="FR84" i="13" s="1"/>
  <c r="MO127" i="13"/>
  <c r="FF127" i="13" s="1"/>
  <c r="MY127" i="13"/>
  <c r="NA127" i="13" s="1"/>
  <c r="NB127" i="13" s="1"/>
  <c r="IM127" i="13"/>
  <c r="IN127" i="13" s="1"/>
  <c r="FT49" i="13"/>
  <c r="FU49" i="13" s="1"/>
  <c r="FW49" i="13" s="1"/>
  <c r="FX49" i="13" s="1"/>
  <c r="MZ198" i="13"/>
  <c r="IK198" i="13"/>
  <c r="MR192" i="13"/>
  <c r="MS192" i="13" s="1"/>
  <c r="FT192" i="13"/>
  <c r="FU192" i="13" s="1"/>
  <c r="FW192" i="13" s="1"/>
  <c r="FX192" i="13" s="1"/>
  <c r="MP155" i="13"/>
  <c r="MQ155" i="13" s="1"/>
  <c r="FR155" i="13" s="1"/>
  <c r="NB155" i="13"/>
  <c r="MO212" i="13"/>
  <c r="MY212" i="13"/>
  <c r="NA212" i="13" s="1"/>
  <c r="IM212" i="13"/>
  <c r="IN212" i="13" s="1"/>
  <c r="FH32" i="13"/>
  <c r="FJ32" i="13" s="1"/>
  <c r="FG32" i="13"/>
  <c r="FG140" i="13"/>
  <c r="MN62" i="13"/>
  <c r="MX62" i="13"/>
  <c r="FG108" i="13"/>
  <c r="FH50" i="13"/>
  <c r="FJ50" i="13" s="1"/>
  <c r="FG50" i="13"/>
  <c r="MX168" i="13"/>
  <c r="MN168" i="13"/>
  <c r="FT73" i="13"/>
  <c r="FU73" i="13" s="1"/>
  <c r="FW73" i="13" s="1"/>
  <c r="FX73" i="13" s="1"/>
  <c r="MX56" i="13"/>
  <c r="MN56" i="13"/>
  <c r="FP71" i="13"/>
  <c r="FK71" i="13"/>
  <c r="FQ71" i="13" s="1"/>
  <c r="FT176" i="13"/>
  <c r="FU176" i="13" s="1"/>
  <c r="FW176" i="13" s="1"/>
  <c r="FX176" i="13" s="1"/>
  <c r="MP54" i="13"/>
  <c r="MQ54" i="13" s="1"/>
  <c r="FR54" i="13" s="1"/>
  <c r="FH145" i="13"/>
  <c r="FJ145" i="13" s="1"/>
  <c r="FG145" i="13"/>
  <c r="MZ93" i="13"/>
  <c r="IK93" i="13"/>
  <c r="MZ189" i="13"/>
  <c r="IK189" i="13"/>
  <c r="MZ85" i="13"/>
  <c r="IK85" i="13"/>
  <c r="FG144" i="13"/>
  <c r="MZ193" i="13"/>
  <c r="IK193" i="13"/>
  <c r="MP202" i="13"/>
  <c r="MQ202" i="13" s="1"/>
  <c r="FR202" i="13" s="1"/>
  <c r="FH65" i="13"/>
  <c r="FJ65" i="13" s="1"/>
  <c r="FG65" i="13"/>
  <c r="FH38" i="13"/>
  <c r="FJ38" i="13" s="1"/>
  <c r="FG38" i="13"/>
  <c r="MP211" i="13"/>
  <c r="MQ211" i="13" s="1"/>
  <c r="FR211" i="13" s="1"/>
  <c r="MP41" i="13"/>
  <c r="MQ41" i="13" s="1"/>
  <c r="FR41" i="13" s="1"/>
  <c r="FH172" i="13"/>
  <c r="FJ172" i="13" s="1"/>
  <c r="FG172" i="13"/>
  <c r="FH36" i="13"/>
  <c r="FJ36" i="13" s="1"/>
  <c r="FG36" i="13"/>
  <c r="FP43" i="13"/>
  <c r="FK43" i="13"/>
  <c r="FQ43" i="13" s="1"/>
  <c r="MX100" i="13"/>
  <c r="MN100" i="13"/>
  <c r="FP34" i="13"/>
  <c r="FK34" i="13"/>
  <c r="MP162" i="13"/>
  <c r="MQ162" i="13" s="1"/>
  <c r="FR162" i="13" s="1"/>
  <c r="FH164" i="13"/>
  <c r="FJ164" i="13" s="1"/>
  <c r="FG164" i="13"/>
  <c r="FG203" i="13"/>
  <c r="FH203" i="13"/>
  <c r="FJ203" i="13" s="1"/>
  <c r="MP87" i="13"/>
  <c r="MQ87" i="13" s="1"/>
  <c r="FR87" i="13" s="1"/>
  <c r="MN107" i="13"/>
  <c r="MX107" i="13"/>
  <c r="FT63" i="13"/>
  <c r="FU63" i="13" s="1"/>
  <c r="FW63" i="13" s="1"/>
  <c r="FX63" i="13" s="1"/>
  <c r="FT59" i="13"/>
  <c r="FU59" i="13" s="1"/>
  <c r="FW59" i="13" s="1"/>
  <c r="FX59" i="13" s="1"/>
  <c r="MZ38" i="13"/>
  <c r="IK38" i="13"/>
  <c r="MZ127" i="13"/>
  <c r="IO127" i="13" s="1"/>
  <c r="IQ127" i="13" s="1"/>
  <c r="IK127" i="13"/>
  <c r="MZ135" i="13"/>
  <c r="IK135" i="13"/>
  <c r="MZ123" i="13"/>
  <c r="IK123" i="13"/>
  <c r="MZ53" i="13"/>
  <c r="IK53" i="13"/>
  <c r="MZ214" i="13"/>
  <c r="IK214" i="13"/>
  <c r="MZ66" i="13"/>
  <c r="IK66" i="13"/>
  <c r="FH66" i="13"/>
  <c r="FJ66" i="13" s="1"/>
  <c r="FG66" i="13"/>
  <c r="IL125" i="13"/>
  <c r="IG125" i="13"/>
  <c r="II125" i="13" s="1"/>
  <c r="IJ125" i="13" s="1"/>
  <c r="FH93" i="13"/>
  <c r="FJ93" i="13" s="1"/>
  <c r="FG93" i="13"/>
  <c r="MF65" i="13"/>
  <c r="MH65" i="13" s="1"/>
  <c r="MX96" i="13"/>
  <c r="MN96" i="13"/>
  <c r="MP182" i="13"/>
  <c r="MQ182" i="13" s="1"/>
  <c r="FR182" i="13" s="1"/>
  <c r="FK200" i="13"/>
  <c r="FP26" i="13"/>
  <c r="FK26" i="13"/>
  <c r="FQ26" i="13" s="1"/>
  <c r="FT148" i="13"/>
  <c r="FU148" i="13" s="1"/>
  <c r="FW148" i="13" s="1"/>
  <c r="FX148" i="13" s="1"/>
  <c r="MZ89" i="13"/>
  <c r="IK89" i="13"/>
  <c r="FT66" i="13"/>
  <c r="FU66" i="13" s="1"/>
  <c r="FW66" i="13" s="1"/>
  <c r="FX66" i="13" s="1"/>
  <c r="FG55" i="13"/>
  <c r="FT195" i="13"/>
  <c r="FU195" i="13" s="1"/>
  <c r="FW195" i="13" s="1"/>
  <c r="FX195" i="13" s="1"/>
  <c r="FG46" i="13"/>
  <c r="MR33" i="13"/>
  <c r="MS33" i="13" s="1"/>
  <c r="FT33" i="13"/>
  <c r="FU33" i="13" s="1"/>
  <c r="FW33" i="13" s="1"/>
  <c r="FX33" i="13" s="1"/>
  <c r="FP42" i="13"/>
  <c r="FK42" i="13"/>
  <c r="FQ42" i="13" s="1"/>
  <c r="MP124" i="13"/>
  <c r="MQ124" i="13" s="1"/>
  <c r="FR124" i="13" s="1"/>
  <c r="FG190" i="13"/>
  <c r="FT64" i="13"/>
  <c r="FU64" i="13" s="1"/>
  <c r="FW64" i="13" s="1"/>
  <c r="FX64" i="13" s="1"/>
  <c r="FT160" i="13"/>
  <c r="FU160" i="13" s="1"/>
  <c r="FW160" i="13" s="1"/>
  <c r="FX160" i="13" s="1"/>
  <c r="MZ50" i="13"/>
  <c r="IK50" i="13"/>
  <c r="MP156" i="13"/>
  <c r="MQ156" i="13" s="1"/>
  <c r="FR156" i="13" s="1"/>
  <c r="MP24" i="13"/>
  <c r="MQ24" i="13" s="1"/>
  <c r="FR24" i="13" s="1"/>
  <c r="MZ19" i="13"/>
  <c r="IO19" i="13" s="1"/>
  <c r="IQ19" i="13" s="1"/>
  <c r="IK19" i="13"/>
  <c r="MZ145" i="13"/>
  <c r="IK145" i="13"/>
  <c r="MZ154" i="13"/>
  <c r="IK154" i="13"/>
  <c r="IO125" i="13"/>
  <c r="IQ125" i="13" s="1"/>
  <c r="FH49" i="13"/>
  <c r="FJ49" i="13" s="1"/>
  <c r="FG49" i="13"/>
  <c r="MZ171" i="13"/>
  <c r="IK171" i="13"/>
  <c r="MR26" i="13"/>
  <c r="MS26" i="13" s="1"/>
  <c r="FT26" i="13"/>
  <c r="FU26" i="13" s="1"/>
  <c r="FW26" i="13" s="1"/>
  <c r="FX26" i="13" s="1"/>
  <c r="FH53" i="13"/>
  <c r="FJ53" i="13" s="1"/>
  <c r="FG53" i="13"/>
  <c r="FD89" i="13"/>
  <c r="MP89" i="13"/>
  <c r="MQ89" i="13" s="1"/>
  <c r="FR89" i="13" s="1"/>
  <c r="MZ131" i="13"/>
  <c r="IK131" i="13"/>
  <c r="FG94" i="13"/>
  <c r="MZ141" i="13"/>
  <c r="IK141" i="13"/>
  <c r="MP128" i="13"/>
  <c r="MQ128" i="13" s="1"/>
  <c r="FR128" i="13" s="1"/>
  <c r="FG85" i="13"/>
  <c r="FH206" i="13"/>
  <c r="FJ206" i="13" s="1"/>
  <c r="FG206" i="13"/>
  <c r="FH157" i="13"/>
  <c r="FJ157" i="13" s="1"/>
  <c r="FG157" i="13"/>
  <c r="FG111" i="13"/>
  <c r="FH31" i="13"/>
  <c r="FJ31" i="13" s="1"/>
  <c r="FG31" i="13"/>
  <c r="MZ65" i="13"/>
  <c r="IK65" i="13"/>
  <c r="MZ158" i="13"/>
  <c r="IK158" i="13"/>
  <c r="MZ49" i="13"/>
  <c r="IK49" i="13"/>
  <c r="MZ87" i="13"/>
  <c r="IO87" i="13" s="1"/>
  <c r="IQ87" i="13" s="1"/>
  <c r="IK87" i="13"/>
  <c r="MZ116" i="13"/>
  <c r="IK116" i="13"/>
  <c r="MZ36" i="13"/>
  <c r="IO36" i="13" s="1"/>
  <c r="IQ36" i="13" s="1"/>
  <c r="IK36" i="13"/>
  <c r="MZ128" i="13"/>
  <c r="IO128" i="13" s="1"/>
  <c r="IQ128" i="13" s="1"/>
  <c r="IK128" i="13"/>
  <c r="MZ105" i="13"/>
  <c r="IO105" i="13" s="1"/>
  <c r="IQ105" i="13" s="1"/>
  <c r="IK105" i="13"/>
  <c r="MX44" i="13"/>
  <c r="MN44" i="13"/>
  <c r="FT58" i="13"/>
  <c r="FU58" i="13" s="1"/>
  <c r="FW58" i="13" s="1"/>
  <c r="FX58" i="13" s="1"/>
  <c r="NA120" i="13"/>
  <c r="MY120" i="13"/>
  <c r="MO120" i="13"/>
  <c r="FF120" i="13" s="1"/>
  <c r="IM120" i="13"/>
  <c r="IN120" i="13" s="1"/>
  <c r="MX209" i="13"/>
  <c r="MN209" i="13"/>
  <c r="FH72" i="13"/>
  <c r="FJ72" i="13" s="1"/>
  <c r="FG72" i="13"/>
  <c r="MO134" i="13"/>
  <c r="FF134" i="13" s="1"/>
  <c r="MY134" i="13"/>
  <c r="NA134" i="13" s="1"/>
  <c r="IM134" i="13"/>
  <c r="IN134" i="13" s="1"/>
  <c r="FP98" i="13"/>
  <c r="FK98" i="13"/>
  <c r="FQ98" i="13" s="1"/>
  <c r="FP174" i="13"/>
  <c r="FK174" i="13"/>
  <c r="FQ174" i="13" s="1"/>
  <c r="FP48" i="13"/>
  <c r="FK48" i="13"/>
  <c r="FQ48" i="13" s="1"/>
  <c r="MN14" i="13"/>
  <c r="MX14" i="13"/>
  <c r="MP32" i="13"/>
  <c r="MQ32" i="13" s="1"/>
  <c r="FR32" i="13" s="1"/>
  <c r="FH165" i="13"/>
  <c r="FJ165" i="13" s="1"/>
  <c r="FG165" i="13"/>
  <c r="MN97" i="13"/>
  <c r="MX97" i="13"/>
  <c r="FG12" i="13"/>
  <c r="FG170" i="13"/>
  <c r="MR21" i="13"/>
  <c r="MS21" i="13" s="1"/>
  <c r="FT21" i="13"/>
  <c r="FU21" i="13" s="1"/>
  <c r="FW21" i="13" s="1"/>
  <c r="FX21" i="13" s="1"/>
  <c r="MX79" i="13"/>
  <c r="MN79" i="13"/>
  <c r="MN206" i="13"/>
  <c r="FD206" i="13" s="1"/>
  <c r="FE206" i="13" s="1"/>
  <c r="MX206" i="13"/>
  <c r="FG86" i="13"/>
  <c r="MF206" i="13"/>
  <c r="MH206" i="13" s="1"/>
  <c r="FT165" i="13"/>
  <c r="FU165" i="13" s="1"/>
  <c r="FW165" i="13" s="1"/>
  <c r="FX165" i="13" s="1"/>
  <c r="MR194" i="13"/>
  <c r="MS194" i="13" s="1"/>
  <c r="FT194" i="13"/>
  <c r="FU194" i="13" s="1"/>
  <c r="FW194" i="13" s="1"/>
  <c r="FX194" i="13" s="1"/>
  <c r="FT72" i="13"/>
  <c r="FU72" i="13" s="1"/>
  <c r="FW72" i="13" s="1"/>
  <c r="FX72" i="13" s="1"/>
  <c r="MP197" i="13"/>
  <c r="MQ197" i="13" s="1"/>
  <c r="FR197" i="13" s="1"/>
  <c r="MX130" i="13"/>
  <c r="MN130" i="13"/>
  <c r="IL147" i="13"/>
  <c r="MF31" i="13"/>
  <c r="MH31" i="13" s="1"/>
  <c r="FH211" i="13"/>
  <c r="FJ211" i="13" s="1"/>
  <c r="FG211" i="13"/>
  <c r="FH213" i="13"/>
  <c r="FJ213" i="13" s="1"/>
  <c r="FG213" i="13"/>
  <c r="MZ21" i="13"/>
  <c r="IK21" i="13"/>
  <c r="MZ152" i="13"/>
  <c r="IO152" i="13" s="1"/>
  <c r="IQ152" i="13" s="1"/>
  <c r="IK152" i="13"/>
  <c r="FP148" i="13"/>
  <c r="FK148" i="13"/>
  <c r="FQ148" i="13" s="1"/>
  <c r="FP80" i="13"/>
  <c r="FK80" i="13"/>
  <c r="FQ80" i="13" s="1"/>
  <c r="MP91" i="13"/>
  <c r="MQ91" i="13" s="1"/>
  <c r="FR91" i="13" s="1"/>
  <c r="FP41" i="13"/>
  <c r="FK41" i="13"/>
  <c r="FQ41" i="13" s="1"/>
  <c r="MZ162" i="13"/>
  <c r="IK162" i="13"/>
  <c r="MP152" i="13"/>
  <c r="MQ152" i="13" s="1"/>
  <c r="FR152" i="13" s="1"/>
  <c r="FP19" i="13"/>
  <c r="FK19" i="13"/>
  <c r="FQ19" i="13" s="1"/>
  <c r="MN119" i="13"/>
  <c r="MX119" i="13"/>
  <c r="MN205" i="13"/>
  <c r="MX205" i="13"/>
  <c r="MY138" i="13"/>
  <c r="NA138" i="13" s="1"/>
  <c r="MO138" i="13"/>
  <c r="FF138" i="13" s="1"/>
  <c r="IM138" i="13"/>
  <c r="IN138" i="13" s="1"/>
  <c r="MP206" i="13"/>
  <c r="MQ206" i="13" s="1"/>
  <c r="FR206" i="13" s="1"/>
  <c r="MO122" i="13"/>
  <c r="NA122" i="13"/>
  <c r="MY122" i="13"/>
  <c r="IM122" i="13"/>
  <c r="IN122" i="13" s="1"/>
  <c r="MR53" i="13"/>
  <c r="MS53" i="13" s="1"/>
  <c r="FT53" i="13"/>
  <c r="FU53" i="13" s="1"/>
  <c r="FW53" i="13" s="1"/>
  <c r="FX53" i="13" s="1"/>
  <c r="MZ210" i="13"/>
  <c r="IO210" i="13" s="1"/>
  <c r="IQ210" i="13" s="1"/>
  <c r="IK210" i="13"/>
  <c r="MO207" i="13"/>
  <c r="MY207" i="13"/>
  <c r="NA207" i="13" s="1"/>
  <c r="IM207" i="13"/>
  <c r="IN207" i="13" s="1"/>
  <c r="MN88" i="13"/>
  <c r="MX88" i="13"/>
  <c r="FT31" i="13"/>
  <c r="FU31" i="13" s="1"/>
  <c r="FW31" i="13" s="1"/>
  <c r="FX31" i="13" s="1"/>
  <c r="MZ63" i="13"/>
  <c r="IK63" i="13"/>
  <c r="MQ4" i="13"/>
  <c r="FR47" i="13"/>
  <c r="IW147" i="13"/>
  <c r="IR147" i="13"/>
  <c r="IX147" i="13" s="1"/>
  <c r="FD151" i="13"/>
  <c r="FE151" i="13" s="1"/>
  <c r="MP151" i="13"/>
  <c r="MQ151" i="13" s="1"/>
  <c r="FR151" i="13" s="1"/>
  <c r="MZ118" i="13"/>
  <c r="IK118" i="13"/>
  <c r="MZ212" i="13"/>
  <c r="IK212" i="13"/>
  <c r="FE40" i="13"/>
  <c r="FH40" i="13"/>
  <c r="FJ40" i="13" s="1"/>
  <c r="MZ161" i="13"/>
  <c r="IK161" i="13"/>
  <c r="MP28" i="13"/>
  <c r="MQ28" i="13" s="1"/>
  <c r="FR28" i="13" s="1"/>
  <c r="FD28" i="13"/>
  <c r="FE28" i="13" s="1"/>
  <c r="MZ74" i="13"/>
  <c r="IO74" i="13" s="1"/>
  <c r="IQ74" i="13" s="1"/>
  <c r="IK74" i="13"/>
  <c r="FP37" i="13"/>
  <c r="FK37" i="13"/>
  <c r="FQ37" i="13" s="1"/>
  <c r="MZ106" i="13"/>
  <c r="IK106" i="13"/>
  <c r="FP131" i="13"/>
  <c r="FK131" i="13"/>
  <c r="FQ131" i="13" s="1"/>
  <c r="FP35" i="13"/>
  <c r="FK35" i="13"/>
  <c r="MP210" i="13"/>
  <c r="MQ210" i="13" s="1"/>
  <c r="FR210" i="13" s="1"/>
  <c r="NB210" i="13"/>
  <c r="FG204" i="13"/>
  <c r="FH204" i="13"/>
  <c r="FJ204" i="13" s="1"/>
  <c r="MZ207" i="13"/>
  <c r="IK207" i="13"/>
  <c r="FG126" i="13"/>
  <c r="MP154" i="13"/>
  <c r="MQ154" i="13" s="1"/>
  <c r="FR154" i="13" s="1"/>
  <c r="FG79" i="13"/>
  <c r="FE182" i="13"/>
  <c r="FH182" i="13"/>
  <c r="FJ182" i="13" s="1"/>
  <c r="MP201" i="13"/>
  <c r="MQ201" i="13" s="1"/>
  <c r="FR201" i="13" s="1"/>
  <c r="FH175" i="13"/>
  <c r="FJ175" i="13" s="1"/>
  <c r="FG175" i="13"/>
  <c r="MP75" i="13"/>
  <c r="MQ75" i="13" s="1"/>
  <c r="FR75" i="13" s="1"/>
  <c r="NB75" i="13"/>
  <c r="FH63" i="13"/>
  <c r="FJ63" i="13" s="1"/>
  <c r="FG63" i="13"/>
  <c r="MP175" i="13"/>
  <c r="MQ175" i="13" s="1"/>
  <c r="FR175" i="13" s="1"/>
  <c r="MZ42" i="13"/>
  <c r="IK42" i="13"/>
  <c r="FG209" i="13"/>
  <c r="FG110" i="13"/>
  <c r="MZ151" i="13"/>
  <c r="IK151" i="13"/>
  <c r="MZ201" i="13"/>
  <c r="IO201" i="13" s="1"/>
  <c r="IQ201" i="13" s="1"/>
  <c r="IK201" i="13"/>
  <c r="MZ40" i="13"/>
  <c r="IK40" i="13"/>
  <c r="MZ28" i="13"/>
  <c r="IK28" i="13"/>
  <c r="MZ60" i="13"/>
  <c r="IK60" i="13"/>
  <c r="MZ124" i="13"/>
  <c r="IK124" i="13"/>
  <c r="MZ197" i="13"/>
  <c r="IO197" i="13" s="1"/>
  <c r="IQ197" i="13" s="1"/>
  <c r="IK197" i="13"/>
  <c r="FG61" i="13"/>
  <c r="FG16" i="13"/>
  <c r="MZ84" i="13"/>
  <c r="IO84" i="13" s="1"/>
  <c r="IQ84" i="13" s="1"/>
  <c r="IK84" i="13"/>
  <c r="FG22" i="13"/>
  <c r="FH33" i="13"/>
  <c r="FJ33" i="13" s="1"/>
  <c r="FG33" i="13"/>
  <c r="MZ182" i="13"/>
  <c r="IO182" i="13" s="1"/>
  <c r="IQ182" i="13" s="1"/>
  <c r="IK182" i="13"/>
  <c r="FH64" i="13"/>
  <c r="FJ64" i="13" s="1"/>
  <c r="FG64" i="13"/>
  <c r="FP81" i="13"/>
  <c r="FK81" i="13"/>
  <c r="FQ81" i="13" s="1"/>
  <c r="FH60" i="13"/>
  <c r="FJ60" i="13" s="1"/>
  <c r="FG60" i="13"/>
  <c r="MP51" i="13"/>
  <c r="MQ51" i="13" s="1"/>
  <c r="FR51" i="13" s="1"/>
  <c r="MZ94" i="13"/>
  <c r="IK94" i="13"/>
  <c r="FG101" i="13"/>
  <c r="MZ91" i="13"/>
  <c r="IO91" i="13" s="1"/>
  <c r="IQ91" i="13" s="1"/>
  <c r="IK91" i="13"/>
  <c r="MZ23" i="13"/>
  <c r="IK23" i="13"/>
  <c r="MZ73" i="13"/>
  <c r="IK73" i="13"/>
  <c r="MZ174" i="13"/>
  <c r="IK174" i="13"/>
  <c r="FD82" i="13"/>
  <c r="MP82" i="13"/>
  <c r="MQ82" i="13" s="1"/>
  <c r="FR82" i="13" s="1"/>
  <c r="MX187" i="13"/>
  <c r="MN187" i="13"/>
  <c r="MX20" i="13"/>
  <c r="MN20" i="13"/>
  <c r="FH24" i="13"/>
  <c r="FJ24" i="13" s="1"/>
  <c r="FG24" i="13"/>
  <c r="FT149" i="13"/>
  <c r="FU149" i="13" s="1"/>
  <c r="FW149" i="13" s="1"/>
  <c r="FX149" i="13" s="1"/>
  <c r="FG56" i="13"/>
  <c r="MF22" i="13"/>
  <c r="MH22" i="13" s="1"/>
  <c r="FT204" i="13"/>
  <c r="FU204" i="13" s="1"/>
  <c r="FW204" i="13" s="1"/>
  <c r="FX204" i="13" s="1"/>
  <c r="FG13" i="13"/>
  <c r="MO103" i="13"/>
  <c r="FF103" i="13" s="1"/>
  <c r="MY103" i="13"/>
  <c r="NA103" i="13" s="1"/>
  <c r="IM103" i="13"/>
  <c r="IN103" i="13" s="1"/>
  <c r="MX86" i="13"/>
  <c r="MN86" i="13"/>
  <c r="FH155" i="13"/>
  <c r="FJ155" i="13" s="1"/>
  <c r="FG155" i="13"/>
  <c r="FH59" i="13"/>
  <c r="FJ59" i="13" s="1"/>
  <c r="FG59" i="13"/>
  <c r="MN12" i="13"/>
  <c r="MX12" i="13"/>
  <c r="FG185" i="13"/>
  <c r="MR164" i="13"/>
  <c r="MS164" i="13" s="1"/>
  <c r="FT164" i="13"/>
  <c r="FU164" i="13" s="1"/>
  <c r="FW164" i="13" s="1"/>
  <c r="FX164" i="13" s="1"/>
  <c r="FG27" i="13"/>
  <c r="FT81" i="13"/>
  <c r="FU81" i="13" s="1"/>
  <c r="FW81" i="13" s="1"/>
  <c r="FX81" i="13" s="1"/>
  <c r="FG44" i="13"/>
  <c r="FG30" i="13"/>
  <c r="FG39" i="13"/>
  <c r="FG201" i="13"/>
  <c r="FH201" i="13"/>
  <c r="FJ201" i="13" s="1"/>
  <c r="MP193" i="13"/>
  <c r="MQ193" i="13" s="1"/>
  <c r="FR193" i="13" s="1"/>
  <c r="FP25" i="13"/>
  <c r="FK25" i="13"/>
  <c r="FD94" i="13"/>
  <c r="FE94" i="13" s="1"/>
  <c r="MP94" i="13"/>
  <c r="MQ94" i="13" s="1"/>
  <c r="FR94" i="13" s="1"/>
  <c r="MZ80" i="13"/>
  <c r="IK80" i="13"/>
  <c r="MZ200" i="13"/>
  <c r="IO200" i="13" s="1"/>
  <c r="IQ200" i="13" s="1"/>
  <c r="IK200" i="13"/>
  <c r="MZ82" i="13"/>
  <c r="IK82" i="13"/>
  <c r="FH23" i="13"/>
  <c r="FJ23" i="13" s="1"/>
  <c r="FG23" i="13"/>
  <c r="FH193" i="13"/>
  <c r="FJ193" i="13" s="1"/>
  <c r="MZ211" i="13"/>
  <c r="IK211" i="13"/>
  <c r="MP200" i="13"/>
  <c r="MQ200" i="13" s="1"/>
  <c r="FR200" i="13" s="1"/>
  <c r="FH176" i="13"/>
  <c r="FJ176" i="13" s="1"/>
  <c r="FG176" i="13"/>
  <c r="MR25" i="13"/>
  <c r="MS25" i="13" s="1"/>
  <c r="FT25" i="13"/>
  <c r="FU25" i="13" s="1"/>
  <c r="FW25" i="13" s="1"/>
  <c r="FX25" i="13" s="1"/>
  <c r="FG17" i="13"/>
  <c r="MZ54" i="13"/>
  <c r="IK54" i="13"/>
  <c r="FH58" i="13"/>
  <c r="FJ58" i="13" s="1"/>
  <c r="FG58" i="13"/>
  <c r="MR50" i="13"/>
  <c r="MS50" i="13" s="1"/>
  <c r="FT50" i="13"/>
  <c r="FU50" i="13" s="1"/>
  <c r="FW50" i="13" s="1"/>
  <c r="FX50" i="13" s="1"/>
  <c r="FG99" i="13"/>
  <c r="MF30" i="13"/>
  <c r="MH30" i="13" s="1"/>
  <c r="MR60" i="13"/>
  <c r="MS60" i="13" s="1"/>
  <c r="FT60" i="13"/>
  <c r="FU60" i="13" s="1"/>
  <c r="FW60" i="13" s="1"/>
  <c r="FX60" i="13" s="1"/>
  <c r="FH84" i="13"/>
  <c r="FJ84" i="13" s="1"/>
  <c r="FP47" i="13"/>
  <c r="FK47" i="13"/>
  <c r="FQ47" i="13" s="1"/>
  <c r="MP172" i="13"/>
  <c r="MQ172" i="13" s="1"/>
  <c r="FR172" i="13" s="1"/>
  <c r="MZ71" i="13"/>
  <c r="IK71" i="13"/>
  <c r="MZ24" i="13"/>
  <c r="IO24" i="13" s="1"/>
  <c r="IQ24" i="13" s="1"/>
  <c r="IK24" i="13"/>
  <c r="MZ76" i="13"/>
  <c r="IK76" i="13"/>
  <c r="MZ31" i="13"/>
  <c r="IK31" i="13"/>
  <c r="MZ114" i="13"/>
  <c r="IK114" i="13"/>
  <c r="FG132" i="13"/>
  <c r="MZ37" i="13"/>
  <c r="IK37" i="13"/>
  <c r="MZ26" i="13"/>
  <c r="IK26" i="13"/>
  <c r="MZ32" i="13"/>
  <c r="IO32" i="13" s="1"/>
  <c r="IQ32" i="13" s="1"/>
  <c r="IK32" i="13"/>
  <c r="MY147" i="13"/>
  <c r="NA147" i="13" s="1"/>
  <c r="NB147" i="13" s="1"/>
  <c r="MO147" i="13"/>
  <c r="IM147" i="13"/>
  <c r="IN147" i="13" s="1"/>
  <c r="FT153" i="13"/>
  <c r="FU153" i="13" s="1"/>
  <c r="FW153" i="13" s="1"/>
  <c r="FX153" i="13" s="1"/>
  <c r="FH152" i="13"/>
  <c r="FJ152" i="13" s="1"/>
  <c r="MR34" i="13"/>
  <c r="MS34" i="13" s="1"/>
  <c r="FT34" i="13"/>
  <c r="FU34" i="13" s="1"/>
  <c r="FW34" i="13" s="1"/>
  <c r="FX34" i="13" s="1"/>
  <c r="FT173" i="13"/>
  <c r="FU173" i="13" s="1"/>
  <c r="FW173" i="13" s="1"/>
  <c r="FX173" i="13" s="1"/>
  <c r="FH153" i="13"/>
  <c r="FJ153" i="13" s="1"/>
  <c r="FG153" i="13"/>
  <c r="FG14" i="13"/>
  <c r="MO114" i="13"/>
  <c r="MY114" i="13"/>
  <c r="NA114" i="13" s="1"/>
  <c r="IM114" i="13"/>
  <c r="IN114" i="13" s="1"/>
  <c r="MP67" i="13"/>
  <c r="MQ67" i="13" s="1"/>
  <c r="FR67" i="13" s="1"/>
  <c r="MX177" i="13"/>
  <c r="MN177" i="13"/>
  <c r="FD177" i="13" s="1"/>
  <c r="FT158" i="13"/>
  <c r="FU158" i="13" s="1"/>
  <c r="FW158" i="13" s="1"/>
  <c r="FX158" i="13" s="1"/>
  <c r="MP171" i="13"/>
  <c r="MQ171" i="13" s="1"/>
  <c r="FR171" i="13" s="1"/>
  <c r="FH162" i="13"/>
  <c r="FJ162" i="13" s="1"/>
  <c r="FT38" i="13"/>
  <c r="FU38" i="13" s="1"/>
  <c r="FW38" i="13" s="1"/>
  <c r="FX38" i="13" s="1"/>
  <c r="NB19" i="13"/>
  <c r="MP19" i="13"/>
  <c r="MQ19" i="13" s="1"/>
  <c r="FR19" i="13" s="1"/>
  <c r="MO214" i="13"/>
  <c r="MY214" i="13"/>
  <c r="NA214" i="13" s="1"/>
  <c r="IM214" i="13"/>
  <c r="IN214" i="13" s="1"/>
  <c r="FT98" i="13"/>
  <c r="FU98" i="13" s="1"/>
  <c r="FW98" i="13" s="1"/>
  <c r="FX98" i="13" s="1"/>
  <c r="MR98" i="13"/>
  <c r="MS98" i="13" s="1"/>
  <c r="FG151" i="13"/>
  <c r="MX29" i="13"/>
  <c r="MN29" i="13"/>
  <c r="L5" i="141"/>
  <c r="MN181" i="13"/>
  <c r="MX181" i="13"/>
  <c r="MR37" i="13"/>
  <c r="MS37" i="13" s="1"/>
  <c r="FT37" i="13"/>
  <c r="FU37" i="13" s="1"/>
  <c r="FW37" i="13" s="1"/>
  <c r="FX37" i="13" s="1"/>
  <c r="MX110" i="13"/>
  <c r="MN110" i="13"/>
  <c r="MX185" i="13"/>
  <c r="MN185" i="13"/>
  <c r="MX167" i="13"/>
  <c r="MN167" i="13"/>
  <c r="MX179" i="13"/>
  <c r="MN179" i="13"/>
  <c r="FD179" i="13" s="1"/>
  <c r="MZ194" i="13"/>
  <c r="IK194" i="13"/>
  <c r="MZ204" i="13"/>
  <c r="IK204" i="13"/>
  <c r="MP76" i="13"/>
  <c r="MQ76" i="13" s="1"/>
  <c r="FR76" i="13" s="1"/>
  <c r="FD76" i="13"/>
  <c r="FE76" i="13" s="1"/>
  <c r="MZ67" i="13"/>
  <c r="IO67" i="13" s="1"/>
  <c r="IQ67" i="13" s="1"/>
  <c r="IK67" i="13"/>
  <c r="FG107" i="13"/>
  <c r="FP75" i="13"/>
  <c r="FK75" i="13"/>
  <c r="FQ75" i="13" s="1"/>
  <c r="MZ175" i="13"/>
  <c r="IK175" i="13"/>
  <c r="MN45" i="13"/>
  <c r="MX45" i="13"/>
  <c r="FH198" i="13"/>
  <c r="FJ198" i="13" s="1"/>
  <c r="FG21" i="13"/>
  <c r="FH21" i="13"/>
  <c r="FJ21" i="13" s="1"/>
  <c r="MX184" i="13"/>
  <c r="MN184" i="13"/>
  <c r="FG205" i="13"/>
  <c r="FP163" i="13"/>
  <c r="FK163" i="13"/>
  <c r="FQ163" i="13" s="1"/>
  <c r="MR174" i="13"/>
  <c r="MS174" i="13" s="1"/>
  <c r="FT174" i="13"/>
  <c r="FU174" i="13" s="1"/>
  <c r="FW174" i="13" s="1"/>
  <c r="FX174" i="13" s="1"/>
  <c r="FG95" i="13"/>
  <c r="MN95" i="13"/>
  <c r="MX95" i="13"/>
  <c r="MX39" i="13"/>
  <c r="MN39" i="13"/>
  <c r="MX178" i="13"/>
  <c r="MN178" i="13"/>
  <c r="MX140" i="13"/>
  <c r="MN140" i="13"/>
  <c r="MZ192" i="13"/>
  <c r="IK192" i="13"/>
  <c r="FT163" i="13"/>
  <c r="FU163" i="13" s="1"/>
  <c r="FW163" i="13" s="1"/>
  <c r="FX163" i="13" s="1"/>
  <c r="FG77" i="13"/>
  <c r="FH156" i="13"/>
  <c r="FJ156" i="13" s="1"/>
  <c r="FG156" i="13"/>
  <c r="FE194" i="13"/>
  <c r="FH194" i="13"/>
  <c r="FJ194" i="13" s="1"/>
  <c r="MZ64" i="13"/>
  <c r="IK64" i="13"/>
  <c r="FD129" i="13"/>
  <c r="FE129" i="13" s="1"/>
  <c r="MP129" i="13"/>
  <c r="MQ129" i="13" s="1"/>
  <c r="FR129" i="13" s="1"/>
  <c r="MZ90" i="13"/>
  <c r="IK90" i="13"/>
  <c r="MZ52" i="13"/>
  <c r="IO52" i="13" s="1"/>
  <c r="IQ52" i="13" s="1"/>
  <c r="IK52" i="13"/>
  <c r="MZ122" i="13"/>
  <c r="IK122" i="13"/>
  <c r="MZ112" i="13"/>
  <c r="IK112" i="13"/>
  <c r="MZ195" i="13"/>
  <c r="IK195" i="13"/>
  <c r="MZ163" i="13"/>
  <c r="IK163" i="13"/>
  <c r="MZ47" i="13"/>
  <c r="IK47" i="13"/>
  <c r="FT198" i="13"/>
  <c r="FU198" i="13" s="1"/>
  <c r="FW198" i="13" s="1"/>
  <c r="FX198" i="13" s="1"/>
  <c r="FG29" i="13"/>
  <c r="FG196" i="13"/>
  <c r="MP159" i="13"/>
  <c r="MQ159" i="13" s="1"/>
  <c r="FR159" i="13" s="1"/>
  <c r="MP203" i="13"/>
  <c r="MQ203" i="13" s="1"/>
  <c r="FR203" i="13" s="1"/>
  <c r="FD143" i="13"/>
  <c r="FE143" i="13" s="1"/>
  <c r="MP143" i="13"/>
  <c r="MQ143" i="13" s="1"/>
  <c r="FR143" i="13" s="1"/>
  <c r="FT43" i="13"/>
  <c r="FU43" i="13" s="1"/>
  <c r="FW43" i="13" s="1"/>
  <c r="FX43" i="13" s="1"/>
  <c r="FP57" i="13"/>
  <c r="FK57" i="13"/>
  <c r="FQ57" i="13" s="1"/>
  <c r="FT145" i="13"/>
  <c r="FU145" i="13" s="1"/>
  <c r="FW145" i="13" s="1"/>
  <c r="FX145" i="13" s="1"/>
  <c r="FH51" i="13"/>
  <c r="FJ51" i="13" s="1"/>
  <c r="FG51" i="13"/>
  <c r="FT161" i="13"/>
  <c r="FU161" i="13" s="1"/>
  <c r="FW161" i="13" s="1"/>
  <c r="FX161" i="13" s="1"/>
  <c r="FH74" i="13"/>
  <c r="FJ74" i="13" s="1"/>
  <c r="MZ149" i="13"/>
  <c r="IK149" i="13"/>
  <c r="FG78" i="13"/>
  <c r="MP36" i="13"/>
  <c r="MQ36" i="13" s="1"/>
  <c r="FR36" i="13" s="1"/>
  <c r="FP161" i="13"/>
  <c r="FK161" i="13"/>
  <c r="FQ161" i="13" s="1"/>
  <c r="MP52" i="13"/>
  <c r="MQ52" i="13" s="1"/>
  <c r="FR52" i="13" s="1"/>
  <c r="MF205" i="13"/>
  <c r="MH205" i="13" s="1"/>
  <c r="FH197" i="13"/>
  <c r="FJ197" i="13" s="1"/>
  <c r="FG197" i="13"/>
  <c r="MR42" i="13"/>
  <c r="MS42" i="13" s="1"/>
  <c r="FT42" i="13"/>
  <c r="FU42" i="13" s="1"/>
  <c r="FW42" i="13" s="1"/>
  <c r="FX42" i="13" s="1"/>
  <c r="MZ148" i="13"/>
  <c r="IK148" i="13"/>
  <c r="MY139" i="13"/>
  <c r="NA139" i="13" s="1"/>
  <c r="MO139" i="13"/>
  <c r="IM139" i="13"/>
  <c r="IN139" i="13" s="1"/>
  <c r="FP173" i="13"/>
  <c r="FK173" i="13"/>
  <c r="FQ173" i="13" s="1"/>
  <c r="FT57" i="13"/>
  <c r="FU57" i="13" s="1"/>
  <c r="FW57" i="13" s="1"/>
  <c r="FX57" i="13" s="1"/>
  <c r="FE192" i="13"/>
  <c r="FH192" i="13"/>
  <c r="FJ192" i="13" s="1"/>
  <c r="FH54" i="13"/>
  <c r="FJ54" i="13" s="1"/>
  <c r="FG54" i="13"/>
  <c r="IL35" i="13"/>
  <c r="IG35" i="13"/>
  <c r="II35" i="13" s="1"/>
  <c r="IJ35" i="13" s="1"/>
  <c r="MZ213" i="13"/>
  <c r="IK213" i="13"/>
  <c r="FG15" i="13"/>
  <c r="FH149" i="13"/>
  <c r="FJ149" i="13" s="1"/>
  <c r="MZ34" i="13"/>
  <c r="IK34" i="13"/>
  <c r="MZ59" i="13"/>
  <c r="IK59" i="13"/>
  <c r="FG129" i="13"/>
  <c r="MZ129" i="13"/>
  <c r="IK129" i="13"/>
  <c r="FD90" i="13"/>
  <c r="MP90" i="13"/>
  <c r="MQ90" i="13" s="1"/>
  <c r="FR90" i="13" s="1"/>
  <c r="MZ81" i="13"/>
  <c r="IK81" i="13"/>
  <c r="FE195" i="13"/>
  <c r="FH195" i="13"/>
  <c r="FJ195" i="13" s="1"/>
  <c r="MZ139" i="13"/>
  <c r="IK139" i="13"/>
  <c r="MR161" i="13" l="1"/>
  <c r="MS161" i="13" s="1"/>
  <c r="FH85" i="13"/>
  <c r="FJ85" i="13" s="1"/>
  <c r="MP105" i="13"/>
  <c r="MQ105" i="13" s="1"/>
  <c r="FR105" i="13" s="1"/>
  <c r="MR204" i="13"/>
  <c r="MS204" i="13" s="1"/>
  <c r="NB201" i="13"/>
  <c r="MR73" i="13"/>
  <c r="MS73" i="13" s="1"/>
  <c r="MR57" i="13"/>
  <c r="MS57" i="13" s="1"/>
  <c r="NB36" i="13"/>
  <c r="MR66" i="13"/>
  <c r="MS66" i="13" s="1"/>
  <c r="MP141" i="13"/>
  <c r="MQ141" i="13" s="1"/>
  <c r="FR141" i="13" s="1"/>
  <c r="FH151" i="13"/>
  <c r="FJ151" i="13" s="1"/>
  <c r="NB51" i="13"/>
  <c r="MR163" i="13"/>
  <c r="MS163" i="13" s="1"/>
  <c r="NB197" i="13"/>
  <c r="MP196" i="13"/>
  <c r="MQ196" i="13" s="1"/>
  <c r="FR196" i="13" s="1"/>
  <c r="FT196" i="13" s="1"/>
  <c r="FU196" i="13" s="1"/>
  <c r="FW196" i="13" s="1"/>
  <c r="FX196" i="13" s="1"/>
  <c r="FH196" i="13"/>
  <c r="FJ196" i="13" s="1"/>
  <c r="FP196" i="13" s="1"/>
  <c r="MP137" i="13"/>
  <c r="MQ137" i="13" s="1"/>
  <c r="FR137" i="13" s="1"/>
  <c r="NB128" i="13"/>
  <c r="NC128" i="13" s="1"/>
  <c r="MR165" i="13"/>
  <c r="MS165" i="13" s="1"/>
  <c r="MR198" i="13"/>
  <c r="MS198" i="13" s="1"/>
  <c r="MR213" i="13"/>
  <c r="MS213" i="13" s="1"/>
  <c r="MR80" i="13"/>
  <c r="MS80" i="13" s="1"/>
  <c r="NB152" i="13"/>
  <c r="NB105" i="13"/>
  <c r="NC105" i="13" s="1"/>
  <c r="MR173" i="13"/>
  <c r="MS173" i="13" s="1"/>
  <c r="MP208" i="13"/>
  <c r="MQ208" i="13" s="1"/>
  <c r="FR208" i="13" s="1"/>
  <c r="FT208" i="13" s="1"/>
  <c r="FU208" i="13" s="1"/>
  <c r="FW208" i="13" s="1"/>
  <c r="FX208" i="13" s="1"/>
  <c r="NC127" i="13"/>
  <c r="IY127" i="13"/>
  <c r="NC125" i="13"/>
  <c r="IY125" i="13"/>
  <c r="FD167" i="13"/>
  <c r="MP167" i="13"/>
  <c r="MQ167" i="13" s="1"/>
  <c r="FR167" i="13" s="1"/>
  <c r="IG197" i="13"/>
  <c r="II197" i="13" s="1"/>
  <c r="IJ197" i="13" s="1"/>
  <c r="IL197" i="13"/>
  <c r="IO63" i="13"/>
  <c r="IQ63" i="13" s="1"/>
  <c r="NB63" i="13"/>
  <c r="FP65" i="13"/>
  <c r="FK65" i="13"/>
  <c r="FQ65" i="13" s="1"/>
  <c r="IO173" i="13"/>
  <c r="IQ173" i="13" s="1"/>
  <c r="NB173" i="13"/>
  <c r="FG210" i="13"/>
  <c r="FH210" i="13"/>
  <c r="FJ210" i="13" s="1"/>
  <c r="FH124" i="13"/>
  <c r="FJ124" i="13" s="1"/>
  <c r="FG124" i="13"/>
  <c r="FD15" i="13"/>
  <c r="MP15" i="13"/>
  <c r="MQ15" i="13" s="1"/>
  <c r="FR15" i="13" s="1"/>
  <c r="FP195" i="13"/>
  <c r="FK195" i="13"/>
  <c r="FF139" i="13"/>
  <c r="MP139" i="13"/>
  <c r="MQ139" i="13" s="1"/>
  <c r="FR139" i="13" s="1"/>
  <c r="IL47" i="13"/>
  <c r="IG47" i="13"/>
  <c r="II47" i="13" s="1"/>
  <c r="IJ47" i="13" s="1"/>
  <c r="IL64" i="13"/>
  <c r="IG64" i="13"/>
  <c r="II64" i="13" s="1"/>
  <c r="IJ64" i="13" s="1"/>
  <c r="IO175" i="13"/>
  <c r="IQ175" i="13" s="1"/>
  <c r="NB175" i="13"/>
  <c r="MZ167" i="13"/>
  <c r="IK167" i="13"/>
  <c r="FD29" i="13"/>
  <c r="MP29" i="13"/>
  <c r="MQ29" i="13" s="1"/>
  <c r="FR29" i="13" s="1"/>
  <c r="MR38" i="13"/>
  <c r="MS38" i="13" s="1"/>
  <c r="FF147" i="13"/>
  <c r="MP147" i="13"/>
  <c r="MQ147" i="13" s="1"/>
  <c r="FR147" i="13" s="1"/>
  <c r="IG24" i="13"/>
  <c r="II24" i="13" s="1"/>
  <c r="IJ24" i="13" s="1"/>
  <c r="IL24" i="13"/>
  <c r="IG211" i="13"/>
  <c r="II211" i="13" s="1"/>
  <c r="IJ211" i="13" s="1"/>
  <c r="IL211" i="13"/>
  <c r="MZ20" i="13"/>
  <c r="IK20" i="13"/>
  <c r="FP64" i="13"/>
  <c r="FK64" i="13"/>
  <c r="FQ64" i="13" s="1"/>
  <c r="IW197" i="13"/>
  <c r="IR197" i="13"/>
  <c r="IX197" i="13" s="1"/>
  <c r="FQ35" i="13"/>
  <c r="IL161" i="13"/>
  <c r="IG161" i="13"/>
  <c r="II161" i="13" s="1"/>
  <c r="IJ161" i="13" s="1"/>
  <c r="FF122" i="13"/>
  <c r="MP122" i="13"/>
  <c r="MQ122" i="13" s="1"/>
  <c r="FR122" i="13" s="1"/>
  <c r="FT152" i="13"/>
  <c r="FU152" i="13" s="1"/>
  <c r="FW152" i="13" s="1"/>
  <c r="FX152" i="13" s="1"/>
  <c r="FT197" i="13"/>
  <c r="FU197" i="13" s="1"/>
  <c r="FW197" i="13" s="1"/>
  <c r="FX197" i="13" s="1"/>
  <c r="MV21" i="13"/>
  <c r="MU21" i="13"/>
  <c r="GQ21" i="13" s="1"/>
  <c r="GS21" i="13" s="1"/>
  <c r="GU21" i="13" s="1"/>
  <c r="MT21" i="13"/>
  <c r="MR58" i="13"/>
  <c r="MS58" i="13" s="1"/>
  <c r="IL49" i="13"/>
  <c r="IG49" i="13"/>
  <c r="II49" i="13" s="1"/>
  <c r="IJ49" i="13" s="1"/>
  <c r="FK206" i="13"/>
  <c r="FQ206" i="13" s="1"/>
  <c r="FP206" i="13"/>
  <c r="IO145" i="13"/>
  <c r="IQ145" i="13" s="1"/>
  <c r="NB145" i="13"/>
  <c r="MR148" i="13"/>
  <c r="MS148" i="13" s="1"/>
  <c r="FP66" i="13"/>
  <c r="FK66" i="13"/>
  <c r="FQ66" i="13" s="1"/>
  <c r="MR59" i="13"/>
  <c r="MS59" i="13" s="1"/>
  <c r="FT202" i="13"/>
  <c r="FU202" i="13" s="1"/>
  <c r="FW202" i="13" s="1"/>
  <c r="FX202" i="13" s="1"/>
  <c r="MR176" i="13"/>
  <c r="MS176" i="13" s="1"/>
  <c r="MR49" i="13"/>
  <c r="MS49" i="13" s="1"/>
  <c r="IL72" i="13"/>
  <c r="IG72" i="13"/>
  <c r="II72" i="13" s="1"/>
  <c r="IJ72" i="13" s="1"/>
  <c r="IL160" i="13"/>
  <c r="IG160" i="13"/>
  <c r="II160" i="13" s="1"/>
  <c r="IJ160" i="13" s="1"/>
  <c r="IG153" i="13"/>
  <c r="II153" i="13" s="1"/>
  <c r="IJ153" i="13" s="1"/>
  <c r="IL153" i="13"/>
  <c r="MR65" i="13"/>
  <c r="MS65" i="13" s="1"/>
  <c r="IO25" i="13"/>
  <c r="IQ25" i="13" s="1"/>
  <c r="NB25" i="13"/>
  <c r="MZ142" i="13"/>
  <c r="IK142" i="13"/>
  <c r="MZ101" i="13"/>
  <c r="IK101" i="13"/>
  <c r="FH208" i="13"/>
  <c r="FJ208" i="13" s="1"/>
  <c r="FG208" i="13"/>
  <c r="FD134" i="13"/>
  <c r="FE134" i="13" s="1"/>
  <c r="MP134" i="13"/>
  <c r="MQ134" i="13" s="1"/>
  <c r="FR134" i="13" s="1"/>
  <c r="FD133" i="13"/>
  <c r="FE133" i="13" s="1"/>
  <c r="MP133" i="13"/>
  <c r="MQ133" i="13" s="1"/>
  <c r="FR133" i="13" s="1"/>
  <c r="MV50" i="13"/>
  <c r="MU50" i="13"/>
  <c r="GQ50" i="13" s="1"/>
  <c r="GS50" i="13" s="1"/>
  <c r="GU50" i="13" s="1"/>
  <c r="MT50" i="13"/>
  <c r="GC50" i="13"/>
  <c r="GE50" i="13" s="1"/>
  <c r="FD20" i="13"/>
  <c r="MP20" i="13"/>
  <c r="MQ20" i="13" s="1"/>
  <c r="FR20" i="13" s="1"/>
  <c r="IL145" i="13"/>
  <c r="IG145" i="13"/>
  <c r="II145" i="13" s="1"/>
  <c r="IJ145" i="13" s="1"/>
  <c r="FQ34" i="13"/>
  <c r="FD111" i="13"/>
  <c r="MP111" i="13"/>
  <c r="MQ111" i="13" s="1"/>
  <c r="FR111" i="13" s="1"/>
  <c r="IL213" i="13"/>
  <c r="IG213" i="13"/>
  <c r="II213" i="13" s="1"/>
  <c r="IJ213" i="13" s="1"/>
  <c r="NC36" i="13"/>
  <c r="IY36" i="13"/>
  <c r="MR43" i="13"/>
  <c r="MS43" i="13" s="1"/>
  <c r="IO47" i="13"/>
  <c r="IQ47" i="13" s="1"/>
  <c r="NB47" i="13"/>
  <c r="IO64" i="13"/>
  <c r="IQ64" i="13" s="1"/>
  <c r="NB64" i="13"/>
  <c r="MZ29" i="13"/>
  <c r="IK29" i="13"/>
  <c r="FP162" i="13"/>
  <c r="FK162" i="13"/>
  <c r="IW24" i="13"/>
  <c r="IR24" i="13"/>
  <c r="IX24" i="13" s="1"/>
  <c r="FP58" i="13"/>
  <c r="FK58" i="13"/>
  <c r="FQ58" i="13" s="1"/>
  <c r="IO211" i="13"/>
  <c r="IQ211" i="13" s="1"/>
  <c r="NB211" i="13"/>
  <c r="FT193" i="13"/>
  <c r="FU193" i="13" s="1"/>
  <c r="FW193" i="13" s="1"/>
  <c r="FX193" i="13" s="1"/>
  <c r="MV164" i="13"/>
  <c r="MU164" i="13"/>
  <c r="GQ164" i="13" s="1"/>
  <c r="GS164" i="13" s="1"/>
  <c r="GU164" i="13" s="1"/>
  <c r="MT164" i="13"/>
  <c r="GC164" i="13"/>
  <c r="GE164" i="13" s="1"/>
  <c r="IG94" i="13"/>
  <c r="II94" i="13" s="1"/>
  <c r="IJ94" i="13" s="1"/>
  <c r="IL94" i="13"/>
  <c r="IL182" i="13"/>
  <c r="IG182" i="13"/>
  <c r="II182" i="13" s="1"/>
  <c r="IJ182" i="13" s="1"/>
  <c r="IL124" i="13"/>
  <c r="IG124" i="13"/>
  <c r="II124" i="13" s="1"/>
  <c r="IJ124" i="13" s="1"/>
  <c r="IL42" i="13"/>
  <c r="IG42" i="13"/>
  <c r="II42" i="13" s="1"/>
  <c r="IJ42" i="13" s="1"/>
  <c r="IO161" i="13"/>
  <c r="IQ161" i="13" s="1"/>
  <c r="NB161" i="13"/>
  <c r="MR31" i="13"/>
  <c r="MS31" i="13" s="1"/>
  <c r="FT206" i="13"/>
  <c r="FU206" i="13" s="1"/>
  <c r="FW206" i="13" s="1"/>
  <c r="FX206" i="13" s="1"/>
  <c r="IL162" i="13"/>
  <c r="IG162" i="13"/>
  <c r="II162" i="13" s="1"/>
  <c r="IJ162" i="13" s="1"/>
  <c r="IG152" i="13"/>
  <c r="II152" i="13" s="1"/>
  <c r="IJ152" i="13" s="1"/>
  <c r="IL152" i="13"/>
  <c r="FD44" i="13"/>
  <c r="MP44" i="13"/>
  <c r="MQ44" i="13" s="1"/>
  <c r="FR44" i="13" s="1"/>
  <c r="IO49" i="13"/>
  <c r="IQ49" i="13" s="1"/>
  <c r="NB49" i="13"/>
  <c r="IL19" i="13"/>
  <c r="IG19" i="13"/>
  <c r="II19" i="13" s="1"/>
  <c r="IJ19" i="13" s="1"/>
  <c r="IG66" i="13"/>
  <c r="II66" i="13" s="1"/>
  <c r="IJ66" i="13" s="1"/>
  <c r="IL66" i="13"/>
  <c r="FD100" i="13"/>
  <c r="MP100" i="13"/>
  <c r="MQ100" i="13" s="1"/>
  <c r="FR100" i="13" s="1"/>
  <c r="IO72" i="13"/>
  <c r="IQ72" i="13" s="1"/>
  <c r="NB72" i="13"/>
  <c r="IO160" i="13"/>
  <c r="IQ160" i="13" s="1"/>
  <c r="NB160" i="13"/>
  <c r="FG136" i="13"/>
  <c r="IO153" i="13"/>
  <c r="IQ153" i="13" s="1"/>
  <c r="NB153" i="13"/>
  <c r="IG155" i="13"/>
  <c r="II155" i="13" s="1"/>
  <c r="IJ155" i="13" s="1"/>
  <c r="IL155" i="13"/>
  <c r="FT131" i="13"/>
  <c r="FU131" i="13" s="1"/>
  <c r="FW131" i="13" s="1"/>
  <c r="FX131" i="13" s="1"/>
  <c r="FD142" i="13"/>
  <c r="FE142" i="13" s="1"/>
  <c r="MP142" i="13"/>
  <c r="MQ142" i="13" s="1"/>
  <c r="FR142" i="13" s="1"/>
  <c r="MZ138" i="13"/>
  <c r="IK138" i="13"/>
  <c r="FD132" i="13"/>
  <c r="MP132" i="13"/>
  <c r="MQ132" i="13" s="1"/>
  <c r="FR132" i="13" s="1"/>
  <c r="FD169" i="13"/>
  <c r="MP169" i="13"/>
  <c r="MQ169" i="13" s="1"/>
  <c r="FR169" i="13" s="1"/>
  <c r="FF125" i="13"/>
  <c r="MP125" i="13"/>
  <c r="MQ125" i="13" s="1"/>
  <c r="FR125" i="13" s="1"/>
  <c r="MZ134" i="13"/>
  <c r="IK134" i="13"/>
  <c r="FH141" i="13"/>
  <c r="FJ141" i="13" s="1"/>
  <c r="FG141" i="13"/>
  <c r="MZ133" i="13"/>
  <c r="IK133" i="13"/>
  <c r="IO139" i="13"/>
  <c r="IQ139" i="13" s="1"/>
  <c r="NB139" i="13"/>
  <c r="FT200" i="13"/>
  <c r="FU200" i="13" s="1"/>
  <c r="FW200" i="13" s="1"/>
  <c r="FX200" i="13" s="1"/>
  <c r="NC197" i="13"/>
  <c r="IY197" i="13"/>
  <c r="IL81" i="13"/>
  <c r="IG81" i="13"/>
  <c r="II81" i="13" s="1"/>
  <c r="IJ81" i="13" s="1"/>
  <c r="IO213" i="13"/>
  <c r="IQ213" i="13" s="1"/>
  <c r="NB213" i="13"/>
  <c r="FT36" i="13"/>
  <c r="FU36" i="13" s="1"/>
  <c r="FW36" i="13" s="1"/>
  <c r="FX36" i="13" s="1"/>
  <c r="FT143" i="13"/>
  <c r="FU143" i="13" s="1"/>
  <c r="FW143" i="13" s="1"/>
  <c r="FX143" i="13" s="1"/>
  <c r="IL163" i="13"/>
  <c r="IG163" i="13"/>
  <c r="II163" i="13" s="1"/>
  <c r="IJ163" i="13" s="1"/>
  <c r="FP194" i="13"/>
  <c r="FK194" i="13"/>
  <c r="FD178" i="13"/>
  <c r="MP178" i="13"/>
  <c r="MQ178" i="13" s="1"/>
  <c r="FR178" i="13" s="1"/>
  <c r="FT171" i="13"/>
  <c r="FU171" i="13" s="1"/>
  <c r="FW171" i="13" s="1"/>
  <c r="FX171" i="13" s="1"/>
  <c r="FK153" i="13"/>
  <c r="FQ153" i="13" s="1"/>
  <c r="FP153" i="13"/>
  <c r="IG32" i="13"/>
  <c r="II32" i="13" s="1"/>
  <c r="IJ32" i="13" s="1"/>
  <c r="IL32" i="13"/>
  <c r="IL71" i="13"/>
  <c r="IG71" i="13"/>
  <c r="II71" i="13" s="1"/>
  <c r="IJ71" i="13" s="1"/>
  <c r="IL54" i="13"/>
  <c r="IG54" i="13"/>
  <c r="II54" i="13" s="1"/>
  <c r="IJ54" i="13" s="1"/>
  <c r="FP193" i="13"/>
  <c r="FK193" i="13"/>
  <c r="FP201" i="13"/>
  <c r="FK201" i="13"/>
  <c r="FQ201" i="13" s="1"/>
  <c r="IO94" i="13"/>
  <c r="IQ94" i="13" s="1"/>
  <c r="NB94" i="13"/>
  <c r="IW182" i="13"/>
  <c r="IR182" i="13"/>
  <c r="IX182" i="13" s="1"/>
  <c r="IO124" i="13"/>
  <c r="IQ124" i="13" s="1"/>
  <c r="NB124" i="13"/>
  <c r="IO42" i="13"/>
  <c r="IQ42" i="13" s="1"/>
  <c r="NB42" i="13"/>
  <c r="FP40" i="13"/>
  <c r="FK40" i="13"/>
  <c r="IO162" i="13"/>
  <c r="IQ162" i="13" s="1"/>
  <c r="NB162" i="13"/>
  <c r="IW152" i="13"/>
  <c r="IR152" i="13"/>
  <c r="IX152" i="13" s="1"/>
  <c r="MR72" i="13"/>
  <c r="MS72" i="13" s="1"/>
  <c r="MZ44" i="13"/>
  <c r="IK44" i="13"/>
  <c r="IL158" i="13"/>
  <c r="IG158" i="13"/>
  <c r="II158" i="13" s="1"/>
  <c r="IJ158" i="13" s="1"/>
  <c r="FP85" i="13"/>
  <c r="FK85" i="13"/>
  <c r="FQ85" i="13" s="1"/>
  <c r="FP53" i="13"/>
  <c r="FK53" i="13"/>
  <c r="FQ53" i="13" s="1"/>
  <c r="IR19" i="13"/>
  <c r="IX19" i="13" s="1"/>
  <c r="IW19" i="13"/>
  <c r="IO66" i="13"/>
  <c r="IQ66" i="13" s="1"/>
  <c r="NB66" i="13"/>
  <c r="MR63" i="13"/>
  <c r="MS63" i="13" s="1"/>
  <c r="MZ100" i="13"/>
  <c r="IK100" i="13"/>
  <c r="IL193" i="13"/>
  <c r="IG193" i="13"/>
  <c r="II193" i="13" s="1"/>
  <c r="IJ193" i="13" s="1"/>
  <c r="FP32" i="13"/>
  <c r="FK32" i="13"/>
  <c r="IL164" i="13"/>
  <c r="IG164" i="13"/>
  <c r="II164" i="13" s="1"/>
  <c r="IJ164" i="13" s="1"/>
  <c r="IL172" i="13"/>
  <c r="IG172" i="13"/>
  <c r="II172" i="13" s="1"/>
  <c r="IJ172" i="13" s="1"/>
  <c r="MP138" i="13"/>
  <c r="MQ138" i="13" s="1"/>
  <c r="FR138" i="13" s="1"/>
  <c r="IW155" i="13"/>
  <c r="IR155" i="13"/>
  <c r="IX155" i="13" s="1"/>
  <c r="MZ16" i="13"/>
  <c r="IK16" i="13"/>
  <c r="FD102" i="13"/>
  <c r="FE102" i="13" s="1"/>
  <c r="MP102" i="13"/>
  <c r="MQ102" i="13" s="1"/>
  <c r="FR102" i="13" s="1"/>
  <c r="FF112" i="13"/>
  <c r="MP112" i="13"/>
  <c r="MQ112" i="13" s="1"/>
  <c r="FR112" i="13" s="1"/>
  <c r="MZ132" i="13"/>
  <c r="IK132" i="13"/>
  <c r="MZ169" i="13"/>
  <c r="IK169" i="13"/>
  <c r="MZ108" i="13"/>
  <c r="IK108" i="13"/>
  <c r="MZ46" i="13"/>
  <c r="IK46" i="13"/>
  <c r="MZ104" i="13"/>
  <c r="IK104" i="13"/>
  <c r="FT210" i="13"/>
  <c r="FU210" i="13" s="1"/>
  <c r="FW210" i="13" s="1"/>
  <c r="FX210" i="13" s="1"/>
  <c r="FP159" i="13"/>
  <c r="FK159" i="13"/>
  <c r="MZ157" i="13"/>
  <c r="IK157" i="13"/>
  <c r="IO81" i="13"/>
  <c r="IQ81" i="13" s="1"/>
  <c r="NB81" i="13"/>
  <c r="IL148" i="13"/>
  <c r="IG148" i="13"/>
  <c r="II148" i="13" s="1"/>
  <c r="IJ148" i="13" s="1"/>
  <c r="IO163" i="13"/>
  <c r="IQ163" i="13" s="1"/>
  <c r="NB163" i="13"/>
  <c r="MZ178" i="13"/>
  <c r="IK178" i="13"/>
  <c r="FD184" i="13"/>
  <c r="MP184" i="13"/>
  <c r="MQ184" i="13" s="1"/>
  <c r="FR184" i="13" s="1"/>
  <c r="FK151" i="13"/>
  <c r="FQ151" i="13" s="1"/>
  <c r="FP151" i="13"/>
  <c r="IW32" i="13"/>
  <c r="IR32" i="13"/>
  <c r="IX32" i="13" s="1"/>
  <c r="IO71" i="13"/>
  <c r="IQ71" i="13" s="1"/>
  <c r="NB71" i="13"/>
  <c r="IO54" i="13"/>
  <c r="IQ54" i="13" s="1"/>
  <c r="NB54" i="13"/>
  <c r="MV204" i="13"/>
  <c r="MU204" i="13"/>
  <c r="GQ204" i="13" s="1"/>
  <c r="GS204" i="13" s="1"/>
  <c r="GU204" i="13" s="1"/>
  <c r="MT204" i="13"/>
  <c r="GC204" i="13"/>
  <c r="GE204" i="13" s="1"/>
  <c r="FD187" i="13"/>
  <c r="MP187" i="13"/>
  <c r="MQ187" i="13" s="1"/>
  <c r="FR187" i="13" s="1"/>
  <c r="IL60" i="13"/>
  <c r="IG60" i="13"/>
  <c r="II60" i="13" s="1"/>
  <c r="IJ60" i="13" s="1"/>
  <c r="FT175" i="13"/>
  <c r="FU175" i="13" s="1"/>
  <c r="FW175" i="13" s="1"/>
  <c r="FX175" i="13" s="1"/>
  <c r="MZ88" i="13"/>
  <c r="IK88" i="13"/>
  <c r="IL21" i="13"/>
  <c r="IG21" i="13"/>
  <c r="II21" i="13" s="1"/>
  <c r="IJ21" i="13" s="1"/>
  <c r="IO158" i="13"/>
  <c r="IQ158" i="13" s="1"/>
  <c r="NB158" i="13"/>
  <c r="MR128" i="13"/>
  <c r="MS128" i="13" s="1"/>
  <c r="FT128" i="13"/>
  <c r="FU128" i="13" s="1"/>
  <c r="FW128" i="13" s="1"/>
  <c r="FX128" i="13" s="1"/>
  <c r="NB24" i="13"/>
  <c r="MV33" i="13"/>
  <c r="MU33" i="13"/>
  <c r="GQ33" i="13" s="1"/>
  <c r="GS33" i="13" s="1"/>
  <c r="GU33" i="13" s="1"/>
  <c r="MT33" i="13"/>
  <c r="FQ200" i="13"/>
  <c r="IL214" i="13"/>
  <c r="IG214" i="13"/>
  <c r="II214" i="13" s="1"/>
  <c r="IJ214" i="13" s="1"/>
  <c r="MZ107" i="13"/>
  <c r="IK107" i="13"/>
  <c r="IO193" i="13"/>
  <c r="IQ193" i="13" s="1"/>
  <c r="NB193" i="13"/>
  <c r="FD56" i="13"/>
  <c r="MP56" i="13"/>
  <c r="MQ56" i="13" s="1"/>
  <c r="FR56" i="13" s="1"/>
  <c r="IO164" i="13"/>
  <c r="IQ164" i="13" s="1"/>
  <c r="NB164" i="13"/>
  <c r="FD109" i="13"/>
  <c r="FE109" i="13" s="1"/>
  <c r="MP109" i="13"/>
  <c r="MQ109" i="13" s="1"/>
  <c r="FR109" i="13" s="1"/>
  <c r="IO172" i="13"/>
  <c r="IQ172" i="13" s="1"/>
  <c r="NB172" i="13"/>
  <c r="FT137" i="13"/>
  <c r="FU137" i="13" s="1"/>
  <c r="FW137" i="13" s="1"/>
  <c r="FX137" i="13" s="1"/>
  <c r="FD170" i="13"/>
  <c r="MP170" i="13"/>
  <c r="MQ170" i="13" s="1"/>
  <c r="FR170" i="13" s="1"/>
  <c r="FD16" i="13"/>
  <c r="MP16" i="13"/>
  <c r="MQ16" i="13" s="1"/>
  <c r="FR16" i="13" s="1"/>
  <c r="FH105" i="13"/>
  <c r="FJ105" i="13" s="1"/>
  <c r="FG105" i="13"/>
  <c r="MZ102" i="13"/>
  <c r="IK102" i="13"/>
  <c r="FD108" i="13"/>
  <c r="MP108" i="13"/>
  <c r="MQ108" i="13" s="1"/>
  <c r="FR108" i="13" s="1"/>
  <c r="FD46" i="13"/>
  <c r="MP46" i="13"/>
  <c r="MQ46" i="13" s="1"/>
  <c r="FR46" i="13" s="1"/>
  <c r="FG117" i="13"/>
  <c r="O5" i="141"/>
  <c r="FD104" i="13"/>
  <c r="MP104" i="13"/>
  <c r="MV198" i="13"/>
  <c r="MU198" i="13"/>
  <c r="GQ198" i="13" s="1"/>
  <c r="GS198" i="13" s="1"/>
  <c r="GU198" i="13" s="1"/>
  <c r="MT198" i="13"/>
  <c r="GC198" i="13"/>
  <c r="GE198" i="13" s="1"/>
  <c r="IO143" i="13"/>
  <c r="IQ143" i="13" s="1"/>
  <c r="NB143" i="13"/>
  <c r="MZ22" i="13"/>
  <c r="IK22" i="13"/>
  <c r="FT90" i="13"/>
  <c r="FU90" i="13" s="1"/>
  <c r="FW90" i="13" s="1"/>
  <c r="FX90" i="13" s="1"/>
  <c r="IO148" i="13"/>
  <c r="IQ148" i="13" s="1"/>
  <c r="NB148" i="13"/>
  <c r="IG195" i="13"/>
  <c r="II195" i="13" s="1"/>
  <c r="IJ195" i="13" s="1"/>
  <c r="IL195" i="13"/>
  <c r="MZ184" i="13"/>
  <c r="IK184" i="13"/>
  <c r="FD185" i="13"/>
  <c r="MP185" i="13"/>
  <c r="MQ185" i="13" s="1"/>
  <c r="FR185" i="13" s="1"/>
  <c r="MV98" i="13"/>
  <c r="MU98" i="13"/>
  <c r="GQ98" i="13" s="1"/>
  <c r="GS98" i="13" s="1"/>
  <c r="GU98" i="13" s="1"/>
  <c r="MT98" i="13"/>
  <c r="GC98" i="13"/>
  <c r="GE98" i="13" s="1"/>
  <c r="IL26" i="13"/>
  <c r="IG26" i="13"/>
  <c r="II26" i="13" s="1"/>
  <c r="IJ26" i="13" s="1"/>
  <c r="FT172" i="13"/>
  <c r="FU172" i="13" s="1"/>
  <c r="FW172" i="13" s="1"/>
  <c r="FX172" i="13" s="1"/>
  <c r="MR172" i="13"/>
  <c r="MS172" i="13" s="1"/>
  <c r="FP23" i="13"/>
  <c r="FK23" i="13"/>
  <c r="FQ23" i="13" s="1"/>
  <c r="MZ12" i="13"/>
  <c r="IK12" i="13"/>
  <c r="MZ187" i="13"/>
  <c r="IK187" i="13"/>
  <c r="FP33" i="13"/>
  <c r="FK33" i="13"/>
  <c r="FQ33" i="13" s="1"/>
  <c r="IO60" i="13"/>
  <c r="IQ60" i="13" s="1"/>
  <c r="NB60" i="13"/>
  <c r="IL106" i="13"/>
  <c r="IG106" i="13"/>
  <c r="II106" i="13" s="1"/>
  <c r="IJ106" i="13" s="1"/>
  <c r="IL212" i="13"/>
  <c r="IG212" i="13"/>
  <c r="II212" i="13" s="1"/>
  <c r="IJ212" i="13" s="1"/>
  <c r="FD88" i="13"/>
  <c r="MP88" i="13"/>
  <c r="MQ88" i="13" s="1"/>
  <c r="FR88" i="13" s="1"/>
  <c r="FH138" i="13"/>
  <c r="FJ138" i="13" s="1"/>
  <c r="FG138" i="13"/>
  <c r="IO21" i="13"/>
  <c r="IQ21" i="13" s="1"/>
  <c r="NB21" i="13"/>
  <c r="MV194" i="13"/>
  <c r="MU194" i="13"/>
  <c r="GQ194" i="13" s="1"/>
  <c r="GS194" i="13" s="1"/>
  <c r="GU194" i="13" s="1"/>
  <c r="MT194" i="13"/>
  <c r="GC194" i="13"/>
  <c r="GE194" i="13" s="1"/>
  <c r="IL65" i="13"/>
  <c r="IG65" i="13"/>
  <c r="II65" i="13" s="1"/>
  <c r="IJ65" i="13" s="1"/>
  <c r="MV26" i="13"/>
  <c r="MU26" i="13"/>
  <c r="GQ26" i="13" s="1"/>
  <c r="GS26" i="13" s="1"/>
  <c r="GU26" i="13" s="1"/>
  <c r="MT26" i="13"/>
  <c r="MR24" i="13"/>
  <c r="MS24" i="13" s="1"/>
  <c r="FT24" i="13"/>
  <c r="FU24" i="13" s="1"/>
  <c r="FW24" i="13" s="1"/>
  <c r="FX24" i="13" s="1"/>
  <c r="IO214" i="13"/>
  <c r="IQ214" i="13" s="1"/>
  <c r="NB214" i="13"/>
  <c r="FD107" i="13"/>
  <c r="MP107" i="13"/>
  <c r="MQ107" i="13" s="1"/>
  <c r="FR107" i="13" s="1"/>
  <c r="MZ56" i="13"/>
  <c r="IK56" i="13"/>
  <c r="FH127" i="13"/>
  <c r="FJ127" i="13" s="1"/>
  <c r="FG127" i="13"/>
  <c r="IL33" i="13"/>
  <c r="IG33" i="13"/>
  <c r="II33" i="13" s="1"/>
  <c r="IJ33" i="13" s="1"/>
  <c r="MZ109" i="13"/>
  <c r="IK109" i="13"/>
  <c r="MV23" i="13"/>
  <c r="MU23" i="13"/>
  <c r="GQ23" i="13" s="1"/>
  <c r="GS23" i="13" s="1"/>
  <c r="GU23" i="13" s="1"/>
  <c r="MT23" i="13"/>
  <c r="MP177" i="13"/>
  <c r="MQ177" i="13" s="1"/>
  <c r="FR177" i="13" s="1"/>
  <c r="MZ170" i="13"/>
  <c r="IK170" i="13"/>
  <c r="FD146" i="13"/>
  <c r="MP146" i="13"/>
  <c r="MQ146" i="13" s="1"/>
  <c r="FR146" i="13" s="1"/>
  <c r="FF113" i="13"/>
  <c r="MP113" i="13"/>
  <c r="MQ113" i="13" s="1"/>
  <c r="FR113" i="13" s="1"/>
  <c r="MZ68" i="13"/>
  <c r="IK68" i="13"/>
  <c r="FD190" i="13"/>
  <c r="MP190" i="13"/>
  <c r="MQ190" i="13" s="1"/>
  <c r="FR190" i="13" s="1"/>
  <c r="FD55" i="13"/>
  <c r="MP55" i="13"/>
  <c r="MQ55" i="13" s="1"/>
  <c r="FR55" i="13" s="1"/>
  <c r="FD99" i="13"/>
  <c r="MP99" i="13"/>
  <c r="MQ99" i="13" s="1"/>
  <c r="FR99" i="13" s="1"/>
  <c r="FG103" i="13"/>
  <c r="FE90" i="13"/>
  <c r="FH90" i="13"/>
  <c r="FJ90" i="13" s="1"/>
  <c r="IL149" i="13"/>
  <c r="IG149" i="13"/>
  <c r="II149" i="13" s="1"/>
  <c r="IJ149" i="13" s="1"/>
  <c r="FT203" i="13"/>
  <c r="FU203" i="13" s="1"/>
  <c r="FW203" i="13" s="1"/>
  <c r="FX203" i="13" s="1"/>
  <c r="IO195" i="13"/>
  <c r="IQ195" i="13" s="1"/>
  <c r="NB195" i="13"/>
  <c r="FP156" i="13"/>
  <c r="FK156" i="13"/>
  <c r="FQ156" i="13" s="1"/>
  <c r="FD39" i="13"/>
  <c r="MP39" i="13"/>
  <c r="MQ39" i="13" s="1"/>
  <c r="FR39" i="13" s="1"/>
  <c r="IL67" i="13"/>
  <c r="IG67" i="13"/>
  <c r="II67" i="13" s="1"/>
  <c r="IJ67" i="13" s="1"/>
  <c r="MZ185" i="13"/>
  <c r="IK185" i="13"/>
  <c r="MR158" i="13"/>
  <c r="MS158" i="13" s="1"/>
  <c r="IO26" i="13"/>
  <c r="IQ26" i="13" s="1"/>
  <c r="NB26" i="13"/>
  <c r="IL82" i="13"/>
  <c r="IG82" i="13"/>
  <c r="II82" i="13" s="1"/>
  <c r="IJ82" i="13" s="1"/>
  <c r="FD12" i="13"/>
  <c r="MP12" i="13"/>
  <c r="MQ12" i="13" s="1"/>
  <c r="FR12" i="13" s="1"/>
  <c r="FT82" i="13"/>
  <c r="FU82" i="13" s="1"/>
  <c r="FW82" i="13" s="1"/>
  <c r="FX82" i="13" s="1"/>
  <c r="IL28" i="13"/>
  <c r="IG28" i="13"/>
  <c r="II28" i="13" s="1"/>
  <c r="IJ28" i="13" s="1"/>
  <c r="FP63" i="13"/>
  <c r="FK63" i="13"/>
  <c r="FQ63" i="13" s="1"/>
  <c r="FT154" i="13"/>
  <c r="FU154" i="13" s="1"/>
  <c r="FW154" i="13" s="1"/>
  <c r="FX154" i="13" s="1"/>
  <c r="IO106" i="13"/>
  <c r="IQ106" i="13" s="1"/>
  <c r="NB106" i="13"/>
  <c r="IO212" i="13"/>
  <c r="IQ212" i="13" s="1"/>
  <c r="NB212" i="13"/>
  <c r="MZ97" i="13"/>
  <c r="IK97" i="13"/>
  <c r="IO65" i="13"/>
  <c r="IQ65" i="13" s="1"/>
  <c r="NB65" i="13"/>
  <c r="IL141" i="13"/>
  <c r="IG141" i="13"/>
  <c r="II141" i="13" s="1"/>
  <c r="IJ141" i="13" s="1"/>
  <c r="MP127" i="13"/>
  <c r="MQ127" i="13" s="1"/>
  <c r="FR127" i="13" s="1"/>
  <c r="FT182" i="13"/>
  <c r="FU182" i="13" s="1"/>
  <c r="FW182" i="13" s="1"/>
  <c r="FX182" i="13" s="1"/>
  <c r="IG53" i="13"/>
  <c r="II53" i="13" s="1"/>
  <c r="IJ53" i="13" s="1"/>
  <c r="IL53" i="13"/>
  <c r="NB84" i="13"/>
  <c r="IO33" i="13"/>
  <c r="IQ33" i="13" s="1"/>
  <c r="NB33" i="13"/>
  <c r="MR40" i="13"/>
  <c r="MS40" i="13" s="1"/>
  <c r="IL165" i="13"/>
  <c r="IG165" i="13"/>
  <c r="II165" i="13" s="1"/>
  <c r="IJ165" i="13" s="1"/>
  <c r="FH137" i="13"/>
  <c r="FJ137" i="13" s="1"/>
  <c r="FG137" i="13"/>
  <c r="FP73" i="13"/>
  <c r="FK73" i="13"/>
  <c r="FQ73" i="13" s="1"/>
  <c r="MZ146" i="13"/>
  <c r="IK146" i="13"/>
  <c r="FD78" i="13"/>
  <c r="MP78" i="13"/>
  <c r="MQ78" i="13" s="1"/>
  <c r="FR78" i="13" s="1"/>
  <c r="FD188" i="13"/>
  <c r="MP188" i="13"/>
  <c r="MQ188" i="13" s="1"/>
  <c r="FR188" i="13" s="1"/>
  <c r="FD68" i="13"/>
  <c r="MP68" i="13"/>
  <c r="MQ68" i="13" s="1"/>
  <c r="FR68" i="13" s="1"/>
  <c r="MZ190" i="13"/>
  <c r="IK190" i="13"/>
  <c r="MZ55" i="13"/>
  <c r="IK55" i="13"/>
  <c r="MZ99" i="13"/>
  <c r="IK99" i="13"/>
  <c r="MZ27" i="13"/>
  <c r="IK27" i="13"/>
  <c r="NB76" i="13"/>
  <c r="IO76" i="13"/>
  <c r="IQ76" i="13" s="1"/>
  <c r="IR87" i="13"/>
  <c r="IX87" i="13" s="1"/>
  <c r="IW87" i="13"/>
  <c r="MV48" i="13"/>
  <c r="MU48" i="13"/>
  <c r="GQ48" i="13" s="1"/>
  <c r="GS48" i="13" s="1"/>
  <c r="GU48" i="13" s="1"/>
  <c r="MT48" i="13"/>
  <c r="GC48" i="13"/>
  <c r="GE48" i="13" s="1"/>
  <c r="IO58" i="13"/>
  <c r="IQ58" i="13" s="1"/>
  <c r="NB58" i="13"/>
  <c r="FP92" i="13"/>
  <c r="FK92" i="13"/>
  <c r="IL129" i="13"/>
  <c r="IG129" i="13"/>
  <c r="II129" i="13" s="1"/>
  <c r="IJ129" i="13" s="1"/>
  <c r="FP54" i="13"/>
  <c r="FK54" i="13"/>
  <c r="FQ54" i="13" s="1"/>
  <c r="IO149" i="13"/>
  <c r="IQ149" i="13" s="1"/>
  <c r="NB149" i="13"/>
  <c r="FT159" i="13"/>
  <c r="FU159" i="13" s="1"/>
  <c r="FW159" i="13" s="1"/>
  <c r="FX159" i="13" s="1"/>
  <c r="IG112" i="13"/>
  <c r="II112" i="13" s="1"/>
  <c r="IJ112" i="13" s="1"/>
  <c r="IL112" i="13"/>
  <c r="MZ39" i="13"/>
  <c r="IK39" i="13"/>
  <c r="IR67" i="13"/>
  <c r="IX67" i="13" s="1"/>
  <c r="IW67" i="13"/>
  <c r="FD110" i="13"/>
  <c r="MP110" i="13"/>
  <c r="MQ110" i="13" s="1"/>
  <c r="FR110" i="13" s="1"/>
  <c r="MT173" i="13"/>
  <c r="MV173" i="13"/>
  <c r="MU173" i="13"/>
  <c r="GQ173" i="13" s="1"/>
  <c r="GS173" i="13" s="1"/>
  <c r="GU173" i="13" s="1"/>
  <c r="GC173" i="13"/>
  <c r="GE173" i="13" s="1"/>
  <c r="IG37" i="13"/>
  <c r="II37" i="13" s="1"/>
  <c r="IJ37" i="13" s="1"/>
  <c r="IL37" i="13"/>
  <c r="IO82" i="13"/>
  <c r="IQ82" i="13" s="1"/>
  <c r="NB82" i="13"/>
  <c r="FE82" i="13"/>
  <c r="FH82" i="13"/>
  <c r="FJ82" i="13" s="1"/>
  <c r="NB28" i="13"/>
  <c r="IO28" i="13"/>
  <c r="IQ28" i="13" s="1"/>
  <c r="NC75" i="13"/>
  <c r="IY75" i="13"/>
  <c r="IL118" i="13"/>
  <c r="IG118" i="13"/>
  <c r="II118" i="13" s="1"/>
  <c r="IJ118" i="13" s="1"/>
  <c r="FP213" i="13"/>
  <c r="FK213" i="13"/>
  <c r="FQ213" i="13" s="1"/>
  <c r="MU165" i="13"/>
  <c r="GQ165" i="13" s="1"/>
  <c r="GS165" i="13" s="1"/>
  <c r="GU165" i="13" s="1"/>
  <c r="MT165" i="13"/>
  <c r="MV165" i="13"/>
  <c r="GC165" i="13"/>
  <c r="GE165" i="13" s="1"/>
  <c r="FD97" i="13"/>
  <c r="MP97" i="13"/>
  <c r="MQ97" i="13" s="1"/>
  <c r="FR97" i="13" s="1"/>
  <c r="FH134" i="13"/>
  <c r="FJ134" i="13" s="1"/>
  <c r="FG134" i="13"/>
  <c r="IL105" i="13"/>
  <c r="IG105" i="13"/>
  <c r="II105" i="13" s="1"/>
  <c r="IJ105" i="13" s="1"/>
  <c r="IO141" i="13"/>
  <c r="IQ141" i="13" s="1"/>
  <c r="NB141" i="13"/>
  <c r="FT156" i="13"/>
  <c r="FU156" i="13" s="1"/>
  <c r="FW156" i="13" s="1"/>
  <c r="FX156" i="13" s="1"/>
  <c r="NB182" i="13"/>
  <c r="IO53" i="13"/>
  <c r="IQ53" i="13" s="1"/>
  <c r="NB53" i="13"/>
  <c r="MR87" i="13"/>
  <c r="MS87" i="13" s="1"/>
  <c r="FT87" i="13"/>
  <c r="FU87" i="13" s="1"/>
  <c r="FW87" i="13" s="1"/>
  <c r="FX87" i="13" s="1"/>
  <c r="FP36" i="13"/>
  <c r="FK36" i="13"/>
  <c r="FQ36" i="13" s="1"/>
  <c r="IL85" i="13"/>
  <c r="IG85" i="13"/>
  <c r="II85" i="13" s="1"/>
  <c r="IJ85" i="13" s="1"/>
  <c r="MV73" i="13"/>
  <c r="MU73" i="13"/>
  <c r="GQ73" i="13" s="1"/>
  <c r="GS73" i="13" s="1"/>
  <c r="GU73" i="13" s="1"/>
  <c r="MT73" i="13"/>
  <c r="GC73" i="13"/>
  <c r="GE73" i="13" s="1"/>
  <c r="FF212" i="13"/>
  <c r="MP212" i="13"/>
  <c r="MQ212" i="13" s="1"/>
  <c r="FR212" i="13" s="1"/>
  <c r="FT84" i="13"/>
  <c r="FU84" i="13" s="1"/>
  <c r="FW84" i="13" s="1"/>
  <c r="FX84" i="13" s="1"/>
  <c r="MR85" i="13"/>
  <c r="MS85" i="13" s="1"/>
  <c r="FT85" i="13"/>
  <c r="FU85" i="13" s="1"/>
  <c r="FW85" i="13" s="1"/>
  <c r="FX85" i="13" s="1"/>
  <c r="MV80" i="13"/>
  <c r="MU80" i="13"/>
  <c r="GQ80" i="13" s="1"/>
  <c r="GS80" i="13" s="1"/>
  <c r="GU80" i="13" s="1"/>
  <c r="MT80" i="13"/>
  <c r="GC80" i="13"/>
  <c r="GE80" i="13" s="1"/>
  <c r="JA35" i="13"/>
  <c r="ND35" i="13"/>
  <c r="NE35" i="13" s="1"/>
  <c r="FP154" i="13"/>
  <c r="FK154" i="13"/>
  <c r="FT157" i="13"/>
  <c r="FU157" i="13" s="1"/>
  <c r="FW157" i="13" s="1"/>
  <c r="FX157" i="13" s="1"/>
  <c r="IO165" i="13"/>
  <c r="IQ165" i="13" s="1"/>
  <c r="NB165" i="13"/>
  <c r="MV71" i="13"/>
  <c r="MU71" i="13"/>
  <c r="GQ71" i="13" s="1"/>
  <c r="GS71" i="13" s="1"/>
  <c r="GU71" i="13" s="1"/>
  <c r="MT71" i="13"/>
  <c r="GC71" i="13"/>
  <c r="GE71" i="13" s="1"/>
  <c r="IL159" i="13"/>
  <c r="IG159" i="13"/>
  <c r="II159" i="13" s="1"/>
  <c r="IJ159" i="13" s="1"/>
  <c r="MZ78" i="13"/>
  <c r="IK78" i="13"/>
  <c r="MZ188" i="13"/>
  <c r="IK188" i="13"/>
  <c r="MZ17" i="13"/>
  <c r="IK17" i="13"/>
  <c r="MZ77" i="13"/>
  <c r="IK77" i="13"/>
  <c r="FD27" i="13"/>
  <c r="MP27" i="13"/>
  <c r="MQ27" i="13" s="1"/>
  <c r="FR27" i="13" s="1"/>
  <c r="FT124" i="13"/>
  <c r="FU124" i="13" s="1"/>
  <c r="FW124" i="13" s="1"/>
  <c r="FX124" i="13" s="1"/>
  <c r="FT92" i="13"/>
  <c r="FU92" i="13" s="1"/>
  <c r="FW92" i="13" s="1"/>
  <c r="FX92" i="13" s="1"/>
  <c r="IO129" i="13"/>
  <c r="IQ129" i="13" s="1"/>
  <c r="NB129" i="13"/>
  <c r="FP192" i="13"/>
  <c r="FK192" i="13"/>
  <c r="FP74" i="13"/>
  <c r="FK74" i="13"/>
  <c r="IO112" i="13"/>
  <c r="IQ112" i="13" s="1"/>
  <c r="NB112" i="13"/>
  <c r="MZ95" i="13"/>
  <c r="IK95" i="13"/>
  <c r="FP21" i="13"/>
  <c r="FK21" i="13"/>
  <c r="FQ21" i="13" s="1"/>
  <c r="MZ110" i="13"/>
  <c r="IK110" i="13"/>
  <c r="FE177" i="13"/>
  <c r="FH177" i="13"/>
  <c r="FJ177" i="13" s="1"/>
  <c r="IO37" i="13"/>
  <c r="IQ37" i="13" s="1"/>
  <c r="NB37" i="13"/>
  <c r="FP84" i="13"/>
  <c r="FK84" i="13"/>
  <c r="MV25" i="13"/>
  <c r="MU25" i="13"/>
  <c r="GQ25" i="13" s="1"/>
  <c r="GS25" i="13" s="1"/>
  <c r="GU25" i="13" s="1"/>
  <c r="MT25" i="13"/>
  <c r="IL200" i="13"/>
  <c r="IG200" i="13"/>
  <c r="II200" i="13" s="1"/>
  <c r="IJ200" i="13" s="1"/>
  <c r="FP59" i="13"/>
  <c r="FK59" i="13"/>
  <c r="FQ59" i="13" s="1"/>
  <c r="IL174" i="13"/>
  <c r="IG174" i="13"/>
  <c r="II174" i="13" s="1"/>
  <c r="IJ174" i="13" s="1"/>
  <c r="IL40" i="13"/>
  <c r="IG40" i="13"/>
  <c r="II40" i="13" s="1"/>
  <c r="IJ40" i="13" s="1"/>
  <c r="FT75" i="13"/>
  <c r="FU75" i="13" s="1"/>
  <c r="FW75" i="13" s="1"/>
  <c r="FX75" i="13" s="1"/>
  <c r="IO118" i="13"/>
  <c r="IQ118" i="13" s="1"/>
  <c r="NB118" i="13"/>
  <c r="MZ205" i="13"/>
  <c r="IK205" i="13"/>
  <c r="IW105" i="13"/>
  <c r="IR105" i="13"/>
  <c r="IX105" i="13" s="1"/>
  <c r="FP31" i="13"/>
  <c r="FK31" i="13"/>
  <c r="FQ31" i="13" s="1"/>
  <c r="FH94" i="13"/>
  <c r="FJ94" i="13" s="1"/>
  <c r="IL171" i="13"/>
  <c r="IG171" i="13"/>
  <c r="II171" i="13" s="1"/>
  <c r="IJ171" i="13" s="1"/>
  <c r="IG50" i="13"/>
  <c r="II50" i="13" s="1"/>
  <c r="IJ50" i="13" s="1"/>
  <c r="IL50" i="13"/>
  <c r="MR195" i="13"/>
  <c r="MS195" i="13" s="1"/>
  <c r="FD96" i="13"/>
  <c r="MP96" i="13"/>
  <c r="MQ96" i="13" s="1"/>
  <c r="FR96" i="13" s="1"/>
  <c r="IL123" i="13"/>
  <c r="IG123" i="13"/>
  <c r="II123" i="13" s="1"/>
  <c r="IJ123" i="13" s="1"/>
  <c r="NB87" i="13"/>
  <c r="IO85" i="13"/>
  <c r="IQ85" i="13" s="1"/>
  <c r="NB85" i="13"/>
  <c r="FD168" i="13"/>
  <c r="MP168" i="13"/>
  <c r="MQ168" i="13" s="1"/>
  <c r="FR168" i="13" s="1"/>
  <c r="NC155" i="13"/>
  <c r="IY155" i="13"/>
  <c r="IL51" i="13"/>
  <c r="IG51" i="13"/>
  <c r="II51" i="13" s="1"/>
  <c r="IJ51" i="13" s="1"/>
  <c r="IO159" i="13"/>
  <c r="IQ159" i="13" s="1"/>
  <c r="NB159" i="13"/>
  <c r="MZ136" i="13"/>
  <c r="IK136" i="13"/>
  <c r="FH128" i="13"/>
  <c r="FJ128" i="13" s="1"/>
  <c r="FG128" i="13"/>
  <c r="MZ13" i="13"/>
  <c r="IK13" i="13"/>
  <c r="MZ196" i="13"/>
  <c r="IK196" i="13"/>
  <c r="FP5" i="13"/>
  <c r="FP6" i="13"/>
  <c r="FD17" i="13"/>
  <c r="MP17" i="13"/>
  <c r="MQ17" i="13" s="1"/>
  <c r="FF106" i="13"/>
  <c r="MP106" i="13"/>
  <c r="MQ106" i="13" s="1"/>
  <c r="FR106" i="13" s="1"/>
  <c r="FD77" i="13"/>
  <c r="MP77" i="13"/>
  <c r="MQ77" i="13" s="1"/>
  <c r="FR77" i="13" s="1"/>
  <c r="MZ203" i="13"/>
  <c r="IK203" i="13"/>
  <c r="FF116" i="13"/>
  <c r="MP116" i="13"/>
  <c r="MQ116" i="13" s="1"/>
  <c r="FR116" i="13" s="1"/>
  <c r="MZ103" i="13"/>
  <c r="IK103" i="13"/>
  <c r="FD101" i="13"/>
  <c r="MP101" i="13"/>
  <c r="MQ101" i="13" s="1"/>
  <c r="FR101" i="13" s="1"/>
  <c r="MV42" i="13"/>
  <c r="MU42" i="13"/>
  <c r="GQ42" i="13" s="1"/>
  <c r="GS42" i="13" s="1"/>
  <c r="GU42" i="13" s="1"/>
  <c r="MT42" i="13"/>
  <c r="GC42" i="13"/>
  <c r="GE42" i="13" s="1"/>
  <c r="IG122" i="13"/>
  <c r="II122" i="13" s="1"/>
  <c r="IJ122" i="13" s="1"/>
  <c r="IL122" i="13"/>
  <c r="FD95" i="13"/>
  <c r="MP95" i="13"/>
  <c r="MQ95" i="13" s="1"/>
  <c r="FR95" i="13" s="1"/>
  <c r="FT76" i="13"/>
  <c r="FU76" i="13" s="1"/>
  <c r="FW76" i="13" s="1"/>
  <c r="FX76" i="13" s="1"/>
  <c r="MZ177" i="13"/>
  <c r="IK177" i="13"/>
  <c r="MV34" i="13"/>
  <c r="MU34" i="13"/>
  <c r="GQ34" i="13" s="1"/>
  <c r="GS34" i="13" s="1"/>
  <c r="GU34" i="13" s="1"/>
  <c r="MT34" i="13"/>
  <c r="IR200" i="13"/>
  <c r="IX200" i="13" s="1"/>
  <c r="IW200" i="13"/>
  <c r="MR149" i="13"/>
  <c r="MS149" i="13" s="1"/>
  <c r="IO174" i="13"/>
  <c r="IQ174" i="13" s="1"/>
  <c r="NB174" i="13"/>
  <c r="MT213" i="13"/>
  <c r="MV213" i="13"/>
  <c r="MU213" i="13"/>
  <c r="GQ213" i="13" s="1"/>
  <c r="GS213" i="13" s="1"/>
  <c r="GU213" i="13" s="1"/>
  <c r="GC213" i="13"/>
  <c r="GE213" i="13" s="1"/>
  <c r="IO40" i="13"/>
  <c r="IQ40" i="13" s="1"/>
  <c r="NB40" i="13"/>
  <c r="FT151" i="13"/>
  <c r="FU151" i="13" s="1"/>
  <c r="FW151" i="13" s="1"/>
  <c r="FX151" i="13" s="1"/>
  <c r="FF207" i="13"/>
  <c r="MP207" i="13"/>
  <c r="MQ207" i="13" s="1"/>
  <c r="FR207" i="13" s="1"/>
  <c r="FD205" i="13"/>
  <c r="MP205" i="13"/>
  <c r="MQ205" i="13" s="1"/>
  <c r="FR205" i="13" s="1"/>
  <c r="FP211" i="13"/>
  <c r="FK211" i="13"/>
  <c r="FQ211" i="13" s="1"/>
  <c r="FP165" i="13"/>
  <c r="FK165" i="13"/>
  <c r="FQ165" i="13" s="1"/>
  <c r="FP72" i="13"/>
  <c r="FK72" i="13"/>
  <c r="FQ72" i="13" s="1"/>
  <c r="IL128" i="13"/>
  <c r="IG128" i="13"/>
  <c r="II128" i="13" s="1"/>
  <c r="IJ128" i="13" s="1"/>
  <c r="IO171" i="13"/>
  <c r="IQ171" i="13" s="1"/>
  <c r="NB171" i="13"/>
  <c r="IO50" i="13"/>
  <c r="IQ50" i="13" s="1"/>
  <c r="NB50" i="13"/>
  <c r="MZ96" i="13"/>
  <c r="IK96" i="13"/>
  <c r="IO123" i="13"/>
  <c r="IQ123" i="13" s="1"/>
  <c r="NB123" i="13"/>
  <c r="FP203" i="13"/>
  <c r="FK203" i="13"/>
  <c r="FQ203" i="13" s="1"/>
  <c r="FP172" i="13"/>
  <c r="FK172" i="13"/>
  <c r="FQ172" i="13" s="1"/>
  <c r="IL189" i="13"/>
  <c r="IG189" i="13"/>
  <c r="II189" i="13" s="1"/>
  <c r="IJ189" i="13" s="1"/>
  <c r="MZ168" i="13"/>
  <c r="IK168" i="13"/>
  <c r="FT155" i="13"/>
  <c r="FU155" i="13" s="1"/>
  <c r="FW155" i="13" s="1"/>
  <c r="FX155" i="13" s="1"/>
  <c r="IG121" i="13"/>
  <c r="II121" i="13" s="1"/>
  <c r="IJ121" i="13" s="1"/>
  <c r="IL121" i="13"/>
  <c r="FH28" i="13"/>
  <c r="FJ28" i="13" s="1"/>
  <c r="FP171" i="13"/>
  <c r="FK171" i="13"/>
  <c r="FQ171" i="13" s="1"/>
  <c r="MP179" i="13"/>
  <c r="MQ179" i="13" s="1"/>
  <c r="FR179" i="13" s="1"/>
  <c r="IW51" i="13"/>
  <c r="IR51" i="13"/>
  <c r="IX51" i="13" s="1"/>
  <c r="FD199" i="13"/>
  <c r="MP199" i="13"/>
  <c r="MQ199" i="13" s="1"/>
  <c r="FR199" i="13" s="1"/>
  <c r="MZ18" i="13"/>
  <c r="IK18" i="13"/>
  <c r="FD136" i="13"/>
  <c r="FE136" i="13" s="1"/>
  <c r="MP136" i="13"/>
  <c r="MQ136" i="13" s="1"/>
  <c r="FR136" i="13" s="1"/>
  <c r="FD13" i="13"/>
  <c r="MP13" i="13"/>
  <c r="MQ13" i="13" s="1"/>
  <c r="FR13" i="13" s="1"/>
  <c r="FD183" i="13"/>
  <c r="MP183" i="13"/>
  <c r="MQ183" i="13" s="1"/>
  <c r="FR183" i="13" s="1"/>
  <c r="FD180" i="13"/>
  <c r="MP180" i="13"/>
  <c r="MQ180" i="13" s="1"/>
  <c r="FR180" i="13" s="1"/>
  <c r="FD103" i="13"/>
  <c r="FE103" i="13" s="1"/>
  <c r="MP103" i="13"/>
  <c r="MQ103" i="13" s="1"/>
  <c r="FR103" i="13" s="1"/>
  <c r="FH129" i="13"/>
  <c r="FJ129" i="13" s="1"/>
  <c r="MV37" i="13"/>
  <c r="MU37" i="13"/>
  <c r="GQ37" i="13" s="1"/>
  <c r="GS37" i="13" s="1"/>
  <c r="GU37" i="13" s="1"/>
  <c r="MT37" i="13"/>
  <c r="GC37" i="13"/>
  <c r="GE37" i="13" s="1"/>
  <c r="FT67" i="13"/>
  <c r="FU67" i="13" s="1"/>
  <c r="FW67" i="13" s="1"/>
  <c r="FX67" i="13" s="1"/>
  <c r="IG73" i="13"/>
  <c r="II73" i="13" s="1"/>
  <c r="IJ73" i="13" s="1"/>
  <c r="IL73" i="13"/>
  <c r="NC51" i="13"/>
  <c r="IY51" i="13"/>
  <c r="IL84" i="13"/>
  <c r="IG84" i="13"/>
  <c r="II84" i="13" s="1"/>
  <c r="IJ84" i="13" s="1"/>
  <c r="IL201" i="13"/>
  <c r="IG201" i="13"/>
  <c r="II201" i="13" s="1"/>
  <c r="IJ201" i="13" s="1"/>
  <c r="IL207" i="13"/>
  <c r="IG207" i="13"/>
  <c r="II207" i="13" s="1"/>
  <c r="IJ207" i="13" s="1"/>
  <c r="IL210" i="13"/>
  <c r="IG210" i="13"/>
  <c r="II210" i="13" s="1"/>
  <c r="IJ210" i="13" s="1"/>
  <c r="NB32" i="13"/>
  <c r="FD209" i="13"/>
  <c r="MP209" i="13"/>
  <c r="MQ209" i="13" s="1"/>
  <c r="FR209" i="13" s="1"/>
  <c r="IR128" i="13"/>
  <c r="IX128" i="13" s="1"/>
  <c r="IW128" i="13"/>
  <c r="IL131" i="13"/>
  <c r="IG131" i="13"/>
  <c r="II131" i="13" s="1"/>
  <c r="IJ131" i="13" s="1"/>
  <c r="IL135" i="13"/>
  <c r="IG135" i="13"/>
  <c r="II135" i="13" s="1"/>
  <c r="IJ135" i="13" s="1"/>
  <c r="FT41" i="13"/>
  <c r="FU41" i="13" s="1"/>
  <c r="FW41" i="13" s="1"/>
  <c r="FX41" i="13" s="1"/>
  <c r="IO189" i="13"/>
  <c r="IQ189" i="13" s="1"/>
  <c r="NB189" i="13"/>
  <c r="IO121" i="13"/>
  <c r="IQ121" i="13" s="1"/>
  <c r="NB121" i="13"/>
  <c r="IL176" i="13"/>
  <c r="IG176" i="13"/>
  <c r="II176" i="13" s="1"/>
  <c r="IJ176" i="13" s="1"/>
  <c r="MZ199" i="13"/>
  <c r="IK199" i="13"/>
  <c r="MR93" i="13"/>
  <c r="MS93" i="13" s="1"/>
  <c r="FK91" i="13"/>
  <c r="FQ91" i="13" s="1"/>
  <c r="FP91" i="13"/>
  <c r="FD18" i="13"/>
  <c r="MP18" i="13"/>
  <c r="MQ18" i="13" s="1"/>
  <c r="FR18" i="13" s="1"/>
  <c r="MZ156" i="13"/>
  <c r="IK156" i="13"/>
  <c r="MZ208" i="13"/>
  <c r="IK208" i="13"/>
  <c r="MZ183" i="13"/>
  <c r="IK183" i="13"/>
  <c r="FH142" i="13"/>
  <c r="FJ142" i="13" s="1"/>
  <c r="FG142" i="13"/>
  <c r="MZ180" i="13"/>
  <c r="IK180" i="13"/>
  <c r="MZ140" i="13"/>
  <c r="IK140" i="13"/>
  <c r="IO122" i="13"/>
  <c r="IQ122" i="13" s="1"/>
  <c r="NB122" i="13"/>
  <c r="FP155" i="13"/>
  <c r="FK155" i="13"/>
  <c r="FQ155" i="13" s="1"/>
  <c r="IL59" i="13"/>
  <c r="IG59" i="13"/>
  <c r="II59" i="13" s="1"/>
  <c r="IJ59" i="13" s="1"/>
  <c r="FP197" i="13"/>
  <c r="FK197" i="13"/>
  <c r="FQ197" i="13" s="1"/>
  <c r="IG52" i="13"/>
  <c r="II52" i="13" s="1"/>
  <c r="IJ52" i="13" s="1"/>
  <c r="IL52" i="13"/>
  <c r="IO204" i="13"/>
  <c r="IQ204" i="13" s="1"/>
  <c r="NB204" i="13"/>
  <c r="MZ181" i="13"/>
  <c r="IK181" i="13"/>
  <c r="NB67" i="13"/>
  <c r="IL114" i="13"/>
  <c r="IG114" i="13"/>
  <c r="II114" i="13" s="1"/>
  <c r="IJ114" i="13" s="1"/>
  <c r="IO80" i="13"/>
  <c r="IQ80" i="13" s="1"/>
  <c r="NB80" i="13"/>
  <c r="FD86" i="13"/>
  <c r="MP86" i="13"/>
  <c r="MQ86" i="13" s="1"/>
  <c r="FR86" i="13" s="1"/>
  <c r="IO73" i="13"/>
  <c r="IQ73" i="13" s="1"/>
  <c r="NB73" i="13"/>
  <c r="FT51" i="13"/>
  <c r="FU51" i="13" s="1"/>
  <c r="FW51" i="13" s="1"/>
  <c r="FX51" i="13" s="1"/>
  <c r="IW84" i="13"/>
  <c r="IR84" i="13"/>
  <c r="IX84" i="13" s="1"/>
  <c r="IW201" i="13"/>
  <c r="IR201" i="13"/>
  <c r="IX201" i="13" s="1"/>
  <c r="IO207" i="13"/>
  <c r="IQ207" i="13" s="1"/>
  <c r="NB207" i="13"/>
  <c r="IW210" i="13"/>
  <c r="IR210" i="13"/>
  <c r="IX210" i="13" s="1"/>
  <c r="FT105" i="13"/>
  <c r="FU105" i="13" s="1"/>
  <c r="FW105" i="13" s="1"/>
  <c r="FX105" i="13" s="1"/>
  <c r="MR32" i="13"/>
  <c r="MS32" i="13" s="1"/>
  <c r="FT32" i="13"/>
  <c r="FU32" i="13" s="1"/>
  <c r="FW32" i="13" s="1"/>
  <c r="FX32" i="13" s="1"/>
  <c r="MZ209" i="13"/>
  <c r="IK209" i="13"/>
  <c r="IG36" i="13"/>
  <c r="II36" i="13" s="1"/>
  <c r="IJ36" i="13" s="1"/>
  <c r="IL36" i="13"/>
  <c r="IO131" i="13"/>
  <c r="IQ131" i="13" s="1"/>
  <c r="NB131" i="13"/>
  <c r="FP49" i="13"/>
  <c r="FK49" i="13"/>
  <c r="FQ49" i="13" s="1"/>
  <c r="MR160" i="13"/>
  <c r="MS160" i="13" s="1"/>
  <c r="IO135" i="13"/>
  <c r="IQ135" i="13" s="1"/>
  <c r="NB135" i="13"/>
  <c r="IG93" i="13"/>
  <c r="II93" i="13" s="1"/>
  <c r="IJ93" i="13" s="1"/>
  <c r="IL93" i="13"/>
  <c r="FP50" i="13"/>
  <c r="FK50" i="13"/>
  <c r="FQ50" i="13" s="1"/>
  <c r="FT189" i="13"/>
  <c r="FU189" i="13" s="1"/>
  <c r="FW189" i="13" s="1"/>
  <c r="FX189" i="13" s="1"/>
  <c r="IG137" i="13"/>
  <c r="II137" i="13" s="1"/>
  <c r="IJ137" i="13" s="1"/>
  <c r="IL137" i="13"/>
  <c r="IL98" i="13"/>
  <c r="IG98" i="13"/>
  <c r="II98" i="13" s="1"/>
  <c r="IJ98" i="13" s="1"/>
  <c r="FH102" i="13"/>
  <c r="FJ102" i="13" s="1"/>
  <c r="FG102" i="13"/>
  <c r="FP87" i="13"/>
  <c r="FK87" i="13"/>
  <c r="FQ87" i="13" s="1"/>
  <c r="IO176" i="13"/>
  <c r="IQ176" i="13" s="1"/>
  <c r="NB176" i="13"/>
  <c r="FD144" i="13"/>
  <c r="MP144" i="13"/>
  <c r="MQ144" i="13" s="1"/>
  <c r="FR144" i="13" s="1"/>
  <c r="IG92" i="13"/>
  <c r="II92" i="13" s="1"/>
  <c r="IJ92" i="13" s="1"/>
  <c r="IL92" i="13"/>
  <c r="FD150" i="13"/>
  <c r="MP150" i="13"/>
  <c r="MQ150" i="13" s="1"/>
  <c r="FR150" i="13" s="1"/>
  <c r="FF118" i="13"/>
  <c r="MP118" i="13"/>
  <c r="MQ118" i="13" s="1"/>
  <c r="FR118" i="13" s="1"/>
  <c r="FD83" i="13"/>
  <c r="MP83" i="13"/>
  <c r="MQ83" i="13" s="1"/>
  <c r="FR83" i="13" s="1"/>
  <c r="FQ25" i="13"/>
  <c r="IL25" i="13"/>
  <c r="IG25" i="13"/>
  <c r="II25" i="13" s="1"/>
  <c r="IJ25" i="13" s="1"/>
  <c r="IL80" i="13"/>
  <c r="IG80" i="13"/>
  <c r="II80" i="13" s="1"/>
  <c r="IJ80" i="13" s="1"/>
  <c r="IO59" i="13"/>
  <c r="IQ59" i="13" s="1"/>
  <c r="NB59" i="13"/>
  <c r="FP51" i="13"/>
  <c r="FK51" i="13"/>
  <c r="FQ51" i="13" s="1"/>
  <c r="IW52" i="13"/>
  <c r="IR52" i="13"/>
  <c r="IX52" i="13" s="1"/>
  <c r="MV163" i="13"/>
  <c r="MU163" i="13"/>
  <c r="GQ163" i="13" s="1"/>
  <c r="GS163" i="13" s="1"/>
  <c r="GU163" i="13" s="1"/>
  <c r="MT163" i="13"/>
  <c r="GC163" i="13"/>
  <c r="GE163" i="13" s="1"/>
  <c r="IL194" i="13"/>
  <c r="IG194" i="13"/>
  <c r="II194" i="13" s="1"/>
  <c r="IJ194" i="13" s="1"/>
  <c r="FD181" i="13"/>
  <c r="MP181" i="13"/>
  <c r="MQ181" i="13" s="1"/>
  <c r="FR181" i="13" s="1"/>
  <c r="MR19" i="13"/>
  <c r="MS19" i="13" s="1"/>
  <c r="FT19" i="13"/>
  <c r="FU19" i="13" s="1"/>
  <c r="FW19" i="13" s="1"/>
  <c r="FX19" i="13" s="1"/>
  <c r="FK152" i="13"/>
  <c r="FP152" i="13"/>
  <c r="IO114" i="13"/>
  <c r="IQ114" i="13" s="1"/>
  <c r="NB114" i="13"/>
  <c r="FT94" i="13"/>
  <c r="FU94" i="13" s="1"/>
  <c r="FW94" i="13" s="1"/>
  <c r="FX94" i="13" s="1"/>
  <c r="MZ86" i="13"/>
  <c r="IK86" i="13"/>
  <c r="FP24" i="13"/>
  <c r="FK24" i="13"/>
  <c r="FQ24" i="13" s="1"/>
  <c r="IG23" i="13"/>
  <c r="II23" i="13" s="1"/>
  <c r="IJ23" i="13" s="1"/>
  <c r="IL23" i="13"/>
  <c r="IG151" i="13"/>
  <c r="II151" i="13" s="1"/>
  <c r="IJ151" i="13" s="1"/>
  <c r="IL151" i="13"/>
  <c r="FP175" i="13"/>
  <c r="FK175" i="13"/>
  <c r="FQ175" i="13" s="1"/>
  <c r="MZ119" i="13"/>
  <c r="IK119" i="13"/>
  <c r="NB91" i="13"/>
  <c r="IG147" i="13"/>
  <c r="II147" i="13" s="1"/>
  <c r="IJ147" i="13" s="1"/>
  <c r="MZ206" i="13"/>
  <c r="IK206" i="13"/>
  <c r="MZ14" i="13"/>
  <c r="IK14" i="13"/>
  <c r="IW36" i="13"/>
  <c r="IR36" i="13"/>
  <c r="IX36" i="13" s="1"/>
  <c r="FP157" i="13"/>
  <c r="FK157" i="13"/>
  <c r="FQ157" i="13" s="1"/>
  <c r="MR64" i="13"/>
  <c r="MS64" i="13" s="1"/>
  <c r="MV66" i="13"/>
  <c r="MU66" i="13"/>
  <c r="GQ66" i="13" s="1"/>
  <c r="GS66" i="13" s="1"/>
  <c r="GU66" i="13" s="1"/>
  <c r="MT66" i="13"/>
  <c r="GC66" i="13"/>
  <c r="GE66" i="13" s="1"/>
  <c r="IG127" i="13"/>
  <c r="II127" i="13" s="1"/>
  <c r="IJ127" i="13" s="1"/>
  <c r="IL127" i="13"/>
  <c r="FP164" i="13"/>
  <c r="FK164" i="13"/>
  <c r="FQ164" i="13" s="1"/>
  <c r="FT211" i="13"/>
  <c r="FU211" i="13" s="1"/>
  <c r="FW211" i="13" s="1"/>
  <c r="FX211" i="13" s="1"/>
  <c r="IO93" i="13"/>
  <c r="IQ93" i="13" s="1"/>
  <c r="NB93" i="13"/>
  <c r="FH143" i="13"/>
  <c r="FJ143" i="13" s="1"/>
  <c r="FG143" i="13"/>
  <c r="FE189" i="13"/>
  <c r="FH189" i="13"/>
  <c r="FJ189" i="13" s="1"/>
  <c r="MZ117" i="13"/>
  <c r="IK117" i="13"/>
  <c r="IL41" i="13"/>
  <c r="IG41" i="13"/>
  <c r="II41" i="13" s="1"/>
  <c r="IJ41" i="13" s="1"/>
  <c r="IO137" i="13"/>
  <c r="IQ137" i="13" s="1"/>
  <c r="NB137" i="13"/>
  <c r="IO98" i="13"/>
  <c r="IQ98" i="13" s="1"/>
  <c r="NB98" i="13"/>
  <c r="FD30" i="13"/>
  <c r="MP30" i="13"/>
  <c r="MQ30" i="13" s="1"/>
  <c r="FR30" i="13" s="1"/>
  <c r="IL115" i="13"/>
  <c r="IG115" i="13"/>
  <c r="II115" i="13" s="1"/>
  <c r="IJ115" i="13" s="1"/>
  <c r="FH76" i="13"/>
  <c r="FJ76" i="13" s="1"/>
  <c r="MZ144" i="13"/>
  <c r="IK144" i="13"/>
  <c r="IO92" i="13"/>
  <c r="IQ92" i="13" s="1"/>
  <c r="NB92" i="13"/>
  <c r="MZ166" i="13"/>
  <c r="IK166" i="13"/>
  <c r="MZ150" i="13"/>
  <c r="IK150" i="13"/>
  <c r="FD186" i="13"/>
  <c r="MP186" i="13"/>
  <c r="MQ186" i="13" s="1"/>
  <c r="FR186" i="13" s="1"/>
  <c r="FH109" i="13"/>
  <c r="FJ109" i="13" s="1"/>
  <c r="FG109" i="13"/>
  <c r="MZ83" i="13"/>
  <c r="IK83" i="13"/>
  <c r="FF121" i="13"/>
  <c r="MP121" i="13"/>
  <c r="MQ121" i="13" s="1"/>
  <c r="FR121" i="13" s="1"/>
  <c r="FF115" i="13"/>
  <c r="MP115" i="13"/>
  <c r="MQ115" i="13" s="1"/>
  <c r="FR115" i="13" s="1"/>
  <c r="MR28" i="13"/>
  <c r="MS28" i="13" s="1"/>
  <c r="FT28" i="13"/>
  <c r="FU28" i="13" s="1"/>
  <c r="FW28" i="13" s="1"/>
  <c r="FX28" i="13" s="1"/>
  <c r="IG204" i="13"/>
  <c r="II204" i="13" s="1"/>
  <c r="IJ204" i="13" s="1"/>
  <c r="IL204" i="13"/>
  <c r="FF214" i="13"/>
  <c r="MP214" i="13"/>
  <c r="MQ214" i="13" s="1"/>
  <c r="FR214" i="13" s="1"/>
  <c r="IL34" i="13"/>
  <c r="IG34" i="13"/>
  <c r="II34" i="13" s="1"/>
  <c r="IJ34" i="13" s="1"/>
  <c r="MV57" i="13"/>
  <c r="MU57" i="13"/>
  <c r="GQ57" i="13" s="1"/>
  <c r="GS57" i="13" s="1"/>
  <c r="GU57" i="13" s="1"/>
  <c r="MT57" i="13"/>
  <c r="GC57" i="13"/>
  <c r="GE57" i="13" s="1"/>
  <c r="IL90" i="13"/>
  <c r="IG90" i="13"/>
  <c r="II90" i="13" s="1"/>
  <c r="IJ90" i="13" s="1"/>
  <c r="IG192" i="13"/>
  <c r="II192" i="13" s="1"/>
  <c r="IJ192" i="13" s="1"/>
  <c r="IL192" i="13"/>
  <c r="MV174" i="13"/>
  <c r="MU174" i="13"/>
  <c r="GQ174" i="13" s="1"/>
  <c r="GS174" i="13" s="1"/>
  <c r="GU174" i="13" s="1"/>
  <c r="MT174" i="13"/>
  <c r="GC174" i="13"/>
  <c r="GE174" i="13" s="1"/>
  <c r="IO194" i="13"/>
  <c r="IQ194" i="13" s="1"/>
  <c r="NB194" i="13"/>
  <c r="NC19" i="13"/>
  <c r="IY19" i="13"/>
  <c r="IG31" i="13"/>
  <c r="II31" i="13" s="1"/>
  <c r="IJ31" i="13" s="1"/>
  <c r="IL31" i="13"/>
  <c r="IO23" i="13"/>
  <c r="IQ23" i="13" s="1"/>
  <c r="NB23" i="13"/>
  <c r="FK60" i="13"/>
  <c r="FQ60" i="13" s="1"/>
  <c r="FP60" i="13"/>
  <c r="IO151" i="13"/>
  <c r="IQ151" i="13" s="1"/>
  <c r="NB151" i="13"/>
  <c r="NC201" i="13"/>
  <c r="IY201" i="13"/>
  <c r="FP204" i="13"/>
  <c r="FK204" i="13"/>
  <c r="FQ204" i="13" s="1"/>
  <c r="IG74" i="13"/>
  <c r="II74" i="13" s="1"/>
  <c r="IJ74" i="13" s="1"/>
  <c r="IL74" i="13"/>
  <c r="FT47" i="13"/>
  <c r="FU47" i="13" s="1"/>
  <c r="FW47" i="13" s="1"/>
  <c r="FX47" i="13" s="1"/>
  <c r="MV53" i="13"/>
  <c r="MU53" i="13"/>
  <c r="GQ53" i="13" s="1"/>
  <c r="GS53" i="13" s="1"/>
  <c r="GU53" i="13" s="1"/>
  <c r="MT53" i="13"/>
  <c r="GC53" i="13"/>
  <c r="GE53" i="13" s="1"/>
  <c r="FD119" i="13"/>
  <c r="MP119" i="13"/>
  <c r="MQ119" i="13" s="1"/>
  <c r="FR119" i="13" s="1"/>
  <c r="FT91" i="13"/>
  <c r="FU91" i="13" s="1"/>
  <c r="FW91" i="13" s="1"/>
  <c r="FX91" i="13" s="1"/>
  <c r="FR6" i="13"/>
  <c r="FD14" i="13"/>
  <c r="MP14" i="13"/>
  <c r="MQ14" i="13" s="1"/>
  <c r="FG120" i="13"/>
  <c r="IL116" i="13"/>
  <c r="IG116" i="13"/>
  <c r="II116" i="13" s="1"/>
  <c r="IJ116" i="13" s="1"/>
  <c r="IW125" i="13"/>
  <c r="IR125" i="13"/>
  <c r="IX125" i="13" s="1"/>
  <c r="FP93" i="13"/>
  <c r="FK93" i="13"/>
  <c r="FQ93" i="13" s="1"/>
  <c r="IW127" i="13"/>
  <c r="IR127" i="13"/>
  <c r="IX127" i="13" s="1"/>
  <c r="MV192" i="13"/>
  <c r="MU192" i="13"/>
  <c r="GQ192" i="13" s="1"/>
  <c r="GS192" i="13" s="1"/>
  <c r="GU192" i="13" s="1"/>
  <c r="MT192" i="13"/>
  <c r="GC192" i="13"/>
  <c r="GE192" i="13" s="1"/>
  <c r="IL48" i="13"/>
  <c r="IG48" i="13"/>
  <c r="II48" i="13" s="1"/>
  <c r="IJ48" i="13" s="1"/>
  <c r="FD117" i="13"/>
  <c r="FE117" i="13" s="1"/>
  <c r="MP117" i="13"/>
  <c r="MQ117" i="13" s="1"/>
  <c r="FR117" i="13" s="1"/>
  <c r="IO41" i="13"/>
  <c r="IQ41" i="13" s="1"/>
  <c r="NB41" i="13"/>
  <c r="IL57" i="13"/>
  <c r="IG57" i="13"/>
  <c r="II57" i="13" s="1"/>
  <c r="IJ57" i="13" s="1"/>
  <c r="IG113" i="13"/>
  <c r="II113" i="13" s="1"/>
  <c r="IJ113" i="13" s="1"/>
  <c r="IL113" i="13"/>
  <c r="MZ30" i="13"/>
  <c r="IK30" i="13"/>
  <c r="IO115" i="13"/>
  <c r="IQ115" i="13" s="1"/>
  <c r="NB115" i="13"/>
  <c r="JA43" i="13"/>
  <c r="JF43" i="13" s="1"/>
  <c r="JH43" i="13" s="1"/>
  <c r="FD166" i="13"/>
  <c r="MP166" i="13"/>
  <c r="MQ166" i="13" s="1"/>
  <c r="FR166" i="13" s="1"/>
  <c r="MZ186" i="13"/>
  <c r="IK186" i="13"/>
  <c r="MZ61" i="13"/>
  <c r="IK61" i="13"/>
  <c r="MZ126" i="13"/>
  <c r="IK126" i="13"/>
  <c r="MZ69" i="13"/>
  <c r="IK69" i="13"/>
  <c r="FF123" i="13"/>
  <c r="MP123" i="13"/>
  <c r="MQ123" i="13" s="1"/>
  <c r="FR123" i="13" s="1"/>
  <c r="IL175" i="13"/>
  <c r="IG175" i="13"/>
  <c r="II175" i="13" s="1"/>
  <c r="IJ175" i="13" s="1"/>
  <c r="MR74" i="13"/>
  <c r="MS74" i="13" s="1"/>
  <c r="FT74" i="13"/>
  <c r="FU74" i="13" s="1"/>
  <c r="FW74" i="13" s="1"/>
  <c r="FX74" i="13" s="1"/>
  <c r="MV161" i="13"/>
  <c r="MU161" i="13"/>
  <c r="GQ161" i="13" s="1"/>
  <c r="GS161" i="13" s="1"/>
  <c r="GU161" i="13" s="1"/>
  <c r="MT161" i="13"/>
  <c r="GC161" i="13"/>
  <c r="GE161" i="13" s="1"/>
  <c r="FP198" i="13"/>
  <c r="FK198" i="13"/>
  <c r="IO34" i="13"/>
  <c r="IQ34" i="13" s="1"/>
  <c r="NB34" i="13"/>
  <c r="NB52" i="13"/>
  <c r="MR145" i="13"/>
  <c r="MS145" i="13" s="1"/>
  <c r="IO90" i="13"/>
  <c r="IQ90" i="13" s="1"/>
  <c r="NB90" i="13"/>
  <c r="IO192" i="13"/>
  <c r="IQ192" i="13" s="1"/>
  <c r="NB192" i="13"/>
  <c r="MZ45" i="13"/>
  <c r="IK45" i="13"/>
  <c r="FE179" i="13"/>
  <c r="FH179" i="13"/>
  <c r="FJ179" i="13" s="1"/>
  <c r="MR153" i="13"/>
  <c r="MS153" i="13" s="1"/>
  <c r="IO31" i="13"/>
  <c r="IQ31" i="13" s="1"/>
  <c r="NB31" i="13"/>
  <c r="FP176" i="13"/>
  <c r="FK176" i="13"/>
  <c r="FQ176" i="13" s="1"/>
  <c r="MR81" i="13"/>
  <c r="MS81" i="13" s="1"/>
  <c r="IG91" i="13"/>
  <c r="II91" i="13" s="1"/>
  <c r="IJ91" i="13" s="1"/>
  <c r="IL91" i="13"/>
  <c r="FT201" i="13"/>
  <c r="FU201" i="13" s="1"/>
  <c r="FW201" i="13" s="1"/>
  <c r="FX201" i="13" s="1"/>
  <c r="IW74" i="13"/>
  <c r="IR74" i="13"/>
  <c r="IX74" i="13" s="1"/>
  <c r="FD130" i="13"/>
  <c r="MP130" i="13"/>
  <c r="MQ130" i="13" s="1"/>
  <c r="FR130" i="13" s="1"/>
  <c r="FD79" i="13"/>
  <c r="MP79" i="13"/>
  <c r="MQ79" i="13" s="1"/>
  <c r="FR79" i="13" s="1"/>
  <c r="IO116" i="13"/>
  <c r="IQ116" i="13" s="1"/>
  <c r="NB116" i="13"/>
  <c r="FT89" i="13"/>
  <c r="FU89" i="13" s="1"/>
  <c r="FW89" i="13" s="1"/>
  <c r="FX89" i="13" s="1"/>
  <c r="IG154" i="13"/>
  <c r="II154" i="13" s="1"/>
  <c r="IJ154" i="13" s="1"/>
  <c r="IL154" i="13"/>
  <c r="IL89" i="13"/>
  <c r="IG89" i="13"/>
  <c r="II89" i="13" s="1"/>
  <c r="IJ89" i="13" s="1"/>
  <c r="IL38" i="13"/>
  <c r="IG38" i="13"/>
  <c r="II38" i="13" s="1"/>
  <c r="IJ38" i="13" s="1"/>
  <c r="FP38" i="13"/>
  <c r="FK38" i="13"/>
  <c r="FQ38" i="13" s="1"/>
  <c r="FP145" i="13"/>
  <c r="FK145" i="13"/>
  <c r="FQ145" i="13" s="1"/>
  <c r="MZ62" i="13"/>
  <c r="IK62" i="13"/>
  <c r="IL198" i="13"/>
  <c r="IG198" i="13"/>
  <c r="II198" i="13" s="1"/>
  <c r="IJ198" i="13" s="1"/>
  <c r="IO48" i="13"/>
  <c r="IQ48" i="13" s="1"/>
  <c r="NB48" i="13"/>
  <c r="IO57" i="13"/>
  <c r="IQ57" i="13" s="1"/>
  <c r="NB57" i="13"/>
  <c r="IO113" i="13"/>
  <c r="IQ113" i="13" s="1"/>
  <c r="NB113" i="13"/>
  <c r="IG75" i="13"/>
  <c r="II75" i="13" s="1"/>
  <c r="IJ75" i="13" s="1"/>
  <c r="IL75" i="13"/>
  <c r="FT141" i="13"/>
  <c r="FU141" i="13" s="1"/>
  <c r="FW141" i="13" s="1"/>
  <c r="FX141" i="13" s="1"/>
  <c r="MZ120" i="13"/>
  <c r="IK120" i="13"/>
  <c r="MZ202" i="13"/>
  <c r="IK202" i="13"/>
  <c r="FD61" i="13"/>
  <c r="MP61" i="13"/>
  <c r="MQ61" i="13" s="1"/>
  <c r="FR61" i="13" s="1"/>
  <c r="MZ70" i="13"/>
  <c r="IK70" i="13"/>
  <c r="FD126" i="13"/>
  <c r="MP126" i="13"/>
  <c r="MQ126" i="13" s="1"/>
  <c r="FR126" i="13" s="1"/>
  <c r="FD69" i="13"/>
  <c r="MP69" i="13"/>
  <c r="MQ69" i="13" s="1"/>
  <c r="FR69" i="13" s="1"/>
  <c r="MZ191" i="13"/>
  <c r="IK191" i="13"/>
  <c r="NC147" i="13"/>
  <c r="IY147" i="13"/>
  <c r="NC152" i="13"/>
  <c r="IY152" i="13"/>
  <c r="MV60" i="13"/>
  <c r="MU60" i="13"/>
  <c r="GQ60" i="13" s="1"/>
  <c r="GS60" i="13" s="1"/>
  <c r="GU60" i="13" s="1"/>
  <c r="MT60" i="13"/>
  <c r="GC60" i="13"/>
  <c r="GE60" i="13" s="1"/>
  <c r="IL139" i="13"/>
  <c r="IG139" i="13"/>
  <c r="II139" i="13" s="1"/>
  <c r="IJ139" i="13" s="1"/>
  <c r="FP149" i="13"/>
  <c r="FK149" i="13"/>
  <c r="FT52" i="13"/>
  <c r="FU52" i="13" s="1"/>
  <c r="FW52" i="13" s="1"/>
  <c r="FX52" i="13" s="1"/>
  <c r="FT129" i="13"/>
  <c r="FU129" i="13" s="1"/>
  <c r="FW129" i="13" s="1"/>
  <c r="FX129" i="13" s="1"/>
  <c r="FD140" i="13"/>
  <c r="MP140" i="13"/>
  <c r="MQ140" i="13" s="1"/>
  <c r="FR140" i="13" s="1"/>
  <c r="FD45" i="13"/>
  <c r="MP45" i="13"/>
  <c r="MQ45" i="13" s="1"/>
  <c r="FR45" i="13" s="1"/>
  <c r="MZ179" i="13"/>
  <c r="IK179" i="13"/>
  <c r="FF114" i="13"/>
  <c r="MP114" i="13"/>
  <c r="MQ114" i="13" s="1"/>
  <c r="FR114" i="13" s="1"/>
  <c r="IG76" i="13"/>
  <c r="II76" i="13" s="1"/>
  <c r="IJ76" i="13" s="1"/>
  <c r="IL76" i="13"/>
  <c r="NB200" i="13"/>
  <c r="IW91" i="13"/>
  <c r="IR91" i="13"/>
  <c r="IX91" i="13" s="1"/>
  <c r="FP182" i="13"/>
  <c r="FK182" i="13"/>
  <c r="NC210" i="13"/>
  <c r="IY210" i="13"/>
  <c r="IL63" i="13"/>
  <c r="IG63" i="13"/>
  <c r="II63" i="13" s="1"/>
  <c r="IJ63" i="13" s="1"/>
  <c r="MZ130" i="13"/>
  <c r="IK130" i="13"/>
  <c r="MZ79" i="13"/>
  <c r="IK79" i="13"/>
  <c r="IL87" i="13"/>
  <c r="IG87" i="13"/>
  <c r="II87" i="13" s="1"/>
  <c r="IJ87" i="13" s="1"/>
  <c r="FE89" i="13"/>
  <c r="FH89" i="13"/>
  <c r="FJ89" i="13" s="1"/>
  <c r="IO154" i="13"/>
  <c r="IQ154" i="13" s="1"/>
  <c r="NB154" i="13"/>
  <c r="IO89" i="13"/>
  <c r="IQ89" i="13" s="1"/>
  <c r="NB89" i="13"/>
  <c r="IO38" i="13"/>
  <c r="IQ38" i="13" s="1"/>
  <c r="NB38" i="13"/>
  <c r="FT162" i="13"/>
  <c r="FU162" i="13" s="1"/>
  <c r="FW162" i="13" s="1"/>
  <c r="FX162" i="13" s="1"/>
  <c r="FT54" i="13"/>
  <c r="FU54" i="13" s="1"/>
  <c r="FW54" i="13" s="1"/>
  <c r="FX54" i="13" s="1"/>
  <c r="FD62" i="13"/>
  <c r="MP62" i="13"/>
  <c r="MQ62" i="13" s="1"/>
  <c r="FR62" i="13" s="1"/>
  <c r="IO198" i="13"/>
  <c r="IQ198" i="13" s="1"/>
  <c r="NB198" i="13"/>
  <c r="MV35" i="13"/>
  <c r="MU35" i="13"/>
  <c r="GQ35" i="13" s="1"/>
  <c r="GS35" i="13" s="1"/>
  <c r="GU35" i="13" s="1"/>
  <c r="MT35" i="13"/>
  <c r="IL173" i="13"/>
  <c r="IG173" i="13"/>
  <c r="II173" i="13" s="1"/>
  <c r="IJ173" i="13" s="1"/>
  <c r="IL58" i="13"/>
  <c r="IG58" i="13"/>
  <c r="II58" i="13" s="1"/>
  <c r="IJ58" i="13" s="1"/>
  <c r="FP67" i="13"/>
  <c r="FK67" i="13"/>
  <c r="FQ67" i="13" s="1"/>
  <c r="IW75" i="13"/>
  <c r="IR75" i="13"/>
  <c r="IX75" i="13" s="1"/>
  <c r="NB74" i="13"/>
  <c r="P5" i="141"/>
  <c r="FH104" i="13"/>
  <c r="FG104" i="13"/>
  <c r="IL143" i="13"/>
  <c r="IG143" i="13"/>
  <c r="II143" i="13" s="1"/>
  <c r="IJ143" i="13" s="1"/>
  <c r="FD120" i="13"/>
  <c r="FE120" i="13" s="1"/>
  <c r="MP120" i="13"/>
  <c r="MQ120" i="13" s="1"/>
  <c r="FR120" i="13" s="1"/>
  <c r="FF135" i="13"/>
  <c r="MP135" i="13"/>
  <c r="MQ135" i="13" s="1"/>
  <c r="FR135" i="13" s="1"/>
  <c r="FH133" i="13"/>
  <c r="FJ133" i="13" s="1"/>
  <c r="FG133" i="13"/>
  <c r="FE202" i="13"/>
  <c r="FH202" i="13"/>
  <c r="FJ202" i="13" s="1"/>
  <c r="FD22" i="13"/>
  <c r="MP22" i="13"/>
  <c r="MQ22" i="13" s="1"/>
  <c r="FR22" i="13" s="1"/>
  <c r="FD70" i="13"/>
  <c r="MP70" i="13"/>
  <c r="MQ70" i="13" s="1"/>
  <c r="FR70" i="13" s="1"/>
  <c r="MZ15" i="13"/>
  <c r="IK15" i="13"/>
  <c r="MZ111" i="13"/>
  <c r="IK111" i="13"/>
  <c r="FD191" i="13"/>
  <c r="MP191" i="13"/>
  <c r="MQ191" i="13" s="1"/>
  <c r="FR191" i="13" s="1"/>
  <c r="FK196" i="13" l="1"/>
  <c r="FQ196" i="13" s="1"/>
  <c r="MR54" i="13"/>
  <c r="MS54" i="13" s="1"/>
  <c r="MR141" i="13"/>
  <c r="MS141" i="13" s="1"/>
  <c r="MR162" i="13"/>
  <c r="MS162" i="13" s="1"/>
  <c r="MR203" i="13"/>
  <c r="MS203" i="13" s="1"/>
  <c r="FH136" i="13"/>
  <c r="FJ136" i="13" s="1"/>
  <c r="MR52" i="13"/>
  <c r="MS52" i="13" s="1"/>
  <c r="MR76" i="13"/>
  <c r="MS76" i="13" s="1"/>
  <c r="MR157" i="13"/>
  <c r="MS157" i="13" s="1"/>
  <c r="MR129" i="13"/>
  <c r="MS129" i="13" s="1"/>
  <c r="MR175" i="13"/>
  <c r="MS175" i="13" s="1"/>
  <c r="MR182" i="13"/>
  <c r="MS182" i="13" s="1"/>
  <c r="MR193" i="13"/>
  <c r="MS193" i="13" s="1"/>
  <c r="MR171" i="13"/>
  <c r="MS171" i="13" s="1"/>
  <c r="MV171" i="13" s="1"/>
  <c r="FH120" i="13"/>
  <c r="FJ120" i="13" s="1"/>
  <c r="MR131" i="13"/>
  <c r="MS131" i="13" s="1"/>
  <c r="MV131" i="13" s="1"/>
  <c r="IY105" i="13"/>
  <c r="IY128" i="13"/>
  <c r="MR155" i="13"/>
  <c r="MS155" i="13" s="1"/>
  <c r="MR84" i="13"/>
  <c r="MS84" i="13" s="1"/>
  <c r="MR201" i="13"/>
  <c r="MS201" i="13" s="1"/>
  <c r="MR105" i="13"/>
  <c r="MS105" i="13" s="1"/>
  <c r="E35" i="13"/>
  <c r="HP35" i="13"/>
  <c r="HR35" i="13" s="1"/>
  <c r="HX35" i="13"/>
  <c r="HZ35" i="13" s="1"/>
  <c r="HH35" i="13"/>
  <c r="HJ35" i="13" s="1"/>
  <c r="HK35" i="13" s="1"/>
  <c r="GZ35" i="13"/>
  <c r="HB35" i="13" s="1"/>
  <c r="HC35" i="13" s="1"/>
  <c r="CR35" i="13" s="1"/>
  <c r="CQ35" i="13" s="1"/>
  <c r="FT109" i="13"/>
  <c r="FU109" i="13" s="1"/>
  <c r="FW109" i="13" s="1"/>
  <c r="FX109" i="13" s="1"/>
  <c r="IO15" i="13"/>
  <c r="IQ15" i="13" s="1"/>
  <c r="NB15" i="13"/>
  <c r="S5" i="141"/>
  <c r="FJ104" i="13"/>
  <c r="NC198" i="13"/>
  <c r="IY198" i="13"/>
  <c r="NC154" i="13"/>
  <c r="IY154" i="13"/>
  <c r="FT61" i="13"/>
  <c r="FU61" i="13" s="1"/>
  <c r="FW61" i="13" s="1"/>
  <c r="FX61" i="13" s="1"/>
  <c r="NC57" i="13"/>
  <c r="IY57" i="13"/>
  <c r="IW116" i="13"/>
  <c r="IR116" i="13"/>
  <c r="IX116" i="13" s="1"/>
  <c r="FT123" i="13"/>
  <c r="FU123" i="13" s="1"/>
  <c r="FW123" i="13" s="1"/>
  <c r="FX123" i="13" s="1"/>
  <c r="IL30" i="13"/>
  <c r="IG30" i="13"/>
  <c r="II30" i="13" s="1"/>
  <c r="IJ30" i="13" s="1"/>
  <c r="FR14" i="13"/>
  <c r="FR5" i="13"/>
  <c r="FR8" i="13" s="1"/>
  <c r="FK109" i="13"/>
  <c r="FQ109" i="13" s="1"/>
  <c r="FP109" i="13"/>
  <c r="MV19" i="13"/>
  <c r="MU19" i="13"/>
  <c r="GQ19" i="13" s="1"/>
  <c r="GS19" i="13" s="1"/>
  <c r="GU19" i="13" s="1"/>
  <c r="MT19" i="13"/>
  <c r="FE144" i="13"/>
  <c r="FH144" i="13"/>
  <c r="FJ144" i="13" s="1"/>
  <c r="FE18" i="13"/>
  <c r="FH18" i="13"/>
  <c r="FJ18" i="13" s="1"/>
  <c r="NC189" i="13"/>
  <c r="IY189" i="13"/>
  <c r="NC32" i="13"/>
  <c r="IY32" i="13"/>
  <c r="FE13" i="13"/>
  <c r="FH13" i="13"/>
  <c r="FJ13" i="13" s="1"/>
  <c r="FP28" i="13"/>
  <c r="FK28" i="13"/>
  <c r="IW123" i="13"/>
  <c r="IR123" i="13"/>
  <c r="IX123" i="13" s="1"/>
  <c r="FT116" i="13"/>
  <c r="FU116" i="13" s="1"/>
  <c r="FW116" i="13" s="1"/>
  <c r="FX116" i="13" s="1"/>
  <c r="FE168" i="13"/>
  <c r="FH168" i="13"/>
  <c r="FJ168" i="13" s="1"/>
  <c r="IL95" i="13"/>
  <c r="IG95" i="13"/>
  <c r="II95" i="13" s="1"/>
  <c r="IJ95" i="13" s="1"/>
  <c r="MR27" i="13"/>
  <c r="MS27" i="13" s="1"/>
  <c r="FT27" i="13"/>
  <c r="FU27" i="13" s="1"/>
  <c r="FW27" i="13" s="1"/>
  <c r="FX27" i="13" s="1"/>
  <c r="E71" i="13"/>
  <c r="GZ71" i="13"/>
  <c r="HB71" i="13" s="1"/>
  <c r="HC71" i="13" s="1"/>
  <c r="HX71" i="13"/>
  <c r="HZ71" i="13" s="1"/>
  <c r="HH71" i="13"/>
  <c r="HJ71" i="13" s="1"/>
  <c r="HK71" i="13" s="1"/>
  <c r="HP71" i="13"/>
  <c r="HR71" i="13" s="1"/>
  <c r="IO27" i="13"/>
  <c r="IQ27" i="13" s="1"/>
  <c r="NB27" i="13"/>
  <c r="MV40" i="13"/>
  <c r="MU40" i="13"/>
  <c r="GQ40" i="13" s="1"/>
  <c r="GS40" i="13" s="1"/>
  <c r="GU40" i="13" s="1"/>
  <c r="MT40" i="13"/>
  <c r="GC40" i="13"/>
  <c r="GE40" i="13" s="1"/>
  <c r="IG97" i="13"/>
  <c r="II97" i="13" s="1"/>
  <c r="IJ97" i="13" s="1"/>
  <c r="IL97" i="13"/>
  <c r="MR82" i="13"/>
  <c r="MS82" i="13" s="1"/>
  <c r="IL185" i="13"/>
  <c r="IG185" i="13"/>
  <c r="II185" i="13" s="1"/>
  <c r="IJ185" i="13" s="1"/>
  <c r="FP90" i="13"/>
  <c r="FK90" i="13"/>
  <c r="FE146" i="13"/>
  <c r="FH146" i="13"/>
  <c r="FJ146" i="13" s="1"/>
  <c r="IO56" i="13"/>
  <c r="IQ56" i="13" s="1"/>
  <c r="NB56" i="13"/>
  <c r="MW98" i="13"/>
  <c r="GV98" i="13"/>
  <c r="GX98" i="13" s="1"/>
  <c r="GY98" i="13" s="1"/>
  <c r="IO22" i="13"/>
  <c r="IQ22" i="13" s="1"/>
  <c r="NB22" i="13"/>
  <c r="FE46" i="13"/>
  <c r="FH46" i="13"/>
  <c r="FJ46" i="13" s="1"/>
  <c r="IL107" i="13"/>
  <c r="IG107" i="13"/>
  <c r="II107" i="13" s="1"/>
  <c r="IJ107" i="13" s="1"/>
  <c r="MW204" i="13"/>
  <c r="GV204" i="13"/>
  <c r="GX204" i="13" s="1"/>
  <c r="GY204" i="13" s="1"/>
  <c r="IO108" i="13"/>
  <c r="IQ108" i="13" s="1"/>
  <c r="NB108" i="13"/>
  <c r="FE169" i="13"/>
  <c r="FH169" i="13"/>
  <c r="FJ169" i="13" s="1"/>
  <c r="NC49" i="13"/>
  <c r="IY49" i="13"/>
  <c r="GF164" i="13"/>
  <c r="GP164" i="13" s="1"/>
  <c r="GO164" i="13"/>
  <c r="IL29" i="13"/>
  <c r="IG29" i="13"/>
  <c r="II29" i="13" s="1"/>
  <c r="IJ29" i="13" s="1"/>
  <c r="JA36" i="13"/>
  <c r="JF36" i="13" s="1"/>
  <c r="JH36" i="13" s="1"/>
  <c r="MW50" i="13"/>
  <c r="GV50" i="13"/>
  <c r="GX50" i="13" s="1"/>
  <c r="GY50" i="13" s="1"/>
  <c r="MR208" i="13"/>
  <c r="MS208" i="13" s="1"/>
  <c r="MV59" i="13"/>
  <c r="MU59" i="13"/>
  <c r="GQ59" i="13" s="1"/>
  <c r="GS59" i="13" s="1"/>
  <c r="GU59" i="13" s="1"/>
  <c r="MT59" i="13"/>
  <c r="GC59" i="13"/>
  <c r="GE59" i="13" s="1"/>
  <c r="MV38" i="13"/>
  <c r="MU38" i="13"/>
  <c r="GQ38" i="13" s="1"/>
  <c r="GS38" i="13" s="1"/>
  <c r="GU38" i="13" s="1"/>
  <c r="MT38" i="13"/>
  <c r="GC38" i="13"/>
  <c r="GE38" i="13" s="1"/>
  <c r="FE15" i="13"/>
  <c r="FH15" i="13"/>
  <c r="FJ15" i="13" s="1"/>
  <c r="FT70" i="13"/>
  <c r="FU70" i="13" s="1"/>
  <c r="FW70" i="13" s="1"/>
  <c r="FX70" i="13" s="1"/>
  <c r="IW198" i="13"/>
  <c r="IR198" i="13"/>
  <c r="IX198" i="13" s="1"/>
  <c r="IW154" i="13"/>
  <c r="IR154" i="13"/>
  <c r="IX154" i="13" s="1"/>
  <c r="E60" i="13"/>
  <c r="HH60" i="13"/>
  <c r="HJ60" i="13" s="1"/>
  <c r="HK60" i="13" s="1"/>
  <c r="HX60" i="13"/>
  <c r="HZ60" i="13" s="1"/>
  <c r="GZ60" i="13"/>
  <c r="HB60" i="13" s="1"/>
  <c r="HC60" i="13" s="1"/>
  <c r="HP60" i="13"/>
  <c r="HR60" i="13" s="1"/>
  <c r="FE61" i="13"/>
  <c r="FH61" i="13"/>
  <c r="FJ61" i="13" s="1"/>
  <c r="IW57" i="13"/>
  <c r="IR57" i="13"/>
  <c r="IX57" i="13" s="1"/>
  <c r="FH123" i="13"/>
  <c r="FJ123" i="13" s="1"/>
  <c r="FG123" i="13"/>
  <c r="IO30" i="13"/>
  <c r="IQ30" i="13" s="1"/>
  <c r="NB30" i="13"/>
  <c r="FE14" i="13"/>
  <c r="FH14" i="13"/>
  <c r="FJ14" i="13" s="1"/>
  <c r="JA201" i="13"/>
  <c r="JF201" i="13" s="1"/>
  <c r="JH201" i="13" s="1"/>
  <c r="NC194" i="13"/>
  <c r="IY194" i="13"/>
  <c r="MR214" i="13"/>
  <c r="MS214" i="13" s="1"/>
  <c r="FT214" i="13"/>
  <c r="FU214" i="13" s="1"/>
  <c r="FW214" i="13" s="1"/>
  <c r="FX214" i="13" s="1"/>
  <c r="FT186" i="13"/>
  <c r="FU186" i="13" s="1"/>
  <c r="FW186" i="13" s="1"/>
  <c r="FX186" i="13" s="1"/>
  <c r="FT30" i="13"/>
  <c r="FU30" i="13" s="1"/>
  <c r="FW30" i="13" s="1"/>
  <c r="FX30" i="13" s="1"/>
  <c r="NC93" i="13"/>
  <c r="IY93" i="13"/>
  <c r="FT181" i="13"/>
  <c r="FU181" i="13" s="1"/>
  <c r="FW181" i="13" s="1"/>
  <c r="FX181" i="13" s="1"/>
  <c r="IL209" i="13"/>
  <c r="IG209" i="13"/>
  <c r="II209" i="13" s="1"/>
  <c r="IJ209" i="13" s="1"/>
  <c r="NC122" i="13"/>
  <c r="IY122" i="13"/>
  <c r="IW189" i="13"/>
  <c r="IR189" i="13"/>
  <c r="IX189" i="13" s="1"/>
  <c r="FT136" i="13"/>
  <c r="FU136" i="13" s="1"/>
  <c r="FW136" i="13" s="1"/>
  <c r="FX136" i="13" s="1"/>
  <c r="IL96" i="13"/>
  <c r="IG96" i="13"/>
  <c r="II96" i="13" s="1"/>
  <c r="IJ96" i="13" s="1"/>
  <c r="FH116" i="13"/>
  <c r="FJ116" i="13" s="1"/>
  <c r="FG116" i="13"/>
  <c r="FP128" i="13"/>
  <c r="FK128" i="13"/>
  <c r="FQ128" i="13" s="1"/>
  <c r="NC85" i="13"/>
  <c r="IY85" i="13"/>
  <c r="IO95" i="13"/>
  <c r="IQ95" i="13" s="1"/>
  <c r="NB95" i="13"/>
  <c r="FE27" i="13"/>
  <c r="FH27" i="13"/>
  <c r="FJ27" i="13" s="1"/>
  <c r="NH35" i="13"/>
  <c r="NF35" i="13"/>
  <c r="NG35" i="13"/>
  <c r="KH35" i="13" s="1"/>
  <c r="KJ35" i="13" s="1"/>
  <c r="KK35" i="13" s="1"/>
  <c r="E73" i="13"/>
  <c r="GZ73" i="13"/>
  <c r="HB73" i="13" s="1"/>
  <c r="HC73" i="13" s="1"/>
  <c r="HP73" i="13"/>
  <c r="HR73" i="13" s="1"/>
  <c r="HH73" i="13"/>
  <c r="HJ73" i="13" s="1"/>
  <c r="HK73" i="13" s="1"/>
  <c r="HX73" i="13"/>
  <c r="HZ73" i="13" s="1"/>
  <c r="IR28" i="13"/>
  <c r="IX28" i="13" s="1"/>
  <c r="IW28" i="13"/>
  <c r="E173" i="13"/>
  <c r="HX173" i="13"/>
  <c r="HZ173" i="13" s="1"/>
  <c r="GZ173" i="13"/>
  <c r="HB173" i="13" s="1"/>
  <c r="HC173" i="13" s="1"/>
  <c r="HH173" i="13"/>
  <c r="HJ173" i="13" s="1"/>
  <c r="HK173" i="13" s="1"/>
  <c r="HP173" i="13"/>
  <c r="HR173" i="13" s="1"/>
  <c r="IL99" i="13"/>
  <c r="IG99" i="13"/>
  <c r="II99" i="13" s="1"/>
  <c r="IJ99" i="13" s="1"/>
  <c r="NC33" i="13"/>
  <c r="IY33" i="13"/>
  <c r="IO97" i="13"/>
  <c r="IQ97" i="13" s="1"/>
  <c r="NB97" i="13"/>
  <c r="MR12" i="13"/>
  <c r="MS12" i="13" s="1"/>
  <c r="FT12" i="13"/>
  <c r="FU12" i="13" s="1"/>
  <c r="FW12" i="13" s="1"/>
  <c r="FX12" i="13" s="1"/>
  <c r="IO185" i="13"/>
  <c r="IQ185" i="13" s="1"/>
  <c r="NB185" i="13"/>
  <c r="GF194" i="13"/>
  <c r="GP194" i="13" s="1"/>
  <c r="GO194" i="13"/>
  <c r="NC60" i="13"/>
  <c r="IY60" i="13"/>
  <c r="NC143" i="13"/>
  <c r="IY143" i="13"/>
  <c r="FT108" i="13"/>
  <c r="FU108" i="13" s="1"/>
  <c r="FW108" i="13" s="1"/>
  <c r="FX108" i="13" s="1"/>
  <c r="IO107" i="13"/>
  <c r="IQ107" i="13" s="1"/>
  <c r="NB107" i="13"/>
  <c r="FT184" i="13"/>
  <c r="FU184" i="13" s="1"/>
  <c r="FW184" i="13" s="1"/>
  <c r="FX184" i="13" s="1"/>
  <c r="IL169" i="13"/>
  <c r="IG169" i="13"/>
  <c r="II169" i="13" s="1"/>
  <c r="IJ169" i="13" s="1"/>
  <c r="FT138" i="13"/>
  <c r="FU138" i="13" s="1"/>
  <c r="FW138" i="13" s="1"/>
  <c r="FX138" i="13" s="1"/>
  <c r="JA197" i="13"/>
  <c r="JF197" i="13" s="1"/>
  <c r="JH197" i="13" s="1"/>
  <c r="FT132" i="13"/>
  <c r="FU132" i="13" s="1"/>
  <c r="FW132" i="13" s="1"/>
  <c r="FX132" i="13" s="1"/>
  <c r="IW49" i="13"/>
  <c r="IR49" i="13"/>
  <c r="IX49" i="13" s="1"/>
  <c r="MW164" i="13"/>
  <c r="GV164" i="13"/>
  <c r="GX164" i="13" s="1"/>
  <c r="GY164" i="13" s="1"/>
  <c r="IO29" i="13"/>
  <c r="IQ29" i="13" s="1"/>
  <c r="NB29" i="13"/>
  <c r="NC25" i="13"/>
  <c r="IY25" i="13"/>
  <c r="BU35" i="13"/>
  <c r="BT35" i="13" s="1"/>
  <c r="MR29" i="13"/>
  <c r="MS29" i="13" s="1"/>
  <c r="FT29" i="13"/>
  <c r="FU29" i="13" s="1"/>
  <c r="FW29" i="13" s="1"/>
  <c r="FX29" i="13" s="1"/>
  <c r="JA128" i="13"/>
  <c r="JF128" i="13" s="1"/>
  <c r="JH128" i="13" s="1"/>
  <c r="MR13" i="13"/>
  <c r="MS13" i="13" s="1"/>
  <c r="FT13" i="13"/>
  <c r="FU13" i="13" s="1"/>
  <c r="FW13" i="13" s="1"/>
  <c r="FX13" i="13" s="1"/>
  <c r="IL56" i="13"/>
  <c r="IG56" i="13"/>
  <c r="II56" i="13" s="1"/>
  <c r="IJ56" i="13" s="1"/>
  <c r="MR15" i="13"/>
  <c r="MS15" i="13" s="1"/>
  <c r="FT15" i="13"/>
  <c r="FU15" i="13" s="1"/>
  <c r="FW15" i="13" s="1"/>
  <c r="FX15" i="13" s="1"/>
  <c r="FE70" i="13"/>
  <c r="FH70" i="13"/>
  <c r="FJ70" i="13" s="1"/>
  <c r="NC74" i="13"/>
  <c r="IY74" i="13"/>
  <c r="FT62" i="13"/>
  <c r="FU62" i="13" s="1"/>
  <c r="FW62" i="13" s="1"/>
  <c r="FX62" i="13" s="1"/>
  <c r="FP89" i="13"/>
  <c r="FK89" i="13"/>
  <c r="IG202" i="13"/>
  <c r="II202" i="13" s="1"/>
  <c r="IJ202" i="13" s="1"/>
  <c r="IL202" i="13"/>
  <c r="MV81" i="13"/>
  <c r="MU81" i="13"/>
  <c r="GQ81" i="13" s="1"/>
  <c r="GS81" i="13" s="1"/>
  <c r="GU81" i="13" s="1"/>
  <c r="MT81" i="13"/>
  <c r="GC81" i="13"/>
  <c r="GE81" i="13" s="1"/>
  <c r="IL69" i="13"/>
  <c r="IG69" i="13"/>
  <c r="II69" i="13" s="1"/>
  <c r="IJ69" i="13" s="1"/>
  <c r="IW194" i="13"/>
  <c r="IR194" i="13"/>
  <c r="IX194" i="13" s="1"/>
  <c r="FH214" i="13"/>
  <c r="FJ214" i="13" s="1"/>
  <c r="FG214" i="13"/>
  <c r="FE186" i="13"/>
  <c r="FH186" i="13"/>
  <c r="FJ186" i="13" s="1"/>
  <c r="FE30" i="13"/>
  <c r="FH30" i="13"/>
  <c r="FJ30" i="13" s="1"/>
  <c r="IW93" i="13"/>
  <c r="IR93" i="13"/>
  <c r="IX93" i="13" s="1"/>
  <c r="FE181" i="13"/>
  <c r="FH181" i="13"/>
  <c r="FJ181" i="13" s="1"/>
  <c r="IO209" i="13"/>
  <c r="IQ209" i="13" s="1"/>
  <c r="NB209" i="13"/>
  <c r="NC67" i="13"/>
  <c r="IY67" i="13"/>
  <c r="IW122" i="13"/>
  <c r="IR122" i="13"/>
  <c r="IX122" i="13" s="1"/>
  <c r="IO96" i="13"/>
  <c r="IQ96" i="13" s="1"/>
  <c r="NB96" i="13"/>
  <c r="IL203" i="13"/>
  <c r="IG203" i="13"/>
  <c r="II203" i="13" s="1"/>
  <c r="IJ203" i="13" s="1"/>
  <c r="IL136" i="13"/>
  <c r="IG136" i="13"/>
  <c r="II136" i="13" s="1"/>
  <c r="IJ136" i="13" s="1"/>
  <c r="IR85" i="13"/>
  <c r="IX85" i="13" s="1"/>
  <c r="IW85" i="13"/>
  <c r="IL205" i="13"/>
  <c r="IG205" i="13"/>
  <c r="II205" i="13" s="1"/>
  <c r="IJ205" i="13" s="1"/>
  <c r="NC112" i="13"/>
  <c r="IY112" i="13"/>
  <c r="IL77" i="13"/>
  <c r="IG77" i="13"/>
  <c r="II77" i="13" s="1"/>
  <c r="IJ77" i="13" s="1"/>
  <c r="NC28" i="13"/>
  <c r="IY28" i="13"/>
  <c r="MW173" i="13"/>
  <c r="GV173" i="13"/>
  <c r="GX173" i="13" s="1"/>
  <c r="GY173" i="13" s="1"/>
  <c r="IO99" i="13"/>
  <c r="IQ99" i="13" s="1"/>
  <c r="NB99" i="13"/>
  <c r="IW33" i="13"/>
  <c r="IR33" i="13"/>
  <c r="IX33" i="13" s="1"/>
  <c r="FE12" i="13"/>
  <c r="FH12" i="13"/>
  <c r="FJ12" i="13" s="1"/>
  <c r="MW194" i="13"/>
  <c r="GV194" i="13"/>
  <c r="GX194" i="13" s="1"/>
  <c r="GY194" i="13" s="1"/>
  <c r="IR60" i="13"/>
  <c r="IX60" i="13" s="1"/>
  <c r="IW60" i="13"/>
  <c r="E98" i="13"/>
  <c r="HH98" i="13"/>
  <c r="HJ98" i="13" s="1"/>
  <c r="HK98" i="13" s="1"/>
  <c r="HX98" i="13"/>
  <c r="HZ98" i="13" s="1"/>
  <c r="GZ98" i="13"/>
  <c r="HB98" i="13" s="1"/>
  <c r="HC98" i="13" s="1"/>
  <c r="HP98" i="13"/>
  <c r="HR98" i="13" s="1"/>
  <c r="IR143" i="13"/>
  <c r="IX143" i="13" s="1"/>
  <c r="IW143" i="13"/>
  <c r="FE108" i="13"/>
  <c r="FH108" i="13"/>
  <c r="FJ108" i="13" s="1"/>
  <c r="NC164" i="13"/>
  <c r="IY164" i="13"/>
  <c r="IL88" i="13"/>
  <c r="IG88" i="13"/>
  <c r="II88" i="13" s="1"/>
  <c r="IJ88" i="13" s="1"/>
  <c r="E204" i="13"/>
  <c r="HP204" i="13"/>
  <c r="HR204" i="13" s="1"/>
  <c r="GZ204" i="13"/>
  <c r="HB204" i="13" s="1"/>
  <c r="HC204" i="13" s="1"/>
  <c r="HX204" i="13"/>
  <c r="HZ204" i="13" s="1"/>
  <c r="HH204" i="13"/>
  <c r="HJ204" i="13" s="1"/>
  <c r="HK204" i="13" s="1"/>
  <c r="FE184" i="13"/>
  <c r="FH184" i="13"/>
  <c r="FJ184" i="13" s="1"/>
  <c r="IO169" i="13"/>
  <c r="IQ169" i="13" s="1"/>
  <c r="NB169" i="13"/>
  <c r="FE132" i="13"/>
  <c r="FH132" i="13"/>
  <c r="FJ132" i="13" s="1"/>
  <c r="NC160" i="13"/>
  <c r="IY160" i="13"/>
  <c r="FT44" i="13"/>
  <c r="FU44" i="13" s="1"/>
  <c r="FW44" i="13" s="1"/>
  <c r="FX44" i="13" s="1"/>
  <c r="E50" i="13"/>
  <c r="HH50" i="13"/>
  <c r="HJ50" i="13" s="1"/>
  <c r="HK50" i="13" s="1"/>
  <c r="HX50" i="13"/>
  <c r="HZ50" i="13" s="1"/>
  <c r="HP50" i="13"/>
  <c r="HR50" i="13" s="1"/>
  <c r="GZ50" i="13"/>
  <c r="HB50" i="13" s="1"/>
  <c r="HC50" i="13" s="1"/>
  <c r="IW25" i="13"/>
  <c r="IR25" i="13"/>
  <c r="IX25" i="13" s="1"/>
  <c r="FE29" i="13"/>
  <c r="FH29" i="13"/>
  <c r="FJ29" i="13" s="1"/>
  <c r="FP124" i="13"/>
  <c r="FK124" i="13"/>
  <c r="FQ124" i="13" s="1"/>
  <c r="NC116" i="13"/>
  <c r="IY116" i="13"/>
  <c r="GF173" i="13"/>
  <c r="GO173" i="13"/>
  <c r="GF98" i="13"/>
  <c r="GO98" i="13"/>
  <c r="MR22" i="13"/>
  <c r="MS22" i="13" s="1"/>
  <c r="FT22" i="13"/>
  <c r="FU22" i="13" s="1"/>
  <c r="FW22" i="13" s="1"/>
  <c r="FX22" i="13" s="1"/>
  <c r="FE62" i="13"/>
  <c r="FH62" i="13"/>
  <c r="FJ62" i="13" s="1"/>
  <c r="NC200" i="13"/>
  <c r="IY200" i="13"/>
  <c r="IO202" i="13"/>
  <c r="IQ202" i="13" s="1"/>
  <c r="NB202" i="13"/>
  <c r="MU201" i="13"/>
  <c r="GQ201" i="13" s="1"/>
  <c r="GS201" i="13" s="1"/>
  <c r="GU201" i="13" s="1"/>
  <c r="MT201" i="13"/>
  <c r="MV201" i="13"/>
  <c r="GC201" i="13"/>
  <c r="GE201" i="13" s="1"/>
  <c r="IO69" i="13"/>
  <c r="IQ69" i="13" s="1"/>
  <c r="NB69" i="13"/>
  <c r="NC151" i="13"/>
  <c r="IY151" i="13"/>
  <c r="GF174" i="13"/>
  <c r="GO174" i="13"/>
  <c r="IG150" i="13"/>
  <c r="II150" i="13" s="1"/>
  <c r="IJ150" i="13" s="1"/>
  <c r="IL150" i="13"/>
  <c r="NC98" i="13"/>
  <c r="IY98" i="13"/>
  <c r="NC176" i="13"/>
  <c r="IY176" i="13"/>
  <c r="IL181" i="13"/>
  <c r="IG181" i="13"/>
  <c r="II181" i="13" s="1"/>
  <c r="IJ181" i="13" s="1"/>
  <c r="IL140" i="13"/>
  <c r="IG140" i="13"/>
  <c r="II140" i="13" s="1"/>
  <c r="IJ140" i="13" s="1"/>
  <c r="MU93" i="13"/>
  <c r="GQ93" i="13" s="1"/>
  <c r="GS93" i="13" s="1"/>
  <c r="GU93" i="13" s="1"/>
  <c r="MT93" i="13"/>
  <c r="MV93" i="13"/>
  <c r="GC93" i="13"/>
  <c r="GE93" i="13" s="1"/>
  <c r="MR41" i="13"/>
  <c r="MS41" i="13" s="1"/>
  <c r="MR67" i="13"/>
  <c r="MS67" i="13" s="1"/>
  <c r="IL18" i="13"/>
  <c r="IG18" i="13"/>
  <c r="II18" i="13" s="1"/>
  <c r="IJ18" i="13" s="1"/>
  <c r="MW34" i="13"/>
  <c r="GV34" i="13"/>
  <c r="GX34" i="13" s="1"/>
  <c r="GY34" i="13" s="1"/>
  <c r="IO203" i="13"/>
  <c r="IQ203" i="13" s="1"/>
  <c r="NB203" i="13"/>
  <c r="IO136" i="13"/>
  <c r="IQ136" i="13" s="1"/>
  <c r="NB136" i="13"/>
  <c r="IO205" i="13"/>
  <c r="IQ205" i="13" s="1"/>
  <c r="NB205" i="13"/>
  <c r="MW25" i="13"/>
  <c r="GV25" i="13"/>
  <c r="GX25" i="13" s="1"/>
  <c r="GY25" i="13" s="1"/>
  <c r="IW112" i="13"/>
  <c r="IR112" i="13"/>
  <c r="IX112" i="13" s="1"/>
  <c r="NB77" i="13"/>
  <c r="IO77" i="13"/>
  <c r="IQ77" i="13" s="1"/>
  <c r="FP82" i="13"/>
  <c r="FK82" i="13"/>
  <c r="FT110" i="13"/>
  <c r="FU110" i="13" s="1"/>
  <c r="FW110" i="13" s="1"/>
  <c r="FX110" i="13" s="1"/>
  <c r="FQ92" i="13"/>
  <c r="IL55" i="13"/>
  <c r="IG55" i="13"/>
  <c r="II55" i="13" s="1"/>
  <c r="IJ55" i="13" s="1"/>
  <c r="NC84" i="13"/>
  <c r="IY84" i="13"/>
  <c r="FH103" i="13"/>
  <c r="FJ103" i="13" s="1"/>
  <c r="IL170" i="13"/>
  <c r="IG170" i="13"/>
  <c r="II170" i="13" s="1"/>
  <c r="IJ170" i="13" s="1"/>
  <c r="FT107" i="13"/>
  <c r="FU107" i="13" s="1"/>
  <c r="FW107" i="13" s="1"/>
  <c r="FX107" i="13" s="1"/>
  <c r="FT185" i="13"/>
  <c r="FU185" i="13" s="1"/>
  <c r="FW185" i="13" s="1"/>
  <c r="FX185" i="13" s="1"/>
  <c r="IL102" i="13"/>
  <c r="IG102" i="13"/>
  <c r="II102" i="13" s="1"/>
  <c r="IJ102" i="13" s="1"/>
  <c r="IW164" i="13"/>
  <c r="IR164" i="13"/>
  <c r="IX164" i="13" s="1"/>
  <c r="IO88" i="13"/>
  <c r="IQ88" i="13" s="1"/>
  <c r="NB88" i="13"/>
  <c r="IL178" i="13"/>
  <c r="IG178" i="13"/>
  <c r="II178" i="13" s="1"/>
  <c r="IJ178" i="13" s="1"/>
  <c r="NC81" i="13"/>
  <c r="IY81" i="13"/>
  <c r="IL132" i="13"/>
  <c r="IG132" i="13"/>
  <c r="II132" i="13" s="1"/>
  <c r="IJ132" i="13" s="1"/>
  <c r="FT178" i="13"/>
  <c r="FU178" i="13" s="1"/>
  <c r="FW178" i="13" s="1"/>
  <c r="FX178" i="13" s="1"/>
  <c r="IL138" i="13"/>
  <c r="IG138" i="13"/>
  <c r="II138" i="13" s="1"/>
  <c r="IJ138" i="13" s="1"/>
  <c r="IW160" i="13"/>
  <c r="IR160" i="13"/>
  <c r="IX160" i="13" s="1"/>
  <c r="FE44" i="13"/>
  <c r="FH44" i="13"/>
  <c r="FJ44" i="13" s="1"/>
  <c r="MR206" i="13"/>
  <c r="MS206" i="13" s="1"/>
  <c r="E164" i="13"/>
  <c r="HX164" i="13"/>
  <c r="HZ164" i="13" s="1"/>
  <c r="HH164" i="13"/>
  <c r="HJ164" i="13" s="1"/>
  <c r="HK164" i="13" s="1"/>
  <c r="BU164" i="13" s="1"/>
  <c r="BT164" i="13" s="1"/>
  <c r="GZ164" i="13"/>
  <c r="HB164" i="13" s="1"/>
  <c r="HC164" i="13" s="1"/>
  <c r="AX164" i="13" s="1"/>
  <c r="AW164" i="13" s="1"/>
  <c r="HP164" i="13"/>
  <c r="HR164" i="13" s="1"/>
  <c r="MV65" i="13"/>
  <c r="MU65" i="13"/>
  <c r="GQ65" i="13" s="1"/>
  <c r="GS65" i="13" s="1"/>
  <c r="GU65" i="13" s="1"/>
  <c r="MT65" i="13"/>
  <c r="GC65" i="13"/>
  <c r="GE65" i="13" s="1"/>
  <c r="MV148" i="13"/>
  <c r="MU148" i="13"/>
  <c r="GQ148" i="13" s="1"/>
  <c r="GS148" i="13" s="1"/>
  <c r="GU148" i="13" s="1"/>
  <c r="MT148" i="13"/>
  <c r="GC148" i="13"/>
  <c r="GE148" i="13" s="1"/>
  <c r="MV58" i="13"/>
  <c r="MU58" i="13"/>
  <c r="GQ58" i="13" s="1"/>
  <c r="GS58" i="13" s="1"/>
  <c r="GU58" i="13" s="1"/>
  <c r="MT58" i="13"/>
  <c r="GC58" i="13"/>
  <c r="GE58" i="13" s="1"/>
  <c r="IL167" i="13"/>
  <c r="IG167" i="13"/>
  <c r="II167" i="13" s="1"/>
  <c r="IJ167" i="13" s="1"/>
  <c r="FP210" i="13"/>
  <c r="FK210" i="13"/>
  <c r="FQ210" i="13" s="1"/>
  <c r="FH147" i="13"/>
  <c r="FJ147" i="13" s="1"/>
  <c r="FG147" i="13"/>
  <c r="FE22" i="13"/>
  <c r="FH22" i="13"/>
  <c r="FJ22" i="13" s="1"/>
  <c r="JA152" i="13"/>
  <c r="JF152" i="13" s="1"/>
  <c r="JH152" i="13" s="1"/>
  <c r="IG120" i="13"/>
  <c r="II120" i="13" s="1"/>
  <c r="IJ120" i="13" s="1"/>
  <c r="IL120" i="13"/>
  <c r="NC48" i="13"/>
  <c r="IY48" i="13"/>
  <c r="NC34" i="13"/>
  <c r="IY34" i="13"/>
  <c r="IL126" i="13"/>
  <c r="IG126" i="13"/>
  <c r="II126" i="13" s="1"/>
  <c r="IJ126" i="13" s="1"/>
  <c r="MR91" i="13"/>
  <c r="MS91" i="13" s="1"/>
  <c r="IW151" i="13"/>
  <c r="IR151" i="13"/>
  <c r="IX151" i="13" s="1"/>
  <c r="MW174" i="13"/>
  <c r="GV174" i="13"/>
  <c r="GX174" i="13" s="1"/>
  <c r="GY174" i="13" s="1"/>
  <c r="IO150" i="13"/>
  <c r="IQ150" i="13" s="1"/>
  <c r="NB150" i="13"/>
  <c r="IR98" i="13"/>
  <c r="IX98" i="13" s="1"/>
  <c r="IW98" i="13"/>
  <c r="MR211" i="13"/>
  <c r="MS211" i="13" s="1"/>
  <c r="IW176" i="13"/>
  <c r="IR176" i="13"/>
  <c r="IX176" i="13" s="1"/>
  <c r="MT32" i="13"/>
  <c r="MU32" i="13"/>
  <c r="GQ32" i="13" s="1"/>
  <c r="GS32" i="13" s="1"/>
  <c r="GU32" i="13" s="1"/>
  <c r="MV32" i="13"/>
  <c r="MR51" i="13"/>
  <c r="MS51" i="13" s="1"/>
  <c r="IO181" i="13"/>
  <c r="IQ181" i="13" s="1"/>
  <c r="NB181" i="13"/>
  <c r="IO140" i="13"/>
  <c r="IQ140" i="13" s="1"/>
  <c r="NB140" i="13"/>
  <c r="IL199" i="13"/>
  <c r="IG199" i="13"/>
  <c r="II199" i="13" s="1"/>
  <c r="IJ199" i="13" s="1"/>
  <c r="GF37" i="13"/>
  <c r="GO37" i="13"/>
  <c r="IO18" i="13"/>
  <c r="IQ18" i="13" s="1"/>
  <c r="NB18" i="13"/>
  <c r="NC40" i="13"/>
  <c r="IY40" i="13"/>
  <c r="GF42" i="13"/>
  <c r="GO42" i="13"/>
  <c r="MR77" i="13"/>
  <c r="MS77" i="13" s="1"/>
  <c r="FT77" i="13"/>
  <c r="FU77" i="13" s="1"/>
  <c r="FW77" i="13" s="1"/>
  <c r="FX77" i="13" s="1"/>
  <c r="NC118" i="13"/>
  <c r="IY118" i="13"/>
  <c r="IL17" i="13"/>
  <c r="IG17" i="13"/>
  <c r="II17" i="13" s="1"/>
  <c r="IJ17" i="13" s="1"/>
  <c r="GF80" i="13"/>
  <c r="GO80" i="13"/>
  <c r="FP134" i="13"/>
  <c r="FK134" i="13"/>
  <c r="FQ134" i="13" s="1"/>
  <c r="FE110" i="13"/>
  <c r="FH110" i="13"/>
  <c r="FJ110" i="13" s="1"/>
  <c r="IO55" i="13"/>
  <c r="IQ55" i="13" s="1"/>
  <c r="NB55" i="13"/>
  <c r="FT39" i="13"/>
  <c r="FU39" i="13" s="1"/>
  <c r="FW39" i="13" s="1"/>
  <c r="FX39" i="13" s="1"/>
  <c r="FT99" i="13"/>
  <c r="FU99" i="13" s="1"/>
  <c r="FW99" i="13" s="1"/>
  <c r="FX99" i="13" s="1"/>
  <c r="IO170" i="13"/>
  <c r="IQ170" i="13" s="1"/>
  <c r="NB170" i="13"/>
  <c r="FE107" i="13"/>
  <c r="FH107" i="13"/>
  <c r="FJ107" i="13" s="1"/>
  <c r="E194" i="13"/>
  <c r="HX194" i="13"/>
  <c r="HZ194" i="13" s="1"/>
  <c r="GZ194" i="13"/>
  <c r="HB194" i="13" s="1"/>
  <c r="HC194" i="13" s="1"/>
  <c r="HP194" i="13"/>
  <c r="HR194" i="13" s="1"/>
  <c r="HH194" i="13"/>
  <c r="HJ194" i="13" s="1"/>
  <c r="HK194" i="13" s="1"/>
  <c r="FE185" i="13"/>
  <c r="FH185" i="13"/>
  <c r="FJ185" i="13" s="1"/>
  <c r="IO102" i="13"/>
  <c r="IQ102" i="13" s="1"/>
  <c r="NB102" i="13"/>
  <c r="FT56" i="13"/>
  <c r="FU56" i="13" s="1"/>
  <c r="FW56" i="13" s="1"/>
  <c r="FX56" i="13" s="1"/>
  <c r="IO178" i="13"/>
  <c r="IQ178" i="13" s="1"/>
  <c r="NB178" i="13"/>
  <c r="IW81" i="13"/>
  <c r="IR81" i="13"/>
  <c r="IX81" i="13" s="1"/>
  <c r="IO132" i="13"/>
  <c r="IQ132" i="13" s="1"/>
  <c r="NB132" i="13"/>
  <c r="FQ193" i="13"/>
  <c r="FE178" i="13"/>
  <c r="FH178" i="13"/>
  <c r="FJ178" i="13" s="1"/>
  <c r="MR200" i="13"/>
  <c r="MS200" i="13" s="1"/>
  <c r="IO138" i="13"/>
  <c r="IQ138" i="13" s="1"/>
  <c r="NB138" i="13"/>
  <c r="NC72" i="13"/>
  <c r="IY72" i="13"/>
  <c r="MV31" i="13"/>
  <c r="MU31" i="13"/>
  <c r="GQ31" i="13" s="1"/>
  <c r="GS31" i="13" s="1"/>
  <c r="GU31" i="13" s="1"/>
  <c r="MT31" i="13"/>
  <c r="FT111" i="13"/>
  <c r="FU111" i="13" s="1"/>
  <c r="FW111" i="13" s="1"/>
  <c r="FX111" i="13" s="1"/>
  <c r="MW21" i="13"/>
  <c r="GV21" i="13"/>
  <c r="GX21" i="13" s="1"/>
  <c r="GY21" i="13" s="1"/>
  <c r="IO167" i="13"/>
  <c r="IQ167" i="13" s="1"/>
  <c r="NB167" i="13"/>
  <c r="IO70" i="13"/>
  <c r="IQ70" i="13" s="1"/>
  <c r="NB70" i="13"/>
  <c r="FP202" i="13"/>
  <c r="FK202" i="13"/>
  <c r="MV54" i="13"/>
  <c r="MU54" i="13"/>
  <c r="GQ54" i="13" s="1"/>
  <c r="GS54" i="13" s="1"/>
  <c r="GU54" i="13" s="1"/>
  <c r="MT54" i="13"/>
  <c r="GC54" i="13"/>
  <c r="GE54" i="13" s="1"/>
  <c r="IO120" i="13"/>
  <c r="IQ120" i="13" s="1"/>
  <c r="NB120" i="13"/>
  <c r="IW48" i="13"/>
  <c r="IR48" i="13"/>
  <c r="IX48" i="13" s="1"/>
  <c r="IW34" i="13"/>
  <c r="IR34" i="13"/>
  <c r="IX34" i="13" s="1"/>
  <c r="IO126" i="13"/>
  <c r="IQ126" i="13" s="1"/>
  <c r="NB126" i="13"/>
  <c r="FT119" i="13"/>
  <c r="FU119" i="13" s="1"/>
  <c r="FW119" i="13" s="1"/>
  <c r="FX119" i="13" s="1"/>
  <c r="IL166" i="13"/>
  <c r="IG166" i="13"/>
  <c r="II166" i="13" s="1"/>
  <c r="IJ166" i="13" s="1"/>
  <c r="NC137" i="13"/>
  <c r="IY137" i="13"/>
  <c r="IL14" i="13"/>
  <c r="IG14" i="13"/>
  <c r="II14" i="13" s="1"/>
  <c r="IJ14" i="13" s="1"/>
  <c r="GF163" i="13"/>
  <c r="GO163" i="13"/>
  <c r="NC73" i="13"/>
  <c r="IY73" i="13"/>
  <c r="NC204" i="13"/>
  <c r="IY204" i="13"/>
  <c r="IL180" i="13"/>
  <c r="IG180" i="13"/>
  <c r="II180" i="13" s="1"/>
  <c r="IJ180" i="13" s="1"/>
  <c r="IO199" i="13"/>
  <c r="IQ199" i="13" s="1"/>
  <c r="NB199" i="13"/>
  <c r="MW37" i="13"/>
  <c r="GV37" i="13"/>
  <c r="GX37" i="13" s="1"/>
  <c r="GY37" i="13" s="1"/>
  <c r="NC50" i="13"/>
  <c r="IY50" i="13"/>
  <c r="MR205" i="13"/>
  <c r="MS205" i="13" s="1"/>
  <c r="FT205" i="13"/>
  <c r="FU205" i="13" s="1"/>
  <c r="FW205" i="13" s="1"/>
  <c r="FX205" i="13" s="1"/>
  <c r="IW40" i="13"/>
  <c r="IR40" i="13"/>
  <c r="IX40" i="13" s="1"/>
  <c r="E34" i="13"/>
  <c r="HP34" i="13"/>
  <c r="HR34" i="13" s="1"/>
  <c r="HX34" i="13"/>
  <c r="HZ34" i="13" s="1"/>
  <c r="GZ34" i="13"/>
  <c r="HB34" i="13" s="1"/>
  <c r="HC34" i="13" s="1"/>
  <c r="HH34" i="13"/>
  <c r="HJ34" i="13" s="1"/>
  <c r="HK34" i="13" s="1"/>
  <c r="BU34" i="13" s="1"/>
  <c r="BT34" i="13" s="1"/>
  <c r="MW42" i="13"/>
  <c r="GV42" i="13"/>
  <c r="GX42" i="13" s="1"/>
  <c r="GY42" i="13" s="1"/>
  <c r="FE77" i="13"/>
  <c r="FH77" i="13"/>
  <c r="FJ77" i="13" s="1"/>
  <c r="NC159" i="13"/>
  <c r="IY159" i="13"/>
  <c r="NC87" i="13"/>
  <c r="IY87" i="13"/>
  <c r="IR118" i="13"/>
  <c r="IX118" i="13" s="1"/>
  <c r="IW118" i="13"/>
  <c r="E25" i="13"/>
  <c r="GZ25" i="13"/>
  <c r="HB25" i="13" s="1"/>
  <c r="HC25" i="13" s="1"/>
  <c r="AX25" i="13" s="1"/>
  <c r="AW25" i="13" s="1"/>
  <c r="HH25" i="13"/>
  <c r="HJ25" i="13" s="1"/>
  <c r="HK25" i="13" s="1"/>
  <c r="BU25" i="13" s="1"/>
  <c r="BT25" i="13" s="1"/>
  <c r="HP25" i="13"/>
  <c r="HR25" i="13" s="1"/>
  <c r="HX25" i="13"/>
  <c r="HZ25" i="13" s="1"/>
  <c r="IO17" i="13"/>
  <c r="IQ17" i="13" s="1"/>
  <c r="NB17" i="13"/>
  <c r="MW80" i="13"/>
  <c r="GV80" i="13"/>
  <c r="GX80" i="13" s="1"/>
  <c r="GY80" i="13" s="1"/>
  <c r="FT97" i="13"/>
  <c r="FU97" i="13" s="1"/>
  <c r="FW97" i="13" s="1"/>
  <c r="FX97" i="13" s="1"/>
  <c r="NC58" i="13"/>
  <c r="IY58" i="13"/>
  <c r="IL190" i="13"/>
  <c r="IG190" i="13"/>
  <c r="II190" i="13" s="1"/>
  <c r="IJ190" i="13" s="1"/>
  <c r="NC212" i="13"/>
  <c r="IY212" i="13"/>
  <c r="FE39" i="13"/>
  <c r="FH39" i="13"/>
  <c r="FJ39" i="13" s="1"/>
  <c r="FE99" i="13"/>
  <c r="FH99" i="13"/>
  <c r="FJ99" i="13" s="1"/>
  <c r="FT177" i="13"/>
  <c r="FU177" i="13" s="1"/>
  <c r="FW177" i="13" s="1"/>
  <c r="FX177" i="13" s="1"/>
  <c r="NC214" i="13"/>
  <c r="IY214" i="13"/>
  <c r="NC21" i="13"/>
  <c r="IY21" i="13"/>
  <c r="IL187" i="13"/>
  <c r="IG187" i="13"/>
  <c r="II187" i="13" s="1"/>
  <c r="IJ187" i="13" s="1"/>
  <c r="IL184" i="13"/>
  <c r="IG184" i="13"/>
  <c r="II184" i="13" s="1"/>
  <c r="IJ184" i="13" s="1"/>
  <c r="GF198" i="13"/>
  <c r="GP198" i="13" s="1"/>
  <c r="GO198" i="13"/>
  <c r="FE56" i="13"/>
  <c r="FH56" i="13"/>
  <c r="FJ56" i="13" s="1"/>
  <c r="NC163" i="13"/>
  <c r="IY163" i="13"/>
  <c r="IG157" i="13"/>
  <c r="II157" i="13" s="1"/>
  <c r="IJ157" i="13" s="1"/>
  <c r="IL157" i="13"/>
  <c r="FT112" i="13"/>
  <c r="FU112" i="13" s="1"/>
  <c r="FW112" i="13" s="1"/>
  <c r="FX112" i="13" s="1"/>
  <c r="FQ194" i="13"/>
  <c r="NC139" i="13"/>
  <c r="IY139" i="13"/>
  <c r="FT142" i="13"/>
  <c r="FU142" i="13" s="1"/>
  <c r="FW142" i="13" s="1"/>
  <c r="FX142" i="13" s="1"/>
  <c r="IW72" i="13"/>
  <c r="IR72" i="13"/>
  <c r="IX72" i="13" s="1"/>
  <c r="NC161" i="13"/>
  <c r="IY161" i="13"/>
  <c r="MV193" i="13"/>
  <c r="MU193" i="13"/>
  <c r="GQ193" i="13" s="1"/>
  <c r="GS193" i="13" s="1"/>
  <c r="GU193" i="13" s="1"/>
  <c r="MT193" i="13"/>
  <c r="GC193" i="13"/>
  <c r="GE193" i="13" s="1"/>
  <c r="FE111" i="13"/>
  <c r="FH111" i="13"/>
  <c r="FJ111" i="13" s="1"/>
  <c r="FT133" i="13"/>
  <c r="FU133" i="13" s="1"/>
  <c r="FW133" i="13" s="1"/>
  <c r="FX133" i="13" s="1"/>
  <c r="NC175" i="13"/>
  <c r="IY175" i="13"/>
  <c r="NC173" i="13"/>
  <c r="IY173" i="13"/>
  <c r="JA125" i="13"/>
  <c r="JF125" i="13" s="1"/>
  <c r="JH125" i="13" s="1"/>
  <c r="IL15" i="13"/>
  <c r="IG15" i="13"/>
  <c r="II15" i="13" s="1"/>
  <c r="IJ15" i="13" s="1"/>
  <c r="MW73" i="13"/>
  <c r="GV73" i="13"/>
  <c r="GX73" i="13" s="1"/>
  <c r="GY73" i="13" s="1"/>
  <c r="GF50" i="13"/>
  <c r="GO50" i="13"/>
  <c r="IL79" i="13"/>
  <c r="IG79" i="13"/>
  <c r="II79" i="13" s="1"/>
  <c r="IJ79" i="13" s="1"/>
  <c r="FT114" i="13"/>
  <c r="FU114" i="13" s="1"/>
  <c r="FW114" i="13" s="1"/>
  <c r="FX114" i="13" s="1"/>
  <c r="JA147" i="13"/>
  <c r="JF147" i="13" s="1"/>
  <c r="JH147" i="13" s="1"/>
  <c r="NC31" i="13"/>
  <c r="IY31" i="13"/>
  <c r="NC192" i="13"/>
  <c r="IY192" i="13"/>
  <c r="FQ198" i="13"/>
  <c r="IL61" i="13"/>
  <c r="IG61" i="13"/>
  <c r="II61" i="13" s="1"/>
  <c r="IJ61" i="13" s="1"/>
  <c r="NC41" i="13"/>
  <c r="IY41" i="13"/>
  <c r="FE119" i="13"/>
  <c r="FH119" i="13"/>
  <c r="FJ119" i="13" s="1"/>
  <c r="E174" i="13"/>
  <c r="HX174" i="13"/>
  <c r="HZ174" i="13" s="1"/>
  <c r="GZ174" i="13"/>
  <c r="HB174" i="13" s="1"/>
  <c r="HC174" i="13" s="1"/>
  <c r="HH174" i="13"/>
  <c r="HJ174" i="13" s="1"/>
  <c r="HK174" i="13" s="1"/>
  <c r="HP174" i="13"/>
  <c r="HR174" i="13" s="1"/>
  <c r="IO166" i="13"/>
  <c r="IQ166" i="13" s="1"/>
  <c r="NB166" i="13"/>
  <c r="IR137" i="13"/>
  <c r="IX137" i="13" s="1"/>
  <c r="IW137" i="13"/>
  <c r="IO14" i="13"/>
  <c r="IQ14" i="13" s="1"/>
  <c r="NB14" i="13"/>
  <c r="MW163" i="13"/>
  <c r="GV163" i="13"/>
  <c r="GX163" i="13" s="1"/>
  <c r="GY163" i="13" s="1"/>
  <c r="MR83" i="13"/>
  <c r="MS83" i="13" s="1"/>
  <c r="FT83" i="13"/>
  <c r="FU83" i="13" s="1"/>
  <c r="FW83" i="13" s="1"/>
  <c r="FX83" i="13" s="1"/>
  <c r="NC135" i="13"/>
  <c r="IY135" i="13"/>
  <c r="MU105" i="13"/>
  <c r="GQ105" i="13" s="1"/>
  <c r="GS105" i="13" s="1"/>
  <c r="GU105" i="13" s="1"/>
  <c r="MV105" i="13"/>
  <c r="MT105" i="13"/>
  <c r="GC105" i="13"/>
  <c r="GE105" i="13" s="1"/>
  <c r="IW73" i="13"/>
  <c r="IR73" i="13"/>
  <c r="IX73" i="13" s="1"/>
  <c r="IR204" i="13"/>
  <c r="IX204" i="13" s="1"/>
  <c r="IW204" i="13"/>
  <c r="IO180" i="13"/>
  <c r="IQ180" i="13" s="1"/>
  <c r="NB180" i="13"/>
  <c r="MU155" i="13"/>
  <c r="GQ155" i="13" s="1"/>
  <c r="GS155" i="13" s="1"/>
  <c r="GU155" i="13" s="1"/>
  <c r="MT155" i="13"/>
  <c r="MV155" i="13"/>
  <c r="GC155" i="13"/>
  <c r="GE155" i="13" s="1"/>
  <c r="IW50" i="13"/>
  <c r="IR50" i="13"/>
  <c r="IX50" i="13" s="1"/>
  <c r="FE205" i="13"/>
  <c r="FH205" i="13"/>
  <c r="FJ205" i="13" s="1"/>
  <c r="GO213" i="13"/>
  <c r="GF213" i="13"/>
  <c r="GP213" i="13" s="1"/>
  <c r="IL177" i="13"/>
  <c r="IG177" i="13"/>
  <c r="II177" i="13" s="1"/>
  <c r="IJ177" i="13" s="1"/>
  <c r="FT106" i="13"/>
  <c r="FU106" i="13" s="1"/>
  <c r="FW106" i="13" s="1"/>
  <c r="FX106" i="13" s="1"/>
  <c r="IW159" i="13"/>
  <c r="IR159" i="13"/>
  <c r="IX159" i="13" s="1"/>
  <c r="FQ84" i="13"/>
  <c r="FQ74" i="13"/>
  <c r="IL188" i="13"/>
  <c r="IG188" i="13"/>
  <c r="II188" i="13" s="1"/>
  <c r="IJ188" i="13" s="1"/>
  <c r="FE97" i="13"/>
  <c r="FH97" i="13"/>
  <c r="FJ97" i="13" s="1"/>
  <c r="IW58" i="13"/>
  <c r="IR58" i="13"/>
  <c r="IX58" i="13" s="1"/>
  <c r="IO190" i="13"/>
  <c r="IQ190" i="13" s="1"/>
  <c r="NB190" i="13"/>
  <c r="IW212" i="13"/>
  <c r="IR212" i="13"/>
  <c r="IX212" i="13" s="1"/>
  <c r="FT55" i="13"/>
  <c r="FU55" i="13" s="1"/>
  <c r="FW55" i="13" s="1"/>
  <c r="FX55" i="13" s="1"/>
  <c r="MW23" i="13"/>
  <c r="GV23" i="13"/>
  <c r="GX23" i="13" s="1"/>
  <c r="GY23" i="13" s="1"/>
  <c r="IW214" i="13"/>
  <c r="IR214" i="13"/>
  <c r="IX214" i="13" s="1"/>
  <c r="IW21" i="13"/>
  <c r="IR21" i="13"/>
  <c r="IX21" i="13" s="1"/>
  <c r="IO187" i="13"/>
  <c r="IQ187" i="13" s="1"/>
  <c r="NB187" i="13"/>
  <c r="IO184" i="13"/>
  <c r="IQ184" i="13" s="1"/>
  <c r="NB184" i="13"/>
  <c r="MW198" i="13"/>
  <c r="GV198" i="13"/>
  <c r="GX198" i="13" s="1"/>
  <c r="GY198" i="13" s="1"/>
  <c r="FK105" i="13"/>
  <c r="FQ105" i="13" s="1"/>
  <c r="FP105" i="13"/>
  <c r="NC193" i="13"/>
  <c r="IY193" i="13"/>
  <c r="MW33" i="13"/>
  <c r="GV33" i="13"/>
  <c r="GX33" i="13" s="1"/>
  <c r="GY33" i="13" s="1"/>
  <c r="IW163" i="13"/>
  <c r="IR163" i="13"/>
  <c r="IX163" i="13" s="1"/>
  <c r="IO157" i="13"/>
  <c r="IQ157" i="13" s="1"/>
  <c r="NB157" i="13"/>
  <c r="FG112" i="13"/>
  <c r="FH112" i="13"/>
  <c r="FJ112" i="13" s="1"/>
  <c r="FQ32" i="13"/>
  <c r="IW139" i="13"/>
  <c r="IR139" i="13"/>
  <c r="IX139" i="13" s="1"/>
  <c r="IW161" i="13"/>
  <c r="IR161" i="13"/>
  <c r="IX161" i="13" s="1"/>
  <c r="NC211" i="13"/>
  <c r="IY211" i="13"/>
  <c r="E21" i="13"/>
  <c r="GZ21" i="13"/>
  <c r="HB21" i="13" s="1"/>
  <c r="HC21" i="13" s="1"/>
  <c r="HX21" i="13"/>
  <c r="HZ21" i="13" s="1"/>
  <c r="HP21" i="13"/>
  <c r="HR21" i="13" s="1"/>
  <c r="HH21" i="13"/>
  <c r="HJ21" i="13" s="1"/>
  <c r="HK21" i="13" s="1"/>
  <c r="IL20" i="13"/>
  <c r="IG20" i="13"/>
  <c r="II20" i="13" s="1"/>
  <c r="IJ20" i="13" s="1"/>
  <c r="IW175" i="13"/>
  <c r="IR175" i="13"/>
  <c r="IX175" i="13" s="1"/>
  <c r="IW173" i="13"/>
  <c r="IR173" i="13"/>
  <c r="IX173" i="13" s="1"/>
  <c r="NC63" i="13"/>
  <c r="IY63" i="13"/>
  <c r="IW115" i="13"/>
  <c r="IR115" i="13"/>
  <c r="IX115" i="13" s="1"/>
  <c r="MR168" i="13"/>
  <c r="MS168" i="13" s="1"/>
  <c r="FT168" i="13"/>
  <c r="FU168" i="13" s="1"/>
  <c r="FW168" i="13" s="1"/>
  <c r="FX168" i="13" s="1"/>
  <c r="FT146" i="13"/>
  <c r="FU146" i="13" s="1"/>
  <c r="FW146" i="13" s="1"/>
  <c r="FX146" i="13" s="1"/>
  <c r="FT46" i="13"/>
  <c r="FU46" i="13" s="1"/>
  <c r="FW46" i="13" s="1"/>
  <c r="FX46" i="13" s="1"/>
  <c r="IO79" i="13"/>
  <c r="IQ79" i="13" s="1"/>
  <c r="NB79" i="13"/>
  <c r="FH114" i="13"/>
  <c r="FJ114" i="13" s="1"/>
  <c r="FG114" i="13"/>
  <c r="MV141" i="13"/>
  <c r="MU141" i="13"/>
  <c r="GQ141" i="13" s="1"/>
  <c r="GS141" i="13" s="1"/>
  <c r="GU141" i="13" s="1"/>
  <c r="MT141" i="13"/>
  <c r="GC141" i="13"/>
  <c r="GE141" i="13" s="1"/>
  <c r="IW31" i="13"/>
  <c r="IR31" i="13"/>
  <c r="IX31" i="13" s="1"/>
  <c r="IW192" i="13"/>
  <c r="IR192" i="13"/>
  <c r="IX192" i="13" s="1"/>
  <c r="IO61" i="13"/>
  <c r="IQ61" i="13" s="1"/>
  <c r="NB61" i="13"/>
  <c r="IW41" i="13"/>
  <c r="IR41" i="13"/>
  <c r="IX41" i="13" s="1"/>
  <c r="GF53" i="13"/>
  <c r="GP53" i="13" s="1"/>
  <c r="GO53" i="13"/>
  <c r="NC23" i="13"/>
  <c r="IY23" i="13"/>
  <c r="NC92" i="13"/>
  <c r="IY92" i="13"/>
  <c r="IL206" i="13"/>
  <c r="IG206" i="13"/>
  <c r="II206" i="13" s="1"/>
  <c r="IJ206" i="13" s="1"/>
  <c r="IL86" i="13"/>
  <c r="IG86" i="13"/>
  <c r="II86" i="13" s="1"/>
  <c r="IJ86" i="13" s="1"/>
  <c r="FE83" i="13"/>
  <c r="FH83" i="13"/>
  <c r="FJ83" i="13" s="1"/>
  <c r="IR135" i="13"/>
  <c r="IX135" i="13" s="1"/>
  <c r="IW135" i="13"/>
  <c r="E37" i="13"/>
  <c r="HH37" i="13"/>
  <c r="HJ37" i="13" s="1"/>
  <c r="HK37" i="13" s="1"/>
  <c r="HX37" i="13"/>
  <c r="HZ37" i="13" s="1"/>
  <c r="GZ37" i="13"/>
  <c r="HB37" i="13" s="1"/>
  <c r="HC37" i="13" s="1"/>
  <c r="HP37" i="13"/>
  <c r="HR37" i="13" s="1"/>
  <c r="FT199" i="13"/>
  <c r="FU199" i="13" s="1"/>
  <c r="FW199" i="13" s="1"/>
  <c r="FX199" i="13" s="1"/>
  <c r="IL168" i="13"/>
  <c r="IG168" i="13"/>
  <c r="II168" i="13" s="1"/>
  <c r="IJ168" i="13" s="1"/>
  <c r="NC171" i="13"/>
  <c r="IY171" i="13"/>
  <c r="FT207" i="13"/>
  <c r="FU207" i="13" s="1"/>
  <c r="FW207" i="13" s="1"/>
  <c r="FX207" i="13" s="1"/>
  <c r="IO177" i="13"/>
  <c r="IQ177" i="13" s="1"/>
  <c r="NB177" i="13"/>
  <c r="E42" i="13"/>
  <c r="HH42" i="13"/>
  <c r="HJ42" i="13" s="1"/>
  <c r="HK42" i="13" s="1"/>
  <c r="GZ42" i="13"/>
  <c r="HB42" i="13" s="1"/>
  <c r="HC42" i="13" s="1"/>
  <c r="HX42" i="13"/>
  <c r="HZ42" i="13" s="1"/>
  <c r="HP42" i="13"/>
  <c r="HR42" i="13" s="1"/>
  <c r="FH106" i="13"/>
  <c r="FJ106" i="13" s="1"/>
  <c r="FG106" i="13"/>
  <c r="IO188" i="13"/>
  <c r="IQ188" i="13" s="1"/>
  <c r="NB188" i="13"/>
  <c r="E80" i="13"/>
  <c r="HP80" i="13"/>
  <c r="HR80" i="13" s="1"/>
  <c r="HX80" i="13"/>
  <c r="HZ80" i="13" s="1"/>
  <c r="HH80" i="13"/>
  <c r="HJ80" i="13" s="1"/>
  <c r="HK80" i="13" s="1"/>
  <c r="GZ80" i="13"/>
  <c r="HB80" i="13" s="1"/>
  <c r="HC80" i="13" s="1"/>
  <c r="MU87" i="13"/>
  <c r="GQ87" i="13" s="1"/>
  <c r="GS87" i="13" s="1"/>
  <c r="GU87" i="13" s="1"/>
  <c r="MT87" i="13"/>
  <c r="MV87" i="13"/>
  <c r="GC87" i="13"/>
  <c r="GE87" i="13" s="1"/>
  <c r="GF165" i="13"/>
  <c r="GP165" i="13" s="1"/>
  <c r="GO165" i="13"/>
  <c r="IL39" i="13"/>
  <c r="IG39" i="13"/>
  <c r="II39" i="13" s="1"/>
  <c r="IJ39" i="13" s="1"/>
  <c r="GF48" i="13"/>
  <c r="GO48" i="13"/>
  <c r="MR68" i="13"/>
  <c r="MS68" i="13" s="1"/>
  <c r="FT68" i="13"/>
  <c r="FU68" i="13" s="1"/>
  <c r="FW68" i="13" s="1"/>
  <c r="FX68" i="13" s="1"/>
  <c r="NC106" i="13"/>
  <c r="IY106" i="13"/>
  <c r="FE55" i="13"/>
  <c r="FH55" i="13"/>
  <c r="FJ55" i="13" s="1"/>
  <c r="IL12" i="13"/>
  <c r="IG12" i="13"/>
  <c r="II12" i="13" s="1"/>
  <c r="IJ12" i="13" s="1"/>
  <c r="MR16" i="13"/>
  <c r="MS16" i="13" s="1"/>
  <c r="FT16" i="13"/>
  <c r="FU16" i="13" s="1"/>
  <c r="FW16" i="13" s="1"/>
  <c r="FX16" i="13" s="1"/>
  <c r="IW193" i="13"/>
  <c r="IR193" i="13"/>
  <c r="IX193" i="13" s="1"/>
  <c r="MV175" i="13"/>
  <c r="MU175" i="13"/>
  <c r="GQ175" i="13" s="1"/>
  <c r="GS175" i="13" s="1"/>
  <c r="GU175" i="13" s="1"/>
  <c r="MT175" i="13"/>
  <c r="GC175" i="13"/>
  <c r="GE175" i="13" s="1"/>
  <c r="NC54" i="13"/>
  <c r="IY54" i="13"/>
  <c r="FQ159" i="13"/>
  <c r="FT102" i="13"/>
  <c r="FU102" i="13" s="1"/>
  <c r="FW102" i="13" s="1"/>
  <c r="FX102" i="13" s="1"/>
  <c r="IL44" i="13"/>
  <c r="IG44" i="13"/>
  <c r="II44" i="13" s="1"/>
  <c r="IJ44" i="13" s="1"/>
  <c r="IL133" i="13"/>
  <c r="IG133" i="13"/>
  <c r="II133" i="13" s="1"/>
  <c r="IJ133" i="13" s="1"/>
  <c r="IW211" i="13"/>
  <c r="IR211" i="13"/>
  <c r="IX211" i="13" s="1"/>
  <c r="FT134" i="13"/>
  <c r="FU134" i="13" s="1"/>
  <c r="FW134" i="13" s="1"/>
  <c r="FX134" i="13" s="1"/>
  <c r="MR197" i="13"/>
  <c r="MS197" i="13" s="1"/>
  <c r="IO20" i="13"/>
  <c r="IQ20" i="13" s="1"/>
  <c r="NB20" i="13"/>
  <c r="IW63" i="13"/>
  <c r="IR63" i="13"/>
  <c r="IX63" i="13" s="1"/>
  <c r="FT144" i="13"/>
  <c r="FU144" i="13" s="1"/>
  <c r="FW144" i="13" s="1"/>
  <c r="FX144" i="13" s="1"/>
  <c r="AS3" i="13" s="1"/>
  <c r="IO13" i="13"/>
  <c r="IQ13" i="13" s="1"/>
  <c r="NB13" i="13"/>
  <c r="IL22" i="13"/>
  <c r="IG22" i="13"/>
  <c r="II22" i="13" s="1"/>
  <c r="IJ22" i="13" s="1"/>
  <c r="IW94" i="13"/>
  <c r="IR94" i="13"/>
  <c r="IX94" i="13" s="1"/>
  <c r="FE100" i="13"/>
  <c r="FH100" i="13"/>
  <c r="FJ100" i="13" s="1"/>
  <c r="FP133" i="13"/>
  <c r="FK133" i="13"/>
  <c r="FQ133" i="13" s="1"/>
  <c r="IL130" i="13"/>
  <c r="IG130" i="13"/>
  <c r="II130" i="13" s="1"/>
  <c r="IJ130" i="13" s="1"/>
  <c r="IL179" i="13"/>
  <c r="IG179" i="13"/>
  <c r="II179" i="13" s="1"/>
  <c r="IJ179" i="13" s="1"/>
  <c r="IL191" i="13"/>
  <c r="IG191" i="13"/>
  <c r="II191" i="13" s="1"/>
  <c r="IJ191" i="13" s="1"/>
  <c r="IL62" i="13"/>
  <c r="IG62" i="13"/>
  <c r="II62" i="13" s="1"/>
  <c r="IJ62" i="13" s="1"/>
  <c r="MT153" i="13"/>
  <c r="MV153" i="13"/>
  <c r="MU153" i="13"/>
  <c r="GQ153" i="13" s="1"/>
  <c r="GS153" i="13" s="1"/>
  <c r="GU153" i="13" s="1"/>
  <c r="GC153" i="13"/>
  <c r="GE153" i="13" s="1"/>
  <c r="NC90" i="13"/>
  <c r="IY90" i="13"/>
  <c r="GF161" i="13"/>
  <c r="GO161" i="13"/>
  <c r="IG186" i="13"/>
  <c r="II186" i="13" s="1"/>
  <c r="IJ186" i="13" s="1"/>
  <c r="IL186" i="13"/>
  <c r="FT117" i="13"/>
  <c r="FU117" i="13" s="1"/>
  <c r="FW117" i="13" s="1"/>
  <c r="FX117" i="13" s="1"/>
  <c r="MW53" i="13"/>
  <c r="GV53" i="13"/>
  <c r="GX53" i="13" s="1"/>
  <c r="GY53" i="13" s="1"/>
  <c r="IW23" i="13"/>
  <c r="IR23" i="13"/>
  <c r="IX23" i="13" s="1"/>
  <c r="MV28" i="13"/>
  <c r="MU28" i="13"/>
  <c r="GQ28" i="13" s="1"/>
  <c r="GS28" i="13" s="1"/>
  <c r="GU28" i="13" s="1"/>
  <c r="MT28" i="13"/>
  <c r="IW92" i="13"/>
  <c r="IR92" i="13"/>
  <c r="IX92" i="13" s="1"/>
  <c r="IO206" i="13"/>
  <c r="IQ206" i="13" s="1"/>
  <c r="NB206" i="13"/>
  <c r="IO86" i="13"/>
  <c r="IQ86" i="13" s="1"/>
  <c r="NB86" i="13"/>
  <c r="E163" i="13"/>
  <c r="HP163" i="13"/>
  <c r="HR163" i="13" s="1"/>
  <c r="HX163" i="13"/>
  <c r="HZ163" i="13" s="1"/>
  <c r="GZ163" i="13"/>
  <c r="HB163" i="13" s="1"/>
  <c r="HC163" i="13" s="1"/>
  <c r="HH163" i="13"/>
  <c r="HJ163" i="13" s="1"/>
  <c r="HK163" i="13" s="1"/>
  <c r="FT118" i="13"/>
  <c r="FU118" i="13" s="1"/>
  <c r="FW118" i="13" s="1"/>
  <c r="FX118" i="13" s="1"/>
  <c r="FP102" i="13"/>
  <c r="FK102" i="13"/>
  <c r="FQ102" i="13" s="1"/>
  <c r="MV160" i="13"/>
  <c r="MU160" i="13"/>
  <c r="GQ160" i="13" s="1"/>
  <c r="GS160" i="13" s="1"/>
  <c r="GU160" i="13" s="1"/>
  <c r="MT160" i="13"/>
  <c r="GC160" i="13"/>
  <c r="GE160" i="13" s="1"/>
  <c r="FP142" i="13"/>
  <c r="FK142" i="13"/>
  <c r="FQ142" i="13" s="1"/>
  <c r="FK129" i="13"/>
  <c r="FP129" i="13"/>
  <c r="FE199" i="13"/>
  <c r="FH199" i="13"/>
  <c r="FJ199" i="13" s="1"/>
  <c r="IO168" i="13"/>
  <c r="IQ168" i="13" s="1"/>
  <c r="NB168" i="13"/>
  <c r="IW171" i="13"/>
  <c r="IR171" i="13"/>
  <c r="IX171" i="13" s="1"/>
  <c r="FG207" i="13"/>
  <c r="FH207" i="13"/>
  <c r="FJ207" i="13" s="1"/>
  <c r="E213" i="13"/>
  <c r="GZ213" i="13"/>
  <c r="HB213" i="13" s="1"/>
  <c r="HC213" i="13" s="1"/>
  <c r="HX213" i="13"/>
  <c r="HZ213" i="13" s="1"/>
  <c r="HH213" i="13"/>
  <c r="HJ213" i="13" s="1"/>
  <c r="HK213" i="13" s="1"/>
  <c r="HP213" i="13"/>
  <c r="HR213" i="13" s="1"/>
  <c r="FP4" i="13"/>
  <c r="FR17" i="13"/>
  <c r="FT96" i="13"/>
  <c r="FU96" i="13" s="1"/>
  <c r="FW96" i="13" s="1"/>
  <c r="FX96" i="13" s="1"/>
  <c r="NC37" i="13"/>
  <c r="IY37" i="13"/>
  <c r="FQ192" i="13"/>
  <c r="IL78" i="13"/>
  <c r="IG78" i="13"/>
  <c r="II78" i="13" s="1"/>
  <c r="IJ78" i="13" s="1"/>
  <c r="NC53" i="13"/>
  <c r="IY53" i="13"/>
  <c r="E165" i="13"/>
  <c r="HX165" i="13"/>
  <c r="HZ165" i="13" s="1"/>
  <c r="GZ165" i="13"/>
  <c r="HB165" i="13" s="1"/>
  <c r="HC165" i="13" s="1"/>
  <c r="HP165" i="13"/>
  <c r="HR165" i="13" s="1"/>
  <c r="HH165" i="13"/>
  <c r="HJ165" i="13" s="1"/>
  <c r="HK165" i="13" s="1"/>
  <c r="IO39" i="13"/>
  <c r="IQ39" i="13" s="1"/>
  <c r="NB39" i="13"/>
  <c r="MW48" i="13"/>
  <c r="GV48" i="13"/>
  <c r="GX48" i="13" s="1"/>
  <c r="GY48" i="13" s="1"/>
  <c r="FE68" i="13"/>
  <c r="FH68" i="13"/>
  <c r="FJ68" i="13" s="1"/>
  <c r="IW106" i="13"/>
  <c r="IR106" i="13"/>
  <c r="IX106" i="13" s="1"/>
  <c r="NC195" i="13"/>
  <c r="IY195" i="13"/>
  <c r="FT190" i="13"/>
  <c r="FU190" i="13" s="1"/>
  <c r="FW190" i="13" s="1"/>
  <c r="FX190" i="13" s="1"/>
  <c r="MR190" i="13"/>
  <c r="MS190" i="13" s="1"/>
  <c r="E23" i="13"/>
  <c r="HX23" i="13"/>
  <c r="HZ23" i="13" s="1"/>
  <c r="GZ23" i="13"/>
  <c r="HB23" i="13" s="1"/>
  <c r="HC23" i="13" s="1"/>
  <c r="AX23" i="13" s="1"/>
  <c r="AW23" i="13" s="1"/>
  <c r="HH23" i="13"/>
  <c r="HJ23" i="13" s="1"/>
  <c r="HK23" i="13" s="1"/>
  <c r="BU23" i="13" s="1"/>
  <c r="BT23" i="13" s="1"/>
  <c r="HP23" i="13"/>
  <c r="HR23" i="13" s="1"/>
  <c r="FP138" i="13"/>
  <c r="FK138" i="13"/>
  <c r="FQ138" i="13" s="1"/>
  <c r="IO12" i="13"/>
  <c r="IQ12" i="13" s="1"/>
  <c r="NB12" i="13"/>
  <c r="E198" i="13"/>
  <c r="HP198" i="13"/>
  <c r="HR198" i="13" s="1"/>
  <c r="HX198" i="13"/>
  <c r="HZ198" i="13" s="1"/>
  <c r="GZ198" i="13"/>
  <c r="HB198" i="13" s="1"/>
  <c r="HC198" i="13" s="1"/>
  <c r="HH198" i="13"/>
  <c r="HJ198" i="13" s="1"/>
  <c r="HK198" i="13" s="1"/>
  <c r="FE16" i="13"/>
  <c r="FH16" i="13"/>
  <c r="FJ16" i="13" s="1"/>
  <c r="E33" i="13"/>
  <c r="GZ33" i="13"/>
  <c r="HB33" i="13" s="1"/>
  <c r="HC33" i="13" s="1"/>
  <c r="AX33" i="13" s="1"/>
  <c r="AW33" i="13" s="1"/>
  <c r="HH33" i="13"/>
  <c r="HJ33" i="13" s="1"/>
  <c r="HK33" i="13" s="1"/>
  <c r="BU33" i="13" s="1"/>
  <c r="BT33" i="13" s="1"/>
  <c r="HP33" i="13"/>
  <c r="HR33" i="13" s="1"/>
  <c r="HX33" i="13"/>
  <c r="HZ33" i="13" s="1"/>
  <c r="IW54" i="13"/>
  <c r="IR54" i="13"/>
  <c r="IX54" i="13" s="1"/>
  <c r="IO44" i="13"/>
  <c r="IQ44" i="13" s="1"/>
  <c r="NB44" i="13"/>
  <c r="NC42" i="13"/>
  <c r="IY42" i="13"/>
  <c r="IO133" i="13"/>
  <c r="IQ133" i="13" s="1"/>
  <c r="NB133" i="13"/>
  <c r="AX34" i="13"/>
  <c r="AW34" i="13" s="1"/>
  <c r="IL27" i="13"/>
  <c r="IG27" i="13"/>
  <c r="II27" i="13" s="1"/>
  <c r="IJ27" i="13" s="1"/>
  <c r="CR21" i="13"/>
  <c r="CQ21" i="13" s="1"/>
  <c r="MV43" i="13"/>
  <c r="MU43" i="13"/>
  <c r="GQ43" i="13" s="1"/>
  <c r="GS43" i="13" s="1"/>
  <c r="GU43" i="13" s="1"/>
  <c r="MT43" i="13"/>
  <c r="GC43" i="13"/>
  <c r="GE43" i="13" s="1"/>
  <c r="FT135" i="13"/>
  <c r="FU135" i="13" s="1"/>
  <c r="FW135" i="13" s="1"/>
  <c r="FX135" i="13" s="1"/>
  <c r="MV162" i="13"/>
  <c r="MU162" i="13"/>
  <c r="GQ162" i="13" s="1"/>
  <c r="GS162" i="13" s="1"/>
  <c r="GU162" i="13" s="1"/>
  <c r="MT162" i="13"/>
  <c r="GC162" i="13"/>
  <c r="GE162" i="13" s="1"/>
  <c r="IO130" i="13"/>
  <c r="IQ130" i="13" s="1"/>
  <c r="NB130" i="13"/>
  <c r="IO179" i="13"/>
  <c r="IQ179" i="13" s="1"/>
  <c r="NB179" i="13"/>
  <c r="MU52" i="13"/>
  <c r="GQ52" i="13" s="1"/>
  <c r="GS52" i="13" s="1"/>
  <c r="GU52" i="13" s="1"/>
  <c r="MT52" i="13"/>
  <c r="MV52" i="13"/>
  <c r="GC52" i="13"/>
  <c r="GE52" i="13" s="1"/>
  <c r="IO191" i="13"/>
  <c r="IQ191" i="13" s="1"/>
  <c r="NB191" i="13"/>
  <c r="IO62" i="13"/>
  <c r="IQ62" i="13" s="1"/>
  <c r="NB62" i="13"/>
  <c r="FT79" i="13"/>
  <c r="FU79" i="13" s="1"/>
  <c r="FW79" i="13" s="1"/>
  <c r="FX79" i="13" s="1"/>
  <c r="IW90" i="13"/>
  <c r="IR90" i="13"/>
  <c r="IX90" i="13" s="1"/>
  <c r="MW161" i="13"/>
  <c r="GV161" i="13"/>
  <c r="GX161" i="13" s="1"/>
  <c r="GY161" i="13" s="1"/>
  <c r="IO186" i="13"/>
  <c r="IQ186" i="13" s="1"/>
  <c r="NB186" i="13"/>
  <c r="FT115" i="13"/>
  <c r="FU115" i="13" s="1"/>
  <c r="FW115" i="13" s="1"/>
  <c r="FX115" i="13" s="1"/>
  <c r="IL117" i="13"/>
  <c r="IG117" i="13"/>
  <c r="II117" i="13" s="1"/>
  <c r="IJ117" i="13" s="1"/>
  <c r="FH118" i="13"/>
  <c r="FJ118" i="13" s="1"/>
  <c r="FG118" i="13"/>
  <c r="FT86" i="13"/>
  <c r="FU86" i="13" s="1"/>
  <c r="FW86" i="13" s="1"/>
  <c r="FX86" i="13" s="1"/>
  <c r="IL183" i="13"/>
  <c r="IG183" i="13"/>
  <c r="II183" i="13" s="1"/>
  <c r="IJ183" i="13" s="1"/>
  <c r="FT103" i="13"/>
  <c r="FU103" i="13" s="1"/>
  <c r="FW103" i="13" s="1"/>
  <c r="FX103" i="13" s="1"/>
  <c r="MW213" i="13"/>
  <c r="GV213" i="13"/>
  <c r="GX213" i="13" s="1"/>
  <c r="GY213" i="13" s="1"/>
  <c r="MV76" i="13"/>
  <c r="MU76" i="13"/>
  <c r="GQ76" i="13" s="1"/>
  <c r="GS76" i="13" s="1"/>
  <c r="GU76" i="13" s="1"/>
  <c r="MT76" i="13"/>
  <c r="GC76" i="13"/>
  <c r="GE76" i="13" s="1"/>
  <c r="FE17" i="13"/>
  <c r="FH17" i="13"/>
  <c r="FJ17" i="13" s="1"/>
  <c r="FE96" i="13"/>
  <c r="FH96" i="13"/>
  <c r="FJ96" i="13" s="1"/>
  <c r="IW37" i="13"/>
  <c r="IR37" i="13"/>
  <c r="IX37" i="13" s="1"/>
  <c r="IO78" i="13"/>
  <c r="IQ78" i="13" s="1"/>
  <c r="NB78" i="13"/>
  <c r="NC165" i="13"/>
  <c r="IY165" i="13"/>
  <c r="MV85" i="13"/>
  <c r="MU85" i="13"/>
  <c r="GQ85" i="13" s="1"/>
  <c r="GS85" i="13" s="1"/>
  <c r="GU85" i="13" s="1"/>
  <c r="MT85" i="13"/>
  <c r="GC85" i="13"/>
  <c r="GE85" i="13" s="1"/>
  <c r="IW53" i="13"/>
  <c r="IR53" i="13"/>
  <c r="IX53" i="13" s="1"/>
  <c r="MW165" i="13"/>
  <c r="GV165" i="13"/>
  <c r="GX165" i="13" s="1"/>
  <c r="GY165" i="13" s="1"/>
  <c r="FT188" i="13"/>
  <c r="FU188" i="13" s="1"/>
  <c r="FW188" i="13" s="1"/>
  <c r="FX188" i="13" s="1"/>
  <c r="MU182" i="13"/>
  <c r="GQ182" i="13" s="1"/>
  <c r="GS182" i="13" s="1"/>
  <c r="GU182" i="13" s="1"/>
  <c r="MT182" i="13"/>
  <c r="MV182" i="13"/>
  <c r="GC182" i="13"/>
  <c r="GE182" i="13" s="1"/>
  <c r="IR195" i="13"/>
  <c r="IX195" i="13" s="1"/>
  <c r="IW195" i="13"/>
  <c r="FE190" i="13"/>
  <c r="FH190" i="13"/>
  <c r="FJ190" i="13" s="1"/>
  <c r="IL109" i="13"/>
  <c r="IG109" i="13"/>
  <c r="II109" i="13" s="1"/>
  <c r="IJ109" i="13" s="1"/>
  <c r="FT88" i="13"/>
  <c r="FU88" i="13" s="1"/>
  <c r="FW88" i="13" s="1"/>
  <c r="FX88" i="13" s="1"/>
  <c r="U5" i="141"/>
  <c r="MQ104" i="13"/>
  <c r="FR104" i="13" s="1"/>
  <c r="FT170" i="13"/>
  <c r="FU170" i="13" s="1"/>
  <c r="FW170" i="13" s="1"/>
  <c r="FX170" i="13" s="1"/>
  <c r="NC24" i="13"/>
  <c r="IY24" i="13"/>
  <c r="NC71" i="13"/>
  <c r="IY71" i="13"/>
  <c r="IL16" i="13"/>
  <c r="IG16" i="13"/>
  <c r="II16" i="13" s="1"/>
  <c r="IJ16" i="13" s="1"/>
  <c r="MV72" i="13"/>
  <c r="MU72" i="13"/>
  <c r="GQ72" i="13" s="1"/>
  <c r="GS72" i="13" s="1"/>
  <c r="GU72" i="13" s="1"/>
  <c r="MT72" i="13"/>
  <c r="GC72" i="13"/>
  <c r="GE72" i="13" s="1"/>
  <c r="IW42" i="13"/>
  <c r="IR42" i="13"/>
  <c r="IX42" i="13" s="1"/>
  <c r="JA127" i="13"/>
  <c r="JF127" i="13" s="1"/>
  <c r="JH127" i="13" s="1"/>
  <c r="IW113" i="13"/>
  <c r="IR113" i="13"/>
  <c r="IX113" i="13" s="1"/>
  <c r="JA19" i="13"/>
  <c r="ND19" i="13"/>
  <c r="NE19" i="13" s="1"/>
  <c r="NC123" i="13"/>
  <c r="IY123" i="13"/>
  <c r="IO103" i="13"/>
  <c r="IQ103" i="13" s="1"/>
  <c r="NB103" i="13"/>
  <c r="FP94" i="13"/>
  <c r="FK94" i="13"/>
  <c r="IL108" i="13"/>
  <c r="IG108" i="13"/>
  <c r="II108" i="13" s="1"/>
  <c r="IJ108" i="13" s="1"/>
  <c r="MR169" i="13"/>
  <c r="MS169" i="13" s="1"/>
  <c r="FT169" i="13"/>
  <c r="FU169" i="13" s="1"/>
  <c r="FW169" i="13" s="1"/>
  <c r="FX169" i="13" s="1"/>
  <c r="FP136" i="13"/>
  <c r="FK136" i="13"/>
  <c r="FQ136" i="13" s="1"/>
  <c r="FG135" i="13"/>
  <c r="FH135" i="13"/>
  <c r="FJ135" i="13" s="1"/>
  <c r="MR196" i="13"/>
  <c r="MS196" i="13" s="1"/>
  <c r="NC38" i="13"/>
  <c r="IY38" i="13"/>
  <c r="FT45" i="13"/>
  <c r="FU45" i="13" s="1"/>
  <c r="FW45" i="13" s="1"/>
  <c r="FX45" i="13" s="1"/>
  <c r="FQ149" i="13"/>
  <c r="FT69" i="13"/>
  <c r="FU69" i="13" s="1"/>
  <c r="FW69" i="13" s="1"/>
  <c r="FX69" i="13" s="1"/>
  <c r="FE79" i="13"/>
  <c r="FH79" i="13"/>
  <c r="FJ79" i="13" s="1"/>
  <c r="FP179" i="13"/>
  <c r="FK179" i="13"/>
  <c r="MV145" i="13"/>
  <c r="MU145" i="13"/>
  <c r="GQ145" i="13" s="1"/>
  <c r="GS145" i="13" s="1"/>
  <c r="GU145" i="13" s="1"/>
  <c r="MT145" i="13"/>
  <c r="GC145" i="13"/>
  <c r="GE145" i="13" s="1"/>
  <c r="FT166" i="13"/>
  <c r="FU166" i="13" s="1"/>
  <c r="FW166" i="13" s="1"/>
  <c r="FX166" i="13" s="1"/>
  <c r="E53" i="13"/>
  <c r="HP53" i="13"/>
  <c r="HR53" i="13" s="1"/>
  <c r="HX53" i="13"/>
  <c r="HZ53" i="13" s="1"/>
  <c r="HH53" i="13"/>
  <c r="HJ53" i="13" s="1"/>
  <c r="HK53" i="13" s="1"/>
  <c r="GZ53" i="13"/>
  <c r="HB53" i="13" s="1"/>
  <c r="HC53" i="13" s="1"/>
  <c r="FH115" i="13"/>
  <c r="FJ115" i="13" s="1"/>
  <c r="FG115" i="13"/>
  <c r="IL144" i="13"/>
  <c r="IG144" i="13"/>
  <c r="II144" i="13" s="1"/>
  <c r="IJ144" i="13" s="1"/>
  <c r="IO117" i="13"/>
  <c r="IQ117" i="13" s="1"/>
  <c r="NB117" i="13"/>
  <c r="NC91" i="13"/>
  <c r="IY91" i="13"/>
  <c r="MR94" i="13"/>
  <c r="MS94" i="13" s="1"/>
  <c r="FT150" i="13"/>
  <c r="FU150" i="13" s="1"/>
  <c r="FW150" i="13" s="1"/>
  <c r="FX150" i="13" s="1"/>
  <c r="FE86" i="13"/>
  <c r="FH86" i="13"/>
  <c r="FJ86" i="13" s="1"/>
  <c r="IO183" i="13"/>
  <c r="IQ183" i="13" s="1"/>
  <c r="NB183" i="13"/>
  <c r="MR151" i="13"/>
  <c r="MS151" i="13" s="1"/>
  <c r="NC174" i="13"/>
  <c r="IY174" i="13"/>
  <c r="FT101" i="13"/>
  <c r="FU101" i="13" s="1"/>
  <c r="FW101" i="13" s="1"/>
  <c r="FX101" i="13" s="1"/>
  <c r="MV195" i="13"/>
  <c r="MT195" i="13"/>
  <c r="MU195" i="13"/>
  <c r="GQ195" i="13" s="1"/>
  <c r="GS195" i="13" s="1"/>
  <c r="GU195" i="13" s="1"/>
  <c r="GC195" i="13"/>
  <c r="GE195" i="13" s="1"/>
  <c r="MR75" i="13"/>
  <c r="MS75" i="13" s="1"/>
  <c r="FP177" i="13"/>
  <c r="FK177" i="13"/>
  <c r="NC129" i="13"/>
  <c r="IY129" i="13"/>
  <c r="IR165" i="13"/>
  <c r="IX165" i="13" s="1"/>
  <c r="IW165" i="13"/>
  <c r="NC182" i="13"/>
  <c r="IY182" i="13"/>
  <c r="E48" i="13"/>
  <c r="HX48" i="13"/>
  <c r="HZ48" i="13" s="1"/>
  <c r="HP48" i="13"/>
  <c r="HR48" i="13" s="1"/>
  <c r="GZ48" i="13"/>
  <c r="HB48" i="13" s="1"/>
  <c r="HC48" i="13" s="1"/>
  <c r="HH48" i="13"/>
  <c r="HJ48" i="13" s="1"/>
  <c r="HK48" i="13" s="1"/>
  <c r="FE188" i="13"/>
  <c r="FH188" i="13"/>
  <c r="FJ188" i="13" s="1"/>
  <c r="FT127" i="13"/>
  <c r="FU127" i="13" s="1"/>
  <c r="FW127" i="13" s="1"/>
  <c r="FX127" i="13" s="1"/>
  <c r="MR154" i="13"/>
  <c r="MS154" i="13" s="1"/>
  <c r="IL68" i="13"/>
  <c r="IG68" i="13"/>
  <c r="II68" i="13" s="1"/>
  <c r="IJ68" i="13" s="1"/>
  <c r="IO109" i="13"/>
  <c r="IQ109" i="13" s="1"/>
  <c r="NB109" i="13"/>
  <c r="MT24" i="13"/>
  <c r="MV24" i="13"/>
  <c r="MU24" i="13"/>
  <c r="GQ24" i="13" s="1"/>
  <c r="GS24" i="13" s="1"/>
  <c r="GU24" i="13" s="1"/>
  <c r="FE88" i="13"/>
  <c r="FH88" i="13"/>
  <c r="FJ88" i="13" s="1"/>
  <c r="M5" i="141"/>
  <c r="FE104" i="13"/>
  <c r="N5" i="141" s="1"/>
  <c r="FE170" i="13"/>
  <c r="FH170" i="13"/>
  <c r="FJ170" i="13" s="1"/>
  <c r="IW71" i="13"/>
  <c r="IR71" i="13"/>
  <c r="IX71" i="13" s="1"/>
  <c r="MR210" i="13"/>
  <c r="MS210" i="13" s="1"/>
  <c r="IO16" i="13"/>
  <c r="IQ16" i="13" s="1"/>
  <c r="NB16" i="13"/>
  <c r="IL100" i="13"/>
  <c r="IG100" i="13"/>
  <c r="II100" i="13" s="1"/>
  <c r="IJ100" i="13" s="1"/>
  <c r="NC124" i="13"/>
  <c r="IY124" i="13"/>
  <c r="MR143" i="13"/>
  <c r="MS143" i="13" s="1"/>
  <c r="FP141" i="13"/>
  <c r="FK141" i="13"/>
  <c r="FQ141" i="13" s="1"/>
  <c r="FP208" i="13"/>
  <c r="FK208" i="13"/>
  <c r="FQ208" i="13" s="1"/>
  <c r="MV49" i="13"/>
  <c r="MU49" i="13"/>
  <c r="GQ49" i="13" s="1"/>
  <c r="GS49" i="13" s="1"/>
  <c r="GU49" i="13" s="1"/>
  <c r="MT49" i="13"/>
  <c r="GC49" i="13"/>
  <c r="GE49" i="13" s="1"/>
  <c r="MR152" i="13"/>
  <c r="MS152" i="13" s="1"/>
  <c r="FT167" i="13"/>
  <c r="FU167" i="13" s="1"/>
  <c r="FW167" i="13" s="1"/>
  <c r="FX167" i="13" s="1"/>
  <c r="MR18" i="13"/>
  <c r="MS18" i="13" s="1"/>
  <c r="FT18" i="13"/>
  <c r="FU18" i="13" s="1"/>
  <c r="FW18" i="13" s="1"/>
  <c r="FX18" i="13" s="1"/>
  <c r="GF204" i="13"/>
  <c r="GP204" i="13" s="1"/>
  <c r="AX204" i="13" s="1"/>
  <c r="AW204" i="13" s="1"/>
  <c r="GO204" i="13"/>
  <c r="FT191" i="13"/>
  <c r="FU191" i="13" s="1"/>
  <c r="FW191" i="13" s="1"/>
  <c r="FX191" i="13" s="1"/>
  <c r="FT120" i="13"/>
  <c r="FU120" i="13" s="1"/>
  <c r="FW120" i="13" s="1"/>
  <c r="FX120" i="13" s="1"/>
  <c r="IW38" i="13"/>
  <c r="IR38" i="13"/>
  <c r="IX38" i="13" s="1"/>
  <c r="FE45" i="13"/>
  <c r="FH45" i="13"/>
  <c r="FJ45" i="13" s="1"/>
  <c r="FE69" i="13"/>
  <c r="FH69" i="13"/>
  <c r="FJ69" i="13" s="1"/>
  <c r="FT130" i="13"/>
  <c r="FU130" i="13" s="1"/>
  <c r="FW130" i="13" s="1"/>
  <c r="FX130" i="13" s="1"/>
  <c r="NC52" i="13"/>
  <c r="IY52" i="13"/>
  <c r="E161" i="13"/>
  <c r="HP161" i="13"/>
  <c r="HR161" i="13" s="1"/>
  <c r="HX161" i="13"/>
  <c r="HZ161" i="13" s="1"/>
  <c r="GZ161" i="13"/>
  <c r="HB161" i="13" s="1"/>
  <c r="HC161" i="13" s="1"/>
  <c r="HH161" i="13"/>
  <c r="HJ161" i="13" s="1"/>
  <c r="HK161" i="13" s="1"/>
  <c r="FE166" i="13"/>
  <c r="FH166" i="13"/>
  <c r="FJ166" i="13" s="1"/>
  <c r="GF57" i="13"/>
  <c r="GO57" i="13"/>
  <c r="FT121" i="13"/>
  <c r="FU121" i="13" s="1"/>
  <c r="FW121" i="13" s="1"/>
  <c r="FX121" i="13" s="1"/>
  <c r="IO144" i="13"/>
  <c r="IQ144" i="13" s="1"/>
  <c r="NB144" i="13"/>
  <c r="FP189" i="13"/>
  <c r="FK189" i="13"/>
  <c r="GF66" i="13"/>
  <c r="GP66" i="13" s="1"/>
  <c r="BU66" i="13" s="1"/>
  <c r="BT66" i="13" s="1"/>
  <c r="GO66" i="13"/>
  <c r="IL119" i="13"/>
  <c r="IG119" i="13"/>
  <c r="II119" i="13" s="1"/>
  <c r="IJ119" i="13" s="1"/>
  <c r="NC114" i="13"/>
  <c r="IY114" i="13"/>
  <c r="FE150" i="13"/>
  <c r="FH150" i="13"/>
  <c r="FJ150" i="13" s="1"/>
  <c r="NC131" i="13"/>
  <c r="IY131" i="13"/>
  <c r="NC207" i="13"/>
  <c r="IY207" i="13"/>
  <c r="IG208" i="13"/>
  <c r="II208" i="13" s="1"/>
  <c r="IJ208" i="13" s="1"/>
  <c r="IL208" i="13"/>
  <c r="NC121" i="13"/>
  <c r="IY121" i="13"/>
  <c r="FT180" i="13"/>
  <c r="FU180" i="13" s="1"/>
  <c r="FW180" i="13" s="1"/>
  <c r="FX180" i="13" s="1"/>
  <c r="IW174" i="13"/>
  <c r="IR174" i="13"/>
  <c r="IX174" i="13" s="1"/>
  <c r="FE101" i="13"/>
  <c r="FH101" i="13"/>
  <c r="FJ101" i="13" s="1"/>
  <c r="IR129" i="13"/>
  <c r="IX129" i="13" s="1"/>
  <c r="IW129" i="13"/>
  <c r="MV157" i="13"/>
  <c r="MU157" i="13"/>
  <c r="GQ157" i="13" s="1"/>
  <c r="GS157" i="13" s="1"/>
  <c r="GU157" i="13" s="1"/>
  <c r="MT157" i="13"/>
  <c r="GC157" i="13"/>
  <c r="GE157" i="13" s="1"/>
  <c r="MV84" i="13"/>
  <c r="MU84" i="13"/>
  <c r="GQ84" i="13" s="1"/>
  <c r="GS84" i="13" s="1"/>
  <c r="GU84" i="13" s="1"/>
  <c r="MT84" i="13"/>
  <c r="GC84" i="13"/>
  <c r="GE84" i="13" s="1"/>
  <c r="NC82" i="13"/>
  <c r="IY82" i="13"/>
  <c r="FT78" i="13"/>
  <c r="FU78" i="13" s="1"/>
  <c r="FW78" i="13" s="1"/>
  <c r="FX78" i="13" s="1"/>
  <c r="MV203" i="13"/>
  <c r="MU203" i="13"/>
  <c r="GQ203" i="13" s="1"/>
  <c r="GS203" i="13" s="1"/>
  <c r="GU203" i="13" s="1"/>
  <c r="MT203" i="13"/>
  <c r="GC203" i="13"/>
  <c r="GE203" i="13" s="1"/>
  <c r="IO68" i="13"/>
  <c r="IQ68" i="13" s="1"/>
  <c r="NB68" i="13"/>
  <c r="CR33" i="13"/>
  <c r="CQ33" i="13" s="1"/>
  <c r="MW26" i="13"/>
  <c r="GV26" i="13"/>
  <c r="GX26" i="13" s="1"/>
  <c r="GY26" i="13" s="1"/>
  <c r="MV172" i="13"/>
  <c r="MU172" i="13"/>
  <c r="GQ172" i="13" s="1"/>
  <c r="GS172" i="13" s="1"/>
  <c r="GU172" i="13" s="1"/>
  <c r="MT172" i="13"/>
  <c r="GC172" i="13"/>
  <c r="GE172" i="13" s="1"/>
  <c r="NC148" i="13"/>
  <c r="IY148" i="13"/>
  <c r="MU128" i="13"/>
  <c r="GQ128" i="13" s="1"/>
  <c r="GS128" i="13" s="1"/>
  <c r="GU128" i="13" s="1"/>
  <c r="MT128" i="13"/>
  <c r="MV128" i="13"/>
  <c r="GC128" i="13"/>
  <c r="GE128" i="13" s="1"/>
  <c r="IG104" i="13"/>
  <c r="II104" i="13" s="1"/>
  <c r="IJ104" i="13" s="1"/>
  <c r="IL104" i="13"/>
  <c r="IO100" i="13"/>
  <c r="IQ100" i="13" s="1"/>
  <c r="NB100" i="13"/>
  <c r="IW124" i="13"/>
  <c r="IR124" i="13"/>
  <c r="IX124" i="13" s="1"/>
  <c r="IL134" i="13"/>
  <c r="IG134" i="13"/>
  <c r="II134" i="13" s="1"/>
  <c r="IJ134" i="13" s="1"/>
  <c r="NC64" i="13"/>
  <c r="IY64" i="13"/>
  <c r="IL101" i="13"/>
  <c r="IG101" i="13"/>
  <c r="II101" i="13" s="1"/>
  <c r="IJ101" i="13" s="1"/>
  <c r="FT122" i="13"/>
  <c r="FU122" i="13" s="1"/>
  <c r="FW122" i="13" s="1"/>
  <c r="FX122" i="13" s="1"/>
  <c r="FT139" i="13"/>
  <c r="FU139" i="13" s="1"/>
  <c r="FW139" i="13" s="1"/>
  <c r="FX139" i="13" s="1"/>
  <c r="FE167" i="13"/>
  <c r="FH167" i="13"/>
  <c r="FJ167" i="13" s="1"/>
  <c r="FP120" i="13"/>
  <c r="FK120" i="13"/>
  <c r="FQ120" i="13" s="1"/>
  <c r="FE191" i="13"/>
  <c r="FH191" i="13"/>
  <c r="FJ191" i="13" s="1"/>
  <c r="NC89" i="13"/>
  <c r="IY89" i="13"/>
  <c r="JA210" i="13"/>
  <c r="JF210" i="13" s="1"/>
  <c r="JH210" i="13" s="1"/>
  <c r="FT140" i="13"/>
  <c r="FU140" i="13" s="1"/>
  <c r="FW140" i="13" s="1"/>
  <c r="FX140" i="13" s="1"/>
  <c r="FT126" i="13"/>
  <c r="FU126" i="13" s="1"/>
  <c r="FW126" i="13" s="1"/>
  <c r="FX126" i="13" s="1"/>
  <c r="FE130" i="13"/>
  <c r="FH130" i="13"/>
  <c r="FJ130" i="13" s="1"/>
  <c r="IL45" i="13"/>
  <c r="IG45" i="13"/>
  <c r="II45" i="13" s="1"/>
  <c r="IJ45" i="13" s="1"/>
  <c r="ND43" i="13"/>
  <c r="NE43" i="13" s="1"/>
  <c r="GF192" i="13"/>
  <c r="GP192" i="13" s="1"/>
  <c r="GO192" i="13"/>
  <c r="MR47" i="13"/>
  <c r="MW57" i="13"/>
  <c r="GV57" i="13"/>
  <c r="GX57" i="13" s="1"/>
  <c r="GY57" i="13" s="1"/>
  <c r="FH121" i="13"/>
  <c r="FJ121" i="13" s="1"/>
  <c r="FG121" i="13"/>
  <c r="FP76" i="13"/>
  <c r="FK76" i="13"/>
  <c r="MW66" i="13"/>
  <c r="GV66" i="13"/>
  <c r="GX66" i="13" s="1"/>
  <c r="GY66" i="13" s="1"/>
  <c r="IO119" i="13"/>
  <c r="IQ119" i="13" s="1"/>
  <c r="NB119" i="13"/>
  <c r="IW114" i="13"/>
  <c r="IR114" i="13"/>
  <c r="IX114" i="13" s="1"/>
  <c r="IW131" i="13"/>
  <c r="IR131" i="13"/>
  <c r="IX131" i="13" s="1"/>
  <c r="IW207" i="13"/>
  <c r="IR207" i="13"/>
  <c r="IX207" i="13" s="1"/>
  <c r="IO208" i="13"/>
  <c r="IQ208" i="13" s="1"/>
  <c r="NB208" i="13"/>
  <c r="IW121" i="13"/>
  <c r="IR121" i="13"/>
  <c r="IX121" i="13" s="1"/>
  <c r="JA51" i="13"/>
  <c r="JF51" i="13" s="1"/>
  <c r="JH51" i="13" s="1"/>
  <c r="FE180" i="13"/>
  <c r="FH180" i="13"/>
  <c r="FJ180" i="13" s="1"/>
  <c r="MV149" i="13"/>
  <c r="MU149" i="13"/>
  <c r="GQ149" i="13" s="1"/>
  <c r="GS149" i="13" s="1"/>
  <c r="GU149" i="13" s="1"/>
  <c r="MT149" i="13"/>
  <c r="GC149" i="13"/>
  <c r="GE149" i="13" s="1"/>
  <c r="MR95" i="13"/>
  <c r="MS95" i="13" s="1"/>
  <c r="FT95" i="13"/>
  <c r="FU95" i="13" s="1"/>
  <c r="FW95" i="13" s="1"/>
  <c r="FX95" i="13" s="1"/>
  <c r="IL196" i="13"/>
  <c r="IG196" i="13"/>
  <c r="II196" i="13" s="1"/>
  <c r="IJ196" i="13" s="1"/>
  <c r="IL110" i="13"/>
  <c r="IG110" i="13"/>
  <c r="II110" i="13" s="1"/>
  <c r="IJ110" i="13" s="1"/>
  <c r="FT212" i="13"/>
  <c r="FU212" i="13" s="1"/>
  <c r="FW212" i="13" s="1"/>
  <c r="FX212" i="13" s="1"/>
  <c r="MR156" i="13"/>
  <c r="MS156" i="13" s="1"/>
  <c r="IR82" i="13"/>
  <c r="IX82" i="13" s="1"/>
  <c r="IW82" i="13"/>
  <c r="MR159" i="13"/>
  <c r="MS159" i="13" s="1"/>
  <c r="FE78" i="13"/>
  <c r="FH78" i="13"/>
  <c r="FJ78" i="13" s="1"/>
  <c r="FK137" i="13"/>
  <c r="FQ137" i="13" s="1"/>
  <c r="FP137" i="13"/>
  <c r="FT113" i="13"/>
  <c r="FU113" i="13" s="1"/>
  <c r="FW113" i="13" s="1"/>
  <c r="FX113" i="13" s="1"/>
  <c r="IW148" i="13"/>
  <c r="IR148" i="13"/>
  <c r="IX148" i="13" s="1"/>
  <c r="MR137" i="13"/>
  <c r="MS137" i="13" s="1"/>
  <c r="FT187" i="13"/>
  <c r="FU187" i="13" s="1"/>
  <c r="FW187" i="13" s="1"/>
  <c r="FX187" i="13" s="1"/>
  <c r="MR187" i="13"/>
  <c r="MS187" i="13" s="1"/>
  <c r="IO104" i="13"/>
  <c r="IQ104" i="13" s="1"/>
  <c r="NB104" i="13"/>
  <c r="MV63" i="13"/>
  <c r="MU63" i="13"/>
  <c r="GQ63" i="13" s="1"/>
  <c r="GS63" i="13" s="1"/>
  <c r="GU63" i="13" s="1"/>
  <c r="MT63" i="13"/>
  <c r="GC63" i="13"/>
  <c r="GE63" i="13" s="1"/>
  <c r="NC162" i="13"/>
  <c r="IY162" i="13"/>
  <c r="MR36" i="13"/>
  <c r="MS36" i="13" s="1"/>
  <c r="IO134" i="13"/>
  <c r="IQ134" i="13" s="1"/>
  <c r="NB134" i="13"/>
  <c r="NC153" i="13"/>
  <c r="IY153" i="13"/>
  <c r="IW64" i="13"/>
  <c r="IR64" i="13"/>
  <c r="IX64" i="13" s="1"/>
  <c r="IO101" i="13"/>
  <c r="IQ101" i="13" s="1"/>
  <c r="NB101" i="13"/>
  <c r="NC145" i="13"/>
  <c r="IY145" i="13"/>
  <c r="FH122" i="13"/>
  <c r="FJ122" i="13" s="1"/>
  <c r="FG122" i="13"/>
  <c r="FH139" i="13"/>
  <c r="FJ139" i="13" s="1"/>
  <c r="FG139" i="13"/>
  <c r="JA105" i="13"/>
  <c r="JF105" i="13" s="1"/>
  <c r="JH105" i="13" s="1"/>
  <c r="MV129" i="13"/>
  <c r="MT129" i="13"/>
  <c r="MU129" i="13"/>
  <c r="GQ129" i="13" s="1"/>
  <c r="GS129" i="13" s="1"/>
  <c r="GU129" i="13" s="1"/>
  <c r="GC129" i="13"/>
  <c r="GE129" i="13" s="1"/>
  <c r="IL111" i="13"/>
  <c r="IG111" i="13"/>
  <c r="II111" i="13" s="1"/>
  <c r="IJ111" i="13" s="1"/>
  <c r="MW35" i="13"/>
  <c r="GV35" i="13"/>
  <c r="GX35" i="13" s="1"/>
  <c r="GY35" i="13" s="1"/>
  <c r="IW89" i="13"/>
  <c r="IR89" i="13"/>
  <c r="IX89" i="13" s="1"/>
  <c r="FE140" i="13"/>
  <c r="FH140" i="13"/>
  <c r="FJ140" i="13" s="1"/>
  <c r="FE126" i="13"/>
  <c r="FH126" i="13"/>
  <c r="FJ126" i="13" s="1"/>
  <c r="IO45" i="13"/>
  <c r="IQ45" i="13" s="1"/>
  <c r="NB45" i="13"/>
  <c r="MT74" i="13"/>
  <c r="MV74" i="13"/>
  <c r="MU74" i="13"/>
  <c r="GQ74" i="13" s="1"/>
  <c r="GS74" i="13" s="1"/>
  <c r="GU74" i="13" s="1"/>
  <c r="GC74" i="13"/>
  <c r="GE74" i="13" s="1"/>
  <c r="JJ43" i="13"/>
  <c r="JI43" i="13"/>
  <c r="MW192" i="13"/>
  <c r="GV192" i="13"/>
  <c r="GX192" i="13" s="1"/>
  <c r="GY192" i="13" s="1"/>
  <c r="IL83" i="13"/>
  <c r="IG83" i="13"/>
  <c r="II83" i="13" s="1"/>
  <c r="IJ83" i="13" s="1"/>
  <c r="NC59" i="13"/>
  <c r="IY59" i="13"/>
  <c r="MR189" i="13"/>
  <c r="MS189" i="13" s="1"/>
  <c r="NC80" i="13"/>
  <c r="IY80" i="13"/>
  <c r="IG156" i="13"/>
  <c r="II156" i="13" s="1"/>
  <c r="IJ156" i="13" s="1"/>
  <c r="IL156" i="13"/>
  <c r="FT183" i="13"/>
  <c r="FU183" i="13" s="1"/>
  <c r="FW183" i="13" s="1"/>
  <c r="FX183" i="13" s="1"/>
  <c r="FT179" i="13"/>
  <c r="FU179" i="13" s="1"/>
  <c r="FW179" i="13" s="1"/>
  <c r="FX179" i="13" s="1"/>
  <c r="FE95" i="13"/>
  <c r="FH95" i="13"/>
  <c r="FJ95" i="13" s="1"/>
  <c r="IO196" i="13"/>
  <c r="IQ196" i="13" s="1"/>
  <c r="NB196" i="13"/>
  <c r="JA155" i="13"/>
  <c r="JF155" i="13" s="1"/>
  <c r="JH155" i="13" s="1"/>
  <c r="IO110" i="13"/>
  <c r="IQ110" i="13" s="1"/>
  <c r="NB110" i="13"/>
  <c r="MR92" i="13"/>
  <c r="MS92" i="13" s="1"/>
  <c r="GF71" i="13"/>
  <c r="GO71" i="13"/>
  <c r="FQ154" i="13"/>
  <c r="FH212" i="13"/>
  <c r="FJ212" i="13" s="1"/>
  <c r="FG212" i="13"/>
  <c r="NC141" i="13"/>
  <c r="IY141" i="13"/>
  <c r="NC149" i="13"/>
  <c r="IY149" i="13"/>
  <c r="IW76" i="13"/>
  <c r="IR76" i="13"/>
  <c r="IX76" i="13" s="1"/>
  <c r="IL146" i="13"/>
  <c r="IG146" i="13"/>
  <c r="II146" i="13" s="1"/>
  <c r="IJ146" i="13" s="1"/>
  <c r="NC65" i="13"/>
  <c r="IY65" i="13"/>
  <c r="NC26" i="13"/>
  <c r="IY26" i="13"/>
  <c r="FH113" i="13"/>
  <c r="FJ113" i="13" s="1"/>
  <c r="FG113" i="13"/>
  <c r="E26" i="13"/>
  <c r="HH26" i="13"/>
  <c r="HJ26" i="13" s="1"/>
  <c r="HK26" i="13" s="1"/>
  <c r="BU26" i="13" s="1"/>
  <c r="BT26" i="13" s="1"/>
  <c r="HP26" i="13"/>
  <c r="HR26" i="13" s="1"/>
  <c r="HX26" i="13"/>
  <c r="HZ26" i="13" s="1"/>
  <c r="GZ26" i="13"/>
  <c r="HB26" i="13" s="1"/>
  <c r="HC26" i="13" s="1"/>
  <c r="AX26" i="13" s="1"/>
  <c r="AW26" i="13" s="1"/>
  <c r="MR90" i="13"/>
  <c r="MS90" i="13" s="1"/>
  <c r="FH117" i="13"/>
  <c r="FJ117" i="13" s="1"/>
  <c r="NC172" i="13"/>
  <c r="IY172" i="13"/>
  <c r="NC158" i="13"/>
  <c r="IY158" i="13"/>
  <c r="FE187" i="13"/>
  <c r="FH187" i="13"/>
  <c r="FJ187" i="13" s="1"/>
  <c r="IL46" i="13"/>
  <c r="IG46" i="13"/>
  <c r="II46" i="13" s="1"/>
  <c r="IJ46" i="13" s="1"/>
  <c r="NC66" i="13"/>
  <c r="IY66" i="13"/>
  <c r="IW162" i="13"/>
  <c r="IR162" i="13"/>
  <c r="IX162" i="13" s="1"/>
  <c r="NC213" i="13"/>
  <c r="IY213" i="13"/>
  <c r="FT125" i="13"/>
  <c r="FU125" i="13" s="1"/>
  <c r="FW125" i="13" s="1"/>
  <c r="FX125" i="13" s="1"/>
  <c r="IW153" i="13"/>
  <c r="IR153" i="13"/>
  <c r="IX153" i="13" s="1"/>
  <c r="NC47" i="13"/>
  <c r="IY47" i="13"/>
  <c r="MR20" i="13"/>
  <c r="MS20" i="13" s="1"/>
  <c r="FT20" i="13"/>
  <c r="FU20" i="13" s="1"/>
  <c r="FW20" i="13" s="1"/>
  <c r="FX20" i="13" s="1"/>
  <c r="IL142" i="13"/>
  <c r="IG142" i="13"/>
  <c r="II142" i="13" s="1"/>
  <c r="IJ142" i="13" s="1"/>
  <c r="MV176" i="13"/>
  <c r="MU176" i="13"/>
  <c r="GQ176" i="13" s="1"/>
  <c r="GS176" i="13" s="1"/>
  <c r="GU176" i="13" s="1"/>
  <c r="MT176" i="13"/>
  <c r="GC176" i="13"/>
  <c r="GE176" i="13" s="1"/>
  <c r="IW145" i="13"/>
  <c r="IR145" i="13"/>
  <c r="IX145" i="13" s="1"/>
  <c r="FQ195" i="13"/>
  <c r="Q5" i="141"/>
  <c r="MW60" i="13"/>
  <c r="GV60" i="13"/>
  <c r="GX60" i="13" s="1"/>
  <c r="GY60" i="13" s="1"/>
  <c r="E192" i="13"/>
  <c r="HH192" i="13"/>
  <c r="HJ192" i="13" s="1"/>
  <c r="HK192" i="13" s="1"/>
  <c r="HX192" i="13"/>
  <c r="HZ192" i="13" s="1"/>
  <c r="GZ192" i="13"/>
  <c r="HB192" i="13" s="1"/>
  <c r="HC192" i="13" s="1"/>
  <c r="HP192" i="13"/>
  <c r="HR192" i="13" s="1"/>
  <c r="MV64" i="13"/>
  <c r="MU64" i="13"/>
  <c r="GQ64" i="13" s="1"/>
  <c r="GS64" i="13" s="1"/>
  <c r="GU64" i="13" s="1"/>
  <c r="MT64" i="13"/>
  <c r="GC64" i="13"/>
  <c r="GE64" i="13" s="1"/>
  <c r="FE209" i="13"/>
  <c r="FH209" i="13"/>
  <c r="FJ209" i="13" s="1"/>
  <c r="JA75" i="13"/>
  <c r="JF75" i="13" s="1"/>
  <c r="JH75" i="13" s="1"/>
  <c r="MV158" i="13"/>
  <c r="MT158" i="13"/>
  <c r="MU158" i="13"/>
  <c r="GQ158" i="13" s="1"/>
  <c r="GS158" i="13" s="1"/>
  <c r="GU158" i="13" s="1"/>
  <c r="GC158" i="13"/>
  <c r="GE158" i="13" s="1"/>
  <c r="IO111" i="13"/>
  <c r="IQ111" i="13" s="1"/>
  <c r="NB111" i="13"/>
  <c r="FQ182" i="13"/>
  <c r="GF60" i="13"/>
  <c r="GP60" i="13" s="1"/>
  <c r="GO60" i="13"/>
  <c r="IL70" i="13"/>
  <c r="IG70" i="13"/>
  <c r="II70" i="13" s="1"/>
  <c r="IJ70" i="13" s="1"/>
  <c r="NC113" i="13"/>
  <c r="IY113" i="13"/>
  <c r="MR89" i="13"/>
  <c r="MS89" i="13" s="1"/>
  <c r="NC115" i="13"/>
  <c r="IY115" i="13"/>
  <c r="E57" i="13"/>
  <c r="GZ57" i="13"/>
  <c r="HB57" i="13" s="1"/>
  <c r="HC57" i="13" s="1"/>
  <c r="HP57" i="13"/>
  <c r="HR57" i="13" s="1"/>
  <c r="HX57" i="13"/>
  <c r="HZ57" i="13" s="1"/>
  <c r="HH57" i="13"/>
  <c r="HJ57" i="13" s="1"/>
  <c r="HK57" i="13" s="1"/>
  <c r="IO83" i="13"/>
  <c r="IQ83" i="13" s="1"/>
  <c r="NB83" i="13"/>
  <c r="FK143" i="13"/>
  <c r="FQ143" i="13" s="1"/>
  <c r="FP143" i="13"/>
  <c r="E66" i="13"/>
  <c r="HH66" i="13"/>
  <c r="HJ66" i="13" s="1"/>
  <c r="HK66" i="13" s="1"/>
  <c r="HX66" i="13"/>
  <c r="HZ66" i="13" s="1"/>
  <c r="GZ66" i="13"/>
  <c r="HB66" i="13" s="1"/>
  <c r="HC66" i="13" s="1"/>
  <c r="HP66" i="13"/>
  <c r="HR66" i="13" s="1"/>
  <c r="FQ152" i="13"/>
  <c r="IR59" i="13"/>
  <c r="IX59" i="13" s="1"/>
  <c r="IW59" i="13"/>
  <c r="IW80" i="13"/>
  <c r="IR80" i="13"/>
  <c r="IX80" i="13" s="1"/>
  <c r="IO156" i="13"/>
  <c r="IQ156" i="13" s="1"/>
  <c r="NB156" i="13"/>
  <c r="FT209" i="13"/>
  <c r="FU209" i="13" s="1"/>
  <c r="FW209" i="13" s="1"/>
  <c r="FX209" i="13" s="1"/>
  <c r="FE183" i="13"/>
  <c r="FH183" i="13"/>
  <c r="FJ183" i="13" s="1"/>
  <c r="IL103" i="13"/>
  <c r="IG103" i="13"/>
  <c r="II103" i="13" s="1"/>
  <c r="IJ103" i="13" s="1"/>
  <c r="IL13" i="13"/>
  <c r="IG13" i="13"/>
  <c r="II13" i="13" s="1"/>
  <c r="IJ13" i="13" s="1"/>
  <c r="BU21" i="13"/>
  <c r="BT21" i="13" s="1"/>
  <c r="AX21" i="13"/>
  <c r="AW21" i="13" s="1"/>
  <c r="MR124" i="13"/>
  <c r="MS124" i="13" s="1"/>
  <c r="MW71" i="13"/>
  <c r="GV71" i="13"/>
  <c r="GX71" i="13" s="1"/>
  <c r="GY71" i="13" s="1"/>
  <c r="GF73" i="13"/>
  <c r="GP73" i="13" s="1"/>
  <c r="GO73" i="13"/>
  <c r="IW141" i="13"/>
  <c r="IR141" i="13"/>
  <c r="IX141" i="13" s="1"/>
  <c r="IW149" i="13"/>
  <c r="IR149" i="13"/>
  <c r="IX149" i="13" s="1"/>
  <c r="NC76" i="13"/>
  <c r="IY76" i="13"/>
  <c r="IO146" i="13"/>
  <c r="IQ146" i="13" s="1"/>
  <c r="NB146" i="13"/>
  <c r="IW65" i="13"/>
  <c r="IR65" i="13"/>
  <c r="IX65" i="13" s="1"/>
  <c r="IW26" i="13"/>
  <c r="IR26" i="13"/>
  <c r="IX26" i="13" s="1"/>
  <c r="FP127" i="13"/>
  <c r="FK127" i="13"/>
  <c r="FQ127" i="13" s="1"/>
  <c r="IR172" i="13"/>
  <c r="IX172" i="13" s="1"/>
  <c r="IW172" i="13"/>
  <c r="IW158" i="13"/>
  <c r="IR158" i="13"/>
  <c r="IX158" i="13" s="1"/>
  <c r="IO46" i="13"/>
  <c r="IQ46" i="13" s="1"/>
  <c r="NB46" i="13"/>
  <c r="IW66" i="13"/>
  <c r="IR66" i="13"/>
  <c r="IX66" i="13" s="1"/>
  <c r="FQ40" i="13"/>
  <c r="NC94" i="13"/>
  <c r="IY94" i="13"/>
  <c r="IW213" i="13"/>
  <c r="IR213" i="13"/>
  <c r="IX213" i="13" s="1"/>
  <c r="FH125" i="13"/>
  <c r="FJ125" i="13" s="1"/>
  <c r="FG125" i="13"/>
  <c r="FT100" i="13"/>
  <c r="FU100" i="13" s="1"/>
  <c r="FW100" i="13" s="1"/>
  <c r="FX100" i="13" s="1"/>
  <c r="FQ162" i="13"/>
  <c r="IW47" i="13"/>
  <c r="IR47" i="13"/>
  <c r="IX47" i="13" s="1"/>
  <c r="FE20" i="13"/>
  <c r="FH20" i="13"/>
  <c r="FJ20" i="13" s="1"/>
  <c r="IO142" i="13"/>
  <c r="IQ142" i="13" s="1"/>
  <c r="NB142" i="13"/>
  <c r="MR202" i="13"/>
  <c r="MS202" i="13" s="1"/>
  <c r="FT147" i="13"/>
  <c r="FU147" i="13" s="1"/>
  <c r="FW147" i="13" s="1"/>
  <c r="FX147" i="13" s="1"/>
  <c r="CR26" i="13" l="1"/>
  <c r="CQ26" i="13" s="1"/>
  <c r="MR122" i="13"/>
  <c r="MS122" i="13" s="1"/>
  <c r="MR86" i="13"/>
  <c r="MS86" i="13" s="1"/>
  <c r="MR112" i="13"/>
  <c r="MS112" i="13" s="1"/>
  <c r="GC171" i="13"/>
  <c r="GE171" i="13" s="1"/>
  <c r="MT171" i="13"/>
  <c r="ND127" i="13"/>
  <c r="NE127" i="13" s="1"/>
  <c r="MR188" i="13"/>
  <c r="MS188" i="13" s="1"/>
  <c r="MU171" i="13"/>
  <c r="GQ171" i="13" s="1"/>
  <c r="GS171" i="13" s="1"/>
  <c r="GU171" i="13" s="1"/>
  <c r="GC131" i="13"/>
  <c r="GE131" i="13" s="1"/>
  <c r="MT131" i="13"/>
  <c r="MU131" i="13"/>
  <c r="GQ131" i="13" s="1"/>
  <c r="GS131" i="13" s="1"/>
  <c r="GU131" i="13" s="1"/>
  <c r="MR56" i="13"/>
  <c r="MS56" i="13" s="1"/>
  <c r="MR39" i="13"/>
  <c r="MS39" i="13" s="1"/>
  <c r="MR212" i="13"/>
  <c r="MS212" i="13" s="1"/>
  <c r="MR185" i="13"/>
  <c r="MS185" i="13" s="1"/>
  <c r="MT185" i="13" s="1"/>
  <c r="MR147" i="13"/>
  <c r="MS147" i="13" s="1"/>
  <c r="MR209" i="13"/>
  <c r="MS209" i="13" s="1"/>
  <c r="ND125" i="13"/>
  <c r="NE125" i="13" s="1"/>
  <c r="MR97" i="13"/>
  <c r="MS97" i="13" s="1"/>
  <c r="MR135" i="13"/>
  <c r="MS135" i="13" s="1"/>
  <c r="MR146" i="13"/>
  <c r="MS146" i="13" s="1"/>
  <c r="MR62" i="13"/>
  <c r="MS62" i="13" s="1"/>
  <c r="MR207" i="13"/>
  <c r="MS207" i="13" s="1"/>
  <c r="MR100" i="13"/>
  <c r="MS100" i="13" s="1"/>
  <c r="MR114" i="13"/>
  <c r="MS114" i="13" s="1"/>
  <c r="MR133" i="13"/>
  <c r="MS133" i="13" s="1"/>
  <c r="MR184" i="13"/>
  <c r="MS184" i="13" s="1"/>
  <c r="MV184" i="13" s="1"/>
  <c r="MR179" i="13"/>
  <c r="MS179" i="13" s="1"/>
  <c r="MR118" i="13"/>
  <c r="MS118" i="13" s="1"/>
  <c r="MR116" i="13"/>
  <c r="MS116" i="13" s="1"/>
  <c r="MR183" i="13"/>
  <c r="MS183" i="13" s="1"/>
  <c r="MV183" i="13" s="1"/>
  <c r="MR139" i="13"/>
  <c r="MS139" i="13" s="1"/>
  <c r="MR166" i="13"/>
  <c r="MS166" i="13" s="1"/>
  <c r="MR110" i="13"/>
  <c r="MS110" i="13" s="1"/>
  <c r="MR78" i="13"/>
  <c r="MS78" i="13" s="1"/>
  <c r="MR96" i="13"/>
  <c r="MS96" i="13" s="1"/>
  <c r="MT96" i="13" s="1"/>
  <c r="MR170" i="13"/>
  <c r="MS170" i="13" s="1"/>
  <c r="MV170" i="13" s="1"/>
  <c r="ND210" i="13"/>
  <c r="NE210" i="13" s="1"/>
  <c r="NG210" i="13" s="1"/>
  <c r="KH210" i="13" s="1"/>
  <c r="KJ210" i="13" s="1"/>
  <c r="KK210" i="13" s="1"/>
  <c r="ND197" i="13"/>
  <c r="NE197" i="13" s="1"/>
  <c r="MR106" i="13"/>
  <c r="MS106" i="13" s="1"/>
  <c r="MR142" i="13"/>
  <c r="MS142" i="13" s="1"/>
  <c r="ND152" i="13"/>
  <c r="NE152" i="13" s="1"/>
  <c r="MR123" i="13"/>
  <c r="MS123" i="13" s="1"/>
  <c r="MV123" i="13" s="1"/>
  <c r="NC79" i="13"/>
  <c r="IY79" i="13"/>
  <c r="NC146" i="13"/>
  <c r="IY146" i="13"/>
  <c r="NC156" i="13"/>
  <c r="IY156" i="13"/>
  <c r="NC111" i="13"/>
  <c r="IY111" i="13"/>
  <c r="NM192" i="13"/>
  <c r="IA192" i="13"/>
  <c r="NT192" i="13"/>
  <c r="JA158" i="13"/>
  <c r="JF158" i="13" s="1"/>
  <c r="JH158" i="13" s="1"/>
  <c r="NC196" i="13"/>
  <c r="IY196" i="13"/>
  <c r="IR45" i="13"/>
  <c r="IX45" i="13" s="1"/>
  <c r="IW45" i="13"/>
  <c r="ND105" i="13"/>
  <c r="NE105" i="13" s="1"/>
  <c r="NC134" i="13"/>
  <c r="IY134" i="13"/>
  <c r="FP167" i="13"/>
  <c r="FK167" i="13"/>
  <c r="HL26" i="13"/>
  <c r="HN26" i="13" s="1"/>
  <c r="HO26" i="13" s="1"/>
  <c r="IB26" i="13"/>
  <c r="ID26" i="13" s="1"/>
  <c r="IE26" i="13" s="1"/>
  <c r="HT26" i="13"/>
  <c r="HV26" i="13" s="1"/>
  <c r="HW26" i="13" s="1"/>
  <c r="HD26" i="13"/>
  <c r="HF26" i="13" s="1"/>
  <c r="HG26" i="13" s="1"/>
  <c r="FP166" i="13"/>
  <c r="FK166" i="13"/>
  <c r="MW49" i="13"/>
  <c r="GV49" i="13"/>
  <c r="GX49" i="13" s="1"/>
  <c r="GY49" i="13" s="1"/>
  <c r="MV143" i="13"/>
  <c r="MT143" i="13"/>
  <c r="MU143" i="13"/>
  <c r="GQ143" i="13" s="1"/>
  <c r="GS143" i="13" s="1"/>
  <c r="GU143" i="13" s="1"/>
  <c r="GC143" i="13"/>
  <c r="GE143" i="13" s="1"/>
  <c r="MR150" i="13"/>
  <c r="MS150" i="13" s="1"/>
  <c r="MW52" i="13"/>
  <c r="GV52" i="13"/>
  <c r="GX52" i="13" s="1"/>
  <c r="GY52" i="13" s="1"/>
  <c r="IB53" i="13"/>
  <c r="ID53" i="13" s="1"/>
  <c r="IE53" i="13" s="1"/>
  <c r="HL53" i="13"/>
  <c r="HN53" i="13" s="1"/>
  <c r="HO53" i="13" s="1"/>
  <c r="CE53" i="13" s="1"/>
  <c r="CD53" i="13" s="1"/>
  <c r="HD53" i="13"/>
  <c r="HF53" i="13" s="1"/>
  <c r="HG53" i="13" s="1"/>
  <c r="HT53" i="13"/>
  <c r="HV53" i="13" s="1"/>
  <c r="HW53" i="13" s="1"/>
  <c r="MV197" i="13"/>
  <c r="MU197" i="13"/>
  <c r="GQ197" i="13" s="1"/>
  <c r="GS197" i="13" s="1"/>
  <c r="GU197" i="13" s="1"/>
  <c r="MT197" i="13"/>
  <c r="GC197" i="13"/>
  <c r="GE197" i="13" s="1"/>
  <c r="IW177" i="13"/>
  <c r="IR177" i="13"/>
  <c r="IX177" i="13" s="1"/>
  <c r="IW79" i="13"/>
  <c r="IR79" i="13"/>
  <c r="IX79" i="13" s="1"/>
  <c r="JA31" i="13"/>
  <c r="ND31" i="13" s="1"/>
  <c r="NE31" i="13" s="1"/>
  <c r="BU204" i="13"/>
  <c r="BT204" i="13" s="1"/>
  <c r="FP56" i="13"/>
  <c r="FK56" i="13"/>
  <c r="MR177" i="13"/>
  <c r="MS177" i="13" s="1"/>
  <c r="NC17" i="13"/>
  <c r="IY17" i="13"/>
  <c r="NC199" i="13"/>
  <c r="IY199" i="13"/>
  <c r="NC167" i="13"/>
  <c r="IY167" i="13"/>
  <c r="NC55" i="13"/>
  <c r="IY55" i="13"/>
  <c r="JJ152" i="13"/>
  <c r="JI152" i="13"/>
  <c r="IR136" i="13"/>
  <c r="IX136" i="13" s="1"/>
  <c r="IW136" i="13"/>
  <c r="MV41" i="13"/>
  <c r="MU41" i="13"/>
  <c r="GQ41" i="13" s="1"/>
  <c r="GS41" i="13" s="1"/>
  <c r="GU41" i="13" s="1"/>
  <c r="MT41" i="13"/>
  <c r="GC41" i="13"/>
  <c r="GE41" i="13" s="1"/>
  <c r="MW201" i="13"/>
  <c r="GV201" i="13"/>
  <c r="GX201" i="13" s="1"/>
  <c r="GY201" i="13" s="1"/>
  <c r="IW99" i="13"/>
  <c r="IR99" i="13"/>
  <c r="IX99" i="13" s="1"/>
  <c r="FP214" i="13"/>
  <c r="FK214" i="13"/>
  <c r="FQ214" i="13" s="1"/>
  <c r="JA74" i="13"/>
  <c r="JF74" i="13" s="1"/>
  <c r="JH74" i="13" s="1"/>
  <c r="ND25" i="13"/>
  <c r="NE25" i="13" s="1"/>
  <c r="JA25" i="13"/>
  <c r="NS173" i="13"/>
  <c r="NK173" i="13"/>
  <c r="NY173" i="13"/>
  <c r="HS173" i="13"/>
  <c r="MR70" i="13"/>
  <c r="MS70" i="13" s="1"/>
  <c r="MW128" i="13"/>
  <c r="GV128" i="13"/>
  <c r="GX128" i="13" s="1"/>
  <c r="GY128" i="13" s="1"/>
  <c r="FP185" i="13"/>
  <c r="FK185" i="13"/>
  <c r="ND116" i="13"/>
  <c r="NE116" i="13" s="1"/>
  <c r="JA116" i="13"/>
  <c r="JF116" i="13" s="1"/>
  <c r="JH116" i="13" s="1"/>
  <c r="NC99" i="13"/>
  <c r="IY99" i="13"/>
  <c r="IW185" i="13"/>
  <c r="IR185" i="13"/>
  <c r="IX185" i="13" s="1"/>
  <c r="JA198" i="13"/>
  <c r="JF198" i="13" s="1"/>
  <c r="JH198" i="13" s="1"/>
  <c r="IW146" i="13"/>
  <c r="IR146" i="13"/>
  <c r="IX146" i="13" s="1"/>
  <c r="IW156" i="13"/>
  <c r="IR156" i="13"/>
  <c r="IX156" i="13" s="1"/>
  <c r="IR111" i="13"/>
  <c r="IX111" i="13" s="1"/>
  <c r="IW111" i="13"/>
  <c r="E176" i="13"/>
  <c r="HX176" i="13"/>
  <c r="HZ176" i="13" s="1"/>
  <c r="HH176" i="13"/>
  <c r="HJ176" i="13" s="1"/>
  <c r="HK176" i="13" s="1"/>
  <c r="GZ176" i="13"/>
  <c r="HB176" i="13" s="1"/>
  <c r="HC176" i="13" s="1"/>
  <c r="HP176" i="13"/>
  <c r="HR176" i="13" s="1"/>
  <c r="JA141" i="13"/>
  <c r="JF141" i="13" s="1"/>
  <c r="JH141" i="13" s="1"/>
  <c r="IR196" i="13"/>
  <c r="IX196" i="13" s="1"/>
  <c r="IW196" i="13"/>
  <c r="JA59" i="13"/>
  <c r="JF59" i="13" s="1"/>
  <c r="JH59" i="13" s="1"/>
  <c r="FP126" i="13"/>
  <c r="FK126" i="13"/>
  <c r="IW134" i="13"/>
  <c r="IR134" i="13"/>
  <c r="IX134" i="13" s="1"/>
  <c r="NC208" i="13"/>
  <c r="IY208" i="13"/>
  <c r="NC119" i="13"/>
  <c r="IY119" i="13"/>
  <c r="JA148" i="13"/>
  <c r="JF148" i="13" s="1"/>
  <c r="JH148" i="13" s="1"/>
  <c r="E84" i="13"/>
  <c r="GZ84" i="13"/>
  <c r="HB84" i="13" s="1"/>
  <c r="HC84" i="13" s="1"/>
  <c r="HP84" i="13"/>
  <c r="HR84" i="13" s="1"/>
  <c r="HH84" i="13"/>
  <c r="HJ84" i="13" s="1"/>
  <c r="HK84" i="13" s="1"/>
  <c r="HX84" i="13"/>
  <c r="HZ84" i="13" s="1"/>
  <c r="MV18" i="13"/>
  <c r="MU18" i="13"/>
  <c r="GQ18" i="13" s="1"/>
  <c r="GS18" i="13" s="1"/>
  <c r="GU18" i="13" s="1"/>
  <c r="MT18" i="13"/>
  <c r="JA124" i="13"/>
  <c r="JF124" i="13" s="1"/>
  <c r="JH124" i="13" s="1"/>
  <c r="MW195" i="13"/>
  <c r="GV195" i="13"/>
  <c r="GX195" i="13" s="1"/>
  <c r="GY195" i="13" s="1"/>
  <c r="MV94" i="13"/>
  <c r="MU94" i="13"/>
  <c r="GQ94" i="13" s="1"/>
  <c r="GS94" i="13" s="1"/>
  <c r="GU94" i="13" s="1"/>
  <c r="MT94" i="13"/>
  <c r="GC94" i="13"/>
  <c r="GE94" i="13" s="1"/>
  <c r="BU73" i="13"/>
  <c r="BT73" i="13" s="1"/>
  <c r="JA71" i="13"/>
  <c r="JF71" i="13" s="1"/>
  <c r="JH71" i="13" s="1"/>
  <c r="HT165" i="13"/>
  <c r="HV165" i="13" s="1"/>
  <c r="HW165" i="13" s="1"/>
  <c r="HL165" i="13"/>
  <c r="HN165" i="13" s="1"/>
  <c r="HO165" i="13" s="1"/>
  <c r="IB165" i="13"/>
  <c r="ID165" i="13" s="1"/>
  <c r="IE165" i="13" s="1"/>
  <c r="HD165" i="13"/>
  <c r="HF165" i="13" s="1"/>
  <c r="HG165" i="13" s="1"/>
  <c r="FP17" i="13"/>
  <c r="FK17" i="13"/>
  <c r="NC186" i="13"/>
  <c r="IY186" i="13"/>
  <c r="NM23" i="13"/>
  <c r="BS23" i="13" s="1"/>
  <c r="BR23" i="13" s="1"/>
  <c r="BQ23" i="13" s="1"/>
  <c r="IA23" i="13"/>
  <c r="NT23" i="13"/>
  <c r="MV96" i="13"/>
  <c r="MU96" i="13"/>
  <c r="GQ96" i="13" s="1"/>
  <c r="GS96" i="13" s="1"/>
  <c r="GU96" i="13" s="1"/>
  <c r="IA163" i="13"/>
  <c r="NT163" i="13"/>
  <c r="NM163" i="13"/>
  <c r="GF175" i="13"/>
  <c r="GO175" i="13"/>
  <c r="ND106" i="13"/>
  <c r="NE106" i="13" s="1"/>
  <c r="JA106" i="13"/>
  <c r="JF106" i="13" s="1"/>
  <c r="JH106" i="13" s="1"/>
  <c r="NC190" i="13"/>
  <c r="IY190" i="13"/>
  <c r="FP205" i="13"/>
  <c r="FK205" i="13"/>
  <c r="IB163" i="13"/>
  <c r="ID163" i="13" s="1"/>
  <c r="IE163" i="13" s="1"/>
  <c r="HD163" i="13"/>
  <c r="HF163" i="13" s="1"/>
  <c r="HG163" i="13" s="1"/>
  <c r="HT163" i="13"/>
  <c r="HV163" i="13" s="1"/>
  <c r="HW163" i="13" s="1"/>
  <c r="HL163" i="13"/>
  <c r="HN163" i="13" s="1"/>
  <c r="HO163" i="13" s="1"/>
  <c r="FP99" i="13"/>
  <c r="FK99" i="13"/>
  <c r="IR17" i="13"/>
  <c r="IX17" i="13" s="1"/>
  <c r="IW17" i="13"/>
  <c r="IB42" i="13"/>
  <c r="ID42" i="13" s="1"/>
  <c r="IE42" i="13" s="1"/>
  <c r="HL42" i="13"/>
  <c r="HN42" i="13" s="1"/>
  <c r="HO42" i="13" s="1"/>
  <c r="HT42" i="13"/>
  <c r="HV42" i="13" s="1"/>
  <c r="HW42" i="13" s="1"/>
  <c r="HD42" i="13"/>
  <c r="HF42" i="13" s="1"/>
  <c r="HG42" i="13" s="1"/>
  <c r="IR199" i="13"/>
  <c r="IX199" i="13" s="1"/>
  <c r="IW199" i="13"/>
  <c r="IW167" i="13"/>
  <c r="IR167" i="13"/>
  <c r="IX167" i="13" s="1"/>
  <c r="E31" i="13"/>
  <c r="HP31" i="13"/>
  <c r="HR31" i="13" s="1"/>
  <c r="HH31" i="13"/>
  <c r="HJ31" i="13" s="1"/>
  <c r="HK31" i="13" s="1"/>
  <c r="BU31" i="13" s="1"/>
  <c r="BT31" i="13" s="1"/>
  <c r="HX31" i="13"/>
  <c r="HZ31" i="13" s="1"/>
  <c r="GZ31" i="13"/>
  <c r="HB31" i="13" s="1"/>
  <c r="HC31" i="13" s="1"/>
  <c r="IW55" i="13"/>
  <c r="IR55" i="13"/>
  <c r="IX55" i="13" s="1"/>
  <c r="GP42" i="13"/>
  <c r="ND34" i="13"/>
  <c r="NE34" i="13" s="1"/>
  <c r="JA34" i="13"/>
  <c r="GF58" i="13"/>
  <c r="GO58" i="13"/>
  <c r="IA164" i="13"/>
  <c r="NT164" i="13"/>
  <c r="NM164" i="13"/>
  <c r="BS164" i="13" s="1"/>
  <c r="BR164" i="13" s="1"/>
  <c r="BQ164" i="13" s="1"/>
  <c r="MU185" i="13"/>
  <c r="GQ185" i="13" s="1"/>
  <c r="GS185" i="13" s="1"/>
  <c r="GU185" i="13" s="1"/>
  <c r="MV110" i="13"/>
  <c r="MU110" i="13"/>
  <c r="GQ110" i="13" s="1"/>
  <c r="GS110" i="13" s="1"/>
  <c r="GU110" i="13" s="1"/>
  <c r="MT110" i="13"/>
  <c r="GC110" i="13"/>
  <c r="GE110" i="13" s="1"/>
  <c r="NC203" i="13"/>
  <c r="IY203" i="13"/>
  <c r="GF93" i="13"/>
  <c r="GO93" i="13"/>
  <c r="JA176" i="13"/>
  <c r="JF176" i="13" s="1"/>
  <c r="JH176" i="13" s="1"/>
  <c r="GP174" i="13"/>
  <c r="NM204" i="13"/>
  <c r="AV204" i="13" s="1"/>
  <c r="AU204" i="13" s="1"/>
  <c r="AT204" i="13" s="1"/>
  <c r="NT204" i="13"/>
  <c r="IA204" i="13"/>
  <c r="FP108" i="13"/>
  <c r="FK108" i="13"/>
  <c r="MR132" i="13"/>
  <c r="MS132" i="13" s="1"/>
  <c r="MV12" i="13"/>
  <c r="MU12" i="13"/>
  <c r="GQ12" i="13" s="1"/>
  <c r="GS12" i="13" s="1"/>
  <c r="GU12" i="13" s="1"/>
  <c r="MT12" i="13"/>
  <c r="NY73" i="13"/>
  <c r="NS73" i="13"/>
  <c r="HS73" i="13"/>
  <c r="AS73" i="13" s="1"/>
  <c r="AR73" i="13" s="1"/>
  <c r="AQ73" i="13" s="1"/>
  <c r="AP73" i="13" s="1"/>
  <c r="AO73" i="13" s="1"/>
  <c r="AL73" i="13" s="1"/>
  <c r="NK73" i="13"/>
  <c r="ND201" i="13"/>
  <c r="NE201" i="13" s="1"/>
  <c r="GF59" i="13"/>
  <c r="GO59" i="13"/>
  <c r="MV82" i="13"/>
  <c r="MU82" i="13"/>
  <c r="GQ82" i="13" s="1"/>
  <c r="GS82" i="13" s="1"/>
  <c r="GU82" i="13" s="1"/>
  <c r="MT82" i="13"/>
  <c r="GC82" i="13"/>
  <c r="GE82" i="13" s="1"/>
  <c r="MV27" i="13"/>
  <c r="MU27" i="13"/>
  <c r="GQ27" i="13" s="1"/>
  <c r="GS27" i="13" s="1"/>
  <c r="GU27" i="13" s="1"/>
  <c r="MT27" i="13"/>
  <c r="MW19" i="13"/>
  <c r="GV19" i="13"/>
  <c r="GX19" i="13" s="1"/>
  <c r="GY19" i="13" s="1"/>
  <c r="FP104" i="13"/>
  <c r="FK104" i="13"/>
  <c r="NM35" i="13"/>
  <c r="IA35" i="13"/>
  <c r="NT35" i="13"/>
  <c r="JJ105" i="13"/>
  <c r="JI105" i="13"/>
  <c r="GP80" i="13"/>
  <c r="NH152" i="13"/>
  <c r="NG152" i="13"/>
  <c r="KH152" i="13" s="1"/>
  <c r="KJ152" i="13" s="1"/>
  <c r="KK152" i="13" s="1"/>
  <c r="NF152" i="13"/>
  <c r="JL152" i="13"/>
  <c r="JN152" i="13" s="1"/>
  <c r="MV67" i="13"/>
  <c r="MT67" i="13"/>
  <c r="MU67" i="13"/>
  <c r="GQ67" i="13" s="1"/>
  <c r="GS67" i="13" s="1"/>
  <c r="GU67" i="13" s="1"/>
  <c r="GC67" i="13"/>
  <c r="GE67" i="13" s="1"/>
  <c r="JA112" i="13"/>
  <c r="JF112" i="13" s="1"/>
  <c r="JH112" i="13" s="1"/>
  <c r="MV62" i="13"/>
  <c r="MU62" i="13"/>
  <c r="GQ62" i="13" s="1"/>
  <c r="GS62" i="13" s="1"/>
  <c r="GU62" i="13" s="1"/>
  <c r="MT62" i="13"/>
  <c r="GC62" i="13"/>
  <c r="GE62" i="13" s="1"/>
  <c r="FT14" i="13"/>
  <c r="FU14" i="13" s="1"/>
  <c r="FW14" i="13" s="1"/>
  <c r="FX14" i="13" s="1"/>
  <c r="NC46" i="13"/>
  <c r="IY46" i="13"/>
  <c r="JA76" i="13"/>
  <c r="JF76" i="13" s="1"/>
  <c r="JH76" i="13" s="1"/>
  <c r="NC83" i="13"/>
  <c r="IY83" i="13"/>
  <c r="GF158" i="13"/>
  <c r="GO158" i="13"/>
  <c r="JA172" i="13"/>
  <c r="JF172" i="13" s="1"/>
  <c r="JH172" i="13" s="1"/>
  <c r="FK95" i="13"/>
  <c r="FP95" i="13"/>
  <c r="MU36" i="13"/>
  <c r="GQ36" i="13" s="1"/>
  <c r="GS36" i="13" s="1"/>
  <c r="GU36" i="13" s="1"/>
  <c r="MT36" i="13"/>
  <c r="MV36" i="13"/>
  <c r="GC36" i="13"/>
  <c r="GE36" i="13" s="1"/>
  <c r="MV159" i="13"/>
  <c r="MU159" i="13"/>
  <c r="GQ159" i="13" s="1"/>
  <c r="GS159" i="13" s="1"/>
  <c r="GU159" i="13" s="1"/>
  <c r="MT159" i="13"/>
  <c r="GC159" i="13"/>
  <c r="GE159" i="13" s="1"/>
  <c r="IR208" i="13"/>
  <c r="IX208" i="13" s="1"/>
  <c r="IW208" i="13"/>
  <c r="IR119" i="13"/>
  <c r="IX119" i="13" s="1"/>
  <c r="IW119" i="13"/>
  <c r="GF157" i="13"/>
  <c r="GO157" i="13"/>
  <c r="JA114" i="13"/>
  <c r="JF114" i="13" s="1"/>
  <c r="JH114" i="13" s="1"/>
  <c r="E49" i="13"/>
  <c r="HX49" i="13"/>
  <c r="HZ49" i="13" s="1"/>
  <c r="HP49" i="13"/>
  <c r="HR49" i="13" s="1"/>
  <c r="GZ49" i="13"/>
  <c r="HB49" i="13" s="1"/>
  <c r="HC49" i="13" s="1"/>
  <c r="HH49" i="13"/>
  <c r="HJ49" i="13" s="1"/>
  <c r="HK49" i="13" s="1"/>
  <c r="MT154" i="13"/>
  <c r="MV154" i="13"/>
  <c r="MU154" i="13"/>
  <c r="GQ154" i="13" s="1"/>
  <c r="GS154" i="13" s="1"/>
  <c r="GU154" i="13" s="1"/>
  <c r="GC154" i="13"/>
  <c r="GE154" i="13" s="1"/>
  <c r="E195" i="13"/>
  <c r="HX195" i="13"/>
  <c r="HZ195" i="13" s="1"/>
  <c r="HP195" i="13"/>
  <c r="HR195" i="13" s="1"/>
  <c r="GZ195" i="13"/>
  <c r="HB195" i="13" s="1"/>
  <c r="HC195" i="13" s="1"/>
  <c r="HH195" i="13"/>
  <c r="HJ195" i="13" s="1"/>
  <c r="HK195" i="13" s="1"/>
  <c r="ND91" i="13"/>
  <c r="NE91" i="13" s="1"/>
  <c r="JA91" i="13"/>
  <c r="JF91" i="13" s="1"/>
  <c r="JH91" i="13" s="1"/>
  <c r="FP79" i="13"/>
  <c r="FK79" i="13"/>
  <c r="MR45" i="13"/>
  <c r="MS45" i="13" s="1"/>
  <c r="FQ94" i="13"/>
  <c r="MR88" i="13"/>
  <c r="MS88" i="13" s="1"/>
  <c r="MR103" i="13"/>
  <c r="MS103" i="13" s="1"/>
  <c r="IW186" i="13"/>
  <c r="IR186" i="13"/>
  <c r="IX186" i="13" s="1"/>
  <c r="NC62" i="13"/>
  <c r="IY62" i="13"/>
  <c r="NC179" i="13"/>
  <c r="IY179" i="13"/>
  <c r="FP16" i="13"/>
  <c r="FK16" i="13"/>
  <c r="NK165" i="13"/>
  <c r="NY165" i="13"/>
  <c r="NS165" i="13"/>
  <c r="HS165" i="13"/>
  <c r="NL165" i="13" s="1"/>
  <c r="MR17" i="13"/>
  <c r="MS17" i="13" s="1"/>
  <c r="FT17" i="13"/>
  <c r="FU17" i="13" s="1"/>
  <c r="FW17" i="13" s="1"/>
  <c r="FX17" i="13" s="1"/>
  <c r="FQ129" i="13"/>
  <c r="NY163" i="13"/>
  <c r="NS163" i="13"/>
  <c r="HS163" i="13"/>
  <c r="NL163" i="13" s="1"/>
  <c r="NK163" i="13"/>
  <c r="MW28" i="13"/>
  <c r="GV28" i="13"/>
  <c r="GX28" i="13" s="1"/>
  <c r="GY28" i="13" s="1"/>
  <c r="MR117" i="13"/>
  <c r="MS117" i="13" s="1"/>
  <c r="MR134" i="13"/>
  <c r="MS134" i="13" s="1"/>
  <c r="MW175" i="13"/>
  <c r="GV175" i="13"/>
  <c r="GX175" i="13" s="1"/>
  <c r="GY175" i="13" s="1"/>
  <c r="MU207" i="13"/>
  <c r="GQ207" i="13" s="1"/>
  <c r="GS207" i="13" s="1"/>
  <c r="GU207" i="13" s="1"/>
  <c r="MV207" i="13"/>
  <c r="MT207" i="13"/>
  <c r="GC207" i="13"/>
  <c r="GE207" i="13" s="1"/>
  <c r="JA92" i="13"/>
  <c r="JF92" i="13" s="1"/>
  <c r="JH92" i="13" s="1"/>
  <c r="NC61" i="13"/>
  <c r="IY61" i="13"/>
  <c r="HL33" i="13"/>
  <c r="HN33" i="13" s="1"/>
  <c r="HO33" i="13" s="1"/>
  <c r="BH33" i="13" s="1"/>
  <c r="BG33" i="13" s="1"/>
  <c r="HD33" i="13"/>
  <c r="HF33" i="13" s="1"/>
  <c r="HG33" i="13" s="1"/>
  <c r="IB33" i="13"/>
  <c r="ID33" i="13" s="1"/>
  <c r="IE33" i="13" s="1"/>
  <c r="BZ33" i="13" s="1"/>
  <c r="BY33" i="13" s="1"/>
  <c r="HT33" i="13"/>
  <c r="HV33" i="13" s="1"/>
  <c r="HW33" i="13" s="1"/>
  <c r="IW190" i="13"/>
  <c r="IR190" i="13"/>
  <c r="IX190" i="13" s="1"/>
  <c r="NC180" i="13"/>
  <c r="IY180" i="13"/>
  <c r="NC14" i="13"/>
  <c r="IY14" i="13"/>
  <c r="GP50" i="13"/>
  <c r="MU142" i="13"/>
  <c r="GQ142" i="13" s="1"/>
  <c r="GS142" i="13" s="1"/>
  <c r="GU142" i="13" s="1"/>
  <c r="MT142" i="13"/>
  <c r="MV142" i="13"/>
  <c r="GC142" i="13"/>
  <c r="GE142" i="13" s="1"/>
  <c r="MT112" i="13"/>
  <c r="MV112" i="13"/>
  <c r="MU112" i="13"/>
  <c r="GQ112" i="13" s="1"/>
  <c r="GS112" i="13" s="1"/>
  <c r="GU112" i="13" s="1"/>
  <c r="GC112" i="13"/>
  <c r="GE112" i="13" s="1"/>
  <c r="IA25" i="13"/>
  <c r="NT25" i="13"/>
  <c r="NM25" i="13"/>
  <c r="BS25" i="13" s="1"/>
  <c r="BR25" i="13" s="1"/>
  <c r="BQ25" i="13" s="1"/>
  <c r="FQ202" i="13"/>
  <c r="JA72" i="13"/>
  <c r="JF72" i="13" s="1"/>
  <c r="JH72" i="13" s="1"/>
  <c r="NK194" i="13"/>
  <c r="NS194" i="13"/>
  <c r="HS194" i="13"/>
  <c r="NL194" i="13" s="1"/>
  <c r="NY194" i="13"/>
  <c r="FK110" i="13"/>
  <c r="FP110" i="13"/>
  <c r="JA40" i="13"/>
  <c r="JF40" i="13" s="1"/>
  <c r="JH40" i="13" s="1"/>
  <c r="NC140" i="13"/>
  <c r="IY140" i="13"/>
  <c r="MW58" i="13"/>
  <c r="GV58" i="13"/>
  <c r="GX58" i="13" s="1"/>
  <c r="GY58" i="13" s="1"/>
  <c r="FQ82" i="13"/>
  <c r="IW203" i="13"/>
  <c r="IR203" i="13"/>
  <c r="IX203" i="13" s="1"/>
  <c r="E93" i="13"/>
  <c r="HP93" i="13"/>
  <c r="HR93" i="13" s="1"/>
  <c r="HX93" i="13"/>
  <c r="HZ93" i="13" s="1"/>
  <c r="GZ93" i="13"/>
  <c r="HB93" i="13" s="1"/>
  <c r="HC93" i="13" s="1"/>
  <c r="HH93" i="13"/>
  <c r="HJ93" i="13" s="1"/>
  <c r="HK93" i="13" s="1"/>
  <c r="JA151" i="13"/>
  <c r="JF151" i="13" s="1"/>
  <c r="JH151" i="13" s="1"/>
  <c r="NC202" i="13"/>
  <c r="IY202" i="13"/>
  <c r="HD173" i="13"/>
  <c r="HF173" i="13" s="1"/>
  <c r="HG173" i="13" s="1"/>
  <c r="IB173" i="13"/>
  <c r="ID173" i="13" s="1"/>
  <c r="IE173" i="13" s="1"/>
  <c r="HL173" i="13"/>
  <c r="HN173" i="13" s="1"/>
  <c r="HO173" i="13" s="1"/>
  <c r="HT173" i="13"/>
  <c r="HV173" i="13" s="1"/>
  <c r="HW173" i="13" s="1"/>
  <c r="JA67" i="13"/>
  <c r="JF67" i="13" s="1"/>
  <c r="JH67" i="13" s="1"/>
  <c r="FP70" i="13"/>
  <c r="FK70" i="13"/>
  <c r="JJ128" i="13"/>
  <c r="JI128" i="13"/>
  <c r="NC29" i="13"/>
  <c r="IY29" i="13"/>
  <c r="NH197" i="13"/>
  <c r="NG197" i="13"/>
  <c r="KH197" i="13" s="1"/>
  <c r="KJ197" i="13" s="1"/>
  <c r="KK197" i="13" s="1"/>
  <c r="NF197" i="13"/>
  <c r="JL197" i="13"/>
  <c r="JN197" i="13" s="1"/>
  <c r="NC107" i="13"/>
  <c r="IY107" i="13"/>
  <c r="NC97" i="13"/>
  <c r="IY97" i="13"/>
  <c r="AX165" i="13"/>
  <c r="AW165" i="13" s="1"/>
  <c r="JI201" i="13"/>
  <c r="JJ201" i="13"/>
  <c r="NN204" i="13"/>
  <c r="MW59" i="13"/>
  <c r="GV59" i="13"/>
  <c r="GX59" i="13" s="1"/>
  <c r="GY59" i="13" s="1"/>
  <c r="FP46" i="13"/>
  <c r="FK46" i="13"/>
  <c r="MV116" i="13"/>
  <c r="MU116" i="13"/>
  <c r="GQ116" i="13" s="1"/>
  <c r="GS116" i="13" s="1"/>
  <c r="GU116" i="13" s="1"/>
  <c r="MT116" i="13"/>
  <c r="GC116" i="13"/>
  <c r="GE116" i="13" s="1"/>
  <c r="HS35" i="13"/>
  <c r="NK35" i="13"/>
  <c r="NY35" i="13"/>
  <c r="NS35" i="13"/>
  <c r="BH26" i="13"/>
  <c r="BG26" i="13" s="1"/>
  <c r="BZ26" i="13"/>
  <c r="BY26" i="13" s="1"/>
  <c r="BC26" i="13"/>
  <c r="BB26" i="13" s="1"/>
  <c r="CE26" i="13"/>
  <c r="CD26" i="13" s="1"/>
  <c r="HT37" i="13"/>
  <c r="HV37" i="13" s="1"/>
  <c r="HW37" i="13" s="1"/>
  <c r="HD37" i="13"/>
  <c r="HF37" i="13" s="1"/>
  <c r="HG37" i="13" s="1"/>
  <c r="HL37" i="13"/>
  <c r="HN37" i="13" s="1"/>
  <c r="HO37" i="13" s="1"/>
  <c r="IB37" i="13"/>
  <c r="ID37" i="13" s="1"/>
  <c r="IE37" i="13" s="1"/>
  <c r="MW31" i="13"/>
  <c r="GV31" i="13"/>
  <c r="GX31" i="13" s="1"/>
  <c r="GY31" i="13" s="1"/>
  <c r="MV100" i="13"/>
  <c r="MU100" i="13"/>
  <c r="GQ100" i="13" s="1"/>
  <c r="GS100" i="13" s="1"/>
  <c r="GU100" i="13" s="1"/>
  <c r="MT100" i="13"/>
  <c r="GC100" i="13"/>
  <c r="GE100" i="13" s="1"/>
  <c r="IR46" i="13"/>
  <c r="IX46" i="13" s="1"/>
  <c r="IW46" i="13"/>
  <c r="HT71" i="13"/>
  <c r="HV71" i="13" s="1"/>
  <c r="HW71" i="13" s="1"/>
  <c r="HD71" i="13"/>
  <c r="HF71" i="13" s="1"/>
  <c r="HG71" i="13" s="1"/>
  <c r="HL71" i="13"/>
  <c r="HN71" i="13" s="1"/>
  <c r="HO71" i="13" s="1"/>
  <c r="IB71" i="13"/>
  <c r="ID71" i="13" s="1"/>
  <c r="IE71" i="13" s="1"/>
  <c r="IR83" i="13"/>
  <c r="IX83" i="13" s="1"/>
  <c r="IW83" i="13"/>
  <c r="FP140" i="13"/>
  <c r="FK140" i="13"/>
  <c r="FP139" i="13"/>
  <c r="FK139" i="13"/>
  <c r="FQ139" i="13" s="1"/>
  <c r="MV139" i="13"/>
  <c r="MU139" i="13"/>
  <c r="GQ139" i="13" s="1"/>
  <c r="GS139" i="13" s="1"/>
  <c r="GU139" i="13" s="1"/>
  <c r="MT139" i="13"/>
  <c r="GC139" i="13"/>
  <c r="GE139" i="13" s="1"/>
  <c r="GF172" i="13"/>
  <c r="GO172" i="13"/>
  <c r="MV78" i="13"/>
  <c r="MU78" i="13"/>
  <c r="GQ78" i="13" s="1"/>
  <c r="GS78" i="13" s="1"/>
  <c r="GU78" i="13" s="1"/>
  <c r="MT78" i="13"/>
  <c r="GC78" i="13"/>
  <c r="GE78" i="13" s="1"/>
  <c r="MW157" i="13"/>
  <c r="GV157" i="13"/>
  <c r="GX157" i="13" s="1"/>
  <c r="GY157" i="13" s="1"/>
  <c r="MV169" i="13"/>
  <c r="MU169" i="13"/>
  <c r="GQ169" i="13" s="1"/>
  <c r="GS169" i="13" s="1"/>
  <c r="GU169" i="13" s="1"/>
  <c r="MT169" i="13"/>
  <c r="GC169" i="13"/>
  <c r="GE169" i="13" s="1"/>
  <c r="GF72" i="13"/>
  <c r="GO72" i="13"/>
  <c r="JA24" i="13"/>
  <c r="ND24" i="13"/>
  <c r="NE24" i="13" s="1"/>
  <c r="GF76" i="13"/>
  <c r="GP76" i="13" s="1"/>
  <c r="GO76" i="13"/>
  <c r="IR62" i="13"/>
  <c r="IX62" i="13" s="1"/>
  <c r="IW62" i="13"/>
  <c r="IW179" i="13"/>
  <c r="IR179" i="13"/>
  <c r="IX179" i="13" s="1"/>
  <c r="MU190" i="13"/>
  <c r="GQ190" i="13" s="1"/>
  <c r="GS190" i="13" s="1"/>
  <c r="GU190" i="13" s="1"/>
  <c r="MV190" i="13"/>
  <c r="MT190" i="13"/>
  <c r="GC190" i="13"/>
  <c r="GE190" i="13" s="1"/>
  <c r="JA171" i="13"/>
  <c r="JF171" i="13" s="1"/>
  <c r="JH171" i="13" s="1"/>
  <c r="IR61" i="13"/>
  <c r="IX61" i="13" s="1"/>
  <c r="IW61" i="13"/>
  <c r="JA63" i="13"/>
  <c r="JF63" i="13" s="1"/>
  <c r="JH63" i="13" s="1"/>
  <c r="JA193" i="13"/>
  <c r="JF193" i="13" s="1"/>
  <c r="JH193" i="13" s="1"/>
  <c r="IB23" i="13"/>
  <c r="ID23" i="13" s="1"/>
  <c r="IE23" i="13" s="1"/>
  <c r="BZ23" i="13" s="1"/>
  <c r="BY23" i="13" s="1"/>
  <c r="HD23" i="13"/>
  <c r="HF23" i="13" s="1"/>
  <c r="HG23" i="13" s="1"/>
  <c r="HL23" i="13"/>
  <c r="HN23" i="13" s="1"/>
  <c r="HO23" i="13" s="1"/>
  <c r="HT23" i="13"/>
  <c r="HV23" i="13" s="1"/>
  <c r="HW23" i="13" s="1"/>
  <c r="BC23" i="13" s="1"/>
  <c r="BB23" i="13" s="1"/>
  <c r="IW180" i="13"/>
  <c r="IR180" i="13"/>
  <c r="IX180" i="13" s="1"/>
  <c r="IR14" i="13"/>
  <c r="IX14" i="13" s="1"/>
  <c r="IW14" i="13"/>
  <c r="AX60" i="13"/>
  <c r="AW60" i="13" s="1"/>
  <c r="FP39" i="13"/>
  <c r="FK39" i="13"/>
  <c r="NY25" i="13"/>
  <c r="NS25" i="13"/>
  <c r="HS25" i="13"/>
  <c r="NK25" i="13"/>
  <c r="MR119" i="13"/>
  <c r="MS119" i="13" s="1"/>
  <c r="IW140" i="13"/>
  <c r="IR140" i="13"/>
  <c r="IX140" i="13" s="1"/>
  <c r="IB174" i="13"/>
  <c r="ID174" i="13" s="1"/>
  <c r="IE174" i="13" s="1"/>
  <c r="HD174" i="13"/>
  <c r="HF174" i="13" s="1"/>
  <c r="HG174" i="13" s="1"/>
  <c r="HL174" i="13"/>
  <c r="HN174" i="13" s="1"/>
  <c r="HO174" i="13" s="1"/>
  <c r="HT174" i="13"/>
  <c r="HV174" i="13" s="1"/>
  <c r="HW174" i="13" s="1"/>
  <c r="MV206" i="13"/>
  <c r="MU206" i="13"/>
  <c r="GQ206" i="13" s="1"/>
  <c r="GS206" i="13" s="1"/>
  <c r="GU206" i="13" s="1"/>
  <c r="MT206" i="13"/>
  <c r="GC206" i="13"/>
  <c r="GE206" i="13" s="1"/>
  <c r="MW93" i="13"/>
  <c r="GV93" i="13"/>
  <c r="GX93" i="13" s="1"/>
  <c r="GY93" i="13" s="1"/>
  <c r="IW202" i="13"/>
  <c r="IR202" i="13"/>
  <c r="IX202" i="13" s="1"/>
  <c r="FP29" i="13"/>
  <c r="FK29" i="13"/>
  <c r="HS204" i="13"/>
  <c r="NS204" i="13"/>
  <c r="NK204" i="13"/>
  <c r="NY204" i="13"/>
  <c r="JA28" i="13"/>
  <c r="ND28" i="13"/>
  <c r="NE28" i="13" s="1"/>
  <c r="ND128" i="13"/>
  <c r="NE128" i="13" s="1"/>
  <c r="IW29" i="13"/>
  <c r="IR29" i="13"/>
  <c r="IX29" i="13" s="1"/>
  <c r="JJ197" i="13"/>
  <c r="JI197" i="13"/>
  <c r="IR107" i="13"/>
  <c r="IX107" i="13" s="1"/>
  <c r="IW107" i="13"/>
  <c r="IW97" i="13"/>
  <c r="IR97" i="13"/>
  <c r="IX97" i="13" s="1"/>
  <c r="IA173" i="13"/>
  <c r="NT173" i="13"/>
  <c r="NM173" i="13"/>
  <c r="JA85" i="13"/>
  <c r="JF85" i="13" s="1"/>
  <c r="JH85" i="13" s="1"/>
  <c r="BC165" i="13"/>
  <c r="BB165" i="13" s="1"/>
  <c r="BA165" i="13" s="1"/>
  <c r="AZ165" i="13" s="1"/>
  <c r="AY165" i="13" s="1"/>
  <c r="FP14" i="13"/>
  <c r="FK14" i="13"/>
  <c r="FP15" i="13"/>
  <c r="FK15" i="13"/>
  <c r="E19" i="13"/>
  <c r="HX19" i="13"/>
  <c r="HZ19" i="13" s="1"/>
  <c r="HP19" i="13"/>
  <c r="HR19" i="13" s="1"/>
  <c r="GZ19" i="13"/>
  <c r="HB19" i="13" s="1"/>
  <c r="HC19" i="13" s="1"/>
  <c r="HH19" i="13"/>
  <c r="HJ19" i="13" s="1"/>
  <c r="HK19" i="13" s="1"/>
  <c r="BU19" i="13" s="1"/>
  <c r="BT19" i="13" s="1"/>
  <c r="NC15" i="13"/>
  <c r="IY15" i="13"/>
  <c r="MW84" i="13"/>
  <c r="GV84" i="13"/>
  <c r="GX84" i="13" s="1"/>
  <c r="GY84" i="13" s="1"/>
  <c r="IR20" i="13"/>
  <c r="IX20" i="13" s="1"/>
  <c r="IW20" i="13"/>
  <c r="MV124" i="13"/>
  <c r="MU124" i="13"/>
  <c r="GQ124" i="13" s="1"/>
  <c r="GS124" i="13" s="1"/>
  <c r="GU124" i="13" s="1"/>
  <c r="MT124" i="13"/>
  <c r="GC124" i="13"/>
  <c r="GE124" i="13" s="1"/>
  <c r="MW158" i="13"/>
  <c r="GV158" i="13"/>
  <c r="GX158" i="13" s="1"/>
  <c r="GY158" i="13" s="1"/>
  <c r="HT60" i="13"/>
  <c r="HV60" i="13" s="1"/>
  <c r="HW60" i="13" s="1"/>
  <c r="IB60" i="13"/>
  <c r="ID60" i="13" s="1"/>
  <c r="IE60" i="13" s="1"/>
  <c r="BZ60" i="13" s="1"/>
  <c r="BY60" i="13" s="1"/>
  <c r="HL60" i="13"/>
  <c r="HN60" i="13" s="1"/>
  <c r="HO60" i="13" s="1"/>
  <c r="BH60" i="13" s="1"/>
  <c r="BG60" i="13" s="1"/>
  <c r="HD60" i="13"/>
  <c r="HF60" i="13" s="1"/>
  <c r="HG60" i="13" s="1"/>
  <c r="FP117" i="13"/>
  <c r="FK117" i="13"/>
  <c r="FP212" i="13"/>
  <c r="FK212" i="13"/>
  <c r="FQ212" i="13" s="1"/>
  <c r="JA80" i="13"/>
  <c r="JF80" i="13" s="1"/>
  <c r="JH80" i="13" s="1"/>
  <c r="ND80" i="13"/>
  <c r="NE80" i="13" s="1"/>
  <c r="JA162" i="13"/>
  <c r="JF162" i="13" s="1"/>
  <c r="JH162" i="13" s="1"/>
  <c r="MR113" i="13"/>
  <c r="MS113" i="13" s="1"/>
  <c r="IB66" i="13"/>
  <c r="ID66" i="13" s="1"/>
  <c r="IE66" i="13" s="1"/>
  <c r="HT66" i="13"/>
  <c r="HV66" i="13" s="1"/>
  <c r="HW66" i="13" s="1"/>
  <c r="BC66" i="13" s="1"/>
  <c r="BB66" i="13" s="1"/>
  <c r="BA66" i="13" s="1"/>
  <c r="AZ66" i="13" s="1"/>
  <c r="AY66" i="13" s="1"/>
  <c r="HD66" i="13"/>
  <c r="HF66" i="13" s="1"/>
  <c r="HG66" i="13" s="1"/>
  <c r="HL66" i="13"/>
  <c r="HN66" i="13" s="1"/>
  <c r="HO66" i="13" s="1"/>
  <c r="MW172" i="13"/>
  <c r="GV172" i="13"/>
  <c r="GX172" i="13" s="1"/>
  <c r="GY172" i="13" s="1"/>
  <c r="JA82" i="13"/>
  <c r="JF82" i="13" s="1"/>
  <c r="JH82" i="13" s="1"/>
  <c r="JA207" i="13"/>
  <c r="JF207" i="13" s="1"/>
  <c r="JH207" i="13" s="1"/>
  <c r="IA161" i="13"/>
  <c r="NT161" i="13"/>
  <c r="NM161" i="13"/>
  <c r="MR127" i="13"/>
  <c r="MS127" i="13" s="1"/>
  <c r="JA182" i="13"/>
  <c r="JF182" i="13" s="1"/>
  <c r="JH182" i="13" s="1"/>
  <c r="GF171" i="13"/>
  <c r="GO171" i="13"/>
  <c r="NC103" i="13"/>
  <c r="IY103" i="13"/>
  <c r="MW72" i="13"/>
  <c r="GV72" i="13"/>
  <c r="GX72" i="13" s="1"/>
  <c r="GY72" i="13" s="1"/>
  <c r="GF85" i="13"/>
  <c r="GO85" i="13"/>
  <c r="MW76" i="13"/>
  <c r="GV76" i="13"/>
  <c r="GX76" i="13" s="1"/>
  <c r="GY76" i="13" s="1"/>
  <c r="HT161" i="13"/>
  <c r="HV161" i="13" s="1"/>
  <c r="HW161" i="13" s="1"/>
  <c r="HL161" i="13"/>
  <c r="HN161" i="13" s="1"/>
  <c r="HO161" i="13" s="1"/>
  <c r="HD161" i="13"/>
  <c r="HF161" i="13" s="1"/>
  <c r="HG161" i="13" s="1"/>
  <c r="IB161" i="13"/>
  <c r="ID161" i="13" s="1"/>
  <c r="IE161" i="13" s="1"/>
  <c r="NC130" i="13"/>
  <c r="IY130" i="13"/>
  <c r="NT165" i="13"/>
  <c r="NM165" i="13"/>
  <c r="IA165" i="13"/>
  <c r="NN165" i="13" s="1"/>
  <c r="NK213" i="13"/>
  <c r="NY213" i="13"/>
  <c r="NS213" i="13"/>
  <c r="HS213" i="13"/>
  <c r="AS213" i="13" s="1"/>
  <c r="AR213" i="13" s="1"/>
  <c r="AQ213" i="13" s="1"/>
  <c r="AP213" i="13" s="1"/>
  <c r="AO213" i="13" s="1"/>
  <c r="AL213" i="13" s="1"/>
  <c r="NC86" i="13"/>
  <c r="IY86" i="13"/>
  <c r="E28" i="13"/>
  <c r="HX28" i="13"/>
  <c r="HZ28" i="13" s="1"/>
  <c r="HH28" i="13"/>
  <c r="HJ28" i="13" s="1"/>
  <c r="HK28" i="13" s="1"/>
  <c r="HP28" i="13"/>
  <c r="HR28" i="13" s="1"/>
  <c r="GZ28" i="13"/>
  <c r="HB28" i="13" s="1"/>
  <c r="HC28" i="13" s="1"/>
  <c r="CR28" i="13" s="1"/>
  <c r="CQ28" i="13" s="1"/>
  <c r="E175" i="13"/>
  <c r="HX175" i="13"/>
  <c r="HZ175" i="13" s="1"/>
  <c r="HH175" i="13"/>
  <c r="HJ175" i="13" s="1"/>
  <c r="HK175" i="13" s="1"/>
  <c r="GZ175" i="13"/>
  <c r="HB175" i="13" s="1"/>
  <c r="HC175" i="13" s="1"/>
  <c r="HP175" i="13"/>
  <c r="HR175" i="13" s="1"/>
  <c r="GF87" i="13"/>
  <c r="GO87" i="13"/>
  <c r="FK83" i="13"/>
  <c r="FP83" i="13"/>
  <c r="JA23" i="13"/>
  <c r="ND23" i="13" s="1"/>
  <c r="NE23" i="13" s="1"/>
  <c r="MR46" i="13"/>
  <c r="MS46" i="13" s="1"/>
  <c r="BU60" i="13"/>
  <c r="BT60" i="13" s="1"/>
  <c r="IB73" i="13"/>
  <c r="ID73" i="13" s="1"/>
  <c r="IE73" i="13" s="1"/>
  <c r="HT73" i="13"/>
  <c r="HV73" i="13" s="1"/>
  <c r="HW73" i="13" s="1"/>
  <c r="HD73" i="13"/>
  <c r="HF73" i="13" s="1"/>
  <c r="HG73" i="13" s="1"/>
  <c r="HL73" i="13"/>
  <c r="HN73" i="13" s="1"/>
  <c r="HO73" i="13" s="1"/>
  <c r="CE73" i="13" s="1"/>
  <c r="CD73" i="13" s="1"/>
  <c r="AS204" i="13"/>
  <c r="AR204" i="13" s="1"/>
  <c r="AQ204" i="13" s="1"/>
  <c r="AP204" i="13" s="1"/>
  <c r="AO204" i="13" s="1"/>
  <c r="AL204" i="13" s="1"/>
  <c r="JA139" i="13"/>
  <c r="JF139" i="13" s="1"/>
  <c r="JH139" i="13" s="1"/>
  <c r="IA34" i="13"/>
  <c r="NT34" i="13"/>
  <c r="NM34" i="13"/>
  <c r="JA204" i="13"/>
  <c r="JF204" i="13" s="1"/>
  <c r="JH204" i="13" s="1"/>
  <c r="NC138" i="13"/>
  <c r="IY138" i="13"/>
  <c r="NC132" i="13"/>
  <c r="IY132" i="13"/>
  <c r="NT194" i="13"/>
  <c r="NM194" i="13"/>
  <c r="IA194" i="13"/>
  <c r="NN194" i="13" s="1"/>
  <c r="NC18" i="13"/>
  <c r="IY18" i="13"/>
  <c r="NC181" i="13"/>
  <c r="IY181" i="13"/>
  <c r="E58" i="13"/>
  <c r="GZ58" i="13"/>
  <c r="HB58" i="13" s="1"/>
  <c r="HC58" i="13" s="1"/>
  <c r="HP58" i="13"/>
  <c r="HR58" i="13" s="1"/>
  <c r="HX58" i="13"/>
  <c r="HZ58" i="13" s="1"/>
  <c r="HH58" i="13"/>
  <c r="HJ58" i="13" s="1"/>
  <c r="HK58" i="13" s="1"/>
  <c r="FK44" i="13"/>
  <c r="FP44" i="13"/>
  <c r="CE33" i="13"/>
  <c r="CD33" i="13" s="1"/>
  <c r="IB34" i="13"/>
  <c r="ID34" i="13" s="1"/>
  <c r="IE34" i="13" s="1"/>
  <c r="BZ34" i="13" s="1"/>
  <c r="BY34" i="13" s="1"/>
  <c r="HT34" i="13"/>
  <c r="HV34" i="13" s="1"/>
  <c r="HW34" i="13" s="1"/>
  <c r="BC34" i="13" s="1"/>
  <c r="BB34" i="13" s="1"/>
  <c r="BA34" i="13" s="1"/>
  <c r="AZ34" i="13" s="1"/>
  <c r="AY34" i="13" s="1"/>
  <c r="HD34" i="13"/>
  <c r="HF34" i="13" s="1"/>
  <c r="HG34" i="13" s="1"/>
  <c r="HL34" i="13"/>
  <c r="HN34" i="13" s="1"/>
  <c r="HO34" i="13" s="1"/>
  <c r="JA200" i="13"/>
  <c r="JF200" i="13" s="1"/>
  <c r="JH200" i="13" s="1"/>
  <c r="NC209" i="13"/>
  <c r="IY209" i="13"/>
  <c r="ND33" i="13"/>
  <c r="NE33" i="13" s="1"/>
  <c r="JA33" i="13"/>
  <c r="BZ165" i="13"/>
  <c r="BY165" i="13" s="1"/>
  <c r="E59" i="13"/>
  <c r="HH59" i="13"/>
  <c r="HJ59" i="13" s="1"/>
  <c r="HK59" i="13" s="1"/>
  <c r="GZ59" i="13"/>
  <c r="HB59" i="13" s="1"/>
  <c r="HC59" i="13" s="1"/>
  <c r="HP59" i="13"/>
  <c r="HR59" i="13" s="1"/>
  <c r="HX59" i="13"/>
  <c r="HZ59" i="13" s="1"/>
  <c r="NC22" i="13"/>
  <c r="IY22" i="13"/>
  <c r="GF40" i="13"/>
  <c r="GO40" i="13"/>
  <c r="IR15" i="13"/>
  <c r="IX15" i="13" s="1"/>
  <c r="IW15" i="13"/>
  <c r="FP78" i="13"/>
  <c r="FK78" i="13"/>
  <c r="NM57" i="13"/>
  <c r="IA57" i="13"/>
  <c r="NT57" i="13"/>
  <c r="E158" i="13"/>
  <c r="HH158" i="13"/>
  <c r="HJ158" i="13" s="1"/>
  <c r="HK158" i="13" s="1"/>
  <c r="GZ158" i="13"/>
  <c r="HB158" i="13" s="1"/>
  <c r="HC158" i="13" s="1"/>
  <c r="HP158" i="13"/>
  <c r="HR158" i="13" s="1"/>
  <c r="HX158" i="13"/>
  <c r="HZ158" i="13" s="1"/>
  <c r="MV20" i="13"/>
  <c r="MU20" i="13"/>
  <c r="GQ20" i="13" s="1"/>
  <c r="GS20" i="13" s="1"/>
  <c r="GU20" i="13" s="1"/>
  <c r="MT20" i="13"/>
  <c r="MV90" i="13"/>
  <c r="MU90" i="13"/>
  <c r="GQ90" i="13" s="1"/>
  <c r="GS90" i="13" s="1"/>
  <c r="GU90" i="13" s="1"/>
  <c r="MT90" i="13"/>
  <c r="GC90" i="13"/>
  <c r="GE90" i="13" s="1"/>
  <c r="FP122" i="13"/>
  <c r="FK122" i="13"/>
  <c r="FQ122" i="13" s="1"/>
  <c r="MU156" i="13"/>
  <c r="GQ156" i="13" s="1"/>
  <c r="GS156" i="13" s="1"/>
  <c r="GU156" i="13" s="1"/>
  <c r="MT156" i="13"/>
  <c r="MV156" i="13"/>
  <c r="GC156" i="13"/>
  <c r="GE156" i="13" s="1"/>
  <c r="FQ76" i="13"/>
  <c r="E157" i="13"/>
  <c r="HH157" i="13"/>
  <c r="HJ157" i="13" s="1"/>
  <c r="HK157" i="13" s="1"/>
  <c r="HP157" i="13"/>
  <c r="HR157" i="13" s="1"/>
  <c r="HX157" i="13"/>
  <c r="HZ157" i="13" s="1"/>
  <c r="GZ157" i="13"/>
  <c r="HB157" i="13" s="1"/>
  <c r="HC157" i="13" s="1"/>
  <c r="NY161" i="13"/>
  <c r="NS161" i="13"/>
  <c r="HS161" i="13"/>
  <c r="NK161" i="13"/>
  <c r="FK188" i="13"/>
  <c r="FP188" i="13"/>
  <c r="MR101" i="13"/>
  <c r="MS101" i="13" s="1"/>
  <c r="NC117" i="13"/>
  <c r="IY117" i="13"/>
  <c r="MW171" i="13"/>
  <c r="GV171" i="13"/>
  <c r="GX171" i="13" s="1"/>
  <c r="GY171" i="13" s="1"/>
  <c r="IW103" i="13"/>
  <c r="IR103" i="13"/>
  <c r="IX103" i="13" s="1"/>
  <c r="FP190" i="13"/>
  <c r="FK190" i="13"/>
  <c r="MW85" i="13"/>
  <c r="GV85" i="13"/>
  <c r="GX85" i="13" s="1"/>
  <c r="GY85" i="13" s="1"/>
  <c r="IR130" i="13"/>
  <c r="IX130" i="13" s="1"/>
  <c r="IW130" i="13"/>
  <c r="JA195" i="13"/>
  <c r="JF195" i="13" s="1"/>
  <c r="JH195" i="13" s="1"/>
  <c r="IR86" i="13"/>
  <c r="IX86" i="13" s="1"/>
  <c r="IW86" i="13"/>
  <c r="E87" i="13"/>
  <c r="GZ87" i="13"/>
  <c r="HB87" i="13" s="1"/>
  <c r="HC87" i="13" s="1"/>
  <c r="HH87" i="13"/>
  <c r="HJ87" i="13" s="1"/>
  <c r="HK87" i="13" s="1"/>
  <c r="HP87" i="13"/>
  <c r="HR87" i="13" s="1"/>
  <c r="HX87" i="13"/>
  <c r="HZ87" i="13" s="1"/>
  <c r="MR55" i="13"/>
  <c r="MS55" i="13" s="1"/>
  <c r="GF155" i="13"/>
  <c r="GO155" i="13"/>
  <c r="FP119" i="13"/>
  <c r="FK119" i="13"/>
  <c r="JA163" i="13"/>
  <c r="JF163" i="13" s="1"/>
  <c r="JH163" i="13" s="1"/>
  <c r="NS34" i="13"/>
  <c r="HS34" i="13"/>
  <c r="NK34" i="13"/>
  <c r="NY34" i="13"/>
  <c r="NC126" i="13"/>
  <c r="IY126" i="13"/>
  <c r="IR138" i="13"/>
  <c r="IX138" i="13" s="1"/>
  <c r="IW138" i="13"/>
  <c r="IW132" i="13"/>
  <c r="IR132" i="13"/>
  <c r="IX132" i="13" s="1"/>
  <c r="IR18" i="13"/>
  <c r="IX18" i="13" s="1"/>
  <c r="IW18" i="13"/>
  <c r="IW181" i="13"/>
  <c r="IR181" i="13"/>
  <c r="IX181" i="13" s="1"/>
  <c r="MV211" i="13"/>
  <c r="MU211" i="13"/>
  <c r="GQ211" i="13" s="1"/>
  <c r="GS211" i="13" s="1"/>
  <c r="GU211" i="13" s="1"/>
  <c r="MT211" i="13"/>
  <c r="GC211" i="13"/>
  <c r="GE211" i="13" s="1"/>
  <c r="GF148" i="13"/>
  <c r="GO148" i="13"/>
  <c r="NK98" i="13"/>
  <c r="NY98" i="13"/>
  <c r="HS98" i="13"/>
  <c r="NL98" i="13" s="1"/>
  <c r="NS98" i="13"/>
  <c r="IR209" i="13"/>
  <c r="IX209" i="13" s="1"/>
  <c r="IW209" i="13"/>
  <c r="MV15" i="13"/>
  <c r="MU15" i="13"/>
  <c r="GQ15" i="13" s="1"/>
  <c r="GS15" i="13" s="1"/>
  <c r="GU15" i="13" s="1"/>
  <c r="MT15" i="13"/>
  <c r="HD164" i="13"/>
  <c r="HF164" i="13" s="1"/>
  <c r="HG164" i="13" s="1"/>
  <c r="HT164" i="13"/>
  <c r="HV164" i="13" s="1"/>
  <c r="HW164" i="13" s="1"/>
  <c r="BC164" i="13" s="1"/>
  <c r="BB164" i="13" s="1"/>
  <c r="HL164" i="13"/>
  <c r="HN164" i="13" s="1"/>
  <c r="HO164" i="13" s="1"/>
  <c r="IB164" i="13"/>
  <c r="ID164" i="13" s="1"/>
  <c r="IE164" i="13" s="1"/>
  <c r="BZ164" i="13" s="1"/>
  <c r="BY164" i="13" s="1"/>
  <c r="MR108" i="13"/>
  <c r="MS108" i="13" s="1"/>
  <c r="NI35" i="13"/>
  <c r="KL35" i="13"/>
  <c r="KN35" i="13" s="1"/>
  <c r="KO35" i="13" s="1"/>
  <c r="BU165" i="13"/>
  <c r="BT165" i="13" s="1"/>
  <c r="FP61" i="13"/>
  <c r="FK61" i="13"/>
  <c r="GF38" i="13"/>
  <c r="GO38" i="13"/>
  <c r="MT208" i="13"/>
  <c r="MU208" i="13"/>
  <c r="GQ208" i="13" s="1"/>
  <c r="GS208" i="13" s="1"/>
  <c r="GU208" i="13" s="1"/>
  <c r="MV208" i="13"/>
  <c r="GC208" i="13"/>
  <c r="GE208" i="13" s="1"/>
  <c r="IW22" i="13"/>
  <c r="IR22" i="13"/>
  <c r="IX22" i="13" s="1"/>
  <c r="MW40" i="13"/>
  <c r="GV40" i="13"/>
  <c r="GX40" i="13" s="1"/>
  <c r="GY40" i="13" s="1"/>
  <c r="FQ28" i="13"/>
  <c r="NL204" i="13"/>
  <c r="FQ179" i="13"/>
  <c r="IW39" i="13"/>
  <c r="IR39" i="13"/>
  <c r="IX39" i="13" s="1"/>
  <c r="FP144" i="13"/>
  <c r="FK144" i="13"/>
  <c r="HS57" i="13"/>
  <c r="NK57" i="13"/>
  <c r="NY57" i="13"/>
  <c r="NS57" i="13"/>
  <c r="MV89" i="13"/>
  <c r="MU89" i="13"/>
  <c r="GQ89" i="13" s="1"/>
  <c r="GS89" i="13" s="1"/>
  <c r="GU89" i="13" s="1"/>
  <c r="MT89" i="13"/>
  <c r="GC89" i="13"/>
  <c r="GE89" i="13" s="1"/>
  <c r="ND75" i="13"/>
  <c r="NE75" i="13" s="1"/>
  <c r="JA47" i="13"/>
  <c r="JF47" i="13" s="1"/>
  <c r="JH47" i="13" s="1"/>
  <c r="MV179" i="13"/>
  <c r="MU179" i="13"/>
  <c r="GQ179" i="13" s="1"/>
  <c r="GS179" i="13" s="1"/>
  <c r="GU179" i="13" s="1"/>
  <c r="MT179" i="13"/>
  <c r="GC179" i="13"/>
  <c r="GE179" i="13" s="1"/>
  <c r="JA145" i="13"/>
  <c r="JF145" i="13" s="1"/>
  <c r="JH145" i="13" s="1"/>
  <c r="GF63" i="13"/>
  <c r="GO63" i="13"/>
  <c r="MV212" i="13"/>
  <c r="MU212" i="13"/>
  <c r="GQ212" i="13" s="1"/>
  <c r="GS212" i="13" s="1"/>
  <c r="GU212" i="13" s="1"/>
  <c r="MT212" i="13"/>
  <c r="GC212" i="13"/>
  <c r="GE212" i="13" s="1"/>
  <c r="MV95" i="13"/>
  <c r="MU95" i="13"/>
  <c r="GQ95" i="13" s="1"/>
  <c r="GS95" i="13" s="1"/>
  <c r="GU95" i="13" s="1"/>
  <c r="MT95" i="13"/>
  <c r="GC95" i="13"/>
  <c r="GE95" i="13" s="1"/>
  <c r="NH43" i="13"/>
  <c r="NG43" i="13"/>
  <c r="KH43" i="13" s="1"/>
  <c r="KJ43" i="13" s="1"/>
  <c r="KK43" i="13" s="1"/>
  <c r="NF43" i="13"/>
  <c r="JL43" i="13"/>
  <c r="JN43" i="13" s="1"/>
  <c r="MV122" i="13"/>
  <c r="MU122" i="13"/>
  <c r="GQ122" i="13" s="1"/>
  <c r="GS122" i="13" s="1"/>
  <c r="GU122" i="13" s="1"/>
  <c r="MT122" i="13"/>
  <c r="GC122" i="13"/>
  <c r="GE122" i="13" s="1"/>
  <c r="E172" i="13"/>
  <c r="GZ172" i="13"/>
  <c r="HB172" i="13" s="1"/>
  <c r="HC172" i="13" s="1"/>
  <c r="HH172" i="13"/>
  <c r="HJ172" i="13" s="1"/>
  <c r="HK172" i="13" s="1"/>
  <c r="HP172" i="13"/>
  <c r="HR172" i="13" s="1"/>
  <c r="HX172" i="13"/>
  <c r="HZ172" i="13" s="1"/>
  <c r="JA131" i="13"/>
  <c r="JF131" i="13" s="1"/>
  <c r="JH131" i="13" s="1"/>
  <c r="NC16" i="13"/>
  <c r="IY16" i="13"/>
  <c r="ND174" i="13"/>
  <c r="NE174" i="13" s="1"/>
  <c r="JA174" i="13"/>
  <c r="JF174" i="13" s="1"/>
  <c r="JH174" i="13" s="1"/>
  <c r="IR117" i="13"/>
  <c r="IX117" i="13" s="1"/>
  <c r="IW117" i="13"/>
  <c r="JA123" i="13"/>
  <c r="JF123" i="13" s="1"/>
  <c r="JH123" i="13" s="1"/>
  <c r="E72" i="13"/>
  <c r="GZ72" i="13"/>
  <c r="HB72" i="13" s="1"/>
  <c r="HC72" i="13" s="1"/>
  <c r="HP72" i="13"/>
  <c r="HR72" i="13" s="1"/>
  <c r="HX72" i="13"/>
  <c r="HZ72" i="13" s="1"/>
  <c r="HH72" i="13"/>
  <c r="HJ72" i="13" s="1"/>
  <c r="HK72" i="13" s="1"/>
  <c r="E76" i="13"/>
  <c r="HH76" i="13"/>
  <c r="HJ76" i="13" s="1"/>
  <c r="HK76" i="13" s="1"/>
  <c r="HX76" i="13"/>
  <c r="HZ76" i="13" s="1"/>
  <c r="GZ76" i="13"/>
  <c r="HB76" i="13" s="1"/>
  <c r="HC76" i="13" s="1"/>
  <c r="HP76" i="13"/>
  <c r="HR76" i="13" s="1"/>
  <c r="GF162" i="13"/>
  <c r="GO162" i="13"/>
  <c r="NM198" i="13"/>
  <c r="NT198" i="13"/>
  <c r="IA198" i="13"/>
  <c r="NN198" i="13" s="1"/>
  <c r="JA53" i="13"/>
  <c r="JF53" i="13" s="1"/>
  <c r="JH53" i="13" s="1"/>
  <c r="ND53" i="13"/>
  <c r="NE53" i="13" s="1"/>
  <c r="IA213" i="13"/>
  <c r="BP213" i="13" s="1"/>
  <c r="BO213" i="13" s="1"/>
  <c r="NT213" i="13"/>
  <c r="NM213" i="13"/>
  <c r="NC206" i="13"/>
  <c r="IY206" i="13"/>
  <c r="GP161" i="13"/>
  <c r="NL161" i="13"/>
  <c r="NN161" i="13"/>
  <c r="NC13" i="13"/>
  <c r="IY13" i="13"/>
  <c r="MW87" i="13"/>
  <c r="GV87" i="13"/>
  <c r="GX87" i="13" s="1"/>
  <c r="GY87" i="13" s="1"/>
  <c r="MV146" i="13"/>
  <c r="MU146" i="13"/>
  <c r="GQ146" i="13" s="1"/>
  <c r="GS146" i="13" s="1"/>
  <c r="GU146" i="13" s="1"/>
  <c r="MT146" i="13"/>
  <c r="GC146" i="13"/>
  <c r="GE146" i="13" s="1"/>
  <c r="FP97" i="13"/>
  <c r="FK97" i="13"/>
  <c r="E155" i="13"/>
  <c r="HX155" i="13"/>
  <c r="HZ155" i="13" s="1"/>
  <c r="HH155" i="13"/>
  <c r="HJ155" i="13" s="1"/>
  <c r="HK155" i="13" s="1"/>
  <c r="HP155" i="13"/>
  <c r="HR155" i="13" s="1"/>
  <c r="GZ155" i="13"/>
  <c r="HB155" i="13" s="1"/>
  <c r="HC155" i="13" s="1"/>
  <c r="NC166" i="13"/>
  <c r="IY166" i="13"/>
  <c r="MV133" i="13"/>
  <c r="MU133" i="13"/>
  <c r="GQ133" i="13" s="1"/>
  <c r="GS133" i="13" s="1"/>
  <c r="GU133" i="13" s="1"/>
  <c r="MT133" i="13"/>
  <c r="GC133" i="13"/>
  <c r="GE133" i="13" s="1"/>
  <c r="JA212" i="13"/>
  <c r="JF212" i="13" s="1"/>
  <c r="JH212" i="13" s="1"/>
  <c r="JA73" i="13"/>
  <c r="JF73" i="13" s="1"/>
  <c r="JH73" i="13" s="1"/>
  <c r="IR126" i="13"/>
  <c r="IX126" i="13" s="1"/>
  <c r="IW126" i="13"/>
  <c r="GF54" i="13"/>
  <c r="GO54" i="13"/>
  <c r="MV200" i="13"/>
  <c r="MT200" i="13"/>
  <c r="MU200" i="13"/>
  <c r="GQ200" i="13" s="1"/>
  <c r="GS200" i="13" s="1"/>
  <c r="GU200" i="13" s="1"/>
  <c r="GC200" i="13"/>
  <c r="GE200" i="13" s="1"/>
  <c r="FP107" i="13"/>
  <c r="FK107" i="13"/>
  <c r="MT51" i="13"/>
  <c r="MV51" i="13"/>
  <c r="MU51" i="13"/>
  <c r="GQ51" i="13" s="1"/>
  <c r="GS51" i="13" s="1"/>
  <c r="GU51" i="13" s="1"/>
  <c r="GC51" i="13"/>
  <c r="GE51" i="13" s="1"/>
  <c r="MU91" i="13"/>
  <c r="GQ91" i="13" s="1"/>
  <c r="GS91" i="13" s="1"/>
  <c r="GU91" i="13" s="1"/>
  <c r="MT91" i="13"/>
  <c r="MV91" i="13"/>
  <c r="GC91" i="13"/>
  <c r="GE91" i="13" s="1"/>
  <c r="MW148" i="13"/>
  <c r="GV148" i="13"/>
  <c r="GX148" i="13" s="1"/>
  <c r="GY148" i="13" s="1"/>
  <c r="JA81" i="13"/>
  <c r="JF81" i="13" s="1"/>
  <c r="JH81" i="13" s="1"/>
  <c r="IW77" i="13"/>
  <c r="IR77" i="13"/>
  <c r="IX77" i="13" s="1"/>
  <c r="FP62" i="13"/>
  <c r="FK62" i="13"/>
  <c r="FP181" i="13"/>
  <c r="FK181" i="13"/>
  <c r="GF81" i="13"/>
  <c r="GO81" i="13"/>
  <c r="JA143" i="13"/>
  <c r="JF143" i="13" s="1"/>
  <c r="JH143" i="13" s="1"/>
  <c r="LN35" i="13"/>
  <c r="KX35" i="13"/>
  <c r="KZ35" i="13" s="1"/>
  <c r="LA35" i="13" s="1"/>
  <c r="DP35" i="13" s="1"/>
  <c r="DO35" i="13" s="1"/>
  <c r="LF35" i="13"/>
  <c r="LH35" i="13" s="1"/>
  <c r="KP35" i="13"/>
  <c r="KR35" i="13" s="1"/>
  <c r="KS35" i="13" s="1"/>
  <c r="CE165" i="13"/>
  <c r="CD165" i="13" s="1"/>
  <c r="NC30" i="13"/>
  <c r="IY30" i="13"/>
  <c r="MW38" i="13"/>
  <c r="GV38" i="13"/>
  <c r="GX38" i="13" s="1"/>
  <c r="GY38" i="13" s="1"/>
  <c r="ND49" i="13"/>
  <c r="NE49" i="13" s="1"/>
  <c r="JA49" i="13"/>
  <c r="JF49" i="13" s="1"/>
  <c r="JH49" i="13" s="1"/>
  <c r="MR109" i="13"/>
  <c r="MS109" i="13" s="1"/>
  <c r="GF195" i="13"/>
  <c r="GO195" i="13"/>
  <c r="FP96" i="13"/>
  <c r="FK96" i="13"/>
  <c r="MV147" i="13"/>
  <c r="MU147" i="13"/>
  <c r="GQ147" i="13" s="1"/>
  <c r="GS147" i="13" s="1"/>
  <c r="GU147" i="13" s="1"/>
  <c r="MT147" i="13"/>
  <c r="GC147" i="13"/>
  <c r="GE147" i="13" s="1"/>
  <c r="ND113" i="13"/>
  <c r="NE113" i="13" s="1"/>
  <c r="JA113" i="13"/>
  <c r="JF113" i="13" s="1"/>
  <c r="JH113" i="13" s="1"/>
  <c r="JJ75" i="13"/>
  <c r="JI75" i="13"/>
  <c r="IA26" i="13"/>
  <c r="NT26" i="13"/>
  <c r="NM26" i="13"/>
  <c r="AV26" i="13" s="1"/>
  <c r="AU26" i="13" s="1"/>
  <c r="AT26" i="13" s="1"/>
  <c r="JA149" i="13"/>
  <c r="JF149" i="13" s="1"/>
  <c r="JH149" i="13" s="1"/>
  <c r="MW63" i="13"/>
  <c r="GV63" i="13"/>
  <c r="GX63" i="13" s="1"/>
  <c r="GY63" i="13" s="1"/>
  <c r="GF149" i="13"/>
  <c r="GO149" i="13"/>
  <c r="MR140" i="13"/>
  <c r="MS140" i="13" s="1"/>
  <c r="NC100" i="13"/>
  <c r="IY100" i="13"/>
  <c r="MR180" i="13"/>
  <c r="MS180" i="13" s="1"/>
  <c r="JA52" i="13"/>
  <c r="JF52" i="13" s="1"/>
  <c r="JH52" i="13" s="1"/>
  <c r="ND52" i="13"/>
  <c r="NE52" i="13" s="1"/>
  <c r="IR16" i="13"/>
  <c r="IX16" i="13" s="1"/>
  <c r="IW16" i="13"/>
  <c r="AQ5" i="13"/>
  <c r="E171" i="13"/>
  <c r="HX171" i="13"/>
  <c r="HZ171" i="13" s="1"/>
  <c r="HP171" i="13"/>
  <c r="HR171" i="13" s="1"/>
  <c r="HH171" i="13"/>
  <c r="HJ171" i="13" s="1"/>
  <c r="HK171" i="13" s="1"/>
  <c r="GZ171" i="13"/>
  <c r="HB171" i="13" s="1"/>
  <c r="HC171" i="13" s="1"/>
  <c r="FT104" i="13"/>
  <c r="E85" i="13"/>
  <c r="HX85" i="13"/>
  <c r="HZ85" i="13" s="1"/>
  <c r="HP85" i="13"/>
  <c r="HR85" i="13" s="1"/>
  <c r="HH85" i="13"/>
  <c r="HJ85" i="13" s="1"/>
  <c r="HK85" i="13" s="1"/>
  <c r="GZ85" i="13"/>
  <c r="HB85" i="13" s="1"/>
  <c r="HC85" i="13" s="1"/>
  <c r="MR115" i="13"/>
  <c r="MS115" i="13" s="1"/>
  <c r="MW162" i="13"/>
  <c r="GV162" i="13"/>
  <c r="GX162" i="13" s="1"/>
  <c r="GY162" i="13" s="1"/>
  <c r="JA42" i="13"/>
  <c r="JF42" i="13" s="1"/>
  <c r="JH42" i="13" s="1"/>
  <c r="HS198" i="13"/>
  <c r="NL198" i="13" s="1"/>
  <c r="NY198" i="13"/>
  <c r="NS198" i="13"/>
  <c r="NK198" i="13"/>
  <c r="GF160" i="13"/>
  <c r="GO160" i="13"/>
  <c r="IW206" i="13"/>
  <c r="IR206" i="13"/>
  <c r="IX206" i="13" s="1"/>
  <c r="JA90" i="13"/>
  <c r="JF90" i="13" s="1"/>
  <c r="JH90" i="13" s="1"/>
  <c r="IR13" i="13"/>
  <c r="IX13" i="13" s="1"/>
  <c r="IW13" i="13"/>
  <c r="MR199" i="13"/>
  <c r="MS199" i="13" s="1"/>
  <c r="MW155" i="13"/>
  <c r="GV155" i="13"/>
  <c r="GX155" i="13" s="1"/>
  <c r="GY155" i="13" s="1"/>
  <c r="IW166" i="13"/>
  <c r="IR166" i="13"/>
  <c r="IX166" i="13" s="1"/>
  <c r="JA41" i="13"/>
  <c r="JF41" i="13" s="1"/>
  <c r="JH41" i="13" s="1"/>
  <c r="JJ125" i="13"/>
  <c r="JI125" i="13"/>
  <c r="FP111" i="13"/>
  <c r="FK111" i="13"/>
  <c r="MW54" i="13"/>
  <c r="GV54" i="13"/>
  <c r="GX54" i="13" s="1"/>
  <c r="GY54" i="13" s="1"/>
  <c r="FP178" i="13"/>
  <c r="FK178" i="13"/>
  <c r="GP37" i="13"/>
  <c r="E32" i="13"/>
  <c r="HP32" i="13"/>
  <c r="HR32" i="13" s="1"/>
  <c r="HX32" i="13"/>
  <c r="HZ32" i="13" s="1"/>
  <c r="GZ32" i="13"/>
  <c r="HB32" i="13" s="1"/>
  <c r="HC32" i="13" s="1"/>
  <c r="CR32" i="13" s="1"/>
  <c r="CQ32" i="13" s="1"/>
  <c r="HH32" i="13"/>
  <c r="HJ32" i="13" s="1"/>
  <c r="HK32" i="13" s="1"/>
  <c r="NC77" i="13"/>
  <c r="IY77" i="13"/>
  <c r="MR44" i="13"/>
  <c r="MS44" i="13" s="1"/>
  <c r="NM98" i="13"/>
  <c r="IA98" i="13"/>
  <c r="NT98" i="13"/>
  <c r="MW81" i="13"/>
  <c r="GV81" i="13"/>
  <c r="GX81" i="13" s="1"/>
  <c r="GY81" i="13" s="1"/>
  <c r="MV29" i="13"/>
  <c r="MU29" i="13"/>
  <c r="GQ29" i="13" s="1"/>
  <c r="GS29" i="13" s="1"/>
  <c r="GU29" i="13" s="1"/>
  <c r="MT29" i="13"/>
  <c r="AX53" i="13"/>
  <c r="AW53" i="13" s="1"/>
  <c r="FP27" i="13"/>
  <c r="FK27" i="13"/>
  <c r="BH165" i="13"/>
  <c r="BG165" i="13" s="1"/>
  <c r="BF165" i="13" s="1"/>
  <c r="BE165" i="13" s="1"/>
  <c r="BD165" i="13" s="1"/>
  <c r="JA93" i="13"/>
  <c r="JF93" i="13" s="1"/>
  <c r="JH93" i="13" s="1"/>
  <c r="IW30" i="13"/>
  <c r="IR30" i="13"/>
  <c r="IX30" i="13" s="1"/>
  <c r="NS60" i="13"/>
  <c r="HS60" i="13"/>
  <c r="AS60" i="13" s="1"/>
  <c r="AR60" i="13" s="1"/>
  <c r="AQ60" i="13" s="1"/>
  <c r="AP60" i="13" s="1"/>
  <c r="AO60" i="13" s="1"/>
  <c r="AL60" i="13" s="1"/>
  <c r="NK60" i="13"/>
  <c r="NY60" i="13"/>
  <c r="HL50" i="13"/>
  <c r="HN50" i="13" s="1"/>
  <c r="HO50" i="13" s="1"/>
  <c r="IB50" i="13"/>
  <c r="ID50" i="13" s="1"/>
  <c r="IE50" i="13" s="1"/>
  <c r="HD50" i="13"/>
  <c r="HF50" i="13" s="1"/>
  <c r="HG50" i="13" s="1"/>
  <c r="HT50" i="13"/>
  <c r="HV50" i="13" s="1"/>
  <c r="HW50" i="13" s="1"/>
  <c r="HL98" i="13"/>
  <c r="HN98" i="13" s="1"/>
  <c r="HO98" i="13" s="1"/>
  <c r="HT98" i="13"/>
  <c r="HV98" i="13" s="1"/>
  <c r="HW98" i="13" s="1"/>
  <c r="IB98" i="13"/>
  <c r="ID98" i="13" s="1"/>
  <c r="IE98" i="13" s="1"/>
  <c r="HD98" i="13"/>
  <c r="HF98" i="13" s="1"/>
  <c r="HG98" i="13" s="1"/>
  <c r="E40" i="13"/>
  <c r="HP40" i="13"/>
  <c r="HR40" i="13" s="1"/>
  <c r="HX40" i="13"/>
  <c r="HZ40" i="13" s="1"/>
  <c r="GZ40" i="13"/>
  <c r="HB40" i="13" s="1"/>
  <c r="HC40" i="13" s="1"/>
  <c r="HH40" i="13"/>
  <c r="HJ40" i="13" s="1"/>
  <c r="HK40" i="13" s="1"/>
  <c r="FP13" i="13"/>
  <c r="FK13" i="13"/>
  <c r="GF49" i="13"/>
  <c r="GO49" i="13"/>
  <c r="MV188" i="13"/>
  <c r="MU188" i="13"/>
  <c r="GQ188" i="13" s="1"/>
  <c r="GS188" i="13" s="1"/>
  <c r="GU188" i="13" s="1"/>
  <c r="MT188" i="13"/>
  <c r="GC188" i="13"/>
  <c r="GE188" i="13" s="1"/>
  <c r="FP199" i="13"/>
  <c r="FK199" i="13"/>
  <c r="E201" i="13"/>
  <c r="HH201" i="13"/>
  <c r="HJ201" i="13" s="1"/>
  <c r="HK201" i="13" s="1"/>
  <c r="HX201" i="13"/>
  <c r="HZ201" i="13" s="1"/>
  <c r="GZ201" i="13"/>
  <c r="HB201" i="13" s="1"/>
  <c r="HC201" i="13" s="1"/>
  <c r="HP201" i="13"/>
  <c r="HR201" i="13" s="1"/>
  <c r="MV202" i="13"/>
  <c r="MU202" i="13"/>
  <c r="GQ202" i="13" s="1"/>
  <c r="GS202" i="13" s="1"/>
  <c r="GU202" i="13" s="1"/>
  <c r="MT202" i="13"/>
  <c r="GC202" i="13"/>
  <c r="GE202" i="13" s="1"/>
  <c r="FP125" i="13"/>
  <c r="FK125" i="13"/>
  <c r="FQ125" i="13" s="1"/>
  <c r="FP209" i="13"/>
  <c r="FK209" i="13"/>
  <c r="NS26" i="13"/>
  <c r="HS26" i="13"/>
  <c r="NK26" i="13"/>
  <c r="NY26" i="13"/>
  <c r="MU189" i="13"/>
  <c r="GQ189" i="13" s="1"/>
  <c r="GS189" i="13" s="1"/>
  <c r="GU189" i="13" s="1"/>
  <c r="MV189" i="13"/>
  <c r="MT189" i="13"/>
  <c r="GC189" i="13"/>
  <c r="GE189" i="13" s="1"/>
  <c r="HL192" i="13"/>
  <c r="HN192" i="13" s="1"/>
  <c r="HO192" i="13" s="1"/>
  <c r="HD192" i="13"/>
  <c r="HF192" i="13" s="1"/>
  <c r="HG192" i="13" s="1"/>
  <c r="HT192" i="13"/>
  <c r="HV192" i="13" s="1"/>
  <c r="HW192" i="13" s="1"/>
  <c r="IB192" i="13"/>
  <c r="ID192" i="13" s="1"/>
  <c r="IE192" i="13" s="1"/>
  <c r="BZ192" i="13" s="1"/>
  <c r="BY192" i="13" s="1"/>
  <c r="HT35" i="13"/>
  <c r="HV35" i="13" s="1"/>
  <c r="HW35" i="13" s="1"/>
  <c r="IB35" i="13"/>
  <c r="ID35" i="13" s="1"/>
  <c r="IE35" i="13" s="1"/>
  <c r="BZ35" i="13" s="1"/>
  <c r="BY35" i="13" s="1"/>
  <c r="HL35" i="13"/>
  <c r="HN35" i="13" s="1"/>
  <c r="HO35" i="13" s="1"/>
  <c r="BH35" i="13" s="1"/>
  <c r="BG35" i="13" s="1"/>
  <c r="BF35" i="13" s="1"/>
  <c r="BE35" i="13" s="1"/>
  <c r="BD35" i="13" s="1"/>
  <c r="HD35" i="13"/>
  <c r="HF35" i="13" s="1"/>
  <c r="HG35" i="13" s="1"/>
  <c r="NC101" i="13"/>
  <c r="IY101" i="13"/>
  <c r="MW149" i="13"/>
  <c r="GV149" i="13"/>
  <c r="GX149" i="13" s="1"/>
  <c r="GY149" i="13" s="1"/>
  <c r="FK121" i="13"/>
  <c r="FQ121" i="13" s="1"/>
  <c r="FP121" i="13"/>
  <c r="IW100" i="13"/>
  <c r="IR100" i="13"/>
  <c r="IX100" i="13" s="1"/>
  <c r="BU213" i="13"/>
  <c r="BT213" i="13" s="1"/>
  <c r="JA121" i="13"/>
  <c r="JF121" i="13" s="1"/>
  <c r="JH121" i="13" s="1"/>
  <c r="FK150" i="13"/>
  <c r="FP150" i="13"/>
  <c r="FQ189" i="13"/>
  <c r="MT210" i="13"/>
  <c r="MV210" i="13"/>
  <c r="MU210" i="13"/>
  <c r="GQ210" i="13" s="1"/>
  <c r="GS210" i="13" s="1"/>
  <c r="GU210" i="13" s="1"/>
  <c r="GC210" i="13"/>
  <c r="GE210" i="13" s="1"/>
  <c r="FP88" i="13"/>
  <c r="FK88" i="13"/>
  <c r="MT151" i="13"/>
  <c r="MV151" i="13"/>
  <c r="MU151" i="13"/>
  <c r="GQ151" i="13" s="1"/>
  <c r="GS151" i="13" s="1"/>
  <c r="GU151" i="13" s="1"/>
  <c r="GC151" i="13"/>
  <c r="GE151" i="13" s="1"/>
  <c r="JA165" i="13"/>
  <c r="JF165" i="13" s="1"/>
  <c r="JH165" i="13" s="1"/>
  <c r="HT213" i="13"/>
  <c r="HV213" i="13" s="1"/>
  <c r="HW213" i="13" s="1"/>
  <c r="BC213" i="13" s="1"/>
  <c r="BB213" i="13" s="1"/>
  <c r="BA213" i="13" s="1"/>
  <c r="AZ213" i="13" s="1"/>
  <c r="AY213" i="13" s="1"/>
  <c r="HD213" i="13"/>
  <c r="HF213" i="13" s="1"/>
  <c r="HG213" i="13" s="1"/>
  <c r="HL213" i="13"/>
  <c r="HN213" i="13" s="1"/>
  <c r="HO213" i="13" s="1"/>
  <c r="CE213" i="13" s="1"/>
  <c r="CD213" i="13" s="1"/>
  <c r="IB213" i="13"/>
  <c r="ID213" i="13" s="1"/>
  <c r="IE213" i="13" s="1"/>
  <c r="BZ213" i="13" s="1"/>
  <c r="BY213" i="13" s="1"/>
  <c r="MV86" i="13"/>
  <c r="MT86" i="13"/>
  <c r="MU86" i="13"/>
  <c r="GQ86" i="13" s="1"/>
  <c r="GS86" i="13" s="1"/>
  <c r="GU86" i="13" s="1"/>
  <c r="GC86" i="13"/>
  <c r="GE86" i="13" s="1"/>
  <c r="MW160" i="13"/>
  <c r="GV160" i="13"/>
  <c r="GX160" i="13" s="1"/>
  <c r="GY160" i="13" s="1"/>
  <c r="FP100" i="13"/>
  <c r="FK100" i="13"/>
  <c r="MV16" i="13"/>
  <c r="MU16" i="13"/>
  <c r="GQ16" i="13" s="1"/>
  <c r="GS16" i="13" s="1"/>
  <c r="GU16" i="13" s="1"/>
  <c r="MT16" i="13"/>
  <c r="MV168" i="13"/>
  <c r="MU168" i="13"/>
  <c r="GQ168" i="13" s="1"/>
  <c r="GS168" i="13" s="1"/>
  <c r="GU168" i="13" s="1"/>
  <c r="MT168" i="13"/>
  <c r="GC168" i="13"/>
  <c r="GE168" i="13" s="1"/>
  <c r="IB198" i="13"/>
  <c r="ID198" i="13" s="1"/>
  <c r="IE198" i="13" s="1"/>
  <c r="HD198" i="13"/>
  <c r="HF198" i="13" s="1"/>
  <c r="HG198" i="13" s="1"/>
  <c r="HT198" i="13"/>
  <c r="HV198" i="13" s="1"/>
  <c r="HW198" i="13" s="1"/>
  <c r="BC198" i="13" s="1"/>
  <c r="BB198" i="13" s="1"/>
  <c r="BA198" i="13" s="1"/>
  <c r="AZ198" i="13" s="1"/>
  <c r="AY198" i="13" s="1"/>
  <c r="HL198" i="13"/>
  <c r="HN198" i="13" s="1"/>
  <c r="HO198" i="13" s="1"/>
  <c r="CE198" i="13" s="1"/>
  <c r="CD198" i="13" s="1"/>
  <c r="GF105" i="13"/>
  <c r="GO105" i="13"/>
  <c r="NS174" i="13"/>
  <c r="NK174" i="13"/>
  <c r="HS174" i="13"/>
  <c r="NL174" i="13" s="1"/>
  <c r="NY174" i="13"/>
  <c r="NF125" i="13"/>
  <c r="NH125" i="13"/>
  <c r="NG125" i="13"/>
  <c r="KH125" i="13" s="1"/>
  <c r="KJ125" i="13" s="1"/>
  <c r="KK125" i="13" s="1"/>
  <c r="JL125" i="13"/>
  <c r="JN125" i="13" s="1"/>
  <c r="AX194" i="13"/>
  <c r="AW194" i="13" s="1"/>
  <c r="AV194" i="13" s="1"/>
  <c r="AU194" i="13" s="1"/>
  <c r="AT194" i="13" s="1"/>
  <c r="BU194" i="13"/>
  <c r="BT194" i="13" s="1"/>
  <c r="BS194" i="13" s="1"/>
  <c r="BR194" i="13" s="1"/>
  <c r="BQ194" i="13" s="1"/>
  <c r="BP194" i="13"/>
  <c r="BO194" i="13" s="1"/>
  <c r="BN194" i="13" s="1"/>
  <c r="BM194" i="13" s="1"/>
  <c r="BL194" i="13" s="1"/>
  <c r="NC178" i="13"/>
  <c r="IY178" i="13"/>
  <c r="NC150" i="13"/>
  <c r="IY150" i="13"/>
  <c r="E148" i="13"/>
  <c r="HX148" i="13"/>
  <c r="HZ148" i="13" s="1"/>
  <c r="HP148" i="13"/>
  <c r="HR148" i="13" s="1"/>
  <c r="GZ148" i="13"/>
  <c r="HB148" i="13" s="1"/>
  <c r="HC148" i="13" s="1"/>
  <c r="HH148" i="13"/>
  <c r="HJ148" i="13" s="1"/>
  <c r="HK148" i="13" s="1"/>
  <c r="BC33" i="13"/>
  <c r="BB33" i="13" s="1"/>
  <c r="NN213" i="13"/>
  <c r="JA160" i="13"/>
  <c r="JF160" i="13" s="1"/>
  <c r="JH160" i="13" s="1"/>
  <c r="AX66" i="13"/>
  <c r="AW66" i="13" s="1"/>
  <c r="BU53" i="13"/>
  <c r="BT53" i="13" s="1"/>
  <c r="JA60" i="13"/>
  <c r="JF60" i="13" s="1"/>
  <c r="JH60" i="13" s="1"/>
  <c r="ND60" i="13"/>
  <c r="NE60" i="13" s="1"/>
  <c r="FP116" i="13"/>
  <c r="FK116" i="13"/>
  <c r="FQ116" i="13" s="1"/>
  <c r="E38" i="13"/>
  <c r="HX38" i="13"/>
  <c r="HZ38" i="13" s="1"/>
  <c r="HH38" i="13"/>
  <c r="HJ38" i="13" s="1"/>
  <c r="HK38" i="13" s="1"/>
  <c r="GZ38" i="13"/>
  <c r="HB38" i="13" s="1"/>
  <c r="HC38" i="13" s="1"/>
  <c r="HP38" i="13"/>
  <c r="HR38" i="13" s="1"/>
  <c r="ND36" i="13"/>
  <c r="NE36" i="13" s="1"/>
  <c r="FP169" i="13"/>
  <c r="FK169" i="13"/>
  <c r="NC27" i="13"/>
  <c r="IY27" i="13"/>
  <c r="JA57" i="13"/>
  <c r="JF57" i="13" s="1"/>
  <c r="JH57" i="13" s="1"/>
  <c r="NC45" i="13"/>
  <c r="IY45" i="13"/>
  <c r="NC142" i="13"/>
  <c r="IY142" i="13"/>
  <c r="BS26" i="13"/>
  <c r="BR26" i="13" s="1"/>
  <c r="BQ26" i="13" s="1"/>
  <c r="ND65" i="13"/>
  <c r="NE65" i="13" s="1"/>
  <c r="JA65" i="13"/>
  <c r="JF65" i="13" s="1"/>
  <c r="JH65" i="13" s="1"/>
  <c r="GP71" i="13"/>
  <c r="JK43" i="13"/>
  <c r="IW101" i="13"/>
  <c r="IR101" i="13"/>
  <c r="IX101" i="13" s="1"/>
  <c r="E63" i="13"/>
  <c r="HH63" i="13"/>
  <c r="HJ63" i="13" s="1"/>
  <c r="HK63" i="13" s="1"/>
  <c r="HX63" i="13"/>
  <c r="HZ63" i="13" s="1"/>
  <c r="GZ63" i="13"/>
  <c r="HB63" i="13" s="1"/>
  <c r="HC63" i="13" s="1"/>
  <c r="HP63" i="13"/>
  <c r="HR63" i="13" s="1"/>
  <c r="JI210" i="13"/>
  <c r="JJ210" i="13"/>
  <c r="JA64" i="13"/>
  <c r="JF64" i="13" s="1"/>
  <c r="JH64" i="13" s="1"/>
  <c r="NC68" i="13"/>
  <c r="IY68" i="13"/>
  <c r="AX213" i="13"/>
  <c r="AW213" i="13" s="1"/>
  <c r="FP101" i="13"/>
  <c r="FK101" i="13"/>
  <c r="NS48" i="13"/>
  <c r="HS48" i="13"/>
  <c r="NK48" i="13"/>
  <c r="NY48" i="13"/>
  <c r="JA129" i="13"/>
  <c r="JF129" i="13" s="1"/>
  <c r="JH129" i="13" s="1"/>
  <c r="NC183" i="13"/>
  <c r="IY183" i="13"/>
  <c r="NH19" i="13"/>
  <c r="NG19" i="13"/>
  <c r="KH19" i="13" s="1"/>
  <c r="KJ19" i="13" s="1"/>
  <c r="KK19" i="13" s="1"/>
  <c r="NF19" i="13"/>
  <c r="MR79" i="13"/>
  <c r="MS79" i="13" s="1"/>
  <c r="E162" i="13"/>
  <c r="HP162" i="13"/>
  <c r="HR162" i="13" s="1"/>
  <c r="HX162" i="13"/>
  <c r="HZ162" i="13" s="1"/>
  <c r="GZ162" i="13"/>
  <c r="HB162" i="13" s="1"/>
  <c r="HC162" i="13" s="1"/>
  <c r="HH162" i="13"/>
  <c r="HJ162" i="13" s="1"/>
  <c r="HK162" i="13" s="1"/>
  <c r="NC44" i="13"/>
  <c r="IY44" i="13"/>
  <c r="NC12" i="13"/>
  <c r="IY12" i="13"/>
  <c r="FP207" i="13"/>
  <c r="FK207" i="13"/>
  <c r="FQ207" i="13" s="1"/>
  <c r="GF153" i="13"/>
  <c r="GO153" i="13"/>
  <c r="MR144" i="13"/>
  <c r="MS144" i="13" s="1"/>
  <c r="FP106" i="13"/>
  <c r="FK106" i="13"/>
  <c r="FQ106" i="13" s="1"/>
  <c r="NK37" i="13"/>
  <c r="NY37" i="13"/>
  <c r="NS37" i="13"/>
  <c r="HS37" i="13"/>
  <c r="NL37" i="13" s="1"/>
  <c r="GF141" i="13"/>
  <c r="GO141" i="13"/>
  <c r="JA211" i="13"/>
  <c r="JF211" i="13" s="1"/>
  <c r="JH211" i="13" s="1"/>
  <c r="BU32" i="13"/>
  <c r="BT32" i="13" s="1"/>
  <c r="AX32" i="13"/>
  <c r="AW32" i="13" s="1"/>
  <c r="NC184" i="13"/>
  <c r="IY184" i="13"/>
  <c r="MW105" i="13"/>
  <c r="GV105" i="13"/>
  <c r="GX105" i="13" s="1"/>
  <c r="GY105" i="13" s="1"/>
  <c r="JA173" i="13"/>
  <c r="JF173" i="13" s="1"/>
  <c r="JH173" i="13" s="1"/>
  <c r="E54" i="13"/>
  <c r="HX54" i="13"/>
  <c r="HZ54" i="13" s="1"/>
  <c r="HH54" i="13"/>
  <c r="HJ54" i="13" s="1"/>
  <c r="HK54" i="13" s="1"/>
  <c r="GZ54" i="13"/>
  <c r="HB54" i="13" s="1"/>
  <c r="HC54" i="13" s="1"/>
  <c r="HP54" i="13"/>
  <c r="HR54" i="13" s="1"/>
  <c r="IW178" i="13"/>
  <c r="IR178" i="13"/>
  <c r="IX178" i="13" s="1"/>
  <c r="NC170" i="13"/>
  <c r="IY170" i="13"/>
  <c r="MW32" i="13"/>
  <c r="GV32" i="13"/>
  <c r="GX32" i="13" s="1"/>
  <c r="GY32" i="13" s="1"/>
  <c r="IR150" i="13"/>
  <c r="IX150" i="13" s="1"/>
  <c r="IW150" i="13"/>
  <c r="FP22" i="13"/>
  <c r="FK22" i="13"/>
  <c r="GF65" i="13"/>
  <c r="GO65" i="13"/>
  <c r="JA84" i="13"/>
  <c r="JF84" i="13" s="1"/>
  <c r="JH84" i="13" s="1"/>
  <c r="NY50" i="13"/>
  <c r="NS50" i="13"/>
  <c r="HS50" i="13"/>
  <c r="NL50" i="13" s="1"/>
  <c r="NK50" i="13"/>
  <c r="E81" i="13"/>
  <c r="HP81" i="13"/>
  <c r="HR81" i="13" s="1"/>
  <c r="GZ81" i="13"/>
  <c r="HB81" i="13" s="1"/>
  <c r="HC81" i="13" s="1"/>
  <c r="HX81" i="13"/>
  <c r="HZ81" i="13" s="1"/>
  <c r="HH81" i="13"/>
  <c r="HJ81" i="13" s="1"/>
  <c r="HK81" i="13" s="1"/>
  <c r="MV13" i="13"/>
  <c r="MU13" i="13"/>
  <c r="GQ13" i="13" s="1"/>
  <c r="GS13" i="13" s="1"/>
  <c r="GU13" i="13" s="1"/>
  <c r="MT13" i="13"/>
  <c r="CE35" i="13"/>
  <c r="CD35" i="13" s="1"/>
  <c r="BC53" i="13"/>
  <c r="BB53" i="13" s="1"/>
  <c r="NC95" i="13"/>
  <c r="IY95" i="13"/>
  <c r="FP123" i="13"/>
  <c r="FK123" i="13"/>
  <c r="FQ123" i="13" s="1"/>
  <c r="NT60" i="13"/>
  <c r="NM60" i="13"/>
  <c r="IA60" i="13"/>
  <c r="NN60" i="13" s="1"/>
  <c r="JJ36" i="13"/>
  <c r="JI36" i="13"/>
  <c r="NC56" i="13"/>
  <c r="IY56" i="13"/>
  <c r="IR27" i="13"/>
  <c r="IX27" i="13" s="1"/>
  <c r="IW27" i="13"/>
  <c r="JA32" i="13"/>
  <c r="ND32" i="13"/>
  <c r="NE32" i="13" s="1"/>
  <c r="JJ155" i="13"/>
  <c r="JI155" i="13"/>
  <c r="E43" i="13"/>
  <c r="GZ43" i="13"/>
  <c r="HB43" i="13" s="1"/>
  <c r="HC43" i="13" s="1"/>
  <c r="HX43" i="13"/>
  <c r="HZ43" i="13" s="1"/>
  <c r="HP43" i="13"/>
  <c r="HR43" i="13" s="1"/>
  <c r="HH43" i="13"/>
  <c r="HJ43" i="13" s="1"/>
  <c r="HK43" i="13" s="1"/>
  <c r="NC177" i="13"/>
  <c r="IY177" i="13"/>
  <c r="HL80" i="13"/>
  <c r="HN80" i="13" s="1"/>
  <c r="HO80" i="13" s="1"/>
  <c r="HD80" i="13"/>
  <c r="HF80" i="13" s="1"/>
  <c r="HG80" i="13" s="1"/>
  <c r="HT80" i="13"/>
  <c r="HV80" i="13" s="1"/>
  <c r="HW80" i="13" s="1"/>
  <c r="IB80" i="13"/>
  <c r="ID80" i="13" s="1"/>
  <c r="IE80" i="13" s="1"/>
  <c r="IR142" i="13"/>
  <c r="IX142" i="13" s="1"/>
  <c r="IW142" i="13"/>
  <c r="GF64" i="13"/>
  <c r="GO64" i="13"/>
  <c r="ND66" i="13"/>
  <c r="NE66" i="13" s="1"/>
  <c r="JA66" i="13"/>
  <c r="JF66" i="13" s="1"/>
  <c r="JH66" i="13" s="1"/>
  <c r="MT92" i="13"/>
  <c r="MU92" i="13"/>
  <c r="GQ92" i="13" s="1"/>
  <c r="GS92" i="13" s="1"/>
  <c r="GU92" i="13" s="1"/>
  <c r="MV92" i="13"/>
  <c r="GC92" i="13"/>
  <c r="GE92" i="13" s="1"/>
  <c r="NC104" i="13"/>
  <c r="IY104" i="13"/>
  <c r="E149" i="13"/>
  <c r="GZ149" i="13"/>
  <c r="HB149" i="13" s="1"/>
  <c r="HC149" i="13" s="1"/>
  <c r="HH149" i="13"/>
  <c r="HJ149" i="13" s="1"/>
  <c r="HK149" i="13" s="1"/>
  <c r="HX149" i="13"/>
  <c r="HZ149" i="13" s="1"/>
  <c r="HP149" i="13"/>
  <c r="HR149" i="13" s="1"/>
  <c r="HL57" i="13"/>
  <c r="HN57" i="13" s="1"/>
  <c r="HO57" i="13" s="1"/>
  <c r="HD57" i="13"/>
  <c r="HF57" i="13" s="1"/>
  <c r="HG57" i="13" s="1"/>
  <c r="HT57" i="13"/>
  <c r="HV57" i="13" s="1"/>
  <c r="HW57" i="13" s="1"/>
  <c r="IB57" i="13"/>
  <c r="ID57" i="13" s="1"/>
  <c r="IE57" i="13" s="1"/>
  <c r="FP130" i="13"/>
  <c r="FK130" i="13"/>
  <c r="JA89" i="13"/>
  <c r="JF89" i="13" s="1"/>
  <c r="JH89" i="13" s="1"/>
  <c r="IR68" i="13"/>
  <c r="IX68" i="13" s="1"/>
  <c r="IW68" i="13"/>
  <c r="NC144" i="13"/>
  <c r="IY144" i="13"/>
  <c r="IA48" i="13"/>
  <c r="NT48" i="13"/>
  <c r="NM48" i="13"/>
  <c r="IR183" i="13"/>
  <c r="IX183" i="13" s="1"/>
  <c r="IW183" i="13"/>
  <c r="FP115" i="13"/>
  <c r="FK115" i="13"/>
  <c r="FQ115" i="13" s="1"/>
  <c r="MV166" i="13"/>
  <c r="MU166" i="13"/>
  <c r="GQ166" i="13" s="1"/>
  <c r="GS166" i="13" s="1"/>
  <c r="GU166" i="13" s="1"/>
  <c r="MT166" i="13"/>
  <c r="GC166" i="13"/>
  <c r="GE166" i="13" s="1"/>
  <c r="AX73" i="13"/>
  <c r="AW73" i="13" s="1"/>
  <c r="GF182" i="13"/>
  <c r="GO182" i="13"/>
  <c r="NC78" i="13"/>
  <c r="IY78" i="13"/>
  <c r="FP118" i="13"/>
  <c r="FK118" i="13"/>
  <c r="FQ118" i="13" s="1"/>
  <c r="MV135" i="13"/>
  <c r="MT135" i="13"/>
  <c r="MU135" i="13"/>
  <c r="GQ135" i="13" s="1"/>
  <c r="GS135" i="13" s="1"/>
  <c r="GU135" i="13" s="1"/>
  <c r="GC135" i="13"/>
  <c r="GE135" i="13" s="1"/>
  <c r="IR44" i="13"/>
  <c r="IX44" i="13" s="1"/>
  <c r="IW44" i="13"/>
  <c r="IR12" i="13"/>
  <c r="IX12" i="13" s="1"/>
  <c r="IW12" i="13"/>
  <c r="FP68" i="13"/>
  <c r="FK68" i="13"/>
  <c r="E160" i="13"/>
  <c r="HH160" i="13"/>
  <c r="HJ160" i="13" s="1"/>
  <c r="HK160" i="13" s="1"/>
  <c r="HP160" i="13"/>
  <c r="HR160" i="13" s="1"/>
  <c r="GZ160" i="13"/>
  <c r="HB160" i="13" s="1"/>
  <c r="HC160" i="13" s="1"/>
  <c r="HX160" i="13"/>
  <c r="HZ160" i="13" s="1"/>
  <c r="NM80" i="13"/>
  <c r="IA80" i="13"/>
  <c r="NN80" i="13" s="1"/>
  <c r="NT80" i="13"/>
  <c r="HS42" i="13"/>
  <c r="NL42" i="13" s="1"/>
  <c r="NK42" i="13"/>
  <c r="NY42" i="13"/>
  <c r="NS42" i="13"/>
  <c r="MW141" i="13"/>
  <c r="GV141" i="13"/>
  <c r="GX141" i="13" s="1"/>
  <c r="GY141" i="13" s="1"/>
  <c r="FP112" i="13"/>
  <c r="FK112" i="13"/>
  <c r="FQ112" i="13" s="1"/>
  <c r="IW184" i="13"/>
  <c r="IR184" i="13"/>
  <c r="IX184" i="13" s="1"/>
  <c r="E105" i="13"/>
  <c r="GZ105" i="13"/>
  <c r="HB105" i="13" s="1"/>
  <c r="HC105" i="13" s="1"/>
  <c r="HH105" i="13"/>
  <c r="HJ105" i="13" s="1"/>
  <c r="HK105" i="13" s="1"/>
  <c r="HP105" i="13"/>
  <c r="HR105" i="13" s="1"/>
  <c r="HX105" i="13"/>
  <c r="HZ105" i="13" s="1"/>
  <c r="GF193" i="13"/>
  <c r="GO193" i="13"/>
  <c r="JA21" i="13"/>
  <c r="ND21" i="13"/>
  <c r="NE21" i="13" s="1"/>
  <c r="JA58" i="13"/>
  <c r="JF58" i="13" s="1"/>
  <c r="JH58" i="13" s="1"/>
  <c r="JA87" i="13"/>
  <c r="JF87" i="13" s="1"/>
  <c r="JH87" i="13" s="1"/>
  <c r="MU205" i="13"/>
  <c r="GQ205" i="13" s="1"/>
  <c r="GS205" i="13" s="1"/>
  <c r="GU205" i="13" s="1"/>
  <c r="MV205" i="13"/>
  <c r="MT205" i="13"/>
  <c r="GC205" i="13"/>
  <c r="GE205" i="13" s="1"/>
  <c r="GP163" i="13"/>
  <c r="NN163" i="13"/>
  <c r="IW170" i="13"/>
  <c r="IR170" i="13"/>
  <c r="IX170" i="13" s="1"/>
  <c r="JA118" i="13"/>
  <c r="JF118" i="13" s="1"/>
  <c r="JH118" i="13" s="1"/>
  <c r="MW65" i="13"/>
  <c r="GV65" i="13"/>
  <c r="GX65" i="13" s="1"/>
  <c r="GY65" i="13" s="1"/>
  <c r="NC88" i="13"/>
  <c r="IY88" i="13"/>
  <c r="MV22" i="13"/>
  <c r="MU22" i="13"/>
  <c r="GQ22" i="13" s="1"/>
  <c r="GS22" i="13" s="1"/>
  <c r="GU22" i="13" s="1"/>
  <c r="MT22" i="13"/>
  <c r="IA50" i="13"/>
  <c r="NN50" i="13" s="1"/>
  <c r="NT50" i="13"/>
  <c r="NM50" i="13"/>
  <c r="FP132" i="13"/>
  <c r="FK132" i="13"/>
  <c r="FP12" i="13"/>
  <c r="FK12" i="13"/>
  <c r="BZ66" i="13"/>
  <c r="BY66" i="13" s="1"/>
  <c r="BZ53" i="13"/>
  <c r="BY53" i="13" s="1"/>
  <c r="IW95" i="13"/>
  <c r="IR95" i="13"/>
  <c r="IX95" i="13" s="1"/>
  <c r="MR30" i="13"/>
  <c r="MS30" i="13" s="1"/>
  <c r="IW56" i="13"/>
  <c r="IR56" i="13"/>
  <c r="IX56" i="13" s="1"/>
  <c r="ND26" i="13"/>
  <c r="NE26" i="13" s="1"/>
  <c r="JA26" i="13"/>
  <c r="GP57" i="13"/>
  <c r="NN57" i="13"/>
  <c r="NL57" i="13"/>
  <c r="MV77" i="13"/>
  <c r="MU77" i="13"/>
  <c r="GQ77" i="13" s="1"/>
  <c r="GS77" i="13" s="1"/>
  <c r="GU77" i="13" s="1"/>
  <c r="MT77" i="13"/>
  <c r="GC77" i="13"/>
  <c r="GE77" i="13" s="1"/>
  <c r="IB204" i="13"/>
  <c r="ID204" i="13" s="1"/>
  <c r="IE204" i="13" s="1"/>
  <c r="BZ204" i="13" s="1"/>
  <c r="BY204" i="13" s="1"/>
  <c r="HD204" i="13"/>
  <c r="HF204" i="13" s="1"/>
  <c r="HG204" i="13" s="1"/>
  <c r="HT204" i="13"/>
  <c r="HV204" i="13" s="1"/>
  <c r="HW204" i="13" s="1"/>
  <c r="BC204" i="13" s="1"/>
  <c r="BB204" i="13" s="1"/>
  <c r="BA204" i="13" s="1"/>
  <c r="AZ204" i="13" s="1"/>
  <c r="AY204" i="13" s="1"/>
  <c r="HL204" i="13"/>
  <c r="HN204" i="13" s="1"/>
  <c r="HO204" i="13" s="1"/>
  <c r="BH204" i="13" s="1"/>
  <c r="BG204" i="13" s="1"/>
  <c r="BF204" i="13" s="1"/>
  <c r="BE204" i="13" s="1"/>
  <c r="BD204" i="13" s="1"/>
  <c r="FP20" i="13"/>
  <c r="FK20" i="13"/>
  <c r="JA94" i="13"/>
  <c r="JF94" i="13" s="1"/>
  <c r="JH94" i="13" s="1"/>
  <c r="FP183" i="13"/>
  <c r="FK183" i="13"/>
  <c r="NY66" i="13"/>
  <c r="NS66" i="13"/>
  <c r="HS66" i="13"/>
  <c r="NL66" i="13" s="1"/>
  <c r="NK66" i="13"/>
  <c r="JA115" i="13"/>
  <c r="JF115" i="13" s="1"/>
  <c r="JH115" i="13" s="1"/>
  <c r="MW64" i="13"/>
  <c r="GV64" i="13"/>
  <c r="GX64" i="13" s="1"/>
  <c r="GY64" i="13" s="1"/>
  <c r="NC110" i="13"/>
  <c r="IY110" i="13"/>
  <c r="GF74" i="13"/>
  <c r="GO74" i="13"/>
  <c r="GF129" i="13"/>
  <c r="GP129" i="13" s="1"/>
  <c r="GO129" i="13"/>
  <c r="IW104" i="13"/>
  <c r="IR104" i="13"/>
  <c r="IX104" i="13" s="1"/>
  <c r="FP180" i="13"/>
  <c r="FK180" i="13"/>
  <c r="MS47" i="13"/>
  <c r="MR4" i="13"/>
  <c r="MS4" i="13" s="1"/>
  <c r="GF203" i="13"/>
  <c r="GO203" i="13"/>
  <c r="BH213" i="13"/>
  <c r="BG213" i="13" s="1"/>
  <c r="BF213" i="13" s="1"/>
  <c r="BE213" i="13" s="1"/>
  <c r="BD213" i="13" s="1"/>
  <c r="IR144" i="13"/>
  <c r="IX144" i="13" s="1"/>
  <c r="IW144" i="13"/>
  <c r="MR130" i="13"/>
  <c r="MS130" i="13" s="1"/>
  <c r="MR120" i="13"/>
  <c r="MS120" i="13" s="1"/>
  <c r="MR167" i="13"/>
  <c r="MS167" i="13" s="1"/>
  <c r="E24" i="13"/>
  <c r="HX24" i="13"/>
  <c r="HZ24" i="13" s="1"/>
  <c r="GZ24" i="13"/>
  <c r="HB24" i="13" s="1"/>
  <c r="HC24" i="13" s="1"/>
  <c r="HH24" i="13"/>
  <c r="HJ24" i="13" s="1"/>
  <c r="HK24" i="13" s="1"/>
  <c r="BU24" i="13" s="1"/>
  <c r="BT24" i="13" s="1"/>
  <c r="HP24" i="13"/>
  <c r="HR24" i="13" s="1"/>
  <c r="FQ177" i="13"/>
  <c r="GF145" i="13"/>
  <c r="GO145" i="13"/>
  <c r="JA38" i="13"/>
  <c r="JF38" i="13" s="1"/>
  <c r="JH38" i="13" s="1"/>
  <c r="BC73" i="13"/>
  <c r="BB73" i="13" s="1"/>
  <c r="BA73" i="13" s="1"/>
  <c r="AZ73" i="13" s="1"/>
  <c r="AY73" i="13" s="1"/>
  <c r="GF131" i="13"/>
  <c r="GO131" i="13"/>
  <c r="E182" i="13"/>
  <c r="HH182" i="13"/>
  <c r="HJ182" i="13" s="1"/>
  <c r="HK182" i="13" s="1"/>
  <c r="HP182" i="13"/>
  <c r="HR182" i="13" s="1"/>
  <c r="HX182" i="13"/>
  <c r="HZ182" i="13" s="1"/>
  <c r="GZ182" i="13"/>
  <c r="HB182" i="13" s="1"/>
  <c r="HC182" i="13" s="1"/>
  <c r="IW78" i="13"/>
  <c r="IR78" i="13"/>
  <c r="IX78" i="13" s="1"/>
  <c r="NN192" i="13"/>
  <c r="E153" i="13"/>
  <c r="HX153" i="13"/>
  <c r="HZ153" i="13" s="1"/>
  <c r="GZ153" i="13"/>
  <c r="HB153" i="13" s="1"/>
  <c r="HC153" i="13" s="1"/>
  <c r="HH153" i="13"/>
  <c r="HJ153" i="13" s="1"/>
  <c r="HK153" i="13" s="1"/>
  <c r="HP153" i="13"/>
  <c r="HR153" i="13" s="1"/>
  <c r="MR102" i="13"/>
  <c r="MS102" i="13" s="1"/>
  <c r="HS80" i="13"/>
  <c r="NL80" i="13" s="1"/>
  <c r="NK80" i="13"/>
  <c r="NY80" i="13"/>
  <c r="NS80" i="13"/>
  <c r="NM42" i="13"/>
  <c r="IA42" i="13"/>
  <c r="NN42" i="13" s="1"/>
  <c r="NT42" i="13"/>
  <c r="NM37" i="13"/>
  <c r="IA37" i="13"/>
  <c r="NN37" i="13" s="1"/>
  <c r="NT37" i="13"/>
  <c r="NC187" i="13"/>
  <c r="IY187" i="13"/>
  <c r="IA174" i="13"/>
  <c r="NN174" i="13" s="1"/>
  <c r="NT174" i="13"/>
  <c r="NM174" i="13"/>
  <c r="ND147" i="13"/>
  <c r="NE147" i="13" s="1"/>
  <c r="JA175" i="13"/>
  <c r="JF175" i="13" s="1"/>
  <c r="JH175" i="13" s="1"/>
  <c r="MW193" i="13"/>
  <c r="GV193" i="13"/>
  <c r="GX193" i="13" s="1"/>
  <c r="GY193" i="13" s="1"/>
  <c r="JA50" i="13"/>
  <c r="JF50" i="13" s="1"/>
  <c r="JH50" i="13" s="1"/>
  <c r="HD21" i="13"/>
  <c r="HF21" i="13" s="1"/>
  <c r="HG21" i="13" s="1"/>
  <c r="HL21" i="13"/>
  <c r="HN21" i="13" s="1"/>
  <c r="HO21" i="13" s="1"/>
  <c r="HT21" i="13"/>
  <c r="HV21" i="13" s="1"/>
  <c r="HW21" i="13" s="1"/>
  <c r="BC21" i="13" s="1"/>
  <c r="BB21" i="13" s="1"/>
  <c r="IB21" i="13"/>
  <c r="ID21" i="13" s="1"/>
  <c r="IE21" i="13" s="1"/>
  <c r="BZ21" i="13" s="1"/>
  <c r="BY21" i="13" s="1"/>
  <c r="MR99" i="13"/>
  <c r="MS99" i="13" s="1"/>
  <c r="JA48" i="13"/>
  <c r="JF48" i="13" s="1"/>
  <c r="JH48" i="13" s="1"/>
  <c r="MR178" i="13"/>
  <c r="MS178" i="13" s="1"/>
  <c r="IR88" i="13"/>
  <c r="IX88" i="13" s="1"/>
  <c r="IW88" i="13"/>
  <c r="MR107" i="13"/>
  <c r="MS107" i="13" s="1"/>
  <c r="IB25" i="13"/>
  <c r="ID25" i="13" s="1"/>
  <c r="IE25" i="13" s="1"/>
  <c r="BZ25" i="13" s="1"/>
  <c r="BY25" i="13" s="1"/>
  <c r="HT25" i="13"/>
  <c r="HV25" i="13" s="1"/>
  <c r="HW25" i="13" s="1"/>
  <c r="BC25" i="13" s="1"/>
  <c r="BB25" i="13" s="1"/>
  <c r="BA25" i="13" s="1"/>
  <c r="AZ25" i="13" s="1"/>
  <c r="AY25" i="13" s="1"/>
  <c r="HL25" i="13"/>
  <c r="HN25" i="13" s="1"/>
  <c r="HO25" i="13" s="1"/>
  <c r="HD25" i="13"/>
  <c r="HF25" i="13" s="1"/>
  <c r="HG25" i="13" s="1"/>
  <c r="FP30" i="13"/>
  <c r="FK30" i="13"/>
  <c r="AX35" i="13"/>
  <c r="AW35" i="13" s="1"/>
  <c r="BH66" i="13"/>
  <c r="BG66" i="13" s="1"/>
  <c r="BF66" i="13" s="1"/>
  <c r="BE66" i="13" s="1"/>
  <c r="BD66" i="13" s="1"/>
  <c r="MR136" i="13"/>
  <c r="MS136" i="13" s="1"/>
  <c r="CR25" i="13"/>
  <c r="CQ25" i="13" s="1"/>
  <c r="MR186" i="13"/>
  <c r="MS186" i="13" s="1"/>
  <c r="FP146" i="13"/>
  <c r="FK146" i="13"/>
  <c r="NS71" i="13"/>
  <c r="HS71" i="13"/>
  <c r="NL71" i="13" s="1"/>
  <c r="NK71" i="13"/>
  <c r="NY71" i="13"/>
  <c r="JA189" i="13"/>
  <c r="JF189" i="13" s="1"/>
  <c r="JH189" i="13" s="1"/>
  <c r="MR61" i="13"/>
  <c r="MS61" i="13" s="1"/>
  <c r="JA54" i="13"/>
  <c r="JF54" i="13" s="1"/>
  <c r="JH54" i="13" s="1"/>
  <c r="NC136" i="13"/>
  <c r="IY136" i="13"/>
  <c r="ND164" i="13"/>
  <c r="NE164" i="13" s="1"/>
  <c r="JA164" i="13"/>
  <c r="JF164" i="13" s="1"/>
  <c r="JH164" i="13" s="1"/>
  <c r="IA73" i="13"/>
  <c r="NN73" i="13" s="1"/>
  <c r="NT73" i="13"/>
  <c r="NM73" i="13"/>
  <c r="JA122" i="13"/>
  <c r="JF122" i="13" s="1"/>
  <c r="JH122" i="13" s="1"/>
  <c r="ND194" i="13"/>
  <c r="NE194" i="13" s="1"/>
  <c r="JA194" i="13"/>
  <c r="JF194" i="13" s="1"/>
  <c r="JH194" i="13" s="1"/>
  <c r="IR110" i="13"/>
  <c r="IX110" i="13" s="1"/>
  <c r="IW110" i="13"/>
  <c r="MV187" i="13"/>
  <c r="MU187" i="13"/>
  <c r="GQ187" i="13" s="1"/>
  <c r="GS187" i="13" s="1"/>
  <c r="GU187" i="13" s="1"/>
  <c r="MT187" i="13"/>
  <c r="GC187" i="13"/>
  <c r="GE187" i="13" s="1"/>
  <c r="FK191" i="13"/>
  <c r="FP191" i="13"/>
  <c r="MW203" i="13"/>
  <c r="GV203" i="13"/>
  <c r="GX203" i="13" s="1"/>
  <c r="GY203" i="13" s="1"/>
  <c r="FP69" i="13"/>
  <c r="FK69" i="13"/>
  <c r="FP170" i="13"/>
  <c r="FK170" i="13"/>
  <c r="MW24" i="13"/>
  <c r="GV24" i="13"/>
  <c r="GX24" i="13" s="1"/>
  <c r="GY24" i="13" s="1"/>
  <c r="FK86" i="13"/>
  <c r="FP86" i="13"/>
  <c r="MW145" i="13"/>
  <c r="GV145" i="13"/>
  <c r="GX145" i="13" s="1"/>
  <c r="GY145" i="13" s="1"/>
  <c r="BZ73" i="13"/>
  <c r="BY73" i="13" s="1"/>
  <c r="MW131" i="13"/>
  <c r="GV131" i="13"/>
  <c r="GX131" i="13" s="1"/>
  <c r="GY131" i="13" s="1"/>
  <c r="MW182" i="13"/>
  <c r="GV182" i="13"/>
  <c r="GX182" i="13" s="1"/>
  <c r="GY182" i="13" s="1"/>
  <c r="NC191" i="13"/>
  <c r="IY191" i="13"/>
  <c r="GF43" i="13"/>
  <c r="GO43" i="13"/>
  <c r="BS34" i="13"/>
  <c r="BR34" i="13" s="1"/>
  <c r="BQ34" i="13" s="1"/>
  <c r="BP192" i="13"/>
  <c r="BO192" i="13" s="1"/>
  <c r="CE192" i="13"/>
  <c r="CD192" i="13" s="1"/>
  <c r="BH192" i="13"/>
  <c r="BG192" i="13" s="1"/>
  <c r="BU192" i="13"/>
  <c r="BT192" i="13" s="1"/>
  <c r="BC192" i="13"/>
  <c r="BB192" i="13" s="1"/>
  <c r="AX192" i="13"/>
  <c r="AW192" i="13" s="1"/>
  <c r="MW153" i="13"/>
  <c r="GV153" i="13"/>
  <c r="GX153" i="13" s="1"/>
  <c r="GY153" i="13" s="1"/>
  <c r="MV68" i="13"/>
  <c r="MU68" i="13"/>
  <c r="GQ68" i="13" s="1"/>
  <c r="GS68" i="13" s="1"/>
  <c r="GU68" i="13" s="1"/>
  <c r="MT68" i="13"/>
  <c r="GC68" i="13"/>
  <c r="GE68" i="13" s="1"/>
  <c r="E141" i="13"/>
  <c r="GZ141" i="13"/>
  <c r="HB141" i="13" s="1"/>
  <c r="HC141" i="13" s="1"/>
  <c r="HP141" i="13"/>
  <c r="HR141" i="13" s="1"/>
  <c r="HH141" i="13"/>
  <c r="HJ141" i="13" s="1"/>
  <c r="HK141" i="13" s="1"/>
  <c r="HX141" i="13"/>
  <c r="HZ141" i="13" s="1"/>
  <c r="HS21" i="13"/>
  <c r="NK21" i="13"/>
  <c r="NY21" i="13"/>
  <c r="NS21" i="13"/>
  <c r="NC157" i="13"/>
  <c r="IY157" i="13"/>
  <c r="IR187" i="13"/>
  <c r="IX187" i="13" s="1"/>
  <c r="IW187" i="13"/>
  <c r="MV106" i="13"/>
  <c r="MU106" i="13"/>
  <c r="GQ106" i="13" s="1"/>
  <c r="GS106" i="13" s="1"/>
  <c r="GU106" i="13" s="1"/>
  <c r="MT106" i="13"/>
  <c r="GC106" i="13"/>
  <c r="GE106" i="13" s="1"/>
  <c r="ND135" i="13"/>
  <c r="NE135" i="13" s="1"/>
  <c r="JA135" i="13"/>
  <c r="JF135" i="13" s="1"/>
  <c r="JH135" i="13" s="1"/>
  <c r="JJ147" i="13"/>
  <c r="JI147" i="13"/>
  <c r="JA214" i="13"/>
  <c r="JF214" i="13" s="1"/>
  <c r="JH214" i="13" s="1"/>
  <c r="MT97" i="13"/>
  <c r="MU97" i="13"/>
  <c r="GQ97" i="13" s="1"/>
  <c r="GS97" i="13" s="1"/>
  <c r="GU97" i="13" s="1"/>
  <c r="MV97" i="13"/>
  <c r="GC97" i="13"/>
  <c r="GE97" i="13" s="1"/>
  <c r="JA159" i="13"/>
  <c r="JF159" i="13" s="1"/>
  <c r="JH159" i="13" s="1"/>
  <c r="NC120" i="13"/>
  <c r="IY120" i="13"/>
  <c r="NC70" i="13"/>
  <c r="IY70" i="13"/>
  <c r="MV56" i="13"/>
  <c r="MU56" i="13"/>
  <c r="GQ56" i="13" s="1"/>
  <c r="GS56" i="13" s="1"/>
  <c r="GU56" i="13" s="1"/>
  <c r="MT56" i="13"/>
  <c r="GC56" i="13"/>
  <c r="GE56" i="13" s="1"/>
  <c r="FP147" i="13"/>
  <c r="FK147" i="13"/>
  <c r="FQ147" i="13" s="1"/>
  <c r="E65" i="13"/>
  <c r="HP65" i="13"/>
  <c r="HR65" i="13" s="1"/>
  <c r="HH65" i="13"/>
  <c r="HJ65" i="13" s="1"/>
  <c r="HK65" i="13" s="1"/>
  <c r="GZ65" i="13"/>
  <c r="HB65" i="13" s="1"/>
  <c r="HC65" i="13" s="1"/>
  <c r="HX65" i="13"/>
  <c r="HZ65" i="13" s="1"/>
  <c r="NC205" i="13"/>
  <c r="IY205" i="13"/>
  <c r="JA98" i="13"/>
  <c r="JF98" i="13" s="1"/>
  <c r="JH98" i="13" s="1"/>
  <c r="NC69" i="13"/>
  <c r="IY69" i="13"/>
  <c r="GP98" i="13"/>
  <c r="NN98" i="13"/>
  <c r="NC169" i="13"/>
  <c r="IY169" i="13"/>
  <c r="NL213" i="13"/>
  <c r="NC96" i="13"/>
  <c r="IY96" i="13"/>
  <c r="FQ89" i="13"/>
  <c r="BS35" i="13"/>
  <c r="BR35" i="13" s="1"/>
  <c r="BQ35" i="13" s="1"/>
  <c r="AS66" i="13"/>
  <c r="AR66" i="13" s="1"/>
  <c r="AQ66" i="13" s="1"/>
  <c r="AP66" i="13" s="1"/>
  <c r="AO66" i="13" s="1"/>
  <c r="AL66" i="13" s="1"/>
  <c r="NC108" i="13"/>
  <c r="IY108" i="13"/>
  <c r="IA66" i="13"/>
  <c r="BP66" i="13" s="1"/>
  <c r="BO66" i="13" s="1"/>
  <c r="BN66" i="13" s="1"/>
  <c r="BM66" i="13" s="1"/>
  <c r="BL66" i="13" s="1"/>
  <c r="NT66" i="13"/>
  <c r="NM66" i="13"/>
  <c r="BS66" i="13" s="1"/>
  <c r="BR66" i="13" s="1"/>
  <c r="BQ66" i="13" s="1"/>
  <c r="E64" i="13"/>
  <c r="HP64" i="13"/>
  <c r="HR64" i="13" s="1"/>
  <c r="GZ64" i="13"/>
  <c r="HB64" i="13" s="1"/>
  <c r="HC64" i="13" s="1"/>
  <c r="HH64" i="13"/>
  <c r="HJ64" i="13" s="1"/>
  <c r="HK64" i="13" s="1"/>
  <c r="HX64" i="13"/>
  <c r="HZ64" i="13" s="1"/>
  <c r="MR125" i="13"/>
  <c r="MS125" i="13" s="1"/>
  <c r="E74" i="13"/>
  <c r="GZ74" i="13"/>
  <c r="HB74" i="13" s="1"/>
  <c r="HC74" i="13" s="1"/>
  <c r="HP74" i="13"/>
  <c r="HR74" i="13" s="1"/>
  <c r="HH74" i="13"/>
  <c r="HJ74" i="13" s="1"/>
  <c r="HK74" i="13" s="1"/>
  <c r="HX74" i="13"/>
  <c r="HZ74" i="13" s="1"/>
  <c r="MW129" i="13"/>
  <c r="GV129" i="13"/>
  <c r="GX129" i="13" s="1"/>
  <c r="GY129" i="13" s="1"/>
  <c r="ND51" i="13"/>
  <c r="NE51" i="13" s="1"/>
  <c r="MR126" i="13"/>
  <c r="MS126" i="13" s="1"/>
  <c r="GF128" i="13"/>
  <c r="GO128" i="13"/>
  <c r="MR121" i="13"/>
  <c r="MS121" i="13" s="1"/>
  <c r="MR191" i="13"/>
  <c r="MS191" i="13" s="1"/>
  <c r="NC109" i="13"/>
  <c r="IY109" i="13"/>
  <c r="MU75" i="13"/>
  <c r="GQ75" i="13" s="1"/>
  <c r="GS75" i="13" s="1"/>
  <c r="GU75" i="13" s="1"/>
  <c r="MT75" i="13"/>
  <c r="MV75" i="13"/>
  <c r="GC75" i="13"/>
  <c r="GE75" i="13" s="1"/>
  <c r="NM53" i="13"/>
  <c r="IA53" i="13"/>
  <c r="NN53" i="13" s="1"/>
  <c r="NT53" i="13"/>
  <c r="MR69" i="13"/>
  <c r="MS69" i="13" s="1"/>
  <c r="MV196" i="13"/>
  <c r="MU196" i="13"/>
  <c r="GQ196" i="13" s="1"/>
  <c r="GS196" i="13" s="1"/>
  <c r="GU196" i="13" s="1"/>
  <c r="MT196" i="13"/>
  <c r="GC196" i="13"/>
  <c r="GE196" i="13" s="1"/>
  <c r="BH73" i="13"/>
  <c r="BG73" i="13" s="1"/>
  <c r="BF73" i="13" s="1"/>
  <c r="BE73" i="13" s="1"/>
  <c r="BD73" i="13" s="1"/>
  <c r="JJ127" i="13"/>
  <c r="JI127" i="13"/>
  <c r="IW191" i="13"/>
  <c r="IR191" i="13"/>
  <c r="IX191" i="13" s="1"/>
  <c r="MW43" i="13"/>
  <c r="GV43" i="13"/>
  <c r="GX43" i="13" s="1"/>
  <c r="GY43" i="13" s="1"/>
  <c r="AV34" i="13"/>
  <c r="AU34" i="13" s="1"/>
  <c r="AT34" i="13" s="1"/>
  <c r="NC133" i="13"/>
  <c r="IY133" i="13"/>
  <c r="IA33" i="13"/>
  <c r="NT33" i="13"/>
  <c r="NM33" i="13"/>
  <c r="BS33" i="13" s="1"/>
  <c r="BR33" i="13" s="1"/>
  <c r="BQ33" i="13" s="1"/>
  <c r="HD48" i="13"/>
  <c r="HF48" i="13" s="1"/>
  <c r="HG48" i="13" s="1"/>
  <c r="HT48" i="13"/>
  <c r="HV48" i="13" s="1"/>
  <c r="HW48" i="13" s="1"/>
  <c r="IB48" i="13"/>
  <c r="ID48" i="13" s="1"/>
  <c r="IE48" i="13" s="1"/>
  <c r="HL48" i="13"/>
  <c r="HN48" i="13" s="1"/>
  <c r="HO48" i="13" s="1"/>
  <c r="JA37" i="13"/>
  <c r="JF37" i="13" s="1"/>
  <c r="JH37" i="13" s="1"/>
  <c r="NC168" i="13"/>
  <c r="IY168" i="13"/>
  <c r="NC188" i="13"/>
  <c r="IY188" i="13"/>
  <c r="NM21" i="13"/>
  <c r="BS21" i="13" s="1"/>
  <c r="BR21" i="13" s="1"/>
  <c r="BQ21" i="13" s="1"/>
  <c r="IA21" i="13"/>
  <c r="NT21" i="13"/>
  <c r="IW157" i="13"/>
  <c r="IR157" i="13"/>
  <c r="IX157" i="13" s="1"/>
  <c r="BC60" i="13"/>
  <c r="BB60" i="13" s="1"/>
  <c r="BA60" i="13" s="1"/>
  <c r="AZ60" i="13" s="1"/>
  <c r="AY60" i="13" s="1"/>
  <c r="BZ198" i="13"/>
  <c r="BY198" i="13" s="1"/>
  <c r="BU198" i="13"/>
  <c r="BT198" i="13" s="1"/>
  <c r="AX198" i="13"/>
  <c r="AW198" i="13" s="1"/>
  <c r="BP204" i="13"/>
  <c r="BO204" i="13" s="1"/>
  <c r="BN204" i="13" s="1"/>
  <c r="BM204" i="13" s="1"/>
  <c r="BL204" i="13" s="1"/>
  <c r="E193" i="13"/>
  <c r="HP193" i="13"/>
  <c r="HR193" i="13" s="1"/>
  <c r="HH193" i="13"/>
  <c r="HJ193" i="13" s="1"/>
  <c r="HK193" i="13" s="1"/>
  <c r="GZ193" i="13"/>
  <c r="HB193" i="13" s="1"/>
  <c r="HC193" i="13" s="1"/>
  <c r="HX193" i="13"/>
  <c r="HZ193" i="13" s="1"/>
  <c r="JA137" i="13"/>
  <c r="JF137" i="13" s="1"/>
  <c r="JH137" i="13" s="1"/>
  <c r="IW120" i="13"/>
  <c r="IR120" i="13"/>
  <c r="IX120" i="13" s="1"/>
  <c r="IW70" i="13"/>
  <c r="IR70" i="13"/>
  <c r="IX70" i="13" s="1"/>
  <c r="MR111" i="13"/>
  <c r="MS111" i="13" s="1"/>
  <c r="NC102" i="13"/>
  <c r="IY102" i="13"/>
  <c r="IR205" i="13"/>
  <c r="IX205" i="13" s="1"/>
  <c r="IW205" i="13"/>
  <c r="IR69" i="13"/>
  <c r="IX69" i="13" s="1"/>
  <c r="IW69" i="13"/>
  <c r="IW169" i="13"/>
  <c r="IR169" i="13"/>
  <c r="IX169" i="13" s="1"/>
  <c r="HT194" i="13"/>
  <c r="HV194" i="13" s="1"/>
  <c r="HW194" i="13" s="1"/>
  <c r="BC194" i="13" s="1"/>
  <c r="BB194" i="13" s="1"/>
  <c r="BA194" i="13" s="1"/>
  <c r="AZ194" i="13" s="1"/>
  <c r="AY194" i="13" s="1"/>
  <c r="HL194" i="13"/>
  <c r="HN194" i="13" s="1"/>
  <c r="HO194" i="13" s="1"/>
  <c r="CE194" i="13" s="1"/>
  <c r="CD194" i="13" s="1"/>
  <c r="HD194" i="13"/>
  <c r="HF194" i="13" s="1"/>
  <c r="HG194" i="13" s="1"/>
  <c r="IB194" i="13"/>
  <c r="ID194" i="13" s="1"/>
  <c r="IE194" i="13" s="1"/>
  <c r="BZ194" i="13" s="1"/>
  <c r="BY194" i="13" s="1"/>
  <c r="IW96" i="13"/>
  <c r="IR96" i="13"/>
  <c r="IX96" i="13" s="1"/>
  <c r="FP186" i="13"/>
  <c r="FK186" i="13"/>
  <c r="BC35" i="13"/>
  <c r="BB35" i="13" s="1"/>
  <c r="BA35" i="13" s="1"/>
  <c r="AZ35" i="13" s="1"/>
  <c r="AY35" i="13" s="1"/>
  <c r="CE66" i="13"/>
  <c r="CD66" i="13" s="1"/>
  <c r="MR138" i="13"/>
  <c r="MS138" i="13" s="1"/>
  <c r="MR181" i="13"/>
  <c r="MS181" i="13" s="1"/>
  <c r="IR108" i="13"/>
  <c r="IX108" i="13" s="1"/>
  <c r="IW108" i="13"/>
  <c r="FQ90" i="13"/>
  <c r="IA71" i="13"/>
  <c r="NN71" i="13" s="1"/>
  <c r="NT71" i="13"/>
  <c r="NM71" i="13"/>
  <c r="FP168" i="13"/>
  <c r="FK168" i="13"/>
  <c r="FP18" i="13"/>
  <c r="FK18" i="13"/>
  <c r="JA154" i="13"/>
  <c r="JF154" i="13" s="1"/>
  <c r="JH154" i="13" s="1"/>
  <c r="MW176" i="13"/>
  <c r="GV176" i="13"/>
  <c r="GX176" i="13" s="1"/>
  <c r="GY176" i="13" s="1"/>
  <c r="E52" i="13"/>
  <c r="HP52" i="13"/>
  <c r="HR52" i="13" s="1"/>
  <c r="HH52" i="13"/>
  <c r="HJ52" i="13" s="1"/>
  <c r="HK52" i="13" s="1"/>
  <c r="GZ52" i="13"/>
  <c r="HB52" i="13" s="1"/>
  <c r="HC52" i="13" s="1"/>
  <c r="HX52" i="13"/>
  <c r="HZ52" i="13" s="1"/>
  <c r="MV83" i="13"/>
  <c r="MU83" i="13"/>
  <c r="GQ83" i="13" s="1"/>
  <c r="GS83" i="13" s="1"/>
  <c r="GU83" i="13" s="1"/>
  <c r="MT83" i="13"/>
  <c r="GC83" i="13"/>
  <c r="GE83" i="13" s="1"/>
  <c r="FP103" i="13"/>
  <c r="FK103" i="13"/>
  <c r="MU209" i="13"/>
  <c r="GQ209" i="13" s="1"/>
  <c r="GS209" i="13" s="1"/>
  <c r="GU209" i="13" s="1"/>
  <c r="MV209" i="13"/>
  <c r="MT209" i="13"/>
  <c r="GC209" i="13"/>
  <c r="GE209" i="13" s="1"/>
  <c r="NY192" i="13"/>
  <c r="NK192" i="13"/>
  <c r="NS192" i="13"/>
  <c r="HS192" i="13"/>
  <c r="NL192" i="13" s="1"/>
  <c r="GF176" i="13"/>
  <c r="GO176" i="13"/>
  <c r="JA213" i="13"/>
  <c r="JF213" i="13" s="1"/>
  <c r="JH213" i="13" s="1"/>
  <c r="FK187" i="13"/>
  <c r="FP187" i="13"/>
  <c r="FP113" i="13"/>
  <c r="FK113" i="13"/>
  <c r="FQ113" i="13" s="1"/>
  <c r="ND155" i="13"/>
  <c r="NE155" i="13" s="1"/>
  <c r="MW74" i="13"/>
  <c r="GV74" i="13"/>
  <c r="GX74" i="13" s="1"/>
  <c r="GY74" i="13" s="1"/>
  <c r="E129" i="13"/>
  <c r="HH129" i="13"/>
  <c r="HJ129" i="13" s="1"/>
  <c r="HK129" i="13" s="1"/>
  <c r="HP129" i="13"/>
  <c r="HR129" i="13" s="1"/>
  <c r="HX129" i="13"/>
  <c r="HZ129" i="13" s="1"/>
  <c r="GZ129" i="13"/>
  <c r="HB129" i="13" s="1"/>
  <c r="HC129" i="13" s="1"/>
  <c r="JA153" i="13"/>
  <c r="JF153" i="13" s="1"/>
  <c r="JH153" i="13" s="1"/>
  <c r="MV137" i="13"/>
  <c r="MU137" i="13"/>
  <c r="GQ137" i="13" s="1"/>
  <c r="GS137" i="13" s="1"/>
  <c r="GU137" i="13" s="1"/>
  <c r="MT137" i="13"/>
  <c r="GC137" i="13"/>
  <c r="GE137" i="13" s="1"/>
  <c r="JJ51" i="13"/>
  <c r="JI51" i="13"/>
  <c r="E128" i="13"/>
  <c r="GZ128" i="13"/>
  <c r="HB128" i="13" s="1"/>
  <c r="HC128" i="13" s="1"/>
  <c r="HH128" i="13"/>
  <c r="HJ128" i="13" s="1"/>
  <c r="HK128" i="13" s="1"/>
  <c r="HP128" i="13"/>
  <c r="HR128" i="13" s="1"/>
  <c r="HX128" i="13"/>
  <c r="HZ128" i="13" s="1"/>
  <c r="E203" i="13"/>
  <c r="HX203" i="13"/>
  <c r="HZ203" i="13" s="1"/>
  <c r="GZ203" i="13"/>
  <c r="HB203" i="13" s="1"/>
  <c r="HC203" i="13" s="1"/>
  <c r="HH203" i="13"/>
  <c r="HJ203" i="13" s="1"/>
  <c r="HK203" i="13" s="1"/>
  <c r="HP203" i="13"/>
  <c r="HR203" i="13" s="1"/>
  <c r="GF84" i="13"/>
  <c r="GO84" i="13"/>
  <c r="FP45" i="13"/>
  <c r="FK45" i="13"/>
  <c r="MT152" i="13"/>
  <c r="MV152" i="13"/>
  <c r="MU152" i="13"/>
  <c r="GQ152" i="13" s="1"/>
  <c r="GS152" i="13" s="1"/>
  <c r="GU152" i="13" s="1"/>
  <c r="GC152" i="13"/>
  <c r="GE152" i="13" s="1"/>
  <c r="IR109" i="13"/>
  <c r="IX109" i="13" s="1"/>
  <c r="IW109" i="13"/>
  <c r="NK53" i="13"/>
  <c r="NY53" i="13"/>
  <c r="NS53" i="13"/>
  <c r="HS53" i="13"/>
  <c r="NL53" i="13" s="1"/>
  <c r="E145" i="13"/>
  <c r="HX145" i="13"/>
  <c r="HZ145" i="13" s="1"/>
  <c r="HP145" i="13"/>
  <c r="HR145" i="13" s="1"/>
  <c r="GZ145" i="13"/>
  <c r="HB145" i="13" s="1"/>
  <c r="HC145" i="13" s="1"/>
  <c r="HH145" i="13"/>
  <c r="HJ145" i="13" s="1"/>
  <c r="HK145" i="13" s="1"/>
  <c r="FP135" i="13"/>
  <c r="FK135" i="13"/>
  <c r="FQ135" i="13" s="1"/>
  <c r="NH127" i="13"/>
  <c r="NG127" i="13"/>
  <c r="KH127" i="13" s="1"/>
  <c r="KJ127" i="13" s="1"/>
  <c r="KK127" i="13" s="1"/>
  <c r="NF127" i="13"/>
  <c r="JL127" i="13"/>
  <c r="JN127" i="13" s="1"/>
  <c r="E131" i="13"/>
  <c r="HP131" i="13"/>
  <c r="HR131" i="13" s="1"/>
  <c r="HH131" i="13"/>
  <c r="HJ131" i="13" s="1"/>
  <c r="HK131" i="13" s="1"/>
  <c r="GZ131" i="13"/>
  <c r="HB131" i="13" s="1"/>
  <c r="HC131" i="13" s="1"/>
  <c r="HX131" i="13"/>
  <c r="HZ131" i="13" s="1"/>
  <c r="GF52" i="13"/>
  <c r="GO52" i="13"/>
  <c r="IW133" i="13"/>
  <c r="IR133" i="13"/>
  <c r="IX133" i="13" s="1"/>
  <c r="NY33" i="13"/>
  <c r="NS33" i="13"/>
  <c r="HS33" i="13"/>
  <c r="NK33" i="13"/>
  <c r="NK23" i="13"/>
  <c r="NY23" i="13"/>
  <c r="NS23" i="13"/>
  <c r="HS23" i="13"/>
  <c r="NC39" i="13"/>
  <c r="IY39" i="13"/>
  <c r="IW168" i="13"/>
  <c r="IR168" i="13"/>
  <c r="IX168" i="13" s="1"/>
  <c r="MV118" i="13"/>
  <c r="MU118" i="13"/>
  <c r="GQ118" i="13" s="1"/>
  <c r="GS118" i="13" s="1"/>
  <c r="GU118" i="13" s="1"/>
  <c r="MT118" i="13"/>
  <c r="GC118" i="13"/>
  <c r="GE118" i="13" s="1"/>
  <c r="NC20" i="13"/>
  <c r="IY20" i="13"/>
  <c r="FP55" i="13"/>
  <c r="FK55" i="13"/>
  <c r="GP48" i="13"/>
  <c r="NN48" i="13"/>
  <c r="NL48" i="13"/>
  <c r="IW188" i="13"/>
  <c r="IR188" i="13"/>
  <c r="IX188" i="13" s="1"/>
  <c r="FP114" i="13"/>
  <c r="FK114" i="13"/>
  <c r="FQ114" i="13" s="1"/>
  <c r="JA192" i="13"/>
  <c r="JF192" i="13" s="1"/>
  <c r="JH192" i="13" s="1"/>
  <c r="MV114" i="13"/>
  <c r="MT114" i="13"/>
  <c r="MU114" i="13"/>
  <c r="GQ114" i="13" s="1"/>
  <c r="GS114" i="13" s="1"/>
  <c r="GU114" i="13" s="1"/>
  <c r="GC114" i="13"/>
  <c r="GE114" i="13" s="1"/>
  <c r="JA161" i="13"/>
  <c r="JF161" i="13" s="1"/>
  <c r="JH161" i="13" s="1"/>
  <c r="FP77" i="13"/>
  <c r="FK77" i="13"/>
  <c r="IW102" i="13"/>
  <c r="IR102" i="13"/>
  <c r="IX102" i="13" s="1"/>
  <c r="MV39" i="13"/>
  <c r="MU39" i="13"/>
  <c r="GQ39" i="13" s="1"/>
  <c r="GS39" i="13" s="1"/>
  <c r="GU39" i="13" s="1"/>
  <c r="MT39" i="13"/>
  <c r="GC39" i="13"/>
  <c r="GE39" i="13" s="1"/>
  <c r="CR23" i="13"/>
  <c r="CQ23" i="13" s="1"/>
  <c r="NY164" i="13"/>
  <c r="NS164" i="13"/>
  <c r="HS164" i="13"/>
  <c r="NK164" i="13"/>
  <c r="GF201" i="13"/>
  <c r="GO201" i="13"/>
  <c r="GP173" i="13"/>
  <c r="NL173" i="13"/>
  <c r="NN173" i="13"/>
  <c r="FP184" i="13"/>
  <c r="FK184" i="13"/>
  <c r="CR34" i="13"/>
  <c r="CQ34" i="13" s="1"/>
  <c r="NC185" i="13"/>
  <c r="IY185" i="13"/>
  <c r="NL60" i="13"/>
  <c r="MV214" i="13"/>
  <c r="MU214" i="13"/>
  <c r="GQ214" i="13" s="1"/>
  <c r="GS214" i="13" s="1"/>
  <c r="GU214" i="13" s="1"/>
  <c r="MT214" i="13"/>
  <c r="GC214" i="13"/>
  <c r="GE214" i="13" s="1"/>
  <c r="ND159" i="13" l="1"/>
  <c r="NE159" i="13" s="1"/>
  <c r="AV35" i="13"/>
  <c r="AU35" i="13" s="1"/>
  <c r="AT35" i="13" s="1"/>
  <c r="ND171" i="13"/>
  <c r="NE171" i="13" s="1"/>
  <c r="MV185" i="13"/>
  <c r="ND54" i="13"/>
  <c r="NE54" i="13" s="1"/>
  <c r="ND50" i="13"/>
  <c r="NE50" i="13" s="1"/>
  <c r="AS194" i="13"/>
  <c r="AR194" i="13" s="1"/>
  <c r="AQ194" i="13" s="1"/>
  <c r="AP194" i="13" s="1"/>
  <c r="AO194" i="13" s="1"/>
  <c r="AL194" i="13" s="1"/>
  <c r="ND73" i="13"/>
  <c r="NE73" i="13" s="1"/>
  <c r="ND59" i="13"/>
  <c r="NE59" i="13" s="1"/>
  <c r="ND160" i="13"/>
  <c r="NE160" i="13" s="1"/>
  <c r="ND112" i="13"/>
  <c r="NE112" i="13" s="1"/>
  <c r="ND74" i="13"/>
  <c r="NE74" i="13" s="1"/>
  <c r="ND175" i="13"/>
  <c r="NE175" i="13" s="1"/>
  <c r="ND149" i="13"/>
  <c r="NE149" i="13" s="1"/>
  <c r="NG149" i="13" s="1"/>
  <c r="KH149" i="13" s="1"/>
  <c r="KJ149" i="13" s="1"/>
  <c r="KK149" i="13" s="1"/>
  <c r="ND47" i="13"/>
  <c r="NE47" i="13" s="1"/>
  <c r="ND195" i="13"/>
  <c r="NE195" i="13" s="1"/>
  <c r="JL195" i="13" s="1"/>
  <c r="JN195" i="13" s="1"/>
  <c r="ND115" i="13"/>
  <c r="NE115" i="13" s="1"/>
  <c r="ND67" i="13"/>
  <c r="NE67" i="13" s="1"/>
  <c r="GC183" i="13"/>
  <c r="GE183" i="13" s="1"/>
  <c r="BF26" i="13"/>
  <c r="BE26" i="13" s="1"/>
  <c r="BD26" i="13" s="1"/>
  <c r="GC184" i="13"/>
  <c r="GE184" i="13" s="1"/>
  <c r="NN66" i="13"/>
  <c r="MT183" i="13"/>
  <c r="GC123" i="13"/>
  <c r="GE123" i="13" s="1"/>
  <c r="MT184" i="13"/>
  <c r="NL73" i="13"/>
  <c r="BP198" i="13"/>
  <c r="BO198" i="13" s="1"/>
  <c r="AV213" i="13"/>
  <c r="AU213" i="13" s="1"/>
  <c r="AT213" i="13" s="1"/>
  <c r="MU183" i="13"/>
  <c r="GQ183" i="13" s="1"/>
  <c r="GS183" i="13" s="1"/>
  <c r="GU183" i="13" s="1"/>
  <c r="MT123" i="13"/>
  <c r="MW123" i="13" s="1"/>
  <c r="ND193" i="13"/>
  <c r="NE193" i="13" s="1"/>
  <c r="ND76" i="13"/>
  <c r="NE76" i="13" s="1"/>
  <c r="NH76" i="13" s="1"/>
  <c r="MU184" i="13"/>
  <c r="GQ184" i="13" s="1"/>
  <c r="GS184" i="13" s="1"/>
  <c r="GU184" i="13" s="1"/>
  <c r="MU123" i="13"/>
  <c r="GQ123" i="13" s="1"/>
  <c r="GS123" i="13" s="1"/>
  <c r="GU123" i="13" s="1"/>
  <c r="ND63" i="13"/>
  <c r="NE63" i="13" s="1"/>
  <c r="GC185" i="13"/>
  <c r="GE185" i="13" s="1"/>
  <c r="ND154" i="13"/>
  <c r="NE154" i="13" s="1"/>
  <c r="BA21" i="13"/>
  <c r="AZ21" i="13" s="1"/>
  <c r="AY21" i="13" s="1"/>
  <c r="ND40" i="13"/>
  <c r="NE40" i="13" s="1"/>
  <c r="BH198" i="13"/>
  <c r="BG198" i="13" s="1"/>
  <c r="BF198" i="13" s="1"/>
  <c r="BE198" i="13" s="1"/>
  <c r="BD198" i="13" s="1"/>
  <c r="AS192" i="13"/>
  <c r="AR192" i="13" s="1"/>
  <c r="AQ192" i="13" s="1"/>
  <c r="AP192" i="13" s="1"/>
  <c r="AO192" i="13" s="1"/>
  <c r="AL192" i="13" s="1"/>
  <c r="ND173" i="13"/>
  <c r="NE173" i="13" s="1"/>
  <c r="ND189" i="13"/>
  <c r="NE189" i="13" s="1"/>
  <c r="BS165" i="13"/>
  <c r="BR165" i="13" s="1"/>
  <c r="BQ165" i="13" s="1"/>
  <c r="AS198" i="13"/>
  <c r="AR198" i="13" s="1"/>
  <c r="AQ198" i="13" s="1"/>
  <c r="AP198" i="13" s="1"/>
  <c r="AO198" i="13" s="1"/>
  <c r="AL198" i="13" s="1"/>
  <c r="BN192" i="13"/>
  <c r="BM192" i="13" s="1"/>
  <c r="BL192" i="13" s="1"/>
  <c r="BN198" i="13"/>
  <c r="BM198" i="13" s="1"/>
  <c r="BL198" i="13" s="1"/>
  <c r="ND204" i="13"/>
  <c r="NE204" i="13" s="1"/>
  <c r="NG204" i="13" s="1"/>
  <c r="KH204" i="13" s="1"/>
  <c r="KJ204" i="13" s="1"/>
  <c r="KK204" i="13" s="1"/>
  <c r="AV198" i="13"/>
  <c r="AU198" i="13" s="1"/>
  <c r="AT198" i="13" s="1"/>
  <c r="BS198" i="13"/>
  <c r="BR198" i="13" s="1"/>
  <c r="BQ198" i="13" s="1"/>
  <c r="ND165" i="13"/>
  <c r="NE165" i="13" s="1"/>
  <c r="GC170" i="13"/>
  <c r="GE170" i="13" s="1"/>
  <c r="ND131" i="13"/>
  <c r="NE131" i="13" s="1"/>
  <c r="JL131" i="13" s="1"/>
  <c r="JN131" i="13" s="1"/>
  <c r="ND198" i="13"/>
  <c r="NE198" i="13" s="1"/>
  <c r="MT170" i="13"/>
  <c r="MW170" i="13" s="1"/>
  <c r="ND211" i="13"/>
  <c r="NE211" i="13" s="1"/>
  <c r="MU170" i="13"/>
  <c r="GQ170" i="13" s="1"/>
  <c r="GS170" i="13" s="1"/>
  <c r="GU170" i="13" s="1"/>
  <c r="ND85" i="13"/>
  <c r="NE85" i="13" s="1"/>
  <c r="BS192" i="13"/>
  <c r="BR192" i="13" s="1"/>
  <c r="BQ192" i="13" s="1"/>
  <c r="ND137" i="13"/>
  <c r="NE137" i="13" s="1"/>
  <c r="JL210" i="13"/>
  <c r="JN210" i="13" s="1"/>
  <c r="NH210" i="13"/>
  <c r="LF210" i="13" s="1"/>
  <c r="LH210" i="13" s="1"/>
  <c r="ND143" i="13"/>
  <c r="NE143" i="13" s="1"/>
  <c r="NF143" i="13" s="1"/>
  <c r="ND200" i="13"/>
  <c r="NE200" i="13" s="1"/>
  <c r="NH200" i="13" s="1"/>
  <c r="NF210" i="13"/>
  <c r="AV192" i="13"/>
  <c r="AU192" i="13" s="1"/>
  <c r="AT192" i="13" s="1"/>
  <c r="ND212" i="13"/>
  <c r="NE212" i="13" s="1"/>
  <c r="GC96" i="13"/>
  <c r="GE96" i="13" s="1"/>
  <c r="ND148" i="13"/>
  <c r="NE148" i="13" s="1"/>
  <c r="NH148" i="13" s="1"/>
  <c r="NH23" i="13"/>
  <c r="NG23" i="13"/>
  <c r="KH23" i="13" s="1"/>
  <c r="KJ23" i="13" s="1"/>
  <c r="KK23" i="13" s="1"/>
  <c r="NF23" i="13"/>
  <c r="MW39" i="13"/>
  <c r="GV39" i="13"/>
  <c r="GX39" i="13" s="1"/>
  <c r="GY39" i="13" s="1"/>
  <c r="ND192" i="13"/>
  <c r="NE192" i="13" s="1"/>
  <c r="NM203" i="13"/>
  <c r="NT203" i="13"/>
  <c r="IA203" i="13"/>
  <c r="JK51" i="13"/>
  <c r="GP176" i="13"/>
  <c r="MT121" i="13"/>
  <c r="MV121" i="13"/>
  <c r="MU121" i="13"/>
  <c r="GQ121" i="13" s="1"/>
  <c r="GS121" i="13" s="1"/>
  <c r="GU121" i="13" s="1"/>
  <c r="GC121" i="13"/>
  <c r="GE121" i="13" s="1"/>
  <c r="JK147" i="13"/>
  <c r="GF68" i="13"/>
  <c r="GP68" i="13" s="1"/>
  <c r="GO68" i="13"/>
  <c r="MV136" i="13"/>
  <c r="MU136" i="13"/>
  <c r="GQ136" i="13" s="1"/>
  <c r="GS136" i="13" s="1"/>
  <c r="GU136" i="13" s="1"/>
  <c r="MT136" i="13"/>
  <c r="GC136" i="13"/>
  <c r="GE136" i="13" s="1"/>
  <c r="GP145" i="13"/>
  <c r="FQ20" i="13"/>
  <c r="E22" i="13"/>
  <c r="GZ22" i="13"/>
  <c r="HB22" i="13" s="1"/>
  <c r="HC22" i="13" s="1"/>
  <c r="CR22" i="13" s="1"/>
  <c r="CQ22" i="13" s="1"/>
  <c r="HP22" i="13"/>
  <c r="HR22" i="13" s="1"/>
  <c r="HH22" i="13"/>
  <c r="HJ22" i="13" s="1"/>
  <c r="HK22" i="13" s="1"/>
  <c r="HX22" i="13"/>
  <c r="HZ22" i="13" s="1"/>
  <c r="MW205" i="13"/>
  <c r="GV205" i="13"/>
  <c r="GX205" i="13" s="1"/>
  <c r="GY205" i="13" s="1"/>
  <c r="ND84" i="13"/>
  <c r="NE84" i="13" s="1"/>
  <c r="NM54" i="13"/>
  <c r="IA54" i="13"/>
  <c r="NT54" i="13"/>
  <c r="JA184" i="13"/>
  <c r="JF184" i="13" s="1"/>
  <c r="JH184" i="13" s="1"/>
  <c r="MV144" i="13"/>
  <c r="MU144" i="13"/>
  <c r="GQ144" i="13" s="1"/>
  <c r="GS144" i="13" s="1"/>
  <c r="GU144" i="13" s="1"/>
  <c r="MT144" i="13"/>
  <c r="GC144" i="13"/>
  <c r="GE144" i="13" s="1"/>
  <c r="LN125" i="13"/>
  <c r="KX125" i="13"/>
  <c r="KZ125" i="13" s="1"/>
  <c r="LA125" i="13" s="1"/>
  <c r="KP125" i="13"/>
  <c r="KR125" i="13" s="1"/>
  <c r="KS125" i="13" s="1"/>
  <c r="LF125" i="13"/>
  <c r="LH125" i="13" s="1"/>
  <c r="NT201" i="13"/>
  <c r="IA201" i="13"/>
  <c r="NM201" i="13"/>
  <c r="E188" i="13"/>
  <c r="HH188" i="13"/>
  <c r="HJ188" i="13" s="1"/>
  <c r="HK188" i="13" s="1"/>
  <c r="HX188" i="13"/>
  <c r="HZ188" i="13" s="1"/>
  <c r="GZ188" i="13"/>
  <c r="HB188" i="13" s="1"/>
  <c r="HC188" i="13" s="1"/>
  <c r="HP188" i="13"/>
  <c r="HR188" i="13" s="1"/>
  <c r="FQ27" i="13"/>
  <c r="NK32" i="13"/>
  <c r="NY32" i="13"/>
  <c r="NS32" i="13"/>
  <c r="HS32" i="13"/>
  <c r="ND41" i="13"/>
  <c r="NE41" i="13" s="1"/>
  <c r="ND90" i="13"/>
  <c r="NE90" i="13" s="1"/>
  <c r="NS85" i="13"/>
  <c r="HS85" i="13"/>
  <c r="NY85" i="13"/>
  <c r="NK85" i="13"/>
  <c r="MV140" i="13"/>
  <c r="MU140" i="13"/>
  <c r="GQ140" i="13" s="1"/>
  <c r="GS140" i="13" s="1"/>
  <c r="GU140" i="13" s="1"/>
  <c r="MT140" i="13"/>
  <c r="GC140" i="13"/>
  <c r="GE140" i="13" s="1"/>
  <c r="JJ113" i="13"/>
  <c r="JI113" i="13"/>
  <c r="MW51" i="13"/>
  <c r="GV51" i="13"/>
  <c r="GX51" i="13" s="1"/>
  <c r="GY51" i="13" s="1"/>
  <c r="HT87" i="13"/>
  <c r="HV87" i="13" s="1"/>
  <c r="HW87" i="13" s="1"/>
  <c r="HL87" i="13"/>
  <c r="HN87" i="13" s="1"/>
  <c r="HO87" i="13" s="1"/>
  <c r="HD87" i="13"/>
  <c r="HF87" i="13" s="1"/>
  <c r="HG87" i="13" s="1"/>
  <c r="IB87" i="13"/>
  <c r="ID87" i="13" s="1"/>
  <c r="IE87" i="13" s="1"/>
  <c r="BH161" i="13"/>
  <c r="BG161" i="13" s="1"/>
  <c r="BF161" i="13" s="1"/>
  <c r="BE161" i="13" s="1"/>
  <c r="BD161" i="13" s="1"/>
  <c r="BU161" i="13"/>
  <c r="BT161" i="13" s="1"/>
  <c r="BS161" i="13" s="1"/>
  <c r="BR161" i="13" s="1"/>
  <c r="BQ161" i="13" s="1"/>
  <c r="BP161" i="13"/>
  <c r="BO161" i="13" s="1"/>
  <c r="BN161" i="13" s="1"/>
  <c r="BM161" i="13" s="1"/>
  <c r="BL161" i="13" s="1"/>
  <c r="BC161" i="13"/>
  <c r="BB161" i="13" s="1"/>
  <c r="BA161" i="13" s="1"/>
  <c r="AZ161" i="13" s="1"/>
  <c r="AY161" i="13" s="1"/>
  <c r="AX161" i="13"/>
  <c r="AW161" i="13" s="1"/>
  <c r="AV161" i="13" s="1"/>
  <c r="AU161" i="13" s="1"/>
  <c r="AT161" i="13" s="1"/>
  <c r="CE161" i="13"/>
  <c r="CD161" i="13" s="1"/>
  <c r="AS161" i="13"/>
  <c r="AR161" i="13" s="1"/>
  <c r="AQ161" i="13" s="1"/>
  <c r="AP161" i="13" s="1"/>
  <c r="AO161" i="13" s="1"/>
  <c r="AL161" i="13" s="1"/>
  <c r="BZ161" i="13"/>
  <c r="BY161" i="13" s="1"/>
  <c r="NM76" i="13"/>
  <c r="IA76" i="13"/>
  <c r="NN76" i="13" s="1"/>
  <c r="NT76" i="13"/>
  <c r="MW122" i="13"/>
  <c r="GV122" i="13"/>
  <c r="GX122" i="13" s="1"/>
  <c r="GY122" i="13" s="1"/>
  <c r="E89" i="13"/>
  <c r="HP89" i="13"/>
  <c r="HR89" i="13" s="1"/>
  <c r="HH89" i="13"/>
  <c r="HJ89" i="13" s="1"/>
  <c r="HK89" i="13" s="1"/>
  <c r="HX89" i="13"/>
  <c r="HZ89" i="13" s="1"/>
  <c r="GZ89" i="13"/>
  <c r="HB89" i="13" s="1"/>
  <c r="HC89" i="13" s="1"/>
  <c r="NT157" i="13"/>
  <c r="NM157" i="13"/>
  <c r="IA157" i="13"/>
  <c r="NN157" i="13" s="1"/>
  <c r="E20" i="13"/>
  <c r="GZ20" i="13"/>
  <c r="HB20" i="13" s="1"/>
  <c r="HC20" i="13" s="1"/>
  <c r="CR20" i="13" s="1"/>
  <c r="CQ20" i="13" s="1"/>
  <c r="HX20" i="13"/>
  <c r="HZ20" i="13" s="1"/>
  <c r="HH20" i="13"/>
  <c r="HJ20" i="13" s="1"/>
  <c r="HK20" i="13" s="1"/>
  <c r="HP20" i="13"/>
  <c r="HR20" i="13" s="1"/>
  <c r="AS53" i="13"/>
  <c r="AR53" i="13" s="1"/>
  <c r="AQ53" i="13" s="1"/>
  <c r="AP53" i="13" s="1"/>
  <c r="AO53" i="13" s="1"/>
  <c r="AL53" i="13" s="1"/>
  <c r="JJ200" i="13"/>
  <c r="JI200" i="13"/>
  <c r="NN34" i="13"/>
  <c r="BP34" i="13"/>
  <c r="BO34" i="13" s="1"/>
  <c r="BN34" i="13" s="1"/>
  <c r="BM34" i="13" s="1"/>
  <c r="BL34" i="13" s="1"/>
  <c r="BS60" i="13"/>
  <c r="BR60" i="13" s="1"/>
  <c r="BQ60" i="13" s="1"/>
  <c r="JA130" i="13"/>
  <c r="JF130" i="13" s="1"/>
  <c r="JH130" i="13" s="1"/>
  <c r="ND207" i="13"/>
  <c r="NE207" i="13" s="1"/>
  <c r="JI80" i="13"/>
  <c r="JJ80" i="13"/>
  <c r="MV119" i="13"/>
  <c r="MU119" i="13"/>
  <c r="GQ119" i="13" s="1"/>
  <c r="GS119" i="13" s="1"/>
  <c r="GU119" i="13" s="1"/>
  <c r="MT119" i="13"/>
  <c r="GC119" i="13"/>
  <c r="GE119" i="13" s="1"/>
  <c r="GF169" i="13"/>
  <c r="GP169" i="13" s="1"/>
  <c r="GO169" i="13"/>
  <c r="MW78" i="13"/>
  <c r="GV78" i="13"/>
  <c r="GX78" i="13" s="1"/>
  <c r="GY78" i="13" s="1"/>
  <c r="FQ46" i="13"/>
  <c r="AV165" i="13"/>
  <c r="AU165" i="13" s="1"/>
  <c r="AT165" i="13" s="1"/>
  <c r="JJ67" i="13"/>
  <c r="JI67" i="13"/>
  <c r="ND14" i="13"/>
  <c r="NE14" i="13" s="1"/>
  <c r="JA14" i="13"/>
  <c r="GF207" i="13"/>
  <c r="GP207" i="13" s="1"/>
  <c r="GO207" i="13"/>
  <c r="IA49" i="13"/>
  <c r="NT49" i="13"/>
  <c r="NM49" i="13"/>
  <c r="E36" i="13"/>
  <c r="HH36" i="13"/>
  <c r="HJ36" i="13" s="1"/>
  <c r="HK36" i="13" s="1"/>
  <c r="HX36" i="13"/>
  <c r="HZ36" i="13" s="1"/>
  <c r="HP36" i="13"/>
  <c r="HR36" i="13" s="1"/>
  <c r="GZ36" i="13"/>
  <c r="HB36" i="13" s="1"/>
  <c r="HC36" i="13" s="1"/>
  <c r="E62" i="13"/>
  <c r="HH62" i="13"/>
  <c r="HJ62" i="13" s="1"/>
  <c r="HK62" i="13" s="1"/>
  <c r="HX62" i="13"/>
  <c r="HZ62" i="13" s="1"/>
  <c r="HP62" i="13"/>
  <c r="HR62" i="13" s="1"/>
  <c r="GZ62" i="13"/>
  <c r="HB62" i="13" s="1"/>
  <c r="HC62" i="13" s="1"/>
  <c r="MW27" i="13"/>
  <c r="GV27" i="13"/>
  <c r="GX27" i="13" s="1"/>
  <c r="GY27" i="13" s="1"/>
  <c r="MW12" i="13"/>
  <c r="GV12" i="13"/>
  <c r="GX12" i="13" s="1"/>
  <c r="GY12" i="13" s="1"/>
  <c r="E185" i="13"/>
  <c r="HP185" i="13"/>
  <c r="HR185" i="13" s="1"/>
  <c r="HH185" i="13"/>
  <c r="HJ185" i="13" s="1"/>
  <c r="HK185" i="13" s="1"/>
  <c r="HX185" i="13"/>
  <c r="HZ185" i="13" s="1"/>
  <c r="GZ185" i="13"/>
  <c r="HB185" i="13" s="1"/>
  <c r="HC185" i="13" s="1"/>
  <c r="ND124" i="13"/>
  <c r="NE124" i="13" s="1"/>
  <c r="JI198" i="13"/>
  <c r="JJ198" i="13"/>
  <c r="FQ166" i="13"/>
  <c r="ND158" i="13"/>
  <c r="NE158" i="13" s="1"/>
  <c r="JA146" i="13"/>
  <c r="JF146" i="13" s="1"/>
  <c r="JH146" i="13" s="1"/>
  <c r="IA32" i="13"/>
  <c r="NT32" i="13"/>
  <c r="NM32" i="13"/>
  <c r="NH31" i="13"/>
  <c r="NG31" i="13"/>
  <c r="KH31" i="13" s="1"/>
  <c r="KJ31" i="13" s="1"/>
  <c r="KK31" i="13" s="1"/>
  <c r="NF31" i="13"/>
  <c r="FQ184" i="13"/>
  <c r="NX164" i="13"/>
  <c r="NW164" i="13"/>
  <c r="GF118" i="13"/>
  <c r="GP118" i="13" s="1"/>
  <c r="GO118" i="13"/>
  <c r="NT129" i="13"/>
  <c r="NM129" i="13"/>
  <c r="IA129" i="13"/>
  <c r="NN129" i="13" s="1"/>
  <c r="GF196" i="13"/>
  <c r="GO196" i="13"/>
  <c r="MV125" i="13"/>
  <c r="MU125" i="13"/>
  <c r="GQ125" i="13" s="1"/>
  <c r="GS125" i="13" s="1"/>
  <c r="GU125" i="13" s="1"/>
  <c r="MT125" i="13"/>
  <c r="GC125" i="13"/>
  <c r="GE125" i="13" s="1"/>
  <c r="ND98" i="13"/>
  <c r="NE98" i="13" s="1"/>
  <c r="E56" i="13"/>
  <c r="HP56" i="13"/>
  <c r="HR56" i="13" s="1"/>
  <c r="HH56" i="13"/>
  <c r="HJ56" i="13" s="1"/>
  <c r="HK56" i="13" s="1"/>
  <c r="HX56" i="13"/>
  <c r="HZ56" i="13" s="1"/>
  <c r="GZ56" i="13"/>
  <c r="HB56" i="13" s="1"/>
  <c r="HC56" i="13" s="1"/>
  <c r="MW68" i="13"/>
  <c r="GV68" i="13"/>
  <c r="GX68" i="13" s="1"/>
  <c r="GY68" i="13" s="1"/>
  <c r="HL153" i="13"/>
  <c r="HN153" i="13" s="1"/>
  <c r="HO153" i="13" s="1"/>
  <c r="HT153" i="13"/>
  <c r="HV153" i="13" s="1"/>
  <c r="HW153" i="13" s="1"/>
  <c r="HD153" i="13"/>
  <c r="HF153" i="13" s="1"/>
  <c r="HG153" i="13" s="1"/>
  <c r="IB153" i="13"/>
  <c r="ID153" i="13" s="1"/>
  <c r="IE153" i="13" s="1"/>
  <c r="HT145" i="13"/>
  <c r="HV145" i="13" s="1"/>
  <c r="HW145" i="13" s="1"/>
  <c r="HL145" i="13"/>
  <c r="HN145" i="13" s="1"/>
  <c r="HO145" i="13" s="1"/>
  <c r="HD145" i="13"/>
  <c r="HF145" i="13" s="1"/>
  <c r="HG145" i="13" s="1"/>
  <c r="IB145" i="13"/>
  <c r="ID145" i="13" s="1"/>
  <c r="IE145" i="13" s="1"/>
  <c r="FQ191" i="13"/>
  <c r="NH54" i="13"/>
  <c r="NG54" i="13"/>
  <c r="KH54" i="13" s="1"/>
  <c r="KJ54" i="13" s="1"/>
  <c r="KK54" i="13" s="1"/>
  <c r="NF54" i="13"/>
  <c r="JL54" i="13"/>
  <c r="JN54" i="13" s="1"/>
  <c r="NH147" i="13"/>
  <c r="NG147" i="13"/>
  <c r="KH147" i="13" s="1"/>
  <c r="KJ147" i="13" s="1"/>
  <c r="KK147" i="13" s="1"/>
  <c r="NF147" i="13"/>
  <c r="JL147" i="13"/>
  <c r="JN147" i="13" s="1"/>
  <c r="E205" i="13"/>
  <c r="GZ205" i="13"/>
  <c r="HB205" i="13" s="1"/>
  <c r="HC205" i="13" s="1"/>
  <c r="HX205" i="13"/>
  <c r="HZ205" i="13" s="1"/>
  <c r="HP205" i="13"/>
  <c r="HR205" i="13" s="1"/>
  <c r="HH205" i="13"/>
  <c r="HJ205" i="13" s="1"/>
  <c r="HK205" i="13" s="1"/>
  <c r="JA78" i="13"/>
  <c r="JF78" i="13" s="1"/>
  <c r="JH78" i="13" s="1"/>
  <c r="JA104" i="13"/>
  <c r="JF104" i="13" s="1"/>
  <c r="JH104" i="13" s="1"/>
  <c r="E13" i="13"/>
  <c r="HH13" i="13"/>
  <c r="HJ13" i="13" s="1"/>
  <c r="HK13" i="13" s="1"/>
  <c r="HP13" i="13"/>
  <c r="HR13" i="13" s="1"/>
  <c r="HX13" i="13"/>
  <c r="HZ13" i="13" s="1"/>
  <c r="GZ13" i="13"/>
  <c r="HB13" i="13" s="1"/>
  <c r="HC13" i="13" s="1"/>
  <c r="CR13" i="13" s="1"/>
  <c r="CQ13" i="13" s="1"/>
  <c r="JJ64" i="13"/>
  <c r="JI64" i="13"/>
  <c r="BC71" i="13"/>
  <c r="BB71" i="13" s="1"/>
  <c r="BA71" i="13" s="1"/>
  <c r="AZ71" i="13" s="1"/>
  <c r="AY71" i="13" s="1"/>
  <c r="AX71" i="13"/>
  <c r="AW71" i="13" s="1"/>
  <c r="AV71" i="13" s="1"/>
  <c r="AU71" i="13" s="1"/>
  <c r="AT71" i="13" s="1"/>
  <c r="BU71" i="13"/>
  <c r="BT71" i="13" s="1"/>
  <c r="BS71" i="13" s="1"/>
  <c r="BR71" i="13" s="1"/>
  <c r="BQ71" i="13" s="1"/>
  <c r="BP71" i="13"/>
  <c r="BO71" i="13" s="1"/>
  <c r="BN71" i="13" s="1"/>
  <c r="BM71" i="13" s="1"/>
  <c r="BL71" i="13" s="1"/>
  <c r="CE71" i="13"/>
  <c r="CD71" i="13" s="1"/>
  <c r="AS71" i="13"/>
  <c r="AR71" i="13" s="1"/>
  <c r="AQ71" i="13" s="1"/>
  <c r="AP71" i="13" s="1"/>
  <c r="AO71" i="13" s="1"/>
  <c r="AL71" i="13" s="1"/>
  <c r="BH71" i="13"/>
  <c r="BG71" i="13" s="1"/>
  <c r="BF71" i="13" s="1"/>
  <c r="BE71" i="13" s="1"/>
  <c r="BD71" i="13" s="1"/>
  <c r="BZ71" i="13"/>
  <c r="BY71" i="13" s="1"/>
  <c r="ND45" i="13"/>
  <c r="NE45" i="13" s="1"/>
  <c r="JA45" i="13"/>
  <c r="JF45" i="13" s="1"/>
  <c r="JH45" i="13" s="1"/>
  <c r="JA150" i="13"/>
  <c r="JF150" i="13" s="1"/>
  <c r="JH150" i="13" s="1"/>
  <c r="NI125" i="13"/>
  <c r="KL125" i="13"/>
  <c r="KN125" i="13" s="1"/>
  <c r="KO125" i="13" s="1"/>
  <c r="MW86" i="13"/>
  <c r="GV86" i="13"/>
  <c r="GX86" i="13" s="1"/>
  <c r="GY86" i="13" s="1"/>
  <c r="NW26" i="13"/>
  <c r="NX26" i="13"/>
  <c r="JI41" i="13"/>
  <c r="JJ41" i="13"/>
  <c r="NM85" i="13"/>
  <c r="NT85" i="13"/>
  <c r="IA85" i="13"/>
  <c r="NN85" i="13" s="1"/>
  <c r="NK171" i="13"/>
  <c r="NY171" i="13"/>
  <c r="NS171" i="13"/>
  <c r="HS171" i="13"/>
  <c r="NH52" i="13"/>
  <c r="NG52" i="13"/>
  <c r="KH52" i="13" s="1"/>
  <c r="KJ52" i="13" s="1"/>
  <c r="KK52" i="13" s="1"/>
  <c r="NF52" i="13"/>
  <c r="JL52" i="13"/>
  <c r="JN52" i="13" s="1"/>
  <c r="NH113" i="13"/>
  <c r="NG113" i="13"/>
  <c r="KH113" i="13" s="1"/>
  <c r="KJ113" i="13" s="1"/>
  <c r="KK113" i="13" s="1"/>
  <c r="NF113" i="13"/>
  <c r="JL113" i="13"/>
  <c r="JN113" i="13" s="1"/>
  <c r="JJ49" i="13"/>
  <c r="JI49" i="13"/>
  <c r="FQ107" i="13"/>
  <c r="GO146" i="13"/>
  <c r="GF146" i="13"/>
  <c r="GP146" i="13" s="1"/>
  <c r="JA206" i="13"/>
  <c r="JF206" i="13" s="1"/>
  <c r="JH206" i="13" s="1"/>
  <c r="GP63" i="13"/>
  <c r="AX28" i="13"/>
  <c r="AW28" i="13" s="1"/>
  <c r="BZ28" i="13"/>
  <c r="BY28" i="13" s="1"/>
  <c r="BU28" i="13"/>
  <c r="BT28" i="13" s="1"/>
  <c r="JA126" i="13"/>
  <c r="JF126" i="13" s="1"/>
  <c r="JH126" i="13" s="1"/>
  <c r="FQ119" i="13"/>
  <c r="NS157" i="13"/>
  <c r="NK157" i="13"/>
  <c r="HS157" i="13"/>
  <c r="NL157" i="13" s="1"/>
  <c r="NY157" i="13"/>
  <c r="NT158" i="13"/>
  <c r="NM158" i="13"/>
  <c r="IA158" i="13"/>
  <c r="E123" i="13"/>
  <c r="HH123" i="13"/>
  <c r="HJ123" i="13" s="1"/>
  <c r="HK123" i="13" s="1"/>
  <c r="HX123" i="13"/>
  <c r="HZ123" i="13" s="1"/>
  <c r="GZ123" i="13"/>
  <c r="HB123" i="13" s="1"/>
  <c r="HC123" i="13" s="1"/>
  <c r="HP123" i="13"/>
  <c r="HR123" i="13" s="1"/>
  <c r="GP85" i="13"/>
  <c r="NL85" i="13"/>
  <c r="ND82" i="13"/>
  <c r="NE82" i="13" s="1"/>
  <c r="CE204" i="13"/>
  <c r="CD204" i="13" s="1"/>
  <c r="JJ63" i="13"/>
  <c r="JI63" i="13"/>
  <c r="MW169" i="13"/>
  <c r="GV169" i="13"/>
  <c r="GX169" i="13" s="1"/>
  <c r="GY169" i="13" s="1"/>
  <c r="JA97" i="13"/>
  <c r="JF97" i="13" s="1"/>
  <c r="JH97" i="13" s="1"/>
  <c r="ND97" i="13"/>
  <c r="NE97" i="13" s="1"/>
  <c r="MW207" i="13"/>
  <c r="GV207" i="13"/>
  <c r="GX207" i="13" s="1"/>
  <c r="GY207" i="13" s="1"/>
  <c r="HD28" i="13"/>
  <c r="HF28" i="13" s="1"/>
  <c r="HG28" i="13" s="1"/>
  <c r="IB28" i="13"/>
  <c r="ID28" i="13" s="1"/>
  <c r="IE28" i="13" s="1"/>
  <c r="HL28" i="13"/>
  <c r="HN28" i="13" s="1"/>
  <c r="HO28" i="13" s="1"/>
  <c r="CE28" i="13" s="1"/>
  <c r="CD28" i="13" s="1"/>
  <c r="HT28" i="13"/>
  <c r="HV28" i="13" s="1"/>
  <c r="HW28" i="13" s="1"/>
  <c r="BC28" i="13" s="1"/>
  <c r="BB28" i="13" s="1"/>
  <c r="JJ91" i="13"/>
  <c r="JI91" i="13"/>
  <c r="MW36" i="13"/>
  <c r="GV36" i="13"/>
  <c r="GX36" i="13" s="1"/>
  <c r="GY36" i="13" s="1"/>
  <c r="NH112" i="13"/>
  <c r="NG112" i="13"/>
  <c r="KH112" i="13" s="1"/>
  <c r="KJ112" i="13" s="1"/>
  <c r="KK112" i="13" s="1"/>
  <c r="NF112" i="13"/>
  <c r="JL112" i="13"/>
  <c r="JN112" i="13" s="1"/>
  <c r="NK31" i="13"/>
  <c r="NY31" i="13"/>
  <c r="NS31" i="13"/>
  <c r="HS31" i="13"/>
  <c r="GP175" i="13"/>
  <c r="MW18" i="13"/>
  <c r="GV18" i="13"/>
  <c r="GX18" i="13" s="1"/>
  <c r="GY18" i="13" s="1"/>
  <c r="MV70" i="13"/>
  <c r="MU70" i="13"/>
  <c r="GQ70" i="13" s="1"/>
  <c r="GS70" i="13" s="1"/>
  <c r="GU70" i="13" s="1"/>
  <c r="MT70" i="13"/>
  <c r="GC70" i="13"/>
  <c r="GE70" i="13" s="1"/>
  <c r="JA167" i="13"/>
  <c r="JF167" i="13" s="1"/>
  <c r="JH167" i="13" s="1"/>
  <c r="ND167" i="13"/>
  <c r="NE167" i="13" s="1"/>
  <c r="CE60" i="13"/>
  <c r="CD60" i="13" s="1"/>
  <c r="E214" i="13"/>
  <c r="GZ214" i="13"/>
  <c r="HB214" i="13" s="1"/>
  <c r="HC214" i="13" s="1"/>
  <c r="HP214" i="13"/>
  <c r="HR214" i="13" s="1"/>
  <c r="HH214" i="13"/>
  <c r="HJ214" i="13" s="1"/>
  <c r="HK214" i="13" s="1"/>
  <c r="HX214" i="13"/>
  <c r="HZ214" i="13" s="1"/>
  <c r="KP127" i="13"/>
  <c r="KR127" i="13" s="1"/>
  <c r="KS127" i="13" s="1"/>
  <c r="LF127" i="13"/>
  <c r="LH127" i="13" s="1"/>
  <c r="LN127" i="13"/>
  <c r="KX127" i="13"/>
  <c r="KZ127" i="13" s="1"/>
  <c r="LA127" i="13" s="1"/>
  <c r="MV181" i="13"/>
  <c r="MU181" i="13"/>
  <c r="GQ181" i="13" s="1"/>
  <c r="GS181" i="13" s="1"/>
  <c r="GU181" i="13" s="1"/>
  <c r="MT181" i="13"/>
  <c r="GC181" i="13"/>
  <c r="GE181" i="13" s="1"/>
  <c r="FQ30" i="13"/>
  <c r="GP72" i="13"/>
  <c r="NF106" i="13"/>
  <c r="NH106" i="13"/>
  <c r="NG106" i="13"/>
  <c r="KH106" i="13" s="1"/>
  <c r="KJ106" i="13" s="1"/>
  <c r="KK106" i="13" s="1"/>
  <c r="JL106" i="13"/>
  <c r="JN106" i="13" s="1"/>
  <c r="NL164" i="13"/>
  <c r="AS164" i="13"/>
  <c r="AR164" i="13" s="1"/>
  <c r="AQ164" i="13" s="1"/>
  <c r="AP164" i="13" s="1"/>
  <c r="AO164" i="13" s="1"/>
  <c r="AL164" i="13" s="1"/>
  <c r="E39" i="13"/>
  <c r="HX39" i="13"/>
  <c r="HZ39" i="13" s="1"/>
  <c r="HH39" i="13"/>
  <c r="HJ39" i="13" s="1"/>
  <c r="HK39" i="13" s="1"/>
  <c r="HP39" i="13"/>
  <c r="HR39" i="13" s="1"/>
  <c r="GZ39" i="13"/>
  <c r="HB39" i="13" s="1"/>
  <c r="HC39" i="13" s="1"/>
  <c r="MW118" i="13"/>
  <c r="GV118" i="13"/>
  <c r="GX118" i="13" s="1"/>
  <c r="GY118" i="13" s="1"/>
  <c r="NS129" i="13"/>
  <c r="HS129" i="13"/>
  <c r="NK129" i="13"/>
  <c r="NY129" i="13"/>
  <c r="NN33" i="13"/>
  <c r="BP33" i="13"/>
  <c r="BO33" i="13" s="1"/>
  <c r="BN33" i="13" s="1"/>
  <c r="BM33" i="13" s="1"/>
  <c r="BL33" i="13" s="1"/>
  <c r="MW196" i="13"/>
  <c r="GV196" i="13"/>
  <c r="GX196" i="13" s="1"/>
  <c r="GY196" i="13" s="1"/>
  <c r="IA64" i="13"/>
  <c r="NT64" i="13"/>
  <c r="NM64" i="13"/>
  <c r="JI98" i="13"/>
  <c r="JJ98" i="13"/>
  <c r="JA70" i="13"/>
  <c r="JF70" i="13" s="1"/>
  <c r="JH70" i="13" s="1"/>
  <c r="JI135" i="13"/>
  <c r="JJ135" i="13"/>
  <c r="GF187" i="13"/>
  <c r="GP187" i="13" s="1"/>
  <c r="GO187" i="13"/>
  <c r="JJ54" i="13"/>
  <c r="JI54" i="13"/>
  <c r="MV107" i="13"/>
  <c r="MU107" i="13"/>
  <c r="GQ107" i="13" s="1"/>
  <c r="GS107" i="13" s="1"/>
  <c r="GU107" i="13" s="1"/>
  <c r="MT107" i="13"/>
  <c r="GC107" i="13"/>
  <c r="GE107" i="13" s="1"/>
  <c r="JA88" i="13"/>
  <c r="JF88" i="13" s="1"/>
  <c r="JH88" i="13" s="1"/>
  <c r="NH32" i="13"/>
  <c r="NG32" i="13"/>
  <c r="KH32" i="13" s="1"/>
  <c r="KJ32" i="13" s="1"/>
  <c r="KK32" i="13" s="1"/>
  <c r="NF32" i="13"/>
  <c r="GP65" i="13"/>
  <c r="JJ173" i="13"/>
  <c r="JI173" i="13"/>
  <c r="GP153" i="13"/>
  <c r="JA183" i="13"/>
  <c r="JF183" i="13" s="1"/>
  <c r="JH183" i="13" s="1"/>
  <c r="ND64" i="13"/>
  <c r="NE64" i="13" s="1"/>
  <c r="JJ65" i="13"/>
  <c r="JI65" i="13"/>
  <c r="FQ100" i="13"/>
  <c r="E86" i="13"/>
  <c r="HP86" i="13"/>
  <c r="HR86" i="13" s="1"/>
  <c r="GZ86" i="13"/>
  <c r="HB86" i="13" s="1"/>
  <c r="HC86" i="13" s="1"/>
  <c r="HH86" i="13"/>
  <c r="HJ86" i="13" s="1"/>
  <c r="HK86" i="13" s="1"/>
  <c r="HX86" i="13"/>
  <c r="HZ86" i="13" s="1"/>
  <c r="AS26" i="13"/>
  <c r="AR26" i="13" s="1"/>
  <c r="AQ26" i="13" s="1"/>
  <c r="AP26" i="13" s="1"/>
  <c r="AO26" i="13" s="1"/>
  <c r="AL26" i="13" s="1"/>
  <c r="NL26" i="13"/>
  <c r="GP49" i="13"/>
  <c r="NN49" i="13"/>
  <c r="AV53" i="13"/>
  <c r="AU53" i="13" s="1"/>
  <c r="AT53" i="13" s="1"/>
  <c r="NM171" i="13"/>
  <c r="IA171" i="13"/>
  <c r="NT171" i="13"/>
  <c r="JJ52" i="13"/>
  <c r="JI52" i="13"/>
  <c r="NH49" i="13"/>
  <c r="NG49" i="13"/>
  <c r="KH49" i="13" s="1"/>
  <c r="KJ49" i="13" s="1"/>
  <c r="KK49" i="13" s="1"/>
  <c r="NF49" i="13"/>
  <c r="JL49" i="13"/>
  <c r="JN49" i="13" s="1"/>
  <c r="NK155" i="13"/>
  <c r="NY155" i="13"/>
  <c r="NS155" i="13"/>
  <c r="HS155" i="13"/>
  <c r="MW146" i="13"/>
  <c r="GV146" i="13"/>
  <c r="GX146" i="13" s="1"/>
  <c r="GY146" i="13" s="1"/>
  <c r="JJ174" i="13"/>
  <c r="JI174" i="13"/>
  <c r="E122" i="13"/>
  <c r="HH122" i="13"/>
  <c r="HJ122" i="13" s="1"/>
  <c r="HK122" i="13" s="1"/>
  <c r="HX122" i="13"/>
  <c r="HZ122" i="13" s="1"/>
  <c r="GZ122" i="13"/>
  <c r="HB122" i="13" s="1"/>
  <c r="HC122" i="13" s="1"/>
  <c r="HP122" i="13"/>
  <c r="HR122" i="13" s="1"/>
  <c r="ND145" i="13"/>
  <c r="NE145" i="13" s="1"/>
  <c r="MW15" i="13"/>
  <c r="GV15" i="13"/>
  <c r="GX15" i="13" s="1"/>
  <c r="GY15" i="13" s="1"/>
  <c r="NS158" i="13"/>
  <c r="NK158" i="13"/>
  <c r="HS158" i="13"/>
  <c r="NY158" i="13"/>
  <c r="CE34" i="13"/>
  <c r="CD34" i="13" s="1"/>
  <c r="BH34" i="13"/>
  <c r="BG34" i="13" s="1"/>
  <c r="BF34" i="13" s="1"/>
  <c r="BE34" i="13" s="1"/>
  <c r="BD34" i="13" s="1"/>
  <c r="FQ44" i="13"/>
  <c r="MV46" i="13"/>
  <c r="MU46" i="13"/>
  <c r="GQ46" i="13" s="1"/>
  <c r="GS46" i="13" s="1"/>
  <c r="GU46" i="13" s="1"/>
  <c r="MT46" i="13"/>
  <c r="GC46" i="13"/>
  <c r="GE46" i="13" s="1"/>
  <c r="NS28" i="13"/>
  <c r="HS28" i="13"/>
  <c r="NL28" i="13" s="1"/>
  <c r="NK28" i="13"/>
  <c r="NY28" i="13"/>
  <c r="JJ82" i="13"/>
  <c r="JI82" i="13"/>
  <c r="AV60" i="13"/>
  <c r="AU60" i="13" s="1"/>
  <c r="AT60" i="13" s="1"/>
  <c r="NF63" i="13"/>
  <c r="NH63" i="13"/>
  <c r="NG63" i="13"/>
  <c r="KH63" i="13" s="1"/>
  <c r="KJ63" i="13" s="1"/>
  <c r="KK63" i="13" s="1"/>
  <c r="JL63" i="13"/>
  <c r="JN63" i="13" s="1"/>
  <c r="E78" i="13"/>
  <c r="HP78" i="13"/>
  <c r="HR78" i="13" s="1"/>
  <c r="HH78" i="13"/>
  <c r="HJ78" i="13" s="1"/>
  <c r="HK78" i="13" s="1"/>
  <c r="HX78" i="13"/>
  <c r="HZ78" i="13" s="1"/>
  <c r="GZ78" i="13"/>
  <c r="HB78" i="13" s="1"/>
  <c r="HC78" i="13" s="1"/>
  <c r="NW35" i="13"/>
  <c r="NX35" i="13"/>
  <c r="NX194" i="13"/>
  <c r="NW194" i="13"/>
  <c r="NN25" i="13"/>
  <c r="BP25" i="13"/>
  <c r="BO25" i="13" s="1"/>
  <c r="BN25" i="13" s="1"/>
  <c r="BM25" i="13" s="1"/>
  <c r="BL25" i="13" s="1"/>
  <c r="JA180" i="13"/>
  <c r="JF180" i="13" s="1"/>
  <c r="JH180" i="13" s="1"/>
  <c r="E207" i="13"/>
  <c r="HH207" i="13"/>
  <c r="HJ207" i="13" s="1"/>
  <c r="HK207" i="13" s="1"/>
  <c r="BU207" i="13" s="1"/>
  <c r="BT207" i="13" s="1"/>
  <c r="HP207" i="13"/>
  <c r="HR207" i="13" s="1"/>
  <c r="HX207" i="13"/>
  <c r="HZ207" i="13" s="1"/>
  <c r="GZ207" i="13"/>
  <c r="HB207" i="13" s="1"/>
  <c r="HC207" i="13" s="1"/>
  <c r="AX207" i="13" s="1"/>
  <c r="AW207" i="13" s="1"/>
  <c r="NX163" i="13"/>
  <c r="NW163" i="13"/>
  <c r="JA179" i="13"/>
  <c r="JF179" i="13" s="1"/>
  <c r="JH179" i="13" s="1"/>
  <c r="NH91" i="13"/>
  <c r="NG91" i="13"/>
  <c r="KH91" i="13" s="1"/>
  <c r="KJ91" i="13" s="1"/>
  <c r="KK91" i="13" s="1"/>
  <c r="NF91" i="13"/>
  <c r="JL91" i="13"/>
  <c r="JN91" i="13" s="1"/>
  <c r="JI112" i="13"/>
  <c r="JJ112" i="13"/>
  <c r="NN35" i="13"/>
  <c r="BP35" i="13"/>
  <c r="BO35" i="13" s="1"/>
  <c r="BN35" i="13" s="1"/>
  <c r="BM35" i="13" s="1"/>
  <c r="BL35" i="13" s="1"/>
  <c r="E27" i="13"/>
  <c r="GZ27" i="13"/>
  <c r="HB27" i="13" s="1"/>
  <c r="HC27" i="13" s="1"/>
  <c r="CR27" i="13" s="1"/>
  <c r="CQ27" i="13" s="1"/>
  <c r="HH27" i="13"/>
  <c r="HJ27" i="13" s="1"/>
  <c r="HK27" i="13" s="1"/>
  <c r="HP27" i="13"/>
  <c r="HR27" i="13" s="1"/>
  <c r="HX27" i="13"/>
  <c r="HZ27" i="13" s="1"/>
  <c r="E12" i="13"/>
  <c r="GZ12" i="13"/>
  <c r="HB12" i="13" s="1"/>
  <c r="HC12" i="13" s="1"/>
  <c r="CR12" i="13" s="1"/>
  <c r="CQ12" i="13" s="1"/>
  <c r="HH12" i="13"/>
  <c r="HJ12" i="13" s="1"/>
  <c r="HK12" i="13" s="1"/>
  <c r="HX12" i="13"/>
  <c r="HZ12" i="13" s="1"/>
  <c r="HP12" i="13"/>
  <c r="HR12" i="13" s="1"/>
  <c r="FQ108" i="13"/>
  <c r="BC174" i="13"/>
  <c r="BB174" i="13" s="1"/>
  <c r="BA174" i="13" s="1"/>
  <c r="AZ174" i="13" s="1"/>
  <c r="AY174" i="13" s="1"/>
  <c r="BP174" i="13"/>
  <c r="BO174" i="13" s="1"/>
  <c r="BN174" i="13" s="1"/>
  <c r="BM174" i="13" s="1"/>
  <c r="BL174" i="13" s="1"/>
  <c r="BU174" i="13"/>
  <c r="BT174" i="13" s="1"/>
  <c r="BS174" i="13" s="1"/>
  <c r="BR174" i="13" s="1"/>
  <c r="BQ174" i="13" s="1"/>
  <c r="AX174" i="13"/>
  <c r="AW174" i="13" s="1"/>
  <c r="AV174" i="13" s="1"/>
  <c r="AU174" i="13" s="1"/>
  <c r="AT174" i="13" s="1"/>
  <c r="CE174" i="13"/>
  <c r="CD174" i="13" s="1"/>
  <c r="AS174" i="13"/>
  <c r="AR174" i="13" s="1"/>
  <c r="AQ174" i="13" s="1"/>
  <c r="AP174" i="13" s="1"/>
  <c r="AO174" i="13" s="1"/>
  <c r="AL174" i="13" s="1"/>
  <c r="BH174" i="13"/>
  <c r="BG174" i="13" s="1"/>
  <c r="BF174" i="13" s="1"/>
  <c r="BE174" i="13" s="1"/>
  <c r="BD174" i="13" s="1"/>
  <c r="BZ174" i="13"/>
  <c r="BY174" i="13" s="1"/>
  <c r="BP60" i="13"/>
  <c r="BO60" i="13" s="1"/>
  <c r="BN60" i="13" s="1"/>
  <c r="BM60" i="13" s="1"/>
  <c r="BL60" i="13" s="1"/>
  <c r="ND141" i="13"/>
  <c r="NE141" i="13" s="1"/>
  <c r="AS165" i="13"/>
  <c r="AR165" i="13" s="1"/>
  <c r="AQ165" i="13" s="1"/>
  <c r="AP165" i="13" s="1"/>
  <c r="AO165" i="13" s="1"/>
  <c r="AL165" i="13" s="1"/>
  <c r="JJ192" i="13"/>
  <c r="JI192" i="13"/>
  <c r="GF86" i="13"/>
  <c r="GP86" i="13" s="1"/>
  <c r="GO86" i="13"/>
  <c r="GF122" i="13"/>
  <c r="GO122" i="13"/>
  <c r="NH67" i="13"/>
  <c r="NG67" i="13"/>
  <c r="KH67" i="13" s="1"/>
  <c r="KJ67" i="13" s="1"/>
  <c r="KK67" i="13" s="1"/>
  <c r="NF67" i="13"/>
  <c r="JL67" i="13"/>
  <c r="JN67" i="13" s="1"/>
  <c r="JA185" i="13"/>
  <c r="JF185" i="13" s="1"/>
  <c r="JH185" i="13" s="1"/>
  <c r="NT128" i="13"/>
  <c r="IA128" i="13"/>
  <c r="NM128" i="13"/>
  <c r="NX192" i="13"/>
  <c r="NW192" i="13"/>
  <c r="FQ103" i="13"/>
  <c r="FQ18" i="13"/>
  <c r="NH137" i="13"/>
  <c r="NG137" i="13"/>
  <c r="KH137" i="13" s="1"/>
  <c r="KJ137" i="13" s="1"/>
  <c r="KK137" i="13" s="1"/>
  <c r="NF137" i="13"/>
  <c r="JL137" i="13"/>
  <c r="JN137" i="13" s="1"/>
  <c r="JA133" i="13"/>
  <c r="JF133" i="13" s="1"/>
  <c r="JH133" i="13" s="1"/>
  <c r="ND133" i="13"/>
  <c r="NE133" i="13" s="1"/>
  <c r="GP128" i="13"/>
  <c r="JA205" i="13"/>
  <c r="JF205" i="13" s="1"/>
  <c r="JH205" i="13" s="1"/>
  <c r="NH135" i="13"/>
  <c r="NG135" i="13"/>
  <c r="KH135" i="13" s="1"/>
  <c r="KJ135" i="13" s="1"/>
  <c r="KK135" i="13" s="1"/>
  <c r="NF135" i="13"/>
  <c r="JL135" i="13"/>
  <c r="JN135" i="13" s="1"/>
  <c r="JA157" i="13"/>
  <c r="JF157" i="13" s="1"/>
  <c r="JH157" i="13" s="1"/>
  <c r="E68" i="13"/>
  <c r="HX68" i="13"/>
  <c r="HZ68" i="13" s="1"/>
  <c r="GZ68" i="13"/>
  <c r="HB68" i="13" s="1"/>
  <c r="HC68" i="13" s="1"/>
  <c r="HP68" i="13"/>
  <c r="HR68" i="13" s="1"/>
  <c r="HH68" i="13"/>
  <c r="HJ68" i="13" s="1"/>
  <c r="HK68" i="13" s="1"/>
  <c r="FQ86" i="13"/>
  <c r="MW187" i="13"/>
  <c r="GV187" i="13"/>
  <c r="GX187" i="13" s="1"/>
  <c r="GY187" i="13" s="1"/>
  <c r="NT182" i="13"/>
  <c r="IA182" i="13"/>
  <c r="NM182" i="13"/>
  <c r="JJ87" i="13"/>
  <c r="JI87" i="13"/>
  <c r="JJ89" i="13"/>
  <c r="JI89" i="13"/>
  <c r="NM81" i="13"/>
  <c r="IA81" i="13"/>
  <c r="NN81" i="13" s="1"/>
  <c r="NT81" i="13"/>
  <c r="FQ22" i="13"/>
  <c r="NG173" i="13"/>
  <c r="KH173" i="13" s="1"/>
  <c r="KJ173" i="13" s="1"/>
  <c r="KK173" i="13" s="1"/>
  <c r="NF173" i="13"/>
  <c r="NH173" i="13"/>
  <c r="JL173" i="13"/>
  <c r="JN173" i="13" s="1"/>
  <c r="IA162" i="13"/>
  <c r="NT162" i="13"/>
  <c r="NM162" i="13"/>
  <c r="NH65" i="13"/>
  <c r="NG65" i="13"/>
  <c r="KH65" i="13" s="1"/>
  <c r="KJ65" i="13" s="1"/>
  <c r="KK65" i="13" s="1"/>
  <c r="NF65" i="13"/>
  <c r="JL65" i="13"/>
  <c r="JN65" i="13" s="1"/>
  <c r="JA178" i="13"/>
  <c r="JF178" i="13" s="1"/>
  <c r="JH178" i="13" s="1"/>
  <c r="W5" i="141"/>
  <c r="FU104" i="13"/>
  <c r="FW104" i="13" s="1"/>
  <c r="FX104" i="13" s="1"/>
  <c r="X5" i="141" s="1"/>
  <c r="MV180" i="13"/>
  <c r="MU180" i="13"/>
  <c r="GQ180" i="13" s="1"/>
  <c r="GS180" i="13" s="1"/>
  <c r="GU180" i="13" s="1"/>
  <c r="MT180" i="13"/>
  <c r="GC180" i="13"/>
  <c r="GE180" i="13" s="1"/>
  <c r="GP81" i="13"/>
  <c r="GF170" i="13"/>
  <c r="GP170" i="13" s="1"/>
  <c r="GO170" i="13"/>
  <c r="NG174" i="13"/>
  <c r="KH174" i="13" s="1"/>
  <c r="KJ174" i="13" s="1"/>
  <c r="KK174" i="13" s="1"/>
  <c r="NF174" i="13"/>
  <c r="NH174" i="13"/>
  <c r="JL174" i="13"/>
  <c r="JN174" i="13" s="1"/>
  <c r="JO43" i="13"/>
  <c r="KF43" i="13"/>
  <c r="JJ145" i="13"/>
  <c r="JI145" i="13"/>
  <c r="NX57" i="13"/>
  <c r="NW57" i="13"/>
  <c r="HL40" i="13"/>
  <c r="HN40" i="13" s="1"/>
  <c r="HO40" i="13" s="1"/>
  <c r="IB40" i="13"/>
  <c r="ID40" i="13" s="1"/>
  <c r="IE40" i="13" s="1"/>
  <c r="HT40" i="13"/>
  <c r="HV40" i="13" s="1"/>
  <c r="HW40" i="13" s="1"/>
  <c r="HD40" i="13"/>
  <c r="HF40" i="13" s="1"/>
  <c r="HG40" i="13" s="1"/>
  <c r="GP148" i="13"/>
  <c r="HL171" i="13"/>
  <c r="HN171" i="13" s="1"/>
  <c r="HO171" i="13" s="1"/>
  <c r="HD171" i="13"/>
  <c r="HF171" i="13" s="1"/>
  <c r="HG171" i="13" s="1"/>
  <c r="HT171" i="13"/>
  <c r="HV171" i="13" s="1"/>
  <c r="HW171" i="13" s="1"/>
  <c r="IB171" i="13"/>
  <c r="ID171" i="13" s="1"/>
  <c r="IE171" i="13" s="1"/>
  <c r="HT72" i="13"/>
  <c r="HV72" i="13" s="1"/>
  <c r="HW72" i="13" s="1"/>
  <c r="HL72" i="13"/>
  <c r="HN72" i="13" s="1"/>
  <c r="HO72" i="13" s="1"/>
  <c r="HD72" i="13"/>
  <c r="HF72" i="13" s="1"/>
  <c r="HG72" i="13" s="1"/>
  <c r="IB72" i="13"/>
  <c r="ID72" i="13" s="1"/>
  <c r="IE72" i="13" s="1"/>
  <c r="FQ117" i="13"/>
  <c r="HT84" i="13"/>
  <c r="HV84" i="13" s="1"/>
  <c r="HW84" i="13" s="1"/>
  <c r="HD84" i="13"/>
  <c r="HF84" i="13" s="1"/>
  <c r="HG84" i="13" s="1"/>
  <c r="HL84" i="13"/>
  <c r="HN84" i="13" s="1"/>
  <c r="HO84" i="13" s="1"/>
  <c r="IB84" i="13"/>
  <c r="ID84" i="13" s="1"/>
  <c r="IE84" i="13" s="1"/>
  <c r="JK197" i="13"/>
  <c r="HT93" i="13"/>
  <c r="HV93" i="13" s="1"/>
  <c r="HW93" i="13" s="1"/>
  <c r="HD93" i="13"/>
  <c r="HF93" i="13" s="1"/>
  <c r="HG93" i="13" s="1"/>
  <c r="HL93" i="13"/>
  <c r="HN93" i="13" s="1"/>
  <c r="HO93" i="13" s="1"/>
  <c r="IB93" i="13"/>
  <c r="ID93" i="13" s="1"/>
  <c r="IE93" i="13" s="1"/>
  <c r="E169" i="13"/>
  <c r="HX169" i="13"/>
  <c r="HZ169" i="13" s="1"/>
  <c r="HP169" i="13"/>
  <c r="HR169" i="13" s="1"/>
  <c r="HH169" i="13"/>
  <c r="HJ169" i="13" s="1"/>
  <c r="HK169" i="13" s="1"/>
  <c r="GZ169" i="13"/>
  <c r="HB169" i="13" s="1"/>
  <c r="HC169" i="13" s="1"/>
  <c r="NL35" i="13"/>
  <c r="AS35" i="13"/>
  <c r="AR35" i="13" s="1"/>
  <c r="AQ35" i="13" s="1"/>
  <c r="AP35" i="13" s="1"/>
  <c r="AO35" i="13" s="1"/>
  <c r="AL35" i="13" s="1"/>
  <c r="JA107" i="13"/>
  <c r="JF107" i="13" s="1"/>
  <c r="JH107" i="13" s="1"/>
  <c r="JJ72" i="13"/>
  <c r="JI72" i="13"/>
  <c r="GF112" i="13"/>
  <c r="GO112" i="13"/>
  <c r="JJ114" i="13"/>
  <c r="JI114" i="13"/>
  <c r="GP158" i="13"/>
  <c r="NL158" i="13"/>
  <c r="NN158" i="13"/>
  <c r="GF67" i="13"/>
  <c r="GO67" i="13"/>
  <c r="GF82" i="13"/>
  <c r="GO82" i="13"/>
  <c r="GF184" i="13"/>
  <c r="GP184" i="13" s="1"/>
  <c r="GO184" i="13"/>
  <c r="JJ176" i="13"/>
  <c r="JI176" i="13"/>
  <c r="BP164" i="13"/>
  <c r="BO164" i="13" s="1"/>
  <c r="BN164" i="13" s="1"/>
  <c r="BM164" i="13" s="1"/>
  <c r="BL164" i="13" s="1"/>
  <c r="NN164" i="13"/>
  <c r="E18" i="13"/>
  <c r="HH18" i="13"/>
  <c r="HJ18" i="13" s="1"/>
  <c r="HK18" i="13" s="1"/>
  <c r="HP18" i="13"/>
  <c r="HR18" i="13" s="1"/>
  <c r="GZ18" i="13"/>
  <c r="HB18" i="13" s="1"/>
  <c r="HC18" i="13" s="1"/>
  <c r="CR18" i="13" s="1"/>
  <c r="CQ18" i="13" s="1"/>
  <c r="HX18" i="13"/>
  <c r="HZ18" i="13" s="1"/>
  <c r="JJ141" i="13"/>
  <c r="JI141" i="13"/>
  <c r="HL52" i="13"/>
  <c r="HN52" i="13" s="1"/>
  <c r="HO52" i="13" s="1"/>
  <c r="IB52" i="13"/>
  <c r="ID52" i="13" s="1"/>
  <c r="IE52" i="13" s="1"/>
  <c r="HD52" i="13"/>
  <c r="HF52" i="13" s="1"/>
  <c r="HG52" i="13" s="1"/>
  <c r="HT52" i="13"/>
  <c r="HV52" i="13" s="1"/>
  <c r="HW52" i="13" s="1"/>
  <c r="MV191" i="13"/>
  <c r="MU191" i="13"/>
  <c r="GQ191" i="13" s="1"/>
  <c r="GS191" i="13" s="1"/>
  <c r="GU191" i="13" s="1"/>
  <c r="MT191" i="13"/>
  <c r="GC191" i="13"/>
  <c r="GE191" i="13" s="1"/>
  <c r="JA136" i="13"/>
  <c r="JF136" i="13" s="1"/>
  <c r="JH136" i="13" s="1"/>
  <c r="JI94" i="13"/>
  <c r="JJ94" i="13"/>
  <c r="ND68" i="13"/>
  <c r="NE68" i="13" s="1"/>
  <c r="JA68" i="13"/>
  <c r="JF68" i="13" s="1"/>
  <c r="JH68" i="13" s="1"/>
  <c r="MW210" i="13"/>
  <c r="GV210" i="13"/>
  <c r="GX210" i="13" s="1"/>
  <c r="GY210" i="13" s="1"/>
  <c r="HT63" i="13"/>
  <c r="HV63" i="13" s="1"/>
  <c r="HW63" i="13" s="1"/>
  <c r="HD63" i="13"/>
  <c r="HF63" i="13" s="1"/>
  <c r="HG63" i="13" s="1"/>
  <c r="HL63" i="13"/>
  <c r="HN63" i="13" s="1"/>
  <c r="HO63" i="13" s="1"/>
  <c r="IB63" i="13"/>
  <c r="ID63" i="13" s="1"/>
  <c r="IE63" i="13" s="1"/>
  <c r="NG212" i="13"/>
  <c r="KH212" i="13" s="1"/>
  <c r="KJ212" i="13" s="1"/>
  <c r="KK212" i="13" s="1"/>
  <c r="NF212" i="13"/>
  <c r="NH212" i="13"/>
  <c r="JL212" i="13"/>
  <c r="JN212" i="13" s="1"/>
  <c r="GV123" i="13"/>
  <c r="GX123" i="13" s="1"/>
  <c r="GY123" i="13" s="1"/>
  <c r="GF78" i="13"/>
  <c r="GP78" i="13" s="1"/>
  <c r="GO78" i="13"/>
  <c r="FQ16" i="13"/>
  <c r="NM31" i="13"/>
  <c r="BS31" i="13" s="1"/>
  <c r="BR31" i="13" s="1"/>
  <c r="BQ31" i="13" s="1"/>
  <c r="IA31" i="13"/>
  <c r="NT31" i="13"/>
  <c r="E118" i="13"/>
  <c r="GZ118" i="13"/>
  <c r="HB118" i="13" s="1"/>
  <c r="HC118" i="13" s="1"/>
  <c r="HX118" i="13"/>
  <c r="HZ118" i="13" s="1"/>
  <c r="HH118" i="13"/>
  <c r="HJ118" i="13" s="1"/>
  <c r="HK118" i="13" s="1"/>
  <c r="HP118" i="13"/>
  <c r="HR118" i="13" s="1"/>
  <c r="GP52" i="13"/>
  <c r="HS145" i="13"/>
  <c r="NL145" i="13" s="1"/>
  <c r="NK145" i="13"/>
  <c r="NY145" i="13"/>
  <c r="NS145" i="13"/>
  <c r="NS128" i="13"/>
  <c r="HS128" i="13"/>
  <c r="NL128" i="13" s="1"/>
  <c r="NK128" i="13"/>
  <c r="NY128" i="13"/>
  <c r="MV138" i="13"/>
  <c r="MU138" i="13"/>
  <c r="GQ138" i="13" s="1"/>
  <c r="GS138" i="13" s="1"/>
  <c r="GU138" i="13" s="1"/>
  <c r="MT138" i="13"/>
  <c r="GC138" i="13"/>
  <c r="GE138" i="13" s="1"/>
  <c r="JJ137" i="13"/>
  <c r="JI137" i="13"/>
  <c r="NN21" i="13"/>
  <c r="BP21" i="13"/>
  <c r="BO21" i="13" s="1"/>
  <c r="BN21" i="13" s="1"/>
  <c r="BM21" i="13" s="1"/>
  <c r="BL21" i="13" s="1"/>
  <c r="E196" i="13"/>
  <c r="HP196" i="13"/>
  <c r="HR196" i="13" s="1"/>
  <c r="HH196" i="13"/>
  <c r="HJ196" i="13" s="1"/>
  <c r="HK196" i="13" s="1"/>
  <c r="HX196" i="13"/>
  <c r="HZ196" i="13" s="1"/>
  <c r="GZ196" i="13"/>
  <c r="HB196" i="13" s="1"/>
  <c r="HC196" i="13" s="1"/>
  <c r="MV126" i="13"/>
  <c r="MU126" i="13"/>
  <c r="GQ126" i="13" s="1"/>
  <c r="GS126" i="13" s="1"/>
  <c r="GU126" i="13" s="1"/>
  <c r="MT126" i="13"/>
  <c r="GC126" i="13"/>
  <c r="GE126" i="13" s="1"/>
  <c r="JA120" i="13"/>
  <c r="JF120" i="13" s="1"/>
  <c r="JH120" i="13" s="1"/>
  <c r="GP43" i="13"/>
  <c r="MV61" i="13"/>
  <c r="MU61" i="13"/>
  <c r="GQ61" i="13" s="1"/>
  <c r="GS61" i="13" s="1"/>
  <c r="GU61" i="13" s="1"/>
  <c r="MT61" i="13"/>
  <c r="GC61" i="13"/>
  <c r="GE61" i="13" s="1"/>
  <c r="NX80" i="13"/>
  <c r="NW80" i="13"/>
  <c r="NK182" i="13"/>
  <c r="NY182" i="13"/>
  <c r="NS182" i="13"/>
  <c r="HS182" i="13"/>
  <c r="NL182" i="13" s="1"/>
  <c r="NK24" i="13"/>
  <c r="NY24" i="13"/>
  <c r="NS24" i="13"/>
  <c r="HS24" i="13"/>
  <c r="HT64" i="13"/>
  <c r="HV64" i="13" s="1"/>
  <c r="HW64" i="13" s="1"/>
  <c r="HD64" i="13"/>
  <c r="HF64" i="13" s="1"/>
  <c r="HG64" i="13" s="1"/>
  <c r="HL64" i="13"/>
  <c r="HN64" i="13" s="1"/>
  <c r="HO64" i="13" s="1"/>
  <c r="IB64" i="13"/>
  <c r="ID64" i="13" s="1"/>
  <c r="IE64" i="13" s="1"/>
  <c r="ND87" i="13"/>
  <c r="NE87" i="13" s="1"/>
  <c r="FQ68" i="13"/>
  <c r="GP182" i="13"/>
  <c r="NN182" i="13"/>
  <c r="JA144" i="13"/>
  <c r="JF144" i="13" s="1"/>
  <c r="JH144" i="13" s="1"/>
  <c r="ND89" i="13"/>
  <c r="NE89" i="13" s="1"/>
  <c r="GF92" i="13"/>
  <c r="GO92" i="13"/>
  <c r="AV32" i="13"/>
  <c r="AU32" i="13" s="1"/>
  <c r="AT32" i="13" s="1"/>
  <c r="NY162" i="13"/>
  <c r="NS162" i="13"/>
  <c r="HS162" i="13"/>
  <c r="NK162" i="13"/>
  <c r="ND129" i="13"/>
  <c r="NE129" i="13" s="1"/>
  <c r="JK210" i="13"/>
  <c r="ND57" i="13"/>
  <c r="NE57" i="13" s="1"/>
  <c r="HT149" i="13"/>
  <c r="HV149" i="13" s="1"/>
  <c r="HW149" i="13" s="1"/>
  <c r="IB149" i="13"/>
  <c r="ID149" i="13" s="1"/>
  <c r="IE149" i="13" s="1"/>
  <c r="HL149" i="13"/>
  <c r="HN149" i="13" s="1"/>
  <c r="HO149" i="13" s="1"/>
  <c r="HD149" i="13"/>
  <c r="HF149" i="13" s="1"/>
  <c r="HG149" i="13" s="1"/>
  <c r="MW29" i="13"/>
  <c r="GV29" i="13"/>
  <c r="GX29" i="13" s="1"/>
  <c r="GY29" i="13" s="1"/>
  <c r="BU37" i="13"/>
  <c r="BT37" i="13" s="1"/>
  <c r="BS37" i="13" s="1"/>
  <c r="BR37" i="13" s="1"/>
  <c r="BQ37" i="13" s="1"/>
  <c r="AX37" i="13"/>
  <c r="AW37" i="13" s="1"/>
  <c r="AV37" i="13" s="1"/>
  <c r="AU37" i="13" s="1"/>
  <c r="AT37" i="13" s="1"/>
  <c r="BP37" i="13"/>
  <c r="BO37" i="13" s="1"/>
  <c r="BN37" i="13" s="1"/>
  <c r="BM37" i="13" s="1"/>
  <c r="BL37" i="13" s="1"/>
  <c r="CE37" i="13"/>
  <c r="CD37" i="13" s="1"/>
  <c r="BC37" i="13"/>
  <c r="BB37" i="13" s="1"/>
  <c r="BA37" i="13" s="1"/>
  <c r="AZ37" i="13" s="1"/>
  <c r="AY37" i="13" s="1"/>
  <c r="AS37" i="13"/>
  <c r="AR37" i="13" s="1"/>
  <c r="AQ37" i="13" s="1"/>
  <c r="AP37" i="13" s="1"/>
  <c r="AO37" i="13" s="1"/>
  <c r="AL37" i="13" s="1"/>
  <c r="BH37" i="13"/>
  <c r="BG37" i="13" s="1"/>
  <c r="BF37" i="13" s="1"/>
  <c r="BE37" i="13" s="1"/>
  <c r="BD37" i="13" s="1"/>
  <c r="BZ37" i="13"/>
  <c r="BY37" i="13" s="1"/>
  <c r="GP160" i="13"/>
  <c r="MR104" i="13"/>
  <c r="BN213" i="13"/>
  <c r="BM213" i="13" s="1"/>
  <c r="BL213" i="13" s="1"/>
  <c r="HT38" i="13"/>
  <c r="HV38" i="13" s="1"/>
  <c r="HW38" i="13" s="1"/>
  <c r="HD38" i="13"/>
  <c r="HF38" i="13" s="1"/>
  <c r="HG38" i="13" s="1"/>
  <c r="HL38" i="13"/>
  <c r="HN38" i="13" s="1"/>
  <c r="HO38" i="13" s="1"/>
  <c r="IB38" i="13"/>
  <c r="ID38" i="13" s="1"/>
  <c r="IE38" i="13" s="1"/>
  <c r="FQ181" i="13"/>
  <c r="ND81" i="13"/>
  <c r="NE81" i="13" s="1"/>
  <c r="GF200" i="13"/>
  <c r="GO200" i="13"/>
  <c r="IA155" i="13"/>
  <c r="NT155" i="13"/>
  <c r="NM155" i="13"/>
  <c r="E146" i="13"/>
  <c r="HP146" i="13"/>
  <c r="HR146" i="13" s="1"/>
  <c r="HX146" i="13"/>
  <c r="HZ146" i="13" s="1"/>
  <c r="GZ146" i="13"/>
  <c r="HB146" i="13" s="1"/>
  <c r="HC146" i="13" s="1"/>
  <c r="HH146" i="13"/>
  <c r="HJ146" i="13" s="1"/>
  <c r="HK146" i="13" s="1"/>
  <c r="ND13" i="13"/>
  <c r="NE13" i="13" s="1"/>
  <c r="JA13" i="13"/>
  <c r="ND16" i="13"/>
  <c r="NE16" i="13" s="1"/>
  <c r="JA16" i="13"/>
  <c r="NI43" i="13"/>
  <c r="KL43" i="13"/>
  <c r="KN43" i="13" s="1"/>
  <c r="KO43" i="13" s="1"/>
  <c r="GF179" i="13"/>
  <c r="GO179" i="13"/>
  <c r="E15" i="13"/>
  <c r="HH15" i="13"/>
  <c r="HJ15" i="13" s="1"/>
  <c r="HK15" i="13" s="1"/>
  <c r="GZ15" i="13"/>
  <c r="HB15" i="13" s="1"/>
  <c r="HC15" i="13" s="1"/>
  <c r="CR15" i="13" s="1"/>
  <c r="CQ15" i="13" s="1"/>
  <c r="HP15" i="13"/>
  <c r="HR15" i="13" s="1"/>
  <c r="HX15" i="13"/>
  <c r="HZ15" i="13" s="1"/>
  <c r="GF211" i="13"/>
  <c r="GO211" i="13"/>
  <c r="NX34" i="13"/>
  <c r="NW34" i="13"/>
  <c r="NT87" i="13"/>
  <c r="IA87" i="13"/>
  <c r="NN87" i="13" s="1"/>
  <c r="NM87" i="13"/>
  <c r="JA117" i="13"/>
  <c r="JF117" i="13" s="1"/>
  <c r="JH117" i="13" s="1"/>
  <c r="GP40" i="13"/>
  <c r="NM58" i="13"/>
  <c r="IA58" i="13"/>
  <c r="NN58" i="13" s="1"/>
  <c r="NT58" i="13"/>
  <c r="NM28" i="13"/>
  <c r="IA28" i="13"/>
  <c r="NN28" i="13" s="1"/>
  <c r="NT28" i="13"/>
  <c r="JA103" i="13"/>
  <c r="JF103" i="13" s="1"/>
  <c r="JH103" i="13" s="1"/>
  <c r="ND103" i="13"/>
  <c r="NE103" i="13" s="1"/>
  <c r="HL172" i="13"/>
  <c r="HN172" i="13" s="1"/>
  <c r="HO172" i="13" s="1"/>
  <c r="IB172" i="13"/>
  <c r="ID172" i="13" s="1"/>
  <c r="IE172" i="13" s="1"/>
  <c r="HD172" i="13"/>
  <c r="HF172" i="13" s="1"/>
  <c r="HG172" i="13" s="1"/>
  <c r="HT172" i="13"/>
  <c r="HV172" i="13" s="1"/>
  <c r="HW172" i="13" s="1"/>
  <c r="ND15" i="13"/>
  <c r="NE15" i="13" s="1"/>
  <c r="JA15" i="13"/>
  <c r="FQ15" i="13"/>
  <c r="GF206" i="13"/>
  <c r="GO206" i="13"/>
  <c r="GP172" i="13"/>
  <c r="FQ140" i="13"/>
  <c r="GF116" i="13"/>
  <c r="GO116" i="13"/>
  <c r="HL59" i="13"/>
  <c r="HN59" i="13" s="1"/>
  <c r="HO59" i="13" s="1"/>
  <c r="HD59" i="13"/>
  <c r="HF59" i="13" s="1"/>
  <c r="HG59" i="13" s="1"/>
  <c r="IB59" i="13"/>
  <c r="ID59" i="13" s="1"/>
  <c r="IE59" i="13" s="1"/>
  <c r="HT59" i="13"/>
  <c r="HV59" i="13" s="1"/>
  <c r="HW59" i="13" s="1"/>
  <c r="ND72" i="13"/>
  <c r="NE72" i="13" s="1"/>
  <c r="JA62" i="13"/>
  <c r="JF62" i="13" s="1"/>
  <c r="JH62" i="13" s="1"/>
  <c r="ND114" i="13"/>
  <c r="NE114" i="13" s="1"/>
  <c r="JA83" i="13"/>
  <c r="JF83" i="13" s="1"/>
  <c r="JH83" i="13" s="1"/>
  <c r="T5" i="141"/>
  <c r="FQ104" i="13"/>
  <c r="MW82" i="13"/>
  <c r="GV82" i="13"/>
  <c r="GX82" i="13" s="1"/>
  <c r="GY82" i="13" s="1"/>
  <c r="MW184" i="13"/>
  <c r="GV184" i="13"/>
  <c r="GX184" i="13" s="1"/>
  <c r="GY184" i="13" s="1"/>
  <c r="ND176" i="13"/>
  <c r="NE176" i="13" s="1"/>
  <c r="NM84" i="13"/>
  <c r="IA84" i="13"/>
  <c r="NT84" i="13"/>
  <c r="NK176" i="13"/>
  <c r="NY176" i="13"/>
  <c r="NS176" i="13"/>
  <c r="HS176" i="13"/>
  <c r="NL176" i="13" s="1"/>
  <c r="HD201" i="13"/>
  <c r="HF201" i="13" s="1"/>
  <c r="HG201" i="13" s="1"/>
  <c r="HT201" i="13"/>
  <c r="HV201" i="13" s="1"/>
  <c r="HW201" i="13" s="1"/>
  <c r="IB201" i="13"/>
  <c r="ID201" i="13" s="1"/>
  <c r="IE201" i="13" s="1"/>
  <c r="HL201" i="13"/>
  <c r="HN201" i="13" s="1"/>
  <c r="HO201" i="13" s="1"/>
  <c r="JA199" i="13"/>
  <c r="JF199" i="13" s="1"/>
  <c r="JH199" i="13" s="1"/>
  <c r="JA111" i="13"/>
  <c r="JF111" i="13" s="1"/>
  <c r="JH111" i="13" s="1"/>
  <c r="AV33" i="13"/>
  <c r="AU33" i="13" s="1"/>
  <c r="AT33" i="13" s="1"/>
  <c r="AV164" i="13"/>
  <c r="AU164" i="13" s="1"/>
  <c r="AT164" i="13" s="1"/>
  <c r="GF39" i="13"/>
  <c r="GP39" i="13" s="1"/>
  <c r="GO39" i="13"/>
  <c r="AX118" i="13"/>
  <c r="AW118" i="13" s="1"/>
  <c r="BU118" i="13"/>
  <c r="BT118" i="13" s="1"/>
  <c r="NM148" i="13"/>
  <c r="IA148" i="13"/>
  <c r="NN148" i="13" s="1"/>
  <c r="NT148" i="13"/>
  <c r="NH33" i="13"/>
  <c r="NG33" i="13"/>
  <c r="KH33" i="13" s="1"/>
  <c r="KJ33" i="13" s="1"/>
  <c r="KK33" i="13" s="1"/>
  <c r="NF33" i="13"/>
  <c r="MV117" i="13"/>
  <c r="MU117" i="13"/>
  <c r="GQ117" i="13" s="1"/>
  <c r="GS117" i="13" s="1"/>
  <c r="GU117" i="13" s="1"/>
  <c r="MT117" i="13"/>
  <c r="GC117" i="13"/>
  <c r="GE117" i="13" s="1"/>
  <c r="FQ79" i="13"/>
  <c r="HT19" i="13"/>
  <c r="HV19" i="13" s="1"/>
  <c r="HW19" i="13" s="1"/>
  <c r="IB19" i="13"/>
  <c r="ID19" i="13" s="1"/>
  <c r="IE19" i="13" s="1"/>
  <c r="HD19" i="13"/>
  <c r="HF19" i="13" s="1"/>
  <c r="HG19" i="13" s="1"/>
  <c r="HL19" i="13"/>
  <c r="HN19" i="13" s="1"/>
  <c r="HO19" i="13" s="1"/>
  <c r="NM145" i="13"/>
  <c r="IA145" i="13"/>
  <c r="NN145" i="13" s="1"/>
  <c r="NT145" i="13"/>
  <c r="GF152" i="13"/>
  <c r="GO152" i="13"/>
  <c r="GF209" i="13"/>
  <c r="GP209" i="13" s="1"/>
  <c r="GO209" i="13"/>
  <c r="GF83" i="13"/>
  <c r="GP83" i="13" s="1"/>
  <c r="GO83" i="13"/>
  <c r="FQ168" i="13"/>
  <c r="MV69" i="13"/>
  <c r="MU69" i="13"/>
  <c r="GQ69" i="13" s="1"/>
  <c r="GS69" i="13" s="1"/>
  <c r="GU69" i="13" s="1"/>
  <c r="MT69" i="13"/>
  <c r="GC69" i="13"/>
  <c r="GE69" i="13" s="1"/>
  <c r="NH51" i="13"/>
  <c r="NG51" i="13"/>
  <c r="KH51" i="13" s="1"/>
  <c r="KJ51" i="13" s="1"/>
  <c r="KK51" i="13" s="1"/>
  <c r="NF51" i="13"/>
  <c r="JL51" i="13"/>
  <c r="JN51" i="13" s="1"/>
  <c r="NS64" i="13"/>
  <c r="HS64" i="13"/>
  <c r="NK64" i="13"/>
  <c r="NY64" i="13"/>
  <c r="GF106" i="13"/>
  <c r="GO106" i="13"/>
  <c r="ND191" i="13"/>
  <c r="NE191" i="13" s="1"/>
  <c r="JA191" i="13"/>
  <c r="JF191" i="13" s="1"/>
  <c r="JH191" i="13" s="1"/>
  <c r="HL24" i="13"/>
  <c r="HN24" i="13" s="1"/>
  <c r="HO24" i="13" s="1"/>
  <c r="CE24" i="13" s="1"/>
  <c r="CD24" i="13" s="1"/>
  <c r="HT24" i="13"/>
  <c r="HV24" i="13" s="1"/>
  <c r="HW24" i="13" s="1"/>
  <c r="BC24" i="13" s="1"/>
  <c r="BB24" i="13" s="1"/>
  <c r="IB24" i="13"/>
  <c r="ID24" i="13" s="1"/>
  <c r="IE24" i="13" s="1"/>
  <c r="BZ24" i="13" s="1"/>
  <c r="BY24" i="13" s="1"/>
  <c r="HD24" i="13"/>
  <c r="HF24" i="13" s="1"/>
  <c r="HG24" i="13" s="1"/>
  <c r="E187" i="13"/>
  <c r="GZ187" i="13"/>
  <c r="HB187" i="13" s="1"/>
  <c r="HC187" i="13" s="1"/>
  <c r="HP187" i="13"/>
  <c r="HR187" i="13" s="1"/>
  <c r="HH187" i="13"/>
  <c r="HJ187" i="13" s="1"/>
  <c r="HK187" i="13" s="1"/>
  <c r="HX187" i="13"/>
  <c r="HZ187" i="13" s="1"/>
  <c r="MU178" i="13"/>
  <c r="GQ178" i="13" s="1"/>
  <c r="GS178" i="13" s="1"/>
  <c r="GU178" i="13" s="1"/>
  <c r="MT178" i="13"/>
  <c r="MV178" i="13"/>
  <c r="GC178" i="13"/>
  <c r="GE178" i="13" s="1"/>
  <c r="MV47" i="13"/>
  <c r="MU47" i="13"/>
  <c r="GQ47" i="13" s="1"/>
  <c r="GS47" i="13" s="1"/>
  <c r="GU47" i="13" s="1"/>
  <c r="MT47" i="13"/>
  <c r="GC47" i="13"/>
  <c r="GE47" i="13" s="1"/>
  <c r="JJ115" i="13"/>
  <c r="JI115" i="13"/>
  <c r="FQ12" i="13"/>
  <c r="IB65" i="13"/>
  <c r="ID65" i="13" s="1"/>
  <c r="IE65" i="13" s="1"/>
  <c r="HT65" i="13"/>
  <c r="HV65" i="13" s="1"/>
  <c r="HW65" i="13" s="1"/>
  <c r="HL65" i="13"/>
  <c r="HN65" i="13" s="1"/>
  <c r="HO65" i="13" s="1"/>
  <c r="HD65" i="13"/>
  <c r="HF65" i="13" s="1"/>
  <c r="HG65" i="13" s="1"/>
  <c r="ND58" i="13"/>
  <c r="NE58" i="13" s="1"/>
  <c r="FQ130" i="13"/>
  <c r="E92" i="13"/>
  <c r="HP92" i="13"/>
  <c r="HR92" i="13" s="1"/>
  <c r="GZ92" i="13"/>
  <c r="HB92" i="13" s="1"/>
  <c r="HC92" i="13" s="1"/>
  <c r="HX92" i="13"/>
  <c r="HZ92" i="13" s="1"/>
  <c r="HH92" i="13"/>
  <c r="HJ92" i="13" s="1"/>
  <c r="HK92" i="13" s="1"/>
  <c r="JA177" i="13"/>
  <c r="JF177" i="13" s="1"/>
  <c r="JH177" i="13" s="1"/>
  <c r="HS81" i="13"/>
  <c r="NL81" i="13" s="1"/>
  <c r="NK81" i="13"/>
  <c r="NY81" i="13"/>
  <c r="NS81" i="13"/>
  <c r="ND12" i="13"/>
  <c r="NE12" i="13" s="1"/>
  <c r="JA12" i="13"/>
  <c r="JJ129" i="13"/>
  <c r="JI129" i="13"/>
  <c r="JI57" i="13"/>
  <c r="JJ57" i="13"/>
  <c r="NX174" i="13"/>
  <c r="NW174" i="13"/>
  <c r="HT160" i="13"/>
  <c r="HV160" i="13" s="1"/>
  <c r="HW160" i="13" s="1"/>
  <c r="HD160" i="13"/>
  <c r="HF160" i="13" s="1"/>
  <c r="HG160" i="13" s="1"/>
  <c r="HL160" i="13"/>
  <c r="HN160" i="13" s="1"/>
  <c r="HO160" i="13" s="1"/>
  <c r="IB160" i="13"/>
  <c r="ID160" i="13" s="1"/>
  <c r="IE160" i="13" s="1"/>
  <c r="FQ150" i="13"/>
  <c r="FQ13" i="13"/>
  <c r="NX60" i="13"/>
  <c r="NW60" i="13"/>
  <c r="FQ178" i="13"/>
  <c r="NW198" i="13"/>
  <c r="NX198" i="13"/>
  <c r="GF147" i="13"/>
  <c r="GP147" i="13" s="1"/>
  <c r="GO147" i="13"/>
  <c r="JA30" i="13"/>
  <c r="ND30" i="13"/>
  <c r="NE30" i="13" s="1"/>
  <c r="JJ81" i="13"/>
  <c r="JI81" i="13"/>
  <c r="MW179" i="13"/>
  <c r="GV179" i="13"/>
  <c r="GX179" i="13" s="1"/>
  <c r="GY179" i="13" s="1"/>
  <c r="FQ144" i="13"/>
  <c r="MW211" i="13"/>
  <c r="GV211" i="13"/>
  <c r="GX211" i="13" s="1"/>
  <c r="GY211" i="13" s="1"/>
  <c r="NL34" i="13"/>
  <c r="AS34" i="13"/>
  <c r="AR34" i="13" s="1"/>
  <c r="AQ34" i="13" s="1"/>
  <c r="AP34" i="13" s="1"/>
  <c r="AO34" i="13" s="1"/>
  <c r="AL34" i="13" s="1"/>
  <c r="NS87" i="13"/>
  <c r="HS87" i="13"/>
  <c r="NK87" i="13"/>
  <c r="NY87" i="13"/>
  <c r="JA22" i="13"/>
  <c r="ND22" i="13"/>
  <c r="NE22" i="13" s="1"/>
  <c r="HS58" i="13"/>
  <c r="NK58" i="13"/>
  <c r="NY58" i="13"/>
  <c r="NS58" i="13"/>
  <c r="MW206" i="13"/>
  <c r="GV206" i="13"/>
  <c r="GX206" i="13" s="1"/>
  <c r="GY206" i="13" s="1"/>
  <c r="NH171" i="13"/>
  <c r="NG171" i="13"/>
  <c r="KH171" i="13" s="1"/>
  <c r="KJ171" i="13" s="1"/>
  <c r="KK171" i="13" s="1"/>
  <c r="NF171" i="13"/>
  <c r="JL171" i="13"/>
  <c r="JN171" i="13" s="1"/>
  <c r="GF139" i="13"/>
  <c r="GP139" i="13" s="1"/>
  <c r="GO139" i="13"/>
  <c r="MW116" i="13"/>
  <c r="GV116" i="13"/>
  <c r="GX116" i="13" s="1"/>
  <c r="GY116" i="13" s="1"/>
  <c r="JO197" i="13"/>
  <c r="KG197" i="13" s="1"/>
  <c r="KF197" i="13"/>
  <c r="BF33" i="13"/>
  <c r="BE33" i="13" s="1"/>
  <c r="BD33" i="13" s="1"/>
  <c r="E112" i="13"/>
  <c r="HH112" i="13"/>
  <c r="HJ112" i="13" s="1"/>
  <c r="HK112" i="13" s="1"/>
  <c r="GZ112" i="13"/>
  <c r="HB112" i="13" s="1"/>
  <c r="HC112" i="13" s="1"/>
  <c r="HX112" i="13"/>
  <c r="HZ112" i="13" s="1"/>
  <c r="HP112" i="13"/>
  <c r="HR112" i="13" s="1"/>
  <c r="IB175" i="13"/>
  <c r="ID175" i="13" s="1"/>
  <c r="IE175" i="13" s="1"/>
  <c r="HT175" i="13"/>
  <c r="HV175" i="13" s="1"/>
  <c r="HW175" i="13" s="1"/>
  <c r="HD175" i="13"/>
  <c r="HF175" i="13" s="1"/>
  <c r="HG175" i="13" s="1"/>
  <c r="HL175" i="13"/>
  <c r="HN175" i="13" s="1"/>
  <c r="HO175" i="13" s="1"/>
  <c r="MW67" i="13"/>
  <c r="GV67" i="13"/>
  <c r="GX67" i="13" s="1"/>
  <c r="GY67" i="13" s="1"/>
  <c r="GP58" i="13"/>
  <c r="NL58" i="13"/>
  <c r="GF96" i="13"/>
  <c r="GP96" i="13" s="1"/>
  <c r="GO96" i="13"/>
  <c r="JJ71" i="13"/>
  <c r="JI71" i="13"/>
  <c r="NX173" i="13"/>
  <c r="NW173" i="13"/>
  <c r="GF41" i="13"/>
  <c r="GO41" i="13"/>
  <c r="E183" i="13"/>
  <c r="HX183" i="13"/>
  <c r="HZ183" i="13" s="1"/>
  <c r="HH183" i="13"/>
  <c r="HJ183" i="13" s="1"/>
  <c r="HK183" i="13" s="1"/>
  <c r="HP183" i="13"/>
  <c r="HR183" i="13" s="1"/>
  <c r="GZ183" i="13"/>
  <c r="HB183" i="13" s="1"/>
  <c r="HC183" i="13" s="1"/>
  <c r="JJ158" i="13"/>
  <c r="JI158" i="13"/>
  <c r="BH173" i="13"/>
  <c r="BG173" i="13" s="1"/>
  <c r="BF173" i="13" s="1"/>
  <c r="BE173" i="13" s="1"/>
  <c r="BD173" i="13" s="1"/>
  <c r="AS173" i="13"/>
  <c r="AR173" i="13" s="1"/>
  <c r="AQ173" i="13" s="1"/>
  <c r="AP173" i="13" s="1"/>
  <c r="AO173" i="13" s="1"/>
  <c r="AL173" i="13" s="1"/>
  <c r="CE173" i="13"/>
  <c r="CD173" i="13" s="1"/>
  <c r="BP173" i="13"/>
  <c r="BO173" i="13" s="1"/>
  <c r="BN173" i="13" s="1"/>
  <c r="BM173" i="13" s="1"/>
  <c r="BL173" i="13" s="1"/>
  <c r="BZ173" i="13"/>
  <c r="BY173" i="13" s="1"/>
  <c r="BC173" i="13"/>
  <c r="BB173" i="13" s="1"/>
  <c r="BA173" i="13" s="1"/>
  <c r="AZ173" i="13" s="1"/>
  <c r="AY173" i="13" s="1"/>
  <c r="BU173" i="13"/>
  <c r="BT173" i="13" s="1"/>
  <c r="BS173" i="13" s="1"/>
  <c r="BR173" i="13" s="1"/>
  <c r="BQ173" i="13" s="1"/>
  <c r="AX173" i="13"/>
  <c r="AW173" i="13" s="1"/>
  <c r="AV173" i="13" s="1"/>
  <c r="AU173" i="13" s="1"/>
  <c r="AT173" i="13" s="1"/>
  <c r="FQ77" i="13"/>
  <c r="NM131" i="13"/>
  <c r="IA131" i="13"/>
  <c r="NT131" i="13"/>
  <c r="IB74" i="13"/>
  <c r="ID74" i="13" s="1"/>
  <c r="IE74" i="13" s="1"/>
  <c r="HT74" i="13"/>
  <c r="HV74" i="13" s="1"/>
  <c r="HW74" i="13" s="1"/>
  <c r="HL74" i="13"/>
  <c r="HN74" i="13" s="1"/>
  <c r="HO74" i="13" s="1"/>
  <c r="HD74" i="13"/>
  <c r="HF74" i="13" s="1"/>
  <c r="HG74" i="13" s="1"/>
  <c r="MW209" i="13"/>
  <c r="GV209" i="13"/>
  <c r="GX209" i="13" s="1"/>
  <c r="GY209" i="13" s="1"/>
  <c r="MW83" i="13"/>
  <c r="GV83" i="13"/>
  <c r="GX83" i="13" s="1"/>
  <c r="GY83" i="13" s="1"/>
  <c r="NT193" i="13"/>
  <c r="IA193" i="13"/>
  <c r="NN193" i="13" s="1"/>
  <c r="NM193" i="13"/>
  <c r="JA96" i="13"/>
  <c r="JF96" i="13" s="1"/>
  <c r="JH96" i="13" s="1"/>
  <c r="IA65" i="13"/>
  <c r="NN65" i="13" s="1"/>
  <c r="NT65" i="13"/>
  <c r="NM65" i="13"/>
  <c r="JJ159" i="13"/>
  <c r="JI159" i="13"/>
  <c r="MW106" i="13"/>
  <c r="GV106" i="13"/>
  <c r="GX106" i="13" s="1"/>
  <c r="GY106" i="13" s="1"/>
  <c r="FQ170" i="13"/>
  <c r="JJ194" i="13"/>
  <c r="JI194" i="13"/>
  <c r="JI189" i="13"/>
  <c r="JJ189" i="13"/>
  <c r="JA187" i="13"/>
  <c r="JF187" i="13" s="1"/>
  <c r="JH187" i="13" s="1"/>
  <c r="MV102" i="13"/>
  <c r="MU102" i="13"/>
  <c r="GQ102" i="13" s="1"/>
  <c r="GS102" i="13" s="1"/>
  <c r="GU102" i="13" s="1"/>
  <c r="MT102" i="13"/>
  <c r="GC102" i="13"/>
  <c r="GE102" i="13" s="1"/>
  <c r="AX24" i="13"/>
  <c r="AW24" i="13" s="1"/>
  <c r="CR24" i="13"/>
  <c r="CQ24" i="13" s="1"/>
  <c r="FQ180" i="13"/>
  <c r="NG115" i="13"/>
  <c r="KH115" i="13" s="1"/>
  <c r="KJ115" i="13" s="1"/>
  <c r="KK115" i="13" s="1"/>
  <c r="NF115" i="13"/>
  <c r="NH115" i="13"/>
  <c r="JL115" i="13"/>
  <c r="JN115" i="13" s="1"/>
  <c r="GF77" i="13"/>
  <c r="GP77" i="13" s="1"/>
  <c r="GO77" i="13"/>
  <c r="JJ58" i="13"/>
  <c r="JI58" i="13"/>
  <c r="AV21" i="13"/>
  <c r="AU21" i="13" s="1"/>
  <c r="AT21" i="13" s="1"/>
  <c r="JA56" i="13"/>
  <c r="JF56" i="13" s="1"/>
  <c r="JH56" i="13" s="1"/>
  <c r="BS32" i="13"/>
  <c r="BR32" i="13" s="1"/>
  <c r="BQ32" i="13" s="1"/>
  <c r="MV79" i="13"/>
  <c r="MU79" i="13"/>
  <c r="GQ79" i="13" s="1"/>
  <c r="GS79" i="13" s="1"/>
  <c r="GU79" i="13" s="1"/>
  <c r="MT79" i="13"/>
  <c r="GC79" i="13"/>
  <c r="GE79" i="13" s="1"/>
  <c r="NS63" i="13"/>
  <c r="HS63" i="13"/>
  <c r="NL63" i="13" s="1"/>
  <c r="NK63" i="13"/>
  <c r="NY63" i="13"/>
  <c r="JJ160" i="13"/>
  <c r="JI160" i="13"/>
  <c r="BH194" i="13"/>
  <c r="BG194" i="13" s="1"/>
  <c r="BF194" i="13" s="1"/>
  <c r="BE194" i="13" s="1"/>
  <c r="BD194" i="13" s="1"/>
  <c r="GF168" i="13"/>
  <c r="GP168" i="13" s="1"/>
  <c r="GO168" i="13"/>
  <c r="MW16" i="13"/>
  <c r="GV16" i="13"/>
  <c r="GX16" i="13" s="1"/>
  <c r="GY16" i="13" s="1"/>
  <c r="GF151" i="13"/>
  <c r="GO151" i="13"/>
  <c r="ND121" i="13"/>
  <c r="NE121" i="13" s="1"/>
  <c r="FQ209" i="13"/>
  <c r="E29" i="13"/>
  <c r="GZ29" i="13"/>
  <c r="HB29" i="13" s="1"/>
  <c r="HC29" i="13" s="1"/>
  <c r="CR29" i="13" s="1"/>
  <c r="CQ29" i="13" s="1"/>
  <c r="HX29" i="13"/>
  <c r="HZ29" i="13" s="1"/>
  <c r="HP29" i="13"/>
  <c r="HR29" i="13" s="1"/>
  <c r="HH29" i="13"/>
  <c r="HJ29" i="13" s="1"/>
  <c r="HK29" i="13" s="1"/>
  <c r="HT155" i="13"/>
  <c r="HV155" i="13" s="1"/>
  <c r="HW155" i="13" s="1"/>
  <c r="HD155" i="13"/>
  <c r="HF155" i="13" s="1"/>
  <c r="HG155" i="13" s="1"/>
  <c r="HL155" i="13"/>
  <c r="HN155" i="13" s="1"/>
  <c r="HO155" i="13" s="1"/>
  <c r="IB155" i="13"/>
  <c r="ID155" i="13" s="1"/>
  <c r="IE155" i="13" s="1"/>
  <c r="JA100" i="13"/>
  <c r="JF100" i="13" s="1"/>
  <c r="JH100" i="13" s="1"/>
  <c r="MW147" i="13"/>
  <c r="GV147" i="13"/>
  <c r="GX147" i="13" s="1"/>
  <c r="GY147" i="13" s="1"/>
  <c r="NH143" i="13"/>
  <c r="MW200" i="13"/>
  <c r="GV200" i="13"/>
  <c r="GX200" i="13" s="1"/>
  <c r="GY200" i="13" s="1"/>
  <c r="FQ97" i="13"/>
  <c r="NH53" i="13"/>
  <c r="NG53" i="13"/>
  <c r="KH53" i="13" s="1"/>
  <c r="KJ53" i="13" s="1"/>
  <c r="KK53" i="13" s="1"/>
  <c r="NF53" i="13"/>
  <c r="JL53" i="13"/>
  <c r="JN53" i="13" s="1"/>
  <c r="E170" i="13"/>
  <c r="HX170" i="13"/>
  <c r="HZ170" i="13" s="1"/>
  <c r="HP170" i="13"/>
  <c r="HR170" i="13" s="1"/>
  <c r="HH170" i="13"/>
  <c r="HJ170" i="13" s="1"/>
  <c r="HK170" i="13" s="1"/>
  <c r="GZ170" i="13"/>
  <c r="HB170" i="13" s="1"/>
  <c r="HC170" i="13" s="1"/>
  <c r="LN43" i="13"/>
  <c r="LF43" i="13"/>
  <c r="LH43" i="13" s="1"/>
  <c r="KP43" i="13"/>
  <c r="KR43" i="13" s="1"/>
  <c r="KS43" i="13" s="1"/>
  <c r="KX43" i="13"/>
  <c r="KZ43" i="13" s="1"/>
  <c r="LA43" i="13" s="1"/>
  <c r="GF208" i="13"/>
  <c r="GO208" i="13"/>
  <c r="JA86" i="13"/>
  <c r="JF86" i="13" s="1"/>
  <c r="JH86" i="13" s="1"/>
  <c r="BF60" i="13"/>
  <c r="BE60" i="13" s="1"/>
  <c r="BD60" i="13" s="1"/>
  <c r="JJ171" i="13"/>
  <c r="JI171" i="13"/>
  <c r="MW139" i="13"/>
  <c r="GV139" i="13"/>
  <c r="GX139" i="13" s="1"/>
  <c r="GY139" i="13" s="1"/>
  <c r="NI197" i="13"/>
  <c r="KL197" i="13"/>
  <c r="KN197" i="13" s="1"/>
  <c r="KO197" i="13" s="1"/>
  <c r="JA202" i="13"/>
  <c r="JF202" i="13" s="1"/>
  <c r="JH202" i="13" s="1"/>
  <c r="MW112" i="13"/>
  <c r="GV112" i="13"/>
  <c r="GX112" i="13" s="1"/>
  <c r="GY112" i="13" s="1"/>
  <c r="MV134" i="13"/>
  <c r="MU134" i="13"/>
  <c r="GQ134" i="13" s="1"/>
  <c r="GS134" i="13" s="1"/>
  <c r="GU134" i="13" s="1"/>
  <c r="MT134" i="13"/>
  <c r="GC134" i="13"/>
  <c r="GE134" i="13" s="1"/>
  <c r="NL129" i="13"/>
  <c r="NS195" i="13"/>
  <c r="HS195" i="13"/>
  <c r="NK195" i="13"/>
  <c r="NY195" i="13"/>
  <c r="GP157" i="13"/>
  <c r="E67" i="13"/>
  <c r="HH67" i="13"/>
  <c r="HJ67" i="13" s="1"/>
  <c r="HK67" i="13" s="1"/>
  <c r="HP67" i="13"/>
  <c r="HR67" i="13" s="1"/>
  <c r="HX67" i="13"/>
  <c r="HZ67" i="13" s="1"/>
  <c r="GZ67" i="13"/>
  <c r="HB67" i="13" s="1"/>
  <c r="HC67" i="13" s="1"/>
  <c r="E82" i="13"/>
  <c r="HX82" i="13"/>
  <c r="HZ82" i="13" s="1"/>
  <c r="GZ82" i="13"/>
  <c r="HB82" i="13" s="1"/>
  <c r="HC82" i="13" s="1"/>
  <c r="HP82" i="13"/>
  <c r="HR82" i="13" s="1"/>
  <c r="HH82" i="13"/>
  <c r="HJ82" i="13" s="1"/>
  <c r="HK82" i="13" s="1"/>
  <c r="E184" i="13"/>
  <c r="GZ184" i="13"/>
  <c r="HB184" i="13" s="1"/>
  <c r="HC184" i="13" s="1"/>
  <c r="HP184" i="13"/>
  <c r="HR184" i="13" s="1"/>
  <c r="HH184" i="13"/>
  <c r="HJ184" i="13" s="1"/>
  <c r="HK184" i="13" s="1"/>
  <c r="HX184" i="13"/>
  <c r="HZ184" i="13" s="1"/>
  <c r="GP93" i="13"/>
  <c r="MW96" i="13"/>
  <c r="GV96" i="13"/>
  <c r="GX96" i="13" s="1"/>
  <c r="GY96" i="13" s="1"/>
  <c r="ND71" i="13"/>
  <c r="NE71" i="13" s="1"/>
  <c r="HS84" i="13"/>
  <c r="NL84" i="13" s="1"/>
  <c r="NS84" i="13"/>
  <c r="NK84" i="13"/>
  <c r="NY84" i="13"/>
  <c r="IB128" i="13"/>
  <c r="ID128" i="13" s="1"/>
  <c r="IE128" i="13" s="1"/>
  <c r="HL128" i="13"/>
  <c r="HN128" i="13" s="1"/>
  <c r="HO128" i="13" s="1"/>
  <c r="HT128" i="13"/>
  <c r="HV128" i="13" s="1"/>
  <c r="HW128" i="13" s="1"/>
  <c r="HD128" i="13"/>
  <c r="HF128" i="13" s="1"/>
  <c r="HG128" i="13" s="1"/>
  <c r="MW41" i="13"/>
  <c r="GV41" i="13"/>
  <c r="GX41" i="13" s="1"/>
  <c r="GY41" i="13" s="1"/>
  <c r="ND17" i="13"/>
  <c r="NE17" i="13" s="1"/>
  <c r="JA17" i="13"/>
  <c r="FQ167" i="13"/>
  <c r="JA156" i="13"/>
  <c r="JF156" i="13" s="1"/>
  <c r="JH156" i="13" s="1"/>
  <c r="ND69" i="13"/>
  <c r="NE69" i="13" s="1"/>
  <c r="JA69" i="13"/>
  <c r="JF69" i="13" s="1"/>
  <c r="JH69" i="13" s="1"/>
  <c r="JA39" i="13"/>
  <c r="JF39" i="13" s="1"/>
  <c r="JH39" i="13" s="1"/>
  <c r="E152" i="13"/>
  <c r="HP152" i="13"/>
  <c r="HR152" i="13" s="1"/>
  <c r="HX152" i="13"/>
  <c r="HZ152" i="13" s="1"/>
  <c r="GZ152" i="13"/>
  <c r="HB152" i="13" s="1"/>
  <c r="HC152" i="13" s="1"/>
  <c r="HH152" i="13"/>
  <c r="HJ152" i="13" s="1"/>
  <c r="HK152" i="13" s="1"/>
  <c r="E209" i="13"/>
  <c r="GZ209" i="13"/>
  <c r="HB209" i="13" s="1"/>
  <c r="HC209" i="13" s="1"/>
  <c r="HX209" i="13"/>
  <c r="HZ209" i="13" s="1"/>
  <c r="HH209" i="13"/>
  <c r="HJ209" i="13" s="1"/>
  <c r="HK209" i="13" s="1"/>
  <c r="HP209" i="13"/>
  <c r="HR209" i="13" s="1"/>
  <c r="HD176" i="13"/>
  <c r="HF176" i="13" s="1"/>
  <c r="HG176" i="13" s="1"/>
  <c r="IB176" i="13"/>
  <c r="ID176" i="13" s="1"/>
  <c r="IE176" i="13" s="1"/>
  <c r="HL176" i="13"/>
  <c r="HN176" i="13" s="1"/>
  <c r="HO176" i="13" s="1"/>
  <c r="HT176" i="13"/>
  <c r="HV176" i="13" s="1"/>
  <c r="HW176" i="13" s="1"/>
  <c r="HD43" i="13"/>
  <c r="HF43" i="13" s="1"/>
  <c r="HG43" i="13" s="1"/>
  <c r="IB43" i="13"/>
  <c r="ID43" i="13" s="1"/>
  <c r="IE43" i="13" s="1"/>
  <c r="HL43" i="13"/>
  <c r="HN43" i="13" s="1"/>
  <c r="HO43" i="13" s="1"/>
  <c r="HT43" i="13"/>
  <c r="HV43" i="13" s="1"/>
  <c r="HW43" i="13" s="1"/>
  <c r="IB129" i="13"/>
  <c r="ID129" i="13" s="1"/>
  <c r="IE129" i="13" s="1"/>
  <c r="HT129" i="13"/>
  <c r="HV129" i="13" s="1"/>
  <c r="HW129" i="13" s="1"/>
  <c r="HL129" i="13"/>
  <c r="HN129" i="13" s="1"/>
  <c r="HO129" i="13" s="1"/>
  <c r="HD129" i="13"/>
  <c r="HF129" i="13" s="1"/>
  <c r="HG129" i="13" s="1"/>
  <c r="NG159" i="13"/>
  <c r="KH159" i="13" s="1"/>
  <c r="KJ159" i="13" s="1"/>
  <c r="KK159" i="13" s="1"/>
  <c r="NF159" i="13"/>
  <c r="NH159" i="13"/>
  <c r="JL159" i="13"/>
  <c r="JN159" i="13" s="1"/>
  <c r="NX21" i="13"/>
  <c r="NW21" i="13"/>
  <c r="NG194" i="13"/>
  <c r="KH194" i="13" s="1"/>
  <c r="KJ194" i="13" s="1"/>
  <c r="KK194" i="13" s="1"/>
  <c r="NH194" i="13"/>
  <c r="NF194" i="13"/>
  <c r="JL194" i="13"/>
  <c r="JN194" i="13" s="1"/>
  <c r="NH189" i="13"/>
  <c r="NG189" i="13"/>
  <c r="KH189" i="13" s="1"/>
  <c r="KJ189" i="13" s="1"/>
  <c r="KK189" i="13" s="1"/>
  <c r="NF189" i="13"/>
  <c r="JL189" i="13"/>
  <c r="JN189" i="13" s="1"/>
  <c r="BH25" i="13"/>
  <c r="BG25" i="13" s="1"/>
  <c r="BF25" i="13" s="1"/>
  <c r="BE25" i="13" s="1"/>
  <c r="BD25" i="13" s="1"/>
  <c r="CE25" i="13"/>
  <c r="CD25" i="13" s="1"/>
  <c r="CE21" i="13"/>
  <c r="CD21" i="13" s="1"/>
  <c r="BH21" i="13"/>
  <c r="BG21" i="13" s="1"/>
  <c r="BF21" i="13" s="1"/>
  <c r="BE21" i="13" s="1"/>
  <c r="BD21" i="13" s="1"/>
  <c r="IA24" i="13"/>
  <c r="NT24" i="13"/>
  <c r="NM24" i="13"/>
  <c r="BS24" i="13" s="1"/>
  <c r="BR24" i="13" s="1"/>
  <c r="BQ24" i="13" s="1"/>
  <c r="NX66" i="13"/>
  <c r="NW66" i="13"/>
  <c r="MW77" i="13"/>
  <c r="GV77" i="13"/>
  <c r="GX77" i="13" s="1"/>
  <c r="GY77" i="13" s="1"/>
  <c r="JJ118" i="13"/>
  <c r="JI118" i="13"/>
  <c r="NH21" i="13"/>
  <c r="NG21" i="13"/>
  <c r="KH21" i="13" s="1"/>
  <c r="KJ21" i="13" s="1"/>
  <c r="KK21" i="13" s="1"/>
  <c r="NF21" i="13"/>
  <c r="MW92" i="13"/>
  <c r="GV92" i="13"/>
  <c r="GX92" i="13" s="1"/>
  <c r="GY92" i="13" s="1"/>
  <c r="GP141" i="13"/>
  <c r="JA44" i="13"/>
  <c r="JF44" i="13" s="1"/>
  <c r="JH44" i="13" s="1"/>
  <c r="NX48" i="13"/>
  <c r="NW48" i="13"/>
  <c r="JA142" i="13"/>
  <c r="JF142" i="13" s="1"/>
  <c r="JH142" i="13" s="1"/>
  <c r="ND27" i="13"/>
  <c r="NE27" i="13" s="1"/>
  <c r="JA27" i="13"/>
  <c r="NH60" i="13"/>
  <c r="NG60" i="13"/>
  <c r="KH60" i="13" s="1"/>
  <c r="KJ60" i="13" s="1"/>
  <c r="KK60" i="13" s="1"/>
  <c r="NF60" i="13"/>
  <c r="JL60" i="13"/>
  <c r="JN60" i="13" s="1"/>
  <c r="NH160" i="13"/>
  <c r="NG160" i="13"/>
  <c r="KH160" i="13" s="1"/>
  <c r="KJ160" i="13" s="1"/>
  <c r="KK160" i="13" s="1"/>
  <c r="NF160" i="13"/>
  <c r="JL160" i="13"/>
  <c r="JN160" i="13" s="1"/>
  <c r="MW168" i="13"/>
  <c r="GV168" i="13"/>
  <c r="GX168" i="13" s="1"/>
  <c r="GY168" i="13" s="1"/>
  <c r="NH165" i="13"/>
  <c r="NG165" i="13"/>
  <c r="KH165" i="13" s="1"/>
  <c r="KJ165" i="13" s="1"/>
  <c r="KK165" i="13" s="1"/>
  <c r="NF165" i="13"/>
  <c r="JL165" i="13"/>
  <c r="JN165" i="13" s="1"/>
  <c r="JJ121" i="13"/>
  <c r="JI121" i="13"/>
  <c r="JJ143" i="13"/>
  <c r="JI143" i="13"/>
  <c r="E200" i="13"/>
  <c r="HX200" i="13"/>
  <c r="HZ200" i="13" s="1"/>
  <c r="HH200" i="13"/>
  <c r="HJ200" i="13" s="1"/>
  <c r="HK200" i="13" s="1"/>
  <c r="GZ200" i="13"/>
  <c r="HB200" i="13" s="1"/>
  <c r="HC200" i="13" s="1"/>
  <c r="HP200" i="13"/>
  <c r="HR200" i="13" s="1"/>
  <c r="JJ53" i="13"/>
  <c r="JI53" i="13"/>
  <c r="NH131" i="13"/>
  <c r="NF131" i="13"/>
  <c r="GF95" i="13"/>
  <c r="GP95" i="13" s="1"/>
  <c r="GO95" i="13"/>
  <c r="E179" i="13"/>
  <c r="GZ179" i="13"/>
  <c r="HB179" i="13" s="1"/>
  <c r="HC179" i="13" s="1"/>
  <c r="HP179" i="13"/>
  <c r="HR179" i="13" s="1"/>
  <c r="HH179" i="13"/>
  <c r="HJ179" i="13" s="1"/>
  <c r="HK179" i="13" s="1"/>
  <c r="HX179" i="13"/>
  <c r="HZ179" i="13" s="1"/>
  <c r="E208" i="13"/>
  <c r="HH208" i="13"/>
  <c r="HJ208" i="13" s="1"/>
  <c r="HK208" i="13" s="1"/>
  <c r="HP208" i="13"/>
  <c r="HR208" i="13" s="1"/>
  <c r="GZ208" i="13"/>
  <c r="HB208" i="13" s="1"/>
  <c r="HC208" i="13" s="1"/>
  <c r="HX208" i="13"/>
  <c r="HZ208" i="13" s="1"/>
  <c r="E211" i="13"/>
  <c r="HX211" i="13"/>
  <c r="HZ211" i="13" s="1"/>
  <c r="GZ211" i="13"/>
  <c r="HB211" i="13" s="1"/>
  <c r="HC211" i="13" s="1"/>
  <c r="HH211" i="13"/>
  <c r="HJ211" i="13" s="1"/>
  <c r="HK211" i="13" s="1"/>
  <c r="HP211" i="13"/>
  <c r="HR211" i="13" s="1"/>
  <c r="JJ163" i="13"/>
  <c r="JI163" i="13"/>
  <c r="GP155" i="13"/>
  <c r="NN155" i="13"/>
  <c r="NL155" i="13"/>
  <c r="MV101" i="13"/>
  <c r="MU101" i="13"/>
  <c r="GQ101" i="13" s="1"/>
  <c r="GS101" i="13" s="1"/>
  <c r="GU101" i="13" s="1"/>
  <c r="MT101" i="13"/>
  <c r="GC101" i="13"/>
  <c r="GE101" i="13" s="1"/>
  <c r="BP76" i="13"/>
  <c r="BO76" i="13" s="1"/>
  <c r="BN76" i="13" s="1"/>
  <c r="BM76" i="13" s="1"/>
  <c r="BL76" i="13" s="1"/>
  <c r="BU76" i="13"/>
  <c r="BT76" i="13" s="1"/>
  <c r="BS76" i="13" s="1"/>
  <c r="BR76" i="13" s="1"/>
  <c r="BQ76" i="13" s="1"/>
  <c r="AX76" i="13"/>
  <c r="AW76" i="13" s="1"/>
  <c r="AV76" i="13" s="1"/>
  <c r="AU76" i="13" s="1"/>
  <c r="AT76" i="13" s="1"/>
  <c r="FQ83" i="13"/>
  <c r="GP171" i="13"/>
  <c r="NL171" i="13"/>
  <c r="NN171" i="13"/>
  <c r="AX19" i="13"/>
  <c r="AW19" i="13" s="1"/>
  <c r="CR19" i="13"/>
  <c r="CQ19" i="13" s="1"/>
  <c r="FQ14" i="13"/>
  <c r="NH128" i="13"/>
  <c r="NG128" i="13"/>
  <c r="KH128" i="13" s="1"/>
  <c r="KJ128" i="13" s="1"/>
  <c r="KK128" i="13" s="1"/>
  <c r="NF128" i="13"/>
  <c r="JL128" i="13"/>
  <c r="JN128" i="13" s="1"/>
  <c r="E206" i="13"/>
  <c r="HH206" i="13"/>
  <c r="HJ206" i="13" s="1"/>
  <c r="HK206" i="13" s="1"/>
  <c r="GZ206" i="13"/>
  <c r="HB206" i="13" s="1"/>
  <c r="HC206" i="13" s="1"/>
  <c r="HP206" i="13"/>
  <c r="HR206" i="13" s="1"/>
  <c r="HX206" i="13"/>
  <c r="HZ206" i="13" s="1"/>
  <c r="E116" i="13"/>
  <c r="HP116" i="13"/>
  <c r="HR116" i="13" s="1"/>
  <c r="HX116" i="13"/>
  <c r="HZ116" i="13" s="1"/>
  <c r="HH116" i="13"/>
  <c r="HJ116" i="13" s="1"/>
  <c r="HK116" i="13" s="1"/>
  <c r="GZ116" i="13"/>
  <c r="HB116" i="13" s="1"/>
  <c r="HC116" i="13" s="1"/>
  <c r="JK201" i="13"/>
  <c r="IB58" i="13"/>
  <c r="ID58" i="13" s="1"/>
  <c r="IE58" i="13" s="1"/>
  <c r="HD58" i="13"/>
  <c r="HF58" i="13" s="1"/>
  <c r="HG58" i="13" s="1"/>
  <c r="HT58" i="13"/>
  <c r="HV58" i="13" s="1"/>
  <c r="HW58" i="13" s="1"/>
  <c r="HL58" i="13"/>
  <c r="HN58" i="13" s="1"/>
  <c r="HO58" i="13" s="1"/>
  <c r="GF142" i="13"/>
  <c r="GO142" i="13"/>
  <c r="NT195" i="13"/>
  <c r="NM195" i="13"/>
  <c r="IA195" i="13"/>
  <c r="FQ95" i="13"/>
  <c r="JO152" i="13"/>
  <c r="KG152" i="13" s="1"/>
  <c r="KF152" i="13"/>
  <c r="MV132" i="13"/>
  <c r="MU132" i="13"/>
  <c r="GQ132" i="13" s="1"/>
  <c r="GS132" i="13" s="1"/>
  <c r="GU132" i="13" s="1"/>
  <c r="MT132" i="13"/>
  <c r="GC132" i="13"/>
  <c r="GE132" i="13" s="1"/>
  <c r="JA203" i="13"/>
  <c r="JF203" i="13" s="1"/>
  <c r="JH203" i="13" s="1"/>
  <c r="NG34" i="13"/>
  <c r="KH34" i="13" s="1"/>
  <c r="KJ34" i="13" s="1"/>
  <c r="KK34" i="13" s="1"/>
  <c r="NF34" i="13"/>
  <c r="NH34" i="13"/>
  <c r="FQ205" i="13"/>
  <c r="IA176" i="13"/>
  <c r="NN176" i="13" s="1"/>
  <c r="NT176" i="13"/>
  <c r="NM176" i="13"/>
  <c r="JA99" i="13"/>
  <c r="JF99" i="13" s="1"/>
  <c r="JH99" i="13" s="1"/>
  <c r="NN128" i="13"/>
  <c r="BP73" i="13"/>
  <c r="BO73" i="13" s="1"/>
  <c r="BN73" i="13" s="1"/>
  <c r="BM73" i="13" s="1"/>
  <c r="BL73" i="13" s="1"/>
  <c r="FQ62" i="13"/>
  <c r="GP201" i="13"/>
  <c r="NN201" i="13"/>
  <c r="MW152" i="13"/>
  <c r="GV152" i="13"/>
  <c r="GX152" i="13" s="1"/>
  <c r="GY152" i="13" s="1"/>
  <c r="NH155" i="13"/>
  <c r="NG155" i="13"/>
  <c r="KH155" i="13" s="1"/>
  <c r="KJ155" i="13" s="1"/>
  <c r="KK155" i="13" s="1"/>
  <c r="NF155" i="13"/>
  <c r="JL155" i="13"/>
  <c r="JN155" i="13" s="1"/>
  <c r="E83" i="13"/>
  <c r="HX83" i="13"/>
  <c r="HZ83" i="13" s="1"/>
  <c r="GZ83" i="13"/>
  <c r="HB83" i="13" s="1"/>
  <c r="HC83" i="13" s="1"/>
  <c r="HP83" i="13"/>
  <c r="HR83" i="13" s="1"/>
  <c r="HH83" i="13"/>
  <c r="HJ83" i="13" s="1"/>
  <c r="HK83" i="13" s="1"/>
  <c r="JA168" i="13"/>
  <c r="JF168" i="13" s="1"/>
  <c r="JH168" i="13" s="1"/>
  <c r="IA74" i="13"/>
  <c r="NT74" i="13"/>
  <c r="NM74" i="13"/>
  <c r="GF97" i="13"/>
  <c r="GP97" i="13" s="1"/>
  <c r="GO97" i="13"/>
  <c r="E106" i="13"/>
  <c r="HP106" i="13"/>
  <c r="HR106" i="13" s="1"/>
  <c r="HX106" i="13"/>
  <c r="HZ106" i="13" s="1"/>
  <c r="GZ106" i="13"/>
  <c r="HB106" i="13" s="1"/>
  <c r="HC106" i="13" s="1"/>
  <c r="HH106" i="13"/>
  <c r="HJ106" i="13" s="1"/>
  <c r="HK106" i="13" s="1"/>
  <c r="NL21" i="13"/>
  <c r="AS21" i="13"/>
  <c r="AR21" i="13" s="1"/>
  <c r="AQ21" i="13" s="1"/>
  <c r="AP21" i="13" s="1"/>
  <c r="AO21" i="13" s="1"/>
  <c r="AL21" i="13" s="1"/>
  <c r="JJ122" i="13"/>
  <c r="JI122" i="13"/>
  <c r="JJ48" i="13"/>
  <c r="JI48" i="13"/>
  <c r="NK153" i="13"/>
  <c r="NY153" i="13"/>
  <c r="NS153" i="13"/>
  <c r="HS153" i="13"/>
  <c r="NL153" i="13" s="1"/>
  <c r="JA110" i="13"/>
  <c r="JF110" i="13" s="1"/>
  <c r="JH110" i="13" s="1"/>
  <c r="ND118" i="13"/>
  <c r="NE118" i="13" s="1"/>
  <c r="AV73" i="13"/>
  <c r="AU73" i="13" s="1"/>
  <c r="AT73" i="13" s="1"/>
  <c r="NS43" i="13"/>
  <c r="HS43" i="13"/>
  <c r="NL43" i="13" s="1"/>
  <c r="NK43" i="13"/>
  <c r="NY43" i="13"/>
  <c r="JK36" i="13"/>
  <c r="HL32" i="13"/>
  <c r="HN32" i="13" s="1"/>
  <c r="HO32" i="13" s="1"/>
  <c r="BH32" i="13" s="1"/>
  <c r="BG32" i="13" s="1"/>
  <c r="BF32" i="13" s="1"/>
  <c r="BE32" i="13" s="1"/>
  <c r="BD32" i="13" s="1"/>
  <c r="HT32" i="13"/>
  <c r="HV32" i="13" s="1"/>
  <c r="HW32" i="13" s="1"/>
  <c r="BC32" i="13" s="1"/>
  <c r="BB32" i="13" s="1"/>
  <c r="BA32" i="13" s="1"/>
  <c r="AZ32" i="13" s="1"/>
  <c r="AY32" i="13" s="1"/>
  <c r="IB32" i="13"/>
  <c r="ID32" i="13" s="1"/>
  <c r="IE32" i="13" s="1"/>
  <c r="BZ32" i="13" s="1"/>
  <c r="BY32" i="13" s="1"/>
  <c r="HD32" i="13"/>
  <c r="HF32" i="13" s="1"/>
  <c r="HG32" i="13" s="1"/>
  <c r="IA63" i="13"/>
  <c r="NN63" i="13" s="1"/>
  <c r="NT63" i="13"/>
  <c r="NM63" i="13"/>
  <c r="JJ60" i="13"/>
  <c r="JI60" i="13"/>
  <c r="GP105" i="13"/>
  <c r="E16" i="13"/>
  <c r="HH16" i="13"/>
  <c r="HJ16" i="13" s="1"/>
  <c r="HK16" i="13" s="1"/>
  <c r="GZ16" i="13"/>
  <c r="HB16" i="13" s="1"/>
  <c r="HC16" i="13" s="1"/>
  <c r="CR16" i="13" s="1"/>
  <c r="CQ16" i="13" s="1"/>
  <c r="HP16" i="13"/>
  <c r="HR16" i="13" s="1"/>
  <c r="HX16" i="13"/>
  <c r="HZ16" i="13" s="1"/>
  <c r="JJ165" i="13"/>
  <c r="JI165" i="13"/>
  <c r="E151" i="13"/>
  <c r="HP151" i="13"/>
  <c r="HR151" i="13" s="1"/>
  <c r="HX151" i="13"/>
  <c r="HZ151" i="13" s="1"/>
  <c r="GZ151" i="13"/>
  <c r="HB151" i="13" s="1"/>
  <c r="HC151" i="13" s="1"/>
  <c r="HH151" i="13"/>
  <c r="HJ151" i="13" s="1"/>
  <c r="HK151" i="13" s="1"/>
  <c r="BS213" i="13"/>
  <c r="BR213" i="13" s="1"/>
  <c r="BQ213" i="13" s="1"/>
  <c r="GF189" i="13"/>
  <c r="GO189" i="13"/>
  <c r="HL81" i="13"/>
  <c r="HN81" i="13" s="1"/>
  <c r="HO81" i="13" s="1"/>
  <c r="IB81" i="13"/>
  <c r="ID81" i="13" s="1"/>
  <c r="IE81" i="13" s="1"/>
  <c r="HD81" i="13"/>
  <c r="HF81" i="13" s="1"/>
  <c r="HG81" i="13" s="1"/>
  <c r="HT81" i="13"/>
  <c r="HV81" i="13" s="1"/>
  <c r="HW81" i="13" s="1"/>
  <c r="HD54" i="13"/>
  <c r="HF54" i="13" s="1"/>
  <c r="HG54" i="13" s="1"/>
  <c r="IB54" i="13"/>
  <c r="ID54" i="13" s="1"/>
  <c r="IE54" i="13" s="1"/>
  <c r="HL54" i="13"/>
  <c r="HN54" i="13" s="1"/>
  <c r="HO54" i="13" s="1"/>
  <c r="HT54" i="13"/>
  <c r="HV54" i="13" s="1"/>
  <c r="HW54" i="13" s="1"/>
  <c r="JJ149" i="13"/>
  <c r="JI149" i="13"/>
  <c r="E147" i="13"/>
  <c r="HH147" i="13"/>
  <c r="HJ147" i="13" s="1"/>
  <c r="HK147" i="13" s="1"/>
  <c r="GZ147" i="13"/>
  <c r="HB147" i="13" s="1"/>
  <c r="HC147" i="13" s="1"/>
  <c r="HX147" i="13"/>
  <c r="HZ147" i="13" s="1"/>
  <c r="HP147" i="13"/>
  <c r="HR147" i="13" s="1"/>
  <c r="BP53" i="13"/>
  <c r="BO53" i="13" s="1"/>
  <c r="BN53" i="13" s="1"/>
  <c r="BM53" i="13" s="1"/>
  <c r="BL53" i="13" s="1"/>
  <c r="HD148" i="13"/>
  <c r="HF148" i="13" s="1"/>
  <c r="HG148" i="13" s="1"/>
  <c r="HT148" i="13"/>
  <c r="HV148" i="13" s="1"/>
  <c r="HW148" i="13" s="1"/>
  <c r="IB148" i="13"/>
  <c r="ID148" i="13" s="1"/>
  <c r="IE148" i="13" s="1"/>
  <c r="HL148" i="13"/>
  <c r="HN148" i="13" s="1"/>
  <c r="HO148" i="13" s="1"/>
  <c r="GF133" i="13"/>
  <c r="GO133" i="13"/>
  <c r="IA72" i="13"/>
  <c r="NN72" i="13" s="1"/>
  <c r="NT72" i="13"/>
  <c r="NM72" i="13"/>
  <c r="JJ131" i="13"/>
  <c r="JI131" i="13"/>
  <c r="MW95" i="13"/>
  <c r="GV95" i="13"/>
  <c r="GX95" i="13" s="1"/>
  <c r="GY95" i="13" s="1"/>
  <c r="ND163" i="13"/>
  <c r="NE163" i="13" s="1"/>
  <c r="MV55" i="13"/>
  <c r="MU55" i="13"/>
  <c r="GQ55" i="13" s="1"/>
  <c r="GS55" i="13" s="1"/>
  <c r="GU55" i="13" s="1"/>
  <c r="MT55" i="13"/>
  <c r="GC55" i="13"/>
  <c r="GE55" i="13" s="1"/>
  <c r="NM59" i="13"/>
  <c r="IA59" i="13"/>
  <c r="NT59" i="13"/>
  <c r="JA132" i="13"/>
  <c r="JF132" i="13" s="1"/>
  <c r="JH132" i="13" s="1"/>
  <c r="ND182" i="13"/>
  <c r="NE182" i="13" s="1"/>
  <c r="NS19" i="13"/>
  <c r="HS19" i="13"/>
  <c r="NK19" i="13"/>
  <c r="NY19" i="13"/>
  <c r="NH28" i="13"/>
  <c r="NG28" i="13"/>
  <c r="KH28" i="13" s="1"/>
  <c r="KJ28" i="13" s="1"/>
  <c r="KK28" i="13" s="1"/>
  <c r="NF28" i="13"/>
  <c r="GF190" i="13"/>
  <c r="GP190" i="13" s="1"/>
  <c r="GO190" i="13"/>
  <c r="E139" i="13"/>
  <c r="GZ139" i="13"/>
  <c r="HB139" i="13" s="1"/>
  <c r="HC139" i="13" s="1"/>
  <c r="HX139" i="13"/>
  <c r="HZ139" i="13" s="1"/>
  <c r="HP139" i="13"/>
  <c r="HR139" i="13" s="1"/>
  <c r="HH139" i="13"/>
  <c r="HJ139" i="13" s="1"/>
  <c r="HK139" i="13" s="1"/>
  <c r="GF100" i="13"/>
  <c r="GP100" i="13" s="1"/>
  <c r="GO100" i="13"/>
  <c r="KP197" i="13"/>
  <c r="KR197" i="13" s="1"/>
  <c r="KS197" i="13" s="1"/>
  <c r="LF197" i="13"/>
  <c r="LH197" i="13" s="1"/>
  <c r="LN197" i="13"/>
  <c r="KX197" i="13"/>
  <c r="KZ197" i="13" s="1"/>
  <c r="LA197" i="13" s="1"/>
  <c r="ND151" i="13"/>
  <c r="NE151" i="13" s="1"/>
  <c r="E142" i="13"/>
  <c r="GZ142" i="13"/>
  <c r="HB142" i="13" s="1"/>
  <c r="HC142" i="13" s="1"/>
  <c r="HX142" i="13"/>
  <c r="HZ142" i="13" s="1"/>
  <c r="HH142" i="13"/>
  <c r="HJ142" i="13" s="1"/>
  <c r="HK142" i="13" s="1"/>
  <c r="HP142" i="13"/>
  <c r="HR142" i="13" s="1"/>
  <c r="BZ129" i="13"/>
  <c r="BY129" i="13" s="1"/>
  <c r="BC129" i="13"/>
  <c r="BB129" i="13" s="1"/>
  <c r="BA129" i="13" s="1"/>
  <c r="AZ129" i="13" s="1"/>
  <c r="AY129" i="13" s="1"/>
  <c r="AX129" i="13"/>
  <c r="AW129" i="13" s="1"/>
  <c r="AV129" i="13" s="1"/>
  <c r="AU129" i="13" s="1"/>
  <c r="AT129" i="13" s="1"/>
  <c r="CE129" i="13"/>
  <c r="CD129" i="13" s="1"/>
  <c r="AS129" i="13"/>
  <c r="AR129" i="13" s="1"/>
  <c r="BU129" i="13"/>
  <c r="BT129" i="13" s="1"/>
  <c r="BS129" i="13" s="1"/>
  <c r="BR129" i="13" s="1"/>
  <c r="BQ129" i="13" s="1"/>
  <c r="BH129" i="13"/>
  <c r="BG129" i="13" s="1"/>
  <c r="BF129" i="13" s="1"/>
  <c r="BE129" i="13" s="1"/>
  <c r="BD129" i="13" s="1"/>
  <c r="MV103" i="13"/>
  <c r="MU103" i="13"/>
  <c r="GQ103" i="13" s="1"/>
  <c r="GS103" i="13" s="1"/>
  <c r="GU103" i="13" s="1"/>
  <c r="MT103" i="13"/>
  <c r="GC103" i="13"/>
  <c r="GE103" i="13" s="1"/>
  <c r="ND172" i="13"/>
  <c r="NE172" i="13" s="1"/>
  <c r="JJ76" i="13"/>
  <c r="JI76" i="13"/>
  <c r="NI152" i="13"/>
  <c r="KL152" i="13"/>
  <c r="KN152" i="13" s="1"/>
  <c r="KO152" i="13" s="1"/>
  <c r="E96" i="13"/>
  <c r="GZ96" i="13"/>
  <c r="HB96" i="13" s="1"/>
  <c r="HC96" i="13" s="1"/>
  <c r="HH96" i="13"/>
  <c r="HJ96" i="13" s="1"/>
  <c r="HK96" i="13" s="1"/>
  <c r="HP96" i="13"/>
  <c r="HR96" i="13" s="1"/>
  <c r="HX96" i="13"/>
  <c r="HZ96" i="13" s="1"/>
  <c r="BS73" i="13"/>
  <c r="BR73" i="13" s="1"/>
  <c r="BQ73" i="13" s="1"/>
  <c r="NH25" i="13"/>
  <c r="NG25" i="13"/>
  <c r="KH25" i="13" s="1"/>
  <c r="KJ25" i="13" s="1"/>
  <c r="KK25" i="13" s="1"/>
  <c r="NF25" i="13"/>
  <c r="E41" i="13"/>
  <c r="HH41" i="13"/>
  <c r="HJ41" i="13" s="1"/>
  <c r="HK41" i="13" s="1"/>
  <c r="HP41" i="13"/>
  <c r="HR41" i="13" s="1"/>
  <c r="HX41" i="13"/>
  <c r="HZ41" i="13" s="1"/>
  <c r="GZ41" i="13"/>
  <c r="HB41" i="13" s="1"/>
  <c r="HC41" i="13" s="1"/>
  <c r="MT177" i="13"/>
  <c r="MV177" i="13"/>
  <c r="MU177" i="13"/>
  <c r="GQ177" i="13" s="1"/>
  <c r="GS177" i="13" s="1"/>
  <c r="GU177" i="13" s="1"/>
  <c r="GC177" i="13"/>
  <c r="GE177" i="13" s="1"/>
  <c r="MT150" i="13"/>
  <c r="MV150" i="13"/>
  <c r="MU150" i="13"/>
  <c r="GQ150" i="13" s="1"/>
  <c r="GS150" i="13" s="1"/>
  <c r="GU150" i="13" s="1"/>
  <c r="GC150" i="13"/>
  <c r="GE150" i="13" s="1"/>
  <c r="JA134" i="13"/>
  <c r="JF134" i="13" s="1"/>
  <c r="JH134" i="13" s="1"/>
  <c r="JJ153" i="13"/>
  <c r="JI153" i="13"/>
  <c r="JJ84" i="13"/>
  <c r="JI84" i="13"/>
  <c r="LF19" i="13"/>
  <c r="LH19" i="13" s="1"/>
  <c r="LN19" i="13"/>
  <c r="KP19" i="13"/>
  <c r="KR19" i="13" s="1"/>
  <c r="KS19" i="13" s="1"/>
  <c r="KX19" i="13"/>
  <c r="KZ19" i="13" s="1"/>
  <c r="LA19" i="13" s="1"/>
  <c r="DP19" i="13" s="1"/>
  <c r="DO19" i="13" s="1"/>
  <c r="HL76" i="13"/>
  <c r="HN76" i="13" s="1"/>
  <c r="HO76" i="13" s="1"/>
  <c r="CE76" i="13" s="1"/>
  <c r="CD76" i="13" s="1"/>
  <c r="IB76" i="13"/>
  <c r="ID76" i="13" s="1"/>
  <c r="IE76" i="13" s="1"/>
  <c r="BZ76" i="13" s="1"/>
  <c r="BY76" i="13" s="1"/>
  <c r="HD76" i="13"/>
  <c r="HF76" i="13" s="1"/>
  <c r="HG76" i="13" s="1"/>
  <c r="HT76" i="13"/>
  <c r="HV76" i="13" s="1"/>
  <c r="HW76" i="13" s="1"/>
  <c r="BC76" i="13" s="1"/>
  <c r="BB76" i="13" s="1"/>
  <c r="JJ161" i="13"/>
  <c r="JI161" i="13"/>
  <c r="AS23" i="13"/>
  <c r="AR23" i="13" s="1"/>
  <c r="AQ23" i="13" s="1"/>
  <c r="AP23" i="13" s="1"/>
  <c r="AO23" i="13" s="1"/>
  <c r="AL23" i="13" s="1"/>
  <c r="NL23" i="13"/>
  <c r="HS131" i="13"/>
  <c r="NK131" i="13"/>
  <c r="NY131" i="13"/>
  <c r="NS131" i="13"/>
  <c r="FQ45" i="13"/>
  <c r="IA52" i="13"/>
  <c r="NN52" i="13" s="1"/>
  <c r="NT52" i="13"/>
  <c r="NM52" i="13"/>
  <c r="NH154" i="13"/>
  <c r="NG154" i="13"/>
  <c r="KH154" i="13" s="1"/>
  <c r="KJ154" i="13" s="1"/>
  <c r="KK154" i="13" s="1"/>
  <c r="NF154" i="13"/>
  <c r="JL154" i="13"/>
  <c r="JN154" i="13" s="1"/>
  <c r="FQ186" i="13"/>
  <c r="NY193" i="13"/>
  <c r="NS193" i="13"/>
  <c r="HS193" i="13"/>
  <c r="NL193" i="13" s="1"/>
  <c r="NK193" i="13"/>
  <c r="GF75" i="13"/>
  <c r="GO75" i="13"/>
  <c r="NY65" i="13"/>
  <c r="NS65" i="13"/>
  <c r="HS65" i="13"/>
  <c r="NL65" i="13" s="1"/>
  <c r="NK65" i="13"/>
  <c r="E97" i="13"/>
  <c r="HX97" i="13"/>
  <c r="HZ97" i="13" s="1"/>
  <c r="GZ97" i="13"/>
  <c r="HB97" i="13" s="1"/>
  <c r="HC97" i="13" s="1"/>
  <c r="HH97" i="13"/>
  <c r="HJ97" i="13" s="1"/>
  <c r="HK97" i="13" s="1"/>
  <c r="HP97" i="13"/>
  <c r="HR97" i="13" s="1"/>
  <c r="FQ69" i="13"/>
  <c r="ND122" i="13"/>
  <c r="NE122" i="13" s="1"/>
  <c r="NX71" i="13"/>
  <c r="NW71" i="13"/>
  <c r="ND48" i="13"/>
  <c r="NE48" i="13" s="1"/>
  <c r="JJ50" i="13"/>
  <c r="JI50" i="13"/>
  <c r="GP131" i="13"/>
  <c r="NL131" i="13"/>
  <c r="NN131" i="13"/>
  <c r="MV167" i="13"/>
  <c r="MU167" i="13"/>
  <c r="GQ167" i="13" s="1"/>
  <c r="GS167" i="13" s="1"/>
  <c r="GU167" i="13" s="1"/>
  <c r="MT167" i="13"/>
  <c r="GC167" i="13"/>
  <c r="GE167" i="13" s="1"/>
  <c r="E77" i="13"/>
  <c r="HP77" i="13"/>
  <c r="HR77" i="13" s="1"/>
  <c r="HX77" i="13"/>
  <c r="HZ77" i="13" s="1"/>
  <c r="HH77" i="13"/>
  <c r="HJ77" i="13" s="1"/>
  <c r="HK77" i="13" s="1"/>
  <c r="GZ77" i="13"/>
  <c r="HB77" i="13" s="1"/>
  <c r="HC77" i="13" s="1"/>
  <c r="FQ132" i="13"/>
  <c r="HL141" i="13"/>
  <c r="HN141" i="13" s="1"/>
  <c r="HO141" i="13" s="1"/>
  <c r="IB141" i="13"/>
  <c r="ID141" i="13" s="1"/>
  <c r="IE141" i="13" s="1"/>
  <c r="HD141" i="13"/>
  <c r="HF141" i="13" s="1"/>
  <c r="HG141" i="13" s="1"/>
  <c r="HT141" i="13"/>
  <c r="HV141" i="13" s="1"/>
  <c r="HW141" i="13" s="1"/>
  <c r="GF166" i="13"/>
  <c r="GP166" i="13" s="1"/>
  <c r="GO166" i="13"/>
  <c r="JJ66" i="13"/>
  <c r="JI66" i="13"/>
  <c r="NM43" i="13"/>
  <c r="IA43" i="13"/>
  <c r="NN43" i="13" s="1"/>
  <c r="NT43" i="13"/>
  <c r="JA95" i="13"/>
  <c r="JF95" i="13" s="1"/>
  <c r="JH95" i="13" s="1"/>
  <c r="JA170" i="13"/>
  <c r="JF170" i="13" s="1"/>
  <c r="JH170" i="13" s="1"/>
  <c r="FQ169" i="13"/>
  <c r="BS53" i="13"/>
  <c r="BR53" i="13" s="1"/>
  <c r="BQ53" i="13" s="1"/>
  <c r="E168" i="13"/>
  <c r="HH168" i="13"/>
  <c r="HJ168" i="13" s="1"/>
  <c r="HK168" i="13" s="1"/>
  <c r="GZ168" i="13"/>
  <c r="HB168" i="13" s="1"/>
  <c r="HC168" i="13" s="1"/>
  <c r="HP168" i="13"/>
  <c r="HR168" i="13" s="1"/>
  <c r="HX168" i="13"/>
  <c r="HZ168" i="13" s="1"/>
  <c r="MW151" i="13"/>
  <c r="GV151" i="13"/>
  <c r="GX151" i="13" s="1"/>
  <c r="GY151" i="13" s="1"/>
  <c r="MW189" i="13"/>
  <c r="GV189" i="13"/>
  <c r="GX189" i="13" s="1"/>
  <c r="GY189" i="13" s="1"/>
  <c r="NM40" i="13"/>
  <c r="IA40" i="13"/>
  <c r="NN40" i="13" s="1"/>
  <c r="NT40" i="13"/>
  <c r="JA77" i="13"/>
  <c r="JF77" i="13" s="1"/>
  <c r="JH77" i="13" s="1"/>
  <c r="MV199" i="13"/>
  <c r="MT199" i="13"/>
  <c r="MU199" i="13"/>
  <c r="GQ199" i="13" s="1"/>
  <c r="GS199" i="13" s="1"/>
  <c r="GU199" i="13" s="1"/>
  <c r="GC199" i="13"/>
  <c r="GE199" i="13" s="1"/>
  <c r="ND42" i="13"/>
  <c r="NE42" i="13" s="1"/>
  <c r="NH149" i="13"/>
  <c r="NF149" i="13"/>
  <c r="JL149" i="13"/>
  <c r="JN149" i="13" s="1"/>
  <c r="FQ96" i="13"/>
  <c r="GF91" i="13"/>
  <c r="GO91" i="13"/>
  <c r="GP54" i="13"/>
  <c r="NN54" i="13"/>
  <c r="MW133" i="13"/>
  <c r="GV133" i="13"/>
  <c r="GX133" i="13" s="1"/>
  <c r="GY133" i="13" s="1"/>
  <c r="NY72" i="13"/>
  <c r="NS72" i="13"/>
  <c r="HS72" i="13"/>
  <c r="NL72" i="13" s="1"/>
  <c r="NK72" i="13"/>
  <c r="MW208" i="13"/>
  <c r="GV208" i="13"/>
  <c r="GX208" i="13" s="1"/>
  <c r="GY208" i="13" s="1"/>
  <c r="LJ35" i="13"/>
  <c r="LL35" i="13" s="1"/>
  <c r="LM35" i="13" s="1"/>
  <c r="CW35" i="13" s="1"/>
  <c r="CV35" i="13" s="1"/>
  <c r="LR35" i="13"/>
  <c r="LT35" i="13" s="1"/>
  <c r="LU35" i="13" s="1"/>
  <c r="DU35" i="13" s="1"/>
  <c r="DT35" i="13" s="1"/>
  <c r="LB35" i="13"/>
  <c r="LD35" i="13" s="1"/>
  <c r="LE35" i="13" s="1"/>
  <c r="DZ35" i="13" s="1"/>
  <c r="DY35" i="13" s="1"/>
  <c r="KT35" i="13"/>
  <c r="KV35" i="13" s="1"/>
  <c r="KW35" i="13" s="1"/>
  <c r="DB35" i="13" s="1"/>
  <c r="DA35" i="13" s="1"/>
  <c r="FQ188" i="13"/>
  <c r="GF156" i="13"/>
  <c r="GO156" i="13"/>
  <c r="NS59" i="13"/>
  <c r="HS59" i="13"/>
  <c r="NL59" i="13" s="1"/>
  <c r="NK59" i="13"/>
  <c r="NY59" i="13"/>
  <c r="JA181" i="13"/>
  <c r="JF181" i="13" s="1"/>
  <c r="JH181" i="13" s="1"/>
  <c r="ND139" i="13"/>
  <c r="NE139" i="13" s="1"/>
  <c r="GP87" i="13"/>
  <c r="NL87" i="13"/>
  <c r="JJ182" i="13"/>
  <c r="JI182" i="13"/>
  <c r="NM19" i="13"/>
  <c r="BS19" i="13" s="1"/>
  <c r="BR19" i="13" s="1"/>
  <c r="BQ19" i="13" s="1"/>
  <c r="IA19" i="13"/>
  <c r="NT19" i="13"/>
  <c r="NX25" i="13"/>
  <c r="NW25" i="13"/>
  <c r="MW190" i="13"/>
  <c r="GV190" i="13"/>
  <c r="GX190" i="13" s="1"/>
  <c r="GY190" i="13" s="1"/>
  <c r="MW100" i="13"/>
  <c r="GV100" i="13"/>
  <c r="GX100" i="13" s="1"/>
  <c r="GY100" i="13" s="1"/>
  <c r="JA29" i="13"/>
  <c r="ND29" i="13"/>
  <c r="NE29" i="13" s="1"/>
  <c r="JJ151" i="13"/>
  <c r="JI151" i="13"/>
  <c r="JA140" i="13"/>
  <c r="JF140" i="13" s="1"/>
  <c r="JH140" i="13" s="1"/>
  <c r="MW142" i="13"/>
  <c r="GV142" i="13"/>
  <c r="GX142" i="13" s="1"/>
  <c r="GY142" i="13" s="1"/>
  <c r="GF154" i="13"/>
  <c r="GO154" i="13"/>
  <c r="JJ172" i="13"/>
  <c r="JI172" i="13"/>
  <c r="JA46" i="13"/>
  <c r="JF46" i="13" s="1"/>
  <c r="JH46" i="13" s="1"/>
  <c r="GP59" i="13"/>
  <c r="NN59" i="13"/>
  <c r="GF110" i="13"/>
  <c r="GP110" i="13" s="1"/>
  <c r="GO110" i="13"/>
  <c r="JA190" i="13"/>
  <c r="JF190" i="13" s="1"/>
  <c r="JH190" i="13" s="1"/>
  <c r="GF94" i="13"/>
  <c r="GO94" i="13"/>
  <c r="JJ116" i="13"/>
  <c r="JI116" i="13"/>
  <c r="FQ56" i="13"/>
  <c r="GF197" i="13"/>
  <c r="GO197" i="13"/>
  <c r="GF143" i="13"/>
  <c r="GO143" i="13"/>
  <c r="BH53" i="13"/>
  <c r="BG53" i="13" s="1"/>
  <c r="BF53" i="13" s="1"/>
  <c r="BE53" i="13" s="1"/>
  <c r="BD53" i="13" s="1"/>
  <c r="MW56" i="13"/>
  <c r="GV56" i="13"/>
  <c r="GX56" i="13" s="1"/>
  <c r="GY56" i="13" s="1"/>
  <c r="NM38" i="13"/>
  <c r="IA38" i="13"/>
  <c r="NT38" i="13"/>
  <c r="E51" i="13"/>
  <c r="HH51" i="13"/>
  <c r="HJ51" i="13" s="1"/>
  <c r="HK51" i="13" s="1"/>
  <c r="GZ51" i="13"/>
  <c r="HB51" i="13" s="1"/>
  <c r="HC51" i="13" s="1"/>
  <c r="HP51" i="13"/>
  <c r="HR51" i="13" s="1"/>
  <c r="HX51" i="13"/>
  <c r="HZ51" i="13" s="1"/>
  <c r="NF195" i="13"/>
  <c r="GF36" i="13"/>
  <c r="GO36" i="13"/>
  <c r="JJ124" i="13"/>
  <c r="JI124" i="13"/>
  <c r="JA55" i="13"/>
  <c r="JF55" i="13" s="1"/>
  <c r="JH55" i="13" s="1"/>
  <c r="ND161" i="13"/>
  <c r="NE161" i="13" s="1"/>
  <c r="NX53" i="13"/>
  <c r="NW53" i="13"/>
  <c r="GF137" i="13"/>
  <c r="GO137" i="13"/>
  <c r="JJ154" i="13"/>
  <c r="JI154" i="13"/>
  <c r="JA188" i="13"/>
  <c r="JF188" i="13" s="1"/>
  <c r="JH188" i="13" s="1"/>
  <c r="ND37" i="13"/>
  <c r="NE37" i="13" s="1"/>
  <c r="E75" i="13"/>
  <c r="HH75" i="13"/>
  <c r="HJ75" i="13" s="1"/>
  <c r="HK75" i="13" s="1"/>
  <c r="GZ75" i="13"/>
  <c r="HB75" i="13" s="1"/>
  <c r="HC75" i="13" s="1"/>
  <c r="HP75" i="13"/>
  <c r="HR75" i="13" s="1"/>
  <c r="HX75" i="13"/>
  <c r="HZ75" i="13" s="1"/>
  <c r="NK74" i="13"/>
  <c r="NY74" i="13"/>
  <c r="NS74" i="13"/>
  <c r="HS74" i="13"/>
  <c r="JA169" i="13"/>
  <c r="JF169" i="13" s="1"/>
  <c r="JH169" i="13" s="1"/>
  <c r="NM141" i="13"/>
  <c r="IA141" i="13"/>
  <c r="NN141" i="13" s="1"/>
  <c r="NT141" i="13"/>
  <c r="HD182" i="13"/>
  <c r="HF182" i="13" s="1"/>
  <c r="HG182" i="13" s="1"/>
  <c r="IB182" i="13"/>
  <c r="ID182" i="13" s="1"/>
  <c r="IE182" i="13" s="1"/>
  <c r="HL182" i="13"/>
  <c r="HN182" i="13" s="1"/>
  <c r="HO182" i="13" s="1"/>
  <c r="HT182" i="13"/>
  <c r="HV182" i="13" s="1"/>
  <c r="HW182" i="13" s="1"/>
  <c r="NH50" i="13"/>
  <c r="NG50" i="13"/>
  <c r="KH50" i="13" s="1"/>
  <c r="KJ50" i="13" s="1"/>
  <c r="KK50" i="13" s="1"/>
  <c r="NF50" i="13"/>
  <c r="JL50" i="13"/>
  <c r="JN50" i="13" s="1"/>
  <c r="MU120" i="13"/>
  <c r="GQ120" i="13" s="1"/>
  <c r="GS120" i="13" s="1"/>
  <c r="GU120" i="13" s="1"/>
  <c r="MT120" i="13"/>
  <c r="MV120" i="13"/>
  <c r="GC120" i="13"/>
  <c r="GE120" i="13" s="1"/>
  <c r="GP203" i="13"/>
  <c r="NN203" i="13"/>
  <c r="MV30" i="13"/>
  <c r="MU30" i="13"/>
  <c r="GQ30" i="13" s="1"/>
  <c r="GS30" i="13" s="1"/>
  <c r="GU30" i="13" s="1"/>
  <c r="MT30" i="13"/>
  <c r="GP193" i="13"/>
  <c r="GF135" i="13"/>
  <c r="GP135" i="13" s="1"/>
  <c r="GO135" i="13"/>
  <c r="MW166" i="13"/>
  <c r="GV166" i="13"/>
  <c r="GX166" i="13" s="1"/>
  <c r="GY166" i="13" s="1"/>
  <c r="NH66" i="13"/>
  <c r="NG66" i="13"/>
  <c r="KH66" i="13" s="1"/>
  <c r="KJ66" i="13" s="1"/>
  <c r="KK66" i="13" s="1"/>
  <c r="NF66" i="13"/>
  <c r="JL66" i="13"/>
  <c r="JN66" i="13" s="1"/>
  <c r="NX50" i="13"/>
  <c r="NW50" i="13"/>
  <c r="JJ211" i="13"/>
  <c r="JI211" i="13"/>
  <c r="FQ88" i="13"/>
  <c r="E189" i="13"/>
  <c r="HH189" i="13"/>
  <c r="HJ189" i="13" s="1"/>
  <c r="HK189" i="13" s="1"/>
  <c r="HX189" i="13"/>
  <c r="HZ189" i="13" s="1"/>
  <c r="HP189" i="13"/>
  <c r="HR189" i="13" s="1"/>
  <c r="GZ189" i="13"/>
  <c r="HB189" i="13" s="1"/>
  <c r="HC189" i="13" s="1"/>
  <c r="GF202" i="13"/>
  <c r="GO202" i="13"/>
  <c r="HS40" i="13"/>
  <c r="NL40" i="13" s="1"/>
  <c r="NK40" i="13"/>
  <c r="NY40" i="13"/>
  <c r="NS40" i="13"/>
  <c r="ND93" i="13"/>
  <c r="NE93" i="13" s="1"/>
  <c r="JJ42" i="13"/>
  <c r="JI42" i="13"/>
  <c r="NO35" i="13"/>
  <c r="CP35" i="13" s="1"/>
  <c r="CO35" i="13" s="1"/>
  <c r="CN35" i="13" s="1"/>
  <c r="LI35" i="13"/>
  <c r="NU35" i="13"/>
  <c r="E91" i="13"/>
  <c r="HH91" i="13"/>
  <c r="HJ91" i="13" s="1"/>
  <c r="HK91" i="13" s="1"/>
  <c r="HP91" i="13"/>
  <c r="HR91" i="13" s="1"/>
  <c r="GZ91" i="13"/>
  <c r="HB91" i="13" s="1"/>
  <c r="HC91" i="13" s="1"/>
  <c r="HX91" i="13"/>
  <c r="HZ91" i="13" s="1"/>
  <c r="NT172" i="13"/>
  <c r="NM172" i="13"/>
  <c r="IA172" i="13"/>
  <c r="NN172" i="13" s="1"/>
  <c r="E95" i="13"/>
  <c r="HH95" i="13"/>
  <c r="HJ95" i="13" s="1"/>
  <c r="HK95" i="13" s="1"/>
  <c r="HP95" i="13"/>
  <c r="HR95" i="13" s="1"/>
  <c r="HX95" i="13"/>
  <c r="HZ95" i="13" s="1"/>
  <c r="GZ95" i="13"/>
  <c r="HB95" i="13" s="1"/>
  <c r="HC95" i="13" s="1"/>
  <c r="JJ47" i="13"/>
  <c r="JI47" i="13"/>
  <c r="MV108" i="13"/>
  <c r="MU108" i="13"/>
  <c r="GQ108" i="13" s="1"/>
  <c r="GS108" i="13" s="1"/>
  <c r="GU108" i="13" s="1"/>
  <c r="MT108" i="13"/>
  <c r="GC108" i="13"/>
  <c r="GE108" i="13" s="1"/>
  <c r="E156" i="13"/>
  <c r="HX156" i="13"/>
  <c r="HZ156" i="13" s="1"/>
  <c r="HH156" i="13"/>
  <c r="HJ156" i="13" s="1"/>
  <c r="HK156" i="13" s="1"/>
  <c r="HP156" i="13"/>
  <c r="HR156" i="13" s="1"/>
  <c r="GZ156" i="13"/>
  <c r="HB156" i="13" s="1"/>
  <c r="HC156" i="13" s="1"/>
  <c r="GF90" i="13"/>
  <c r="GO90" i="13"/>
  <c r="FQ78" i="13"/>
  <c r="JA209" i="13"/>
  <c r="JF209" i="13" s="1"/>
  <c r="JH209" i="13" s="1"/>
  <c r="JA138" i="13"/>
  <c r="JF138" i="13" s="1"/>
  <c r="JH138" i="13" s="1"/>
  <c r="JJ139" i="13"/>
  <c r="JI139" i="13"/>
  <c r="MV127" i="13"/>
  <c r="MU127" i="13"/>
  <c r="GQ127" i="13" s="1"/>
  <c r="GS127" i="13" s="1"/>
  <c r="GU127" i="13" s="1"/>
  <c r="MT127" i="13"/>
  <c r="GC127" i="13"/>
  <c r="GE127" i="13" s="1"/>
  <c r="MU113" i="13"/>
  <c r="GQ113" i="13" s="1"/>
  <c r="GS113" i="13" s="1"/>
  <c r="GU113" i="13" s="1"/>
  <c r="MV113" i="13"/>
  <c r="MT113" i="13"/>
  <c r="GC113" i="13"/>
  <c r="GE113" i="13" s="1"/>
  <c r="HL158" i="13"/>
  <c r="HN158" i="13" s="1"/>
  <c r="HO158" i="13" s="1"/>
  <c r="HT158" i="13"/>
  <c r="HV158" i="13" s="1"/>
  <c r="HW158" i="13" s="1"/>
  <c r="IB158" i="13"/>
  <c r="ID158" i="13" s="1"/>
  <c r="IE158" i="13" s="1"/>
  <c r="HD158" i="13"/>
  <c r="HF158" i="13" s="1"/>
  <c r="HG158" i="13" s="1"/>
  <c r="JJ85" i="13"/>
  <c r="JI85" i="13"/>
  <c r="NL25" i="13"/>
  <c r="AS25" i="13"/>
  <c r="AR25" i="13" s="1"/>
  <c r="AQ25" i="13" s="1"/>
  <c r="AP25" i="13" s="1"/>
  <c r="AO25" i="13" s="1"/>
  <c r="AL25" i="13" s="1"/>
  <c r="BA23" i="13"/>
  <c r="AZ23" i="13" s="1"/>
  <c r="AY23" i="13" s="1"/>
  <c r="E190" i="13"/>
  <c r="HP190" i="13"/>
  <c r="HR190" i="13" s="1"/>
  <c r="HX190" i="13"/>
  <c r="HZ190" i="13" s="1"/>
  <c r="GZ190" i="13"/>
  <c r="HB190" i="13" s="1"/>
  <c r="HC190" i="13" s="1"/>
  <c r="HH190" i="13"/>
  <c r="HJ190" i="13" s="1"/>
  <c r="HK190" i="13" s="1"/>
  <c r="MV17" i="13"/>
  <c r="MU17" i="13"/>
  <c r="GQ17" i="13" s="1"/>
  <c r="GS17" i="13" s="1"/>
  <c r="GU17" i="13" s="1"/>
  <c r="MT17" i="13"/>
  <c r="MV88" i="13"/>
  <c r="MU88" i="13"/>
  <c r="GQ88" i="13" s="1"/>
  <c r="GS88" i="13" s="1"/>
  <c r="GU88" i="13" s="1"/>
  <c r="MT88" i="13"/>
  <c r="GC88" i="13"/>
  <c r="GE88" i="13" s="1"/>
  <c r="LN152" i="13"/>
  <c r="KX152" i="13"/>
  <c r="KZ152" i="13" s="1"/>
  <c r="LA152" i="13" s="1"/>
  <c r="KP152" i="13"/>
  <c r="KR152" i="13" s="1"/>
  <c r="KS152" i="13" s="1"/>
  <c r="LF152" i="13"/>
  <c r="LH152" i="13" s="1"/>
  <c r="NH201" i="13"/>
  <c r="NG201" i="13"/>
  <c r="KH201" i="13" s="1"/>
  <c r="KJ201" i="13" s="1"/>
  <c r="KK201" i="13" s="1"/>
  <c r="NF201" i="13"/>
  <c r="JL201" i="13"/>
  <c r="JN201" i="13" s="1"/>
  <c r="MW110" i="13"/>
  <c r="GV110" i="13"/>
  <c r="GX110" i="13" s="1"/>
  <c r="GY110" i="13" s="1"/>
  <c r="BP23" i="13"/>
  <c r="BO23" i="13" s="1"/>
  <c r="BN23" i="13" s="1"/>
  <c r="BM23" i="13" s="1"/>
  <c r="BL23" i="13" s="1"/>
  <c r="NN23" i="13"/>
  <c r="MW94" i="13"/>
  <c r="GV94" i="13"/>
  <c r="GX94" i="13" s="1"/>
  <c r="GY94" i="13" s="1"/>
  <c r="NF116" i="13"/>
  <c r="NH116" i="13"/>
  <c r="NG116" i="13"/>
  <c r="KH116" i="13" s="1"/>
  <c r="KJ116" i="13" s="1"/>
  <c r="KK116" i="13" s="1"/>
  <c r="JL116" i="13"/>
  <c r="JN116" i="13" s="1"/>
  <c r="NH74" i="13"/>
  <c r="NG74" i="13"/>
  <c r="KH74" i="13" s="1"/>
  <c r="KJ74" i="13" s="1"/>
  <c r="KK74" i="13" s="1"/>
  <c r="NF74" i="13"/>
  <c r="JL74" i="13"/>
  <c r="JN74" i="13" s="1"/>
  <c r="MW197" i="13"/>
  <c r="GV197" i="13"/>
  <c r="GX197" i="13" s="1"/>
  <c r="GY197" i="13" s="1"/>
  <c r="NF105" i="13"/>
  <c r="NH105" i="13"/>
  <c r="NG105" i="13"/>
  <c r="KH105" i="13" s="1"/>
  <c r="KJ105" i="13" s="1"/>
  <c r="KK105" i="13" s="1"/>
  <c r="JL105" i="13"/>
  <c r="JN105" i="13" s="1"/>
  <c r="AV23" i="13"/>
  <c r="AU23" i="13" s="1"/>
  <c r="AT23" i="13" s="1"/>
  <c r="NI210" i="13"/>
  <c r="KL210" i="13"/>
  <c r="KN210" i="13" s="1"/>
  <c r="KO210" i="13" s="1"/>
  <c r="JJ207" i="13"/>
  <c r="JI207" i="13"/>
  <c r="JI92" i="13"/>
  <c r="JJ92" i="13"/>
  <c r="GF114" i="13"/>
  <c r="GO114" i="13"/>
  <c r="MW137" i="13"/>
  <c r="GV137" i="13"/>
  <c r="GX137" i="13" s="1"/>
  <c r="GY137" i="13" s="1"/>
  <c r="JJ37" i="13"/>
  <c r="JI37" i="13"/>
  <c r="MW75" i="13"/>
  <c r="GV75" i="13"/>
  <c r="GX75" i="13" s="1"/>
  <c r="GY75" i="13" s="1"/>
  <c r="BU147" i="13"/>
  <c r="BT147" i="13" s="1"/>
  <c r="AX147" i="13"/>
  <c r="AW147" i="13" s="1"/>
  <c r="MW97" i="13"/>
  <c r="GV97" i="13"/>
  <c r="GX97" i="13" s="1"/>
  <c r="GY97" i="13" s="1"/>
  <c r="IA153" i="13"/>
  <c r="NN153" i="13" s="1"/>
  <c r="NT153" i="13"/>
  <c r="NM153" i="13"/>
  <c r="MV130" i="13"/>
  <c r="MU130" i="13"/>
  <c r="GQ130" i="13" s="1"/>
  <c r="GS130" i="13" s="1"/>
  <c r="GU130" i="13" s="1"/>
  <c r="MT130" i="13"/>
  <c r="GC130" i="13"/>
  <c r="GE130" i="13" s="1"/>
  <c r="FQ183" i="13"/>
  <c r="NK149" i="13"/>
  <c r="NY149" i="13"/>
  <c r="NS149" i="13"/>
  <c r="HS149" i="13"/>
  <c r="BA53" i="13"/>
  <c r="AZ53" i="13" s="1"/>
  <c r="AY53" i="13" s="1"/>
  <c r="NH211" i="13"/>
  <c r="NG211" i="13"/>
  <c r="KH211" i="13" s="1"/>
  <c r="KJ211" i="13" s="1"/>
  <c r="KK211" i="13" s="1"/>
  <c r="NF211" i="13"/>
  <c r="JL211" i="13"/>
  <c r="JN211" i="13" s="1"/>
  <c r="NX37" i="13"/>
  <c r="NW37" i="13"/>
  <c r="FQ101" i="13"/>
  <c r="NH36" i="13"/>
  <c r="NG36" i="13"/>
  <c r="KH36" i="13" s="1"/>
  <c r="KJ36" i="13" s="1"/>
  <c r="KK36" i="13" s="1"/>
  <c r="NF36" i="13"/>
  <c r="JL36" i="13"/>
  <c r="JN36" i="13" s="1"/>
  <c r="AV66" i="13"/>
  <c r="AU66" i="13" s="1"/>
  <c r="AT66" i="13" s="1"/>
  <c r="BA33" i="13"/>
  <c r="AZ33" i="13" s="1"/>
  <c r="AY33" i="13" s="1"/>
  <c r="MW202" i="13"/>
  <c r="GV202" i="13"/>
  <c r="GX202" i="13" s="1"/>
  <c r="GY202" i="13" s="1"/>
  <c r="FQ199" i="13"/>
  <c r="JJ93" i="13"/>
  <c r="JI93" i="13"/>
  <c r="FQ111" i="13"/>
  <c r="MW91" i="13"/>
  <c r="GV91" i="13"/>
  <c r="GX91" i="13" s="1"/>
  <c r="GY91" i="13" s="1"/>
  <c r="E133" i="13"/>
  <c r="HP133" i="13"/>
  <c r="HR133" i="13" s="1"/>
  <c r="HH133" i="13"/>
  <c r="HJ133" i="13" s="1"/>
  <c r="HK133" i="13" s="1"/>
  <c r="GZ133" i="13"/>
  <c r="HB133" i="13" s="1"/>
  <c r="HC133" i="13" s="1"/>
  <c r="HX133" i="13"/>
  <c r="HZ133" i="13" s="1"/>
  <c r="NS172" i="13"/>
  <c r="HS172" i="13"/>
  <c r="NL172" i="13" s="1"/>
  <c r="NK172" i="13"/>
  <c r="NY172" i="13"/>
  <c r="GO212" i="13"/>
  <c r="GF212" i="13"/>
  <c r="GP212" i="13" s="1"/>
  <c r="NF47" i="13"/>
  <c r="NH47" i="13"/>
  <c r="NG47" i="13"/>
  <c r="KH47" i="13" s="1"/>
  <c r="KJ47" i="13" s="1"/>
  <c r="KK47" i="13" s="1"/>
  <c r="JL47" i="13"/>
  <c r="JN47" i="13" s="1"/>
  <c r="GP38" i="13"/>
  <c r="NN38" i="13"/>
  <c r="NX161" i="13"/>
  <c r="NW161" i="13"/>
  <c r="MW156" i="13"/>
  <c r="GV156" i="13"/>
  <c r="GX156" i="13" s="1"/>
  <c r="GY156" i="13" s="1"/>
  <c r="MW90" i="13"/>
  <c r="GV90" i="13"/>
  <c r="GX90" i="13" s="1"/>
  <c r="GY90" i="13" s="1"/>
  <c r="JA18" i="13"/>
  <c r="ND18" i="13" s="1"/>
  <c r="NE18" i="13" s="1"/>
  <c r="NY175" i="13"/>
  <c r="NS175" i="13"/>
  <c r="HS175" i="13"/>
  <c r="NL175" i="13" s="1"/>
  <c r="NK175" i="13"/>
  <c r="NX213" i="13"/>
  <c r="NW213" i="13"/>
  <c r="JJ162" i="13"/>
  <c r="JI162" i="13"/>
  <c r="GF124" i="13"/>
  <c r="GO124" i="13"/>
  <c r="NH85" i="13"/>
  <c r="NG85" i="13"/>
  <c r="KH85" i="13" s="1"/>
  <c r="KJ85" i="13" s="1"/>
  <c r="KK85" i="13" s="1"/>
  <c r="NF85" i="13"/>
  <c r="JL85" i="13"/>
  <c r="JN85" i="13" s="1"/>
  <c r="NX204" i="13"/>
  <c r="NW204" i="13"/>
  <c r="CE23" i="13"/>
  <c r="CD23" i="13" s="1"/>
  <c r="BH23" i="13"/>
  <c r="BG23" i="13" s="1"/>
  <c r="BF23" i="13" s="1"/>
  <c r="BE23" i="13" s="1"/>
  <c r="BD23" i="13" s="1"/>
  <c r="E100" i="13"/>
  <c r="GZ100" i="13"/>
  <c r="HB100" i="13" s="1"/>
  <c r="HC100" i="13" s="1"/>
  <c r="HX100" i="13"/>
  <c r="HZ100" i="13" s="1"/>
  <c r="HH100" i="13"/>
  <c r="HJ100" i="13" s="1"/>
  <c r="HK100" i="13" s="1"/>
  <c r="HP100" i="13"/>
  <c r="HR100" i="13" s="1"/>
  <c r="JK128" i="13"/>
  <c r="NH40" i="13"/>
  <c r="NG40" i="13"/>
  <c r="KH40" i="13" s="1"/>
  <c r="KJ40" i="13" s="1"/>
  <c r="KK40" i="13" s="1"/>
  <c r="NF40" i="13"/>
  <c r="JL40" i="13"/>
  <c r="JN40" i="13" s="1"/>
  <c r="E154" i="13"/>
  <c r="HH154" i="13"/>
  <c r="HJ154" i="13" s="1"/>
  <c r="HK154" i="13" s="1"/>
  <c r="GZ154" i="13"/>
  <c r="HB154" i="13" s="1"/>
  <c r="HC154" i="13" s="1"/>
  <c r="HP154" i="13"/>
  <c r="HR154" i="13" s="1"/>
  <c r="HX154" i="13"/>
  <c r="HZ154" i="13" s="1"/>
  <c r="GF159" i="13"/>
  <c r="GO159" i="13"/>
  <c r="BP165" i="13"/>
  <c r="BO165" i="13" s="1"/>
  <c r="BN165" i="13" s="1"/>
  <c r="BM165" i="13" s="1"/>
  <c r="BL165" i="13" s="1"/>
  <c r="BC42" i="13"/>
  <c r="BB42" i="13" s="1"/>
  <c r="BA42" i="13" s="1"/>
  <c r="AZ42" i="13" s="1"/>
  <c r="AY42" i="13" s="1"/>
  <c r="BU42" i="13"/>
  <c r="BT42" i="13" s="1"/>
  <c r="BS42" i="13" s="1"/>
  <c r="BR42" i="13" s="1"/>
  <c r="BQ42" i="13" s="1"/>
  <c r="AX42" i="13"/>
  <c r="AW42" i="13" s="1"/>
  <c r="AV42" i="13" s="1"/>
  <c r="AU42" i="13" s="1"/>
  <c r="AT42" i="13" s="1"/>
  <c r="BP42" i="13"/>
  <c r="BO42" i="13" s="1"/>
  <c r="BN42" i="13" s="1"/>
  <c r="BM42" i="13" s="1"/>
  <c r="BL42" i="13" s="1"/>
  <c r="CE42" i="13"/>
  <c r="CD42" i="13" s="1"/>
  <c r="AS42" i="13"/>
  <c r="AR42" i="13" s="1"/>
  <c r="AQ42" i="13" s="1"/>
  <c r="AP42" i="13" s="1"/>
  <c r="AO42" i="13" s="1"/>
  <c r="AL42" i="13" s="1"/>
  <c r="BH42" i="13"/>
  <c r="BG42" i="13" s="1"/>
  <c r="BF42" i="13" s="1"/>
  <c r="BE42" i="13" s="1"/>
  <c r="BD42" i="13" s="1"/>
  <c r="BZ42" i="13"/>
  <c r="BY42" i="13" s="1"/>
  <c r="JJ148" i="13"/>
  <c r="JI148" i="13"/>
  <c r="FQ126" i="13"/>
  <c r="FQ185" i="13"/>
  <c r="JJ74" i="13"/>
  <c r="JI74" i="13"/>
  <c r="MW143" i="13"/>
  <c r="GV143" i="13"/>
  <c r="GX143" i="13" s="1"/>
  <c r="GY143" i="13" s="1"/>
  <c r="AV25" i="13"/>
  <c r="AU25" i="13" s="1"/>
  <c r="AT25" i="13" s="1"/>
  <c r="GF214" i="13"/>
  <c r="GO214" i="13"/>
  <c r="BH48" i="13"/>
  <c r="BG48" i="13" s="1"/>
  <c r="BF48" i="13" s="1"/>
  <c r="BE48" i="13" s="1"/>
  <c r="BD48" i="13" s="1"/>
  <c r="BZ48" i="13"/>
  <c r="BY48" i="13" s="1"/>
  <c r="BC48" i="13"/>
  <c r="BB48" i="13" s="1"/>
  <c r="BA48" i="13" s="1"/>
  <c r="AZ48" i="13" s="1"/>
  <c r="AY48" i="13" s="1"/>
  <c r="AX48" i="13"/>
  <c r="AW48" i="13" s="1"/>
  <c r="AV48" i="13" s="1"/>
  <c r="AU48" i="13" s="1"/>
  <c r="AT48" i="13" s="1"/>
  <c r="BU48" i="13"/>
  <c r="BT48" i="13" s="1"/>
  <c r="BS48" i="13" s="1"/>
  <c r="BR48" i="13" s="1"/>
  <c r="BQ48" i="13" s="1"/>
  <c r="BP48" i="13"/>
  <c r="BO48" i="13" s="1"/>
  <c r="BN48" i="13" s="1"/>
  <c r="BM48" i="13" s="1"/>
  <c r="BL48" i="13" s="1"/>
  <c r="CE48" i="13"/>
  <c r="CD48" i="13" s="1"/>
  <c r="AS48" i="13"/>
  <c r="AR48" i="13" s="1"/>
  <c r="AQ48" i="13" s="1"/>
  <c r="AP48" i="13" s="1"/>
  <c r="AO48" i="13" s="1"/>
  <c r="AL48" i="13" s="1"/>
  <c r="NX23" i="13"/>
  <c r="NW23" i="13"/>
  <c r="JO127" i="13"/>
  <c r="KG127" i="13" s="1"/>
  <c r="KF127" i="13"/>
  <c r="GP84" i="13"/>
  <c r="NN84" i="13"/>
  <c r="FQ187" i="13"/>
  <c r="NK52" i="13"/>
  <c r="NY52" i="13"/>
  <c r="NS52" i="13"/>
  <c r="HS52" i="13"/>
  <c r="NL52" i="13" s="1"/>
  <c r="JA102" i="13"/>
  <c r="JF102" i="13" s="1"/>
  <c r="JH102" i="13" s="1"/>
  <c r="JJ214" i="13"/>
  <c r="JI214" i="13"/>
  <c r="HS141" i="13"/>
  <c r="NL141" i="13" s="1"/>
  <c r="NK141" i="13"/>
  <c r="NY141" i="13"/>
  <c r="NS141" i="13"/>
  <c r="BA192" i="13"/>
  <c r="AZ192" i="13" s="1"/>
  <c r="AY192" i="13" s="1"/>
  <c r="FQ146" i="13"/>
  <c r="MV99" i="13"/>
  <c r="MU99" i="13"/>
  <c r="GQ99" i="13" s="1"/>
  <c r="GS99" i="13" s="1"/>
  <c r="GU99" i="13" s="1"/>
  <c r="MT99" i="13"/>
  <c r="GC99" i="13"/>
  <c r="GE99" i="13" s="1"/>
  <c r="BU57" i="13"/>
  <c r="BT57" i="13" s="1"/>
  <c r="BS57" i="13" s="1"/>
  <c r="BR57" i="13" s="1"/>
  <c r="BQ57" i="13" s="1"/>
  <c r="AX57" i="13"/>
  <c r="AW57" i="13" s="1"/>
  <c r="AV57" i="13" s="1"/>
  <c r="AU57" i="13" s="1"/>
  <c r="AT57" i="13" s="1"/>
  <c r="BP57" i="13"/>
  <c r="BO57" i="13" s="1"/>
  <c r="BN57" i="13" s="1"/>
  <c r="BM57" i="13" s="1"/>
  <c r="BL57" i="13" s="1"/>
  <c r="CE57" i="13"/>
  <c r="CD57" i="13" s="1"/>
  <c r="BH57" i="13"/>
  <c r="BG57" i="13" s="1"/>
  <c r="BF57" i="13" s="1"/>
  <c r="BE57" i="13" s="1"/>
  <c r="BD57" i="13" s="1"/>
  <c r="AS57" i="13"/>
  <c r="AR57" i="13" s="1"/>
  <c r="AQ57" i="13" s="1"/>
  <c r="AP57" i="13" s="1"/>
  <c r="AO57" i="13" s="1"/>
  <c r="AL57" i="13" s="1"/>
  <c r="BZ57" i="13"/>
  <c r="BY57" i="13" s="1"/>
  <c r="BC57" i="13"/>
  <c r="BB57" i="13" s="1"/>
  <c r="BA57" i="13" s="1"/>
  <c r="AZ57" i="13" s="1"/>
  <c r="AY57" i="13" s="1"/>
  <c r="IA105" i="13"/>
  <c r="NN105" i="13" s="1"/>
  <c r="NT105" i="13"/>
  <c r="NM105" i="13"/>
  <c r="NX42" i="13"/>
  <c r="NW42" i="13"/>
  <c r="IA160" i="13"/>
  <c r="NN160" i="13" s="1"/>
  <c r="NT160" i="13"/>
  <c r="NM160" i="13"/>
  <c r="MW135" i="13"/>
  <c r="GV135" i="13"/>
  <c r="GX135" i="13" s="1"/>
  <c r="GY135" i="13" s="1"/>
  <c r="E166" i="13"/>
  <c r="HX166" i="13"/>
  <c r="HZ166" i="13" s="1"/>
  <c r="GZ166" i="13"/>
  <c r="HB166" i="13" s="1"/>
  <c r="HC166" i="13" s="1"/>
  <c r="HH166" i="13"/>
  <c r="HJ166" i="13" s="1"/>
  <c r="HK166" i="13" s="1"/>
  <c r="HP166" i="13"/>
  <c r="HR166" i="13" s="1"/>
  <c r="NT149" i="13"/>
  <c r="NM149" i="13"/>
  <c r="IA149" i="13"/>
  <c r="NN149" i="13" s="1"/>
  <c r="NK38" i="13"/>
  <c r="NY38" i="13"/>
  <c r="NS38" i="13"/>
  <c r="HS38" i="13"/>
  <c r="NL38" i="13" s="1"/>
  <c r="GF210" i="13"/>
  <c r="GO210" i="13"/>
  <c r="GF183" i="13"/>
  <c r="GP183" i="13" s="1"/>
  <c r="GO183" i="13"/>
  <c r="HL162" i="13"/>
  <c r="HN162" i="13" s="1"/>
  <c r="HO162" i="13" s="1"/>
  <c r="HD162" i="13"/>
  <c r="HF162" i="13" s="1"/>
  <c r="HG162" i="13" s="1"/>
  <c r="IB162" i="13"/>
  <c r="ID162" i="13" s="1"/>
  <c r="IE162" i="13" s="1"/>
  <c r="HT162" i="13"/>
  <c r="HV162" i="13" s="1"/>
  <c r="HW162" i="13" s="1"/>
  <c r="AQ6" i="13"/>
  <c r="GP149" i="13"/>
  <c r="NL149" i="13"/>
  <c r="BP26" i="13"/>
  <c r="BO26" i="13" s="1"/>
  <c r="BN26" i="13" s="1"/>
  <c r="BM26" i="13" s="1"/>
  <c r="BL26" i="13" s="1"/>
  <c r="NN26" i="13"/>
  <c r="GP195" i="13"/>
  <c r="NN195" i="13"/>
  <c r="NL195" i="13"/>
  <c r="LP35" i="13"/>
  <c r="LQ35" i="13" s="1"/>
  <c r="NV35" i="13"/>
  <c r="NQ35" i="13"/>
  <c r="DN35" i="13" s="1"/>
  <c r="DM35" i="13" s="1"/>
  <c r="DL35" i="13" s="1"/>
  <c r="JJ73" i="13"/>
  <c r="JI73" i="13"/>
  <c r="MW212" i="13"/>
  <c r="GV212" i="13"/>
  <c r="GX212" i="13" s="1"/>
  <c r="GY212" i="13" s="1"/>
  <c r="NH75" i="13"/>
  <c r="NG75" i="13"/>
  <c r="KH75" i="13" s="1"/>
  <c r="KJ75" i="13" s="1"/>
  <c r="KK75" i="13" s="1"/>
  <c r="NF75" i="13"/>
  <c r="JL75" i="13"/>
  <c r="JN75" i="13" s="1"/>
  <c r="FQ61" i="13"/>
  <c r="NX98" i="13"/>
  <c r="NW98" i="13"/>
  <c r="JI204" i="13"/>
  <c r="JJ204" i="13"/>
  <c r="ND162" i="13"/>
  <c r="NE162" i="13" s="1"/>
  <c r="MW124" i="13"/>
  <c r="GV124" i="13"/>
  <c r="GX124" i="13" s="1"/>
  <c r="GY124" i="13" s="1"/>
  <c r="NH24" i="13"/>
  <c r="NG24" i="13"/>
  <c r="KH24" i="13" s="1"/>
  <c r="KJ24" i="13" s="1"/>
  <c r="KK24" i="13" s="1"/>
  <c r="NF24" i="13"/>
  <c r="IA93" i="13"/>
  <c r="NN93" i="13" s="1"/>
  <c r="NT93" i="13"/>
  <c r="NM93" i="13"/>
  <c r="JJ40" i="13"/>
  <c r="JI40" i="13"/>
  <c r="JA61" i="13"/>
  <c r="JF61" i="13" s="1"/>
  <c r="JH61" i="13" s="1"/>
  <c r="MW154" i="13"/>
  <c r="GV154" i="13"/>
  <c r="GX154" i="13" s="1"/>
  <c r="GY154" i="13" s="1"/>
  <c r="MW159" i="13"/>
  <c r="GV159" i="13"/>
  <c r="GX159" i="13" s="1"/>
  <c r="GY159" i="13" s="1"/>
  <c r="MR14" i="13"/>
  <c r="MS14" i="13" s="1"/>
  <c r="NX73" i="13"/>
  <c r="NW73" i="13"/>
  <c r="E110" i="13"/>
  <c r="HP110" i="13"/>
  <c r="HR110" i="13" s="1"/>
  <c r="HX110" i="13"/>
  <c r="HZ110" i="13" s="1"/>
  <c r="HH110" i="13"/>
  <c r="HJ110" i="13" s="1"/>
  <c r="HK110" i="13" s="1"/>
  <c r="GZ110" i="13"/>
  <c r="HB110" i="13" s="1"/>
  <c r="HC110" i="13" s="1"/>
  <c r="E94" i="13"/>
  <c r="HP94" i="13"/>
  <c r="HR94" i="13" s="1"/>
  <c r="HH94" i="13"/>
  <c r="HJ94" i="13" s="1"/>
  <c r="HK94" i="13" s="1"/>
  <c r="HX94" i="13"/>
  <c r="HZ94" i="13" s="1"/>
  <c r="GZ94" i="13"/>
  <c r="HB94" i="13" s="1"/>
  <c r="HC94" i="13" s="1"/>
  <c r="JA119" i="13"/>
  <c r="JF119" i="13" s="1"/>
  <c r="JH119" i="13" s="1"/>
  <c r="JK152" i="13"/>
  <c r="E197" i="13"/>
  <c r="HP197" i="13"/>
  <c r="HR197" i="13" s="1"/>
  <c r="GZ197" i="13"/>
  <c r="HB197" i="13" s="1"/>
  <c r="HC197" i="13" s="1"/>
  <c r="HH197" i="13"/>
  <c r="HJ197" i="13" s="1"/>
  <c r="HK197" i="13" s="1"/>
  <c r="HX197" i="13"/>
  <c r="HZ197" i="13" s="1"/>
  <c r="E143" i="13"/>
  <c r="HP143" i="13"/>
  <c r="HR143" i="13" s="1"/>
  <c r="HH143" i="13"/>
  <c r="HJ143" i="13" s="1"/>
  <c r="HK143" i="13" s="1"/>
  <c r="GZ143" i="13"/>
  <c r="HB143" i="13" s="1"/>
  <c r="HC143" i="13" s="1"/>
  <c r="HX143" i="13"/>
  <c r="HZ143" i="13" s="1"/>
  <c r="NH175" i="13"/>
  <c r="NG175" i="13"/>
  <c r="KH175" i="13" s="1"/>
  <c r="KJ175" i="13" s="1"/>
  <c r="KK175" i="13" s="1"/>
  <c r="NF175" i="13"/>
  <c r="JL175" i="13"/>
  <c r="JN175" i="13" s="1"/>
  <c r="NH80" i="13"/>
  <c r="NG80" i="13"/>
  <c r="KH80" i="13" s="1"/>
  <c r="KJ80" i="13" s="1"/>
  <c r="KK80" i="13" s="1"/>
  <c r="NF80" i="13"/>
  <c r="JL80" i="13"/>
  <c r="JN80" i="13" s="1"/>
  <c r="NG193" i="13"/>
  <c r="KH193" i="13" s="1"/>
  <c r="KJ193" i="13" s="1"/>
  <c r="KK193" i="13" s="1"/>
  <c r="NH193" i="13"/>
  <c r="NF193" i="13"/>
  <c r="JL193" i="13"/>
  <c r="JN193" i="13" s="1"/>
  <c r="NY49" i="13"/>
  <c r="NS49" i="13"/>
  <c r="HS49" i="13"/>
  <c r="NL49" i="13" s="1"/>
  <c r="NK49" i="13"/>
  <c r="FQ17" i="13"/>
  <c r="MW214" i="13"/>
  <c r="GV214" i="13"/>
  <c r="GX214" i="13" s="1"/>
  <c r="GY214" i="13" s="1"/>
  <c r="MW114" i="13"/>
  <c r="GV114" i="13"/>
  <c r="GX114" i="13" s="1"/>
  <c r="GY114" i="13" s="1"/>
  <c r="FQ55" i="13"/>
  <c r="NX33" i="13"/>
  <c r="NW33" i="13"/>
  <c r="NI127" i="13"/>
  <c r="KL127" i="13"/>
  <c r="KN127" i="13" s="1"/>
  <c r="KO127" i="13" s="1"/>
  <c r="HS203" i="13"/>
  <c r="NL203" i="13" s="1"/>
  <c r="NK203" i="13"/>
  <c r="NY203" i="13"/>
  <c r="NS203" i="13"/>
  <c r="E137" i="13"/>
  <c r="GZ137" i="13"/>
  <c r="HB137" i="13" s="1"/>
  <c r="HC137" i="13" s="1"/>
  <c r="HH137" i="13"/>
  <c r="HJ137" i="13" s="1"/>
  <c r="HK137" i="13" s="1"/>
  <c r="HX137" i="13"/>
  <c r="HZ137" i="13" s="1"/>
  <c r="HP137" i="13"/>
  <c r="HR137" i="13" s="1"/>
  <c r="ND213" i="13"/>
  <c r="NE213" i="13" s="1"/>
  <c r="JA109" i="13"/>
  <c r="JF109" i="13" s="1"/>
  <c r="JH109" i="13" s="1"/>
  <c r="JA108" i="13"/>
  <c r="JF108" i="13" s="1"/>
  <c r="JH108" i="13" s="1"/>
  <c r="ND214" i="13"/>
  <c r="NE214" i="13" s="1"/>
  <c r="IB131" i="13"/>
  <c r="ID131" i="13" s="1"/>
  <c r="IE131" i="13" s="1"/>
  <c r="HL131" i="13"/>
  <c r="HN131" i="13" s="1"/>
  <c r="HO131" i="13" s="1"/>
  <c r="HT131" i="13"/>
  <c r="HV131" i="13" s="1"/>
  <c r="HW131" i="13" s="1"/>
  <c r="HD131" i="13"/>
  <c r="HF131" i="13" s="1"/>
  <c r="HG131" i="13" s="1"/>
  <c r="JJ164" i="13"/>
  <c r="JI164" i="13"/>
  <c r="HL193" i="13"/>
  <c r="HN193" i="13" s="1"/>
  <c r="HO193" i="13" s="1"/>
  <c r="HD193" i="13"/>
  <c r="HF193" i="13" s="1"/>
  <c r="HG193" i="13" s="1"/>
  <c r="HT193" i="13"/>
  <c r="HV193" i="13" s="1"/>
  <c r="HW193" i="13" s="1"/>
  <c r="IB193" i="13"/>
  <c r="ID193" i="13" s="1"/>
  <c r="IE193" i="13" s="1"/>
  <c r="ND38" i="13"/>
  <c r="NE38" i="13" s="1"/>
  <c r="AR5" i="13"/>
  <c r="NS105" i="13"/>
  <c r="NK105" i="13"/>
  <c r="NY105" i="13"/>
  <c r="HS105" i="13"/>
  <c r="NL105" i="13" s="1"/>
  <c r="E135" i="13"/>
  <c r="HP135" i="13"/>
  <c r="HR135" i="13" s="1"/>
  <c r="HX135" i="13"/>
  <c r="HZ135" i="13" s="1"/>
  <c r="HH135" i="13"/>
  <c r="HJ135" i="13" s="1"/>
  <c r="HK135" i="13" s="1"/>
  <c r="GZ135" i="13"/>
  <c r="HB135" i="13" s="1"/>
  <c r="HC135" i="13" s="1"/>
  <c r="GP64" i="13"/>
  <c r="NN64" i="13"/>
  <c r="NL64" i="13"/>
  <c r="NK54" i="13"/>
  <c r="NY54" i="13"/>
  <c r="NS54" i="13"/>
  <c r="HS54" i="13"/>
  <c r="NL54" i="13" s="1"/>
  <c r="IB105" i="13"/>
  <c r="ID105" i="13" s="1"/>
  <c r="IE105" i="13" s="1"/>
  <c r="HL105" i="13"/>
  <c r="HN105" i="13" s="1"/>
  <c r="HO105" i="13" s="1"/>
  <c r="HT105" i="13"/>
  <c r="HV105" i="13" s="1"/>
  <c r="HW105" i="13" s="1"/>
  <c r="HD105" i="13"/>
  <c r="HF105" i="13" s="1"/>
  <c r="HG105" i="13" s="1"/>
  <c r="NI19" i="13"/>
  <c r="KL19" i="13"/>
  <c r="KN19" i="13" s="1"/>
  <c r="KO19" i="13" s="1"/>
  <c r="JO210" i="13"/>
  <c r="KG210" i="13" s="1"/>
  <c r="KF210" i="13"/>
  <c r="MW183" i="13"/>
  <c r="GV183" i="13"/>
  <c r="GX183" i="13" s="1"/>
  <c r="GY183" i="13" s="1"/>
  <c r="E202" i="13"/>
  <c r="HX202" i="13"/>
  <c r="HZ202" i="13" s="1"/>
  <c r="GZ202" i="13"/>
  <c r="HB202" i="13" s="1"/>
  <c r="HC202" i="13" s="1"/>
  <c r="HH202" i="13"/>
  <c r="HJ202" i="13" s="1"/>
  <c r="HK202" i="13" s="1"/>
  <c r="HP202" i="13"/>
  <c r="HR202" i="13" s="1"/>
  <c r="GF188" i="13"/>
  <c r="GP188" i="13" s="1"/>
  <c r="GO188" i="13"/>
  <c r="JK125" i="13"/>
  <c r="MV115" i="13"/>
  <c r="MU115" i="13"/>
  <c r="GQ115" i="13" s="1"/>
  <c r="GS115" i="13" s="1"/>
  <c r="GU115" i="13" s="1"/>
  <c r="MT115" i="13"/>
  <c r="GC115" i="13"/>
  <c r="GE115" i="13" s="1"/>
  <c r="GF51" i="13"/>
  <c r="GO51" i="13"/>
  <c r="NH73" i="13"/>
  <c r="NG73" i="13"/>
  <c r="KH73" i="13" s="1"/>
  <c r="KJ73" i="13" s="1"/>
  <c r="KK73" i="13" s="1"/>
  <c r="NF73" i="13"/>
  <c r="JL73" i="13"/>
  <c r="JN73" i="13" s="1"/>
  <c r="JA166" i="13"/>
  <c r="JF166" i="13" s="1"/>
  <c r="JH166" i="13" s="1"/>
  <c r="GP162" i="13"/>
  <c r="NL162" i="13"/>
  <c r="NN162" i="13"/>
  <c r="JJ123" i="13"/>
  <c r="JI123" i="13"/>
  <c r="GF89" i="13"/>
  <c r="GO89" i="13"/>
  <c r="CE164" i="13"/>
  <c r="CD164" i="13" s="1"/>
  <c r="BH164" i="13"/>
  <c r="BG164" i="13" s="1"/>
  <c r="BF164" i="13" s="1"/>
  <c r="BE164" i="13" s="1"/>
  <c r="BD164" i="13" s="1"/>
  <c r="HD85" i="13"/>
  <c r="HF85" i="13" s="1"/>
  <c r="HG85" i="13" s="1"/>
  <c r="IB85" i="13"/>
  <c r="ID85" i="13" s="1"/>
  <c r="IE85" i="13" s="1"/>
  <c r="HL85" i="13"/>
  <c r="HN85" i="13" s="1"/>
  <c r="HO85" i="13" s="1"/>
  <c r="HT85" i="13"/>
  <c r="HV85" i="13" s="1"/>
  <c r="HW85" i="13" s="1"/>
  <c r="E90" i="13"/>
  <c r="HP90" i="13"/>
  <c r="HR90" i="13" s="1"/>
  <c r="HH90" i="13"/>
  <c r="HJ90" i="13" s="1"/>
  <c r="HK90" i="13" s="1"/>
  <c r="GZ90" i="13"/>
  <c r="HB90" i="13" s="1"/>
  <c r="HC90" i="13" s="1"/>
  <c r="HX90" i="13"/>
  <c r="HZ90" i="13" s="1"/>
  <c r="FQ39" i="13"/>
  <c r="BH31" i="13"/>
  <c r="BG31" i="13" s="1"/>
  <c r="BF31" i="13" s="1"/>
  <c r="BE31" i="13" s="1"/>
  <c r="BD31" i="13" s="1"/>
  <c r="BZ31" i="13"/>
  <c r="BY31" i="13" s="1"/>
  <c r="BA26" i="13"/>
  <c r="AZ26" i="13" s="1"/>
  <c r="AY26" i="13" s="1"/>
  <c r="FQ70" i="13"/>
  <c r="NK93" i="13"/>
  <c r="NY93" i="13"/>
  <c r="HS93" i="13"/>
  <c r="NL93" i="13" s="1"/>
  <c r="NS93" i="13"/>
  <c r="GF62" i="13"/>
  <c r="GP62" i="13" s="1"/>
  <c r="GO62" i="13"/>
  <c r="AS80" i="13"/>
  <c r="AR80" i="13" s="1"/>
  <c r="AQ80" i="13" s="1"/>
  <c r="AP80" i="13" s="1"/>
  <c r="AO80" i="13" s="1"/>
  <c r="AL80" i="13" s="1"/>
  <c r="BZ80" i="13"/>
  <c r="BY80" i="13" s="1"/>
  <c r="BH80" i="13"/>
  <c r="BG80" i="13" s="1"/>
  <c r="BF80" i="13" s="1"/>
  <c r="BE80" i="13" s="1"/>
  <c r="BD80" i="13" s="1"/>
  <c r="BC80" i="13"/>
  <c r="BB80" i="13" s="1"/>
  <c r="BA80" i="13" s="1"/>
  <c r="AZ80" i="13" s="1"/>
  <c r="AY80" i="13" s="1"/>
  <c r="BU80" i="13"/>
  <c r="BT80" i="13" s="1"/>
  <c r="BS80" i="13" s="1"/>
  <c r="BR80" i="13" s="1"/>
  <c r="BQ80" i="13" s="1"/>
  <c r="AX80" i="13"/>
  <c r="AW80" i="13" s="1"/>
  <c r="AV80" i="13" s="1"/>
  <c r="AU80" i="13" s="1"/>
  <c r="AT80" i="13" s="1"/>
  <c r="BP80" i="13"/>
  <c r="BO80" i="13" s="1"/>
  <c r="BN80" i="13" s="1"/>
  <c r="BM80" i="13" s="1"/>
  <c r="BL80" i="13" s="1"/>
  <c r="CE80" i="13"/>
  <c r="CD80" i="13" s="1"/>
  <c r="GF185" i="13"/>
  <c r="GP185" i="13" s="1"/>
  <c r="GO185" i="13"/>
  <c r="JA186" i="13"/>
  <c r="JF186" i="13" s="1"/>
  <c r="JH186" i="13" s="1"/>
  <c r="NH59" i="13"/>
  <c r="NG59" i="13"/>
  <c r="KH59" i="13" s="1"/>
  <c r="KJ59" i="13" s="1"/>
  <c r="KK59" i="13" s="1"/>
  <c r="NF59" i="13"/>
  <c r="JL59" i="13"/>
  <c r="JN59" i="13" s="1"/>
  <c r="JA196" i="13"/>
  <c r="JF196" i="13" s="1"/>
  <c r="JH196" i="13" s="1"/>
  <c r="JA79" i="13"/>
  <c r="JF79" i="13" s="1"/>
  <c r="JH79" i="13" s="1"/>
  <c r="JA20" i="13"/>
  <c r="ND20" i="13" s="1"/>
  <c r="NE20" i="13" s="1"/>
  <c r="GF205" i="13"/>
  <c r="GP205" i="13" s="1"/>
  <c r="GO205" i="13"/>
  <c r="MW13" i="13"/>
  <c r="GV13" i="13"/>
  <c r="GX13" i="13" s="1"/>
  <c r="GY13" i="13" s="1"/>
  <c r="JJ90" i="13"/>
  <c r="JI90" i="13"/>
  <c r="NH198" i="13"/>
  <c r="NF198" i="13"/>
  <c r="NG198" i="13"/>
  <c r="KH198" i="13" s="1"/>
  <c r="KJ198" i="13" s="1"/>
  <c r="KK198" i="13" s="1"/>
  <c r="JL198" i="13"/>
  <c r="JN198" i="13" s="1"/>
  <c r="E114" i="13"/>
  <c r="HX114" i="13"/>
  <c r="HZ114" i="13" s="1"/>
  <c r="HH114" i="13"/>
  <c r="HJ114" i="13" s="1"/>
  <c r="HK114" i="13" s="1"/>
  <c r="HP114" i="13"/>
  <c r="HR114" i="13" s="1"/>
  <c r="GZ114" i="13"/>
  <c r="HB114" i="13" s="1"/>
  <c r="HC114" i="13" s="1"/>
  <c r="NL33" i="13"/>
  <c r="AS33" i="13"/>
  <c r="AR33" i="13" s="1"/>
  <c r="AQ33" i="13" s="1"/>
  <c r="AP33" i="13" s="1"/>
  <c r="AO33" i="13" s="1"/>
  <c r="AL33" i="13" s="1"/>
  <c r="ND153" i="13"/>
  <c r="NE153" i="13" s="1"/>
  <c r="JJ213" i="13"/>
  <c r="JI213" i="13"/>
  <c r="MU111" i="13"/>
  <c r="GQ111" i="13" s="1"/>
  <c r="GS111" i="13" s="1"/>
  <c r="GU111" i="13" s="1"/>
  <c r="MT111" i="13"/>
  <c r="MV111" i="13"/>
  <c r="GC111" i="13"/>
  <c r="GE111" i="13" s="1"/>
  <c r="JK127" i="13"/>
  <c r="BP98" i="13"/>
  <c r="BO98" i="13" s="1"/>
  <c r="BN98" i="13" s="1"/>
  <c r="BM98" i="13" s="1"/>
  <c r="BL98" i="13" s="1"/>
  <c r="BZ98" i="13"/>
  <c r="BY98" i="13" s="1"/>
  <c r="BH98" i="13"/>
  <c r="BG98" i="13" s="1"/>
  <c r="BF98" i="13" s="1"/>
  <c r="BE98" i="13" s="1"/>
  <c r="BD98" i="13" s="1"/>
  <c r="CE98" i="13"/>
  <c r="CD98" i="13" s="1"/>
  <c r="BC98" i="13"/>
  <c r="BB98" i="13" s="1"/>
  <c r="BA98" i="13" s="1"/>
  <c r="AZ98" i="13" s="1"/>
  <c r="AY98" i="13" s="1"/>
  <c r="BU98" i="13"/>
  <c r="BT98" i="13" s="1"/>
  <c r="BS98" i="13" s="1"/>
  <c r="BR98" i="13" s="1"/>
  <c r="BQ98" i="13" s="1"/>
  <c r="AX98" i="13"/>
  <c r="AW98" i="13" s="1"/>
  <c r="AV98" i="13" s="1"/>
  <c r="AU98" i="13" s="1"/>
  <c r="AT98" i="13" s="1"/>
  <c r="AS98" i="13"/>
  <c r="AR98" i="13" s="1"/>
  <c r="AQ98" i="13" s="1"/>
  <c r="AP98" i="13" s="1"/>
  <c r="AO98" i="13" s="1"/>
  <c r="AL98" i="13" s="1"/>
  <c r="GF56" i="13"/>
  <c r="GP56" i="13" s="1"/>
  <c r="GO56" i="13"/>
  <c r="BF192" i="13"/>
  <c r="BE192" i="13" s="1"/>
  <c r="BD192" i="13" s="1"/>
  <c r="HD203" i="13"/>
  <c r="HF203" i="13" s="1"/>
  <c r="HG203" i="13" s="1"/>
  <c r="HL203" i="13"/>
  <c r="HN203" i="13" s="1"/>
  <c r="HO203" i="13" s="1"/>
  <c r="HT203" i="13"/>
  <c r="HV203" i="13" s="1"/>
  <c r="HW203" i="13" s="1"/>
  <c r="IB203" i="13"/>
  <c r="ID203" i="13" s="1"/>
  <c r="IE203" i="13" s="1"/>
  <c r="NH164" i="13"/>
  <c r="NG164" i="13"/>
  <c r="KH164" i="13" s="1"/>
  <c r="KJ164" i="13" s="1"/>
  <c r="KK164" i="13" s="1"/>
  <c r="NF164" i="13"/>
  <c r="JL164" i="13"/>
  <c r="JN164" i="13" s="1"/>
  <c r="MU186" i="13"/>
  <c r="GQ186" i="13" s="1"/>
  <c r="GS186" i="13" s="1"/>
  <c r="GU186" i="13" s="1"/>
  <c r="MT186" i="13"/>
  <c r="MV186" i="13"/>
  <c r="GC186" i="13"/>
  <c r="GE186" i="13" s="1"/>
  <c r="JJ175" i="13"/>
  <c r="JI175" i="13"/>
  <c r="JJ38" i="13"/>
  <c r="JI38" i="13"/>
  <c r="GP74" i="13"/>
  <c r="NN74" i="13"/>
  <c r="NL74" i="13"/>
  <c r="ND94" i="13"/>
  <c r="NE94" i="13" s="1"/>
  <c r="NF26" i="13"/>
  <c r="NH26" i="13"/>
  <c r="NG26" i="13"/>
  <c r="KH26" i="13" s="1"/>
  <c r="KJ26" i="13" s="1"/>
  <c r="KK26" i="13" s="1"/>
  <c r="MW22" i="13"/>
  <c r="GV22" i="13"/>
  <c r="GX22" i="13" s="1"/>
  <c r="GY22" i="13" s="1"/>
  <c r="CE163" i="13"/>
  <c r="CD163" i="13" s="1"/>
  <c r="AX163" i="13"/>
  <c r="AW163" i="13" s="1"/>
  <c r="AV163" i="13" s="1"/>
  <c r="AU163" i="13" s="1"/>
  <c r="AT163" i="13" s="1"/>
  <c r="AS163" i="13"/>
  <c r="AR163" i="13" s="1"/>
  <c r="AQ163" i="13" s="1"/>
  <c r="AP163" i="13" s="1"/>
  <c r="AO163" i="13" s="1"/>
  <c r="AL163" i="13" s="1"/>
  <c r="BZ163" i="13"/>
  <c r="BY163" i="13" s="1"/>
  <c r="BH163" i="13"/>
  <c r="BG163" i="13" s="1"/>
  <c r="BF163" i="13" s="1"/>
  <c r="BE163" i="13" s="1"/>
  <c r="BD163" i="13" s="1"/>
  <c r="BU163" i="13"/>
  <c r="BT163" i="13" s="1"/>
  <c r="BS163" i="13" s="1"/>
  <c r="BR163" i="13" s="1"/>
  <c r="BQ163" i="13" s="1"/>
  <c r="BP163" i="13"/>
  <c r="BO163" i="13" s="1"/>
  <c r="BN163" i="13" s="1"/>
  <c r="BM163" i="13" s="1"/>
  <c r="BL163" i="13" s="1"/>
  <c r="BC163" i="13"/>
  <c r="BB163" i="13" s="1"/>
  <c r="BA163" i="13" s="1"/>
  <c r="AZ163" i="13" s="1"/>
  <c r="AY163" i="13" s="1"/>
  <c r="NY160" i="13"/>
  <c r="NS160" i="13"/>
  <c r="HS160" i="13"/>
  <c r="NL160" i="13" s="1"/>
  <c r="NK160" i="13"/>
  <c r="JK155" i="13"/>
  <c r="HS148" i="13"/>
  <c r="NL148" i="13" s="1"/>
  <c r="NK148" i="13"/>
  <c r="NY148" i="13"/>
  <c r="NS148" i="13"/>
  <c r="JO125" i="13"/>
  <c r="KG125" i="13" s="1"/>
  <c r="KF125" i="13"/>
  <c r="E210" i="13"/>
  <c r="GZ210" i="13"/>
  <c r="HB210" i="13" s="1"/>
  <c r="HC210" i="13" s="1"/>
  <c r="HP210" i="13"/>
  <c r="HR210" i="13" s="1"/>
  <c r="HH210" i="13"/>
  <c r="HJ210" i="13" s="1"/>
  <c r="HK210" i="13" s="1"/>
  <c r="HX210" i="13"/>
  <c r="HZ210" i="13" s="1"/>
  <c r="JA101" i="13"/>
  <c r="JF101" i="13" s="1"/>
  <c r="JH101" i="13" s="1"/>
  <c r="HS201" i="13"/>
  <c r="NL201" i="13" s="1"/>
  <c r="NK201" i="13"/>
  <c r="NY201" i="13"/>
  <c r="NS201" i="13"/>
  <c r="MW188" i="13"/>
  <c r="GV188" i="13"/>
  <c r="GX188" i="13" s="1"/>
  <c r="GY188" i="13" s="1"/>
  <c r="MV44" i="13"/>
  <c r="MU44" i="13"/>
  <c r="GQ44" i="13" s="1"/>
  <c r="GS44" i="13" s="1"/>
  <c r="GU44" i="13" s="1"/>
  <c r="MT44" i="13"/>
  <c r="GC44" i="13"/>
  <c r="GE44" i="13" s="1"/>
  <c r="JK75" i="13"/>
  <c r="MV109" i="13"/>
  <c r="MU109" i="13"/>
  <c r="GQ109" i="13" s="1"/>
  <c r="GS109" i="13" s="1"/>
  <c r="GU109" i="13" s="1"/>
  <c r="MT109" i="13"/>
  <c r="GC109" i="13"/>
  <c r="GE109" i="13" s="1"/>
  <c r="JJ212" i="13"/>
  <c r="JI212" i="13"/>
  <c r="NK76" i="13"/>
  <c r="NY76" i="13"/>
  <c r="NS76" i="13"/>
  <c r="HS76" i="13"/>
  <c r="NL76" i="13" s="1"/>
  <c r="ND123" i="13"/>
  <c r="NE123" i="13" s="1"/>
  <c r="E212" i="13"/>
  <c r="HP212" i="13"/>
  <c r="HR212" i="13" s="1"/>
  <c r="HH212" i="13"/>
  <c r="HJ212" i="13" s="1"/>
  <c r="HK212" i="13" s="1"/>
  <c r="HX212" i="13"/>
  <c r="HZ212" i="13" s="1"/>
  <c r="GZ212" i="13"/>
  <c r="HB212" i="13" s="1"/>
  <c r="HC212" i="13" s="1"/>
  <c r="MW89" i="13"/>
  <c r="GV89" i="13"/>
  <c r="GX89" i="13" s="1"/>
  <c r="GY89" i="13" s="1"/>
  <c r="BA164" i="13"/>
  <c r="AZ164" i="13" s="1"/>
  <c r="AY164" i="13" s="1"/>
  <c r="JJ195" i="13"/>
  <c r="JI195" i="13"/>
  <c r="FQ190" i="13"/>
  <c r="MW20" i="13"/>
  <c r="GV20" i="13"/>
  <c r="GX20" i="13" s="1"/>
  <c r="GY20" i="13" s="1"/>
  <c r="GF123" i="13"/>
  <c r="GO123" i="13"/>
  <c r="IA175" i="13"/>
  <c r="NN175" i="13" s="1"/>
  <c r="NT175" i="13"/>
  <c r="NM175" i="13"/>
  <c r="E124" i="13"/>
  <c r="HH124" i="13"/>
  <c r="HJ124" i="13" s="1"/>
  <c r="HK124" i="13" s="1"/>
  <c r="HX124" i="13"/>
  <c r="HZ124" i="13" s="1"/>
  <c r="HP124" i="13"/>
  <c r="HR124" i="13" s="1"/>
  <c r="GZ124" i="13"/>
  <c r="HB124" i="13" s="1"/>
  <c r="HC124" i="13" s="1"/>
  <c r="FQ29" i="13"/>
  <c r="JJ193" i="13"/>
  <c r="JI193" i="13"/>
  <c r="HT157" i="13"/>
  <c r="HV157" i="13" s="1"/>
  <c r="HW157" i="13" s="1"/>
  <c r="HL157" i="13"/>
  <c r="HN157" i="13" s="1"/>
  <c r="HO157" i="13" s="1"/>
  <c r="IB157" i="13"/>
  <c r="ID157" i="13" s="1"/>
  <c r="IE157" i="13" s="1"/>
  <c r="HD157" i="13"/>
  <c r="HF157" i="13" s="1"/>
  <c r="HG157" i="13" s="1"/>
  <c r="HD31" i="13"/>
  <c r="HF31" i="13" s="1"/>
  <c r="HG31" i="13" s="1"/>
  <c r="HL31" i="13"/>
  <c r="HN31" i="13" s="1"/>
  <c r="HO31" i="13" s="1"/>
  <c r="CE31" i="13" s="1"/>
  <c r="CD31" i="13" s="1"/>
  <c r="HT31" i="13"/>
  <c r="HV31" i="13" s="1"/>
  <c r="HW31" i="13" s="1"/>
  <c r="BC31" i="13" s="1"/>
  <c r="BB31" i="13" s="1"/>
  <c r="BA31" i="13" s="1"/>
  <c r="AZ31" i="13" s="1"/>
  <c r="AY31" i="13" s="1"/>
  <c r="IB31" i="13"/>
  <c r="ID31" i="13" s="1"/>
  <c r="IE31" i="13" s="1"/>
  <c r="FQ110" i="13"/>
  <c r="BC50" i="13"/>
  <c r="BB50" i="13" s="1"/>
  <c r="BA50" i="13" s="1"/>
  <c r="AZ50" i="13" s="1"/>
  <c r="AY50" i="13" s="1"/>
  <c r="AX50" i="13"/>
  <c r="AW50" i="13" s="1"/>
  <c r="AV50" i="13" s="1"/>
  <c r="AU50" i="13" s="1"/>
  <c r="AT50" i="13" s="1"/>
  <c r="BU50" i="13"/>
  <c r="BT50" i="13" s="1"/>
  <c r="BS50" i="13" s="1"/>
  <c r="BR50" i="13" s="1"/>
  <c r="BQ50" i="13" s="1"/>
  <c r="BP50" i="13"/>
  <c r="BO50" i="13" s="1"/>
  <c r="BN50" i="13" s="1"/>
  <c r="BM50" i="13" s="1"/>
  <c r="BL50" i="13" s="1"/>
  <c r="CE50" i="13"/>
  <c r="CD50" i="13" s="1"/>
  <c r="AS50" i="13"/>
  <c r="AR50" i="13" s="1"/>
  <c r="AQ50" i="13" s="1"/>
  <c r="AP50" i="13" s="1"/>
  <c r="AO50" i="13" s="1"/>
  <c r="AL50" i="13" s="1"/>
  <c r="BH50" i="13"/>
  <c r="BG50" i="13" s="1"/>
  <c r="BF50" i="13" s="1"/>
  <c r="BE50" i="13" s="1"/>
  <c r="BD50" i="13" s="1"/>
  <c r="BZ50" i="13"/>
  <c r="BY50" i="13" s="1"/>
  <c r="ND92" i="13"/>
  <c r="NE92" i="13" s="1"/>
  <c r="NX165" i="13"/>
  <c r="NW165" i="13"/>
  <c r="MV45" i="13"/>
  <c r="MU45" i="13"/>
  <c r="GQ45" i="13" s="1"/>
  <c r="GS45" i="13" s="1"/>
  <c r="GU45" i="13" s="1"/>
  <c r="MT45" i="13"/>
  <c r="GC45" i="13"/>
  <c r="GE45" i="13" s="1"/>
  <c r="E159" i="13"/>
  <c r="HH159" i="13"/>
  <c r="HJ159" i="13" s="1"/>
  <c r="HK159" i="13" s="1"/>
  <c r="GZ159" i="13"/>
  <c r="HB159" i="13" s="1"/>
  <c r="HC159" i="13" s="1"/>
  <c r="HP159" i="13"/>
  <c r="HR159" i="13" s="1"/>
  <c r="HX159" i="13"/>
  <c r="HZ159" i="13" s="1"/>
  <c r="MW62" i="13"/>
  <c r="GV62" i="13"/>
  <c r="GX62" i="13" s="1"/>
  <c r="GY62" i="13" s="1"/>
  <c r="JK105" i="13"/>
  <c r="BC19" i="13"/>
  <c r="BB19" i="13" s="1"/>
  <c r="BA19" i="13" s="1"/>
  <c r="AZ19" i="13" s="1"/>
  <c r="AY19" i="13" s="1"/>
  <c r="BH19" i="13"/>
  <c r="BG19" i="13" s="1"/>
  <c r="BF19" i="13" s="1"/>
  <c r="BE19" i="13" s="1"/>
  <c r="BD19" i="13" s="1"/>
  <c r="CE19" i="13"/>
  <c r="CD19" i="13" s="1"/>
  <c r="BZ19" i="13"/>
  <c r="BY19" i="13" s="1"/>
  <c r="MW185" i="13"/>
  <c r="GV185" i="13"/>
  <c r="GX185" i="13" s="1"/>
  <c r="GY185" i="13" s="1"/>
  <c r="AX31" i="13"/>
  <c r="AW31" i="13" s="1"/>
  <c r="AV31" i="13" s="1"/>
  <c r="AU31" i="13" s="1"/>
  <c r="AT31" i="13" s="1"/>
  <c r="CR31" i="13"/>
  <c r="CQ31" i="13" s="1"/>
  <c r="FQ99" i="13"/>
  <c r="JJ106" i="13"/>
  <c r="JI106" i="13"/>
  <c r="HD195" i="13"/>
  <c r="HF195" i="13" s="1"/>
  <c r="HG195" i="13" s="1"/>
  <c r="HL195" i="13"/>
  <c r="HN195" i="13" s="1"/>
  <c r="HO195" i="13" s="1"/>
  <c r="IB195" i="13"/>
  <c r="ID195" i="13" s="1"/>
  <c r="IE195" i="13" s="1"/>
  <c r="HT195" i="13"/>
  <c r="HV195" i="13" s="1"/>
  <c r="HW195" i="13" s="1"/>
  <c r="JA208" i="13"/>
  <c r="JF208" i="13" s="1"/>
  <c r="JH208" i="13" s="1"/>
  <c r="JJ59" i="13"/>
  <c r="JI59" i="13"/>
  <c r="BS204" i="13"/>
  <c r="BR204" i="13" s="1"/>
  <c r="BQ204" i="13" s="1"/>
  <c r="HL49" i="13"/>
  <c r="HN49" i="13" s="1"/>
  <c r="HO49" i="13" s="1"/>
  <c r="IB49" i="13"/>
  <c r="ID49" i="13" s="1"/>
  <c r="IE49" i="13" s="1"/>
  <c r="HD49" i="13"/>
  <c r="HF49" i="13" s="1"/>
  <c r="HG49" i="13" s="1"/>
  <c r="HT49" i="13"/>
  <c r="HV49" i="13" s="1"/>
  <c r="HW49" i="13" s="1"/>
  <c r="JL204" i="13" l="1"/>
  <c r="JN204" i="13" s="1"/>
  <c r="ND156" i="13"/>
  <c r="NE156" i="13" s="1"/>
  <c r="NF204" i="13"/>
  <c r="ND108" i="13"/>
  <c r="NE108" i="13" s="1"/>
  <c r="JL76" i="13"/>
  <c r="JN76" i="13" s="1"/>
  <c r="ND126" i="13"/>
  <c r="NE126" i="13" s="1"/>
  <c r="NH204" i="13"/>
  <c r="NF76" i="13"/>
  <c r="NG195" i="13"/>
  <c r="KH195" i="13" s="1"/>
  <c r="KJ195" i="13" s="1"/>
  <c r="KK195" i="13" s="1"/>
  <c r="ND181" i="13"/>
  <c r="NE181" i="13" s="1"/>
  <c r="NG76" i="13"/>
  <c r="KH76" i="13" s="1"/>
  <c r="KJ76" i="13" s="1"/>
  <c r="KK76" i="13" s="1"/>
  <c r="BA28" i="13"/>
  <c r="AZ28" i="13" s="1"/>
  <c r="AY28" i="13" s="1"/>
  <c r="AQ129" i="13"/>
  <c r="AP129" i="13" s="1"/>
  <c r="AO129" i="13" s="1"/>
  <c r="AL129" i="13" s="1"/>
  <c r="BH28" i="13"/>
  <c r="BG28" i="13" s="1"/>
  <c r="BF28" i="13" s="1"/>
  <c r="BE28" i="13" s="1"/>
  <c r="BD28" i="13" s="1"/>
  <c r="ND77" i="13"/>
  <c r="NE77" i="13" s="1"/>
  <c r="ND101" i="13"/>
  <c r="NE101" i="13" s="1"/>
  <c r="BA76" i="13"/>
  <c r="AZ76" i="13" s="1"/>
  <c r="AY76" i="13" s="1"/>
  <c r="BP129" i="13"/>
  <c r="BO129" i="13" s="1"/>
  <c r="BN129" i="13" s="1"/>
  <c r="BM129" i="13" s="1"/>
  <c r="BL129" i="13" s="1"/>
  <c r="ND205" i="13"/>
  <c r="NE205" i="13" s="1"/>
  <c r="JL200" i="13"/>
  <c r="JN200" i="13" s="1"/>
  <c r="NH195" i="13"/>
  <c r="NF200" i="13"/>
  <c r="ND78" i="13"/>
  <c r="NE78" i="13" s="1"/>
  <c r="LN210" i="13"/>
  <c r="NG200" i="13"/>
  <c r="KH200" i="13" s="1"/>
  <c r="KJ200" i="13" s="1"/>
  <c r="KK200" i="13" s="1"/>
  <c r="JL143" i="13"/>
  <c r="JN143" i="13" s="1"/>
  <c r="KX210" i="13"/>
  <c r="KZ210" i="13" s="1"/>
  <c r="LA210" i="13" s="1"/>
  <c r="NG143" i="13"/>
  <c r="KH143" i="13" s="1"/>
  <c r="KJ143" i="13" s="1"/>
  <c r="KK143" i="13" s="1"/>
  <c r="ND111" i="13"/>
  <c r="NE111" i="13" s="1"/>
  <c r="KP210" i="13"/>
  <c r="KR210" i="13" s="1"/>
  <c r="KS210" i="13" s="1"/>
  <c r="CZ35" i="13"/>
  <c r="CY35" i="13" s="1"/>
  <c r="CX35" i="13" s="1"/>
  <c r="NG131" i="13"/>
  <c r="KH131" i="13" s="1"/>
  <c r="KJ131" i="13" s="1"/>
  <c r="KK131" i="13" s="1"/>
  <c r="GV170" i="13"/>
  <c r="GX170" i="13" s="1"/>
  <c r="GY170" i="13" s="1"/>
  <c r="ND136" i="13"/>
  <c r="NE136" i="13" s="1"/>
  <c r="ND104" i="13"/>
  <c r="NE104" i="13" s="1"/>
  <c r="JL148" i="13"/>
  <c r="JN148" i="13" s="1"/>
  <c r="BU212" i="13"/>
  <c r="BT212" i="13" s="1"/>
  <c r="NF148" i="13"/>
  <c r="ND208" i="13"/>
  <c r="NE208" i="13" s="1"/>
  <c r="NG148" i="13"/>
  <c r="KH148" i="13" s="1"/>
  <c r="KJ148" i="13" s="1"/>
  <c r="KK148" i="13" s="1"/>
  <c r="ND203" i="13"/>
  <c r="NE203" i="13" s="1"/>
  <c r="ND179" i="13"/>
  <c r="NE179" i="13" s="1"/>
  <c r="ND130" i="13"/>
  <c r="NE130" i="13" s="1"/>
  <c r="ND157" i="13"/>
  <c r="NE157" i="13" s="1"/>
  <c r="ND183" i="13"/>
  <c r="NE183" i="13" s="1"/>
  <c r="NH183" i="13" s="1"/>
  <c r="ND186" i="13"/>
  <c r="NE186" i="13" s="1"/>
  <c r="NG186" i="13" s="1"/>
  <c r="KH186" i="13" s="1"/>
  <c r="KJ186" i="13" s="1"/>
  <c r="KK186" i="13" s="1"/>
  <c r="ND102" i="13"/>
  <c r="NE102" i="13" s="1"/>
  <c r="NH102" i="13" s="1"/>
  <c r="ND168" i="13"/>
  <c r="NE168" i="13" s="1"/>
  <c r="ND96" i="13"/>
  <c r="NE96" i="13" s="1"/>
  <c r="ND177" i="13"/>
  <c r="NE177" i="13" s="1"/>
  <c r="ND202" i="13"/>
  <c r="NE202" i="13" s="1"/>
  <c r="ND95" i="13"/>
  <c r="NE95" i="13" s="1"/>
  <c r="NH18" i="13"/>
  <c r="NG18" i="13"/>
  <c r="KH18" i="13" s="1"/>
  <c r="KJ18" i="13" s="1"/>
  <c r="KK18" i="13" s="1"/>
  <c r="NF18" i="13"/>
  <c r="NH20" i="13"/>
  <c r="NG20" i="13"/>
  <c r="KH20" i="13" s="1"/>
  <c r="KJ20" i="13" s="1"/>
  <c r="KK20" i="13" s="1"/>
  <c r="NF20" i="13"/>
  <c r="NS159" i="13"/>
  <c r="NK159" i="13"/>
  <c r="NY159" i="13"/>
  <c r="HS159" i="13"/>
  <c r="NL159" i="13" s="1"/>
  <c r="NH123" i="13"/>
  <c r="NG123" i="13"/>
  <c r="KH123" i="13" s="1"/>
  <c r="KJ123" i="13" s="1"/>
  <c r="KK123" i="13" s="1"/>
  <c r="NF123" i="13"/>
  <c r="JL123" i="13"/>
  <c r="JN123" i="13" s="1"/>
  <c r="BU74" i="13"/>
  <c r="BT74" i="13" s="1"/>
  <c r="BS74" i="13" s="1"/>
  <c r="BR74" i="13" s="1"/>
  <c r="BQ74" i="13" s="1"/>
  <c r="BC74" i="13"/>
  <c r="BB74" i="13" s="1"/>
  <c r="BA74" i="13" s="1"/>
  <c r="AZ74" i="13" s="1"/>
  <c r="AY74" i="13" s="1"/>
  <c r="AX74" i="13"/>
  <c r="AW74" i="13" s="1"/>
  <c r="AV74" i="13" s="1"/>
  <c r="AU74" i="13" s="1"/>
  <c r="AT74" i="13" s="1"/>
  <c r="BP74" i="13"/>
  <c r="BO74" i="13" s="1"/>
  <c r="BN74" i="13" s="1"/>
  <c r="BM74" i="13" s="1"/>
  <c r="BL74" i="13" s="1"/>
  <c r="CE74" i="13"/>
  <c r="CD74" i="13" s="1"/>
  <c r="AS74" i="13"/>
  <c r="AR74" i="13" s="1"/>
  <c r="AQ74" i="13" s="1"/>
  <c r="AP74" i="13" s="1"/>
  <c r="AO74" i="13" s="1"/>
  <c r="AL74" i="13" s="1"/>
  <c r="BZ74" i="13"/>
  <c r="BY74" i="13" s="1"/>
  <c r="BH74" i="13"/>
  <c r="BG74" i="13" s="1"/>
  <c r="BF74" i="13" s="1"/>
  <c r="BE74" i="13" s="1"/>
  <c r="BD74" i="13" s="1"/>
  <c r="E111" i="13"/>
  <c r="GZ111" i="13"/>
  <c r="HB111" i="13" s="1"/>
  <c r="HC111" i="13" s="1"/>
  <c r="HX111" i="13"/>
  <c r="HZ111" i="13" s="1"/>
  <c r="HH111" i="13"/>
  <c r="HJ111" i="13" s="1"/>
  <c r="HK111" i="13" s="1"/>
  <c r="HP111" i="13"/>
  <c r="HR111" i="13" s="1"/>
  <c r="JJ196" i="13"/>
  <c r="JI196" i="13"/>
  <c r="IA90" i="13"/>
  <c r="NT90" i="13"/>
  <c r="NM90" i="13"/>
  <c r="JK123" i="13"/>
  <c r="MW115" i="13"/>
  <c r="GV115" i="13"/>
  <c r="GX115" i="13" s="1"/>
  <c r="GY115" i="13" s="1"/>
  <c r="NX54" i="13"/>
  <c r="NW54" i="13"/>
  <c r="JJ109" i="13"/>
  <c r="JI109" i="13"/>
  <c r="NI193" i="13"/>
  <c r="KL193" i="13"/>
  <c r="KN193" i="13" s="1"/>
  <c r="KO193" i="13" s="1"/>
  <c r="NS143" i="13"/>
  <c r="NK143" i="13"/>
  <c r="NY143" i="13"/>
  <c r="HS143" i="13"/>
  <c r="JO75" i="13"/>
  <c r="KF75" i="13"/>
  <c r="NX175" i="13"/>
  <c r="NW175" i="13"/>
  <c r="JO47" i="13"/>
  <c r="KG47" i="13" s="1"/>
  <c r="KF47" i="13"/>
  <c r="MW130" i="13"/>
  <c r="GV130" i="13"/>
  <c r="GX130" i="13" s="1"/>
  <c r="GY130" i="13" s="1"/>
  <c r="MW17" i="13"/>
  <c r="GV17" i="13"/>
  <c r="GX17" i="13" s="1"/>
  <c r="GY17" i="13" s="1"/>
  <c r="JJ209" i="13"/>
  <c r="JI209" i="13"/>
  <c r="JK47" i="13"/>
  <c r="NY189" i="13"/>
  <c r="HS189" i="13"/>
  <c r="NS189" i="13"/>
  <c r="NK189" i="13"/>
  <c r="JK154" i="13"/>
  <c r="GP94" i="13"/>
  <c r="HD142" i="13"/>
  <c r="HF142" i="13" s="1"/>
  <c r="HG142" i="13" s="1"/>
  <c r="HL142" i="13"/>
  <c r="HN142" i="13" s="1"/>
  <c r="HO142" i="13" s="1"/>
  <c r="HT142" i="13"/>
  <c r="HV142" i="13" s="1"/>
  <c r="HW142" i="13" s="1"/>
  <c r="IB142" i="13"/>
  <c r="ID142" i="13" s="1"/>
  <c r="IE142" i="13" s="1"/>
  <c r="IB151" i="13"/>
  <c r="ID151" i="13" s="1"/>
  <c r="IE151" i="13" s="1"/>
  <c r="HT151" i="13"/>
  <c r="HV151" i="13" s="1"/>
  <c r="HW151" i="13" s="1"/>
  <c r="HD151" i="13"/>
  <c r="HF151" i="13" s="1"/>
  <c r="HG151" i="13" s="1"/>
  <c r="HL151" i="13"/>
  <c r="HN151" i="13" s="1"/>
  <c r="HO151" i="13" s="1"/>
  <c r="JJ170" i="13"/>
  <c r="JI170" i="13"/>
  <c r="NT97" i="13"/>
  <c r="IA97" i="13"/>
  <c r="NM97" i="13"/>
  <c r="JO154" i="13"/>
  <c r="KG154" i="13" s="1"/>
  <c r="KF154" i="13"/>
  <c r="E103" i="13"/>
  <c r="HH103" i="13"/>
  <c r="HJ103" i="13" s="1"/>
  <c r="HK103" i="13" s="1"/>
  <c r="GZ103" i="13"/>
  <c r="HB103" i="13" s="1"/>
  <c r="HC103" i="13" s="1"/>
  <c r="HP103" i="13"/>
  <c r="HR103" i="13" s="1"/>
  <c r="HX103" i="13"/>
  <c r="HZ103" i="13" s="1"/>
  <c r="NH151" i="13"/>
  <c r="NG151" i="13"/>
  <c r="KH151" i="13" s="1"/>
  <c r="KJ151" i="13" s="1"/>
  <c r="KK151" i="13" s="1"/>
  <c r="NF151" i="13"/>
  <c r="JL151" i="13"/>
  <c r="JN151" i="13" s="1"/>
  <c r="HD95" i="13"/>
  <c r="HF95" i="13" s="1"/>
  <c r="HG95" i="13" s="1"/>
  <c r="IB95" i="13"/>
  <c r="ID95" i="13" s="1"/>
  <c r="IE95" i="13" s="1"/>
  <c r="BZ95" i="13" s="1"/>
  <c r="BY95" i="13" s="1"/>
  <c r="BX95" i="13" s="1"/>
  <c r="BW95" i="13" s="1"/>
  <c r="BV95" i="13" s="1"/>
  <c r="HL95" i="13"/>
  <c r="HN95" i="13" s="1"/>
  <c r="HO95" i="13" s="1"/>
  <c r="HT95" i="13"/>
  <c r="HV95" i="13" s="1"/>
  <c r="HW95" i="13" s="1"/>
  <c r="NM147" i="13"/>
  <c r="IA147" i="13"/>
  <c r="NT147" i="13"/>
  <c r="NK151" i="13"/>
  <c r="NY151" i="13"/>
  <c r="NS151" i="13"/>
  <c r="HS151" i="13"/>
  <c r="IA106" i="13"/>
  <c r="NT106" i="13"/>
  <c r="NM106" i="13"/>
  <c r="JO155" i="13"/>
  <c r="KF155" i="13"/>
  <c r="NH203" i="13"/>
  <c r="NG203" i="13"/>
  <c r="KH203" i="13" s="1"/>
  <c r="KJ203" i="13" s="1"/>
  <c r="KK203" i="13" s="1"/>
  <c r="NF203" i="13"/>
  <c r="JL203" i="13"/>
  <c r="JN203" i="13" s="1"/>
  <c r="BU83" i="13"/>
  <c r="BT83" i="13" s="1"/>
  <c r="AX83" i="13"/>
  <c r="AW83" i="13" s="1"/>
  <c r="HS179" i="13"/>
  <c r="NK179" i="13"/>
  <c r="NY179" i="13"/>
  <c r="NS179" i="13"/>
  <c r="NI160" i="13"/>
  <c r="KL160" i="13"/>
  <c r="KN160" i="13" s="1"/>
  <c r="KO160" i="13" s="1"/>
  <c r="NH156" i="13"/>
  <c r="NG156" i="13"/>
  <c r="KH156" i="13" s="1"/>
  <c r="KJ156" i="13" s="1"/>
  <c r="KK156" i="13" s="1"/>
  <c r="NF156" i="13"/>
  <c r="JL156" i="13"/>
  <c r="JN156" i="13" s="1"/>
  <c r="NX84" i="13"/>
  <c r="NW84" i="13"/>
  <c r="JJ56" i="13"/>
  <c r="JI56" i="13"/>
  <c r="GF102" i="13"/>
  <c r="GO102" i="13"/>
  <c r="JK159" i="13"/>
  <c r="JI199" i="13"/>
  <c r="JJ199" i="13"/>
  <c r="NT15" i="13"/>
  <c r="NM15" i="13"/>
  <c r="IA15" i="13"/>
  <c r="NN15" i="13" s="1"/>
  <c r="JJ144" i="13"/>
  <c r="JI144" i="13"/>
  <c r="NH87" i="13"/>
  <c r="NF87" i="13"/>
  <c r="NG87" i="13"/>
  <c r="KH87" i="13" s="1"/>
  <c r="KJ87" i="13" s="1"/>
  <c r="KK87" i="13" s="1"/>
  <c r="JL87" i="13"/>
  <c r="JN87" i="13" s="1"/>
  <c r="GF61" i="13"/>
  <c r="GO61" i="13"/>
  <c r="E126" i="13"/>
  <c r="GZ126" i="13"/>
  <c r="HB126" i="13" s="1"/>
  <c r="HC126" i="13" s="1"/>
  <c r="HP126" i="13"/>
  <c r="HR126" i="13" s="1"/>
  <c r="HX126" i="13"/>
  <c r="HZ126" i="13" s="1"/>
  <c r="HH126" i="13"/>
  <c r="HJ126" i="13" s="1"/>
  <c r="HK126" i="13" s="1"/>
  <c r="HL123" i="13"/>
  <c r="HN123" i="13" s="1"/>
  <c r="HO123" i="13" s="1"/>
  <c r="IB123" i="13"/>
  <c r="ID123" i="13" s="1"/>
  <c r="IE123" i="13" s="1"/>
  <c r="HD123" i="13"/>
  <c r="HF123" i="13" s="1"/>
  <c r="HG123" i="13" s="1"/>
  <c r="HT123" i="13"/>
  <c r="HV123" i="13" s="1"/>
  <c r="HW123" i="13" s="1"/>
  <c r="NG136" i="13"/>
  <c r="KH136" i="13" s="1"/>
  <c r="KJ136" i="13" s="1"/>
  <c r="KK136" i="13" s="1"/>
  <c r="NF136" i="13"/>
  <c r="NH136" i="13"/>
  <c r="JL136" i="13"/>
  <c r="JN136" i="13" s="1"/>
  <c r="NS18" i="13"/>
  <c r="HS18" i="13"/>
  <c r="NL18" i="13" s="1"/>
  <c r="NK18" i="13"/>
  <c r="NY18" i="13"/>
  <c r="BZ158" i="13"/>
  <c r="BY158" i="13" s="1"/>
  <c r="BH158" i="13"/>
  <c r="BG158" i="13" s="1"/>
  <c r="BF158" i="13" s="1"/>
  <c r="BE158" i="13" s="1"/>
  <c r="BD158" i="13" s="1"/>
  <c r="BP158" i="13"/>
  <c r="BO158" i="13" s="1"/>
  <c r="BN158" i="13" s="1"/>
  <c r="BM158" i="13" s="1"/>
  <c r="BL158" i="13" s="1"/>
  <c r="BC158" i="13"/>
  <c r="BB158" i="13" s="1"/>
  <c r="BA158" i="13" s="1"/>
  <c r="AZ158" i="13" s="1"/>
  <c r="AY158" i="13" s="1"/>
  <c r="CE158" i="13"/>
  <c r="CD158" i="13" s="1"/>
  <c r="AX158" i="13"/>
  <c r="AW158" i="13" s="1"/>
  <c r="AV158" i="13" s="1"/>
  <c r="AU158" i="13" s="1"/>
  <c r="AT158" i="13" s="1"/>
  <c r="BU158" i="13"/>
  <c r="BT158" i="13" s="1"/>
  <c r="BS158" i="13" s="1"/>
  <c r="BR158" i="13" s="1"/>
  <c r="BQ158" i="13" s="1"/>
  <c r="AS158" i="13"/>
  <c r="AR158" i="13" s="1"/>
  <c r="AQ158" i="13" s="1"/>
  <c r="AP158" i="13" s="1"/>
  <c r="AO158" i="13" s="1"/>
  <c r="AL158" i="13" s="1"/>
  <c r="JJ107" i="13"/>
  <c r="JI107" i="13"/>
  <c r="LF174" i="13"/>
  <c r="LH174" i="13" s="1"/>
  <c r="KP174" i="13"/>
  <c r="KR174" i="13" s="1"/>
  <c r="KS174" i="13" s="1"/>
  <c r="LN174" i="13"/>
  <c r="KX174" i="13"/>
  <c r="KZ174" i="13" s="1"/>
  <c r="LA174" i="13" s="1"/>
  <c r="NG157" i="13"/>
  <c r="KH157" i="13" s="1"/>
  <c r="KJ157" i="13" s="1"/>
  <c r="KK157" i="13" s="1"/>
  <c r="NH157" i="13"/>
  <c r="NF157" i="13"/>
  <c r="JL157" i="13"/>
  <c r="JN157" i="13" s="1"/>
  <c r="IA207" i="13"/>
  <c r="NM207" i="13"/>
  <c r="BS207" i="13" s="1"/>
  <c r="BR207" i="13" s="1"/>
  <c r="BQ207" i="13" s="1"/>
  <c r="NT207" i="13"/>
  <c r="JK82" i="13"/>
  <c r="JK174" i="13"/>
  <c r="JJ70" i="13"/>
  <c r="JI70" i="13"/>
  <c r="HL118" i="13"/>
  <c r="HN118" i="13" s="1"/>
  <c r="HO118" i="13" s="1"/>
  <c r="HT118" i="13"/>
  <c r="HV118" i="13" s="1"/>
  <c r="HW118" i="13" s="1"/>
  <c r="BC118" i="13" s="1"/>
  <c r="BB118" i="13" s="1"/>
  <c r="IB118" i="13"/>
  <c r="ID118" i="13" s="1"/>
  <c r="IE118" i="13" s="1"/>
  <c r="BZ118" i="13" s="1"/>
  <c r="BY118" i="13" s="1"/>
  <c r="HD118" i="13"/>
  <c r="HF118" i="13" s="1"/>
  <c r="HG118" i="13" s="1"/>
  <c r="NL31" i="13"/>
  <c r="AS31" i="13"/>
  <c r="AR31" i="13" s="1"/>
  <c r="AQ31" i="13" s="1"/>
  <c r="AP31" i="13" s="1"/>
  <c r="AO31" i="13" s="1"/>
  <c r="AL31" i="13" s="1"/>
  <c r="NX171" i="13"/>
  <c r="NW171" i="13"/>
  <c r="NN32" i="13"/>
  <c r="BP32" i="13"/>
  <c r="BO32" i="13" s="1"/>
  <c r="BN32" i="13" s="1"/>
  <c r="BM32" i="13" s="1"/>
  <c r="BL32" i="13" s="1"/>
  <c r="E140" i="13"/>
  <c r="HX140" i="13"/>
  <c r="HZ140" i="13" s="1"/>
  <c r="HP140" i="13"/>
  <c r="HR140" i="13" s="1"/>
  <c r="HH140" i="13"/>
  <c r="HJ140" i="13" s="1"/>
  <c r="HK140" i="13" s="1"/>
  <c r="GZ140" i="13"/>
  <c r="HB140" i="13" s="1"/>
  <c r="HC140" i="13" s="1"/>
  <c r="NM188" i="13"/>
  <c r="IA188" i="13"/>
  <c r="NN188" i="13" s="1"/>
  <c r="NT188" i="13"/>
  <c r="E136" i="13"/>
  <c r="HX136" i="13"/>
  <c r="HZ136" i="13" s="1"/>
  <c r="HP136" i="13"/>
  <c r="HR136" i="13" s="1"/>
  <c r="GZ136" i="13"/>
  <c r="HB136" i="13" s="1"/>
  <c r="HC136" i="13" s="1"/>
  <c r="HH136" i="13"/>
  <c r="HJ136" i="13" s="1"/>
  <c r="HK136" i="13" s="1"/>
  <c r="GF44" i="13"/>
  <c r="GO44" i="13"/>
  <c r="NO210" i="13"/>
  <c r="LI210" i="13"/>
  <c r="NP210" i="13" s="1"/>
  <c r="NU210" i="13"/>
  <c r="JK38" i="13"/>
  <c r="MW111" i="13"/>
  <c r="GV111" i="13"/>
  <c r="GX111" i="13" s="1"/>
  <c r="GY111" i="13" s="1"/>
  <c r="JO198" i="13"/>
  <c r="KG198" i="13" s="1"/>
  <c r="KF198" i="13"/>
  <c r="ND196" i="13"/>
  <c r="NE196" i="13" s="1"/>
  <c r="NH38" i="13"/>
  <c r="NG38" i="13"/>
  <c r="KH38" i="13" s="1"/>
  <c r="KJ38" i="13" s="1"/>
  <c r="KK38" i="13" s="1"/>
  <c r="NF38" i="13"/>
  <c r="JL38" i="13"/>
  <c r="JN38" i="13" s="1"/>
  <c r="NH213" i="13"/>
  <c r="NG213" i="13"/>
  <c r="KH213" i="13" s="1"/>
  <c r="KJ213" i="13" s="1"/>
  <c r="KK213" i="13" s="1"/>
  <c r="NF213" i="13"/>
  <c r="JL213" i="13"/>
  <c r="JN213" i="13" s="1"/>
  <c r="LN193" i="13"/>
  <c r="KX193" i="13"/>
  <c r="KZ193" i="13" s="1"/>
  <c r="LA193" i="13" s="1"/>
  <c r="LF193" i="13"/>
  <c r="LH193" i="13" s="1"/>
  <c r="KP193" i="13"/>
  <c r="KR193" i="13" s="1"/>
  <c r="KS193" i="13" s="1"/>
  <c r="NI75" i="13"/>
  <c r="KL75" i="13"/>
  <c r="KN75" i="13" s="1"/>
  <c r="KO75" i="13" s="1"/>
  <c r="GP210" i="13"/>
  <c r="E99" i="13"/>
  <c r="HX99" i="13"/>
  <c r="HZ99" i="13" s="1"/>
  <c r="GZ99" i="13"/>
  <c r="HB99" i="13" s="1"/>
  <c r="HC99" i="13" s="1"/>
  <c r="HH99" i="13"/>
  <c r="HJ99" i="13" s="1"/>
  <c r="HK99" i="13" s="1"/>
  <c r="HP99" i="13"/>
  <c r="HR99" i="13" s="1"/>
  <c r="JO40" i="13"/>
  <c r="KG40" i="13" s="1"/>
  <c r="KF40" i="13"/>
  <c r="HD91" i="13"/>
  <c r="HF91" i="13" s="1"/>
  <c r="HG91" i="13" s="1"/>
  <c r="IB91" i="13"/>
  <c r="ID91" i="13" s="1"/>
  <c r="IE91" i="13" s="1"/>
  <c r="HL91" i="13"/>
  <c r="HN91" i="13" s="1"/>
  <c r="HO91" i="13" s="1"/>
  <c r="HT91" i="13"/>
  <c r="HV91" i="13" s="1"/>
  <c r="HW91" i="13" s="1"/>
  <c r="JO116" i="13"/>
  <c r="KG116" i="13" s="1"/>
  <c r="KF116" i="13"/>
  <c r="JO201" i="13"/>
  <c r="KF201" i="13"/>
  <c r="ND209" i="13"/>
  <c r="NE209" i="13" s="1"/>
  <c r="NP35" i="13"/>
  <c r="CM35" i="13"/>
  <c r="CL35" i="13" s="1"/>
  <c r="CK35" i="13" s="1"/>
  <c r="CJ35" i="13" s="1"/>
  <c r="CI35" i="13" s="1"/>
  <c r="NT189" i="13"/>
  <c r="NM189" i="13"/>
  <c r="IA189" i="13"/>
  <c r="NN189" i="13" s="1"/>
  <c r="JO200" i="13"/>
  <c r="KG200" i="13" s="1"/>
  <c r="KF200" i="13"/>
  <c r="JI190" i="13"/>
  <c r="JJ190" i="13"/>
  <c r="NH95" i="13"/>
  <c r="NG95" i="13"/>
  <c r="KH95" i="13" s="1"/>
  <c r="KJ95" i="13" s="1"/>
  <c r="KK95" i="13" s="1"/>
  <c r="NF95" i="13"/>
  <c r="JL95" i="13"/>
  <c r="JN95" i="13" s="1"/>
  <c r="BP131" i="13"/>
  <c r="BO131" i="13" s="1"/>
  <c r="BN131" i="13" s="1"/>
  <c r="BM131" i="13" s="1"/>
  <c r="BL131" i="13" s="1"/>
  <c r="CE131" i="13"/>
  <c r="CD131" i="13" s="1"/>
  <c r="AS131" i="13"/>
  <c r="AR131" i="13" s="1"/>
  <c r="AQ131" i="13" s="1"/>
  <c r="AP131" i="13" s="1"/>
  <c r="AO131" i="13" s="1"/>
  <c r="AL131" i="13" s="1"/>
  <c r="BH131" i="13"/>
  <c r="BG131" i="13" s="1"/>
  <c r="BF131" i="13" s="1"/>
  <c r="BE131" i="13" s="1"/>
  <c r="BD131" i="13" s="1"/>
  <c r="BZ131" i="13"/>
  <c r="BY131" i="13" s="1"/>
  <c r="BC131" i="13"/>
  <c r="BB131" i="13" s="1"/>
  <c r="BA131" i="13" s="1"/>
  <c r="AZ131" i="13" s="1"/>
  <c r="AY131" i="13" s="1"/>
  <c r="BU131" i="13"/>
  <c r="BT131" i="13" s="1"/>
  <c r="BS131" i="13" s="1"/>
  <c r="BR131" i="13" s="1"/>
  <c r="BQ131" i="13" s="1"/>
  <c r="AX131" i="13"/>
  <c r="AW131" i="13" s="1"/>
  <c r="AV131" i="13" s="1"/>
  <c r="AU131" i="13" s="1"/>
  <c r="AT131" i="13" s="1"/>
  <c r="NI154" i="13"/>
  <c r="KL154" i="13"/>
  <c r="KN154" i="13" s="1"/>
  <c r="KO154" i="13" s="1"/>
  <c r="E150" i="13"/>
  <c r="HP150" i="13"/>
  <c r="HR150" i="13" s="1"/>
  <c r="GZ150" i="13"/>
  <c r="HB150" i="13" s="1"/>
  <c r="HC150" i="13" s="1"/>
  <c r="HX150" i="13"/>
  <c r="HZ150" i="13" s="1"/>
  <c r="HH150" i="13"/>
  <c r="HJ150" i="13" s="1"/>
  <c r="HK150" i="13" s="1"/>
  <c r="NM96" i="13"/>
  <c r="NT96" i="13"/>
  <c r="IA96" i="13"/>
  <c r="JK131" i="13"/>
  <c r="NH118" i="13"/>
  <c r="NF118" i="13"/>
  <c r="NG118" i="13"/>
  <c r="KH118" i="13" s="1"/>
  <c r="KJ118" i="13" s="1"/>
  <c r="KK118" i="13" s="1"/>
  <c r="JL118" i="13"/>
  <c r="JN118" i="13" s="1"/>
  <c r="NS106" i="13"/>
  <c r="NK106" i="13"/>
  <c r="NY106" i="13"/>
  <c r="HS106" i="13"/>
  <c r="NL106" i="13" s="1"/>
  <c r="NI155" i="13"/>
  <c r="KL155" i="13"/>
  <c r="KN155" i="13" s="1"/>
  <c r="KO155" i="13" s="1"/>
  <c r="GO132" i="13"/>
  <c r="GF132" i="13"/>
  <c r="JO128" i="13"/>
  <c r="KF128" i="13"/>
  <c r="AS155" i="13"/>
  <c r="AR155" i="13" s="1"/>
  <c r="AQ155" i="13" s="1"/>
  <c r="AP155" i="13" s="1"/>
  <c r="AO155" i="13" s="1"/>
  <c r="AL155" i="13" s="1"/>
  <c r="BZ155" i="13"/>
  <c r="BY155" i="13" s="1"/>
  <c r="BH155" i="13"/>
  <c r="BG155" i="13" s="1"/>
  <c r="BF155" i="13" s="1"/>
  <c r="BE155" i="13" s="1"/>
  <c r="BD155" i="13" s="1"/>
  <c r="BU155" i="13"/>
  <c r="BT155" i="13" s="1"/>
  <c r="BS155" i="13" s="1"/>
  <c r="BR155" i="13" s="1"/>
  <c r="BQ155" i="13" s="1"/>
  <c r="BC155" i="13"/>
  <c r="BB155" i="13" s="1"/>
  <c r="BA155" i="13" s="1"/>
  <c r="AZ155" i="13" s="1"/>
  <c r="AY155" i="13" s="1"/>
  <c r="BP155" i="13"/>
  <c r="BO155" i="13" s="1"/>
  <c r="BN155" i="13" s="1"/>
  <c r="BM155" i="13" s="1"/>
  <c r="BL155" i="13" s="1"/>
  <c r="AX155" i="13"/>
  <c r="AW155" i="13" s="1"/>
  <c r="AV155" i="13" s="1"/>
  <c r="AU155" i="13" s="1"/>
  <c r="AT155" i="13" s="1"/>
  <c r="CE155" i="13"/>
  <c r="CD155" i="13" s="1"/>
  <c r="JK143" i="13"/>
  <c r="CE141" i="13"/>
  <c r="CD141" i="13" s="1"/>
  <c r="AS141" i="13"/>
  <c r="AR141" i="13" s="1"/>
  <c r="AQ141" i="13" s="1"/>
  <c r="AP141" i="13" s="1"/>
  <c r="AO141" i="13" s="1"/>
  <c r="AL141" i="13" s="1"/>
  <c r="BH141" i="13"/>
  <c r="BG141" i="13" s="1"/>
  <c r="BF141" i="13" s="1"/>
  <c r="BE141" i="13" s="1"/>
  <c r="BD141" i="13" s="1"/>
  <c r="BP141" i="13"/>
  <c r="BO141" i="13" s="1"/>
  <c r="BN141" i="13" s="1"/>
  <c r="BM141" i="13" s="1"/>
  <c r="BL141" i="13" s="1"/>
  <c r="BZ141" i="13"/>
  <c r="BY141" i="13" s="1"/>
  <c r="BC141" i="13"/>
  <c r="BB141" i="13" s="1"/>
  <c r="BA141" i="13" s="1"/>
  <c r="AZ141" i="13" s="1"/>
  <c r="AY141" i="13" s="1"/>
  <c r="BU141" i="13"/>
  <c r="BT141" i="13" s="1"/>
  <c r="BS141" i="13" s="1"/>
  <c r="BR141" i="13" s="1"/>
  <c r="BQ141" i="13" s="1"/>
  <c r="AX141" i="13"/>
  <c r="AW141" i="13" s="1"/>
  <c r="AV141" i="13" s="1"/>
  <c r="AU141" i="13" s="1"/>
  <c r="AT141" i="13" s="1"/>
  <c r="NN24" i="13"/>
  <c r="BP24" i="13"/>
  <c r="BO24" i="13" s="1"/>
  <c r="BN24" i="13" s="1"/>
  <c r="BM24" i="13" s="1"/>
  <c r="BL24" i="13" s="1"/>
  <c r="JO159" i="13"/>
  <c r="KG159" i="13" s="1"/>
  <c r="KF159" i="13"/>
  <c r="NY209" i="13"/>
  <c r="NS209" i="13"/>
  <c r="NK209" i="13"/>
  <c r="HS209" i="13"/>
  <c r="NL209" i="13" s="1"/>
  <c r="JJ156" i="13"/>
  <c r="JI156" i="13"/>
  <c r="NM82" i="13"/>
  <c r="IA82" i="13"/>
  <c r="NN82" i="13" s="1"/>
  <c r="NT82" i="13"/>
  <c r="JK171" i="13"/>
  <c r="NO43" i="13"/>
  <c r="LI43" i="13"/>
  <c r="NP43" i="13" s="1"/>
  <c r="NU43" i="13"/>
  <c r="HL200" i="13"/>
  <c r="HN200" i="13" s="1"/>
  <c r="HO200" i="13" s="1"/>
  <c r="IB200" i="13"/>
  <c r="ID200" i="13" s="1"/>
  <c r="IE200" i="13" s="1"/>
  <c r="HD200" i="13"/>
  <c r="HF200" i="13" s="1"/>
  <c r="HG200" i="13" s="1"/>
  <c r="HT200" i="13"/>
  <c r="HV200" i="13" s="1"/>
  <c r="HW200" i="13" s="1"/>
  <c r="HS29" i="13"/>
  <c r="NL29" i="13" s="1"/>
  <c r="NK29" i="13"/>
  <c r="NY29" i="13"/>
  <c r="NS29" i="13"/>
  <c r="MW102" i="13"/>
  <c r="GV102" i="13"/>
  <c r="GX102" i="13" s="1"/>
  <c r="GY102" i="13" s="1"/>
  <c r="JK158" i="13"/>
  <c r="NM187" i="13"/>
  <c r="NT187" i="13"/>
  <c r="IA187" i="13"/>
  <c r="NN187" i="13" s="1"/>
  <c r="E69" i="13"/>
  <c r="HX69" i="13"/>
  <c r="HZ69" i="13" s="1"/>
  <c r="GZ69" i="13"/>
  <c r="HB69" i="13" s="1"/>
  <c r="HC69" i="13" s="1"/>
  <c r="HP69" i="13"/>
  <c r="HR69" i="13" s="1"/>
  <c r="HH69" i="13"/>
  <c r="HJ69" i="13" s="1"/>
  <c r="HK69" i="13" s="1"/>
  <c r="ND199" i="13"/>
  <c r="NE199" i="13" s="1"/>
  <c r="IB184" i="13"/>
  <c r="ID184" i="13" s="1"/>
  <c r="IE184" i="13" s="1"/>
  <c r="HT184" i="13"/>
  <c r="HV184" i="13" s="1"/>
  <c r="HW184" i="13" s="1"/>
  <c r="HL184" i="13"/>
  <c r="HN184" i="13" s="1"/>
  <c r="HO184" i="13" s="1"/>
  <c r="HD184" i="13"/>
  <c r="HF184" i="13" s="1"/>
  <c r="HG184" i="13" s="1"/>
  <c r="NS15" i="13"/>
  <c r="HS15" i="13"/>
  <c r="NL15" i="13" s="1"/>
  <c r="NK15" i="13"/>
  <c r="NY15" i="13"/>
  <c r="ND144" i="13"/>
  <c r="NE144" i="13" s="1"/>
  <c r="MW61" i="13"/>
  <c r="GV61" i="13"/>
  <c r="GX61" i="13" s="1"/>
  <c r="GY61" i="13" s="1"/>
  <c r="JO212" i="13"/>
  <c r="KG212" i="13" s="1"/>
  <c r="KF212" i="13"/>
  <c r="GF191" i="13"/>
  <c r="GO191" i="13"/>
  <c r="ND107" i="13"/>
  <c r="NE107" i="13" s="1"/>
  <c r="NI174" i="13"/>
  <c r="KL174" i="13"/>
  <c r="KN174" i="13" s="1"/>
  <c r="KO174" i="13" s="1"/>
  <c r="BU22" i="13"/>
  <c r="BT22" i="13" s="1"/>
  <c r="AX22" i="13"/>
  <c r="AW22" i="13" s="1"/>
  <c r="JO135" i="13"/>
  <c r="KG135" i="13" s="1"/>
  <c r="KF135" i="13"/>
  <c r="KP67" i="13"/>
  <c r="KR67" i="13" s="1"/>
  <c r="KS67" i="13" s="1"/>
  <c r="KX67" i="13"/>
  <c r="KZ67" i="13" s="1"/>
  <c r="LA67" i="13" s="1"/>
  <c r="LN67" i="13"/>
  <c r="LF67" i="13"/>
  <c r="LH67" i="13" s="1"/>
  <c r="NY207" i="13"/>
  <c r="NS207" i="13"/>
  <c r="NK207" i="13"/>
  <c r="HS207" i="13"/>
  <c r="JJ183" i="13"/>
  <c r="JI183" i="13"/>
  <c r="ND70" i="13"/>
  <c r="NE70" i="13" s="1"/>
  <c r="NH167" i="13"/>
  <c r="NG167" i="13"/>
  <c r="KH167" i="13" s="1"/>
  <c r="KJ167" i="13" s="1"/>
  <c r="KK167" i="13" s="1"/>
  <c r="NF167" i="13"/>
  <c r="JL167" i="13"/>
  <c r="JN167" i="13" s="1"/>
  <c r="HL207" i="13"/>
  <c r="HN207" i="13" s="1"/>
  <c r="HO207" i="13" s="1"/>
  <c r="BH207" i="13" s="1"/>
  <c r="BG207" i="13" s="1"/>
  <c r="HT207" i="13"/>
  <c r="HV207" i="13" s="1"/>
  <c r="HW207" i="13" s="1"/>
  <c r="BC207" i="13" s="1"/>
  <c r="BB207" i="13" s="1"/>
  <c r="HD207" i="13"/>
  <c r="HF207" i="13" s="1"/>
  <c r="HG207" i="13" s="1"/>
  <c r="IB207" i="13"/>
  <c r="ID207" i="13" s="1"/>
  <c r="IE207" i="13" s="1"/>
  <c r="BZ207" i="13" s="1"/>
  <c r="BY207" i="13" s="1"/>
  <c r="JJ45" i="13"/>
  <c r="JI45" i="13"/>
  <c r="LN147" i="13"/>
  <c r="KP147" i="13"/>
  <c r="KR147" i="13" s="1"/>
  <c r="KS147" i="13" s="1"/>
  <c r="KX147" i="13"/>
  <c r="KZ147" i="13" s="1"/>
  <c r="LA147" i="13" s="1"/>
  <c r="LF147" i="13"/>
  <c r="LH147" i="13" s="1"/>
  <c r="ND146" i="13"/>
  <c r="NE146" i="13" s="1"/>
  <c r="JK200" i="13"/>
  <c r="IA89" i="13"/>
  <c r="NT89" i="13"/>
  <c r="NM89" i="13"/>
  <c r="NX85" i="13"/>
  <c r="NW85" i="13"/>
  <c r="NK22" i="13"/>
  <c r="NY22" i="13"/>
  <c r="NS22" i="13"/>
  <c r="HS22" i="13"/>
  <c r="NL22" i="13" s="1"/>
  <c r="BU190" i="13"/>
  <c r="BT190" i="13" s="1"/>
  <c r="AX190" i="13"/>
  <c r="AW190" i="13" s="1"/>
  <c r="MW44" i="13"/>
  <c r="GV44" i="13"/>
  <c r="GX44" i="13" s="1"/>
  <c r="GY44" i="13" s="1"/>
  <c r="NT210" i="13"/>
  <c r="IA210" i="13"/>
  <c r="NN210" i="13" s="1"/>
  <c r="NM210" i="13"/>
  <c r="E115" i="13"/>
  <c r="GZ115" i="13"/>
  <c r="HB115" i="13" s="1"/>
  <c r="HC115" i="13" s="1"/>
  <c r="HH115" i="13"/>
  <c r="HJ115" i="13" s="1"/>
  <c r="HK115" i="13" s="1"/>
  <c r="HX115" i="13"/>
  <c r="HZ115" i="13" s="1"/>
  <c r="HP115" i="13"/>
  <c r="HR115" i="13" s="1"/>
  <c r="NS137" i="13"/>
  <c r="HS137" i="13"/>
  <c r="NK137" i="13"/>
  <c r="NY137" i="13"/>
  <c r="IA197" i="13"/>
  <c r="NN197" i="13" s="1"/>
  <c r="NT197" i="13"/>
  <c r="NM197" i="13"/>
  <c r="ND119" i="13"/>
  <c r="NE119" i="13" s="1"/>
  <c r="NI40" i="13"/>
  <c r="KL40" i="13"/>
  <c r="KN40" i="13" s="1"/>
  <c r="KO40" i="13" s="1"/>
  <c r="LN47" i="13"/>
  <c r="KX47" i="13"/>
  <c r="KZ47" i="13" s="1"/>
  <c r="LA47" i="13" s="1"/>
  <c r="LF47" i="13"/>
  <c r="LH47" i="13" s="1"/>
  <c r="KP47" i="13"/>
  <c r="KR47" i="13" s="1"/>
  <c r="KS47" i="13" s="1"/>
  <c r="JO211" i="13"/>
  <c r="KG211" i="13" s="1"/>
  <c r="KF211" i="13"/>
  <c r="E130" i="13"/>
  <c r="HH130" i="13"/>
  <c r="HJ130" i="13" s="1"/>
  <c r="HK130" i="13" s="1"/>
  <c r="HP130" i="13"/>
  <c r="HR130" i="13" s="1"/>
  <c r="GZ130" i="13"/>
  <c r="HB130" i="13" s="1"/>
  <c r="HC130" i="13" s="1"/>
  <c r="HX130" i="13"/>
  <c r="HZ130" i="13" s="1"/>
  <c r="KT210" i="13"/>
  <c r="KV210" i="13" s="1"/>
  <c r="KW210" i="13" s="1"/>
  <c r="LB210" i="13"/>
  <c r="LD210" i="13" s="1"/>
  <c r="LE210" i="13" s="1"/>
  <c r="DZ210" i="13" s="1"/>
  <c r="DY210" i="13" s="1"/>
  <c r="LR210" i="13"/>
  <c r="LT210" i="13" s="1"/>
  <c r="LU210" i="13" s="1"/>
  <c r="LJ210" i="13"/>
  <c r="LL210" i="13" s="1"/>
  <c r="LM210" i="13" s="1"/>
  <c r="NI201" i="13"/>
  <c r="KL201" i="13"/>
  <c r="KN201" i="13" s="1"/>
  <c r="KO201" i="13" s="1"/>
  <c r="E17" i="13"/>
  <c r="HH17" i="13"/>
  <c r="HJ17" i="13" s="1"/>
  <c r="HK17" i="13" s="1"/>
  <c r="HP17" i="13"/>
  <c r="HR17" i="13" s="1"/>
  <c r="HX17" i="13"/>
  <c r="HZ17" i="13" s="1"/>
  <c r="GZ17" i="13"/>
  <c r="HB17" i="13" s="1"/>
  <c r="HC17" i="13" s="1"/>
  <c r="CR17" i="13" s="1"/>
  <c r="CQ17" i="13" s="1"/>
  <c r="JO66" i="13"/>
  <c r="KG66" i="13" s="1"/>
  <c r="KF66" i="13"/>
  <c r="BZ203" i="13"/>
  <c r="BY203" i="13" s="1"/>
  <c r="BU203" i="13"/>
  <c r="BT203" i="13" s="1"/>
  <c r="BS203" i="13" s="1"/>
  <c r="BR203" i="13" s="1"/>
  <c r="BQ203" i="13" s="1"/>
  <c r="BC203" i="13"/>
  <c r="BB203" i="13" s="1"/>
  <c r="BA203" i="13" s="1"/>
  <c r="AZ203" i="13" s="1"/>
  <c r="AY203" i="13" s="1"/>
  <c r="AX203" i="13"/>
  <c r="AW203" i="13" s="1"/>
  <c r="AV203" i="13" s="1"/>
  <c r="AU203" i="13" s="1"/>
  <c r="AT203" i="13" s="1"/>
  <c r="BP203" i="13"/>
  <c r="BO203" i="13" s="1"/>
  <c r="BN203" i="13" s="1"/>
  <c r="BM203" i="13" s="1"/>
  <c r="BL203" i="13" s="1"/>
  <c r="AS203" i="13"/>
  <c r="AR203" i="13" s="1"/>
  <c r="AQ203" i="13" s="1"/>
  <c r="AP203" i="13" s="1"/>
  <c r="AO203" i="13" s="1"/>
  <c r="AL203" i="13" s="1"/>
  <c r="CE203" i="13"/>
  <c r="CD203" i="13" s="1"/>
  <c r="BH203" i="13"/>
  <c r="BG203" i="13" s="1"/>
  <c r="BF203" i="13" s="1"/>
  <c r="BE203" i="13" s="1"/>
  <c r="BD203" i="13" s="1"/>
  <c r="ND169" i="13"/>
  <c r="NE169" i="13" s="1"/>
  <c r="NI200" i="13"/>
  <c r="KL200" i="13"/>
  <c r="KN200" i="13" s="1"/>
  <c r="KO200" i="13" s="1"/>
  <c r="HD56" i="13"/>
  <c r="HF56" i="13" s="1"/>
  <c r="HG56" i="13" s="1"/>
  <c r="HT56" i="13"/>
  <c r="HV56" i="13" s="1"/>
  <c r="HW56" i="13" s="1"/>
  <c r="IB56" i="13"/>
  <c r="ID56" i="13" s="1"/>
  <c r="IE56" i="13" s="1"/>
  <c r="HL56" i="13"/>
  <c r="HN56" i="13" s="1"/>
  <c r="HO56" i="13" s="1"/>
  <c r="ND190" i="13"/>
  <c r="NE190" i="13" s="1"/>
  <c r="ND140" i="13"/>
  <c r="NE140" i="13" s="1"/>
  <c r="NN19" i="13"/>
  <c r="BP19" i="13"/>
  <c r="BO19" i="13" s="1"/>
  <c r="BN19" i="13" s="1"/>
  <c r="BM19" i="13" s="1"/>
  <c r="BL19" i="13" s="1"/>
  <c r="GP156" i="13"/>
  <c r="HL133" i="13"/>
  <c r="HN133" i="13" s="1"/>
  <c r="HO133" i="13" s="1"/>
  <c r="HT133" i="13"/>
  <c r="HV133" i="13" s="1"/>
  <c r="HW133" i="13" s="1"/>
  <c r="IB133" i="13"/>
  <c r="ID133" i="13" s="1"/>
  <c r="IE133" i="13" s="1"/>
  <c r="HD133" i="13"/>
  <c r="HF133" i="13" s="1"/>
  <c r="HG133" i="13" s="1"/>
  <c r="NH42" i="13"/>
  <c r="NG42" i="13"/>
  <c r="KH42" i="13" s="1"/>
  <c r="KJ42" i="13" s="1"/>
  <c r="KK42" i="13" s="1"/>
  <c r="NF42" i="13"/>
  <c r="JL42" i="13"/>
  <c r="JN42" i="13" s="1"/>
  <c r="JJ95" i="13"/>
  <c r="JI95" i="13"/>
  <c r="JK50" i="13"/>
  <c r="NX65" i="13"/>
  <c r="NW65" i="13"/>
  <c r="MW150" i="13"/>
  <c r="GV150" i="13"/>
  <c r="GX150" i="13" s="1"/>
  <c r="GY150" i="13" s="1"/>
  <c r="NK96" i="13"/>
  <c r="NY96" i="13"/>
  <c r="NS96" i="13"/>
  <c r="HS96" i="13"/>
  <c r="LP197" i="13"/>
  <c r="LQ197" i="13" s="1"/>
  <c r="NV197" i="13"/>
  <c r="NQ197" i="13"/>
  <c r="JK165" i="13"/>
  <c r="ND110" i="13"/>
  <c r="NE110" i="13" s="1"/>
  <c r="ND99" i="13"/>
  <c r="NE99" i="13" s="1"/>
  <c r="MW132" i="13"/>
  <c r="GV132" i="13"/>
  <c r="GX132" i="13" s="1"/>
  <c r="GY132" i="13" s="1"/>
  <c r="NI128" i="13"/>
  <c r="KL128" i="13"/>
  <c r="KN128" i="13" s="1"/>
  <c r="KO128" i="13" s="1"/>
  <c r="JK163" i="13"/>
  <c r="KX160" i="13"/>
  <c r="KZ160" i="13" s="1"/>
  <c r="LA160" i="13" s="1"/>
  <c r="KP160" i="13"/>
  <c r="KR160" i="13" s="1"/>
  <c r="KS160" i="13" s="1"/>
  <c r="LN160" i="13"/>
  <c r="LF160" i="13"/>
  <c r="LH160" i="13" s="1"/>
  <c r="LF159" i="13"/>
  <c r="LH159" i="13" s="1"/>
  <c r="LN159" i="13"/>
  <c r="KP159" i="13"/>
  <c r="KR159" i="13" s="1"/>
  <c r="KS159" i="13" s="1"/>
  <c r="KX159" i="13"/>
  <c r="KZ159" i="13" s="1"/>
  <c r="LA159" i="13" s="1"/>
  <c r="GF134" i="13"/>
  <c r="GO134" i="13"/>
  <c r="NQ43" i="13"/>
  <c r="LP43" i="13"/>
  <c r="LQ43" i="13" s="1"/>
  <c r="NV43" i="13"/>
  <c r="JO143" i="13"/>
  <c r="KG143" i="13" s="1"/>
  <c r="KF143" i="13"/>
  <c r="NM29" i="13"/>
  <c r="IA29" i="13"/>
  <c r="NN29" i="13" s="1"/>
  <c r="NT29" i="13"/>
  <c r="JK160" i="13"/>
  <c r="HT211" i="13"/>
  <c r="HV211" i="13" s="1"/>
  <c r="HW211" i="13" s="1"/>
  <c r="IB211" i="13"/>
  <c r="ID211" i="13" s="1"/>
  <c r="IE211" i="13" s="1"/>
  <c r="HL211" i="13"/>
  <c r="HN211" i="13" s="1"/>
  <c r="HO211" i="13" s="1"/>
  <c r="HD211" i="13"/>
  <c r="HF211" i="13" s="1"/>
  <c r="HG211" i="13" s="1"/>
  <c r="AX15" i="13"/>
  <c r="AW15" i="13" s="1"/>
  <c r="AV15" i="13" s="1"/>
  <c r="AU15" i="13" s="1"/>
  <c r="AT15" i="13" s="1"/>
  <c r="BU15" i="13"/>
  <c r="BT15" i="13" s="1"/>
  <c r="BS15" i="13" s="1"/>
  <c r="BR15" i="13" s="1"/>
  <c r="BQ15" i="13" s="1"/>
  <c r="AS15" i="13"/>
  <c r="AR15" i="13" s="1"/>
  <c r="AQ15" i="13" s="1"/>
  <c r="AP15" i="13" s="1"/>
  <c r="AO15" i="13" s="1"/>
  <c r="AL15" i="13" s="1"/>
  <c r="BP15" i="13"/>
  <c r="BO15" i="13" s="1"/>
  <c r="BN15" i="13" s="1"/>
  <c r="BM15" i="13" s="1"/>
  <c r="BL15" i="13" s="1"/>
  <c r="NM146" i="13"/>
  <c r="IA146" i="13"/>
  <c r="NN146" i="13" s="1"/>
  <c r="NT146" i="13"/>
  <c r="HL29" i="13"/>
  <c r="HN29" i="13" s="1"/>
  <c r="HO29" i="13" s="1"/>
  <c r="CE29" i="13" s="1"/>
  <c r="CD29" i="13" s="1"/>
  <c r="HT29" i="13"/>
  <c r="HV29" i="13" s="1"/>
  <c r="HW29" i="13" s="1"/>
  <c r="BC29" i="13" s="1"/>
  <c r="BB29" i="13" s="1"/>
  <c r="BA29" i="13" s="1"/>
  <c r="AZ29" i="13" s="1"/>
  <c r="AY29" i="13" s="1"/>
  <c r="IB29" i="13"/>
  <c r="ID29" i="13" s="1"/>
  <c r="IE29" i="13" s="1"/>
  <c r="HD29" i="13"/>
  <c r="HF29" i="13" s="1"/>
  <c r="HG29" i="13" s="1"/>
  <c r="NT196" i="13"/>
  <c r="NM196" i="13"/>
  <c r="IA196" i="13"/>
  <c r="LN212" i="13"/>
  <c r="KP212" i="13"/>
  <c r="KR212" i="13" s="1"/>
  <c r="KS212" i="13" s="1"/>
  <c r="KX212" i="13"/>
  <c r="KZ212" i="13" s="1"/>
  <c r="LA212" i="13" s="1"/>
  <c r="LF212" i="13"/>
  <c r="LH212" i="13" s="1"/>
  <c r="MW191" i="13"/>
  <c r="GV191" i="13"/>
  <c r="GX191" i="13" s="1"/>
  <c r="GY191" i="13" s="1"/>
  <c r="JK114" i="13"/>
  <c r="NI135" i="13"/>
  <c r="KL135" i="13"/>
  <c r="KN135" i="13" s="1"/>
  <c r="KO135" i="13" s="1"/>
  <c r="AX18" i="13"/>
  <c r="AW18" i="13" s="1"/>
  <c r="BU18" i="13"/>
  <c r="BT18" i="13" s="1"/>
  <c r="AX139" i="13"/>
  <c r="AW139" i="13" s="1"/>
  <c r="JJ88" i="13"/>
  <c r="JI88" i="13"/>
  <c r="NK39" i="13"/>
  <c r="NY39" i="13"/>
  <c r="NS39" i="13"/>
  <c r="HS39" i="13"/>
  <c r="NL39" i="13" s="1"/>
  <c r="JJ167" i="13"/>
  <c r="JI167" i="13"/>
  <c r="NH97" i="13"/>
  <c r="NG97" i="13"/>
  <c r="KH97" i="13" s="1"/>
  <c r="KJ97" i="13" s="1"/>
  <c r="KK97" i="13" s="1"/>
  <c r="NF97" i="13"/>
  <c r="JL97" i="13"/>
  <c r="JN97" i="13" s="1"/>
  <c r="JK49" i="13"/>
  <c r="NH45" i="13"/>
  <c r="NG45" i="13"/>
  <c r="KH45" i="13" s="1"/>
  <c r="KJ45" i="13" s="1"/>
  <c r="KK45" i="13" s="1"/>
  <c r="NF45" i="13"/>
  <c r="JL45" i="13"/>
  <c r="JN45" i="13" s="1"/>
  <c r="JO54" i="13"/>
  <c r="KG54" i="13" s="1"/>
  <c r="KF54" i="13"/>
  <c r="HL68" i="13"/>
  <c r="HN68" i="13" s="1"/>
  <c r="HO68" i="13" s="1"/>
  <c r="HD68" i="13"/>
  <c r="HF68" i="13" s="1"/>
  <c r="HG68" i="13" s="1"/>
  <c r="IB68" i="13"/>
  <c r="ID68" i="13" s="1"/>
  <c r="IE68" i="13" s="1"/>
  <c r="HT68" i="13"/>
  <c r="HV68" i="13" s="1"/>
  <c r="HW68" i="13" s="1"/>
  <c r="BC68" i="13" s="1"/>
  <c r="BB68" i="13" s="1"/>
  <c r="JI146" i="13"/>
  <c r="JJ146" i="13"/>
  <c r="GO119" i="13"/>
  <c r="GF119" i="13"/>
  <c r="GF144" i="13"/>
  <c r="GO144" i="13"/>
  <c r="JK193" i="13"/>
  <c r="JK195" i="13"/>
  <c r="JK175" i="13"/>
  <c r="NI198" i="13"/>
  <c r="KL198" i="13"/>
  <c r="KN198" i="13" s="1"/>
  <c r="KO198" i="13" s="1"/>
  <c r="NS90" i="13"/>
  <c r="HS90" i="13"/>
  <c r="NY90" i="13"/>
  <c r="NK90" i="13"/>
  <c r="NT137" i="13"/>
  <c r="NM137" i="13"/>
  <c r="IA137" i="13"/>
  <c r="NN137" i="13" s="1"/>
  <c r="JO80" i="13"/>
  <c r="KG80" i="13" s="1"/>
  <c r="KF80" i="13"/>
  <c r="JJ119" i="13"/>
  <c r="JI119" i="13"/>
  <c r="MV14" i="13"/>
  <c r="MU14" i="13"/>
  <c r="GQ14" i="13" s="1"/>
  <c r="GS14" i="13" s="1"/>
  <c r="GU14" i="13" s="1"/>
  <c r="MT14" i="13"/>
  <c r="NI24" i="13"/>
  <c r="KL24" i="13"/>
  <c r="KN24" i="13" s="1"/>
  <c r="KO24" i="13" s="1"/>
  <c r="LF75" i="13"/>
  <c r="LH75" i="13" s="1"/>
  <c r="LN75" i="13"/>
  <c r="KP75" i="13"/>
  <c r="KR75" i="13" s="1"/>
  <c r="KS75" i="13" s="1"/>
  <c r="KX75" i="13"/>
  <c r="KZ75" i="13" s="1"/>
  <c r="LA75" i="13" s="1"/>
  <c r="HT143" i="13"/>
  <c r="HV143" i="13" s="1"/>
  <c r="HW143" i="13" s="1"/>
  <c r="HD143" i="13"/>
  <c r="HF143" i="13" s="1"/>
  <c r="HG143" i="13" s="1"/>
  <c r="IB143" i="13"/>
  <c r="ID143" i="13" s="1"/>
  <c r="IE143" i="13" s="1"/>
  <c r="HL143" i="13"/>
  <c r="HN143" i="13" s="1"/>
  <c r="HO143" i="13" s="1"/>
  <c r="NI47" i="13"/>
  <c r="KL47" i="13"/>
  <c r="KN47" i="13" s="1"/>
  <c r="KO47" i="13" s="1"/>
  <c r="NI211" i="13"/>
  <c r="KL211" i="13"/>
  <c r="KN211" i="13" s="1"/>
  <c r="KO211" i="13" s="1"/>
  <c r="IB75" i="13"/>
  <c r="ID75" i="13" s="1"/>
  <c r="IE75" i="13" s="1"/>
  <c r="HL75" i="13"/>
  <c r="HN75" i="13" s="1"/>
  <c r="HO75" i="13" s="1"/>
  <c r="HT75" i="13"/>
  <c r="HV75" i="13" s="1"/>
  <c r="HW75" i="13" s="1"/>
  <c r="HD75" i="13"/>
  <c r="HF75" i="13" s="1"/>
  <c r="HG75" i="13" s="1"/>
  <c r="LN116" i="13"/>
  <c r="KP116" i="13"/>
  <c r="KR116" i="13" s="1"/>
  <c r="KS116" i="13" s="1"/>
  <c r="LF116" i="13"/>
  <c r="LH116" i="13" s="1"/>
  <c r="KX116" i="13"/>
  <c r="KZ116" i="13" s="1"/>
  <c r="LA116" i="13" s="1"/>
  <c r="GF113" i="13"/>
  <c r="GO113" i="13"/>
  <c r="NM95" i="13"/>
  <c r="IA95" i="13"/>
  <c r="NT95" i="13"/>
  <c r="NI66" i="13"/>
  <c r="KL66" i="13"/>
  <c r="KN66" i="13" s="1"/>
  <c r="KO66" i="13" s="1"/>
  <c r="GF120" i="13"/>
  <c r="GO120" i="13"/>
  <c r="JJ169" i="13"/>
  <c r="JI169" i="13"/>
  <c r="GP137" i="13"/>
  <c r="NL137" i="13"/>
  <c r="JI140" i="13"/>
  <c r="JJ140" i="13"/>
  <c r="GF199" i="13"/>
  <c r="GO199" i="13"/>
  <c r="NM168" i="13"/>
  <c r="IA168" i="13"/>
  <c r="NN168" i="13" s="1"/>
  <c r="NT168" i="13"/>
  <c r="KP154" i="13"/>
  <c r="KR154" i="13" s="1"/>
  <c r="KS154" i="13" s="1"/>
  <c r="KX154" i="13"/>
  <c r="KZ154" i="13" s="1"/>
  <c r="LA154" i="13" s="1"/>
  <c r="LF154" i="13"/>
  <c r="LH154" i="13" s="1"/>
  <c r="LN154" i="13"/>
  <c r="GF177" i="13"/>
  <c r="GO177" i="13"/>
  <c r="NU197" i="13"/>
  <c r="LI197" i="13"/>
  <c r="NP197" i="13" s="1"/>
  <c r="NO197" i="13"/>
  <c r="NI28" i="13"/>
  <c r="KL28" i="13"/>
  <c r="KN28" i="13" s="1"/>
  <c r="KO28" i="13" s="1"/>
  <c r="JJ110" i="13"/>
  <c r="JI110" i="13"/>
  <c r="KX155" i="13"/>
  <c r="KZ155" i="13" s="1"/>
  <c r="LA155" i="13" s="1"/>
  <c r="LN155" i="13"/>
  <c r="KP155" i="13"/>
  <c r="KR155" i="13" s="1"/>
  <c r="KS155" i="13" s="1"/>
  <c r="LF155" i="13"/>
  <c r="LH155" i="13" s="1"/>
  <c r="JJ99" i="13"/>
  <c r="JI99" i="13"/>
  <c r="JO60" i="13"/>
  <c r="KG60" i="13" s="1"/>
  <c r="KF60" i="13"/>
  <c r="NI159" i="13"/>
  <c r="KL159" i="13"/>
  <c r="KN159" i="13" s="1"/>
  <c r="KO159" i="13" s="1"/>
  <c r="NM209" i="13"/>
  <c r="IA209" i="13"/>
  <c r="NN209" i="13" s="1"/>
  <c r="NT209" i="13"/>
  <c r="NG71" i="13"/>
  <c r="KH71" i="13" s="1"/>
  <c r="KJ71" i="13" s="1"/>
  <c r="KK71" i="13" s="1"/>
  <c r="NF71" i="13"/>
  <c r="NH71" i="13"/>
  <c r="JL71" i="13"/>
  <c r="JN71" i="13" s="1"/>
  <c r="MW134" i="13"/>
  <c r="GV134" i="13"/>
  <c r="GX134" i="13" s="1"/>
  <c r="GY134" i="13" s="1"/>
  <c r="JK58" i="13"/>
  <c r="E102" i="13"/>
  <c r="HP102" i="13"/>
  <c r="HR102" i="13" s="1"/>
  <c r="HH102" i="13"/>
  <c r="HJ102" i="13" s="1"/>
  <c r="HK102" i="13" s="1"/>
  <c r="HX102" i="13"/>
  <c r="HZ102" i="13" s="1"/>
  <c r="GZ102" i="13"/>
  <c r="HB102" i="13" s="1"/>
  <c r="HC102" i="13" s="1"/>
  <c r="BC58" i="13"/>
  <c r="BB58" i="13" s="1"/>
  <c r="BA58" i="13" s="1"/>
  <c r="AZ58" i="13" s="1"/>
  <c r="AY58" i="13" s="1"/>
  <c r="BU58" i="13"/>
  <c r="BT58" i="13" s="1"/>
  <c r="BS58" i="13" s="1"/>
  <c r="BR58" i="13" s="1"/>
  <c r="BQ58" i="13" s="1"/>
  <c r="AX58" i="13"/>
  <c r="AW58" i="13" s="1"/>
  <c r="AV58" i="13" s="1"/>
  <c r="AU58" i="13" s="1"/>
  <c r="AT58" i="13" s="1"/>
  <c r="BP58" i="13"/>
  <c r="BO58" i="13" s="1"/>
  <c r="BN58" i="13" s="1"/>
  <c r="BM58" i="13" s="1"/>
  <c r="BL58" i="13" s="1"/>
  <c r="CE58" i="13"/>
  <c r="CD58" i="13" s="1"/>
  <c r="AS58" i="13"/>
  <c r="AR58" i="13" s="1"/>
  <c r="AQ58" i="13" s="1"/>
  <c r="AP58" i="13" s="1"/>
  <c r="AO58" i="13" s="1"/>
  <c r="AL58" i="13" s="1"/>
  <c r="BH58" i="13"/>
  <c r="BG58" i="13" s="1"/>
  <c r="BF58" i="13" s="1"/>
  <c r="BE58" i="13" s="1"/>
  <c r="BD58" i="13" s="1"/>
  <c r="BZ58" i="13"/>
  <c r="BY58" i="13" s="1"/>
  <c r="NG177" i="13"/>
  <c r="KH177" i="13" s="1"/>
  <c r="KJ177" i="13" s="1"/>
  <c r="KK177" i="13" s="1"/>
  <c r="NH177" i="13"/>
  <c r="NF177" i="13"/>
  <c r="JL177" i="13"/>
  <c r="JN177" i="13" s="1"/>
  <c r="HS187" i="13"/>
  <c r="NL187" i="13" s="1"/>
  <c r="NK187" i="13"/>
  <c r="NS187" i="13"/>
  <c r="NY187" i="13"/>
  <c r="HL82" i="13"/>
  <c r="HN82" i="13" s="1"/>
  <c r="HO82" i="13" s="1"/>
  <c r="IB82" i="13"/>
  <c r="ID82" i="13" s="1"/>
  <c r="IE82" i="13" s="1"/>
  <c r="HD82" i="13"/>
  <c r="HF82" i="13" s="1"/>
  <c r="HG82" i="13" s="1"/>
  <c r="HT82" i="13"/>
  <c r="HV82" i="13" s="1"/>
  <c r="HW82" i="13" s="1"/>
  <c r="HS146" i="13"/>
  <c r="NL146" i="13" s="1"/>
  <c r="NK146" i="13"/>
  <c r="NY146" i="13"/>
  <c r="NS146" i="13"/>
  <c r="NH57" i="13"/>
  <c r="NG57" i="13"/>
  <c r="KH57" i="13" s="1"/>
  <c r="KJ57" i="13" s="1"/>
  <c r="KK57" i="13" s="1"/>
  <c r="NF57" i="13"/>
  <c r="JL57" i="13"/>
  <c r="JN57" i="13" s="1"/>
  <c r="E61" i="13"/>
  <c r="HH61" i="13"/>
  <c r="HJ61" i="13" s="1"/>
  <c r="HK61" i="13" s="1"/>
  <c r="HX61" i="13"/>
  <c r="HZ61" i="13" s="1"/>
  <c r="HP61" i="13"/>
  <c r="HR61" i="13" s="1"/>
  <c r="GZ61" i="13"/>
  <c r="HB61" i="13" s="1"/>
  <c r="HC61" i="13" s="1"/>
  <c r="NI212" i="13"/>
  <c r="KL212" i="13"/>
  <c r="KN212" i="13" s="1"/>
  <c r="KO212" i="13" s="1"/>
  <c r="AX148" i="13"/>
  <c r="AW148" i="13" s="1"/>
  <c r="AV148" i="13" s="1"/>
  <c r="AU148" i="13" s="1"/>
  <c r="AT148" i="13" s="1"/>
  <c r="BP148" i="13"/>
  <c r="BO148" i="13" s="1"/>
  <c r="BN148" i="13" s="1"/>
  <c r="BM148" i="13" s="1"/>
  <c r="BL148" i="13" s="1"/>
  <c r="BU148" i="13"/>
  <c r="BT148" i="13" s="1"/>
  <c r="BS148" i="13" s="1"/>
  <c r="BR148" i="13" s="1"/>
  <c r="BQ148" i="13" s="1"/>
  <c r="CE148" i="13"/>
  <c r="CD148" i="13" s="1"/>
  <c r="AS148" i="13"/>
  <c r="AR148" i="13" s="1"/>
  <c r="AQ148" i="13" s="1"/>
  <c r="AP148" i="13" s="1"/>
  <c r="AO148" i="13" s="1"/>
  <c r="AL148" i="13" s="1"/>
  <c r="BH148" i="13"/>
  <c r="BG148" i="13" s="1"/>
  <c r="BF148" i="13" s="1"/>
  <c r="BE148" i="13" s="1"/>
  <c r="BD148" i="13" s="1"/>
  <c r="BZ148" i="13"/>
  <c r="BY148" i="13" s="1"/>
  <c r="BC148" i="13"/>
  <c r="BB148" i="13" s="1"/>
  <c r="BA148" i="13" s="1"/>
  <c r="AZ148" i="13" s="1"/>
  <c r="AY148" i="13" s="1"/>
  <c r="GP122" i="13"/>
  <c r="BU139" i="13"/>
  <c r="BT139" i="13" s="1"/>
  <c r="IB146" i="13"/>
  <c r="ID146" i="13" s="1"/>
  <c r="IE146" i="13" s="1"/>
  <c r="BZ146" i="13" s="1"/>
  <c r="BY146" i="13" s="1"/>
  <c r="HT146" i="13"/>
  <c r="HV146" i="13" s="1"/>
  <c r="HW146" i="13" s="1"/>
  <c r="BC146" i="13" s="1"/>
  <c r="BB146" i="13" s="1"/>
  <c r="BA146" i="13" s="1"/>
  <c r="AZ146" i="13" s="1"/>
  <c r="AY146" i="13" s="1"/>
  <c r="HD146" i="13"/>
  <c r="HF146" i="13" s="1"/>
  <c r="HG146" i="13" s="1"/>
  <c r="HL146" i="13"/>
  <c r="HN146" i="13" s="1"/>
  <c r="HO146" i="13" s="1"/>
  <c r="CE146" i="13" s="1"/>
  <c r="CD146" i="13" s="1"/>
  <c r="NT86" i="13"/>
  <c r="NM86" i="13"/>
  <c r="IA86" i="13"/>
  <c r="ND88" i="13"/>
  <c r="NE88" i="13" s="1"/>
  <c r="JK98" i="13"/>
  <c r="GF181" i="13"/>
  <c r="GO181" i="13"/>
  <c r="NX31" i="13"/>
  <c r="NW31" i="13"/>
  <c r="JJ97" i="13"/>
  <c r="JI97" i="13"/>
  <c r="AX212" i="13"/>
  <c r="AW212" i="13" s="1"/>
  <c r="BP28" i="13"/>
  <c r="BO28" i="13" s="1"/>
  <c r="BN28" i="13" s="1"/>
  <c r="BM28" i="13" s="1"/>
  <c r="BL28" i="13" s="1"/>
  <c r="JJ104" i="13"/>
  <c r="JI104" i="13"/>
  <c r="NI54" i="13"/>
  <c r="KL54" i="13"/>
  <c r="KN54" i="13" s="1"/>
  <c r="KO54" i="13" s="1"/>
  <c r="NG158" i="13"/>
  <c r="KH158" i="13" s="1"/>
  <c r="KJ158" i="13" s="1"/>
  <c r="KK158" i="13" s="1"/>
  <c r="NF158" i="13"/>
  <c r="NH158" i="13"/>
  <c r="JL158" i="13"/>
  <c r="JN158" i="13" s="1"/>
  <c r="IB12" i="13"/>
  <c r="ID12" i="13" s="1"/>
  <c r="IE12" i="13" s="1"/>
  <c r="HL12" i="13"/>
  <c r="HN12" i="13" s="1"/>
  <c r="HO12" i="13" s="1"/>
  <c r="CE12" i="13" s="1"/>
  <c r="CD12" i="13" s="1"/>
  <c r="HT12" i="13"/>
  <c r="HV12" i="13" s="1"/>
  <c r="HW12" i="13" s="1"/>
  <c r="HD12" i="13"/>
  <c r="HF12" i="13" s="1"/>
  <c r="HG12" i="13" s="1"/>
  <c r="MW119" i="13"/>
  <c r="GV119" i="13"/>
  <c r="GX119" i="13" s="1"/>
  <c r="GY119" i="13" s="1"/>
  <c r="NS89" i="13"/>
  <c r="HS89" i="13"/>
  <c r="NL89" i="13" s="1"/>
  <c r="NK89" i="13"/>
  <c r="NY89" i="13"/>
  <c r="MW144" i="13"/>
  <c r="GV144" i="13"/>
  <c r="GX144" i="13" s="1"/>
  <c r="GY144" i="13" s="1"/>
  <c r="AX135" i="13"/>
  <c r="AW135" i="13" s="1"/>
  <c r="JK59" i="13"/>
  <c r="HT185" i="13"/>
  <c r="HV185" i="13" s="1"/>
  <c r="HW185" i="13" s="1"/>
  <c r="HD185" i="13"/>
  <c r="HF185" i="13" s="1"/>
  <c r="HG185" i="13" s="1"/>
  <c r="IB185" i="13"/>
  <c r="ID185" i="13" s="1"/>
  <c r="IE185" i="13" s="1"/>
  <c r="BZ185" i="13" s="1"/>
  <c r="BY185" i="13" s="1"/>
  <c r="HL185" i="13"/>
  <c r="HN185" i="13" s="1"/>
  <c r="HO185" i="13" s="1"/>
  <c r="CE185" i="13" s="1"/>
  <c r="CD185" i="13" s="1"/>
  <c r="GF45" i="13"/>
  <c r="GO45" i="13"/>
  <c r="NX76" i="13"/>
  <c r="NW76" i="13"/>
  <c r="E44" i="13"/>
  <c r="HP44" i="13"/>
  <c r="HR44" i="13" s="1"/>
  <c r="HX44" i="13"/>
  <c r="HZ44" i="13" s="1"/>
  <c r="HH44" i="13"/>
  <c r="HJ44" i="13" s="1"/>
  <c r="HK44" i="13" s="1"/>
  <c r="GZ44" i="13"/>
  <c r="HB44" i="13" s="1"/>
  <c r="HC44" i="13" s="1"/>
  <c r="NK210" i="13"/>
  <c r="NS210" i="13"/>
  <c r="HS210" i="13"/>
  <c r="NL210" i="13" s="1"/>
  <c r="NY210" i="13"/>
  <c r="JK213" i="13"/>
  <c r="KP198" i="13"/>
  <c r="KR198" i="13" s="1"/>
  <c r="KS198" i="13" s="1"/>
  <c r="LN198" i="13"/>
  <c r="KX198" i="13"/>
  <c r="KZ198" i="13" s="1"/>
  <c r="LA198" i="13" s="1"/>
  <c r="LF198" i="13"/>
  <c r="LH198" i="13" s="1"/>
  <c r="AS162" i="13"/>
  <c r="AR162" i="13" s="1"/>
  <c r="AQ162" i="13" s="1"/>
  <c r="AP162" i="13" s="1"/>
  <c r="AO162" i="13" s="1"/>
  <c r="AL162" i="13" s="1"/>
  <c r="BZ162" i="13"/>
  <c r="BY162" i="13" s="1"/>
  <c r="BH162" i="13"/>
  <c r="BG162" i="13" s="1"/>
  <c r="BF162" i="13" s="1"/>
  <c r="BE162" i="13" s="1"/>
  <c r="BD162" i="13" s="1"/>
  <c r="BU162" i="13"/>
  <c r="BT162" i="13" s="1"/>
  <c r="BS162" i="13" s="1"/>
  <c r="BR162" i="13" s="1"/>
  <c r="BQ162" i="13" s="1"/>
  <c r="BP162" i="13"/>
  <c r="BO162" i="13" s="1"/>
  <c r="BN162" i="13" s="1"/>
  <c r="BM162" i="13" s="1"/>
  <c r="BL162" i="13" s="1"/>
  <c r="BC162" i="13"/>
  <c r="BB162" i="13" s="1"/>
  <c r="BA162" i="13" s="1"/>
  <c r="AZ162" i="13" s="1"/>
  <c r="AY162" i="13" s="1"/>
  <c r="AX162" i="13"/>
  <c r="AW162" i="13" s="1"/>
  <c r="AV162" i="13" s="1"/>
  <c r="AU162" i="13" s="1"/>
  <c r="AT162" i="13" s="1"/>
  <c r="CE162" i="13"/>
  <c r="CD162" i="13" s="1"/>
  <c r="DP125" i="13"/>
  <c r="DO125" i="13" s="1"/>
  <c r="HL114" i="13"/>
  <c r="HN114" i="13" s="1"/>
  <c r="HO114" i="13" s="1"/>
  <c r="IB114" i="13"/>
  <c r="ID114" i="13" s="1"/>
  <c r="IE114" i="13" s="1"/>
  <c r="HT114" i="13"/>
  <c r="HV114" i="13" s="1"/>
  <c r="HW114" i="13" s="1"/>
  <c r="HD114" i="13"/>
  <c r="HF114" i="13" s="1"/>
  <c r="HG114" i="13" s="1"/>
  <c r="NI80" i="13"/>
  <c r="KL80" i="13"/>
  <c r="KN80" i="13" s="1"/>
  <c r="KO80" i="13" s="1"/>
  <c r="AS149" i="13"/>
  <c r="AR149" i="13" s="1"/>
  <c r="AQ149" i="13" s="1"/>
  <c r="AP149" i="13" s="1"/>
  <c r="AO149" i="13" s="1"/>
  <c r="AL149" i="13" s="1"/>
  <c r="BZ149" i="13"/>
  <c r="BY149" i="13" s="1"/>
  <c r="BH149" i="13"/>
  <c r="BG149" i="13" s="1"/>
  <c r="BF149" i="13" s="1"/>
  <c r="BE149" i="13" s="1"/>
  <c r="BD149" i="13" s="1"/>
  <c r="BU149" i="13"/>
  <c r="BT149" i="13" s="1"/>
  <c r="BS149" i="13" s="1"/>
  <c r="BR149" i="13" s="1"/>
  <c r="BQ149" i="13" s="1"/>
  <c r="BC149" i="13"/>
  <c r="BB149" i="13" s="1"/>
  <c r="BA149" i="13" s="1"/>
  <c r="AZ149" i="13" s="1"/>
  <c r="AY149" i="13" s="1"/>
  <c r="BP149" i="13"/>
  <c r="BO149" i="13" s="1"/>
  <c r="BN149" i="13" s="1"/>
  <c r="BM149" i="13" s="1"/>
  <c r="BL149" i="13" s="1"/>
  <c r="AX149" i="13"/>
  <c r="AW149" i="13" s="1"/>
  <c r="AV149" i="13" s="1"/>
  <c r="AU149" i="13" s="1"/>
  <c r="AT149" i="13" s="1"/>
  <c r="CE149" i="13"/>
  <c r="CD149" i="13" s="1"/>
  <c r="BU146" i="13"/>
  <c r="BT146" i="13" s="1"/>
  <c r="AX146" i="13"/>
  <c r="AW146" i="13" s="1"/>
  <c r="BP146" i="13"/>
  <c r="BO146" i="13" s="1"/>
  <c r="BN146" i="13" s="1"/>
  <c r="BM146" i="13" s="1"/>
  <c r="BL146" i="13" s="1"/>
  <c r="KP40" i="13"/>
  <c r="KR40" i="13" s="1"/>
  <c r="KS40" i="13" s="1"/>
  <c r="LF40" i="13"/>
  <c r="LH40" i="13" s="1"/>
  <c r="LN40" i="13"/>
  <c r="KX40" i="13"/>
  <c r="KZ40" i="13" s="1"/>
  <c r="LA40" i="13" s="1"/>
  <c r="JO85" i="13"/>
  <c r="KG85" i="13" s="1"/>
  <c r="KF85" i="13"/>
  <c r="JK37" i="13"/>
  <c r="JO105" i="13"/>
  <c r="KF105" i="13"/>
  <c r="NI116" i="13"/>
  <c r="KL116" i="13"/>
  <c r="KN116" i="13" s="1"/>
  <c r="KO116" i="13" s="1"/>
  <c r="KP201" i="13"/>
  <c r="KR201" i="13" s="1"/>
  <c r="KS201" i="13" s="1"/>
  <c r="KX201" i="13"/>
  <c r="KZ201" i="13" s="1"/>
  <c r="LA201" i="13" s="1"/>
  <c r="LF201" i="13"/>
  <c r="LH201" i="13" s="1"/>
  <c r="LN201" i="13"/>
  <c r="MW113" i="13"/>
  <c r="GV113" i="13"/>
  <c r="GX113" i="13" s="1"/>
  <c r="GY113" i="13" s="1"/>
  <c r="BU78" i="13"/>
  <c r="BT78" i="13" s="1"/>
  <c r="AX78" i="13"/>
  <c r="AW78" i="13" s="1"/>
  <c r="NK95" i="13"/>
  <c r="NY95" i="13"/>
  <c r="NS95" i="13"/>
  <c r="HS95" i="13"/>
  <c r="NL95" i="13" s="1"/>
  <c r="E120" i="13"/>
  <c r="GZ120" i="13"/>
  <c r="HB120" i="13" s="1"/>
  <c r="HC120" i="13" s="1"/>
  <c r="HP120" i="13"/>
  <c r="HR120" i="13" s="1"/>
  <c r="HH120" i="13"/>
  <c r="HJ120" i="13" s="1"/>
  <c r="HK120" i="13" s="1"/>
  <c r="HX120" i="13"/>
  <c r="HZ120" i="13" s="1"/>
  <c r="KP200" i="13"/>
  <c r="KR200" i="13" s="1"/>
  <c r="KS200" i="13" s="1"/>
  <c r="LN200" i="13"/>
  <c r="LF200" i="13"/>
  <c r="LH200" i="13" s="1"/>
  <c r="KX200" i="13"/>
  <c r="KZ200" i="13" s="1"/>
  <c r="LA200" i="13" s="1"/>
  <c r="JK151" i="13"/>
  <c r="JK182" i="13"/>
  <c r="NK168" i="13"/>
  <c r="NY168" i="13"/>
  <c r="NS168" i="13"/>
  <c r="HS168" i="13"/>
  <c r="NL168" i="13" s="1"/>
  <c r="NG48" i="13"/>
  <c r="KH48" i="13" s="1"/>
  <c r="KJ48" i="13" s="1"/>
  <c r="KK48" i="13" s="1"/>
  <c r="NF48" i="13"/>
  <c r="NH48" i="13"/>
  <c r="JL48" i="13"/>
  <c r="JN48" i="13" s="1"/>
  <c r="NX131" i="13"/>
  <c r="NW131" i="13"/>
  <c r="NQ19" i="13"/>
  <c r="DN19" i="13" s="1"/>
  <c r="DM19" i="13" s="1"/>
  <c r="DL19" i="13" s="1"/>
  <c r="LP19" i="13"/>
  <c r="LQ19" i="13" s="1"/>
  <c r="NV19" i="13"/>
  <c r="JK149" i="13"/>
  <c r="E132" i="13"/>
  <c r="HH132" i="13"/>
  <c r="HJ132" i="13" s="1"/>
  <c r="HK132" i="13" s="1"/>
  <c r="HP132" i="13"/>
  <c r="HR132" i="13" s="1"/>
  <c r="HX132" i="13"/>
  <c r="HZ132" i="13" s="1"/>
  <c r="GZ132" i="13"/>
  <c r="HB132" i="13" s="1"/>
  <c r="HC132" i="13" s="1"/>
  <c r="GP142" i="13"/>
  <c r="LF128" i="13"/>
  <c r="LH128" i="13" s="1"/>
  <c r="KX128" i="13"/>
  <c r="KZ128" i="13" s="1"/>
  <c r="LA128" i="13" s="1"/>
  <c r="KP128" i="13"/>
  <c r="KR128" i="13" s="1"/>
  <c r="KS128" i="13" s="1"/>
  <c r="LN128" i="13"/>
  <c r="NY211" i="13"/>
  <c r="HS211" i="13"/>
  <c r="NS211" i="13"/>
  <c r="NK211" i="13"/>
  <c r="NI60" i="13"/>
  <c r="KL60" i="13"/>
  <c r="KN60" i="13" s="1"/>
  <c r="KO60" i="13" s="1"/>
  <c r="HD92" i="13"/>
  <c r="HF92" i="13" s="1"/>
  <c r="HG92" i="13" s="1"/>
  <c r="IB92" i="13"/>
  <c r="ID92" i="13" s="1"/>
  <c r="IE92" i="13" s="1"/>
  <c r="HT92" i="13"/>
  <c r="HV92" i="13" s="1"/>
  <c r="HW92" i="13" s="1"/>
  <c r="HL92" i="13"/>
  <c r="HN92" i="13" s="1"/>
  <c r="HO92" i="13" s="1"/>
  <c r="NI143" i="13"/>
  <c r="KL143" i="13"/>
  <c r="KN143" i="13" s="1"/>
  <c r="KO143" i="13" s="1"/>
  <c r="ND187" i="13"/>
  <c r="NE187" i="13" s="1"/>
  <c r="NK183" i="13"/>
  <c r="NY183" i="13"/>
  <c r="NS183" i="13"/>
  <c r="HS183" i="13"/>
  <c r="HD116" i="13"/>
  <c r="HF116" i="13" s="1"/>
  <c r="HG116" i="13" s="1"/>
  <c r="HL116" i="13"/>
  <c r="HN116" i="13" s="1"/>
  <c r="HO116" i="13" s="1"/>
  <c r="IB116" i="13"/>
  <c r="ID116" i="13" s="1"/>
  <c r="IE116" i="13" s="1"/>
  <c r="HT116" i="13"/>
  <c r="HV116" i="13" s="1"/>
  <c r="HW116" i="13" s="1"/>
  <c r="JJ177" i="13"/>
  <c r="JI177" i="13"/>
  <c r="BZ12" i="13"/>
  <c r="BY12" i="13" s="1"/>
  <c r="BC12" i="13"/>
  <c r="BB12" i="13" s="1"/>
  <c r="AX12" i="13"/>
  <c r="AW12" i="13" s="1"/>
  <c r="BU12" i="13"/>
  <c r="BT12" i="13" s="1"/>
  <c r="AX168" i="13"/>
  <c r="AW168" i="13" s="1"/>
  <c r="AV168" i="13" s="1"/>
  <c r="AU168" i="13" s="1"/>
  <c r="AT168" i="13" s="1"/>
  <c r="AS168" i="13"/>
  <c r="AR168" i="13" s="1"/>
  <c r="AQ168" i="13" s="1"/>
  <c r="AP168" i="13" s="1"/>
  <c r="AO168" i="13" s="1"/>
  <c r="AL168" i="13" s="1"/>
  <c r="BU168" i="13"/>
  <c r="BT168" i="13" s="1"/>
  <c r="BS168" i="13" s="1"/>
  <c r="BR168" i="13" s="1"/>
  <c r="BQ168" i="13" s="1"/>
  <c r="GP116" i="13"/>
  <c r="NH15" i="13"/>
  <c r="NG15" i="13"/>
  <c r="KH15" i="13" s="1"/>
  <c r="KJ15" i="13" s="1"/>
  <c r="KK15" i="13" s="1"/>
  <c r="NF15" i="13"/>
  <c r="BC182" i="13"/>
  <c r="BB182" i="13" s="1"/>
  <c r="BA182" i="13" s="1"/>
  <c r="AZ182" i="13" s="1"/>
  <c r="AY182" i="13" s="1"/>
  <c r="CE182" i="13"/>
  <c r="CD182" i="13" s="1"/>
  <c r="AS182" i="13"/>
  <c r="AR182" i="13" s="1"/>
  <c r="AQ182" i="13" s="1"/>
  <c r="AP182" i="13" s="1"/>
  <c r="AO182" i="13" s="1"/>
  <c r="AL182" i="13" s="1"/>
  <c r="BZ182" i="13"/>
  <c r="BY182" i="13" s="1"/>
  <c r="BP182" i="13"/>
  <c r="BO182" i="13" s="1"/>
  <c r="BN182" i="13" s="1"/>
  <c r="BM182" i="13" s="1"/>
  <c r="BL182" i="13" s="1"/>
  <c r="BU182" i="13"/>
  <c r="BT182" i="13" s="1"/>
  <c r="BS182" i="13" s="1"/>
  <c r="BR182" i="13" s="1"/>
  <c r="BQ182" i="13" s="1"/>
  <c r="AX182" i="13"/>
  <c r="AW182" i="13" s="1"/>
  <c r="AV182" i="13" s="1"/>
  <c r="AU182" i="13" s="1"/>
  <c r="AT182" i="13" s="1"/>
  <c r="BH182" i="13"/>
  <c r="BG182" i="13" s="1"/>
  <c r="BF182" i="13" s="1"/>
  <c r="BE182" i="13" s="1"/>
  <c r="BD182" i="13" s="1"/>
  <c r="NY196" i="13"/>
  <c r="NK196" i="13"/>
  <c r="HS196" i="13"/>
  <c r="NL196" i="13" s="1"/>
  <c r="NS196" i="13"/>
  <c r="NX145" i="13"/>
  <c r="NW145" i="13"/>
  <c r="E191" i="13"/>
  <c r="GZ191" i="13"/>
  <c r="HB191" i="13" s="1"/>
  <c r="HC191" i="13" s="1"/>
  <c r="HP191" i="13"/>
  <c r="HR191" i="13" s="1"/>
  <c r="HH191" i="13"/>
  <c r="HJ191" i="13" s="1"/>
  <c r="HK191" i="13" s="1"/>
  <c r="HX191" i="13"/>
  <c r="HZ191" i="13" s="1"/>
  <c r="KP135" i="13"/>
  <c r="KR135" i="13" s="1"/>
  <c r="KS135" i="13" s="1"/>
  <c r="LF135" i="13"/>
  <c r="LH135" i="13" s="1"/>
  <c r="LN135" i="13"/>
  <c r="KX135" i="13"/>
  <c r="KZ135" i="13" s="1"/>
  <c r="LA135" i="13" s="1"/>
  <c r="ND180" i="13"/>
  <c r="NE180" i="13" s="1"/>
  <c r="NX28" i="13"/>
  <c r="NW28" i="13"/>
  <c r="NX158" i="13"/>
  <c r="NW158" i="13"/>
  <c r="BU153" i="13"/>
  <c r="BT153" i="13" s="1"/>
  <c r="BS153" i="13" s="1"/>
  <c r="BR153" i="13" s="1"/>
  <c r="BQ153" i="13" s="1"/>
  <c r="BP153" i="13"/>
  <c r="BO153" i="13" s="1"/>
  <c r="BN153" i="13" s="1"/>
  <c r="BM153" i="13" s="1"/>
  <c r="BL153" i="13" s="1"/>
  <c r="BC153" i="13"/>
  <c r="BB153" i="13" s="1"/>
  <c r="BA153" i="13" s="1"/>
  <c r="AZ153" i="13" s="1"/>
  <c r="AY153" i="13" s="1"/>
  <c r="AX153" i="13"/>
  <c r="AW153" i="13" s="1"/>
  <c r="AV153" i="13" s="1"/>
  <c r="AU153" i="13" s="1"/>
  <c r="AT153" i="13" s="1"/>
  <c r="CE153" i="13"/>
  <c r="CD153" i="13" s="1"/>
  <c r="AS153" i="13"/>
  <c r="AR153" i="13" s="1"/>
  <c r="AQ153" i="13" s="1"/>
  <c r="AP153" i="13" s="1"/>
  <c r="AO153" i="13" s="1"/>
  <c r="AL153" i="13" s="1"/>
  <c r="BZ153" i="13"/>
  <c r="BY153" i="13" s="1"/>
  <c r="BH153" i="13"/>
  <c r="BG153" i="13" s="1"/>
  <c r="BF153" i="13" s="1"/>
  <c r="BE153" i="13" s="1"/>
  <c r="BD153" i="13" s="1"/>
  <c r="NM39" i="13"/>
  <c r="IA39" i="13"/>
  <c r="NN39" i="13" s="1"/>
  <c r="NT39" i="13"/>
  <c r="MW181" i="13"/>
  <c r="GV181" i="13"/>
  <c r="GX181" i="13" s="1"/>
  <c r="GY181" i="13" s="1"/>
  <c r="GF70" i="13"/>
  <c r="GO70" i="13"/>
  <c r="JO112" i="13"/>
  <c r="KG112" i="13" s="1"/>
  <c r="KF112" i="13"/>
  <c r="AS28" i="13"/>
  <c r="AR28" i="13" s="1"/>
  <c r="AQ28" i="13" s="1"/>
  <c r="AP28" i="13" s="1"/>
  <c r="AO28" i="13" s="1"/>
  <c r="AL28" i="13" s="1"/>
  <c r="NG104" i="13"/>
  <c r="KH104" i="13" s="1"/>
  <c r="KJ104" i="13" s="1"/>
  <c r="KK104" i="13" s="1"/>
  <c r="NF104" i="13"/>
  <c r="NH104" i="13"/>
  <c r="JL104" i="13"/>
  <c r="JN104" i="13" s="1"/>
  <c r="NM56" i="13"/>
  <c r="IA56" i="13"/>
  <c r="NT56" i="13"/>
  <c r="NS20" i="13"/>
  <c r="HS20" i="13"/>
  <c r="NL20" i="13" s="1"/>
  <c r="NK20" i="13"/>
  <c r="NY20" i="13"/>
  <c r="BU135" i="13"/>
  <c r="BT135" i="13" s="1"/>
  <c r="MW45" i="13"/>
  <c r="GV45" i="13"/>
  <c r="GX45" i="13" s="1"/>
  <c r="GY45" i="13" s="1"/>
  <c r="GP123" i="13"/>
  <c r="GF186" i="13"/>
  <c r="GO186" i="13"/>
  <c r="JK90" i="13"/>
  <c r="JO59" i="13"/>
  <c r="KG59" i="13" s="1"/>
  <c r="KF59" i="13"/>
  <c r="BU39" i="13"/>
  <c r="BT39" i="13" s="1"/>
  <c r="AX39" i="13"/>
  <c r="AW39" i="13" s="1"/>
  <c r="AS39" i="13"/>
  <c r="AR39" i="13" s="1"/>
  <c r="AQ39" i="13" s="1"/>
  <c r="AP39" i="13" s="1"/>
  <c r="AO39" i="13" s="1"/>
  <c r="AL39" i="13" s="1"/>
  <c r="ND166" i="13"/>
  <c r="NE166" i="13" s="1"/>
  <c r="HS197" i="13"/>
  <c r="NL197" i="13" s="1"/>
  <c r="NK197" i="13"/>
  <c r="NY197" i="13"/>
  <c r="NS197" i="13"/>
  <c r="NM94" i="13"/>
  <c r="IA94" i="13"/>
  <c r="NN94" i="13" s="1"/>
  <c r="NT94" i="13"/>
  <c r="LN24" i="13"/>
  <c r="KP24" i="13"/>
  <c r="KR24" i="13" s="1"/>
  <c r="KS24" i="13" s="1"/>
  <c r="KX24" i="13"/>
  <c r="KZ24" i="13" s="1"/>
  <c r="LA24" i="13" s="1"/>
  <c r="DP24" i="13" s="1"/>
  <c r="DO24" i="13" s="1"/>
  <c r="LF24" i="13"/>
  <c r="LH24" i="13" s="1"/>
  <c r="IB212" i="13"/>
  <c r="ID212" i="13" s="1"/>
  <c r="IE212" i="13" s="1"/>
  <c r="BZ212" i="13" s="1"/>
  <c r="BY212" i="13" s="1"/>
  <c r="HD212" i="13"/>
  <c r="HF212" i="13" s="1"/>
  <c r="HG212" i="13" s="1"/>
  <c r="HT212" i="13"/>
  <c r="HV212" i="13" s="1"/>
  <c r="HW212" i="13" s="1"/>
  <c r="BC212" i="13" s="1"/>
  <c r="BB212" i="13" s="1"/>
  <c r="HL212" i="13"/>
  <c r="HN212" i="13" s="1"/>
  <c r="HO212" i="13" s="1"/>
  <c r="CE212" i="13" s="1"/>
  <c r="CD212" i="13" s="1"/>
  <c r="JK74" i="13"/>
  <c r="NI85" i="13"/>
  <c r="KL85" i="13"/>
  <c r="KN85" i="13" s="1"/>
  <c r="KO85" i="13" s="1"/>
  <c r="LF211" i="13"/>
  <c r="LH211" i="13" s="1"/>
  <c r="KX211" i="13"/>
  <c r="KZ211" i="13" s="1"/>
  <c r="LA211" i="13" s="1"/>
  <c r="LN211" i="13"/>
  <c r="KP211" i="13"/>
  <c r="KR211" i="13" s="1"/>
  <c r="KS211" i="13" s="1"/>
  <c r="E113" i="13"/>
  <c r="HP113" i="13"/>
  <c r="HR113" i="13" s="1"/>
  <c r="HX113" i="13"/>
  <c r="HZ113" i="13" s="1"/>
  <c r="HH113" i="13"/>
  <c r="HJ113" i="13" s="1"/>
  <c r="HK113" i="13" s="1"/>
  <c r="GZ113" i="13"/>
  <c r="HB113" i="13" s="1"/>
  <c r="HC113" i="13" s="1"/>
  <c r="KP66" i="13"/>
  <c r="KR66" i="13" s="1"/>
  <c r="KS66" i="13" s="1"/>
  <c r="LF66" i="13"/>
  <c r="LH66" i="13" s="1"/>
  <c r="KX66" i="13"/>
  <c r="KZ66" i="13" s="1"/>
  <c r="LA66" i="13" s="1"/>
  <c r="LN66" i="13"/>
  <c r="MW120" i="13"/>
  <c r="GV120" i="13"/>
  <c r="GX120" i="13" s="1"/>
  <c r="GY120" i="13" s="1"/>
  <c r="JO195" i="13"/>
  <c r="KG195" i="13" s="1"/>
  <c r="KF195" i="13"/>
  <c r="BP188" i="13"/>
  <c r="BO188" i="13" s="1"/>
  <c r="BN188" i="13" s="1"/>
  <c r="BM188" i="13" s="1"/>
  <c r="BL188" i="13" s="1"/>
  <c r="AX188" i="13"/>
  <c r="AW188" i="13" s="1"/>
  <c r="AV188" i="13" s="1"/>
  <c r="AU188" i="13" s="1"/>
  <c r="AT188" i="13" s="1"/>
  <c r="BU188" i="13"/>
  <c r="BT188" i="13" s="1"/>
  <c r="BS188" i="13" s="1"/>
  <c r="BR188" i="13" s="1"/>
  <c r="BQ188" i="13" s="1"/>
  <c r="BC54" i="13"/>
  <c r="BB54" i="13" s="1"/>
  <c r="BA54" i="13" s="1"/>
  <c r="AZ54" i="13" s="1"/>
  <c r="AY54" i="13" s="1"/>
  <c r="BU54" i="13"/>
  <c r="BT54" i="13" s="1"/>
  <c r="BS54" i="13" s="1"/>
  <c r="BR54" i="13" s="1"/>
  <c r="BQ54" i="13" s="1"/>
  <c r="AX54" i="13"/>
  <c r="AW54" i="13" s="1"/>
  <c r="AV54" i="13" s="1"/>
  <c r="AU54" i="13" s="1"/>
  <c r="AT54" i="13" s="1"/>
  <c r="BP54" i="13"/>
  <c r="BO54" i="13" s="1"/>
  <c r="BN54" i="13" s="1"/>
  <c r="BM54" i="13" s="1"/>
  <c r="BL54" i="13" s="1"/>
  <c r="CE54" i="13"/>
  <c r="CD54" i="13" s="1"/>
  <c r="AS54" i="13"/>
  <c r="AR54" i="13" s="1"/>
  <c r="AQ54" i="13" s="1"/>
  <c r="AP54" i="13" s="1"/>
  <c r="AO54" i="13" s="1"/>
  <c r="AL54" i="13" s="1"/>
  <c r="BH54" i="13"/>
  <c r="BG54" i="13" s="1"/>
  <c r="BF54" i="13" s="1"/>
  <c r="BE54" i="13" s="1"/>
  <c r="BD54" i="13" s="1"/>
  <c r="BZ54" i="13"/>
  <c r="BY54" i="13" s="1"/>
  <c r="MW199" i="13"/>
  <c r="GV199" i="13"/>
  <c r="GX199" i="13" s="1"/>
  <c r="GY199" i="13" s="1"/>
  <c r="NO19" i="13"/>
  <c r="LI19" i="13"/>
  <c r="NU19" i="13"/>
  <c r="E177" i="13"/>
  <c r="HH177" i="13"/>
  <c r="HJ177" i="13" s="1"/>
  <c r="HK177" i="13" s="1"/>
  <c r="HP177" i="13"/>
  <c r="HR177" i="13" s="1"/>
  <c r="GZ177" i="13"/>
  <c r="HB177" i="13" s="1"/>
  <c r="HC177" i="13" s="1"/>
  <c r="HX177" i="13"/>
  <c r="HZ177" i="13" s="1"/>
  <c r="LF28" i="13"/>
  <c r="LH28" i="13" s="1"/>
  <c r="KP28" i="13"/>
  <c r="KR28" i="13" s="1"/>
  <c r="KS28" i="13" s="1"/>
  <c r="LN28" i="13"/>
  <c r="KX28" i="13"/>
  <c r="KZ28" i="13" s="1"/>
  <c r="LA28" i="13" s="1"/>
  <c r="DP28" i="13" s="1"/>
  <c r="DO28" i="13" s="1"/>
  <c r="NT16" i="13"/>
  <c r="NM16" i="13"/>
  <c r="IA16" i="13"/>
  <c r="NN16" i="13" s="1"/>
  <c r="HD152" i="13"/>
  <c r="HF152" i="13" s="1"/>
  <c r="HG152" i="13" s="1"/>
  <c r="HT152" i="13"/>
  <c r="HV152" i="13" s="1"/>
  <c r="HW152" i="13" s="1"/>
  <c r="HL152" i="13"/>
  <c r="HN152" i="13" s="1"/>
  <c r="HO152" i="13" s="1"/>
  <c r="IB152" i="13"/>
  <c r="ID152" i="13" s="1"/>
  <c r="IE152" i="13" s="1"/>
  <c r="IA116" i="13"/>
  <c r="NN116" i="13" s="1"/>
  <c r="NT116" i="13"/>
  <c r="NM116" i="13"/>
  <c r="JO131" i="13"/>
  <c r="KG131" i="13" s="1"/>
  <c r="KF131" i="13"/>
  <c r="JK121" i="13"/>
  <c r="IB96" i="13"/>
  <c r="ID96" i="13" s="1"/>
  <c r="IE96" i="13" s="1"/>
  <c r="HL96" i="13"/>
  <c r="HN96" i="13" s="1"/>
  <c r="HO96" i="13" s="1"/>
  <c r="HD96" i="13"/>
  <c r="HF96" i="13" s="1"/>
  <c r="HG96" i="13" s="1"/>
  <c r="HT96" i="13"/>
  <c r="HV96" i="13" s="1"/>
  <c r="HW96" i="13" s="1"/>
  <c r="NT67" i="13"/>
  <c r="NM67" i="13"/>
  <c r="IA67" i="13"/>
  <c r="E134" i="13"/>
  <c r="HP134" i="13"/>
  <c r="HR134" i="13" s="1"/>
  <c r="HH134" i="13"/>
  <c r="HJ134" i="13" s="1"/>
  <c r="HK134" i="13" s="1"/>
  <c r="GZ134" i="13"/>
  <c r="HB134" i="13" s="1"/>
  <c r="HC134" i="13" s="1"/>
  <c r="HX134" i="13"/>
  <c r="HZ134" i="13" s="1"/>
  <c r="NK170" i="13"/>
  <c r="NY170" i="13"/>
  <c r="NS170" i="13"/>
  <c r="HS170" i="13"/>
  <c r="NL170" i="13" s="1"/>
  <c r="KX143" i="13"/>
  <c r="KZ143" i="13" s="1"/>
  <c r="LA143" i="13" s="1"/>
  <c r="LF143" i="13"/>
  <c r="LH143" i="13" s="1"/>
  <c r="LN143" i="13"/>
  <c r="KP143" i="13"/>
  <c r="KR143" i="13" s="1"/>
  <c r="KS143" i="13" s="1"/>
  <c r="NW63" i="13"/>
  <c r="NX63" i="13"/>
  <c r="JJ187" i="13"/>
  <c r="JI187" i="13"/>
  <c r="NH96" i="13"/>
  <c r="NG96" i="13"/>
  <c r="KH96" i="13" s="1"/>
  <c r="KJ96" i="13" s="1"/>
  <c r="KK96" i="13" s="1"/>
  <c r="NF96" i="13"/>
  <c r="JL96" i="13"/>
  <c r="JN96" i="13" s="1"/>
  <c r="IB67" i="13"/>
  <c r="ID67" i="13" s="1"/>
  <c r="IE67" i="13" s="1"/>
  <c r="HL67" i="13"/>
  <c r="HN67" i="13" s="1"/>
  <c r="HO67" i="13" s="1"/>
  <c r="HD67" i="13"/>
  <c r="HF67" i="13" s="1"/>
  <c r="HG67" i="13" s="1"/>
  <c r="HT67" i="13"/>
  <c r="HV67" i="13" s="1"/>
  <c r="HW67" i="13" s="1"/>
  <c r="NX58" i="13"/>
  <c r="NW58" i="13"/>
  <c r="AR3" i="13"/>
  <c r="AR6" i="13" s="1"/>
  <c r="JK115" i="13"/>
  <c r="BH40" i="13"/>
  <c r="BG40" i="13" s="1"/>
  <c r="BF40" i="13" s="1"/>
  <c r="BE40" i="13" s="1"/>
  <c r="BD40" i="13" s="1"/>
  <c r="BC40" i="13"/>
  <c r="BB40" i="13" s="1"/>
  <c r="BA40" i="13" s="1"/>
  <c r="AZ40" i="13" s="1"/>
  <c r="AY40" i="13" s="1"/>
  <c r="BU40" i="13"/>
  <c r="BT40" i="13" s="1"/>
  <c r="BS40" i="13" s="1"/>
  <c r="BR40" i="13" s="1"/>
  <c r="BQ40" i="13" s="1"/>
  <c r="AX40" i="13"/>
  <c r="AW40" i="13" s="1"/>
  <c r="AV40" i="13" s="1"/>
  <c r="AU40" i="13" s="1"/>
  <c r="AT40" i="13" s="1"/>
  <c r="BZ40" i="13"/>
  <c r="BY40" i="13" s="1"/>
  <c r="BP40" i="13"/>
  <c r="BO40" i="13" s="1"/>
  <c r="BN40" i="13" s="1"/>
  <c r="BM40" i="13" s="1"/>
  <c r="BL40" i="13" s="1"/>
  <c r="CE40" i="13"/>
  <c r="CD40" i="13" s="1"/>
  <c r="AS40" i="13"/>
  <c r="AR40" i="13" s="1"/>
  <c r="AQ40" i="13" s="1"/>
  <c r="AP40" i="13" s="1"/>
  <c r="AO40" i="13" s="1"/>
  <c r="AL40" i="13" s="1"/>
  <c r="Y5" i="141"/>
  <c r="MS104" i="13"/>
  <c r="DB210" i="13"/>
  <c r="DA210" i="13" s="1"/>
  <c r="CZ210" i="13" s="1"/>
  <c r="CY210" i="13" s="1"/>
  <c r="CX210" i="13" s="1"/>
  <c r="CM210" i="13"/>
  <c r="CL210" i="13" s="1"/>
  <c r="DP210" i="13"/>
  <c r="DO210" i="13" s="1"/>
  <c r="CW210" i="13"/>
  <c r="CV210" i="13" s="1"/>
  <c r="CU210" i="13" s="1"/>
  <c r="CT210" i="13" s="1"/>
  <c r="CS210" i="13" s="1"/>
  <c r="DU210" i="13"/>
  <c r="DT210" i="13" s="1"/>
  <c r="CR210" i="13"/>
  <c r="CQ210" i="13" s="1"/>
  <c r="NL24" i="13"/>
  <c r="AS24" i="13"/>
  <c r="AR24" i="13" s="1"/>
  <c r="AQ24" i="13" s="1"/>
  <c r="AP24" i="13" s="1"/>
  <c r="AO24" i="13" s="1"/>
  <c r="AL24" i="13" s="1"/>
  <c r="BH24" i="13"/>
  <c r="BG24" i="13" s="1"/>
  <c r="BF24" i="13" s="1"/>
  <c r="BE24" i="13" s="1"/>
  <c r="BD24" i="13" s="1"/>
  <c r="GP112" i="13"/>
  <c r="NH205" i="13"/>
  <c r="NG205" i="13"/>
  <c r="KH205" i="13" s="1"/>
  <c r="KJ205" i="13" s="1"/>
  <c r="KK205" i="13" s="1"/>
  <c r="NF205" i="13"/>
  <c r="JL205" i="13"/>
  <c r="JN205" i="13" s="1"/>
  <c r="JI180" i="13"/>
  <c r="JJ180" i="13"/>
  <c r="NM78" i="13"/>
  <c r="IA78" i="13"/>
  <c r="NN78" i="13" s="1"/>
  <c r="NT78" i="13"/>
  <c r="CE32" i="13"/>
  <c r="CD32" i="13" s="1"/>
  <c r="GF107" i="13"/>
  <c r="GO107" i="13"/>
  <c r="MW70" i="13"/>
  <c r="GV70" i="13"/>
  <c r="GX70" i="13" s="1"/>
  <c r="GY70" i="13" s="1"/>
  <c r="NI112" i="13"/>
  <c r="KL112" i="13"/>
  <c r="KN112" i="13" s="1"/>
  <c r="KO112" i="13" s="1"/>
  <c r="AV28" i="13"/>
  <c r="AU28" i="13" s="1"/>
  <c r="AT28" i="13" s="1"/>
  <c r="JO113" i="13"/>
  <c r="KG113" i="13" s="1"/>
  <c r="KF113" i="13"/>
  <c r="NH78" i="13"/>
  <c r="NG78" i="13"/>
  <c r="KH78" i="13" s="1"/>
  <c r="KJ78" i="13" s="1"/>
  <c r="KK78" i="13" s="1"/>
  <c r="NF78" i="13"/>
  <c r="JL78" i="13"/>
  <c r="JN78" i="13" s="1"/>
  <c r="LN54" i="13"/>
  <c r="LF54" i="13"/>
  <c r="LH54" i="13" s="1"/>
  <c r="KP54" i="13"/>
  <c r="KR54" i="13" s="1"/>
  <c r="KS54" i="13" s="1"/>
  <c r="KX54" i="13"/>
  <c r="KZ54" i="13" s="1"/>
  <c r="LA54" i="13" s="1"/>
  <c r="HL27" i="13"/>
  <c r="HN27" i="13" s="1"/>
  <c r="HO27" i="13" s="1"/>
  <c r="HT27" i="13"/>
  <c r="HV27" i="13" s="1"/>
  <c r="HW27" i="13" s="1"/>
  <c r="HD27" i="13"/>
  <c r="HF27" i="13" s="1"/>
  <c r="HG27" i="13" s="1"/>
  <c r="IB27" i="13"/>
  <c r="ID27" i="13" s="1"/>
  <c r="IE27" i="13" s="1"/>
  <c r="E119" i="13"/>
  <c r="HP119" i="13"/>
  <c r="HR119" i="13" s="1"/>
  <c r="HX119" i="13"/>
  <c r="HZ119" i="13" s="1"/>
  <c r="GZ119" i="13"/>
  <c r="HB119" i="13" s="1"/>
  <c r="HC119" i="13" s="1"/>
  <c r="HH119" i="13"/>
  <c r="HJ119" i="13" s="1"/>
  <c r="HK119" i="13" s="1"/>
  <c r="NG90" i="13"/>
  <c r="KH90" i="13" s="1"/>
  <c r="KJ90" i="13" s="1"/>
  <c r="KK90" i="13" s="1"/>
  <c r="NF90" i="13"/>
  <c r="NH90" i="13"/>
  <c r="JL90" i="13"/>
  <c r="JN90" i="13" s="1"/>
  <c r="E144" i="13"/>
  <c r="GZ144" i="13"/>
  <c r="HB144" i="13" s="1"/>
  <c r="HC144" i="13" s="1"/>
  <c r="HH144" i="13"/>
  <c r="HJ144" i="13" s="1"/>
  <c r="HK144" i="13" s="1"/>
  <c r="HP144" i="13"/>
  <c r="HR144" i="13" s="1"/>
  <c r="HX144" i="13"/>
  <c r="HZ144" i="13" s="1"/>
  <c r="NH208" i="13"/>
  <c r="NG208" i="13"/>
  <c r="KH208" i="13" s="1"/>
  <c r="KJ208" i="13" s="1"/>
  <c r="KK208" i="13" s="1"/>
  <c r="NF208" i="13"/>
  <c r="JL208" i="13"/>
  <c r="JN208" i="13" s="1"/>
  <c r="BU110" i="13"/>
  <c r="BT110" i="13" s="1"/>
  <c r="AX110" i="13"/>
  <c r="AW110" i="13" s="1"/>
  <c r="JK212" i="13"/>
  <c r="E186" i="13"/>
  <c r="HX186" i="13"/>
  <c r="HZ186" i="13" s="1"/>
  <c r="HP186" i="13"/>
  <c r="HR186" i="13" s="1"/>
  <c r="GZ186" i="13"/>
  <c r="HB186" i="13" s="1"/>
  <c r="HC186" i="13" s="1"/>
  <c r="HH186" i="13"/>
  <c r="HJ186" i="13" s="1"/>
  <c r="HK186" i="13" s="1"/>
  <c r="NH153" i="13"/>
  <c r="NG153" i="13"/>
  <c r="KH153" i="13" s="1"/>
  <c r="KJ153" i="13" s="1"/>
  <c r="KK153" i="13" s="1"/>
  <c r="NF153" i="13"/>
  <c r="JL153" i="13"/>
  <c r="JN153" i="13" s="1"/>
  <c r="NI59" i="13"/>
  <c r="KL59" i="13"/>
  <c r="KN59" i="13" s="1"/>
  <c r="KO59" i="13" s="1"/>
  <c r="JJ166" i="13"/>
  <c r="JI166" i="13"/>
  <c r="JK164" i="13"/>
  <c r="LN80" i="13"/>
  <c r="KX80" i="13"/>
  <c r="KZ80" i="13" s="1"/>
  <c r="LA80" i="13" s="1"/>
  <c r="LF80" i="13"/>
  <c r="LH80" i="13" s="1"/>
  <c r="KP80" i="13"/>
  <c r="KR80" i="13" s="1"/>
  <c r="KS80" i="13" s="1"/>
  <c r="HT159" i="13"/>
  <c r="HV159" i="13" s="1"/>
  <c r="HW159" i="13" s="1"/>
  <c r="IB159" i="13"/>
  <c r="ID159" i="13" s="1"/>
  <c r="IE159" i="13" s="1"/>
  <c r="HD159" i="13"/>
  <c r="HF159" i="13" s="1"/>
  <c r="HG159" i="13" s="1"/>
  <c r="HL159" i="13"/>
  <c r="HN159" i="13" s="1"/>
  <c r="HO159" i="13" s="1"/>
  <c r="LF105" i="13"/>
  <c r="LH105" i="13" s="1"/>
  <c r="KP105" i="13"/>
  <c r="KR105" i="13" s="1"/>
  <c r="KS105" i="13" s="1"/>
  <c r="LN105" i="13"/>
  <c r="KX105" i="13"/>
  <c r="KZ105" i="13" s="1"/>
  <c r="LA105" i="13" s="1"/>
  <c r="JO148" i="13"/>
  <c r="KG148" i="13" s="1"/>
  <c r="KF148" i="13"/>
  <c r="LI152" i="13"/>
  <c r="NP152" i="13" s="1"/>
  <c r="NO152" i="13"/>
  <c r="NU152" i="13"/>
  <c r="GP90" i="13"/>
  <c r="NN90" i="13"/>
  <c r="NL90" i="13"/>
  <c r="JK42" i="13"/>
  <c r="NI195" i="13"/>
  <c r="KL195" i="13"/>
  <c r="KN195" i="13" s="1"/>
  <c r="KO195" i="13" s="1"/>
  <c r="GP143" i="13"/>
  <c r="NL143" i="13"/>
  <c r="NH29" i="13"/>
  <c r="NG29" i="13"/>
  <c r="KH29" i="13" s="1"/>
  <c r="KJ29" i="13" s="1"/>
  <c r="KK29" i="13" s="1"/>
  <c r="NF29" i="13"/>
  <c r="E199" i="13"/>
  <c r="HX199" i="13"/>
  <c r="HZ199" i="13" s="1"/>
  <c r="HH199" i="13"/>
  <c r="HJ199" i="13" s="1"/>
  <c r="HK199" i="13" s="1"/>
  <c r="HP199" i="13"/>
  <c r="HR199" i="13" s="1"/>
  <c r="GZ199" i="13"/>
  <c r="HB199" i="13" s="1"/>
  <c r="HC199" i="13" s="1"/>
  <c r="JK84" i="13"/>
  <c r="MW177" i="13"/>
  <c r="GV177" i="13"/>
  <c r="GX177" i="13" s="1"/>
  <c r="GY177" i="13" s="1"/>
  <c r="GF55" i="13"/>
  <c r="GO55" i="13"/>
  <c r="NS16" i="13"/>
  <c r="HS16" i="13"/>
  <c r="NL16" i="13" s="1"/>
  <c r="NK16" i="13"/>
  <c r="NY16" i="13"/>
  <c r="NS116" i="13"/>
  <c r="HS116" i="13"/>
  <c r="NL116" i="13" s="1"/>
  <c r="NK116" i="13"/>
  <c r="NY116" i="13"/>
  <c r="BH76" i="13"/>
  <c r="BG76" i="13" s="1"/>
  <c r="BF76" i="13" s="1"/>
  <c r="BE76" i="13" s="1"/>
  <c r="BD76" i="13" s="1"/>
  <c r="NI131" i="13"/>
  <c r="KL131" i="13"/>
  <c r="KN131" i="13" s="1"/>
  <c r="KO131" i="13" s="1"/>
  <c r="LF60" i="13"/>
  <c r="LH60" i="13" s="1"/>
  <c r="KP60" i="13"/>
  <c r="KR60" i="13" s="1"/>
  <c r="KS60" i="13" s="1"/>
  <c r="LN60" i="13"/>
  <c r="KX60" i="13"/>
  <c r="KZ60" i="13" s="1"/>
  <c r="LA60" i="13" s="1"/>
  <c r="NI21" i="13"/>
  <c r="KL21" i="13"/>
  <c r="KN21" i="13" s="1"/>
  <c r="KO21" i="13" s="1"/>
  <c r="NH17" i="13"/>
  <c r="NG17" i="13"/>
  <c r="KH17" i="13" s="1"/>
  <c r="KJ17" i="13" s="1"/>
  <c r="KK17" i="13" s="1"/>
  <c r="NF17" i="13"/>
  <c r="NS67" i="13"/>
  <c r="NK67" i="13"/>
  <c r="NY67" i="13"/>
  <c r="HS67" i="13"/>
  <c r="NM170" i="13"/>
  <c r="IA170" i="13"/>
  <c r="NN170" i="13" s="1"/>
  <c r="NT170" i="13"/>
  <c r="JJ96" i="13"/>
  <c r="JI96" i="13"/>
  <c r="NM183" i="13"/>
  <c r="NT183" i="13"/>
  <c r="IA183" i="13"/>
  <c r="NT92" i="13"/>
  <c r="NM92" i="13"/>
  <c r="IA92" i="13"/>
  <c r="JJ117" i="13"/>
  <c r="JI117" i="13"/>
  <c r="NH129" i="13"/>
  <c r="NG129" i="13"/>
  <c r="KH129" i="13" s="1"/>
  <c r="KJ129" i="13" s="1"/>
  <c r="KK129" i="13" s="1"/>
  <c r="NF129" i="13"/>
  <c r="JL129" i="13"/>
  <c r="JN129" i="13" s="1"/>
  <c r="JK176" i="13"/>
  <c r="JK72" i="13"/>
  <c r="NK169" i="13"/>
  <c r="NY169" i="13"/>
  <c r="NS169" i="13"/>
  <c r="HS169" i="13"/>
  <c r="NL169" i="13" s="1"/>
  <c r="CE207" i="13"/>
  <c r="CD207" i="13" s="1"/>
  <c r="JK89" i="13"/>
  <c r="HT187" i="13"/>
  <c r="HV187" i="13" s="1"/>
  <c r="HW187" i="13" s="1"/>
  <c r="HL187" i="13"/>
  <c r="HN187" i="13" s="1"/>
  <c r="HO187" i="13" s="1"/>
  <c r="HD187" i="13"/>
  <c r="HF187" i="13" s="1"/>
  <c r="HG187" i="13" s="1"/>
  <c r="IB187" i="13"/>
  <c r="ID187" i="13" s="1"/>
  <c r="IE187" i="13" s="1"/>
  <c r="JJ205" i="13"/>
  <c r="JI205" i="13"/>
  <c r="JK112" i="13"/>
  <c r="NS86" i="13"/>
  <c r="HS86" i="13"/>
  <c r="NL86" i="13" s="1"/>
  <c r="NK86" i="13"/>
  <c r="NY86" i="13"/>
  <c r="JK173" i="13"/>
  <c r="MW107" i="13"/>
  <c r="GV107" i="13"/>
  <c r="GX107" i="13" s="1"/>
  <c r="GY107" i="13" s="1"/>
  <c r="E181" i="13"/>
  <c r="HP181" i="13"/>
  <c r="HR181" i="13" s="1"/>
  <c r="HX181" i="13"/>
  <c r="HZ181" i="13" s="1"/>
  <c r="HH181" i="13"/>
  <c r="HJ181" i="13" s="1"/>
  <c r="HK181" i="13" s="1"/>
  <c r="GZ181" i="13"/>
  <c r="HB181" i="13" s="1"/>
  <c r="HC181" i="13" s="1"/>
  <c r="IB169" i="13"/>
  <c r="ID169" i="13" s="1"/>
  <c r="IE169" i="13" s="1"/>
  <c r="HD169" i="13"/>
  <c r="HF169" i="13" s="1"/>
  <c r="HG169" i="13" s="1"/>
  <c r="HL169" i="13"/>
  <c r="HN169" i="13" s="1"/>
  <c r="HO169" i="13" s="1"/>
  <c r="HT169" i="13"/>
  <c r="HV169" i="13" s="1"/>
  <c r="HW169" i="13" s="1"/>
  <c r="NH82" i="13"/>
  <c r="NG82" i="13"/>
  <c r="KH82" i="13" s="1"/>
  <c r="KJ82" i="13" s="1"/>
  <c r="KK82" i="13" s="1"/>
  <c r="NF82" i="13"/>
  <c r="JL82" i="13"/>
  <c r="JN82" i="13" s="1"/>
  <c r="NX157" i="13"/>
  <c r="NW157" i="13"/>
  <c r="NI113" i="13"/>
  <c r="KL113" i="13"/>
  <c r="KN113" i="13" s="1"/>
  <c r="KO113" i="13" s="1"/>
  <c r="JK41" i="13"/>
  <c r="JJ78" i="13"/>
  <c r="JI78" i="13"/>
  <c r="HS56" i="13"/>
  <c r="NK56" i="13"/>
  <c r="NY56" i="13"/>
  <c r="NS56" i="13"/>
  <c r="BU166" i="13"/>
  <c r="BT166" i="13" s="1"/>
  <c r="CE166" i="13"/>
  <c r="CD166" i="13" s="1"/>
  <c r="CC166" i="13" s="1"/>
  <c r="CB166" i="13" s="1"/>
  <c r="CA166" i="13" s="1"/>
  <c r="AX166" i="13"/>
  <c r="AW166" i="13" s="1"/>
  <c r="NM20" i="13"/>
  <c r="IA20" i="13"/>
  <c r="NN20" i="13" s="1"/>
  <c r="NT20" i="13"/>
  <c r="HL122" i="13"/>
  <c r="HN122" i="13" s="1"/>
  <c r="HO122" i="13" s="1"/>
  <c r="IB122" i="13"/>
  <c r="ID122" i="13" s="1"/>
  <c r="IE122" i="13" s="1"/>
  <c r="HD122" i="13"/>
  <c r="HF122" i="13" s="1"/>
  <c r="HG122" i="13" s="1"/>
  <c r="HT122" i="13"/>
  <c r="HV122" i="13" s="1"/>
  <c r="HW122" i="13" s="1"/>
  <c r="NH41" i="13"/>
  <c r="NG41" i="13"/>
  <c r="KH41" i="13" s="1"/>
  <c r="KJ41" i="13" s="1"/>
  <c r="KK41" i="13" s="1"/>
  <c r="NF41" i="13"/>
  <c r="JL41" i="13"/>
  <c r="JN41" i="13" s="1"/>
  <c r="ND184" i="13"/>
  <c r="NE184" i="13" s="1"/>
  <c r="GF121" i="13"/>
  <c r="GO121" i="13"/>
  <c r="JJ208" i="13"/>
  <c r="JI208" i="13"/>
  <c r="E45" i="13"/>
  <c r="HP45" i="13"/>
  <c r="HR45" i="13" s="1"/>
  <c r="HX45" i="13"/>
  <c r="HZ45" i="13" s="1"/>
  <c r="HH45" i="13"/>
  <c r="HJ45" i="13" s="1"/>
  <c r="HK45" i="13" s="1"/>
  <c r="GZ45" i="13"/>
  <c r="HB45" i="13" s="1"/>
  <c r="HC45" i="13" s="1"/>
  <c r="BU29" i="13"/>
  <c r="BT29" i="13" s="1"/>
  <c r="AX29" i="13"/>
  <c r="AW29" i="13" s="1"/>
  <c r="AS29" i="13"/>
  <c r="AR29" i="13" s="1"/>
  <c r="AQ29" i="13" s="1"/>
  <c r="AP29" i="13" s="1"/>
  <c r="AO29" i="13" s="1"/>
  <c r="AL29" i="13" s="1"/>
  <c r="BZ29" i="13"/>
  <c r="BY29" i="13" s="1"/>
  <c r="HD20" i="13"/>
  <c r="HF20" i="13" s="1"/>
  <c r="HG20" i="13" s="1"/>
  <c r="IB20" i="13"/>
  <c r="ID20" i="13" s="1"/>
  <c r="IE20" i="13" s="1"/>
  <c r="BZ20" i="13" s="1"/>
  <c r="BY20" i="13" s="1"/>
  <c r="HL20" i="13"/>
  <c r="HN20" i="13" s="1"/>
  <c r="HO20" i="13" s="1"/>
  <c r="BH20" i="13" s="1"/>
  <c r="BG20" i="13" s="1"/>
  <c r="BF20" i="13" s="1"/>
  <c r="BE20" i="13" s="1"/>
  <c r="BD20" i="13" s="1"/>
  <c r="HT20" i="13"/>
  <c r="HV20" i="13" s="1"/>
  <c r="HW20" i="13" s="1"/>
  <c r="IB188" i="13"/>
  <c r="ID188" i="13" s="1"/>
  <c r="IE188" i="13" s="1"/>
  <c r="BZ188" i="13" s="1"/>
  <c r="BY188" i="13" s="1"/>
  <c r="BX188" i="13" s="1"/>
  <c r="BW188" i="13" s="1"/>
  <c r="HD188" i="13"/>
  <c r="HF188" i="13" s="1"/>
  <c r="HG188" i="13" s="1"/>
  <c r="HL188" i="13"/>
  <c r="HN188" i="13" s="1"/>
  <c r="HO188" i="13" s="1"/>
  <c r="CE188" i="13" s="1"/>
  <c r="CD188" i="13" s="1"/>
  <c r="HT188" i="13"/>
  <c r="HV188" i="13" s="1"/>
  <c r="HW188" i="13" s="1"/>
  <c r="BC188" i="13" s="1"/>
  <c r="BB188" i="13" s="1"/>
  <c r="MW186" i="13"/>
  <c r="GV186" i="13"/>
  <c r="GX186" i="13" s="1"/>
  <c r="GY186" i="13" s="1"/>
  <c r="NX93" i="13"/>
  <c r="NW93" i="13"/>
  <c r="JO73" i="13"/>
  <c r="KG73" i="13" s="1"/>
  <c r="KF73" i="13"/>
  <c r="HS202" i="13"/>
  <c r="NS202" i="13"/>
  <c r="NK202" i="13"/>
  <c r="NY202" i="13"/>
  <c r="LB19" i="13"/>
  <c r="LD19" i="13" s="1"/>
  <c r="LE19" i="13" s="1"/>
  <c r="DZ19" i="13" s="1"/>
  <c r="DY19" i="13" s="1"/>
  <c r="DX19" i="13" s="1"/>
  <c r="DW19" i="13" s="1"/>
  <c r="DV19" i="13" s="1"/>
  <c r="KT19" i="13"/>
  <c r="KV19" i="13" s="1"/>
  <c r="KW19" i="13" s="1"/>
  <c r="DB19" i="13" s="1"/>
  <c r="DA19" i="13" s="1"/>
  <c r="CZ19" i="13" s="1"/>
  <c r="CY19" i="13" s="1"/>
  <c r="CX19" i="13" s="1"/>
  <c r="LJ19" i="13"/>
  <c r="LL19" i="13" s="1"/>
  <c r="LM19" i="13" s="1"/>
  <c r="CW19" i="13" s="1"/>
  <c r="CV19" i="13" s="1"/>
  <c r="CU19" i="13" s="1"/>
  <c r="CT19" i="13" s="1"/>
  <c r="CS19" i="13" s="1"/>
  <c r="LR19" i="13"/>
  <c r="LT19" i="13" s="1"/>
  <c r="LU19" i="13" s="1"/>
  <c r="DU19" i="13" s="1"/>
  <c r="DT19" i="13" s="1"/>
  <c r="DS19" i="13" s="1"/>
  <c r="DR19" i="13" s="1"/>
  <c r="DQ19" i="13" s="1"/>
  <c r="IA135" i="13"/>
  <c r="NN135" i="13" s="1"/>
  <c r="NM135" i="13"/>
  <c r="NT135" i="13"/>
  <c r="HD214" i="13"/>
  <c r="HF214" i="13" s="1"/>
  <c r="HG214" i="13" s="1"/>
  <c r="IB214" i="13"/>
  <c r="ID214" i="13" s="1"/>
  <c r="IE214" i="13" s="1"/>
  <c r="HT214" i="13"/>
  <c r="HV214" i="13" s="1"/>
  <c r="HW214" i="13" s="1"/>
  <c r="HL214" i="13"/>
  <c r="HN214" i="13" s="1"/>
  <c r="HO214" i="13" s="1"/>
  <c r="JO175" i="13"/>
  <c r="KG175" i="13" s="1"/>
  <c r="KF175" i="13"/>
  <c r="NK94" i="13"/>
  <c r="NY94" i="13"/>
  <c r="NS94" i="13"/>
  <c r="HS94" i="13"/>
  <c r="NL94" i="13" s="1"/>
  <c r="JK73" i="13"/>
  <c r="NK166" i="13"/>
  <c r="NY166" i="13"/>
  <c r="NS166" i="13"/>
  <c r="HS166" i="13"/>
  <c r="NL166" i="13" s="1"/>
  <c r="LN85" i="13"/>
  <c r="KX85" i="13"/>
  <c r="KZ85" i="13" s="1"/>
  <c r="LA85" i="13" s="1"/>
  <c r="LF85" i="13"/>
  <c r="LH85" i="13" s="1"/>
  <c r="KP85" i="13"/>
  <c r="KR85" i="13" s="1"/>
  <c r="KS85" i="13" s="1"/>
  <c r="HT90" i="13"/>
  <c r="HV90" i="13" s="1"/>
  <c r="HW90" i="13" s="1"/>
  <c r="HL90" i="13"/>
  <c r="HN90" i="13" s="1"/>
  <c r="HO90" i="13" s="1"/>
  <c r="IB90" i="13"/>
  <c r="ID90" i="13" s="1"/>
  <c r="IE90" i="13" s="1"/>
  <c r="HD90" i="13"/>
  <c r="HF90" i="13" s="1"/>
  <c r="HG90" i="13" s="1"/>
  <c r="NX172" i="13"/>
  <c r="NW172" i="13"/>
  <c r="JO36" i="13"/>
  <c r="KF36" i="13"/>
  <c r="NI105" i="13"/>
  <c r="KL105" i="13"/>
  <c r="KN105" i="13" s="1"/>
  <c r="KO105" i="13" s="1"/>
  <c r="NI148" i="13"/>
  <c r="KL148" i="13"/>
  <c r="KN148" i="13" s="1"/>
  <c r="KO148" i="13" s="1"/>
  <c r="IA190" i="13"/>
  <c r="NN190" i="13" s="1"/>
  <c r="NT190" i="13"/>
  <c r="NM190" i="13"/>
  <c r="GF127" i="13"/>
  <c r="GO127" i="13"/>
  <c r="IB166" i="13"/>
  <c r="ID166" i="13" s="1"/>
  <c r="IE166" i="13" s="1"/>
  <c r="BZ166" i="13" s="1"/>
  <c r="BY166" i="13" s="1"/>
  <c r="HT166" i="13"/>
  <c r="HV166" i="13" s="1"/>
  <c r="HW166" i="13" s="1"/>
  <c r="BC166" i="13" s="1"/>
  <c r="BB166" i="13" s="1"/>
  <c r="BA166" i="13" s="1"/>
  <c r="AZ166" i="13" s="1"/>
  <c r="AY166" i="13" s="1"/>
  <c r="HL166" i="13"/>
  <c r="HN166" i="13" s="1"/>
  <c r="HO166" i="13" s="1"/>
  <c r="BH166" i="13" s="1"/>
  <c r="BG166" i="13" s="1"/>
  <c r="BF166" i="13" s="1"/>
  <c r="BE166" i="13" s="1"/>
  <c r="BD166" i="13" s="1"/>
  <c r="HD166" i="13"/>
  <c r="HF166" i="13" s="1"/>
  <c r="HG166" i="13" s="1"/>
  <c r="JO50" i="13"/>
  <c r="KG50" i="13" s="1"/>
  <c r="KF50" i="13"/>
  <c r="NX74" i="13"/>
  <c r="NW74" i="13"/>
  <c r="NH161" i="13"/>
  <c r="NG161" i="13"/>
  <c r="KH161" i="13" s="1"/>
  <c r="KJ161" i="13" s="1"/>
  <c r="KK161" i="13" s="1"/>
  <c r="NF161" i="13"/>
  <c r="JL161" i="13"/>
  <c r="JN161" i="13" s="1"/>
  <c r="KP195" i="13"/>
  <c r="KR195" i="13" s="1"/>
  <c r="KS195" i="13" s="1"/>
  <c r="LF195" i="13"/>
  <c r="LH195" i="13" s="1"/>
  <c r="KX195" i="13"/>
  <c r="KZ195" i="13" s="1"/>
  <c r="LA195" i="13" s="1"/>
  <c r="LN195" i="13"/>
  <c r="AS59" i="13"/>
  <c r="AR59" i="13" s="1"/>
  <c r="AQ59" i="13" s="1"/>
  <c r="AP59" i="13" s="1"/>
  <c r="AO59" i="13" s="1"/>
  <c r="AL59" i="13" s="1"/>
  <c r="BP59" i="13"/>
  <c r="BO59" i="13" s="1"/>
  <c r="BN59" i="13" s="1"/>
  <c r="BM59" i="13" s="1"/>
  <c r="BL59" i="13" s="1"/>
  <c r="AX59" i="13"/>
  <c r="AW59" i="13" s="1"/>
  <c r="AV59" i="13" s="1"/>
  <c r="AU59" i="13" s="1"/>
  <c r="AT59" i="13" s="1"/>
  <c r="CE59" i="13"/>
  <c r="CD59" i="13" s="1"/>
  <c r="BH59" i="13"/>
  <c r="BG59" i="13" s="1"/>
  <c r="BF59" i="13" s="1"/>
  <c r="BE59" i="13" s="1"/>
  <c r="BD59" i="13" s="1"/>
  <c r="BZ59" i="13"/>
  <c r="BY59" i="13" s="1"/>
  <c r="BC59" i="13"/>
  <c r="BB59" i="13" s="1"/>
  <c r="BA59" i="13" s="1"/>
  <c r="AZ59" i="13" s="1"/>
  <c r="AY59" i="13" s="1"/>
  <c r="BU59" i="13"/>
  <c r="BT59" i="13" s="1"/>
  <c r="BS59" i="13" s="1"/>
  <c r="BR59" i="13" s="1"/>
  <c r="BQ59" i="13" s="1"/>
  <c r="GP91" i="13"/>
  <c r="NH77" i="13"/>
  <c r="NG77" i="13"/>
  <c r="KH77" i="13" s="1"/>
  <c r="KJ77" i="13" s="1"/>
  <c r="KK77" i="13" s="1"/>
  <c r="NF77" i="13"/>
  <c r="JL77" i="13"/>
  <c r="JN77" i="13" s="1"/>
  <c r="JK66" i="13"/>
  <c r="NM77" i="13"/>
  <c r="IA77" i="13"/>
  <c r="NN77" i="13" s="1"/>
  <c r="NT77" i="13"/>
  <c r="GP75" i="13"/>
  <c r="NX19" i="13"/>
  <c r="NW19" i="13"/>
  <c r="MW55" i="13"/>
  <c r="GV55" i="13"/>
  <c r="GX55" i="13" s="1"/>
  <c r="GY55" i="13" s="1"/>
  <c r="GP133" i="13"/>
  <c r="NX153" i="13"/>
  <c r="NW153" i="13"/>
  <c r="JO76" i="13"/>
  <c r="KG76" i="13" s="1"/>
  <c r="KF76" i="13"/>
  <c r="AS76" i="13"/>
  <c r="AR76" i="13" s="1"/>
  <c r="AQ76" i="13" s="1"/>
  <c r="AP76" i="13" s="1"/>
  <c r="AO76" i="13" s="1"/>
  <c r="AL76" i="13" s="1"/>
  <c r="IA211" i="13"/>
  <c r="NT211" i="13"/>
  <c r="NM211" i="13"/>
  <c r="JO165" i="13"/>
  <c r="KG165" i="13" s="1"/>
  <c r="KF165" i="13"/>
  <c r="JO189" i="13"/>
  <c r="KG189" i="13" s="1"/>
  <c r="KF189" i="13"/>
  <c r="IB112" i="13"/>
  <c r="ID112" i="13" s="1"/>
  <c r="IE112" i="13" s="1"/>
  <c r="HL112" i="13"/>
  <c r="HN112" i="13" s="1"/>
  <c r="HO112" i="13" s="1"/>
  <c r="HD112" i="13"/>
  <c r="HF112" i="13" s="1"/>
  <c r="HG112" i="13" s="1"/>
  <c r="HT112" i="13"/>
  <c r="HV112" i="13" s="1"/>
  <c r="HW112" i="13" s="1"/>
  <c r="JJ86" i="13"/>
  <c r="JI86" i="13"/>
  <c r="HL147" i="13"/>
  <c r="HN147" i="13" s="1"/>
  <c r="HO147" i="13" s="1"/>
  <c r="HT147" i="13"/>
  <c r="HV147" i="13" s="1"/>
  <c r="HW147" i="13" s="1"/>
  <c r="BC147" i="13" s="1"/>
  <c r="BB147" i="13" s="1"/>
  <c r="IB147" i="13"/>
  <c r="ID147" i="13" s="1"/>
  <c r="IE147" i="13" s="1"/>
  <c r="BZ147" i="13" s="1"/>
  <c r="BY147" i="13" s="1"/>
  <c r="HD147" i="13"/>
  <c r="HF147" i="13" s="1"/>
  <c r="HG147" i="13" s="1"/>
  <c r="AX209" i="13"/>
  <c r="AW209" i="13" s="1"/>
  <c r="AV209" i="13" s="1"/>
  <c r="AU209" i="13" s="1"/>
  <c r="AT209" i="13" s="1"/>
  <c r="BP209" i="13"/>
  <c r="BO209" i="13" s="1"/>
  <c r="BN209" i="13" s="1"/>
  <c r="BM209" i="13" s="1"/>
  <c r="BL209" i="13" s="1"/>
  <c r="AS209" i="13"/>
  <c r="AR209" i="13" s="1"/>
  <c r="AQ209" i="13" s="1"/>
  <c r="AP209" i="13" s="1"/>
  <c r="AO209" i="13" s="1"/>
  <c r="AL209" i="13" s="1"/>
  <c r="BU209" i="13"/>
  <c r="BT209" i="13" s="1"/>
  <c r="BS209" i="13" s="1"/>
  <c r="BR209" i="13" s="1"/>
  <c r="BQ209" i="13" s="1"/>
  <c r="JO115" i="13"/>
  <c r="KG115" i="13" s="1"/>
  <c r="KF115" i="13"/>
  <c r="HL179" i="13"/>
  <c r="HN179" i="13" s="1"/>
  <c r="HO179" i="13" s="1"/>
  <c r="HD179" i="13"/>
  <c r="HF179" i="13" s="1"/>
  <c r="HG179" i="13" s="1"/>
  <c r="IB179" i="13"/>
  <c r="ID179" i="13" s="1"/>
  <c r="IE179" i="13" s="1"/>
  <c r="HT179" i="13"/>
  <c r="HV179" i="13" s="1"/>
  <c r="HW179" i="13" s="1"/>
  <c r="JK57" i="13"/>
  <c r="GF47" i="13"/>
  <c r="GO47" i="13"/>
  <c r="NX64" i="13"/>
  <c r="NW64" i="13"/>
  <c r="GF117" i="13"/>
  <c r="GO117" i="13"/>
  <c r="ND117" i="13"/>
  <c r="NE117" i="13" s="1"/>
  <c r="GP179" i="13"/>
  <c r="NL179" i="13"/>
  <c r="NX162" i="13"/>
  <c r="NW162" i="13"/>
  <c r="CE68" i="13"/>
  <c r="CD68" i="13" s="1"/>
  <c r="BH68" i="13"/>
  <c r="BG68" i="13" s="1"/>
  <c r="BZ68" i="13"/>
  <c r="BY68" i="13" s="1"/>
  <c r="BU68" i="13"/>
  <c r="BT68" i="13" s="1"/>
  <c r="AX68" i="13"/>
  <c r="AW68" i="13" s="1"/>
  <c r="BA24" i="13"/>
  <c r="AZ24" i="13" s="1"/>
  <c r="AY24" i="13" s="1"/>
  <c r="BP31" i="13"/>
  <c r="BO31" i="13" s="1"/>
  <c r="BN31" i="13" s="1"/>
  <c r="BM31" i="13" s="1"/>
  <c r="BL31" i="13" s="1"/>
  <c r="NN31" i="13"/>
  <c r="NM169" i="13"/>
  <c r="IA169" i="13"/>
  <c r="NN169" i="13" s="1"/>
  <c r="NT169" i="13"/>
  <c r="NN86" i="13"/>
  <c r="JK192" i="13"/>
  <c r="JO91" i="13"/>
  <c r="KG91" i="13" s="1"/>
  <c r="KF91" i="13"/>
  <c r="NK78" i="13"/>
  <c r="NY78" i="13"/>
  <c r="NS78" i="13"/>
  <c r="HS78" i="13"/>
  <c r="NL78" i="13" s="1"/>
  <c r="GF46" i="13"/>
  <c r="GO46" i="13"/>
  <c r="NX155" i="13"/>
  <c r="NW155" i="13"/>
  <c r="CE49" i="13"/>
  <c r="CD49" i="13" s="1"/>
  <c r="AS49" i="13"/>
  <c r="AR49" i="13" s="1"/>
  <c r="AQ49" i="13" s="1"/>
  <c r="AP49" i="13" s="1"/>
  <c r="AO49" i="13" s="1"/>
  <c r="AL49" i="13" s="1"/>
  <c r="BH49" i="13"/>
  <c r="BG49" i="13" s="1"/>
  <c r="BF49" i="13" s="1"/>
  <c r="BE49" i="13" s="1"/>
  <c r="BD49" i="13" s="1"/>
  <c r="BZ49" i="13"/>
  <c r="BY49" i="13" s="1"/>
  <c r="BC49" i="13"/>
  <c r="BB49" i="13" s="1"/>
  <c r="BA49" i="13" s="1"/>
  <c r="AZ49" i="13" s="1"/>
  <c r="AY49" i="13" s="1"/>
  <c r="BP49" i="13"/>
  <c r="BO49" i="13" s="1"/>
  <c r="BN49" i="13" s="1"/>
  <c r="BM49" i="13" s="1"/>
  <c r="BL49" i="13" s="1"/>
  <c r="AX49" i="13"/>
  <c r="AW49" i="13" s="1"/>
  <c r="AV49" i="13" s="1"/>
  <c r="AU49" i="13" s="1"/>
  <c r="AT49" i="13" s="1"/>
  <c r="BU49" i="13"/>
  <c r="BT49" i="13" s="1"/>
  <c r="BS49" i="13" s="1"/>
  <c r="BR49" i="13" s="1"/>
  <c r="BQ49" i="13" s="1"/>
  <c r="E70" i="13"/>
  <c r="HX70" i="13"/>
  <c r="HZ70" i="13" s="1"/>
  <c r="GZ70" i="13"/>
  <c r="HB70" i="13" s="1"/>
  <c r="HC70" i="13" s="1"/>
  <c r="HP70" i="13"/>
  <c r="HR70" i="13" s="1"/>
  <c r="HH70" i="13"/>
  <c r="HJ70" i="13" s="1"/>
  <c r="HK70" i="13" s="1"/>
  <c r="KX112" i="13"/>
  <c r="KZ112" i="13" s="1"/>
  <c r="LA112" i="13" s="1"/>
  <c r="KP112" i="13"/>
  <c r="KR112" i="13" s="1"/>
  <c r="KS112" i="13" s="1"/>
  <c r="LN112" i="13"/>
  <c r="LF112" i="13"/>
  <c r="LH112" i="13" s="1"/>
  <c r="NS62" i="13"/>
  <c r="HS62" i="13"/>
  <c r="NK62" i="13"/>
  <c r="NY62" i="13"/>
  <c r="NH14" i="13"/>
  <c r="NG14" i="13"/>
  <c r="KH14" i="13" s="1"/>
  <c r="KJ14" i="13" s="1"/>
  <c r="KK14" i="13" s="1"/>
  <c r="NF14" i="13"/>
  <c r="NL32" i="13"/>
  <c r="AS32" i="13"/>
  <c r="AR32" i="13" s="1"/>
  <c r="AQ32" i="13" s="1"/>
  <c r="AP32" i="13" s="1"/>
  <c r="AO32" i="13" s="1"/>
  <c r="AL32" i="13" s="1"/>
  <c r="JJ184" i="13"/>
  <c r="JI184" i="13"/>
  <c r="GF109" i="13"/>
  <c r="GO109" i="13"/>
  <c r="IB13" i="13"/>
  <c r="ID13" i="13" s="1"/>
  <c r="IE13" i="13" s="1"/>
  <c r="HT13" i="13"/>
  <c r="HV13" i="13" s="1"/>
  <c r="HW13" i="13" s="1"/>
  <c r="HL13" i="13"/>
  <c r="HN13" i="13" s="1"/>
  <c r="HO13" i="13" s="1"/>
  <c r="HD13" i="13"/>
  <c r="HF13" i="13" s="1"/>
  <c r="HG13" i="13" s="1"/>
  <c r="LF59" i="13"/>
  <c r="LH59" i="13" s="1"/>
  <c r="KX59" i="13"/>
  <c r="KZ59" i="13" s="1"/>
  <c r="LA59" i="13" s="1"/>
  <c r="LN59" i="13"/>
  <c r="KP59" i="13"/>
  <c r="KR59" i="13" s="1"/>
  <c r="KS59" i="13" s="1"/>
  <c r="NI73" i="13"/>
  <c r="KL73" i="13"/>
  <c r="KN73" i="13" s="1"/>
  <c r="KO73" i="13" s="1"/>
  <c r="NS135" i="13"/>
  <c r="NK135" i="13"/>
  <c r="NY135" i="13"/>
  <c r="HS135" i="13"/>
  <c r="NL135" i="13" s="1"/>
  <c r="NI175" i="13"/>
  <c r="KL175" i="13"/>
  <c r="KN175" i="13" s="1"/>
  <c r="KO175" i="13" s="1"/>
  <c r="CR152" i="13"/>
  <c r="CQ152" i="13" s="1"/>
  <c r="DP152" i="13"/>
  <c r="DO152" i="13" s="1"/>
  <c r="DU152" i="13"/>
  <c r="DT152" i="13" s="1"/>
  <c r="HL154" i="13"/>
  <c r="HN154" i="13" s="1"/>
  <c r="HO154" i="13" s="1"/>
  <c r="HT154" i="13"/>
  <c r="HV154" i="13" s="1"/>
  <c r="HW154" i="13" s="1"/>
  <c r="HD154" i="13"/>
  <c r="HF154" i="13" s="1"/>
  <c r="HG154" i="13" s="1"/>
  <c r="IB154" i="13"/>
  <c r="ID154" i="13" s="1"/>
  <c r="IE154" i="13" s="1"/>
  <c r="IB124" i="13"/>
  <c r="ID124" i="13" s="1"/>
  <c r="IE124" i="13" s="1"/>
  <c r="HL124" i="13"/>
  <c r="HN124" i="13" s="1"/>
  <c r="HO124" i="13" s="1"/>
  <c r="HD124" i="13"/>
  <c r="HF124" i="13" s="1"/>
  <c r="HG124" i="13" s="1"/>
  <c r="HT124" i="13"/>
  <c r="HV124" i="13" s="1"/>
  <c r="HW124" i="13" s="1"/>
  <c r="NX38" i="13"/>
  <c r="NW38" i="13"/>
  <c r="NX141" i="13"/>
  <c r="NW141" i="13"/>
  <c r="NI36" i="13"/>
  <c r="KL36" i="13"/>
  <c r="KN36" i="13" s="1"/>
  <c r="KO36" i="13" s="1"/>
  <c r="NK190" i="13"/>
  <c r="NY190" i="13"/>
  <c r="HS190" i="13"/>
  <c r="NL190" i="13" s="1"/>
  <c r="NS190" i="13"/>
  <c r="MW127" i="13"/>
  <c r="GV127" i="13"/>
  <c r="GX127" i="13" s="1"/>
  <c r="GY127" i="13" s="1"/>
  <c r="NK156" i="13"/>
  <c r="NY156" i="13"/>
  <c r="NS156" i="13"/>
  <c r="HS156" i="13"/>
  <c r="NL156" i="13" s="1"/>
  <c r="NH93" i="13"/>
  <c r="NG93" i="13"/>
  <c r="KH93" i="13" s="1"/>
  <c r="KJ93" i="13" s="1"/>
  <c r="KK93" i="13" s="1"/>
  <c r="NF93" i="13"/>
  <c r="JL93" i="13"/>
  <c r="JN93" i="13" s="1"/>
  <c r="NI50" i="13"/>
  <c r="KL50" i="13"/>
  <c r="KN50" i="13" s="1"/>
  <c r="KO50" i="13" s="1"/>
  <c r="IA75" i="13"/>
  <c r="NN75" i="13" s="1"/>
  <c r="NT75" i="13"/>
  <c r="NM75" i="13"/>
  <c r="GP197" i="13"/>
  <c r="DX35" i="13"/>
  <c r="DW35" i="13" s="1"/>
  <c r="DV35" i="13" s="1"/>
  <c r="NL96" i="13"/>
  <c r="JJ77" i="13"/>
  <c r="JI77" i="13"/>
  <c r="NK77" i="13"/>
  <c r="NY77" i="13"/>
  <c r="NS77" i="13"/>
  <c r="HS77" i="13"/>
  <c r="AS77" i="13" s="1"/>
  <c r="AR77" i="13" s="1"/>
  <c r="NH122" i="13"/>
  <c r="NG122" i="13"/>
  <c r="KH122" i="13" s="1"/>
  <c r="KJ122" i="13" s="1"/>
  <c r="KK122" i="13" s="1"/>
  <c r="NF122" i="13"/>
  <c r="JL122" i="13"/>
  <c r="JN122" i="13" s="1"/>
  <c r="NW193" i="13"/>
  <c r="NX193" i="13"/>
  <c r="NM41" i="13"/>
  <c r="IA41" i="13"/>
  <c r="NT41" i="13"/>
  <c r="LJ152" i="13"/>
  <c r="LL152" i="13" s="1"/>
  <c r="LM152" i="13" s="1"/>
  <c r="CW152" i="13" s="1"/>
  <c r="CV152" i="13" s="1"/>
  <c r="LB152" i="13"/>
  <c r="LD152" i="13" s="1"/>
  <c r="LE152" i="13" s="1"/>
  <c r="DZ152" i="13" s="1"/>
  <c r="DY152" i="13" s="1"/>
  <c r="LR152" i="13"/>
  <c r="LT152" i="13" s="1"/>
  <c r="LU152" i="13" s="1"/>
  <c r="KT152" i="13"/>
  <c r="KV152" i="13" s="1"/>
  <c r="KW152" i="13" s="1"/>
  <c r="DB152" i="13" s="1"/>
  <c r="DA152" i="13" s="1"/>
  <c r="AS19" i="13"/>
  <c r="AR19" i="13" s="1"/>
  <c r="AQ19" i="13" s="1"/>
  <c r="AP19" i="13" s="1"/>
  <c r="AO19" i="13" s="1"/>
  <c r="AL19" i="13" s="1"/>
  <c r="NL19" i="13"/>
  <c r="JK48" i="13"/>
  <c r="NI76" i="13"/>
  <c r="KL76" i="13"/>
  <c r="KN76" i="13" s="1"/>
  <c r="KO76" i="13" s="1"/>
  <c r="CP19" i="13"/>
  <c r="CO19" i="13" s="1"/>
  <c r="CN19" i="13" s="1"/>
  <c r="LF131" i="13"/>
  <c r="LH131" i="13" s="1"/>
  <c r="LN131" i="13"/>
  <c r="KP131" i="13"/>
  <c r="KR131" i="13" s="1"/>
  <c r="KS131" i="13" s="1"/>
  <c r="KX131" i="13"/>
  <c r="KZ131" i="13" s="1"/>
  <c r="LA131" i="13" s="1"/>
  <c r="NI165" i="13"/>
  <c r="KL165" i="13"/>
  <c r="KN165" i="13" s="1"/>
  <c r="KO165" i="13" s="1"/>
  <c r="NH27" i="13"/>
  <c r="NG27" i="13"/>
  <c r="KH27" i="13" s="1"/>
  <c r="KJ27" i="13" s="1"/>
  <c r="KK27" i="13" s="1"/>
  <c r="NF27" i="13"/>
  <c r="LN21" i="13"/>
  <c r="KP21" i="13"/>
  <c r="KR21" i="13" s="1"/>
  <c r="KS21" i="13" s="1"/>
  <c r="KX21" i="13"/>
  <c r="KZ21" i="13" s="1"/>
  <c r="LA21" i="13" s="1"/>
  <c r="DP21" i="13" s="1"/>
  <c r="DO21" i="13" s="1"/>
  <c r="LF21" i="13"/>
  <c r="LH21" i="13" s="1"/>
  <c r="NI189" i="13"/>
  <c r="KL189" i="13"/>
  <c r="KN189" i="13" s="1"/>
  <c r="KO189" i="13" s="1"/>
  <c r="IA152" i="13"/>
  <c r="NT152" i="13"/>
  <c r="NM152" i="13"/>
  <c r="AS93" i="13"/>
  <c r="AR93" i="13" s="1"/>
  <c r="AQ93" i="13" s="1"/>
  <c r="AP93" i="13" s="1"/>
  <c r="AO93" i="13" s="1"/>
  <c r="AL93" i="13" s="1"/>
  <c r="BZ93" i="13"/>
  <c r="BY93" i="13" s="1"/>
  <c r="BP93" i="13"/>
  <c r="BO93" i="13" s="1"/>
  <c r="BN93" i="13" s="1"/>
  <c r="BM93" i="13" s="1"/>
  <c r="BL93" i="13" s="1"/>
  <c r="BC93" i="13"/>
  <c r="BB93" i="13" s="1"/>
  <c r="BA93" i="13" s="1"/>
  <c r="AZ93" i="13" s="1"/>
  <c r="AY93" i="13" s="1"/>
  <c r="BU93" i="13"/>
  <c r="BT93" i="13" s="1"/>
  <c r="BS93" i="13" s="1"/>
  <c r="BR93" i="13" s="1"/>
  <c r="BQ93" i="13" s="1"/>
  <c r="AX93" i="13"/>
  <c r="AW93" i="13" s="1"/>
  <c r="AV93" i="13" s="1"/>
  <c r="AU93" i="13" s="1"/>
  <c r="AT93" i="13" s="1"/>
  <c r="CE93" i="13"/>
  <c r="CD93" i="13" s="1"/>
  <c r="BH93" i="13"/>
  <c r="BG93" i="13" s="1"/>
  <c r="BF93" i="13" s="1"/>
  <c r="BE93" i="13" s="1"/>
  <c r="BD93" i="13" s="1"/>
  <c r="JJ202" i="13"/>
  <c r="JI202" i="13"/>
  <c r="ND86" i="13"/>
  <c r="NE86" i="13" s="1"/>
  <c r="JO53" i="13"/>
  <c r="KG53" i="13" s="1"/>
  <c r="KF53" i="13"/>
  <c r="ND100" i="13"/>
  <c r="NE100" i="13" s="1"/>
  <c r="NH121" i="13"/>
  <c r="NG121" i="13"/>
  <c r="KH121" i="13" s="1"/>
  <c r="KJ121" i="13" s="1"/>
  <c r="KK121" i="13" s="1"/>
  <c r="NF121" i="13"/>
  <c r="JL121" i="13"/>
  <c r="JN121" i="13" s="1"/>
  <c r="GF79" i="13"/>
  <c r="GO79" i="13"/>
  <c r="KX115" i="13"/>
  <c r="KZ115" i="13" s="1"/>
  <c r="LA115" i="13" s="1"/>
  <c r="KP115" i="13"/>
  <c r="KR115" i="13" s="1"/>
  <c r="KS115" i="13" s="1"/>
  <c r="LF115" i="13"/>
  <c r="LH115" i="13" s="1"/>
  <c r="LN115" i="13"/>
  <c r="JK189" i="13"/>
  <c r="BU77" i="13"/>
  <c r="BT77" i="13" s="1"/>
  <c r="AX77" i="13"/>
  <c r="AW77" i="13" s="1"/>
  <c r="BP77" i="13"/>
  <c r="BO77" i="13" s="1"/>
  <c r="JK129" i="13"/>
  <c r="NK92" i="13"/>
  <c r="NY92" i="13"/>
  <c r="NS92" i="13"/>
  <c r="HS92" i="13"/>
  <c r="MW47" i="13"/>
  <c r="GV47" i="13"/>
  <c r="GX47" i="13" s="1"/>
  <c r="GY47" i="13" s="1"/>
  <c r="MW117" i="13"/>
  <c r="GV117" i="13"/>
  <c r="GX117" i="13" s="1"/>
  <c r="GY117" i="13" s="1"/>
  <c r="ND83" i="13"/>
  <c r="NE83" i="13" s="1"/>
  <c r="BU160" i="13"/>
  <c r="BT160" i="13" s="1"/>
  <c r="BS160" i="13" s="1"/>
  <c r="BR160" i="13" s="1"/>
  <c r="BQ160" i="13" s="1"/>
  <c r="BC160" i="13"/>
  <c r="BB160" i="13" s="1"/>
  <c r="BA160" i="13" s="1"/>
  <c r="AZ160" i="13" s="1"/>
  <c r="AY160" i="13" s="1"/>
  <c r="BZ160" i="13"/>
  <c r="BY160" i="13" s="1"/>
  <c r="BP160" i="13"/>
  <c r="BO160" i="13" s="1"/>
  <c r="BN160" i="13" s="1"/>
  <c r="BM160" i="13" s="1"/>
  <c r="BL160" i="13" s="1"/>
  <c r="BH160" i="13"/>
  <c r="BG160" i="13" s="1"/>
  <c r="BF160" i="13" s="1"/>
  <c r="BE160" i="13" s="1"/>
  <c r="BD160" i="13" s="1"/>
  <c r="AX160" i="13"/>
  <c r="AW160" i="13" s="1"/>
  <c r="AV160" i="13" s="1"/>
  <c r="AU160" i="13" s="1"/>
  <c r="AT160" i="13" s="1"/>
  <c r="CE160" i="13"/>
  <c r="CD160" i="13" s="1"/>
  <c r="AS160" i="13"/>
  <c r="AR160" i="13" s="1"/>
  <c r="AQ160" i="13" s="1"/>
  <c r="AP160" i="13" s="1"/>
  <c r="AO160" i="13" s="1"/>
  <c r="AL160" i="13" s="1"/>
  <c r="NX24" i="13"/>
  <c r="NW24" i="13"/>
  <c r="JK137" i="13"/>
  <c r="BZ52" i="13"/>
  <c r="BY52" i="13" s="1"/>
  <c r="CE52" i="13"/>
  <c r="CD52" i="13" s="1"/>
  <c r="BU52" i="13"/>
  <c r="BT52" i="13" s="1"/>
  <c r="BS52" i="13" s="1"/>
  <c r="BR52" i="13" s="1"/>
  <c r="BQ52" i="13" s="1"/>
  <c r="BH52" i="13"/>
  <c r="BG52" i="13" s="1"/>
  <c r="BF52" i="13" s="1"/>
  <c r="BE52" i="13" s="1"/>
  <c r="BD52" i="13" s="1"/>
  <c r="AS52" i="13"/>
  <c r="AR52" i="13" s="1"/>
  <c r="AQ52" i="13" s="1"/>
  <c r="AP52" i="13" s="1"/>
  <c r="AO52" i="13" s="1"/>
  <c r="AL52" i="13" s="1"/>
  <c r="BP52" i="13"/>
  <c r="BO52" i="13" s="1"/>
  <c r="BN52" i="13" s="1"/>
  <c r="BM52" i="13" s="1"/>
  <c r="BL52" i="13" s="1"/>
  <c r="AX52" i="13"/>
  <c r="AW52" i="13" s="1"/>
  <c r="AV52" i="13" s="1"/>
  <c r="AU52" i="13" s="1"/>
  <c r="AT52" i="13" s="1"/>
  <c r="BC52" i="13"/>
  <c r="BB52" i="13" s="1"/>
  <c r="BA52" i="13" s="1"/>
  <c r="AZ52" i="13" s="1"/>
  <c r="AY52" i="13" s="1"/>
  <c r="BU81" i="13"/>
  <c r="BT81" i="13" s="1"/>
  <c r="BS81" i="13" s="1"/>
  <c r="BR81" i="13" s="1"/>
  <c r="BQ81" i="13" s="1"/>
  <c r="AX81" i="13"/>
  <c r="AW81" i="13" s="1"/>
  <c r="AV81" i="13" s="1"/>
  <c r="AU81" i="13" s="1"/>
  <c r="AT81" i="13" s="1"/>
  <c r="BP81" i="13"/>
  <c r="BO81" i="13" s="1"/>
  <c r="BN81" i="13" s="1"/>
  <c r="BM81" i="13" s="1"/>
  <c r="BL81" i="13" s="1"/>
  <c r="CE81" i="13"/>
  <c r="CD81" i="13" s="1"/>
  <c r="AS81" i="13"/>
  <c r="AR81" i="13" s="1"/>
  <c r="AQ81" i="13" s="1"/>
  <c r="AP81" i="13" s="1"/>
  <c r="AO81" i="13" s="1"/>
  <c r="AL81" i="13" s="1"/>
  <c r="BC81" i="13"/>
  <c r="BB81" i="13" s="1"/>
  <c r="BA81" i="13" s="1"/>
  <c r="AZ81" i="13" s="1"/>
  <c r="AY81" i="13" s="1"/>
  <c r="BH81" i="13"/>
  <c r="BG81" i="13" s="1"/>
  <c r="BF81" i="13" s="1"/>
  <c r="BE81" i="13" s="1"/>
  <c r="BD81" i="13" s="1"/>
  <c r="BZ81" i="13"/>
  <c r="BY81" i="13" s="1"/>
  <c r="JK87" i="13"/>
  <c r="CE128" i="13"/>
  <c r="CD128" i="13" s="1"/>
  <c r="AS128" i="13"/>
  <c r="AR128" i="13" s="1"/>
  <c r="AQ128" i="13" s="1"/>
  <c r="AP128" i="13" s="1"/>
  <c r="AO128" i="13" s="1"/>
  <c r="AL128" i="13" s="1"/>
  <c r="BC128" i="13"/>
  <c r="BB128" i="13" s="1"/>
  <c r="BA128" i="13" s="1"/>
  <c r="AZ128" i="13" s="1"/>
  <c r="AY128" i="13" s="1"/>
  <c r="BH128" i="13"/>
  <c r="BG128" i="13" s="1"/>
  <c r="BF128" i="13" s="1"/>
  <c r="BE128" i="13" s="1"/>
  <c r="BD128" i="13" s="1"/>
  <c r="BZ128" i="13"/>
  <c r="BY128" i="13" s="1"/>
  <c r="BU128" i="13"/>
  <c r="BT128" i="13" s="1"/>
  <c r="BS128" i="13" s="1"/>
  <c r="BR128" i="13" s="1"/>
  <c r="BQ128" i="13" s="1"/>
  <c r="AX128" i="13"/>
  <c r="AW128" i="13" s="1"/>
  <c r="AV128" i="13" s="1"/>
  <c r="AU128" i="13" s="1"/>
  <c r="AT128" i="13" s="1"/>
  <c r="BP128" i="13"/>
  <c r="BO128" i="13" s="1"/>
  <c r="BN128" i="13" s="1"/>
  <c r="BM128" i="13" s="1"/>
  <c r="BL128" i="13" s="1"/>
  <c r="NI91" i="13"/>
  <c r="KL91" i="13"/>
  <c r="KN91" i="13" s="1"/>
  <c r="KO91" i="13" s="1"/>
  <c r="MW46" i="13"/>
  <c r="GV46" i="13"/>
  <c r="GX46" i="13" s="1"/>
  <c r="GY46" i="13" s="1"/>
  <c r="E107" i="13"/>
  <c r="HP107" i="13"/>
  <c r="HR107" i="13" s="1"/>
  <c r="GZ107" i="13"/>
  <c r="HB107" i="13" s="1"/>
  <c r="HC107" i="13" s="1"/>
  <c r="HX107" i="13"/>
  <c r="HZ107" i="13" s="1"/>
  <c r="HH107" i="13"/>
  <c r="HJ107" i="13" s="1"/>
  <c r="HK107" i="13" s="1"/>
  <c r="HT196" i="13"/>
  <c r="HV196" i="13" s="1"/>
  <c r="HW196" i="13" s="1"/>
  <c r="HD196" i="13"/>
  <c r="HF196" i="13" s="1"/>
  <c r="HG196" i="13" s="1"/>
  <c r="HL196" i="13"/>
  <c r="HN196" i="13" s="1"/>
  <c r="HO196" i="13" s="1"/>
  <c r="IB196" i="13"/>
  <c r="ID196" i="13" s="1"/>
  <c r="IE196" i="13" s="1"/>
  <c r="JO106" i="13"/>
  <c r="KG106" i="13" s="1"/>
  <c r="KF106" i="13"/>
  <c r="NV127" i="13"/>
  <c r="LP127" i="13"/>
  <c r="LQ127" i="13" s="1"/>
  <c r="NR127" i="13" s="1"/>
  <c r="NQ127" i="13"/>
  <c r="JK63" i="13"/>
  <c r="BZ63" i="13"/>
  <c r="BY63" i="13" s="1"/>
  <c r="BC63" i="13"/>
  <c r="BB63" i="13" s="1"/>
  <c r="BA63" i="13" s="1"/>
  <c r="AZ63" i="13" s="1"/>
  <c r="AY63" i="13" s="1"/>
  <c r="BU63" i="13"/>
  <c r="BT63" i="13" s="1"/>
  <c r="BS63" i="13" s="1"/>
  <c r="BR63" i="13" s="1"/>
  <c r="BQ63" i="13" s="1"/>
  <c r="BP63" i="13"/>
  <c r="BO63" i="13" s="1"/>
  <c r="BN63" i="13" s="1"/>
  <c r="BM63" i="13" s="1"/>
  <c r="BL63" i="13" s="1"/>
  <c r="AX63" i="13"/>
  <c r="AW63" i="13" s="1"/>
  <c r="AV63" i="13" s="1"/>
  <c r="AU63" i="13" s="1"/>
  <c r="AT63" i="13" s="1"/>
  <c r="CE63" i="13"/>
  <c r="CD63" i="13" s="1"/>
  <c r="AS63" i="13"/>
  <c r="AR63" i="13" s="1"/>
  <c r="AQ63" i="13" s="1"/>
  <c r="AP63" i="13" s="1"/>
  <c r="AO63" i="13" s="1"/>
  <c r="AL63" i="13" s="1"/>
  <c r="BH63" i="13"/>
  <c r="BG63" i="13" s="1"/>
  <c r="BF63" i="13" s="1"/>
  <c r="BE63" i="13" s="1"/>
  <c r="BD63" i="13" s="1"/>
  <c r="KX113" i="13"/>
  <c r="KZ113" i="13" s="1"/>
  <c r="LA113" i="13" s="1"/>
  <c r="LN113" i="13"/>
  <c r="LF113" i="13"/>
  <c r="LH113" i="13" s="1"/>
  <c r="KP113" i="13"/>
  <c r="KR113" i="13" s="1"/>
  <c r="KS113" i="13" s="1"/>
  <c r="NH98" i="13"/>
  <c r="NG98" i="13"/>
  <c r="KH98" i="13" s="1"/>
  <c r="KJ98" i="13" s="1"/>
  <c r="KK98" i="13" s="1"/>
  <c r="NF98" i="13"/>
  <c r="JL98" i="13"/>
  <c r="JN98" i="13" s="1"/>
  <c r="IA62" i="13"/>
  <c r="BP62" i="13" s="1"/>
  <c r="BO62" i="13" s="1"/>
  <c r="NT62" i="13"/>
  <c r="NM62" i="13"/>
  <c r="JK67" i="13"/>
  <c r="BC20" i="13"/>
  <c r="BB20" i="13" s="1"/>
  <c r="BA20" i="13" s="1"/>
  <c r="AZ20" i="13" s="1"/>
  <c r="AY20" i="13" s="1"/>
  <c r="BU20" i="13"/>
  <c r="BT20" i="13" s="1"/>
  <c r="AX20" i="13"/>
  <c r="AW20" i="13" s="1"/>
  <c r="AS20" i="13"/>
  <c r="AR20" i="13" s="1"/>
  <c r="AQ20" i="13" s="1"/>
  <c r="AP20" i="13" s="1"/>
  <c r="AO20" i="13" s="1"/>
  <c r="AL20" i="13" s="1"/>
  <c r="BP20" i="13"/>
  <c r="BO20" i="13" s="1"/>
  <c r="BN20" i="13" s="1"/>
  <c r="BM20" i="13" s="1"/>
  <c r="BL20" i="13" s="1"/>
  <c r="CE20" i="13"/>
  <c r="CD20" i="13" s="1"/>
  <c r="E121" i="13"/>
  <c r="GZ121" i="13"/>
  <c r="HB121" i="13" s="1"/>
  <c r="HC121" i="13" s="1"/>
  <c r="HP121" i="13"/>
  <c r="HR121" i="13" s="1"/>
  <c r="HX121" i="13"/>
  <c r="HZ121" i="13" s="1"/>
  <c r="HH121" i="13"/>
  <c r="HJ121" i="13" s="1"/>
  <c r="HK121" i="13" s="1"/>
  <c r="MW109" i="13"/>
  <c r="GV109" i="13"/>
  <c r="GX109" i="13" s="1"/>
  <c r="GY109" i="13" s="1"/>
  <c r="HL22" i="13"/>
  <c r="HN22" i="13" s="1"/>
  <c r="HO22" i="13" s="1"/>
  <c r="BH22" i="13" s="1"/>
  <c r="BG22" i="13" s="1"/>
  <c r="BF22" i="13" s="1"/>
  <c r="BE22" i="13" s="1"/>
  <c r="BD22" i="13" s="1"/>
  <c r="IB22" i="13"/>
  <c r="ID22" i="13" s="1"/>
  <c r="IE22" i="13" s="1"/>
  <c r="BZ22" i="13" s="1"/>
  <c r="BY22" i="13" s="1"/>
  <c r="HT22" i="13"/>
  <c r="HV22" i="13" s="1"/>
  <c r="HW22" i="13" s="1"/>
  <c r="BC22" i="13" s="1"/>
  <c r="BB22" i="13" s="1"/>
  <c r="BA22" i="13" s="1"/>
  <c r="AZ22" i="13" s="1"/>
  <c r="AY22" i="13" s="1"/>
  <c r="HD22" i="13"/>
  <c r="HF22" i="13" s="1"/>
  <c r="HG22" i="13" s="1"/>
  <c r="JO164" i="13"/>
  <c r="KG164" i="13" s="1"/>
  <c r="KF164" i="13"/>
  <c r="NH186" i="13"/>
  <c r="NX203" i="13"/>
  <c r="NW203" i="13"/>
  <c r="JJ61" i="13"/>
  <c r="JI61" i="13"/>
  <c r="NH162" i="13"/>
  <c r="NG162" i="13"/>
  <c r="KH162" i="13" s="1"/>
  <c r="KJ162" i="13" s="1"/>
  <c r="KK162" i="13" s="1"/>
  <c r="NF162" i="13"/>
  <c r="JL162" i="13"/>
  <c r="JN162" i="13" s="1"/>
  <c r="NX52" i="13"/>
  <c r="NW52" i="13"/>
  <c r="GP124" i="13"/>
  <c r="HT156" i="13"/>
  <c r="HV156" i="13" s="1"/>
  <c r="HW156" i="13" s="1"/>
  <c r="HL156" i="13"/>
  <c r="HN156" i="13" s="1"/>
  <c r="HO156" i="13" s="1"/>
  <c r="HD156" i="13"/>
  <c r="HF156" i="13" s="1"/>
  <c r="HG156" i="13" s="1"/>
  <c r="IB156" i="13"/>
  <c r="ID156" i="13" s="1"/>
  <c r="IE156" i="13" s="1"/>
  <c r="JK93" i="13"/>
  <c r="HL97" i="13"/>
  <c r="HN97" i="13" s="1"/>
  <c r="HO97" i="13" s="1"/>
  <c r="HT97" i="13"/>
  <c r="HV97" i="13" s="1"/>
  <c r="HW97" i="13" s="1"/>
  <c r="HD97" i="13"/>
  <c r="HF97" i="13" s="1"/>
  <c r="HG97" i="13" s="1"/>
  <c r="IB97" i="13"/>
  <c r="ID97" i="13" s="1"/>
  <c r="IE97" i="13" s="1"/>
  <c r="HT137" i="13"/>
  <c r="HV137" i="13" s="1"/>
  <c r="HW137" i="13" s="1"/>
  <c r="HD137" i="13"/>
  <c r="HF137" i="13" s="1"/>
  <c r="HG137" i="13" s="1"/>
  <c r="IB137" i="13"/>
  <c r="ID137" i="13" s="1"/>
  <c r="IE137" i="13" s="1"/>
  <c r="HL137" i="13"/>
  <c r="HN137" i="13" s="1"/>
  <c r="HO137" i="13" s="1"/>
  <c r="HL197" i="13"/>
  <c r="HN197" i="13" s="1"/>
  <c r="HO197" i="13" s="1"/>
  <c r="IB197" i="13"/>
  <c r="ID197" i="13" s="1"/>
  <c r="IE197" i="13" s="1"/>
  <c r="HD197" i="13"/>
  <c r="HF197" i="13" s="1"/>
  <c r="HG197" i="13" s="1"/>
  <c r="HT197" i="13"/>
  <c r="HV197" i="13" s="1"/>
  <c r="HW197" i="13" s="1"/>
  <c r="KX148" i="13"/>
  <c r="KZ148" i="13" s="1"/>
  <c r="LA148" i="13" s="1"/>
  <c r="LF148" i="13"/>
  <c r="LH148" i="13" s="1"/>
  <c r="KP148" i="13"/>
  <c r="KR148" i="13" s="1"/>
  <c r="KS148" i="13" s="1"/>
  <c r="LN148" i="13"/>
  <c r="NV152" i="13"/>
  <c r="NQ152" i="13"/>
  <c r="LP152" i="13"/>
  <c r="LQ152" i="13" s="1"/>
  <c r="NR152" i="13" s="1"/>
  <c r="NK75" i="13"/>
  <c r="NY75" i="13"/>
  <c r="NS75" i="13"/>
  <c r="HS75" i="13"/>
  <c r="NL75" i="13" s="1"/>
  <c r="NT51" i="13"/>
  <c r="NM51" i="13"/>
  <c r="IA51" i="13"/>
  <c r="NL56" i="13"/>
  <c r="JJ46" i="13"/>
  <c r="JI46" i="13"/>
  <c r="BZ87" i="13"/>
  <c r="BY87" i="13" s="1"/>
  <c r="BX87" i="13" s="1"/>
  <c r="BW87" i="13" s="1"/>
  <c r="BV87" i="13" s="1"/>
  <c r="BU87" i="13"/>
  <c r="BT87" i="13" s="1"/>
  <c r="BS87" i="13" s="1"/>
  <c r="BR87" i="13" s="1"/>
  <c r="BQ87" i="13" s="1"/>
  <c r="BP87" i="13"/>
  <c r="BO87" i="13" s="1"/>
  <c r="BN87" i="13" s="1"/>
  <c r="BM87" i="13" s="1"/>
  <c r="BL87" i="13" s="1"/>
  <c r="CE87" i="13"/>
  <c r="CD87" i="13" s="1"/>
  <c r="BC87" i="13"/>
  <c r="BB87" i="13" s="1"/>
  <c r="BA87" i="13" s="1"/>
  <c r="AZ87" i="13" s="1"/>
  <c r="AY87" i="13" s="1"/>
  <c r="AX87" i="13"/>
  <c r="AW87" i="13" s="1"/>
  <c r="AV87" i="13" s="1"/>
  <c r="AU87" i="13" s="1"/>
  <c r="AT87" i="13" s="1"/>
  <c r="AS87" i="13"/>
  <c r="AR87" i="13" s="1"/>
  <c r="AQ87" i="13" s="1"/>
  <c r="AP87" i="13" s="1"/>
  <c r="AO87" i="13" s="1"/>
  <c r="AL87" i="13" s="1"/>
  <c r="BH87" i="13"/>
  <c r="BG87" i="13" s="1"/>
  <c r="BF87" i="13" s="1"/>
  <c r="BE87" i="13" s="1"/>
  <c r="BD87" i="13" s="1"/>
  <c r="DS35" i="13"/>
  <c r="DR35" i="13" s="1"/>
  <c r="DQ35" i="13" s="1"/>
  <c r="NN96" i="13"/>
  <c r="JK161" i="13"/>
  <c r="HS41" i="13"/>
  <c r="NL41" i="13" s="1"/>
  <c r="NK41" i="13"/>
  <c r="NY41" i="13"/>
  <c r="NS41" i="13"/>
  <c r="JK76" i="13"/>
  <c r="E55" i="13"/>
  <c r="HH55" i="13"/>
  <c r="HJ55" i="13" s="1"/>
  <c r="HK55" i="13" s="1"/>
  <c r="HX55" i="13"/>
  <c r="HZ55" i="13" s="1"/>
  <c r="GZ55" i="13"/>
  <c r="HB55" i="13" s="1"/>
  <c r="HC55" i="13" s="1"/>
  <c r="HP55" i="13"/>
  <c r="HR55" i="13" s="1"/>
  <c r="NH168" i="13"/>
  <c r="NG168" i="13"/>
  <c r="KH168" i="13" s="1"/>
  <c r="KJ168" i="13" s="1"/>
  <c r="KK168" i="13" s="1"/>
  <c r="NF168" i="13"/>
  <c r="JL168" i="13"/>
  <c r="JN168" i="13" s="1"/>
  <c r="BC201" i="13"/>
  <c r="BB201" i="13" s="1"/>
  <c r="BA201" i="13" s="1"/>
  <c r="AZ201" i="13" s="1"/>
  <c r="AY201" i="13" s="1"/>
  <c r="BP201" i="13"/>
  <c r="BO201" i="13" s="1"/>
  <c r="BN201" i="13" s="1"/>
  <c r="BM201" i="13" s="1"/>
  <c r="BL201" i="13" s="1"/>
  <c r="AX201" i="13"/>
  <c r="AW201" i="13" s="1"/>
  <c r="AV201" i="13" s="1"/>
  <c r="AU201" i="13" s="1"/>
  <c r="AT201" i="13" s="1"/>
  <c r="CE201" i="13"/>
  <c r="CD201" i="13" s="1"/>
  <c r="AS201" i="13"/>
  <c r="AR201" i="13" s="1"/>
  <c r="AQ201" i="13" s="1"/>
  <c r="AP201" i="13" s="1"/>
  <c r="AO201" i="13" s="1"/>
  <c r="AL201" i="13" s="1"/>
  <c r="BZ201" i="13"/>
  <c r="BY201" i="13" s="1"/>
  <c r="BU201" i="13"/>
  <c r="BT201" i="13" s="1"/>
  <c r="BS201" i="13" s="1"/>
  <c r="BR201" i="13" s="1"/>
  <c r="BQ201" i="13" s="1"/>
  <c r="BH201" i="13"/>
  <c r="BG201" i="13" s="1"/>
  <c r="BF201" i="13" s="1"/>
  <c r="BE201" i="13" s="1"/>
  <c r="BD201" i="13" s="1"/>
  <c r="AV19" i="13"/>
  <c r="AU19" i="13" s="1"/>
  <c r="AT19" i="13" s="1"/>
  <c r="NT208" i="13"/>
  <c r="NM208" i="13"/>
  <c r="IA208" i="13"/>
  <c r="NN208" i="13" s="1"/>
  <c r="JK53" i="13"/>
  <c r="JJ142" i="13"/>
  <c r="JI142" i="13"/>
  <c r="JK118" i="13"/>
  <c r="NK152" i="13"/>
  <c r="NY152" i="13"/>
  <c r="NS152" i="13"/>
  <c r="HS152" i="13"/>
  <c r="IB41" i="13"/>
  <c r="ID41" i="13" s="1"/>
  <c r="IE41" i="13" s="1"/>
  <c r="HL41" i="13"/>
  <c r="HN41" i="13" s="1"/>
  <c r="HO41" i="13" s="1"/>
  <c r="HT41" i="13"/>
  <c r="HV41" i="13" s="1"/>
  <c r="HW41" i="13" s="1"/>
  <c r="HD41" i="13"/>
  <c r="HF41" i="13" s="1"/>
  <c r="HG41" i="13" s="1"/>
  <c r="NM184" i="13"/>
  <c r="NT184" i="13"/>
  <c r="IA184" i="13"/>
  <c r="NN184" i="13" s="1"/>
  <c r="NH202" i="13"/>
  <c r="NG202" i="13"/>
  <c r="KH202" i="13" s="1"/>
  <c r="KJ202" i="13" s="1"/>
  <c r="KK202" i="13" s="1"/>
  <c r="NF202" i="13"/>
  <c r="JL202" i="13"/>
  <c r="JN202" i="13" s="1"/>
  <c r="NI53" i="13"/>
  <c r="KL53" i="13"/>
  <c r="KN53" i="13" s="1"/>
  <c r="KO53" i="13" s="1"/>
  <c r="JI100" i="13"/>
  <c r="JJ100" i="13"/>
  <c r="MW79" i="13"/>
  <c r="GV79" i="13"/>
  <c r="GX79" i="13" s="1"/>
  <c r="GY79" i="13" s="1"/>
  <c r="NI115" i="13"/>
  <c r="KL115" i="13"/>
  <c r="KN115" i="13" s="1"/>
  <c r="KO115" i="13" s="1"/>
  <c r="JK194" i="13"/>
  <c r="GP41" i="13"/>
  <c r="NN41" i="13"/>
  <c r="JO171" i="13"/>
  <c r="KG171" i="13" s="1"/>
  <c r="KF171" i="13"/>
  <c r="NH22" i="13"/>
  <c r="NG22" i="13"/>
  <c r="KH22" i="13" s="1"/>
  <c r="KJ22" i="13" s="1"/>
  <c r="KK22" i="13" s="1"/>
  <c r="NF22" i="13"/>
  <c r="JK81" i="13"/>
  <c r="JJ83" i="13"/>
  <c r="JI83" i="13"/>
  <c r="NH103" i="13"/>
  <c r="NG103" i="13"/>
  <c r="KH103" i="13" s="1"/>
  <c r="KJ103" i="13" s="1"/>
  <c r="KK103" i="13" s="1"/>
  <c r="NF103" i="13"/>
  <c r="JL103" i="13"/>
  <c r="JN103" i="13" s="1"/>
  <c r="LR43" i="13"/>
  <c r="LT43" i="13" s="1"/>
  <c r="LU43" i="13" s="1"/>
  <c r="LB43" i="13"/>
  <c r="LD43" i="13" s="1"/>
  <c r="LE43" i="13" s="1"/>
  <c r="KT43" i="13"/>
  <c r="KV43" i="13" s="1"/>
  <c r="KW43" i="13" s="1"/>
  <c r="LJ43" i="13"/>
  <c r="LL43" i="13" s="1"/>
  <c r="LM43" i="13" s="1"/>
  <c r="GP200" i="13"/>
  <c r="NS118" i="13"/>
  <c r="HS118" i="13"/>
  <c r="NK118" i="13"/>
  <c r="NY118" i="13"/>
  <c r="AV207" i="13"/>
  <c r="AU207" i="13" s="1"/>
  <c r="AT207" i="13" s="1"/>
  <c r="AX86" i="13"/>
  <c r="AW86" i="13" s="1"/>
  <c r="AV86" i="13" s="1"/>
  <c r="AU86" i="13" s="1"/>
  <c r="AT86" i="13" s="1"/>
  <c r="BU86" i="13"/>
  <c r="BT86" i="13" s="1"/>
  <c r="BS86" i="13" s="1"/>
  <c r="BR86" i="13" s="1"/>
  <c r="BQ86" i="13" s="1"/>
  <c r="BP86" i="13"/>
  <c r="BO86" i="13" s="1"/>
  <c r="BN86" i="13" s="1"/>
  <c r="BM86" i="13" s="1"/>
  <c r="BL86" i="13" s="1"/>
  <c r="AS86" i="13"/>
  <c r="AR86" i="13" s="1"/>
  <c r="NH133" i="13"/>
  <c r="NG133" i="13"/>
  <c r="KH133" i="13" s="1"/>
  <c r="KJ133" i="13" s="1"/>
  <c r="KK133" i="13" s="1"/>
  <c r="NF133" i="13"/>
  <c r="JL133" i="13"/>
  <c r="JN133" i="13" s="1"/>
  <c r="NS12" i="13"/>
  <c r="HS12" i="13"/>
  <c r="NL12" i="13" s="1"/>
  <c r="NK12" i="13"/>
  <c r="NY12" i="13"/>
  <c r="JO63" i="13"/>
  <c r="KG63" i="13" s="1"/>
  <c r="KF63" i="13"/>
  <c r="IB15" i="13"/>
  <c r="ID15" i="13" s="1"/>
  <c r="IE15" i="13" s="1"/>
  <c r="BZ15" i="13" s="1"/>
  <c r="BY15" i="13" s="1"/>
  <c r="BX15" i="13" s="1"/>
  <c r="BW15" i="13" s="1"/>
  <c r="BV15" i="13" s="1"/>
  <c r="HL15" i="13"/>
  <c r="HN15" i="13" s="1"/>
  <c r="HO15" i="13" s="1"/>
  <c r="CE15" i="13" s="1"/>
  <c r="CD15" i="13" s="1"/>
  <c r="HT15" i="13"/>
  <c r="HV15" i="13" s="1"/>
  <c r="HW15" i="13" s="1"/>
  <c r="BC15" i="13" s="1"/>
  <c r="BB15" i="13" s="1"/>
  <c r="BA15" i="13" s="1"/>
  <c r="AZ15" i="13" s="1"/>
  <c r="AY15" i="13" s="1"/>
  <c r="HD15" i="13"/>
  <c r="HF15" i="13" s="1"/>
  <c r="HG15" i="13" s="1"/>
  <c r="JO49" i="13"/>
  <c r="KG49" i="13" s="1"/>
  <c r="KF49" i="13"/>
  <c r="JK54" i="13"/>
  <c r="NU127" i="13"/>
  <c r="LI127" i="13"/>
  <c r="NP127" i="13" s="1"/>
  <c r="NO127" i="13"/>
  <c r="HD36" i="13"/>
  <c r="HF36" i="13" s="1"/>
  <c r="HG36" i="13" s="1"/>
  <c r="HL36" i="13"/>
  <c r="HN36" i="13" s="1"/>
  <c r="HO36" i="13" s="1"/>
  <c r="IB36" i="13"/>
  <c r="ID36" i="13" s="1"/>
  <c r="IE36" i="13" s="1"/>
  <c r="HT36" i="13"/>
  <c r="HV36" i="13" s="1"/>
  <c r="HW36" i="13" s="1"/>
  <c r="AS85" i="13"/>
  <c r="AR85" i="13" s="1"/>
  <c r="AQ85" i="13" s="1"/>
  <c r="AP85" i="13" s="1"/>
  <c r="AO85" i="13" s="1"/>
  <c r="AL85" i="13" s="1"/>
  <c r="CE85" i="13"/>
  <c r="CD85" i="13" s="1"/>
  <c r="BH85" i="13"/>
  <c r="BG85" i="13" s="1"/>
  <c r="BF85" i="13" s="1"/>
  <c r="BE85" i="13" s="1"/>
  <c r="BD85" i="13" s="1"/>
  <c r="BZ85" i="13"/>
  <c r="BY85" i="13" s="1"/>
  <c r="BU85" i="13"/>
  <c r="BT85" i="13" s="1"/>
  <c r="BS85" i="13" s="1"/>
  <c r="BR85" i="13" s="1"/>
  <c r="BQ85" i="13" s="1"/>
  <c r="BC85" i="13"/>
  <c r="BB85" i="13" s="1"/>
  <c r="BA85" i="13" s="1"/>
  <c r="AZ85" i="13" s="1"/>
  <c r="AY85" i="13" s="1"/>
  <c r="AX85" i="13"/>
  <c r="AW85" i="13" s="1"/>
  <c r="AV85" i="13" s="1"/>
  <c r="AU85" i="13" s="1"/>
  <c r="AT85" i="13" s="1"/>
  <c r="BP85" i="13"/>
  <c r="BO85" i="13" s="1"/>
  <c r="BN85" i="13" s="1"/>
  <c r="BM85" i="13" s="1"/>
  <c r="BL85" i="13" s="1"/>
  <c r="JI206" i="13"/>
  <c r="JJ206" i="13"/>
  <c r="JO52" i="13"/>
  <c r="KG52" i="13" s="1"/>
  <c r="KF52" i="13"/>
  <c r="GF125" i="13"/>
  <c r="GO125" i="13"/>
  <c r="JK198" i="13"/>
  <c r="JK80" i="13"/>
  <c r="HL51" i="13"/>
  <c r="HN51" i="13" s="1"/>
  <c r="HO51" i="13" s="1"/>
  <c r="IB51" i="13"/>
  <c r="ID51" i="13" s="1"/>
  <c r="IE51" i="13" s="1"/>
  <c r="HT51" i="13"/>
  <c r="HV51" i="13" s="1"/>
  <c r="HW51" i="13" s="1"/>
  <c r="HD51" i="13"/>
  <c r="HF51" i="13" s="1"/>
  <c r="HG51" i="13" s="1"/>
  <c r="NU125" i="13"/>
  <c r="NO125" i="13"/>
  <c r="LI125" i="13"/>
  <c r="NP125" i="13" s="1"/>
  <c r="MW121" i="13"/>
  <c r="GV121" i="13"/>
  <c r="GX121" i="13" s="1"/>
  <c r="GY121" i="13" s="1"/>
  <c r="NS124" i="13"/>
  <c r="HS124" i="13"/>
  <c r="NL124" i="13" s="1"/>
  <c r="NK124" i="13"/>
  <c r="NY124" i="13"/>
  <c r="HL89" i="13"/>
  <c r="HN89" i="13" s="1"/>
  <c r="HO89" i="13" s="1"/>
  <c r="IB89" i="13"/>
  <c r="ID89" i="13" s="1"/>
  <c r="IE89" i="13" s="1"/>
  <c r="HD89" i="13"/>
  <c r="HF89" i="13" s="1"/>
  <c r="HG89" i="13" s="1"/>
  <c r="HT89" i="13"/>
  <c r="HV89" i="13" s="1"/>
  <c r="HW89" i="13" s="1"/>
  <c r="NX201" i="13"/>
  <c r="NW201" i="13"/>
  <c r="NI164" i="13"/>
  <c r="KL164" i="13"/>
  <c r="KN164" i="13" s="1"/>
  <c r="KO164" i="13" s="1"/>
  <c r="NY114" i="13"/>
  <c r="NS114" i="13"/>
  <c r="HS114" i="13"/>
  <c r="NL114" i="13" s="1"/>
  <c r="NK114" i="13"/>
  <c r="JJ186" i="13"/>
  <c r="JI186" i="13"/>
  <c r="JO204" i="13"/>
  <c r="KG204" i="13" s="1"/>
  <c r="KF204" i="13"/>
  <c r="KX73" i="13"/>
  <c r="KZ73" i="13" s="1"/>
  <c r="LA73" i="13" s="1"/>
  <c r="LN73" i="13"/>
  <c r="KP73" i="13"/>
  <c r="KR73" i="13" s="1"/>
  <c r="KS73" i="13" s="1"/>
  <c r="LF73" i="13"/>
  <c r="LH73" i="13" s="1"/>
  <c r="NT202" i="13"/>
  <c r="NM202" i="13"/>
  <c r="IA202" i="13"/>
  <c r="BU17" i="13"/>
  <c r="BT17" i="13" s="1"/>
  <c r="AX17" i="13"/>
  <c r="AW17" i="13" s="1"/>
  <c r="LF175" i="13"/>
  <c r="LH175" i="13" s="1"/>
  <c r="KX175" i="13"/>
  <c r="KZ175" i="13" s="1"/>
  <c r="LA175" i="13" s="1"/>
  <c r="KP175" i="13"/>
  <c r="KR175" i="13" s="1"/>
  <c r="KS175" i="13" s="1"/>
  <c r="LN175" i="13"/>
  <c r="ND61" i="13"/>
  <c r="NE61" i="13" s="1"/>
  <c r="NM166" i="13"/>
  <c r="NT166" i="13"/>
  <c r="IA166" i="13"/>
  <c r="BP166" i="13" s="1"/>
  <c r="BO166" i="13" s="1"/>
  <c r="JK214" i="13"/>
  <c r="BU185" i="13"/>
  <c r="BT185" i="13" s="1"/>
  <c r="BC185" i="13"/>
  <c r="BB185" i="13" s="1"/>
  <c r="AX185" i="13"/>
  <c r="AW185" i="13" s="1"/>
  <c r="GP159" i="13"/>
  <c r="HS100" i="13"/>
  <c r="NL100" i="13" s="1"/>
  <c r="NK100" i="13"/>
  <c r="NY100" i="13"/>
  <c r="NS100" i="13"/>
  <c r="JK162" i="13"/>
  <c r="NM133" i="13"/>
  <c r="IA133" i="13"/>
  <c r="NN133" i="13" s="1"/>
  <c r="NT133" i="13"/>
  <c r="KP36" i="13"/>
  <c r="KR36" i="13" s="1"/>
  <c r="KS36" i="13" s="1"/>
  <c r="LN36" i="13"/>
  <c r="LF36" i="13"/>
  <c r="LH36" i="13" s="1"/>
  <c r="KX36" i="13"/>
  <c r="KZ36" i="13" s="1"/>
  <c r="LA36" i="13" s="1"/>
  <c r="E127" i="13"/>
  <c r="HX127" i="13"/>
  <c r="HZ127" i="13" s="1"/>
  <c r="HH127" i="13"/>
  <c r="HJ127" i="13" s="1"/>
  <c r="HK127" i="13" s="1"/>
  <c r="GZ127" i="13"/>
  <c r="HB127" i="13" s="1"/>
  <c r="HC127" i="13" s="1"/>
  <c r="HP127" i="13"/>
  <c r="HR127" i="13" s="1"/>
  <c r="IA156" i="13"/>
  <c r="NN156" i="13" s="1"/>
  <c r="NT156" i="13"/>
  <c r="NM156" i="13"/>
  <c r="IA91" i="13"/>
  <c r="NN91" i="13" s="1"/>
  <c r="NT91" i="13"/>
  <c r="NM91" i="13"/>
  <c r="KP50" i="13"/>
  <c r="KR50" i="13" s="1"/>
  <c r="KS50" i="13" s="1"/>
  <c r="LF50" i="13"/>
  <c r="LH50" i="13" s="1"/>
  <c r="LN50" i="13"/>
  <c r="KX50" i="13"/>
  <c r="KZ50" i="13" s="1"/>
  <c r="LA50" i="13" s="1"/>
  <c r="ND55" i="13"/>
  <c r="NE55" i="13" s="1"/>
  <c r="NK51" i="13"/>
  <c r="NY51" i="13"/>
  <c r="NS51" i="13"/>
  <c r="HS51" i="13"/>
  <c r="NN56" i="13"/>
  <c r="ND46" i="13"/>
  <c r="NE46" i="13" s="1"/>
  <c r="NH139" i="13"/>
  <c r="NG139" i="13"/>
  <c r="KH139" i="13" s="1"/>
  <c r="KJ139" i="13" s="1"/>
  <c r="KK139" i="13" s="1"/>
  <c r="NF139" i="13"/>
  <c r="JL139" i="13"/>
  <c r="JN139" i="13" s="1"/>
  <c r="BZ96" i="13"/>
  <c r="BY96" i="13" s="1"/>
  <c r="BH96" i="13"/>
  <c r="BG96" i="13" s="1"/>
  <c r="BF96" i="13" s="1"/>
  <c r="BE96" i="13" s="1"/>
  <c r="BD96" i="13" s="1"/>
  <c r="BC96" i="13"/>
  <c r="BB96" i="13" s="1"/>
  <c r="BA96" i="13" s="1"/>
  <c r="AZ96" i="13" s="1"/>
  <c r="AY96" i="13" s="1"/>
  <c r="BU96" i="13"/>
  <c r="BT96" i="13" s="1"/>
  <c r="AX96" i="13"/>
  <c r="AW96" i="13" s="1"/>
  <c r="BP96" i="13"/>
  <c r="BO96" i="13" s="1"/>
  <c r="AS96" i="13"/>
  <c r="AR96" i="13" s="1"/>
  <c r="AQ96" i="13" s="1"/>
  <c r="AP96" i="13" s="1"/>
  <c r="AO96" i="13" s="1"/>
  <c r="AL96" i="13" s="1"/>
  <c r="CE96" i="13"/>
  <c r="CD96" i="13" s="1"/>
  <c r="JK153" i="13"/>
  <c r="NS142" i="13"/>
  <c r="NK142" i="13"/>
  <c r="NY142" i="13"/>
  <c r="HS142" i="13"/>
  <c r="NL142" i="13" s="1"/>
  <c r="NH182" i="13"/>
  <c r="NG182" i="13"/>
  <c r="KH182" i="13" s="1"/>
  <c r="KJ182" i="13" s="1"/>
  <c r="KK182" i="13" s="1"/>
  <c r="NF182" i="13"/>
  <c r="JL182" i="13"/>
  <c r="JN182" i="13" s="1"/>
  <c r="NH163" i="13"/>
  <c r="NG163" i="13"/>
  <c r="KH163" i="13" s="1"/>
  <c r="KJ163" i="13" s="1"/>
  <c r="KK163" i="13" s="1"/>
  <c r="NF163" i="13"/>
  <c r="JL163" i="13"/>
  <c r="JN163" i="13" s="1"/>
  <c r="JK122" i="13"/>
  <c r="JJ168" i="13"/>
  <c r="JI168" i="13"/>
  <c r="AX205" i="13"/>
  <c r="AW205" i="13" s="1"/>
  <c r="BU205" i="13"/>
  <c r="BT205" i="13" s="1"/>
  <c r="LN76" i="13"/>
  <c r="KP76" i="13"/>
  <c r="KR76" i="13" s="1"/>
  <c r="KS76" i="13" s="1"/>
  <c r="LF76" i="13"/>
  <c r="LH76" i="13" s="1"/>
  <c r="KX76" i="13"/>
  <c r="KZ76" i="13" s="1"/>
  <c r="LA76" i="13" s="1"/>
  <c r="GF101" i="13"/>
  <c r="GO101" i="13"/>
  <c r="LN165" i="13"/>
  <c r="KX165" i="13"/>
  <c r="KZ165" i="13" s="1"/>
  <c r="LA165" i="13" s="1"/>
  <c r="LF165" i="13"/>
  <c r="LH165" i="13" s="1"/>
  <c r="KP165" i="13"/>
  <c r="KR165" i="13" s="1"/>
  <c r="KS165" i="13" s="1"/>
  <c r="ND142" i="13"/>
  <c r="NE142" i="13" s="1"/>
  <c r="LN189" i="13"/>
  <c r="KX189" i="13"/>
  <c r="KZ189" i="13" s="1"/>
  <c r="LA189" i="13" s="1"/>
  <c r="KP189" i="13"/>
  <c r="KR189" i="13" s="1"/>
  <c r="KS189" i="13" s="1"/>
  <c r="LF189" i="13"/>
  <c r="LH189" i="13" s="1"/>
  <c r="GP151" i="13"/>
  <c r="NL151" i="13"/>
  <c r="NI171" i="13"/>
  <c r="KL171" i="13"/>
  <c r="KN171" i="13" s="1"/>
  <c r="KO171" i="13" s="1"/>
  <c r="CE13" i="13"/>
  <c r="CD13" i="13" s="1"/>
  <c r="BH13" i="13"/>
  <c r="BG13" i="13" s="1"/>
  <c r="BZ13" i="13"/>
  <c r="BY13" i="13" s="1"/>
  <c r="AX13" i="13"/>
  <c r="AW13" i="13" s="1"/>
  <c r="BC13" i="13"/>
  <c r="BB13" i="13" s="1"/>
  <c r="BU13" i="13"/>
  <c r="BT13" i="13" s="1"/>
  <c r="E47" i="13"/>
  <c r="HH47" i="13"/>
  <c r="HJ47" i="13" s="1"/>
  <c r="HK47" i="13" s="1"/>
  <c r="GZ47" i="13"/>
  <c r="HB47" i="13" s="1"/>
  <c r="HC47" i="13" s="1"/>
  <c r="HP47" i="13"/>
  <c r="HR47" i="13" s="1"/>
  <c r="HX47" i="13"/>
  <c r="HZ47" i="13" s="1"/>
  <c r="JI191" i="13"/>
  <c r="JJ191" i="13"/>
  <c r="JO51" i="13"/>
  <c r="KF51" i="13"/>
  <c r="GP152" i="13"/>
  <c r="NL152" i="13"/>
  <c r="NN152" i="13"/>
  <c r="E117" i="13"/>
  <c r="GZ117" i="13"/>
  <c r="HB117" i="13" s="1"/>
  <c r="HC117" i="13" s="1"/>
  <c r="HH117" i="13"/>
  <c r="HJ117" i="13" s="1"/>
  <c r="HK117" i="13" s="1"/>
  <c r="HX117" i="13"/>
  <c r="HZ117" i="13" s="1"/>
  <c r="HP117" i="13"/>
  <c r="HR117" i="13" s="1"/>
  <c r="BP172" i="13"/>
  <c r="BO172" i="13" s="1"/>
  <c r="BN172" i="13" s="1"/>
  <c r="BM172" i="13" s="1"/>
  <c r="BL172" i="13" s="1"/>
  <c r="CE172" i="13"/>
  <c r="CD172" i="13" s="1"/>
  <c r="AX172" i="13"/>
  <c r="AW172" i="13" s="1"/>
  <c r="AV172" i="13" s="1"/>
  <c r="AU172" i="13" s="1"/>
  <c r="AT172" i="13" s="1"/>
  <c r="AS172" i="13"/>
  <c r="AR172" i="13" s="1"/>
  <c r="AQ172" i="13" s="1"/>
  <c r="AP172" i="13" s="1"/>
  <c r="AO172" i="13" s="1"/>
  <c r="AL172" i="13" s="1"/>
  <c r="BH172" i="13"/>
  <c r="BG172" i="13" s="1"/>
  <c r="BF172" i="13" s="1"/>
  <c r="BE172" i="13" s="1"/>
  <c r="BD172" i="13" s="1"/>
  <c r="BZ172" i="13"/>
  <c r="BY172" i="13" s="1"/>
  <c r="BC172" i="13"/>
  <c r="BB172" i="13" s="1"/>
  <c r="BA172" i="13" s="1"/>
  <c r="AZ172" i="13" s="1"/>
  <c r="AY172" i="13" s="1"/>
  <c r="BU172" i="13"/>
  <c r="BT172" i="13" s="1"/>
  <c r="BS172" i="13" s="1"/>
  <c r="BR172" i="13" s="1"/>
  <c r="BQ172" i="13" s="1"/>
  <c r="JJ103" i="13"/>
  <c r="JI103" i="13"/>
  <c r="NH81" i="13"/>
  <c r="NG81" i="13"/>
  <c r="KH81" i="13" s="1"/>
  <c r="KJ81" i="13" s="1"/>
  <c r="KK81" i="13" s="1"/>
  <c r="NF81" i="13"/>
  <c r="JL81" i="13"/>
  <c r="JN81" i="13" s="1"/>
  <c r="AX43" i="13"/>
  <c r="AW43" i="13" s="1"/>
  <c r="AV43" i="13" s="1"/>
  <c r="AU43" i="13" s="1"/>
  <c r="AT43" i="13" s="1"/>
  <c r="AS43" i="13"/>
  <c r="AR43" i="13" s="1"/>
  <c r="AQ43" i="13" s="1"/>
  <c r="AP43" i="13" s="1"/>
  <c r="AO43" i="13" s="1"/>
  <c r="AL43" i="13" s="1"/>
  <c r="BP43" i="13"/>
  <c r="BO43" i="13" s="1"/>
  <c r="BN43" i="13" s="1"/>
  <c r="BM43" i="13" s="1"/>
  <c r="BL43" i="13" s="1"/>
  <c r="CE43" i="13"/>
  <c r="CD43" i="13" s="1"/>
  <c r="BH43" i="13"/>
  <c r="BG43" i="13" s="1"/>
  <c r="BF43" i="13" s="1"/>
  <c r="BE43" i="13" s="1"/>
  <c r="BD43" i="13" s="1"/>
  <c r="BZ43" i="13"/>
  <c r="BY43" i="13" s="1"/>
  <c r="BC43" i="13"/>
  <c r="BB43" i="13" s="1"/>
  <c r="BA43" i="13" s="1"/>
  <c r="AZ43" i="13" s="1"/>
  <c r="AY43" i="13" s="1"/>
  <c r="BU43" i="13"/>
  <c r="BT43" i="13" s="1"/>
  <c r="BS43" i="13" s="1"/>
  <c r="BR43" i="13" s="1"/>
  <c r="BQ43" i="13" s="1"/>
  <c r="GF138" i="13"/>
  <c r="GO138" i="13"/>
  <c r="HL210" i="13"/>
  <c r="HN210" i="13" s="1"/>
  <c r="HO210" i="13" s="1"/>
  <c r="IB210" i="13"/>
  <c r="ID210" i="13" s="1"/>
  <c r="IE210" i="13" s="1"/>
  <c r="HT210" i="13"/>
  <c r="HV210" i="13" s="1"/>
  <c r="HW210" i="13" s="1"/>
  <c r="HD210" i="13"/>
  <c r="HF210" i="13" s="1"/>
  <c r="HG210" i="13" s="1"/>
  <c r="GF180" i="13"/>
  <c r="GO180" i="13"/>
  <c r="ND178" i="13"/>
  <c r="NE178" i="13" s="1"/>
  <c r="JJ133" i="13"/>
  <c r="JI133" i="13"/>
  <c r="NT12" i="13"/>
  <c r="BX24" i="13" s="1"/>
  <c r="BW24" i="13" s="1"/>
  <c r="BV24" i="13" s="1"/>
  <c r="NM12" i="13"/>
  <c r="IA12" i="13"/>
  <c r="NN12" i="13" s="1"/>
  <c r="LF91" i="13"/>
  <c r="LH91" i="13" s="1"/>
  <c r="KX91" i="13"/>
  <c r="KZ91" i="13" s="1"/>
  <c r="LA91" i="13" s="1"/>
  <c r="KP91" i="13"/>
  <c r="KR91" i="13" s="1"/>
  <c r="KS91" i="13" s="1"/>
  <c r="LN91" i="13"/>
  <c r="E46" i="13"/>
  <c r="GZ46" i="13"/>
  <c r="HB46" i="13" s="1"/>
  <c r="HC46" i="13" s="1"/>
  <c r="HP46" i="13"/>
  <c r="HR46" i="13" s="1"/>
  <c r="HH46" i="13"/>
  <c r="HJ46" i="13" s="1"/>
  <c r="HK46" i="13" s="1"/>
  <c r="HX46" i="13"/>
  <c r="HZ46" i="13" s="1"/>
  <c r="NH145" i="13"/>
  <c r="NG145" i="13"/>
  <c r="KH145" i="13" s="1"/>
  <c r="KJ145" i="13" s="1"/>
  <c r="KK145" i="13" s="1"/>
  <c r="NF145" i="13"/>
  <c r="JL145" i="13"/>
  <c r="JN145" i="13" s="1"/>
  <c r="NI49" i="13"/>
  <c r="KL49" i="13"/>
  <c r="KN49" i="13" s="1"/>
  <c r="KO49" i="13" s="1"/>
  <c r="AX100" i="13"/>
  <c r="AW100" i="13" s="1"/>
  <c r="AS100" i="13"/>
  <c r="AR100" i="13" s="1"/>
  <c r="BU100" i="13"/>
  <c r="BT100" i="13" s="1"/>
  <c r="BC65" i="13"/>
  <c r="BB65" i="13" s="1"/>
  <c r="BA65" i="13" s="1"/>
  <c r="AZ65" i="13" s="1"/>
  <c r="AY65" i="13" s="1"/>
  <c r="BZ65" i="13"/>
  <c r="BY65" i="13" s="1"/>
  <c r="AX65" i="13"/>
  <c r="AW65" i="13" s="1"/>
  <c r="AV65" i="13" s="1"/>
  <c r="AU65" i="13" s="1"/>
  <c r="AT65" i="13" s="1"/>
  <c r="BU65" i="13"/>
  <c r="BT65" i="13" s="1"/>
  <c r="BS65" i="13" s="1"/>
  <c r="BR65" i="13" s="1"/>
  <c r="BQ65" i="13" s="1"/>
  <c r="BP65" i="13"/>
  <c r="BO65" i="13" s="1"/>
  <c r="BN65" i="13" s="1"/>
  <c r="BM65" i="13" s="1"/>
  <c r="BL65" i="13" s="1"/>
  <c r="CE65" i="13"/>
  <c r="CD65" i="13" s="1"/>
  <c r="CC65" i="13" s="1"/>
  <c r="CB65" i="13" s="1"/>
  <c r="CA65" i="13" s="1"/>
  <c r="AS65" i="13"/>
  <c r="AR65" i="13" s="1"/>
  <c r="AQ65" i="13" s="1"/>
  <c r="AP65" i="13" s="1"/>
  <c r="AO65" i="13" s="1"/>
  <c r="AL65" i="13" s="1"/>
  <c r="BH65" i="13"/>
  <c r="BG65" i="13" s="1"/>
  <c r="BF65" i="13" s="1"/>
  <c r="BE65" i="13" s="1"/>
  <c r="BD65" i="13" s="1"/>
  <c r="KP106" i="13"/>
  <c r="KR106" i="13" s="1"/>
  <c r="KS106" i="13" s="1"/>
  <c r="LN106" i="13"/>
  <c r="LF106" i="13"/>
  <c r="LH106" i="13" s="1"/>
  <c r="KX106" i="13"/>
  <c r="KZ106" i="13" s="1"/>
  <c r="LA106" i="13" s="1"/>
  <c r="JK91" i="13"/>
  <c r="CC204" i="13"/>
  <c r="CB204" i="13" s="1"/>
  <c r="CA204" i="13" s="1"/>
  <c r="ND206" i="13"/>
  <c r="NE206" i="13" s="1"/>
  <c r="NI52" i="13"/>
  <c r="KL52" i="13"/>
  <c r="KN52" i="13" s="1"/>
  <c r="KO52" i="13" s="1"/>
  <c r="NK205" i="13"/>
  <c r="NY205" i="13"/>
  <c r="HS205" i="13"/>
  <c r="AS205" i="13" s="1"/>
  <c r="AR205" i="13" s="1"/>
  <c r="NS205" i="13"/>
  <c r="MW125" i="13"/>
  <c r="GV125" i="13"/>
  <c r="GX125" i="13" s="1"/>
  <c r="GY125" i="13" s="1"/>
  <c r="BP184" i="13"/>
  <c r="BO184" i="13" s="1"/>
  <c r="BN184" i="13" s="1"/>
  <c r="BM184" i="13" s="1"/>
  <c r="BL184" i="13" s="1"/>
  <c r="BH184" i="13"/>
  <c r="BG184" i="13" s="1"/>
  <c r="AX184" i="13"/>
  <c r="AW184" i="13" s="1"/>
  <c r="AV184" i="13" s="1"/>
  <c r="AU184" i="13" s="1"/>
  <c r="AT184" i="13" s="1"/>
  <c r="CE184" i="13"/>
  <c r="CD184" i="13" s="1"/>
  <c r="CC184" i="13" s="1"/>
  <c r="CB184" i="13" s="1"/>
  <c r="BZ184" i="13"/>
  <c r="BY184" i="13" s="1"/>
  <c r="BU184" i="13"/>
  <c r="BT184" i="13" s="1"/>
  <c r="BC184" i="13"/>
  <c r="BB184" i="13" s="1"/>
  <c r="NG124" i="13"/>
  <c r="KH124" i="13" s="1"/>
  <c r="KJ124" i="13" s="1"/>
  <c r="KK124" i="13" s="1"/>
  <c r="NF124" i="13"/>
  <c r="NH124" i="13"/>
  <c r="JL124" i="13"/>
  <c r="JN124" i="13" s="1"/>
  <c r="NH207" i="13"/>
  <c r="NG207" i="13"/>
  <c r="KH207" i="13" s="1"/>
  <c r="KJ207" i="13" s="1"/>
  <c r="KK207" i="13" s="1"/>
  <c r="NF207" i="13"/>
  <c r="JL207" i="13"/>
  <c r="JN207" i="13" s="1"/>
  <c r="NX32" i="13"/>
  <c r="NW32" i="13"/>
  <c r="NI23" i="13"/>
  <c r="KL23" i="13"/>
  <c r="KN23" i="13" s="1"/>
  <c r="KO23" i="13" s="1"/>
  <c r="NH92" i="13"/>
  <c r="NG92" i="13"/>
  <c r="KH92" i="13" s="1"/>
  <c r="KJ92" i="13" s="1"/>
  <c r="KK92" i="13" s="1"/>
  <c r="NF92" i="13"/>
  <c r="JL92" i="13"/>
  <c r="JN92" i="13" s="1"/>
  <c r="IA124" i="13"/>
  <c r="NN124" i="13" s="1"/>
  <c r="NT124" i="13"/>
  <c r="NM124" i="13"/>
  <c r="E109" i="13"/>
  <c r="HX109" i="13"/>
  <c r="HZ109" i="13" s="1"/>
  <c r="GZ109" i="13"/>
  <c r="HB109" i="13" s="1"/>
  <c r="HC109" i="13" s="1"/>
  <c r="HP109" i="13"/>
  <c r="HR109" i="13" s="1"/>
  <c r="HH109" i="13"/>
  <c r="HJ109" i="13" s="1"/>
  <c r="HK109" i="13" s="1"/>
  <c r="LN26" i="13"/>
  <c r="KP26" i="13"/>
  <c r="KR26" i="13" s="1"/>
  <c r="KS26" i="13" s="1"/>
  <c r="KX26" i="13"/>
  <c r="KZ26" i="13" s="1"/>
  <c r="LA26" i="13" s="1"/>
  <c r="DP26" i="13" s="1"/>
  <c r="DO26" i="13" s="1"/>
  <c r="LF26" i="13"/>
  <c r="LH26" i="13" s="1"/>
  <c r="NI204" i="13"/>
  <c r="KL204" i="13"/>
  <c r="KN204" i="13" s="1"/>
  <c r="KO204" i="13" s="1"/>
  <c r="NX49" i="13"/>
  <c r="NW49" i="13"/>
  <c r="BX48" i="13"/>
  <c r="BW48" i="13" s="1"/>
  <c r="BV48" i="13" s="1"/>
  <c r="IA154" i="13"/>
  <c r="NT154" i="13"/>
  <c r="NM154" i="13"/>
  <c r="NX149" i="13"/>
  <c r="NW149" i="13"/>
  <c r="GP114" i="13"/>
  <c r="HT94" i="13"/>
  <c r="HV94" i="13" s="1"/>
  <c r="HW94" i="13" s="1"/>
  <c r="IB94" i="13"/>
  <c r="ID94" i="13" s="1"/>
  <c r="IE94" i="13" s="1"/>
  <c r="HD94" i="13"/>
  <c r="HF94" i="13" s="1"/>
  <c r="HG94" i="13" s="1"/>
  <c r="HL94" i="13"/>
  <c r="HN94" i="13" s="1"/>
  <c r="HO94" i="13" s="1"/>
  <c r="NX40" i="13"/>
  <c r="NW40" i="13"/>
  <c r="JJ55" i="13"/>
  <c r="JI55" i="13"/>
  <c r="BU56" i="13"/>
  <c r="BT56" i="13" s="1"/>
  <c r="BS56" i="13" s="1"/>
  <c r="BR56" i="13" s="1"/>
  <c r="BQ56" i="13" s="1"/>
  <c r="AX56" i="13"/>
  <c r="AW56" i="13" s="1"/>
  <c r="AV56" i="13" s="1"/>
  <c r="AU56" i="13" s="1"/>
  <c r="AT56" i="13" s="1"/>
  <c r="BP56" i="13"/>
  <c r="BO56" i="13" s="1"/>
  <c r="BN56" i="13" s="1"/>
  <c r="BM56" i="13" s="1"/>
  <c r="BL56" i="13" s="1"/>
  <c r="CE56" i="13"/>
  <c r="CD56" i="13" s="1"/>
  <c r="CC56" i="13" s="1"/>
  <c r="CB56" i="13" s="1"/>
  <c r="CA56" i="13" s="1"/>
  <c r="AS56" i="13"/>
  <c r="AR56" i="13" s="1"/>
  <c r="AQ56" i="13" s="1"/>
  <c r="AP56" i="13" s="1"/>
  <c r="AO56" i="13" s="1"/>
  <c r="AL56" i="13" s="1"/>
  <c r="BZ56" i="13"/>
  <c r="BY56" i="13" s="1"/>
  <c r="BX56" i="13" s="1"/>
  <c r="BW56" i="13" s="1"/>
  <c r="BV56" i="13" s="1"/>
  <c r="BH56" i="13"/>
  <c r="BG56" i="13" s="1"/>
  <c r="BF56" i="13" s="1"/>
  <c r="BE56" i="13" s="1"/>
  <c r="BD56" i="13" s="1"/>
  <c r="BC56" i="13"/>
  <c r="BB56" i="13" s="1"/>
  <c r="BA56" i="13" s="1"/>
  <c r="AZ56" i="13" s="1"/>
  <c r="AY56" i="13" s="1"/>
  <c r="JK172" i="13"/>
  <c r="JJ181" i="13"/>
  <c r="JI181" i="13"/>
  <c r="JO149" i="13"/>
  <c r="KG149" i="13" s="1"/>
  <c r="KF149" i="13"/>
  <c r="GF167" i="13"/>
  <c r="GO167" i="13"/>
  <c r="NG172" i="13"/>
  <c r="KH172" i="13" s="1"/>
  <c r="KJ172" i="13" s="1"/>
  <c r="KK172" i="13" s="1"/>
  <c r="NH172" i="13"/>
  <c r="NF172" i="13"/>
  <c r="JL172" i="13"/>
  <c r="JN172" i="13" s="1"/>
  <c r="HS139" i="13"/>
  <c r="AS139" i="13" s="1"/>
  <c r="AR139" i="13" s="1"/>
  <c r="NK139" i="13"/>
  <c r="NY139" i="13"/>
  <c r="NS139" i="13"/>
  <c r="GP189" i="13"/>
  <c r="NL189" i="13"/>
  <c r="BP105" i="13"/>
  <c r="BO105" i="13" s="1"/>
  <c r="BN105" i="13" s="1"/>
  <c r="BM105" i="13" s="1"/>
  <c r="BL105" i="13" s="1"/>
  <c r="BZ105" i="13"/>
  <c r="BY105" i="13" s="1"/>
  <c r="BX105" i="13" s="1"/>
  <c r="BW105" i="13" s="1"/>
  <c r="BV105" i="13" s="1"/>
  <c r="CE105" i="13"/>
  <c r="CD105" i="13" s="1"/>
  <c r="CC105" i="13" s="1"/>
  <c r="CB105" i="13" s="1"/>
  <c r="CA105" i="13" s="1"/>
  <c r="BC105" i="13"/>
  <c r="BB105" i="13" s="1"/>
  <c r="BA105" i="13" s="1"/>
  <c r="AZ105" i="13" s="1"/>
  <c r="AY105" i="13" s="1"/>
  <c r="AS105" i="13"/>
  <c r="AR105" i="13" s="1"/>
  <c r="AQ105" i="13" s="1"/>
  <c r="AP105" i="13" s="1"/>
  <c r="AO105" i="13" s="1"/>
  <c r="AL105" i="13" s="1"/>
  <c r="BU105" i="13"/>
  <c r="BT105" i="13" s="1"/>
  <c r="BS105" i="13" s="1"/>
  <c r="BR105" i="13" s="1"/>
  <c r="BQ105" i="13" s="1"/>
  <c r="AX105" i="13"/>
  <c r="AW105" i="13" s="1"/>
  <c r="AV105" i="13" s="1"/>
  <c r="AU105" i="13" s="1"/>
  <c r="AT105" i="13" s="1"/>
  <c r="BH105" i="13"/>
  <c r="BG105" i="13" s="1"/>
  <c r="BF105" i="13" s="1"/>
  <c r="BE105" i="13" s="1"/>
  <c r="BD105" i="13" s="1"/>
  <c r="NX43" i="13"/>
  <c r="NW43" i="13"/>
  <c r="NL62" i="13"/>
  <c r="NN95" i="13"/>
  <c r="MW101" i="13"/>
  <c r="GV101" i="13"/>
  <c r="GX101" i="13" s="1"/>
  <c r="GY101" i="13" s="1"/>
  <c r="NK208" i="13"/>
  <c r="NS208" i="13"/>
  <c r="NY208" i="13"/>
  <c r="HS208" i="13"/>
  <c r="NL208" i="13" s="1"/>
  <c r="JO194" i="13"/>
  <c r="KG194" i="13" s="1"/>
  <c r="KF194" i="13"/>
  <c r="ND39" i="13"/>
  <c r="NE39" i="13" s="1"/>
  <c r="NK184" i="13"/>
  <c r="NY184" i="13"/>
  <c r="NS184" i="13"/>
  <c r="HS184" i="13"/>
  <c r="AS184" i="13" s="1"/>
  <c r="AR184" i="13" s="1"/>
  <c r="AQ184" i="13" s="1"/>
  <c r="AP184" i="13" s="1"/>
  <c r="AO184" i="13" s="1"/>
  <c r="AL184" i="13" s="1"/>
  <c r="BH157" i="13"/>
  <c r="BG157" i="13" s="1"/>
  <c r="BF157" i="13" s="1"/>
  <c r="BE157" i="13" s="1"/>
  <c r="BD157" i="13" s="1"/>
  <c r="BU157" i="13"/>
  <c r="BT157" i="13" s="1"/>
  <c r="BS157" i="13" s="1"/>
  <c r="BR157" i="13" s="1"/>
  <c r="BQ157" i="13" s="1"/>
  <c r="BC157" i="13"/>
  <c r="BB157" i="13" s="1"/>
  <c r="BA157" i="13" s="1"/>
  <c r="AZ157" i="13" s="1"/>
  <c r="AY157" i="13" s="1"/>
  <c r="BP157" i="13"/>
  <c r="BO157" i="13" s="1"/>
  <c r="BN157" i="13" s="1"/>
  <c r="BM157" i="13" s="1"/>
  <c r="BL157" i="13" s="1"/>
  <c r="AX157" i="13"/>
  <c r="AW157" i="13" s="1"/>
  <c r="AV157" i="13" s="1"/>
  <c r="AU157" i="13" s="1"/>
  <c r="AT157" i="13" s="1"/>
  <c r="CE157" i="13"/>
  <c r="CD157" i="13" s="1"/>
  <c r="CC157" i="13" s="1"/>
  <c r="CB157" i="13" s="1"/>
  <c r="CA157" i="13" s="1"/>
  <c r="AS157" i="13"/>
  <c r="AR157" i="13" s="1"/>
  <c r="AQ157" i="13" s="1"/>
  <c r="AP157" i="13" s="1"/>
  <c r="AO157" i="13" s="1"/>
  <c r="AL157" i="13" s="1"/>
  <c r="BZ157" i="13"/>
  <c r="BY157" i="13" s="1"/>
  <c r="BX157" i="13" s="1"/>
  <c r="BW157" i="13" s="1"/>
  <c r="BV157" i="13" s="1"/>
  <c r="LJ197" i="13"/>
  <c r="LL197" i="13" s="1"/>
  <c r="LM197" i="13" s="1"/>
  <c r="CW197" i="13" s="1"/>
  <c r="CV197" i="13" s="1"/>
  <c r="CU197" i="13" s="1"/>
  <c r="CT197" i="13" s="1"/>
  <c r="CS197" i="13" s="1"/>
  <c r="LR197" i="13"/>
  <c r="LT197" i="13" s="1"/>
  <c r="LU197" i="13" s="1"/>
  <c r="KT197" i="13"/>
  <c r="KV197" i="13" s="1"/>
  <c r="KW197" i="13" s="1"/>
  <c r="DB197" i="13" s="1"/>
  <c r="DA197" i="13" s="1"/>
  <c r="CZ197" i="13" s="1"/>
  <c r="CY197" i="13" s="1"/>
  <c r="CX197" i="13" s="1"/>
  <c r="LB197" i="13"/>
  <c r="LD197" i="13" s="1"/>
  <c r="LE197" i="13" s="1"/>
  <c r="LN53" i="13"/>
  <c r="LF53" i="13"/>
  <c r="LH53" i="13" s="1"/>
  <c r="KP53" i="13"/>
  <c r="KR53" i="13" s="1"/>
  <c r="KS53" i="13" s="1"/>
  <c r="KX53" i="13"/>
  <c r="KZ53" i="13" s="1"/>
  <c r="LA53" i="13" s="1"/>
  <c r="E79" i="13"/>
  <c r="HP79" i="13"/>
  <c r="HR79" i="13" s="1"/>
  <c r="HH79" i="13"/>
  <c r="HJ79" i="13" s="1"/>
  <c r="HK79" i="13" s="1"/>
  <c r="GZ79" i="13"/>
  <c r="HB79" i="13" s="1"/>
  <c r="HC79" i="13" s="1"/>
  <c r="HX79" i="13"/>
  <c r="HZ79" i="13" s="1"/>
  <c r="NK112" i="13"/>
  <c r="NY112" i="13"/>
  <c r="NS112" i="13"/>
  <c r="HS112" i="13"/>
  <c r="NL112" i="13" s="1"/>
  <c r="NH30" i="13"/>
  <c r="NG30" i="13"/>
  <c r="KH30" i="13" s="1"/>
  <c r="KJ30" i="13" s="1"/>
  <c r="KK30" i="13" s="1"/>
  <c r="NF30" i="13"/>
  <c r="NH12" i="13"/>
  <c r="NG12" i="13"/>
  <c r="KH12" i="13" s="1"/>
  <c r="KJ12" i="13" s="1"/>
  <c r="KK12" i="13" s="1"/>
  <c r="NF12" i="13"/>
  <c r="NH191" i="13"/>
  <c r="NG191" i="13"/>
  <c r="KH191" i="13" s="1"/>
  <c r="KJ191" i="13" s="1"/>
  <c r="KK191" i="13" s="1"/>
  <c r="NF191" i="13"/>
  <c r="JL191" i="13"/>
  <c r="JN191" i="13" s="1"/>
  <c r="NI51" i="13"/>
  <c r="KL51" i="13"/>
  <c r="KN51" i="13" s="1"/>
  <c r="KO51" i="13" s="1"/>
  <c r="NI33" i="13"/>
  <c r="KL33" i="13"/>
  <c r="KN33" i="13" s="1"/>
  <c r="KO33" i="13" s="1"/>
  <c r="NX176" i="13"/>
  <c r="NW176" i="13"/>
  <c r="NH114" i="13"/>
  <c r="NG114" i="13"/>
  <c r="KH114" i="13" s="1"/>
  <c r="KJ114" i="13" s="1"/>
  <c r="KK114" i="13" s="1"/>
  <c r="NF114" i="13"/>
  <c r="JL114" i="13"/>
  <c r="JN114" i="13" s="1"/>
  <c r="NH16" i="13"/>
  <c r="NG16" i="13"/>
  <c r="KH16" i="13" s="1"/>
  <c r="KJ16" i="13" s="1"/>
  <c r="KK16" i="13" s="1"/>
  <c r="NF16" i="13"/>
  <c r="ND120" i="13"/>
  <c r="NE120" i="13" s="1"/>
  <c r="MW138" i="13"/>
  <c r="GV138" i="13"/>
  <c r="GX138" i="13" s="1"/>
  <c r="GY138" i="13" s="1"/>
  <c r="NT118" i="13"/>
  <c r="NM118" i="13"/>
  <c r="AV118" i="13" s="1"/>
  <c r="AU118" i="13" s="1"/>
  <c r="AT118" i="13" s="1"/>
  <c r="IA118" i="13"/>
  <c r="BU16" i="13"/>
  <c r="BT16" i="13" s="1"/>
  <c r="BS16" i="13" s="1"/>
  <c r="BR16" i="13" s="1"/>
  <c r="BQ16" i="13" s="1"/>
  <c r="AX16" i="13"/>
  <c r="AW16" i="13" s="1"/>
  <c r="AV16" i="13" s="1"/>
  <c r="AU16" i="13" s="1"/>
  <c r="AT16" i="13" s="1"/>
  <c r="AS16" i="13"/>
  <c r="AR16" i="13" s="1"/>
  <c r="AQ16" i="13" s="1"/>
  <c r="AP16" i="13" s="1"/>
  <c r="AO16" i="13" s="1"/>
  <c r="AL16" i="13" s="1"/>
  <c r="BP16" i="13"/>
  <c r="BO16" i="13" s="1"/>
  <c r="BN16" i="13" s="1"/>
  <c r="BM16" i="13" s="1"/>
  <c r="BL16" i="13" s="1"/>
  <c r="JJ68" i="13"/>
  <c r="JI68" i="13"/>
  <c r="GP82" i="13"/>
  <c r="JK145" i="13"/>
  <c r="MW180" i="13"/>
  <c r="GV180" i="13"/>
  <c r="GX180" i="13" s="1"/>
  <c r="GY180" i="13" s="1"/>
  <c r="JJ178" i="13"/>
  <c r="JI178" i="13"/>
  <c r="JO173" i="13"/>
  <c r="KG173" i="13" s="1"/>
  <c r="KF173" i="13"/>
  <c r="NS68" i="13"/>
  <c r="HS68" i="13"/>
  <c r="NL68" i="13" s="1"/>
  <c r="NK68" i="13"/>
  <c r="NY68" i="13"/>
  <c r="NH179" i="13"/>
  <c r="NG179" i="13"/>
  <c r="KH179" i="13" s="1"/>
  <c r="KJ179" i="13" s="1"/>
  <c r="KK179" i="13" s="1"/>
  <c r="NF179" i="13"/>
  <c r="JL179" i="13"/>
  <c r="JN179" i="13" s="1"/>
  <c r="KX63" i="13"/>
  <c r="KZ63" i="13" s="1"/>
  <c r="LA63" i="13" s="1"/>
  <c r="LN63" i="13"/>
  <c r="KP63" i="13"/>
  <c r="KR63" i="13" s="1"/>
  <c r="KS63" i="13" s="1"/>
  <c r="LF63" i="13"/>
  <c r="LH63" i="13" s="1"/>
  <c r="NY122" i="13"/>
  <c r="NS122" i="13"/>
  <c r="HS122" i="13"/>
  <c r="NL122" i="13" s="1"/>
  <c r="NK122" i="13"/>
  <c r="NI106" i="13"/>
  <c r="KL106" i="13"/>
  <c r="KN106" i="13" s="1"/>
  <c r="KO106" i="13" s="1"/>
  <c r="IA214" i="13"/>
  <c r="NT214" i="13"/>
  <c r="NM214" i="13"/>
  <c r="HT86" i="13"/>
  <c r="HV86" i="13" s="1"/>
  <c r="HW86" i="13" s="1"/>
  <c r="BC86" i="13" s="1"/>
  <c r="BB86" i="13" s="1"/>
  <c r="HL86" i="13"/>
  <c r="HN86" i="13" s="1"/>
  <c r="HO86" i="13" s="1"/>
  <c r="BH86" i="13" s="1"/>
  <c r="BG86" i="13" s="1"/>
  <c r="IB86" i="13"/>
  <c r="ID86" i="13" s="1"/>
  <c r="IE86" i="13" s="1"/>
  <c r="BZ86" i="13" s="1"/>
  <c r="BY86" i="13" s="1"/>
  <c r="BX86" i="13" s="1"/>
  <c r="BW86" i="13" s="1"/>
  <c r="BV86" i="13" s="1"/>
  <c r="HD86" i="13"/>
  <c r="HF86" i="13" s="1"/>
  <c r="HG86" i="13" s="1"/>
  <c r="JK64" i="13"/>
  <c r="NT205" i="13"/>
  <c r="IA205" i="13"/>
  <c r="BP205" i="13" s="1"/>
  <c r="BO205" i="13" s="1"/>
  <c r="NM205" i="13"/>
  <c r="NI31" i="13"/>
  <c r="KL31" i="13"/>
  <c r="KN31" i="13" s="1"/>
  <c r="KO31" i="13" s="1"/>
  <c r="BX161" i="13"/>
  <c r="BW161" i="13" s="1"/>
  <c r="BV161" i="13" s="1"/>
  <c r="JK113" i="13"/>
  <c r="NG84" i="13"/>
  <c r="KH84" i="13" s="1"/>
  <c r="KJ84" i="13" s="1"/>
  <c r="KK84" i="13" s="1"/>
  <c r="NF84" i="13"/>
  <c r="NH84" i="13"/>
  <c r="JL84" i="13"/>
  <c r="JN84" i="13" s="1"/>
  <c r="AS145" i="13"/>
  <c r="AR145" i="13" s="1"/>
  <c r="AQ145" i="13" s="1"/>
  <c r="AP145" i="13" s="1"/>
  <c r="AO145" i="13" s="1"/>
  <c r="AL145" i="13" s="1"/>
  <c r="BH145" i="13"/>
  <c r="BG145" i="13" s="1"/>
  <c r="BF145" i="13" s="1"/>
  <c r="BE145" i="13" s="1"/>
  <c r="BD145" i="13" s="1"/>
  <c r="BZ145" i="13"/>
  <c r="BY145" i="13" s="1"/>
  <c r="BX145" i="13" s="1"/>
  <c r="BW145" i="13" s="1"/>
  <c r="BV145" i="13" s="1"/>
  <c r="BC145" i="13"/>
  <c r="BB145" i="13" s="1"/>
  <c r="BA145" i="13" s="1"/>
  <c r="AZ145" i="13" s="1"/>
  <c r="AY145" i="13" s="1"/>
  <c r="BU145" i="13"/>
  <c r="BT145" i="13" s="1"/>
  <c r="BS145" i="13" s="1"/>
  <c r="BR145" i="13" s="1"/>
  <c r="BQ145" i="13" s="1"/>
  <c r="AX145" i="13"/>
  <c r="AW145" i="13" s="1"/>
  <c r="AV145" i="13" s="1"/>
  <c r="AU145" i="13" s="1"/>
  <c r="AT145" i="13" s="1"/>
  <c r="BP145" i="13"/>
  <c r="BO145" i="13" s="1"/>
  <c r="BN145" i="13" s="1"/>
  <c r="BM145" i="13" s="1"/>
  <c r="BL145" i="13" s="1"/>
  <c r="CE145" i="13"/>
  <c r="CD145" i="13" s="1"/>
  <c r="CC145" i="13" s="1"/>
  <c r="CB145" i="13" s="1"/>
  <c r="CA145" i="13" s="1"/>
  <c r="NH192" i="13"/>
  <c r="NG192" i="13"/>
  <c r="KH192" i="13" s="1"/>
  <c r="KJ192" i="13" s="1"/>
  <c r="KK192" i="13" s="1"/>
  <c r="NF192" i="13"/>
  <c r="JL192" i="13"/>
  <c r="JN192" i="13" s="1"/>
  <c r="JK106" i="13"/>
  <c r="BX50" i="13"/>
  <c r="BW50" i="13" s="1"/>
  <c r="BV50" i="13" s="1"/>
  <c r="NM212" i="13"/>
  <c r="BS212" i="13" s="1"/>
  <c r="BR212" i="13" s="1"/>
  <c r="BQ212" i="13" s="1"/>
  <c r="IA212" i="13"/>
  <c r="NN212" i="13" s="1"/>
  <c r="NT212" i="13"/>
  <c r="NH101" i="13"/>
  <c r="NG101" i="13"/>
  <c r="KH101" i="13" s="1"/>
  <c r="KJ101" i="13" s="1"/>
  <c r="KK101" i="13" s="1"/>
  <c r="NF101" i="13"/>
  <c r="JL101" i="13"/>
  <c r="JN101" i="13" s="1"/>
  <c r="NX160" i="13"/>
  <c r="NW160" i="13"/>
  <c r="NI26" i="13"/>
  <c r="KL26" i="13"/>
  <c r="KN26" i="13" s="1"/>
  <c r="KO26" i="13" s="1"/>
  <c r="LN164" i="13"/>
  <c r="KX164" i="13"/>
  <c r="KZ164" i="13" s="1"/>
  <c r="LA164" i="13" s="1"/>
  <c r="KP164" i="13"/>
  <c r="KR164" i="13" s="1"/>
  <c r="KS164" i="13" s="1"/>
  <c r="LF164" i="13"/>
  <c r="LH164" i="13" s="1"/>
  <c r="IA114" i="13"/>
  <c r="NN114" i="13" s="1"/>
  <c r="NT114" i="13"/>
  <c r="NM114" i="13"/>
  <c r="GP51" i="13"/>
  <c r="NL51" i="13"/>
  <c r="NN51" i="13"/>
  <c r="AS64" i="13"/>
  <c r="AR64" i="13" s="1"/>
  <c r="AQ64" i="13" s="1"/>
  <c r="AP64" i="13" s="1"/>
  <c r="AO64" i="13" s="1"/>
  <c r="AL64" i="13" s="1"/>
  <c r="BH64" i="13"/>
  <c r="BG64" i="13" s="1"/>
  <c r="BF64" i="13" s="1"/>
  <c r="BE64" i="13" s="1"/>
  <c r="BD64" i="13" s="1"/>
  <c r="BZ64" i="13"/>
  <c r="BY64" i="13" s="1"/>
  <c r="BX64" i="13" s="1"/>
  <c r="BW64" i="13" s="1"/>
  <c r="BV64" i="13" s="1"/>
  <c r="BC64" i="13"/>
  <c r="BB64" i="13" s="1"/>
  <c r="BA64" i="13" s="1"/>
  <c r="AZ64" i="13" s="1"/>
  <c r="AY64" i="13" s="1"/>
  <c r="AX64" i="13"/>
  <c r="AW64" i="13" s="1"/>
  <c r="AV64" i="13" s="1"/>
  <c r="AU64" i="13" s="1"/>
  <c r="AT64" i="13" s="1"/>
  <c r="BU64" i="13"/>
  <c r="BT64" i="13" s="1"/>
  <c r="BS64" i="13" s="1"/>
  <c r="BR64" i="13" s="1"/>
  <c r="BQ64" i="13" s="1"/>
  <c r="BP64" i="13"/>
  <c r="BO64" i="13" s="1"/>
  <c r="BN64" i="13" s="1"/>
  <c r="BM64" i="13" s="1"/>
  <c r="BL64" i="13" s="1"/>
  <c r="CE64" i="13"/>
  <c r="CD64" i="13" s="1"/>
  <c r="CC64" i="13" s="1"/>
  <c r="CB64" i="13" s="1"/>
  <c r="CA64" i="13" s="1"/>
  <c r="NX105" i="13"/>
  <c r="NW105" i="13"/>
  <c r="NH214" i="13"/>
  <c r="NF214" i="13"/>
  <c r="NG214" i="13"/>
  <c r="KH214" i="13" s="1"/>
  <c r="KJ214" i="13" s="1"/>
  <c r="KK214" i="13" s="1"/>
  <c r="JL214" i="13"/>
  <c r="JN214" i="13" s="1"/>
  <c r="LB127" i="13"/>
  <c r="LD127" i="13" s="1"/>
  <c r="LE127" i="13" s="1"/>
  <c r="DZ127" i="13" s="1"/>
  <c r="DY127" i="13" s="1"/>
  <c r="DX127" i="13" s="1"/>
  <c r="DW127" i="13" s="1"/>
  <c r="DV127" i="13" s="1"/>
  <c r="KT127" i="13"/>
  <c r="KV127" i="13" s="1"/>
  <c r="KW127" i="13" s="1"/>
  <c r="LR127" i="13"/>
  <c r="LT127" i="13" s="1"/>
  <c r="LU127" i="13" s="1"/>
  <c r="LJ127" i="13"/>
  <c r="LL127" i="13" s="1"/>
  <c r="LM127" i="13" s="1"/>
  <c r="CW127" i="13" s="1"/>
  <c r="CV127" i="13" s="1"/>
  <c r="CU127" i="13" s="1"/>
  <c r="CT127" i="13" s="1"/>
  <c r="CS127" i="13" s="1"/>
  <c r="NT110" i="13"/>
  <c r="NM110" i="13"/>
  <c r="IA110" i="13"/>
  <c r="NN110" i="13" s="1"/>
  <c r="JK40" i="13"/>
  <c r="DK35" i="13"/>
  <c r="DJ35" i="13" s="1"/>
  <c r="DI35" i="13" s="1"/>
  <c r="DH35" i="13" s="1"/>
  <c r="DG35" i="13" s="1"/>
  <c r="NR35" i="13"/>
  <c r="CE187" i="13"/>
  <c r="CD187" i="13" s="1"/>
  <c r="CC187" i="13" s="1"/>
  <c r="CB187" i="13" s="1"/>
  <c r="CA187" i="13" s="1"/>
  <c r="BZ187" i="13"/>
  <c r="BY187" i="13" s="1"/>
  <c r="BX187" i="13" s="1"/>
  <c r="BW187" i="13" s="1"/>
  <c r="BV187" i="13" s="1"/>
  <c r="BU187" i="13"/>
  <c r="BT187" i="13" s="1"/>
  <c r="BS187" i="13" s="1"/>
  <c r="BR187" i="13" s="1"/>
  <c r="BQ187" i="13" s="1"/>
  <c r="BC187" i="13"/>
  <c r="BB187" i="13" s="1"/>
  <c r="BA187" i="13" s="1"/>
  <c r="AZ187" i="13" s="1"/>
  <c r="AY187" i="13" s="1"/>
  <c r="BH187" i="13"/>
  <c r="BG187" i="13" s="1"/>
  <c r="BF187" i="13" s="1"/>
  <c r="BE187" i="13" s="1"/>
  <c r="BD187" i="13" s="1"/>
  <c r="AX187" i="13"/>
  <c r="AW187" i="13" s="1"/>
  <c r="AV187" i="13" s="1"/>
  <c r="AU187" i="13" s="1"/>
  <c r="AT187" i="13" s="1"/>
  <c r="NK154" i="13"/>
  <c r="NY154" i="13"/>
  <c r="NS154" i="13"/>
  <c r="HS154" i="13"/>
  <c r="NL154" i="13" s="1"/>
  <c r="NM100" i="13"/>
  <c r="IA100" i="13"/>
  <c r="NN100" i="13" s="1"/>
  <c r="NT100" i="13"/>
  <c r="NL183" i="13"/>
  <c r="AV147" i="13"/>
  <c r="AU147" i="13" s="1"/>
  <c r="AT147" i="13" s="1"/>
  <c r="JO74" i="13"/>
  <c r="KG74" i="13" s="1"/>
  <c r="KF74" i="13"/>
  <c r="GF88" i="13"/>
  <c r="GO88" i="13"/>
  <c r="JK139" i="13"/>
  <c r="GF108" i="13"/>
  <c r="GO108" i="13"/>
  <c r="NY91" i="13"/>
  <c r="NK91" i="13"/>
  <c r="HS91" i="13"/>
  <c r="NL91" i="13" s="1"/>
  <c r="NS91" i="13"/>
  <c r="BC193" i="13"/>
  <c r="BB193" i="13" s="1"/>
  <c r="BA193" i="13" s="1"/>
  <c r="AZ193" i="13" s="1"/>
  <c r="AY193" i="13" s="1"/>
  <c r="AS193" i="13"/>
  <c r="AR193" i="13" s="1"/>
  <c r="AQ193" i="13" s="1"/>
  <c r="AP193" i="13" s="1"/>
  <c r="AO193" i="13" s="1"/>
  <c r="AL193" i="13" s="1"/>
  <c r="CE193" i="13"/>
  <c r="CD193" i="13" s="1"/>
  <c r="CC193" i="13" s="1"/>
  <c r="CB193" i="13" s="1"/>
  <c r="CA193" i="13" s="1"/>
  <c r="BH193" i="13"/>
  <c r="BG193" i="13" s="1"/>
  <c r="BF193" i="13" s="1"/>
  <c r="BE193" i="13" s="1"/>
  <c r="BD193" i="13" s="1"/>
  <c r="BP193" i="13"/>
  <c r="BO193" i="13" s="1"/>
  <c r="BN193" i="13" s="1"/>
  <c r="BM193" i="13" s="1"/>
  <c r="BL193" i="13" s="1"/>
  <c r="BZ193" i="13"/>
  <c r="BY193" i="13" s="1"/>
  <c r="BX193" i="13" s="1"/>
  <c r="BW193" i="13" s="1"/>
  <c r="BV193" i="13" s="1"/>
  <c r="BU193" i="13"/>
  <c r="BT193" i="13" s="1"/>
  <c r="BS193" i="13" s="1"/>
  <c r="BR193" i="13" s="1"/>
  <c r="BQ193" i="13" s="1"/>
  <c r="AX193" i="13"/>
  <c r="AW193" i="13" s="1"/>
  <c r="AV193" i="13" s="1"/>
  <c r="AU193" i="13" s="1"/>
  <c r="AT193" i="13" s="1"/>
  <c r="JK124" i="13"/>
  <c r="HT100" i="13"/>
  <c r="HV100" i="13" s="1"/>
  <c r="HW100" i="13" s="1"/>
  <c r="BC100" i="13" s="1"/>
  <c r="BB100" i="13" s="1"/>
  <c r="HL100" i="13"/>
  <c r="HN100" i="13" s="1"/>
  <c r="HO100" i="13" s="1"/>
  <c r="BH100" i="13" s="1"/>
  <c r="BG100" i="13" s="1"/>
  <c r="HD100" i="13"/>
  <c r="HF100" i="13" s="1"/>
  <c r="HG100" i="13" s="1"/>
  <c r="IB100" i="13"/>
  <c r="ID100" i="13" s="1"/>
  <c r="IE100" i="13" s="1"/>
  <c r="BZ100" i="13" s="1"/>
  <c r="BY100" i="13" s="1"/>
  <c r="BX100" i="13" s="1"/>
  <c r="BW100" i="13" s="1"/>
  <c r="NH181" i="13"/>
  <c r="NG181" i="13"/>
  <c r="KH181" i="13" s="1"/>
  <c r="KJ181" i="13" s="1"/>
  <c r="KK181" i="13" s="1"/>
  <c r="NF181" i="13"/>
  <c r="JL181" i="13"/>
  <c r="JN181" i="13" s="1"/>
  <c r="HL208" i="13"/>
  <c r="HN208" i="13" s="1"/>
  <c r="HO208" i="13" s="1"/>
  <c r="IB208" i="13"/>
  <c r="ID208" i="13" s="1"/>
  <c r="IE208" i="13" s="1"/>
  <c r="HT208" i="13"/>
  <c r="HV208" i="13" s="1"/>
  <c r="HW208" i="13" s="1"/>
  <c r="HD208" i="13"/>
  <c r="HF208" i="13" s="1"/>
  <c r="HG208" i="13" s="1"/>
  <c r="NI149" i="13"/>
  <c r="KL149" i="13"/>
  <c r="KN149" i="13" s="1"/>
  <c r="KO149" i="13" s="1"/>
  <c r="BZ169" i="13"/>
  <c r="BY169" i="13" s="1"/>
  <c r="BX169" i="13" s="1"/>
  <c r="BW169" i="13" s="1"/>
  <c r="BV169" i="13" s="1"/>
  <c r="BH169" i="13"/>
  <c r="BG169" i="13" s="1"/>
  <c r="BF169" i="13" s="1"/>
  <c r="BE169" i="13" s="1"/>
  <c r="BD169" i="13" s="1"/>
  <c r="BU169" i="13"/>
  <c r="BT169" i="13" s="1"/>
  <c r="BS169" i="13" s="1"/>
  <c r="BR169" i="13" s="1"/>
  <c r="BQ169" i="13" s="1"/>
  <c r="BC169" i="13"/>
  <c r="BB169" i="13" s="1"/>
  <c r="BA169" i="13" s="1"/>
  <c r="AZ169" i="13" s="1"/>
  <c r="AY169" i="13" s="1"/>
  <c r="AX169" i="13"/>
  <c r="AW169" i="13" s="1"/>
  <c r="AV169" i="13" s="1"/>
  <c r="AU169" i="13" s="1"/>
  <c r="AT169" i="13" s="1"/>
  <c r="CE169" i="13"/>
  <c r="CD169" i="13" s="1"/>
  <c r="CC169" i="13" s="1"/>
  <c r="CB169" i="13" s="1"/>
  <c r="CA169" i="13" s="1"/>
  <c r="AS169" i="13"/>
  <c r="AR169" i="13" s="1"/>
  <c r="AQ169" i="13" s="1"/>
  <c r="AP169" i="13" s="1"/>
  <c r="AO169" i="13" s="1"/>
  <c r="AL169" i="13" s="1"/>
  <c r="MW167" i="13"/>
  <c r="GV167" i="13"/>
  <c r="GX167" i="13" s="1"/>
  <c r="GY167" i="13" s="1"/>
  <c r="NI25" i="13"/>
  <c r="KL25" i="13"/>
  <c r="KN25" i="13" s="1"/>
  <c r="KO25" i="13" s="1"/>
  <c r="NT142" i="13"/>
  <c r="IA142" i="13"/>
  <c r="NN142" i="13" s="1"/>
  <c r="NM142" i="13"/>
  <c r="NM139" i="13"/>
  <c r="IA139" i="13"/>
  <c r="BP139" i="13" s="1"/>
  <c r="BO139" i="13" s="1"/>
  <c r="BN139" i="13" s="1"/>
  <c r="BM139" i="13" s="1"/>
  <c r="BL139" i="13" s="1"/>
  <c r="NT139" i="13"/>
  <c r="CU35" i="13"/>
  <c r="CT35" i="13" s="1"/>
  <c r="CS35" i="13" s="1"/>
  <c r="NS83" i="13"/>
  <c r="HS83" i="13"/>
  <c r="NL83" i="13" s="1"/>
  <c r="NK83" i="13"/>
  <c r="NY83" i="13"/>
  <c r="BU62" i="13"/>
  <c r="BT62" i="13" s="1"/>
  <c r="BS62" i="13" s="1"/>
  <c r="BR62" i="13" s="1"/>
  <c r="BQ62" i="13" s="1"/>
  <c r="AX62" i="13"/>
  <c r="AW62" i="13" s="1"/>
  <c r="AV62" i="13" s="1"/>
  <c r="AU62" i="13" s="1"/>
  <c r="AT62" i="13" s="1"/>
  <c r="AS62" i="13"/>
  <c r="AR62" i="13" s="1"/>
  <c r="AQ62" i="13" s="1"/>
  <c r="AP62" i="13" s="1"/>
  <c r="AO62" i="13" s="1"/>
  <c r="AL62" i="13" s="1"/>
  <c r="LF34" i="13"/>
  <c r="LH34" i="13" s="1"/>
  <c r="KX34" i="13"/>
  <c r="KZ34" i="13" s="1"/>
  <c r="LA34" i="13" s="1"/>
  <c r="DP34" i="13" s="1"/>
  <c r="DO34" i="13" s="1"/>
  <c r="LN34" i="13"/>
  <c r="KP34" i="13"/>
  <c r="KR34" i="13" s="1"/>
  <c r="KS34" i="13" s="1"/>
  <c r="NT206" i="13"/>
  <c r="NM206" i="13"/>
  <c r="IA206" i="13"/>
  <c r="BP171" i="13"/>
  <c r="BO171" i="13" s="1"/>
  <c r="BN171" i="13" s="1"/>
  <c r="BM171" i="13" s="1"/>
  <c r="BL171" i="13" s="1"/>
  <c r="AX171" i="13"/>
  <c r="AW171" i="13" s="1"/>
  <c r="AV171" i="13" s="1"/>
  <c r="AU171" i="13" s="1"/>
  <c r="AT171" i="13" s="1"/>
  <c r="CE171" i="13"/>
  <c r="CD171" i="13" s="1"/>
  <c r="CC171" i="13" s="1"/>
  <c r="CB171" i="13" s="1"/>
  <c r="CA171" i="13" s="1"/>
  <c r="AS171" i="13"/>
  <c r="AR171" i="13" s="1"/>
  <c r="AQ171" i="13" s="1"/>
  <c r="AP171" i="13" s="1"/>
  <c r="AO171" i="13" s="1"/>
  <c r="AL171" i="13" s="1"/>
  <c r="BZ171" i="13"/>
  <c r="BY171" i="13" s="1"/>
  <c r="BX171" i="13" s="1"/>
  <c r="BW171" i="13" s="1"/>
  <c r="BV171" i="13" s="1"/>
  <c r="BH171" i="13"/>
  <c r="BG171" i="13" s="1"/>
  <c r="BF171" i="13" s="1"/>
  <c r="BE171" i="13" s="1"/>
  <c r="BD171" i="13" s="1"/>
  <c r="BU171" i="13"/>
  <c r="BT171" i="13" s="1"/>
  <c r="BS171" i="13" s="1"/>
  <c r="BR171" i="13" s="1"/>
  <c r="BQ171" i="13" s="1"/>
  <c r="BC171" i="13"/>
  <c r="BB171" i="13" s="1"/>
  <c r="BA171" i="13" s="1"/>
  <c r="AZ171" i="13" s="1"/>
  <c r="AY171" i="13" s="1"/>
  <c r="HS200" i="13"/>
  <c r="NL200" i="13" s="1"/>
  <c r="NK200" i="13"/>
  <c r="NY200" i="13"/>
  <c r="NS200" i="13"/>
  <c r="HL77" i="13"/>
  <c r="HN77" i="13" s="1"/>
  <c r="HO77" i="13" s="1"/>
  <c r="CE77" i="13" s="1"/>
  <c r="CD77" i="13" s="1"/>
  <c r="CC77" i="13" s="1"/>
  <c r="CB77" i="13" s="1"/>
  <c r="CA77" i="13" s="1"/>
  <c r="IB77" i="13"/>
  <c r="ID77" i="13" s="1"/>
  <c r="IE77" i="13" s="1"/>
  <c r="BZ77" i="13" s="1"/>
  <c r="BY77" i="13" s="1"/>
  <c r="BX77" i="13" s="1"/>
  <c r="BW77" i="13" s="1"/>
  <c r="BV77" i="13" s="1"/>
  <c r="HT77" i="13"/>
  <c r="HV77" i="13" s="1"/>
  <c r="HW77" i="13" s="1"/>
  <c r="BC77" i="13" s="1"/>
  <c r="BB77" i="13" s="1"/>
  <c r="HD77" i="13"/>
  <c r="HF77" i="13" s="1"/>
  <c r="HG77" i="13" s="1"/>
  <c r="NI194" i="13"/>
  <c r="KL194" i="13"/>
  <c r="KN194" i="13" s="1"/>
  <c r="KO194" i="13" s="1"/>
  <c r="JJ39" i="13"/>
  <c r="JI39" i="13"/>
  <c r="HD83" i="13"/>
  <c r="HF83" i="13" s="1"/>
  <c r="HG83" i="13" s="1"/>
  <c r="IB83" i="13"/>
  <c r="ID83" i="13" s="1"/>
  <c r="IE83" i="13" s="1"/>
  <c r="BZ83" i="13" s="1"/>
  <c r="BY83" i="13" s="1"/>
  <c r="BX83" i="13" s="1"/>
  <c r="BW83" i="13" s="1"/>
  <c r="HL83" i="13"/>
  <c r="HN83" i="13" s="1"/>
  <c r="HO83" i="13" s="1"/>
  <c r="CE83" i="13" s="1"/>
  <c r="CD83" i="13" s="1"/>
  <c r="CC83" i="13" s="1"/>
  <c r="CB83" i="13" s="1"/>
  <c r="HT83" i="13"/>
  <c r="HV83" i="13" s="1"/>
  <c r="HW83" i="13" s="1"/>
  <c r="BC83" i="13" s="1"/>
  <c r="BB83" i="13" s="1"/>
  <c r="BX173" i="13"/>
  <c r="BW173" i="13" s="1"/>
  <c r="BV173" i="13" s="1"/>
  <c r="IA112" i="13"/>
  <c r="NN112" i="13" s="1"/>
  <c r="NT112" i="13"/>
  <c r="NM112" i="13"/>
  <c r="LN171" i="13"/>
  <c r="KP171" i="13"/>
  <c r="KR171" i="13" s="1"/>
  <c r="KS171" i="13" s="1"/>
  <c r="KX171" i="13"/>
  <c r="KZ171" i="13" s="1"/>
  <c r="LA171" i="13" s="1"/>
  <c r="LF171" i="13"/>
  <c r="LH171" i="13" s="1"/>
  <c r="NW87" i="13"/>
  <c r="NX87" i="13"/>
  <c r="JJ62" i="13"/>
  <c r="JI62" i="13"/>
  <c r="NX182" i="13"/>
  <c r="NW182" i="13"/>
  <c r="JJ120" i="13"/>
  <c r="JI120" i="13"/>
  <c r="NH68" i="13"/>
  <c r="NG68" i="13"/>
  <c r="KH68" i="13" s="1"/>
  <c r="KJ68" i="13" s="1"/>
  <c r="KK68" i="13" s="1"/>
  <c r="NF68" i="13"/>
  <c r="JL68" i="13"/>
  <c r="JN68" i="13" s="1"/>
  <c r="JK141" i="13"/>
  <c r="JO65" i="13"/>
  <c r="KG65" i="13" s="1"/>
  <c r="KF65" i="13"/>
  <c r="LF173" i="13"/>
  <c r="LH173" i="13" s="1"/>
  <c r="KX173" i="13"/>
  <c r="KZ173" i="13" s="1"/>
  <c r="LA173" i="13" s="1"/>
  <c r="KP173" i="13"/>
  <c r="KR173" i="13" s="1"/>
  <c r="KS173" i="13" s="1"/>
  <c r="LN173" i="13"/>
  <c r="JO137" i="13"/>
  <c r="KG137" i="13" s="1"/>
  <c r="KF137" i="13"/>
  <c r="ND185" i="13"/>
  <c r="NE185" i="13" s="1"/>
  <c r="NH141" i="13"/>
  <c r="NG141" i="13"/>
  <c r="KH141" i="13" s="1"/>
  <c r="KJ141" i="13" s="1"/>
  <c r="KK141" i="13" s="1"/>
  <c r="NF141" i="13"/>
  <c r="JL141" i="13"/>
  <c r="JN141" i="13" s="1"/>
  <c r="JJ179" i="13"/>
  <c r="JI179" i="13"/>
  <c r="NI63" i="13"/>
  <c r="KL63" i="13"/>
  <c r="KN63" i="13" s="1"/>
  <c r="KO63" i="13" s="1"/>
  <c r="LF49" i="13"/>
  <c r="LH49" i="13" s="1"/>
  <c r="KP49" i="13"/>
  <c r="KR49" i="13" s="1"/>
  <c r="KS49" i="13" s="1"/>
  <c r="KX49" i="13"/>
  <c r="KZ49" i="13" s="1"/>
  <c r="LA49" i="13" s="1"/>
  <c r="LN49" i="13"/>
  <c r="NI32" i="13"/>
  <c r="KL32" i="13"/>
  <c r="KN32" i="13" s="1"/>
  <c r="KO32" i="13" s="1"/>
  <c r="NX129" i="13"/>
  <c r="NW129" i="13"/>
  <c r="IB18" i="13"/>
  <c r="ID18" i="13" s="1"/>
  <c r="IE18" i="13" s="1"/>
  <c r="BZ18" i="13" s="1"/>
  <c r="BY18" i="13" s="1"/>
  <c r="BX18" i="13" s="1"/>
  <c r="BW18" i="13" s="1"/>
  <c r="HL18" i="13"/>
  <c r="HN18" i="13" s="1"/>
  <c r="HO18" i="13" s="1"/>
  <c r="CE18" i="13" s="1"/>
  <c r="CD18" i="13" s="1"/>
  <c r="CC18" i="13" s="1"/>
  <c r="CB18" i="13" s="1"/>
  <c r="HD18" i="13"/>
  <c r="HF18" i="13" s="1"/>
  <c r="HG18" i="13" s="1"/>
  <c r="HT18" i="13"/>
  <c r="HV18" i="13" s="1"/>
  <c r="HW18" i="13" s="1"/>
  <c r="BC18" i="13" s="1"/>
  <c r="BB18" i="13" s="1"/>
  <c r="NY123" i="13"/>
  <c r="NS123" i="13"/>
  <c r="HS123" i="13"/>
  <c r="NL123" i="13" s="1"/>
  <c r="NK123" i="13"/>
  <c r="JJ126" i="13"/>
  <c r="JI126" i="13"/>
  <c r="KP52" i="13"/>
  <c r="KR52" i="13" s="1"/>
  <c r="KS52" i="13" s="1"/>
  <c r="LF52" i="13"/>
  <c r="LH52" i="13" s="1"/>
  <c r="KX52" i="13"/>
  <c r="KZ52" i="13" s="1"/>
  <c r="LA52" i="13" s="1"/>
  <c r="LN52" i="13"/>
  <c r="E125" i="13"/>
  <c r="HX125" i="13"/>
  <c r="HZ125" i="13" s="1"/>
  <c r="GZ125" i="13"/>
  <c r="HB125" i="13" s="1"/>
  <c r="HC125" i="13" s="1"/>
  <c r="CR125" i="13" s="1"/>
  <c r="CQ125" i="13" s="1"/>
  <c r="CP125" i="13" s="1"/>
  <c r="HH125" i="13"/>
  <c r="HJ125" i="13" s="1"/>
  <c r="HK125" i="13" s="1"/>
  <c r="HP125" i="13"/>
  <c r="HR125" i="13" s="1"/>
  <c r="JJ130" i="13"/>
  <c r="JI130" i="13"/>
  <c r="NV125" i="13"/>
  <c r="NQ125" i="13"/>
  <c r="LP125" i="13"/>
  <c r="LQ125" i="13" s="1"/>
  <c r="NR125" i="13" s="1"/>
  <c r="LF23" i="13"/>
  <c r="LH23" i="13" s="1"/>
  <c r="KP23" i="13"/>
  <c r="KR23" i="13" s="1"/>
  <c r="KS23" i="13" s="1"/>
  <c r="LN23" i="13"/>
  <c r="KX23" i="13"/>
  <c r="KZ23" i="13" s="1"/>
  <c r="LA23" i="13" s="1"/>
  <c r="DP23" i="13" s="1"/>
  <c r="DO23" i="13" s="1"/>
  <c r="HD62" i="13"/>
  <c r="HF62" i="13" s="1"/>
  <c r="HG62" i="13" s="1"/>
  <c r="IB62" i="13"/>
  <c r="ID62" i="13" s="1"/>
  <c r="IE62" i="13" s="1"/>
  <c r="BZ62" i="13" s="1"/>
  <c r="BY62" i="13" s="1"/>
  <c r="BX62" i="13" s="1"/>
  <c r="BW62" i="13" s="1"/>
  <c r="BV62" i="13" s="1"/>
  <c r="HT62" i="13"/>
  <c r="HV62" i="13" s="1"/>
  <c r="HW62" i="13" s="1"/>
  <c r="BC62" i="13" s="1"/>
  <c r="BB62" i="13" s="1"/>
  <c r="BA62" i="13" s="1"/>
  <c r="AZ62" i="13" s="1"/>
  <c r="AY62" i="13" s="1"/>
  <c r="HL62" i="13"/>
  <c r="HN62" i="13" s="1"/>
  <c r="HO62" i="13" s="1"/>
  <c r="BH62" i="13" s="1"/>
  <c r="BG62" i="13" s="1"/>
  <c r="BF62" i="13" s="1"/>
  <c r="BE62" i="13" s="1"/>
  <c r="BD62" i="13" s="1"/>
  <c r="JJ101" i="13"/>
  <c r="JI101" i="13"/>
  <c r="NX148" i="13"/>
  <c r="NW148" i="13"/>
  <c r="NH94" i="13"/>
  <c r="NG94" i="13"/>
  <c r="KH94" i="13" s="1"/>
  <c r="KJ94" i="13" s="1"/>
  <c r="KK94" i="13" s="1"/>
  <c r="NF94" i="13"/>
  <c r="JL94" i="13"/>
  <c r="JN94" i="13" s="1"/>
  <c r="DB127" i="13"/>
  <c r="DA127" i="13" s="1"/>
  <c r="DP127" i="13"/>
  <c r="DO127" i="13" s="1"/>
  <c r="DN127" i="13" s="1"/>
  <c r="DK127" i="13"/>
  <c r="DJ127" i="13" s="1"/>
  <c r="DI127" i="13" s="1"/>
  <c r="CR127" i="13"/>
  <c r="CQ127" i="13" s="1"/>
  <c r="CP127" i="13" s="1"/>
  <c r="DU127" i="13"/>
  <c r="DT127" i="13" s="1"/>
  <c r="DS127" i="13" s="1"/>
  <c r="DR127" i="13" s="1"/>
  <c r="DQ127" i="13" s="1"/>
  <c r="ND79" i="13"/>
  <c r="NE79" i="13" s="1"/>
  <c r="LN204" i="13"/>
  <c r="KX204" i="13"/>
  <c r="KZ204" i="13" s="1"/>
  <c r="LA204" i="13" s="1"/>
  <c r="KP204" i="13"/>
  <c r="KR204" i="13" s="1"/>
  <c r="KS204" i="13" s="1"/>
  <c r="LF204" i="13"/>
  <c r="LH204" i="13" s="1"/>
  <c r="CC164" i="13"/>
  <c r="CB164" i="13" s="1"/>
  <c r="CA164" i="13" s="1"/>
  <c r="IB183" i="13"/>
  <c r="ID183" i="13" s="1"/>
  <c r="IE183" i="13" s="1"/>
  <c r="HL183" i="13"/>
  <c r="HN183" i="13" s="1"/>
  <c r="HO183" i="13" s="1"/>
  <c r="BH183" i="13" s="1"/>
  <c r="BG183" i="13" s="1"/>
  <c r="BF183" i="13" s="1"/>
  <c r="BE183" i="13" s="1"/>
  <c r="BD183" i="13" s="1"/>
  <c r="HD183" i="13"/>
  <c r="HF183" i="13" s="1"/>
  <c r="HG183" i="13" s="1"/>
  <c r="HT183" i="13"/>
  <c r="HV183" i="13" s="1"/>
  <c r="HW183" i="13" s="1"/>
  <c r="JJ108" i="13"/>
  <c r="JI108" i="13"/>
  <c r="NT143" i="13"/>
  <c r="NM143" i="13"/>
  <c r="IA143" i="13"/>
  <c r="NN143" i="13" s="1"/>
  <c r="NS110" i="13"/>
  <c r="HS110" i="13"/>
  <c r="NL110" i="13" s="1"/>
  <c r="NK110" i="13"/>
  <c r="NY110" i="13"/>
  <c r="HL135" i="13"/>
  <c r="HN135" i="13" s="1"/>
  <c r="HO135" i="13" s="1"/>
  <c r="CE135" i="13" s="1"/>
  <c r="CD135" i="13" s="1"/>
  <c r="CC135" i="13" s="1"/>
  <c r="CB135" i="13" s="1"/>
  <c r="CA135" i="13" s="1"/>
  <c r="HD135" i="13"/>
  <c r="HF135" i="13" s="1"/>
  <c r="HG135" i="13" s="1"/>
  <c r="HT135" i="13"/>
  <c r="HV135" i="13" s="1"/>
  <c r="HW135" i="13" s="1"/>
  <c r="BC135" i="13" s="1"/>
  <c r="BB135" i="13" s="1"/>
  <c r="IB135" i="13"/>
  <c r="ID135" i="13" s="1"/>
  <c r="IE135" i="13" s="1"/>
  <c r="BZ135" i="13" s="1"/>
  <c r="BY135" i="13" s="1"/>
  <c r="BX135" i="13" s="1"/>
  <c r="BW135" i="13" s="1"/>
  <c r="BV135" i="13" s="1"/>
  <c r="JJ102" i="13"/>
  <c r="JI102" i="13"/>
  <c r="HS133" i="13"/>
  <c r="NL133" i="13" s="1"/>
  <c r="NK133" i="13"/>
  <c r="NY133" i="13"/>
  <c r="NS133" i="13"/>
  <c r="NN183" i="13"/>
  <c r="BS147" i="13"/>
  <c r="BR147" i="13" s="1"/>
  <c r="BQ147" i="13" s="1"/>
  <c r="NI74" i="13"/>
  <c r="KL74" i="13"/>
  <c r="KN74" i="13" s="1"/>
  <c r="KO74" i="13" s="1"/>
  <c r="MW88" i="13"/>
  <c r="GV88" i="13"/>
  <c r="GX88" i="13" s="1"/>
  <c r="GY88" i="13" s="1"/>
  <c r="JK85" i="13"/>
  <c r="MW108" i="13"/>
  <c r="GV108" i="13"/>
  <c r="GX108" i="13" s="1"/>
  <c r="GY108" i="13" s="1"/>
  <c r="JK211" i="13"/>
  <c r="MW30" i="13"/>
  <c r="GV30" i="13"/>
  <c r="GX30" i="13" s="1"/>
  <c r="GY30" i="13" s="1"/>
  <c r="NH37" i="13"/>
  <c r="NG37" i="13"/>
  <c r="KH37" i="13" s="1"/>
  <c r="KJ37" i="13" s="1"/>
  <c r="KK37" i="13" s="1"/>
  <c r="NF37" i="13"/>
  <c r="JL37" i="13"/>
  <c r="JN37" i="13" s="1"/>
  <c r="JK116" i="13"/>
  <c r="NX72" i="13"/>
  <c r="NW72" i="13"/>
  <c r="KX149" i="13"/>
  <c r="KZ149" i="13" s="1"/>
  <c r="LA149" i="13" s="1"/>
  <c r="LF149" i="13"/>
  <c r="LH149" i="13" s="1"/>
  <c r="KP149" i="13"/>
  <c r="KR149" i="13" s="1"/>
  <c r="KS149" i="13" s="1"/>
  <c r="LN149" i="13"/>
  <c r="HD189" i="13"/>
  <c r="HF189" i="13" s="1"/>
  <c r="HG189" i="13" s="1"/>
  <c r="HL189" i="13"/>
  <c r="HN189" i="13" s="1"/>
  <c r="HO189" i="13" s="1"/>
  <c r="IB189" i="13"/>
  <c r="ID189" i="13" s="1"/>
  <c r="IE189" i="13" s="1"/>
  <c r="HT189" i="13"/>
  <c r="HV189" i="13" s="1"/>
  <c r="HW189" i="13" s="1"/>
  <c r="NK97" i="13"/>
  <c r="HS97" i="13"/>
  <c r="NL97" i="13" s="1"/>
  <c r="NY97" i="13"/>
  <c r="NS97" i="13"/>
  <c r="ND134" i="13"/>
  <c r="NE134" i="13" s="1"/>
  <c r="GF103" i="13"/>
  <c r="GO103" i="13"/>
  <c r="JK60" i="13"/>
  <c r="NI34" i="13"/>
  <c r="KL34" i="13"/>
  <c r="KN34" i="13" s="1"/>
  <c r="KO34" i="13" s="1"/>
  <c r="BC95" i="13"/>
  <c r="BB95" i="13" s="1"/>
  <c r="BA95" i="13" s="1"/>
  <c r="AZ95" i="13" s="1"/>
  <c r="AY95" i="13" s="1"/>
  <c r="BU95" i="13"/>
  <c r="BT95" i="13" s="1"/>
  <c r="BS95" i="13" s="1"/>
  <c r="BR95" i="13" s="1"/>
  <c r="BQ95" i="13" s="1"/>
  <c r="AX95" i="13"/>
  <c r="AW95" i="13" s="1"/>
  <c r="AV95" i="13" s="1"/>
  <c r="AU95" i="13" s="1"/>
  <c r="AT95" i="13" s="1"/>
  <c r="BP95" i="13"/>
  <c r="BO95" i="13" s="1"/>
  <c r="BN95" i="13" s="1"/>
  <c r="BM95" i="13" s="1"/>
  <c r="BL95" i="13" s="1"/>
  <c r="CE95" i="13"/>
  <c r="CD95" i="13" s="1"/>
  <c r="CC95" i="13" s="1"/>
  <c r="CB95" i="13" s="1"/>
  <c r="BH95" i="13"/>
  <c r="BG95" i="13" s="1"/>
  <c r="BF95" i="13" s="1"/>
  <c r="BE95" i="13" s="1"/>
  <c r="BD95" i="13" s="1"/>
  <c r="AS95" i="13"/>
  <c r="AR95" i="13" s="1"/>
  <c r="AQ95" i="13" s="1"/>
  <c r="AP95" i="13" s="1"/>
  <c r="AO95" i="13" s="1"/>
  <c r="AL95" i="13" s="1"/>
  <c r="NS206" i="13"/>
  <c r="HS206" i="13"/>
  <c r="NK206" i="13"/>
  <c r="NY206" i="13"/>
  <c r="E101" i="13"/>
  <c r="HP101" i="13"/>
  <c r="HR101" i="13" s="1"/>
  <c r="HX101" i="13"/>
  <c r="HZ101" i="13" s="1"/>
  <c r="GZ101" i="13"/>
  <c r="HB101" i="13" s="1"/>
  <c r="HC101" i="13" s="1"/>
  <c r="HH101" i="13"/>
  <c r="HJ101" i="13" s="1"/>
  <c r="HK101" i="13" s="1"/>
  <c r="HT168" i="13"/>
  <c r="HV168" i="13" s="1"/>
  <c r="HW168" i="13" s="1"/>
  <c r="BC168" i="13" s="1"/>
  <c r="BB168" i="13" s="1"/>
  <c r="BA168" i="13" s="1"/>
  <c r="AZ168" i="13" s="1"/>
  <c r="AY168" i="13" s="1"/>
  <c r="IB168" i="13"/>
  <c r="ID168" i="13" s="1"/>
  <c r="IE168" i="13" s="1"/>
  <c r="BZ168" i="13" s="1"/>
  <c r="BY168" i="13" s="1"/>
  <c r="BX168" i="13" s="1"/>
  <c r="BW168" i="13" s="1"/>
  <c r="BV168" i="13" s="1"/>
  <c r="HD168" i="13"/>
  <c r="HF168" i="13" s="1"/>
  <c r="HG168" i="13" s="1"/>
  <c r="HL168" i="13"/>
  <c r="HN168" i="13" s="1"/>
  <c r="HO168" i="13" s="1"/>
  <c r="CE168" i="13" s="1"/>
  <c r="CD168" i="13" s="1"/>
  <c r="CC168" i="13" s="1"/>
  <c r="CB168" i="13" s="1"/>
  <c r="CA168" i="13" s="1"/>
  <c r="LN194" i="13"/>
  <c r="KP194" i="13"/>
  <c r="KR194" i="13" s="1"/>
  <c r="KS194" i="13" s="1"/>
  <c r="KX194" i="13"/>
  <c r="KZ194" i="13" s="1"/>
  <c r="LA194" i="13" s="1"/>
  <c r="LF194" i="13"/>
  <c r="LH194" i="13" s="1"/>
  <c r="NX195" i="13"/>
  <c r="NW195" i="13"/>
  <c r="NN97" i="13"/>
  <c r="IB16" i="13"/>
  <c r="ID16" i="13" s="1"/>
  <c r="IE16" i="13" s="1"/>
  <c r="BZ16" i="13" s="1"/>
  <c r="BY16" i="13" s="1"/>
  <c r="BX16" i="13" s="1"/>
  <c r="BW16" i="13" s="1"/>
  <c r="BV16" i="13" s="1"/>
  <c r="HL16" i="13"/>
  <c r="HN16" i="13" s="1"/>
  <c r="HO16" i="13" s="1"/>
  <c r="CE16" i="13" s="1"/>
  <c r="CD16" i="13" s="1"/>
  <c r="CC16" i="13" s="1"/>
  <c r="CB16" i="13" s="1"/>
  <c r="CA16" i="13" s="1"/>
  <c r="HT16" i="13"/>
  <c r="HV16" i="13" s="1"/>
  <c r="HW16" i="13" s="1"/>
  <c r="BC16" i="13" s="1"/>
  <c r="BB16" i="13" s="1"/>
  <c r="BA16" i="13" s="1"/>
  <c r="AZ16" i="13" s="1"/>
  <c r="AY16" i="13" s="1"/>
  <c r="HD16" i="13"/>
  <c r="HF16" i="13" s="1"/>
  <c r="HG16" i="13" s="1"/>
  <c r="BP170" i="13"/>
  <c r="BO170" i="13" s="1"/>
  <c r="AX170" i="13"/>
  <c r="AW170" i="13" s="1"/>
  <c r="AS170" i="13"/>
  <c r="AR170" i="13" s="1"/>
  <c r="AQ170" i="13" s="1"/>
  <c r="AP170" i="13" s="1"/>
  <c r="AO170" i="13" s="1"/>
  <c r="AL170" i="13" s="1"/>
  <c r="BU170" i="13"/>
  <c r="BT170" i="13" s="1"/>
  <c r="JK71" i="13"/>
  <c r="NH58" i="13"/>
  <c r="NG58" i="13"/>
  <c r="KH58" i="13" s="1"/>
  <c r="KJ58" i="13" s="1"/>
  <c r="KK58" i="13" s="1"/>
  <c r="NF58" i="13"/>
  <c r="JL58" i="13"/>
  <c r="JN58" i="13" s="1"/>
  <c r="GF178" i="13"/>
  <c r="GO178" i="13"/>
  <c r="GP106" i="13"/>
  <c r="NN106" i="13"/>
  <c r="KP51" i="13"/>
  <c r="KR51" i="13" s="1"/>
  <c r="KS51" i="13" s="1"/>
  <c r="LF51" i="13"/>
  <c r="LH51" i="13" s="1"/>
  <c r="KX51" i="13"/>
  <c r="KZ51" i="13" s="1"/>
  <c r="LA51" i="13" s="1"/>
  <c r="LN51" i="13"/>
  <c r="KP33" i="13"/>
  <c r="KR33" i="13" s="1"/>
  <c r="KS33" i="13" s="1"/>
  <c r="LN33" i="13"/>
  <c r="KX33" i="13"/>
  <c r="KZ33" i="13" s="1"/>
  <c r="LA33" i="13" s="1"/>
  <c r="DP33" i="13" s="1"/>
  <c r="DO33" i="13" s="1"/>
  <c r="LF33" i="13"/>
  <c r="LH33" i="13" s="1"/>
  <c r="JJ111" i="13"/>
  <c r="JI111" i="13"/>
  <c r="ND62" i="13"/>
  <c r="NE62" i="13" s="1"/>
  <c r="IB170" i="13"/>
  <c r="ID170" i="13" s="1"/>
  <c r="IE170" i="13" s="1"/>
  <c r="BZ170" i="13" s="1"/>
  <c r="BY170" i="13" s="1"/>
  <c r="BX170" i="13" s="1"/>
  <c r="BW170" i="13" s="1"/>
  <c r="HD170" i="13"/>
  <c r="HF170" i="13" s="1"/>
  <c r="HG170" i="13" s="1"/>
  <c r="HL170" i="13"/>
  <c r="HN170" i="13" s="1"/>
  <c r="HO170" i="13" s="1"/>
  <c r="BH170" i="13" s="1"/>
  <c r="BG170" i="13" s="1"/>
  <c r="BF170" i="13" s="1"/>
  <c r="BE170" i="13" s="1"/>
  <c r="BD170" i="13" s="1"/>
  <c r="HT170" i="13"/>
  <c r="HV170" i="13" s="1"/>
  <c r="HW170" i="13" s="1"/>
  <c r="BC170" i="13" s="1"/>
  <c r="BB170" i="13" s="1"/>
  <c r="BA170" i="13" s="1"/>
  <c r="AZ170" i="13" s="1"/>
  <c r="AY170" i="13" s="1"/>
  <c r="CC37" i="13"/>
  <c r="CB37" i="13" s="1"/>
  <c r="CA37" i="13" s="1"/>
  <c r="GF126" i="13"/>
  <c r="GO126" i="13"/>
  <c r="E138" i="13"/>
  <c r="HX138" i="13"/>
  <c r="HZ138" i="13" s="1"/>
  <c r="HP138" i="13"/>
  <c r="HR138" i="13" s="1"/>
  <c r="HH138" i="13"/>
  <c r="HJ138" i="13" s="1"/>
  <c r="HK138" i="13" s="1"/>
  <c r="GZ138" i="13"/>
  <c r="HB138" i="13" s="1"/>
  <c r="HC138" i="13" s="1"/>
  <c r="GP67" i="13"/>
  <c r="NN67" i="13"/>
  <c r="NL67" i="13"/>
  <c r="NR197" i="13"/>
  <c r="E180" i="13"/>
  <c r="HX180" i="13"/>
  <c r="HZ180" i="13" s="1"/>
  <c r="HP180" i="13"/>
  <c r="HR180" i="13" s="1"/>
  <c r="HH180" i="13"/>
  <c r="HJ180" i="13" s="1"/>
  <c r="HK180" i="13" s="1"/>
  <c r="GZ180" i="13"/>
  <c r="HB180" i="13" s="1"/>
  <c r="HC180" i="13" s="1"/>
  <c r="NI65" i="13"/>
  <c r="KL65" i="13"/>
  <c r="KN65" i="13" s="1"/>
  <c r="KO65" i="13" s="1"/>
  <c r="NI173" i="13"/>
  <c r="KL173" i="13"/>
  <c r="KN173" i="13" s="1"/>
  <c r="KO173" i="13" s="1"/>
  <c r="NT68" i="13"/>
  <c r="NM68" i="13"/>
  <c r="IA68" i="13"/>
  <c r="NN68" i="13" s="1"/>
  <c r="NI137" i="13"/>
  <c r="KL137" i="13"/>
  <c r="KN137" i="13" s="1"/>
  <c r="KO137" i="13" s="1"/>
  <c r="JJ185" i="13"/>
  <c r="JI185" i="13"/>
  <c r="IA122" i="13"/>
  <c r="NN122" i="13" s="1"/>
  <c r="NT122" i="13"/>
  <c r="NM122" i="13"/>
  <c r="JK65" i="13"/>
  <c r="NY214" i="13"/>
  <c r="NS214" i="13"/>
  <c r="HS214" i="13"/>
  <c r="NL214" i="13" s="1"/>
  <c r="NK214" i="13"/>
  <c r="NH126" i="13"/>
  <c r="NG126" i="13"/>
  <c r="KH126" i="13" s="1"/>
  <c r="KJ126" i="13" s="1"/>
  <c r="KK126" i="13" s="1"/>
  <c r="NF126" i="13"/>
  <c r="JL126" i="13"/>
  <c r="JN126" i="13" s="1"/>
  <c r="LJ125" i="13"/>
  <c r="LL125" i="13" s="1"/>
  <c r="LM125" i="13" s="1"/>
  <c r="CW125" i="13" s="1"/>
  <c r="CV125" i="13" s="1"/>
  <c r="CU125" i="13" s="1"/>
  <c r="CT125" i="13" s="1"/>
  <c r="CS125" i="13" s="1"/>
  <c r="LB125" i="13"/>
  <c r="LD125" i="13" s="1"/>
  <c r="LE125" i="13" s="1"/>
  <c r="DZ125" i="13" s="1"/>
  <c r="DY125" i="13" s="1"/>
  <c r="DX125" i="13" s="1"/>
  <c r="DW125" i="13" s="1"/>
  <c r="DV125" i="13" s="1"/>
  <c r="LR125" i="13"/>
  <c r="LT125" i="13" s="1"/>
  <c r="LU125" i="13" s="1"/>
  <c r="DU125" i="13" s="1"/>
  <c r="DT125" i="13" s="1"/>
  <c r="DS125" i="13" s="1"/>
  <c r="DR125" i="13" s="1"/>
  <c r="DQ125" i="13" s="1"/>
  <c r="KT125" i="13"/>
  <c r="KV125" i="13" s="1"/>
  <c r="KW125" i="13" s="1"/>
  <c r="DB125" i="13" s="1"/>
  <c r="DA125" i="13" s="1"/>
  <c r="CZ125" i="13" s="1"/>
  <c r="CY125" i="13" s="1"/>
  <c r="CX125" i="13" s="1"/>
  <c r="KP31" i="13"/>
  <c r="KR31" i="13" s="1"/>
  <c r="KS31" i="13" s="1"/>
  <c r="LN31" i="13"/>
  <c r="KX31" i="13"/>
  <c r="KZ31" i="13" s="1"/>
  <c r="LA31" i="13" s="1"/>
  <c r="DP31" i="13" s="1"/>
  <c r="DO31" i="13" s="1"/>
  <c r="LF31" i="13"/>
  <c r="LH31" i="13" s="1"/>
  <c r="NM185" i="13"/>
  <c r="NT185" i="13"/>
  <c r="IA185" i="13"/>
  <c r="BP185" i="13" s="1"/>
  <c r="BO185" i="13" s="1"/>
  <c r="BN185" i="13" s="1"/>
  <c r="BM185" i="13" s="1"/>
  <c r="BL185" i="13" s="1"/>
  <c r="NK36" i="13"/>
  <c r="NY36" i="13"/>
  <c r="NS36" i="13"/>
  <c r="HS36" i="13"/>
  <c r="NH130" i="13"/>
  <c r="NG130" i="13"/>
  <c r="KH130" i="13" s="1"/>
  <c r="KJ130" i="13" s="1"/>
  <c r="KK130" i="13" s="1"/>
  <c r="NF130" i="13"/>
  <c r="JL130" i="13"/>
  <c r="JN130" i="13" s="1"/>
  <c r="CC161" i="13"/>
  <c r="CB161" i="13" s="1"/>
  <c r="CA161" i="13" s="1"/>
  <c r="GF140" i="13"/>
  <c r="GO140" i="13"/>
  <c r="CE27" i="13"/>
  <c r="CD27" i="13" s="1"/>
  <c r="CC27" i="13" s="1"/>
  <c r="CB27" i="13" s="1"/>
  <c r="BH27" i="13"/>
  <c r="BG27" i="13" s="1"/>
  <c r="BF27" i="13" s="1"/>
  <c r="BE27" i="13" s="1"/>
  <c r="BD27" i="13" s="1"/>
  <c r="BZ27" i="13"/>
  <c r="BY27" i="13" s="1"/>
  <c r="BX27" i="13" s="1"/>
  <c r="BW27" i="13" s="1"/>
  <c r="BC27" i="13"/>
  <c r="BB27" i="13" s="1"/>
  <c r="BU27" i="13"/>
  <c r="BT27" i="13" s="1"/>
  <c r="AX27" i="13"/>
  <c r="AW27" i="13" s="1"/>
  <c r="GF136" i="13"/>
  <c r="GO136" i="13"/>
  <c r="AS176" i="13"/>
  <c r="AR176" i="13" s="1"/>
  <c r="AQ176" i="13" s="1"/>
  <c r="AP176" i="13" s="1"/>
  <c r="AO176" i="13" s="1"/>
  <c r="AL176" i="13" s="1"/>
  <c r="BZ176" i="13"/>
  <c r="BY176" i="13" s="1"/>
  <c r="BX176" i="13" s="1"/>
  <c r="BW176" i="13" s="1"/>
  <c r="BV176" i="13" s="1"/>
  <c r="BH176" i="13"/>
  <c r="BG176" i="13" s="1"/>
  <c r="BF176" i="13" s="1"/>
  <c r="BE176" i="13" s="1"/>
  <c r="BD176" i="13" s="1"/>
  <c r="BU176" i="13"/>
  <c r="BT176" i="13" s="1"/>
  <c r="BS176" i="13" s="1"/>
  <c r="BR176" i="13" s="1"/>
  <c r="BQ176" i="13" s="1"/>
  <c r="BC176" i="13"/>
  <c r="BB176" i="13" s="1"/>
  <c r="BA176" i="13" s="1"/>
  <c r="AZ176" i="13" s="1"/>
  <c r="AY176" i="13" s="1"/>
  <c r="BP176" i="13"/>
  <c r="BO176" i="13" s="1"/>
  <c r="BN176" i="13" s="1"/>
  <c r="BM176" i="13" s="1"/>
  <c r="BL176" i="13" s="1"/>
  <c r="AX176" i="13"/>
  <c r="AW176" i="13" s="1"/>
  <c r="AV176" i="13" s="1"/>
  <c r="AU176" i="13" s="1"/>
  <c r="AT176" i="13" s="1"/>
  <c r="CE176" i="13"/>
  <c r="CD176" i="13" s="1"/>
  <c r="CC176" i="13" s="1"/>
  <c r="CB176" i="13" s="1"/>
  <c r="CA176" i="13" s="1"/>
  <c r="HL39" i="13"/>
  <c r="HN39" i="13" s="1"/>
  <c r="HO39" i="13" s="1"/>
  <c r="BH39" i="13" s="1"/>
  <c r="BG39" i="13" s="1"/>
  <c r="BF39" i="13" s="1"/>
  <c r="BE39" i="13" s="1"/>
  <c r="BD39" i="13" s="1"/>
  <c r="IB39" i="13"/>
  <c r="ID39" i="13" s="1"/>
  <c r="IE39" i="13" s="1"/>
  <c r="BZ39" i="13" s="1"/>
  <c r="BY39" i="13" s="1"/>
  <c r="BX39" i="13" s="1"/>
  <c r="BW39" i="13" s="1"/>
  <c r="BV39" i="13" s="1"/>
  <c r="HD39" i="13"/>
  <c r="HF39" i="13" s="1"/>
  <c r="HG39" i="13" s="1"/>
  <c r="HT39" i="13"/>
  <c r="HV39" i="13" s="1"/>
  <c r="HW39" i="13" s="1"/>
  <c r="BC39" i="13" s="1"/>
  <c r="BB39" i="13" s="1"/>
  <c r="BA39" i="13" s="1"/>
  <c r="AZ39" i="13" s="1"/>
  <c r="AY39" i="13" s="1"/>
  <c r="NS212" i="13"/>
  <c r="HS212" i="13"/>
  <c r="NL212" i="13" s="1"/>
  <c r="NY212" i="13"/>
  <c r="NK212" i="13"/>
  <c r="JJ79" i="13"/>
  <c r="JI79" i="13"/>
  <c r="NH108" i="13"/>
  <c r="NG108" i="13"/>
  <c r="KH108" i="13" s="1"/>
  <c r="KJ108" i="13" s="1"/>
  <c r="KK108" i="13" s="1"/>
  <c r="NF108" i="13"/>
  <c r="JL108" i="13"/>
  <c r="JN108" i="13" s="1"/>
  <c r="JK204" i="13"/>
  <c r="GF99" i="13"/>
  <c r="GO99" i="13"/>
  <c r="JK148" i="13"/>
  <c r="BU183" i="13"/>
  <c r="BT183" i="13" s="1"/>
  <c r="BS183" i="13" s="1"/>
  <c r="BR183" i="13" s="1"/>
  <c r="BQ183" i="13" s="1"/>
  <c r="BC183" i="13"/>
  <c r="BB183" i="13" s="1"/>
  <c r="BA183" i="13" s="1"/>
  <c r="AZ183" i="13" s="1"/>
  <c r="AY183" i="13" s="1"/>
  <c r="AS183" i="13"/>
  <c r="AR183" i="13" s="1"/>
  <c r="AQ183" i="13" s="1"/>
  <c r="AP183" i="13" s="1"/>
  <c r="AO183" i="13" s="1"/>
  <c r="AL183" i="13" s="1"/>
  <c r="BZ183" i="13"/>
  <c r="BY183" i="13" s="1"/>
  <c r="BX183" i="13" s="1"/>
  <c r="BW183" i="13" s="1"/>
  <c r="BV183" i="13" s="1"/>
  <c r="BP183" i="13"/>
  <c r="BO183" i="13" s="1"/>
  <c r="BN183" i="13" s="1"/>
  <c r="BM183" i="13" s="1"/>
  <c r="BL183" i="13" s="1"/>
  <c r="AX183" i="13"/>
  <c r="AW183" i="13" s="1"/>
  <c r="AV183" i="13" s="1"/>
  <c r="AU183" i="13" s="1"/>
  <c r="AT183" i="13" s="1"/>
  <c r="JK92" i="13"/>
  <c r="ND138" i="13"/>
  <c r="NE138" i="13" s="1"/>
  <c r="GP202" i="13"/>
  <c r="NN202" i="13"/>
  <c r="NL202" i="13"/>
  <c r="ND188" i="13"/>
  <c r="NE188" i="13" s="1"/>
  <c r="GP154" i="13"/>
  <c r="NN154" i="13"/>
  <c r="HD190" i="13"/>
  <c r="HF190" i="13" s="1"/>
  <c r="HG190" i="13" s="1"/>
  <c r="HT190" i="13"/>
  <c r="HV190" i="13" s="1"/>
  <c r="HW190" i="13" s="1"/>
  <c r="BC190" i="13" s="1"/>
  <c r="BB190" i="13" s="1"/>
  <c r="BA190" i="13" s="1"/>
  <c r="AZ190" i="13" s="1"/>
  <c r="AY190" i="13" s="1"/>
  <c r="HL190" i="13"/>
  <c r="HN190" i="13" s="1"/>
  <c r="HO190" i="13" s="1"/>
  <c r="CE190" i="13" s="1"/>
  <c r="CD190" i="13" s="1"/>
  <c r="CC190" i="13" s="1"/>
  <c r="CB190" i="13" s="1"/>
  <c r="CA190" i="13" s="1"/>
  <c r="IB190" i="13"/>
  <c r="ID190" i="13" s="1"/>
  <c r="IE190" i="13" s="1"/>
  <c r="BZ190" i="13" s="1"/>
  <c r="BY190" i="13" s="1"/>
  <c r="BX190" i="13" s="1"/>
  <c r="BW190" i="13" s="1"/>
  <c r="BV190" i="13" s="1"/>
  <c r="NX59" i="13"/>
  <c r="NW59" i="13"/>
  <c r="E167" i="13"/>
  <c r="GZ167" i="13"/>
  <c r="HB167" i="13" s="1"/>
  <c r="HC167" i="13" s="1"/>
  <c r="HH167" i="13"/>
  <c r="HJ167" i="13" s="1"/>
  <c r="HK167" i="13" s="1"/>
  <c r="HP167" i="13"/>
  <c r="HR167" i="13" s="1"/>
  <c r="HX167" i="13"/>
  <c r="HZ167" i="13" s="1"/>
  <c r="JJ134" i="13"/>
  <c r="JI134" i="13"/>
  <c r="KP25" i="13"/>
  <c r="KR25" i="13" s="1"/>
  <c r="KS25" i="13" s="1"/>
  <c r="LN25" i="13"/>
  <c r="KX25" i="13"/>
  <c r="KZ25" i="13" s="1"/>
  <c r="LA25" i="13" s="1"/>
  <c r="DP25" i="13" s="1"/>
  <c r="DO25" i="13" s="1"/>
  <c r="LF25" i="13"/>
  <c r="LH25" i="13" s="1"/>
  <c r="MW103" i="13"/>
  <c r="GV103" i="13"/>
  <c r="GX103" i="13" s="1"/>
  <c r="GY103" i="13" s="1"/>
  <c r="ND132" i="13"/>
  <c r="NE132" i="13" s="1"/>
  <c r="NT83" i="13"/>
  <c r="NM83" i="13"/>
  <c r="IA83" i="13"/>
  <c r="NN83" i="13" s="1"/>
  <c r="NM179" i="13"/>
  <c r="NT179" i="13"/>
  <c r="IA179" i="13"/>
  <c r="NN179" i="13" s="1"/>
  <c r="ND44" i="13"/>
  <c r="NE44" i="13" s="1"/>
  <c r="JJ69" i="13"/>
  <c r="JI69" i="13"/>
  <c r="GP208" i="13"/>
  <c r="BC97" i="13"/>
  <c r="BB97" i="13" s="1"/>
  <c r="BU97" i="13"/>
  <c r="BT97" i="13" s="1"/>
  <c r="BS97" i="13" s="1"/>
  <c r="BR97" i="13" s="1"/>
  <c r="BQ97" i="13" s="1"/>
  <c r="AX97" i="13"/>
  <c r="AW97" i="13" s="1"/>
  <c r="AV97" i="13" s="1"/>
  <c r="AU97" i="13" s="1"/>
  <c r="AT97" i="13" s="1"/>
  <c r="CE97" i="13"/>
  <c r="CD97" i="13" s="1"/>
  <c r="CC97" i="13" s="1"/>
  <c r="CB97" i="13" s="1"/>
  <c r="CA97" i="13" s="1"/>
  <c r="BH97" i="13"/>
  <c r="BG97" i="13" s="1"/>
  <c r="BF97" i="13" s="1"/>
  <c r="BE97" i="13" s="1"/>
  <c r="BD97" i="13" s="1"/>
  <c r="BZ97" i="13"/>
  <c r="BY97" i="13" s="1"/>
  <c r="BX97" i="13" s="1"/>
  <c r="BW97" i="13" s="1"/>
  <c r="BV97" i="13" s="1"/>
  <c r="BP97" i="13"/>
  <c r="BO97" i="13" s="1"/>
  <c r="BN97" i="13" s="1"/>
  <c r="BM97" i="13" s="1"/>
  <c r="BL97" i="13" s="1"/>
  <c r="AS97" i="13"/>
  <c r="AR97" i="13" s="1"/>
  <c r="AQ97" i="13" s="1"/>
  <c r="AP97" i="13" s="1"/>
  <c r="AO97" i="13" s="1"/>
  <c r="AL97" i="13" s="1"/>
  <c r="IB209" i="13"/>
  <c r="ID209" i="13" s="1"/>
  <c r="IE209" i="13" s="1"/>
  <c r="BZ209" i="13" s="1"/>
  <c r="BY209" i="13" s="1"/>
  <c r="BX209" i="13" s="1"/>
  <c r="BW209" i="13" s="1"/>
  <c r="BV209" i="13" s="1"/>
  <c r="HL209" i="13"/>
  <c r="HN209" i="13" s="1"/>
  <c r="HO209" i="13" s="1"/>
  <c r="CE209" i="13" s="1"/>
  <c r="CD209" i="13" s="1"/>
  <c r="CC209" i="13" s="1"/>
  <c r="CB209" i="13" s="1"/>
  <c r="CA209" i="13" s="1"/>
  <c r="HT209" i="13"/>
  <c r="HV209" i="13" s="1"/>
  <c r="HW209" i="13" s="1"/>
  <c r="BC209" i="13" s="1"/>
  <c r="BB209" i="13" s="1"/>
  <c r="BA209" i="13" s="1"/>
  <c r="AZ209" i="13" s="1"/>
  <c r="AY209" i="13" s="1"/>
  <c r="HD209" i="13"/>
  <c r="HF209" i="13" s="1"/>
  <c r="HG209" i="13" s="1"/>
  <c r="CC173" i="13"/>
  <c r="CB173" i="13" s="1"/>
  <c r="CA173" i="13" s="1"/>
  <c r="E178" i="13"/>
  <c r="HX178" i="13"/>
  <c r="HZ178" i="13" s="1"/>
  <c r="HP178" i="13"/>
  <c r="HR178" i="13" s="1"/>
  <c r="HH178" i="13"/>
  <c r="HJ178" i="13" s="1"/>
  <c r="HK178" i="13" s="1"/>
  <c r="GZ178" i="13"/>
  <c r="HB178" i="13" s="1"/>
  <c r="HC178" i="13" s="1"/>
  <c r="GF69" i="13"/>
  <c r="GO69" i="13"/>
  <c r="NH111" i="13"/>
  <c r="NG111" i="13"/>
  <c r="KH111" i="13" s="1"/>
  <c r="KJ111" i="13" s="1"/>
  <c r="KK111" i="13" s="1"/>
  <c r="NF111" i="13"/>
  <c r="JL111" i="13"/>
  <c r="JN111" i="13" s="1"/>
  <c r="NH72" i="13"/>
  <c r="NG72" i="13"/>
  <c r="KH72" i="13" s="1"/>
  <c r="KJ72" i="13" s="1"/>
  <c r="KK72" i="13" s="1"/>
  <c r="NF72" i="13"/>
  <c r="JL72" i="13"/>
  <c r="JN72" i="13" s="1"/>
  <c r="GP211" i="13"/>
  <c r="NN211" i="13"/>
  <c r="NL211" i="13"/>
  <c r="GP92" i="13"/>
  <c r="NL92" i="13"/>
  <c r="NN92" i="13"/>
  <c r="MW126" i="13"/>
  <c r="GV126" i="13"/>
  <c r="GX126" i="13" s="1"/>
  <c r="GY126" i="13" s="1"/>
  <c r="JK94" i="13"/>
  <c r="NT18" i="13"/>
  <c r="NM18" i="13"/>
  <c r="IA18" i="13"/>
  <c r="NN18" i="13" s="1"/>
  <c r="DU197" i="13"/>
  <c r="DT197" i="13" s="1"/>
  <c r="DS197" i="13" s="1"/>
  <c r="DR197" i="13" s="1"/>
  <c r="DQ197" i="13" s="1"/>
  <c r="DP197" i="13"/>
  <c r="DO197" i="13" s="1"/>
  <c r="DN197" i="13" s="1"/>
  <c r="DM197" i="13" s="1"/>
  <c r="DL197" i="13" s="1"/>
  <c r="DK197" i="13"/>
  <c r="DJ197" i="13" s="1"/>
  <c r="DI197" i="13" s="1"/>
  <c r="DH197" i="13" s="1"/>
  <c r="DG197" i="13" s="1"/>
  <c r="DZ197" i="13"/>
  <c r="DY197" i="13" s="1"/>
  <c r="DX197" i="13" s="1"/>
  <c r="DW197" i="13" s="1"/>
  <c r="DV197" i="13" s="1"/>
  <c r="CM197" i="13"/>
  <c r="CL197" i="13" s="1"/>
  <c r="CK197" i="13" s="1"/>
  <c r="CJ197" i="13" s="1"/>
  <c r="CI197" i="13" s="1"/>
  <c r="CR197" i="13"/>
  <c r="CQ197" i="13" s="1"/>
  <c r="CP197" i="13" s="1"/>
  <c r="CO197" i="13" s="1"/>
  <c r="CN197" i="13" s="1"/>
  <c r="KG43" i="13"/>
  <c r="NR43" i="13"/>
  <c r="JO67" i="13"/>
  <c r="KG67" i="13" s="1"/>
  <c r="KF67" i="13"/>
  <c r="BX174" i="13"/>
  <c r="BW174" i="13" s="1"/>
  <c r="BV174" i="13" s="1"/>
  <c r="NT27" i="13"/>
  <c r="NM27" i="13"/>
  <c r="IA27" i="13"/>
  <c r="NN27" i="13" s="1"/>
  <c r="JK52" i="13"/>
  <c r="KX32" i="13"/>
  <c r="KZ32" i="13" s="1"/>
  <c r="LA32" i="13" s="1"/>
  <c r="DP32" i="13" s="1"/>
  <c r="DO32" i="13" s="1"/>
  <c r="LF32" i="13"/>
  <c r="LH32" i="13" s="1"/>
  <c r="LN32" i="13"/>
  <c r="KP32" i="13"/>
  <c r="KR32" i="13" s="1"/>
  <c r="KS32" i="13" s="1"/>
  <c r="AS72" i="13"/>
  <c r="AR72" i="13" s="1"/>
  <c r="AQ72" i="13" s="1"/>
  <c r="AP72" i="13" s="1"/>
  <c r="AO72" i="13" s="1"/>
  <c r="AL72" i="13" s="1"/>
  <c r="BH72" i="13"/>
  <c r="BG72" i="13" s="1"/>
  <c r="BF72" i="13" s="1"/>
  <c r="BE72" i="13" s="1"/>
  <c r="BD72" i="13" s="1"/>
  <c r="BZ72" i="13"/>
  <c r="BY72" i="13" s="1"/>
  <c r="BX72" i="13" s="1"/>
  <c r="BW72" i="13" s="1"/>
  <c r="BV72" i="13" s="1"/>
  <c r="BC72" i="13"/>
  <c r="BB72" i="13" s="1"/>
  <c r="BA72" i="13" s="1"/>
  <c r="AZ72" i="13" s="1"/>
  <c r="AY72" i="13" s="1"/>
  <c r="CE72" i="13"/>
  <c r="CD72" i="13" s="1"/>
  <c r="CC72" i="13" s="1"/>
  <c r="CB72" i="13" s="1"/>
  <c r="CA72" i="13" s="1"/>
  <c r="AX72" i="13"/>
  <c r="AW72" i="13" s="1"/>
  <c r="AV72" i="13" s="1"/>
  <c r="AU72" i="13" s="1"/>
  <c r="AT72" i="13" s="1"/>
  <c r="BU72" i="13"/>
  <c r="BT72" i="13" s="1"/>
  <c r="BS72" i="13" s="1"/>
  <c r="BR72" i="13" s="1"/>
  <c r="BQ72" i="13" s="1"/>
  <c r="BP72" i="13"/>
  <c r="BO72" i="13" s="1"/>
  <c r="BN72" i="13" s="1"/>
  <c r="BM72" i="13" s="1"/>
  <c r="BL72" i="13" s="1"/>
  <c r="BH212" i="13"/>
  <c r="BG212" i="13" s="1"/>
  <c r="IA123" i="13"/>
  <c r="NN123" i="13" s="1"/>
  <c r="NT123" i="13"/>
  <c r="NM123" i="13"/>
  <c r="BS28" i="13"/>
  <c r="BR28" i="13" s="1"/>
  <c r="BQ28" i="13" s="1"/>
  <c r="ND150" i="13"/>
  <c r="NE150" i="13" s="1"/>
  <c r="NT13" i="13"/>
  <c r="NM13" i="13"/>
  <c r="IA13" i="13"/>
  <c r="NN13" i="13" s="1"/>
  <c r="JO147" i="13"/>
  <c r="KF147" i="13"/>
  <c r="GP196" i="13"/>
  <c r="NN196" i="13"/>
  <c r="IA36" i="13"/>
  <c r="NN36" i="13" s="1"/>
  <c r="NT36" i="13"/>
  <c r="NM36" i="13"/>
  <c r="MW140" i="13"/>
  <c r="GV140" i="13"/>
  <c r="GX140" i="13" s="1"/>
  <c r="GY140" i="13" s="1"/>
  <c r="HS188" i="13"/>
  <c r="NL188" i="13" s="1"/>
  <c r="NK188" i="13"/>
  <c r="NY188" i="13"/>
  <c r="NS188" i="13"/>
  <c r="HD205" i="13"/>
  <c r="HF205" i="13" s="1"/>
  <c r="HG205" i="13" s="1"/>
  <c r="HL205" i="13"/>
  <c r="HN205" i="13" s="1"/>
  <c r="HO205" i="13" s="1"/>
  <c r="BH205" i="13" s="1"/>
  <c r="BG205" i="13" s="1"/>
  <c r="BF205" i="13" s="1"/>
  <c r="BE205" i="13" s="1"/>
  <c r="BD205" i="13" s="1"/>
  <c r="IB205" i="13"/>
  <c r="ID205" i="13" s="1"/>
  <c r="IE205" i="13" s="1"/>
  <c r="BZ205" i="13" s="1"/>
  <c r="BY205" i="13" s="1"/>
  <c r="BX205" i="13" s="1"/>
  <c r="BW205" i="13" s="1"/>
  <c r="BV205" i="13" s="1"/>
  <c r="HT205" i="13"/>
  <c r="HV205" i="13" s="1"/>
  <c r="HW205" i="13" s="1"/>
  <c r="BC205" i="13" s="1"/>
  <c r="BB205" i="13" s="1"/>
  <c r="BA205" i="13" s="1"/>
  <c r="AZ205" i="13" s="1"/>
  <c r="AY205" i="13" s="1"/>
  <c r="MW136" i="13"/>
  <c r="GV136" i="13"/>
  <c r="GX136" i="13" s="1"/>
  <c r="GY136" i="13" s="1"/>
  <c r="IA159" i="13"/>
  <c r="NN159" i="13" s="1"/>
  <c r="NT159" i="13"/>
  <c r="NM159" i="13"/>
  <c r="CC50" i="13"/>
  <c r="CB50" i="13" s="1"/>
  <c r="CA50" i="13" s="1"/>
  <c r="NQ210" i="13"/>
  <c r="LP210" i="13"/>
  <c r="LQ210" i="13" s="1"/>
  <c r="DK210" i="13" s="1"/>
  <c r="DJ210" i="13" s="1"/>
  <c r="DI210" i="13" s="1"/>
  <c r="DH210" i="13" s="1"/>
  <c r="DG210" i="13" s="1"/>
  <c r="NV210" i="13"/>
  <c r="GF111" i="13"/>
  <c r="GO111" i="13"/>
  <c r="BX31" i="13"/>
  <c r="BW31" i="13" s="1"/>
  <c r="BV31" i="13" s="1"/>
  <c r="GP89" i="13"/>
  <c r="NN89" i="13"/>
  <c r="GF115" i="13"/>
  <c r="GO115" i="13"/>
  <c r="ND109" i="13"/>
  <c r="NE109" i="13" s="1"/>
  <c r="JO193" i="13"/>
  <c r="KG193" i="13" s="1"/>
  <c r="KF193" i="13"/>
  <c r="BZ195" i="13"/>
  <c r="BY195" i="13" s="1"/>
  <c r="BX195" i="13" s="1"/>
  <c r="BW195" i="13" s="1"/>
  <c r="BV195" i="13" s="1"/>
  <c r="CE195" i="13"/>
  <c r="CD195" i="13" s="1"/>
  <c r="CC195" i="13" s="1"/>
  <c r="CB195" i="13" s="1"/>
  <c r="CA195" i="13" s="1"/>
  <c r="AX195" i="13"/>
  <c r="AW195" i="13" s="1"/>
  <c r="AV195" i="13" s="1"/>
  <c r="AU195" i="13" s="1"/>
  <c r="AT195" i="13" s="1"/>
  <c r="BU195" i="13"/>
  <c r="BT195" i="13" s="1"/>
  <c r="BS195" i="13" s="1"/>
  <c r="BR195" i="13" s="1"/>
  <c r="BQ195" i="13" s="1"/>
  <c r="AS195" i="13"/>
  <c r="AR195" i="13" s="1"/>
  <c r="AQ195" i="13" s="1"/>
  <c r="AP195" i="13" s="1"/>
  <c r="AO195" i="13" s="1"/>
  <c r="AL195" i="13" s="1"/>
  <c r="BP195" i="13"/>
  <c r="BO195" i="13" s="1"/>
  <c r="BN195" i="13" s="1"/>
  <c r="BM195" i="13" s="1"/>
  <c r="BL195" i="13" s="1"/>
  <c r="BH195" i="13"/>
  <c r="BG195" i="13" s="1"/>
  <c r="BF195" i="13" s="1"/>
  <c r="BE195" i="13" s="1"/>
  <c r="BD195" i="13" s="1"/>
  <c r="BC195" i="13"/>
  <c r="BB195" i="13" s="1"/>
  <c r="BA195" i="13" s="1"/>
  <c r="AZ195" i="13" s="1"/>
  <c r="AY195" i="13" s="1"/>
  <c r="MW99" i="13"/>
  <c r="GV99" i="13"/>
  <c r="GX99" i="13" s="1"/>
  <c r="GY99" i="13" s="1"/>
  <c r="BU84" i="13"/>
  <c r="BT84" i="13" s="1"/>
  <c r="BS84" i="13" s="1"/>
  <c r="BR84" i="13" s="1"/>
  <c r="BQ84" i="13" s="1"/>
  <c r="BC84" i="13"/>
  <c r="BB84" i="13" s="1"/>
  <c r="BA84" i="13" s="1"/>
  <c r="AZ84" i="13" s="1"/>
  <c r="AY84" i="13" s="1"/>
  <c r="AX84" i="13"/>
  <c r="AW84" i="13" s="1"/>
  <c r="AV84" i="13" s="1"/>
  <c r="AU84" i="13" s="1"/>
  <c r="AT84" i="13" s="1"/>
  <c r="CE84" i="13"/>
  <c r="CD84" i="13" s="1"/>
  <c r="CC84" i="13" s="1"/>
  <c r="CB84" i="13" s="1"/>
  <c r="CA84" i="13" s="1"/>
  <c r="BP84" i="13"/>
  <c r="BO84" i="13" s="1"/>
  <c r="BN84" i="13" s="1"/>
  <c r="BM84" i="13" s="1"/>
  <c r="BL84" i="13" s="1"/>
  <c r="AS84" i="13"/>
  <c r="AR84" i="13" s="1"/>
  <c r="AQ84" i="13" s="1"/>
  <c r="AP84" i="13" s="1"/>
  <c r="AO84" i="13" s="1"/>
  <c r="AL84" i="13" s="1"/>
  <c r="BH84" i="13"/>
  <c r="BG84" i="13" s="1"/>
  <c r="BF84" i="13" s="1"/>
  <c r="BE84" i="13" s="1"/>
  <c r="BD84" i="13" s="1"/>
  <c r="BZ84" i="13"/>
  <c r="BY84" i="13" s="1"/>
  <c r="BX84" i="13" s="1"/>
  <c r="BW84" i="13" s="1"/>
  <c r="BV84" i="13" s="1"/>
  <c r="GP214" i="13"/>
  <c r="NN214" i="13"/>
  <c r="BH38" i="13"/>
  <c r="BG38" i="13" s="1"/>
  <c r="BF38" i="13" s="1"/>
  <c r="BE38" i="13" s="1"/>
  <c r="BD38" i="13" s="1"/>
  <c r="BZ38" i="13"/>
  <c r="BY38" i="13" s="1"/>
  <c r="BX38" i="13" s="1"/>
  <c r="BW38" i="13" s="1"/>
  <c r="BV38" i="13" s="1"/>
  <c r="BC38" i="13"/>
  <c r="BB38" i="13" s="1"/>
  <c r="BA38" i="13" s="1"/>
  <c r="AZ38" i="13" s="1"/>
  <c r="AY38" i="13" s="1"/>
  <c r="BU38" i="13"/>
  <c r="BT38" i="13" s="1"/>
  <c r="BS38" i="13" s="1"/>
  <c r="BR38" i="13" s="1"/>
  <c r="BQ38" i="13" s="1"/>
  <c r="AX38" i="13"/>
  <c r="AW38" i="13" s="1"/>
  <c r="AV38" i="13" s="1"/>
  <c r="AU38" i="13" s="1"/>
  <c r="AT38" i="13" s="1"/>
  <c r="BP38" i="13"/>
  <c r="BO38" i="13" s="1"/>
  <c r="BN38" i="13" s="1"/>
  <c r="BM38" i="13" s="1"/>
  <c r="BL38" i="13" s="1"/>
  <c r="CE38" i="13"/>
  <c r="CD38" i="13" s="1"/>
  <c r="CC38" i="13" s="1"/>
  <c r="CB38" i="13" s="1"/>
  <c r="CA38" i="13" s="1"/>
  <c r="AS38" i="13"/>
  <c r="AR38" i="13" s="1"/>
  <c r="AQ38" i="13" s="1"/>
  <c r="AP38" i="13" s="1"/>
  <c r="AO38" i="13" s="1"/>
  <c r="AL38" i="13" s="1"/>
  <c r="IB202" i="13"/>
  <c r="ID202" i="13" s="1"/>
  <c r="IE202" i="13" s="1"/>
  <c r="HD202" i="13"/>
  <c r="HF202" i="13" s="1"/>
  <c r="HG202" i="13" s="1"/>
  <c r="HT202" i="13"/>
  <c r="HV202" i="13" s="1"/>
  <c r="HW202" i="13" s="1"/>
  <c r="HL202" i="13"/>
  <c r="HN202" i="13" s="1"/>
  <c r="HO202" i="13" s="1"/>
  <c r="GF130" i="13"/>
  <c r="GO130" i="13"/>
  <c r="JK207" i="13"/>
  <c r="LF74" i="13"/>
  <c r="LH74" i="13" s="1"/>
  <c r="KX74" i="13"/>
  <c r="KZ74" i="13" s="1"/>
  <c r="LA74" i="13" s="1"/>
  <c r="LN74" i="13"/>
  <c r="KP74" i="13"/>
  <c r="KR74" i="13" s="1"/>
  <c r="KS74" i="13" s="1"/>
  <c r="HT110" i="13"/>
  <c r="HV110" i="13" s="1"/>
  <c r="HW110" i="13" s="1"/>
  <c r="BC110" i="13" s="1"/>
  <c r="BB110" i="13" s="1"/>
  <c r="BA110" i="13" s="1"/>
  <c r="AZ110" i="13" s="1"/>
  <c r="AY110" i="13" s="1"/>
  <c r="IB110" i="13"/>
  <c r="ID110" i="13" s="1"/>
  <c r="IE110" i="13" s="1"/>
  <c r="BZ110" i="13" s="1"/>
  <c r="BY110" i="13" s="1"/>
  <c r="BX110" i="13" s="1"/>
  <c r="BW110" i="13" s="1"/>
  <c r="BV110" i="13" s="1"/>
  <c r="HD110" i="13"/>
  <c r="HF110" i="13" s="1"/>
  <c r="HG110" i="13" s="1"/>
  <c r="HL110" i="13"/>
  <c r="HN110" i="13" s="1"/>
  <c r="HO110" i="13" s="1"/>
  <c r="CE110" i="13" s="1"/>
  <c r="CD110" i="13" s="1"/>
  <c r="CC110" i="13" s="1"/>
  <c r="CB110" i="13" s="1"/>
  <c r="CA110" i="13" s="1"/>
  <c r="E88" i="13"/>
  <c r="GZ88" i="13"/>
  <c r="HB88" i="13" s="1"/>
  <c r="HC88" i="13" s="1"/>
  <c r="HP88" i="13"/>
  <c r="HR88" i="13" s="1"/>
  <c r="HX88" i="13"/>
  <c r="HZ88" i="13" s="1"/>
  <c r="HH88" i="13"/>
  <c r="HJ88" i="13" s="1"/>
  <c r="HK88" i="13" s="1"/>
  <c r="JJ138" i="13"/>
  <c r="JI138" i="13"/>
  <c r="E108" i="13"/>
  <c r="HX108" i="13"/>
  <c r="HZ108" i="13" s="1"/>
  <c r="HP108" i="13"/>
  <c r="HR108" i="13" s="1"/>
  <c r="GZ108" i="13"/>
  <c r="HB108" i="13" s="1"/>
  <c r="HC108" i="13" s="1"/>
  <c r="HH108" i="13"/>
  <c r="HJ108" i="13" s="1"/>
  <c r="HK108" i="13" s="1"/>
  <c r="E30" i="13"/>
  <c r="HX30" i="13"/>
  <c r="HZ30" i="13" s="1"/>
  <c r="GZ30" i="13"/>
  <c r="HB30" i="13" s="1"/>
  <c r="HC30" i="13" s="1"/>
  <c r="CR30" i="13" s="1"/>
  <c r="CQ30" i="13" s="1"/>
  <c r="HP30" i="13"/>
  <c r="HR30" i="13" s="1"/>
  <c r="HH30" i="13"/>
  <c r="HJ30" i="13" s="1"/>
  <c r="HK30" i="13" s="1"/>
  <c r="BU30" i="13" s="1"/>
  <c r="BT30" i="13" s="1"/>
  <c r="JI188" i="13"/>
  <c r="JJ188" i="13"/>
  <c r="GP36" i="13"/>
  <c r="NL36" i="13"/>
  <c r="ND170" i="13"/>
  <c r="NE170" i="13" s="1"/>
  <c r="GF150" i="13"/>
  <c r="GO150" i="13"/>
  <c r="JI132" i="13"/>
  <c r="JJ132" i="13"/>
  <c r="HS147" i="13"/>
  <c r="AS147" i="13" s="1"/>
  <c r="AR147" i="13" s="1"/>
  <c r="NK147" i="13"/>
  <c r="NY147" i="13"/>
  <c r="NS147" i="13"/>
  <c r="NT151" i="13"/>
  <c r="NM151" i="13"/>
  <c r="IA151" i="13"/>
  <c r="NN151" i="13" s="1"/>
  <c r="JI203" i="13"/>
  <c r="JJ203" i="13"/>
  <c r="NM200" i="13"/>
  <c r="IA200" i="13"/>
  <c r="NN200" i="13" s="1"/>
  <c r="NT200" i="13"/>
  <c r="JO160" i="13"/>
  <c r="KG160" i="13" s="1"/>
  <c r="KF160" i="13"/>
  <c r="JJ44" i="13"/>
  <c r="JI44" i="13"/>
  <c r="NH69" i="13"/>
  <c r="NG69" i="13"/>
  <c r="KH69" i="13" s="1"/>
  <c r="KJ69" i="13" s="1"/>
  <c r="KK69" i="13" s="1"/>
  <c r="NF69" i="13"/>
  <c r="JL69" i="13"/>
  <c r="JN69" i="13" s="1"/>
  <c r="NS82" i="13"/>
  <c r="HS82" i="13"/>
  <c r="NL82" i="13" s="1"/>
  <c r="NK82" i="13"/>
  <c r="NY82" i="13"/>
  <c r="IB139" i="13"/>
  <c r="ID139" i="13" s="1"/>
  <c r="IE139" i="13" s="1"/>
  <c r="BZ139" i="13" s="1"/>
  <c r="BY139" i="13" s="1"/>
  <c r="BX139" i="13" s="1"/>
  <c r="BW139" i="13" s="1"/>
  <c r="BV139" i="13" s="1"/>
  <c r="HD139" i="13"/>
  <c r="HF139" i="13" s="1"/>
  <c r="HG139" i="13" s="1"/>
  <c r="HL139" i="13"/>
  <c r="HN139" i="13" s="1"/>
  <c r="HO139" i="13" s="1"/>
  <c r="CE139" i="13" s="1"/>
  <c r="CD139" i="13" s="1"/>
  <c r="CC139" i="13" s="1"/>
  <c r="CB139" i="13" s="1"/>
  <c r="CA139" i="13" s="1"/>
  <c r="HT139" i="13"/>
  <c r="HV139" i="13" s="1"/>
  <c r="HW139" i="13" s="1"/>
  <c r="BC139" i="13" s="1"/>
  <c r="BB139" i="13" s="1"/>
  <c r="BA139" i="13" s="1"/>
  <c r="AZ139" i="13" s="1"/>
  <c r="AY139" i="13" s="1"/>
  <c r="ND56" i="13"/>
  <c r="NE56" i="13" s="1"/>
  <c r="AV24" i="13"/>
  <c r="AU24" i="13" s="1"/>
  <c r="AT24" i="13" s="1"/>
  <c r="HL106" i="13"/>
  <c r="HN106" i="13" s="1"/>
  <c r="HO106" i="13" s="1"/>
  <c r="IB106" i="13"/>
  <c r="ID106" i="13" s="1"/>
  <c r="IE106" i="13" s="1"/>
  <c r="HT106" i="13"/>
  <c r="HV106" i="13" s="1"/>
  <c r="HW106" i="13" s="1"/>
  <c r="HD106" i="13"/>
  <c r="HF106" i="13" s="1"/>
  <c r="HG106" i="13" s="1"/>
  <c r="HD206" i="13"/>
  <c r="HF206" i="13" s="1"/>
  <c r="HG206" i="13" s="1"/>
  <c r="IB206" i="13"/>
  <c r="ID206" i="13" s="1"/>
  <c r="IE206" i="13" s="1"/>
  <c r="HL206" i="13"/>
  <c r="HN206" i="13" s="1"/>
  <c r="HO206" i="13" s="1"/>
  <c r="HT206" i="13"/>
  <c r="HV206" i="13" s="1"/>
  <c r="HW206" i="13" s="1"/>
  <c r="NX81" i="13"/>
  <c r="NW81" i="13"/>
  <c r="MW178" i="13"/>
  <c r="GV178" i="13"/>
  <c r="GX178" i="13" s="1"/>
  <c r="GY178" i="13" s="1"/>
  <c r="MW69" i="13"/>
  <c r="GV69" i="13"/>
  <c r="GX69" i="13" s="1"/>
  <c r="GY69" i="13" s="1"/>
  <c r="NG176" i="13"/>
  <c r="KH176" i="13" s="1"/>
  <c r="KJ176" i="13" s="1"/>
  <c r="KK176" i="13" s="1"/>
  <c r="NH176" i="13"/>
  <c r="NF176" i="13"/>
  <c r="JL176" i="13"/>
  <c r="JN176" i="13" s="1"/>
  <c r="GP206" i="13"/>
  <c r="NL206" i="13"/>
  <c r="NN206" i="13"/>
  <c r="NH13" i="13"/>
  <c r="NG13" i="13"/>
  <c r="KH13" i="13" s="1"/>
  <c r="KJ13" i="13" s="1"/>
  <c r="KK13" i="13" s="1"/>
  <c r="NF13" i="13"/>
  <c r="NF89" i="13"/>
  <c r="NH89" i="13"/>
  <c r="NG89" i="13"/>
  <c r="KH89" i="13" s="1"/>
  <c r="KJ89" i="13" s="1"/>
  <c r="KK89" i="13" s="1"/>
  <c r="JL89" i="13"/>
  <c r="JN89" i="13" s="1"/>
  <c r="NX128" i="13"/>
  <c r="NW128" i="13"/>
  <c r="JJ136" i="13"/>
  <c r="JI136" i="13"/>
  <c r="JO174" i="13"/>
  <c r="KG174" i="13" s="1"/>
  <c r="KF174" i="13"/>
  <c r="LF65" i="13"/>
  <c r="LH65" i="13" s="1"/>
  <c r="KX65" i="13"/>
  <c r="KZ65" i="13" s="1"/>
  <c r="LA65" i="13" s="1"/>
  <c r="LN65" i="13"/>
  <c r="KP65" i="13"/>
  <c r="KR65" i="13" s="1"/>
  <c r="KS65" i="13" s="1"/>
  <c r="JJ157" i="13"/>
  <c r="JI157" i="13"/>
  <c r="KX137" i="13"/>
  <c r="KZ137" i="13" s="1"/>
  <c r="LA137" i="13" s="1"/>
  <c r="LF137" i="13"/>
  <c r="LH137" i="13" s="1"/>
  <c r="KP137" i="13"/>
  <c r="KR137" i="13" s="1"/>
  <c r="KS137" i="13" s="1"/>
  <c r="LN137" i="13"/>
  <c r="NI67" i="13"/>
  <c r="KL67" i="13"/>
  <c r="KN67" i="13" s="1"/>
  <c r="KO67" i="13" s="1"/>
  <c r="NS27" i="13"/>
  <c r="HS27" i="13"/>
  <c r="NL27" i="13" s="1"/>
  <c r="NK27" i="13"/>
  <c r="NY27" i="13"/>
  <c r="NG64" i="13"/>
  <c r="KH64" i="13" s="1"/>
  <c r="KJ64" i="13" s="1"/>
  <c r="KK64" i="13" s="1"/>
  <c r="NF64" i="13"/>
  <c r="NH64" i="13"/>
  <c r="JL64" i="13"/>
  <c r="JN64" i="13" s="1"/>
  <c r="JK135" i="13"/>
  <c r="AS175" i="13"/>
  <c r="AR175" i="13" s="1"/>
  <c r="AQ175" i="13" s="1"/>
  <c r="AP175" i="13" s="1"/>
  <c r="AO175" i="13" s="1"/>
  <c r="AL175" i="13" s="1"/>
  <c r="BZ175" i="13"/>
  <c r="BY175" i="13" s="1"/>
  <c r="BX175" i="13" s="1"/>
  <c r="BW175" i="13" s="1"/>
  <c r="BV175" i="13" s="1"/>
  <c r="BH175" i="13"/>
  <c r="BG175" i="13" s="1"/>
  <c r="BF175" i="13" s="1"/>
  <c r="BE175" i="13" s="1"/>
  <c r="BD175" i="13" s="1"/>
  <c r="BU175" i="13"/>
  <c r="BT175" i="13" s="1"/>
  <c r="BS175" i="13" s="1"/>
  <c r="BR175" i="13" s="1"/>
  <c r="BQ175" i="13" s="1"/>
  <c r="BP175" i="13"/>
  <c r="BO175" i="13" s="1"/>
  <c r="BN175" i="13" s="1"/>
  <c r="BM175" i="13" s="1"/>
  <c r="BL175" i="13" s="1"/>
  <c r="BC175" i="13"/>
  <c r="BB175" i="13" s="1"/>
  <c r="BA175" i="13" s="1"/>
  <c r="AZ175" i="13" s="1"/>
  <c r="AY175" i="13" s="1"/>
  <c r="AX175" i="13"/>
  <c r="AW175" i="13" s="1"/>
  <c r="AV175" i="13" s="1"/>
  <c r="AU175" i="13" s="1"/>
  <c r="AT175" i="13" s="1"/>
  <c r="CE175" i="13"/>
  <c r="CD175" i="13" s="1"/>
  <c r="CC175" i="13" s="1"/>
  <c r="CB175" i="13" s="1"/>
  <c r="CA175" i="13" s="1"/>
  <c r="JJ150" i="13"/>
  <c r="JI150" i="13"/>
  <c r="NS13" i="13"/>
  <c r="HS13" i="13"/>
  <c r="NL13" i="13" s="1"/>
  <c r="NK13" i="13"/>
  <c r="NY13" i="13"/>
  <c r="NI147" i="13"/>
  <c r="KL147" i="13"/>
  <c r="KN147" i="13" s="1"/>
  <c r="KO147" i="13" s="1"/>
  <c r="NK185" i="13"/>
  <c r="NY185" i="13"/>
  <c r="NS185" i="13"/>
  <c r="HS185" i="13"/>
  <c r="NL185" i="13" s="1"/>
  <c r="IB78" i="13"/>
  <c r="ID78" i="13" s="1"/>
  <c r="IE78" i="13" s="1"/>
  <c r="BZ78" i="13" s="1"/>
  <c r="BY78" i="13" s="1"/>
  <c r="BX78" i="13" s="1"/>
  <c r="BW78" i="13" s="1"/>
  <c r="BV78" i="13" s="1"/>
  <c r="HL78" i="13"/>
  <c r="HN78" i="13" s="1"/>
  <c r="HO78" i="13" s="1"/>
  <c r="BH78" i="13" s="1"/>
  <c r="BG78" i="13" s="1"/>
  <c r="BF78" i="13" s="1"/>
  <c r="BE78" i="13" s="1"/>
  <c r="BD78" i="13" s="1"/>
  <c r="HT78" i="13"/>
  <c r="HV78" i="13" s="1"/>
  <c r="HW78" i="13" s="1"/>
  <c r="BC78" i="13" s="1"/>
  <c r="BB78" i="13" s="1"/>
  <c r="HD78" i="13"/>
  <c r="HF78" i="13" s="1"/>
  <c r="HG78" i="13" s="1"/>
  <c r="NM22" i="13"/>
  <c r="IA22" i="13"/>
  <c r="NN22" i="13" s="1"/>
  <c r="NT22" i="13"/>
  <c r="BN166" i="13" l="1"/>
  <c r="BM166" i="13" s="1"/>
  <c r="BL166" i="13" s="1"/>
  <c r="JL186" i="13"/>
  <c r="JN186" i="13" s="1"/>
  <c r="BV188" i="13"/>
  <c r="BP110" i="13"/>
  <c r="BO110" i="13" s="1"/>
  <c r="BN110" i="13" s="1"/>
  <c r="BM110" i="13" s="1"/>
  <c r="BL110" i="13" s="1"/>
  <c r="NF186" i="13"/>
  <c r="CC21" i="13"/>
  <c r="CB21" i="13" s="1"/>
  <c r="CA21" i="13" s="1"/>
  <c r="BX13" i="13"/>
  <c r="BW13" i="13" s="1"/>
  <c r="BV13" i="13" s="1"/>
  <c r="BX203" i="13"/>
  <c r="BW203" i="13" s="1"/>
  <c r="BV203" i="13" s="1"/>
  <c r="AV20" i="13"/>
  <c r="AU20" i="13" s="1"/>
  <c r="AT20" i="13" s="1"/>
  <c r="BX207" i="13"/>
  <c r="BW207" i="13" s="1"/>
  <c r="BV207" i="13" s="1"/>
  <c r="BS20" i="13"/>
  <c r="BR20" i="13" s="1"/>
  <c r="BQ20" i="13" s="1"/>
  <c r="BA12" i="13"/>
  <c r="AZ12" i="13" s="1"/>
  <c r="AY12" i="13" s="1"/>
  <c r="JL183" i="13"/>
  <c r="JN183" i="13" s="1"/>
  <c r="KF183" i="13" s="1"/>
  <c r="CM127" i="13"/>
  <c r="CL127" i="13" s="1"/>
  <c r="CK127" i="13" s="1"/>
  <c r="CJ127" i="13" s="1"/>
  <c r="CI127" i="13" s="1"/>
  <c r="BX166" i="13"/>
  <c r="BW166" i="13" s="1"/>
  <c r="BH29" i="13"/>
  <c r="BG29" i="13" s="1"/>
  <c r="BF29" i="13" s="1"/>
  <c r="BE29" i="13" s="1"/>
  <c r="BD29" i="13" s="1"/>
  <c r="BA207" i="13"/>
  <c r="AZ207" i="13" s="1"/>
  <c r="AY207" i="13" s="1"/>
  <c r="NF183" i="13"/>
  <c r="BX22" i="13"/>
  <c r="BW22" i="13" s="1"/>
  <c r="BV22" i="13" s="1"/>
  <c r="CC52" i="13"/>
  <c r="CB52" i="13" s="1"/>
  <c r="CA52" i="13" s="1"/>
  <c r="CC212" i="13"/>
  <c r="CB212" i="13" s="1"/>
  <c r="CC12" i="13"/>
  <c r="CB12" i="13" s="1"/>
  <c r="CA12" i="13" s="1"/>
  <c r="BX185" i="13"/>
  <c r="BW185" i="13" s="1"/>
  <c r="CC15" i="13"/>
  <c r="CB15" i="13" s="1"/>
  <c r="CA15" i="13" s="1"/>
  <c r="AV29" i="13"/>
  <c r="AU29" i="13" s="1"/>
  <c r="AT29" i="13" s="1"/>
  <c r="BA68" i="13"/>
  <c r="AZ68" i="13" s="1"/>
  <c r="AY68" i="13" s="1"/>
  <c r="BS29" i="13"/>
  <c r="BR29" i="13" s="1"/>
  <c r="BQ29" i="13" s="1"/>
  <c r="BX212" i="13"/>
  <c r="BW212" i="13" s="1"/>
  <c r="BV212" i="13" s="1"/>
  <c r="CE183" i="13"/>
  <c r="CD183" i="13" s="1"/>
  <c r="CC183" i="13" s="1"/>
  <c r="CB183" i="13" s="1"/>
  <c r="CA183" i="13" s="1"/>
  <c r="BS170" i="13"/>
  <c r="BR170" i="13" s="1"/>
  <c r="BQ170" i="13" s="1"/>
  <c r="BA18" i="13"/>
  <c r="AZ18" i="13" s="1"/>
  <c r="AY18" i="13" s="1"/>
  <c r="BA184" i="13"/>
  <c r="AZ184" i="13" s="1"/>
  <c r="AY184" i="13" s="1"/>
  <c r="CC85" i="13"/>
  <c r="CB85" i="13" s="1"/>
  <c r="CA85" i="13" s="1"/>
  <c r="AS135" i="13"/>
  <c r="AR135" i="13" s="1"/>
  <c r="CC49" i="13"/>
  <c r="CB49" i="13" s="1"/>
  <c r="CA49" i="13" s="1"/>
  <c r="CC54" i="13"/>
  <c r="CB54" i="13" s="1"/>
  <c r="CA54" i="13" s="1"/>
  <c r="AS22" i="13"/>
  <c r="AR22" i="13" s="1"/>
  <c r="BN62" i="13"/>
  <c r="BM62" i="13" s="1"/>
  <c r="BL62" i="13" s="1"/>
  <c r="CC25" i="13"/>
  <c r="CB25" i="13" s="1"/>
  <c r="CA25" i="13" s="1"/>
  <c r="BH146" i="13"/>
  <c r="BG146" i="13" s="1"/>
  <c r="AV170" i="13"/>
  <c r="AU170" i="13" s="1"/>
  <c r="AT170" i="13" s="1"/>
  <c r="CA18" i="13"/>
  <c r="BA83" i="13"/>
  <c r="AZ83" i="13" s="1"/>
  <c r="AY83" i="13" s="1"/>
  <c r="CC98" i="13"/>
  <c r="CB98" i="13" s="1"/>
  <c r="CA98" i="13" s="1"/>
  <c r="CC188" i="13"/>
  <c r="CB188" i="13" s="1"/>
  <c r="CA188" i="13" s="1"/>
  <c r="AS146" i="13"/>
  <c r="AR146" i="13" s="1"/>
  <c r="AQ146" i="13" s="1"/>
  <c r="AP146" i="13" s="1"/>
  <c r="AO146" i="13" s="1"/>
  <c r="AL146" i="13" s="1"/>
  <c r="BA78" i="13"/>
  <c r="AZ78" i="13" s="1"/>
  <c r="AY78" i="13" s="1"/>
  <c r="BN170" i="13"/>
  <c r="BM170" i="13" s="1"/>
  <c r="BL170" i="13" s="1"/>
  <c r="BV18" i="13"/>
  <c r="CA83" i="13"/>
  <c r="CC57" i="13"/>
  <c r="CB57" i="13" s="1"/>
  <c r="CA57" i="13" s="1"/>
  <c r="BN77" i="13"/>
  <c r="BM77" i="13" s="1"/>
  <c r="BL77" i="13" s="1"/>
  <c r="AQ139" i="13"/>
  <c r="AP139" i="13" s="1"/>
  <c r="AO139" i="13" s="1"/>
  <c r="AL139" i="13" s="1"/>
  <c r="AV146" i="13"/>
  <c r="AU146" i="13" s="1"/>
  <c r="AT146" i="13" s="1"/>
  <c r="BV185" i="13"/>
  <c r="CZ152" i="13"/>
  <c r="CY152" i="13" s="1"/>
  <c r="CX152" i="13" s="1"/>
  <c r="BS146" i="13"/>
  <c r="BR146" i="13" s="1"/>
  <c r="BQ146" i="13" s="1"/>
  <c r="AQ86" i="13"/>
  <c r="AP86" i="13" s="1"/>
  <c r="AO86" i="13" s="1"/>
  <c r="AL86" i="13" s="1"/>
  <c r="BA97" i="13"/>
  <c r="AZ97" i="13" s="1"/>
  <c r="AY97" i="13" s="1"/>
  <c r="BV83" i="13"/>
  <c r="BV100" i="13"/>
  <c r="BN205" i="13"/>
  <c r="BM205" i="13" s="1"/>
  <c r="BL205" i="13" s="1"/>
  <c r="CE100" i="13"/>
  <c r="CD100" i="13" s="1"/>
  <c r="CC100" i="13" s="1"/>
  <c r="CB100" i="13" s="1"/>
  <c r="CA100" i="13" s="1"/>
  <c r="BF207" i="13"/>
  <c r="BE207" i="13" s="1"/>
  <c r="BD207" i="13" s="1"/>
  <c r="NG183" i="13"/>
  <c r="KH183" i="13" s="1"/>
  <c r="KJ183" i="13" s="1"/>
  <c r="KK183" i="13" s="1"/>
  <c r="DX152" i="13"/>
  <c r="DW152" i="13" s="1"/>
  <c r="DV152" i="13" s="1"/>
  <c r="BP135" i="13"/>
  <c r="BO135" i="13" s="1"/>
  <c r="BN135" i="13" s="1"/>
  <c r="BM135" i="13" s="1"/>
  <c r="BL135" i="13" s="1"/>
  <c r="BF100" i="13"/>
  <c r="BE100" i="13" s="1"/>
  <c r="BD100" i="13" s="1"/>
  <c r="AQ100" i="13"/>
  <c r="AP100" i="13" s="1"/>
  <c r="AO100" i="13" s="1"/>
  <c r="AL100" i="13" s="1"/>
  <c r="AV205" i="13"/>
  <c r="AU205" i="13" s="1"/>
  <c r="AT205" i="13" s="1"/>
  <c r="CU152" i="13"/>
  <c r="CT152" i="13" s="1"/>
  <c r="CS152" i="13" s="1"/>
  <c r="BF146" i="13"/>
  <c r="BE146" i="13" s="1"/>
  <c r="BD146" i="13" s="1"/>
  <c r="BA100" i="13"/>
  <c r="AZ100" i="13" s="1"/>
  <c r="AY100" i="13" s="1"/>
  <c r="BS184" i="13"/>
  <c r="BR184" i="13" s="1"/>
  <c r="BQ184" i="13" s="1"/>
  <c r="BV170" i="13"/>
  <c r="BV166" i="13"/>
  <c r="BP168" i="13"/>
  <c r="BO168" i="13" s="1"/>
  <c r="BN168" i="13" s="1"/>
  <c r="BM168" i="13" s="1"/>
  <c r="BL168" i="13" s="1"/>
  <c r="BP187" i="13"/>
  <c r="BO187" i="13" s="1"/>
  <c r="BN187" i="13" s="1"/>
  <c r="BM187" i="13" s="1"/>
  <c r="BL187" i="13" s="1"/>
  <c r="BF86" i="13"/>
  <c r="BE86" i="13" s="1"/>
  <c r="BD86" i="13" s="1"/>
  <c r="BH185" i="13"/>
  <c r="BG185" i="13" s="1"/>
  <c r="BF185" i="13" s="1"/>
  <c r="BE185" i="13" s="1"/>
  <c r="BD185" i="13" s="1"/>
  <c r="CZ127" i="13"/>
  <c r="CY127" i="13" s="1"/>
  <c r="CX127" i="13" s="1"/>
  <c r="BA86" i="13"/>
  <c r="AZ86" i="13" s="1"/>
  <c r="AY86" i="13" s="1"/>
  <c r="CA212" i="13"/>
  <c r="BA77" i="13"/>
  <c r="AZ77" i="13" s="1"/>
  <c r="AY77" i="13" s="1"/>
  <c r="JL102" i="13"/>
  <c r="JN102" i="13" s="1"/>
  <c r="BH83" i="13"/>
  <c r="BG83" i="13" s="1"/>
  <c r="BF83" i="13" s="1"/>
  <c r="BE83" i="13" s="1"/>
  <c r="BD83" i="13" s="1"/>
  <c r="CA95" i="13"/>
  <c r="NF102" i="13"/>
  <c r="CP152" i="13"/>
  <c r="BA135" i="13"/>
  <c r="AZ135" i="13" s="1"/>
  <c r="AY135" i="13" s="1"/>
  <c r="NG102" i="13"/>
  <c r="KH102" i="13" s="1"/>
  <c r="KJ102" i="13" s="1"/>
  <c r="KK102" i="13" s="1"/>
  <c r="BA188" i="13"/>
  <c r="AZ188" i="13" s="1"/>
  <c r="AY188" i="13" s="1"/>
  <c r="AS78" i="13"/>
  <c r="AR78" i="13" s="1"/>
  <c r="AQ78" i="13" s="1"/>
  <c r="AP78" i="13" s="1"/>
  <c r="AO78" i="13" s="1"/>
  <c r="AL78" i="13" s="1"/>
  <c r="AV77" i="13"/>
  <c r="AU77" i="13" s="1"/>
  <c r="AT77" i="13" s="1"/>
  <c r="NL205" i="13"/>
  <c r="BF212" i="13"/>
  <c r="BE212" i="13" s="1"/>
  <c r="BD212" i="13" s="1"/>
  <c r="AQ205" i="13"/>
  <c r="AP205" i="13" s="1"/>
  <c r="AO205" i="13" s="1"/>
  <c r="AL205" i="13" s="1"/>
  <c r="BS77" i="13"/>
  <c r="BR77" i="13" s="1"/>
  <c r="BQ77" i="13" s="1"/>
  <c r="AQ77" i="13"/>
  <c r="AP77" i="13" s="1"/>
  <c r="AO77" i="13" s="1"/>
  <c r="AL77" i="13" s="1"/>
  <c r="NR210" i="13"/>
  <c r="AS212" i="13"/>
  <c r="AR212" i="13" s="1"/>
  <c r="AQ212" i="13" s="1"/>
  <c r="AP212" i="13" s="1"/>
  <c r="AO212" i="13" s="1"/>
  <c r="AL212" i="13" s="1"/>
  <c r="NK167" i="13"/>
  <c r="NY167" i="13"/>
  <c r="NS167" i="13"/>
  <c r="HS167" i="13"/>
  <c r="NV173" i="13"/>
  <c r="LP173" i="13"/>
  <c r="LQ173" i="13" s="1"/>
  <c r="NQ173" i="13"/>
  <c r="NI213" i="13"/>
  <c r="KL213" i="13"/>
  <c r="KN213" i="13" s="1"/>
  <c r="KO213" i="13" s="1"/>
  <c r="JK150" i="13"/>
  <c r="NO137" i="13"/>
  <c r="LI137" i="13"/>
  <c r="NP137" i="13" s="1"/>
  <c r="NU137" i="13"/>
  <c r="HL178" i="13"/>
  <c r="HN178" i="13" s="1"/>
  <c r="HO178" i="13" s="1"/>
  <c r="HT178" i="13"/>
  <c r="HV178" i="13" s="1"/>
  <c r="HW178" i="13" s="1"/>
  <c r="IB178" i="13"/>
  <c r="ID178" i="13" s="1"/>
  <c r="IE178" i="13" s="1"/>
  <c r="HD178" i="13"/>
  <c r="HF178" i="13" s="1"/>
  <c r="HG178" i="13" s="1"/>
  <c r="AX92" i="13"/>
  <c r="AW92" i="13" s="1"/>
  <c r="AV92" i="13" s="1"/>
  <c r="AU92" i="13" s="1"/>
  <c r="AT92" i="13" s="1"/>
  <c r="AS92" i="13"/>
  <c r="AR92" i="13" s="1"/>
  <c r="AQ92" i="13" s="1"/>
  <c r="AP92" i="13" s="1"/>
  <c r="AO92" i="13" s="1"/>
  <c r="AL92" i="13" s="1"/>
  <c r="BU92" i="13"/>
  <c r="BT92" i="13" s="1"/>
  <c r="BS92" i="13" s="1"/>
  <c r="BR92" i="13" s="1"/>
  <c r="BQ92" i="13" s="1"/>
  <c r="BP92" i="13"/>
  <c r="BO92" i="13" s="1"/>
  <c r="BN92" i="13" s="1"/>
  <c r="BM92" i="13" s="1"/>
  <c r="BL92" i="13" s="1"/>
  <c r="BZ92" i="13"/>
  <c r="BY92" i="13" s="1"/>
  <c r="BX92" i="13" s="1"/>
  <c r="BW92" i="13" s="1"/>
  <c r="BV92" i="13" s="1"/>
  <c r="BH92" i="13"/>
  <c r="BG92" i="13" s="1"/>
  <c r="BF92" i="13" s="1"/>
  <c r="BE92" i="13" s="1"/>
  <c r="BD92" i="13" s="1"/>
  <c r="CE92" i="13"/>
  <c r="CD92" i="13" s="1"/>
  <c r="CC92" i="13" s="1"/>
  <c r="CB92" i="13" s="1"/>
  <c r="CA92" i="13" s="1"/>
  <c r="BC92" i="13"/>
  <c r="BB92" i="13" s="1"/>
  <c r="BA92" i="13" s="1"/>
  <c r="AZ92" i="13" s="1"/>
  <c r="AY92" i="13" s="1"/>
  <c r="HS178" i="13"/>
  <c r="NL178" i="13" s="1"/>
  <c r="NK178" i="13"/>
  <c r="NY178" i="13"/>
  <c r="NS178" i="13"/>
  <c r="NH138" i="13"/>
  <c r="NG138" i="13"/>
  <c r="KH138" i="13" s="1"/>
  <c r="KJ138" i="13" s="1"/>
  <c r="KK138" i="13" s="1"/>
  <c r="NF138" i="13"/>
  <c r="JL138" i="13"/>
  <c r="JN138" i="13" s="1"/>
  <c r="CR204" i="13"/>
  <c r="CQ204" i="13" s="1"/>
  <c r="DP204" i="13"/>
  <c r="DO204" i="13" s="1"/>
  <c r="CA27" i="13"/>
  <c r="JO126" i="13"/>
  <c r="KG126" i="13" s="1"/>
  <c r="KF126" i="13"/>
  <c r="CE170" i="13"/>
  <c r="CD170" i="13" s="1"/>
  <c r="CC170" i="13" s="1"/>
  <c r="CB170" i="13" s="1"/>
  <c r="CA170" i="13" s="1"/>
  <c r="HT88" i="13"/>
  <c r="HV88" i="13" s="1"/>
  <c r="HW88" i="13" s="1"/>
  <c r="IB88" i="13"/>
  <c r="ID88" i="13" s="1"/>
  <c r="IE88" i="13" s="1"/>
  <c r="HL88" i="13"/>
  <c r="HN88" i="13" s="1"/>
  <c r="HO88" i="13" s="1"/>
  <c r="HD88" i="13"/>
  <c r="HF88" i="13" s="1"/>
  <c r="HG88" i="13" s="1"/>
  <c r="NX110" i="13"/>
  <c r="NW110" i="13"/>
  <c r="NQ204" i="13"/>
  <c r="NV204" i="13"/>
  <c r="LP204" i="13"/>
  <c r="LQ204" i="13" s="1"/>
  <c r="NR204" i="13" s="1"/>
  <c r="JK101" i="13"/>
  <c r="JK126" i="13"/>
  <c r="NV34" i="13"/>
  <c r="NQ34" i="13"/>
  <c r="LP34" i="13"/>
  <c r="LQ34" i="13" s="1"/>
  <c r="JO181" i="13"/>
  <c r="KG181" i="13" s="1"/>
  <c r="KF181" i="13"/>
  <c r="NI102" i="13"/>
  <c r="KL102" i="13"/>
  <c r="KN102" i="13" s="1"/>
  <c r="KO102" i="13" s="1"/>
  <c r="NI214" i="13"/>
  <c r="KL214" i="13"/>
  <c r="KN214" i="13" s="1"/>
  <c r="KO214" i="13" s="1"/>
  <c r="JO84" i="13"/>
  <c r="KF84" i="13"/>
  <c r="KP114" i="13"/>
  <c r="KR114" i="13" s="1"/>
  <c r="KS114" i="13" s="1"/>
  <c r="LF114" i="13"/>
  <c r="LH114" i="13" s="1"/>
  <c r="KX114" i="13"/>
  <c r="KZ114" i="13" s="1"/>
  <c r="LA114" i="13" s="1"/>
  <c r="LN114" i="13"/>
  <c r="LF30" i="13"/>
  <c r="LH30" i="13" s="1"/>
  <c r="LN30" i="13"/>
  <c r="KX30" i="13"/>
  <c r="KZ30" i="13" s="1"/>
  <c r="LA30" i="13" s="1"/>
  <c r="DP30" i="13" s="1"/>
  <c r="DO30" i="13" s="1"/>
  <c r="KP30" i="13"/>
  <c r="KR30" i="13" s="1"/>
  <c r="KS30" i="13" s="1"/>
  <c r="NS109" i="13"/>
  <c r="HS109" i="13"/>
  <c r="NK109" i="13"/>
  <c r="NY109" i="13"/>
  <c r="BS100" i="13"/>
  <c r="BR100" i="13" s="1"/>
  <c r="BQ100" i="13" s="1"/>
  <c r="JK103" i="13"/>
  <c r="BF13" i="13"/>
  <c r="BE13" i="13" s="1"/>
  <c r="BD13" i="13" s="1"/>
  <c r="NN62" i="13"/>
  <c r="NS127" i="13"/>
  <c r="NY127" i="13"/>
  <c r="NK127" i="13"/>
  <c r="HS127" i="13"/>
  <c r="NW100" i="13"/>
  <c r="NX100" i="13"/>
  <c r="JO103" i="13"/>
  <c r="KG103" i="13" s="1"/>
  <c r="KF103" i="13"/>
  <c r="LN168" i="13"/>
  <c r="LF168" i="13"/>
  <c r="LH168" i="13" s="1"/>
  <c r="KP168" i="13"/>
  <c r="KR168" i="13" s="1"/>
  <c r="KS168" i="13" s="1"/>
  <c r="KX168" i="13"/>
  <c r="KZ168" i="13" s="1"/>
  <c r="LA168" i="13" s="1"/>
  <c r="JK46" i="13"/>
  <c r="NK121" i="13"/>
  <c r="NY121" i="13"/>
  <c r="NS121" i="13"/>
  <c r="HS121" i="13"/>
  <c r="NL121" i="13" s="1"/>
  <c r="BX52" i="13"/>
  <c r="BW52" i="13" s="1"/>
  <c r="BV52" i="13" s="1"/>
  <c r="JK202" i="13"/>
  <c r="LB175" i="13"/>
  <c r="LD175" i="13" s="1"/>
  <c r="LE175" i="13" s="1"/>
  <c r="KT175" i="13"/>
  <c r="KV175" i="13" s="1"/>
  <c r="KW175" i="13" s="1"/>
  <c r="LJ175" i="13"/>
  <c r="LL175" i="13" s="1"/>
  <c r="LM175" i="13" s="1"/>
  <c r="LR175" i="13"/>
  <c r="LT175" i="13" s="1"/>
  <c r="LU175" i="13" s="1"/>
  <c r="NV112" i="13"/>
  <c r="NQ112" i="13"/>
  <c r="LP112" i="13"/>
  <c r="LQ112" i="13" s="1"/>
  <c r="NR112" i="13" s="1"/>
  <c r="BH179" i="13"/>
  <c r="BG179" i="13" s="1"/>
  <c r="BF179" i="13" s="1"/>
  <c r="BE179" i="13" s="1"/>
  <c r="BD179" i="13" s="1"/>
  <c r="AX179" i="13"/>
  <c r="AW179" i="13" s="1"/>
  <c r="AV179" i="13" s="1"/>
  <c r="AU179" i="13" s="1"/>
  <c r="AT179" i="13" s="1"/>
  <c r="CE179" i="13"/>
  <c r="CD179" i="13" s="1"/>
  <c r="CC179" i="13" s="1"/>
  <c r="CB179" i="13" s="1"/>
  <c r="CA179" i="13" s="1"/>
  <c r="AS179" i="13"/>
  <c r="AR179" i="13" s="1"/>
  <c r="AQ179" i="13" s="1"/>
  <c r="AP179" i="13" s="1"/>
  <c r="AO179" i="13" s="1"/>
  <c r="AL179" i="13" s="1"/>
  <c r="BZ179" i="13"/>
  <c r="BY179" i="13" s="1"/>
  <c r="BX179" i="13" s="1"/>
  <c r="BW179" i="13" s="1"/>
  <c r="BV179" i="13" s="1"/>
  <c r="BU179" i="13"/>
  <c r="BT179" i="13" s="1"/>
  <c r="BS179" i="13" s="1"/>
  <c r="BR179" i="13" s="1"/>
  <c r="BQ179" i="13" s="1"/>
  <c r="BC179" i="13"/>
  <c r="BB179" i="13" s="1"/>
  <c r="BA179" i="13" s="1"/>
  <c r="AZ179" i="13" s="1"/>
  <c r="AY179" i="13" s="1"/>
  <c r="BP179" i="13"/>
  <c r="BO179" i="13" s="1"/>
  <c r="BN179" i="13" s="1"/>
  <c r="BM179" i="13" s="1"/>
  <c r="BL179" i="13" s="1"/>
  <c r="GP121" i="13"/>
  <c r="AS166" i="13"/>
  <c r="AR166" i="13" s="1"/>
  <c r="AQ166" i="13" s="1"/>
  <c r="AP166" i="13" s="1"/>
  <c r="AO166" i="13" s="1"/>
  <c r="AL166" i="13" s="1"/>
  <c r="HL107" i="13"/>
  <c r="HN107" i="13" s="1"/>
  <c r="HO107" i="13" s="1"/>
  <c r="HD107" i="13"/>
  <c r="HF107" i="13" s="1"/>
  <c r="HG107" i="13" s="1"/>
  <c r="IB107" i="13"/>
  <c r="ID107" i="13" s="1"/>
  <c r="IE107" i="13" s="1"/>
  <c r="HT107" i="13"/>
  <c r="HV107" i="13" s="1"/>
  <c r="HW107" i="13" s="1"/>
  <c r="NI29" i="13"/>
  <c r="KL29" i="13"/>
  <c r="KN29" i="13" s="1"/>
  <c r="KO29" i="13" s="1"/>
  <c r="LR59" i="13"/>
  <c r="LT59" i="13" s="1"/>
  <c r="LU59" i="13" s="1"/>
  <c r="LJ59" i="13"/>
  <c r="LL59" i="13" s="1"/>
  <c r="LM59" i="13" s="1"/>
  <c r="KT59" i="13"/>
  <c r="KV59" i="13" s="1"/>
  <c r="KW59" i="13" s="1"/>
  <c r="DB59" i="13" s="1"/>
  <c r="DA59" i="13" s="1"/>
  <c r="LB59" i="13"/>
  <c r="LD59" i="13" s="1"/>
  <c r="LE59" i="13" s="1"/>
  <c r="AS110" i="13"/>
  <c r="AR110" i="13" s="1"/>
  <c r="AQ110" i="13" s="1"/>
  <c r="AP110" i="13" s="1"/>
  <c r="AO110" i="13" s="1"/>
  <c r="AL110" i="13" s="1"/>
  <c r="BA212" i="13"/>
  <c r="AZ212" i="13" s="1"/>
  <c r="AY212" i="13" s="1"/>
  <c r="NV66" i="13"/>
  <c r="NQ66" i="13"/>
  <c r="LP66" i="13"/>
  <c r="LQ66" i="13" s="1"/>
  <c r="NR66" i="13" s="1"/>
  <c r="CR74" i="13"/>
  <c r="CQ74" i="13" s="1"/>
  <c r="DP74" i="13"/>
  <c r="DO74" i="13" s="1"/>
  <c r="NH166" i="13"/>
  <c r="NG166" i="13"/>
  <c r="KH166" i="13" s="1"/>
  <c r="KJ166" i="13" s="1"/>
  <c r="KK166" i="13" s="1"/>
  <c r="NF166" i="13"/>
  <c r="JL166" i="13"/>
  <c r="JN166" i="13" s="1"/>
  <c r="BH123" i="13"/>
  <c r="BG123" i="13" s="1"/>
  <c r="BF123" i="13" s="1"/>
  <c r="BE123" i="13" s="1"/>
  <c r="BD123" i="13" s="1"/>
  <c r="BZ123" i="13"/>
  <c r="BY123" i="13" s="1"/>
  <c r="BX123" i="13" s="1"/>
  <c r="BW123" i="13" s="1"/>
  <c r="BV123" i="13" s="1"/>
  <c r="BC123" i="13"/>
  <c r="BB123" i="13" s="1"/>
  <c r="BA123" i="13" s="1"/>
  <c r="AZ123" i="13" s="1"/>
  <c r="AY123" i="13" s="1"/>
  <c r="AX123" i="13"/>
  <c r="AW123" i="13" s="1"/>
  <c r="AV123" i="13" s="1"/>
  <c r="AU123" i="13" s="1"/>
  <c r="AT123" i="13" s="1"/>
  <c r="BU123" i="13"/>
  <c r="BT123" i="13" s="1"/>
  <c r="BS123" i="13" s="1"/>
  <c r="BR123" i="13" s="1"/>
  <c r="BQ123" i="13" s="1"/>
  <c r="BP123" i="13"/>
  <c r="BO123" i="13" s="1"/>
  <c r="BN123" i="13" s="1"/>
  <c r="BM123" i="13" s="1"/>
  <c r="BL123" i="13" s="1"/>
  <c r="CE123" i="13"/>
  <c r="CD123" i="13" s="1"/>
  <c r="CC123" i="13" s="1"/>
  <c r="CB123" i="13" s="1"/>
  <c r="CA123" i="13" s="1"/>
  <c r="AS123" i="13"/>
  <c r="AR123" i="13" s="1"/>
  <c r="AQ123" i="13" s="1"/>
  <c r="AP123" i="13" s="1"/>
  <c r="AO123" i="13" s="1"/>
  <c r="AL123" i="13" s="1"/>
  <c r="NI15" i="13"/>
  <c r="KL15" i="13"/>
  <c r="KN15" i="13" s="1"/>
  <c r="KO15" i="13" s="1"/>
  <c r="BX12" i="13"/>
  <c r="BW12" i="13" s="1"/>
  <c r="BV12" i="13" s="1"/>
  <c r="NX211" i="13"/>
  <c r="NW211" i="13"/>
  <c r="CE78" i="13"/>
  <c r="CD78" i="13" s="1"/>
  <c r="CC78" i="13" s="1"/>
  <c r="CB78" i="13" s="1"/>
  <c r="CA78" i="13" s="1"/>
  <c r="BX163" i="13"/>
  <c r="BW163" i="13" s="1"/>
  <c r="BV163" i="13" s="1"/>
  <c r="NI57" i="13"/>
  <c r="KL57" i="13"/>
  <c r="KN57" i="13" s="1"/>
  <c r="KO57" i="13" s="1"/>
  <c r="JO177" i="13"/>
  <c r="KG177" i="13" s="1"/>
  <c r="KF177" i="13"/>
  <c r="GP177" i="13"/>
  <c r="JK169" i="13"/>
  <c r="LN97" i="13"/>
  <c r="LF97" i="13"/>
  <c r="LH97" i="13" s="1"/>
  <c r="KX97" i="13"/>
  <c r="KZ97" i="13" s="1"/>
  <c r="LA97" i="13" s="1"/>
  <c r="KP97" i="13"/>
  <c r="KR97" i="13" s="1"/>
  <c r="KS97" i="13" s="1"/>
  <c r="NU212" i="13"/>
  <c r="NO212" i="13"/>
  <c r="LI212" i="13"/>
  <c r="NP212" i="13" s="1"/>
  <c r="JK95" i="13"/>
  <c r="NH190" i="13"/>
  <c r="NG190" i="13"/>
  <c r="KH190" i="13" s="1"/>
  <c r="KJ190" i="13" s="1"/>
  <c r="KK190" i="13" s="1"/>
  <c r="NF190" i="13"/>
  <c r="JL190" i="13"/>
  <c r="JN190" i="13" s="1"/>
  <c r="HD102" i="13"/>
  <c r="HF102" i="13" s="1"/>
  <c r="HG102" i="13" s="1"/>
  <c r="HT102" i="13"/>
  <c r="HV102" i="13" s="1"/>
  <c r="HW102" i="13" s="1"/>
  <c r="HL102" i="13"/>
  <c r="HN102" i="13" s="1"/>
  <c r="HO102" i="13" s="1"/>
  <c r="IB102" i="13"/>
  <c r="ID102" i="13" s="1"/>
  <c r="IE102" i="13" s="1"/>
  <c r="HS99" i="13"/>
  <c r="NL99" i="13" s="1"/>
  <c r="NK99" i="13"/>
  <c r="NS99" i="13"/>
  <c r="NY99" i="13"/>
  <c r="NI183" i="13"/>
  <c r="KL183" i="13"/>
  <c r="KN183" i="13" s="1"/>
  <c r="KO183" i="13" s="1"/>
  <c r="NV174" i="13"/>
  <c r="NQ174" i="13"/>
  <c r="LP174" i="13"/>
  <c r="LQ174" i="13" s="1"/>
  <c r="JO87" i="13"/>
  <c r="KF87" i="13"/>
  <c r="NT111" i="13"/>
  <c r="NM111" i="13"/>
  <c r="IA111" i="13"/>
  <c r="NI20" i="13"/>
  <c r="KL20" i="13"/>
  <c r="KN20" i="13" s="1"/>
  <c r="KO20" i="13" s="1"/>
  <c r="NV23" i="13"/>
  <c r="NQ23" i="13"/>
  <c r="LP23" i="13"/>
  <c r="LQ23" i="13" s="1"/>
  <c r="JO102" i="13"/>
  <c r="KG102" i="13" s="1"/>
  <c r="KF102" i="13"/>
  <c r="NS46" i="13"/>
  <c r="HS46" i="13"/>
  <c r="NK46" i="13"/>
  <c r="NY46" i="13"/>
  <c r="GP47" i="13"/>
  <c r="LP200" i="13"/>
  <c r="LQ200" i="13" s="1"/>
  <c r="NR200" i="13" s="1"/>
  <c r="NV200" i="13"/>
  <c r="NQ200" i="13"/>
  <c r="LI75" i="13"/>
  <c r="NP75" i="13" s="1"/>
  <c r="NU75" i="13"/>
  <c r="NO75" i="13"/>
  <c r="JK109" i="13"/>
  <c r="LN89" i="13"/>
  <c r="KP89" i="13"/>
  <c r="KR89" i="13" s="1"/>
  <c r="KS89" i="13" s="1"/>
  <c r="LF89" i="13"/>
  <c r="LH89" i="13" s="1"/>
  <c r="KX89" i="13"/>
  <c r="KZ89" i="13" s="1"/>
  <c r="LA89" i="13" s="1"/>
  <c r="JK203" i="13"/>
  <c r="NV74" i="13"/>
  <c r="NQ74" i="13"/>
  <c r="LP74" i="13"/>
  <c r="LQ74" i="13" s="1"/>
  <c r="NR74" i="13" s="1"/>
  <c r="NM178" i="13"/>
  <c r="NT178" i="13"/>
  <c r="IA178" i="13"/>
  <c r="NN178" i="13" s="1"/>
  <c r="JO108" i="13"/>
  <c r="KG108" i="13" s="1"/>
  <c r="KF108" i="13"/>
  <c r="NI126" i="13"/>
  <c r="KL126" i="13"/>
  <c r="KN126" i="13" s="1"/>
  <c r="KO126" i="13" s="1"/>
  <c r="LB137" i="13"/>
  <c r="LD137" i="13" s="1"/>
  <c r="LE137" i="13" s="1"/>
  <c r="DZ137" i="13" s="1"/>
  <c r="DY137" i="13" s="1"/>
  <c r="KT137" i="13"/>
  <c r="KV137" i="13" s="1"/>
  <c r="KW137" i="13" s="1"/>
  <c r="DB137" i="13" s="1"/>
  <c r="DA137" i="13" s="1"/>
  <c r="CZ137" i="13" s="1"/>
  <c r="CY137" i="13" s="1"/>
  <c r="CX137" i="13" s="1"/>
  <c r="LJ137" i="13"/>
  <c r="LL137" i="13" s="1"/>
  <c r="LM137" i="13" s="1"/>
  <c r="LR137" i="13"/>
  <c r="LT137" i="13" s="1"/>
  <c r="LU137" i="13" s="1"/>
  <c r="BC67" i="13"/>
  <c r="BB67" i="13" s="1"/>
  <c r="BA67" i="13" s="1"/>
  <c r="AZ67" i="13" s="1"/>
  <c r="AY67" i="13" s="1"/>
  <c r="AX67" i="13"/>
  <c r="AW67" i="13" s="1"/>
  <c r="AV67" i="13" s="1"/>
  <c r="AU67" i="13" s="1"/>
  <c r="AT67" i="13" s="1"/>
  <c r="BP67" i="13"/>
  <c r="BO67" i="13" s="1"/>
  <c r="BN67" i="13" s="1"/>
  <c r="BM67" i="13" s="1"/>
  <c r="BL67" i="13" s="1"/>
  <c r="CE67" i="13"/>
  <c r="CD67" i="13" s="1"/>
  <c r="CC67" i="13" s="1"/>
  <c r="CB67" i="13" s="1"/>
  <c r="CA67" i="13" s="1"/>
  <c r="BU67" i="13"/>
  <c r="BT67" i="13" s="1"/>
  <c r="BS67" i="13" s="1"/>
  <c r="BR67" i="13" s="1"/>
  <c r="BQ67" i="13" s="1"/>
  <c r="AS67" i="13"/>
  <c r="AR67" i="13" s="1"/>
  <c r="AQ67" i="13" s="1"/>
  <c r="AP67" i="13" s="1"/>
  <c r="AO67" i="13" s="1"/>
  <c r="AL67" i="13" s="1"/>
  <c r="BH67" i="13"/>
  <c r="BG67" i="13" s="1"/>
  <c r="BF67" i="13" s="1"/>
  <c r="BE67" i="13" s="1"/>
  <c r="BD67" i="13" s="1"/>
  <c r="BZ67" i="13"/>
  <c r="BY67" i="13" s="1"/>
  <c r="BX67" i="13" s="1"/>
  <c r="BW67" i="13" s="1"/>
  <c r="BV67" i="13" s="1"/>
  <c r="NX206" i="13"/>
  <c r="NW206" i="13"/>
  <c r="GP103" i="13"/>
  <c r="NH79" i="13"/>
  <c r="NG79" i="13"/>
  <c r="KH79" i="13" s="1"/>
  <c r="KJ79" i="13" s="1"/>
  <c r="KK79" i="13" s="1"/>
  <c r="NF79" i="13"/>
  <c r="JL79" i="13"/>
  <c r="JN79" i="13" s="1"/>
  <c r="LI23" i="13"/>
  <c r="NU23" i="13"/>
  <c r="NO23" i="13"/>
  <c r="CP23" i="13" s="1"/>
  <c r="CO23" i="13" s="1"/>
  <c r="CN23" i="13" s="1"/>
  <c r="DN34" i="13"/>
  <c r="DM34" i="13" s="1"/>
  <c r="DL34" i="13" s="1"/>
  <c r="HL167" i="13"/>
  <c r="HN167" i="13" s="1"/>
  <c r="HO167" i="13" s="1"/>
  <c r="HT167" i="13"/>
  <c r="HV167" i="13" s="1"/>
  <c r="HW167" i="13" s="1"/>
  <c r="HD167" i="13"/>
  <c r="HF167" i="13" s="1"/>
  <c r="HG167" i="13" s="1"/>
  <c r="IB167" i="13"/>
  <c r="ID167" i="13" s="1"/>
  <c r="IE167" i="13" s="1"/>
  <c r="NI181" i="13"/>
  <c r="KL181" i="13"/>
  <c r="KN181" i="13" s="1"/>
  <c r="KO181" i="13" s="1"/>
  <c r="KP214" i="13"/>
  <c r="KR214" i="13" s="1"/>
  <c r="KS214" i="13" s="1"/>
  <c r="LF214" i="13"/>
  <c r="LH214" i="13" s="1"/>
  <c r="LN214" i="13"/>
  <c r="KX214" i="13"/>
  <c r="KZ214" i="13" s="1"/>
  <c r="LA214" i="13" s="1"/>
  <c r="KP84" i="13"/>
  <c r="KR84" i="13" s="1"/>
  <c r="KS84" i="13" s="1"/>
  <c r="LN84" i="13"/>
  <c r="LF84" i="13"/>
  <c r="LH84" i="13" s="1"/>
  <c r="KX84" i="13"/>
  <c r="KZ84" i="13" s="1"/>
  <c r="LA84" i="13" s="1"/>
  <c r="JK178" i="13"/>
  <c r="BX184" i="13"/>
  <c r="BW184" i="13" s="1"/>
  <c r="BV184" i="13" s="1"/>
  <c r="CC13" i="13"/>
  <c r="CB13" i="13" s="1"/>
  <c r="CA13" i="13" s="1"/>
  <c r="LP165" i="13"/>
  <c r="LQ165" i="13" s="1"/>
  <c r="NR165" i="13" s="1"/>
  <c r="NQ165" i="13"/>
  <c r="NV165" i="13"/>
  <c r="JK168" i="13"/>
  <c r="JK186" i="13"/>
  <c r="NX124" i="13"/>
  <c r="NW124" i="13"/>
  <c r="DP198" i="13"/>
  <c r="DO198" i="13" s="1"/>
  <c r="CR198" i="13"/>
  <c r="CQ198" i="13" s="1"/>
  <c r="CE86" i="13"/>
  <c r="CD86" i="13" s="1"/>
  <c r="CC86" i="13" s="1"/>
  <c r="CB86" i="13" s="1"/>
  <c r="CA86" i="13" s="1"/>
  <c r="NI103" i="13"/>
  <c r="KL103" i="13"/>
  <c r="KN103" i="13" s="1"/>
  <c r="KO103" i="13" s="1"/>
  <c r="CR194" i="13"/>
  <c r="CQ194" i="13" s="1"/>
  <c r="DP194" i="13"/>
  <c r="DO194" i="13" s="1"/>
  <c r="JO186" i="13"/>
  <c r="KG186" i="13" s="1"/>
  <c r="KF186" i="13"/>
  <c r="JO98" i="13"/>
  <c r="KF98" i="13"/>
  <c r="BX81" i="13"/>
  <c r="BW81" i="13" s="1"/>
  <c r="BV81" i="13" s="1"/>
  <c r="HD47" i="13"/>
  <c r="HF47" i="13" s="1"/>
  <c r="HG47" i="13" s="1"/>
  <c r="HT47" i="13"/>
  <c r="HV47" i="13" s="1"/>
  <c r="HW47" i="13" s="1"/>
  <c r="IB47" i="13"/>
  <c r="ID47" i="13" s="1"/>
  <c r="IE47" i="13" s="1"/>
  <c r="HL47" i="13"/>
  <c r="HN47" i="13" s="1"/>
  <c r="HO47" i="13" s="1"/>
  <c r="DP189" i="13"/>
  <c r="DO189" i="13" s="1"/>
  <c r="CR189" i="13"/>
  <c r="CQ189" i="13" s="1"/>
  <c r="KP122" i="13"/>
  <c r="KR122" i="13" s="1"/>
  <c r="KS122" i="13" s="1"/>
  <c r="LN122" i="13"/>
  <c r="LF122" i="13"/>
  <c r="LH122" i="13" s="1"/>
  <c r="KX122" i="13"/>
  <c r="KZ122" i="13" s="1"/>
  <c r="LA122" i="13" s="1"/>
  <c r="LB50" i="13"/>
  <c r="LD50" i="13" s="1"/>
  <c r="LE50" i="13" s="1"/>
  <c r="LJ50" i="13"/>
  <c r="LL50" i="13" s="1"/>
  <c r="LM50" i="13" s="1"/>
  <c r="KT50" i="13"/>
  <c r="KV50" i="13" s="1"/>
  <c r="KW50" i="13" s="1"/>
  <c r="LR50" i="13"/>
  <c r="LT50" i="13" s="1"/>
  <c r="LU50" i="13" s="1"/>
  <c r="LR36" i="13"/>
  <c r="LT36" i="13" s="1"/>
  <c r="LU36" i="13" s="1"/>
  <c r="LB36" i="13"/>
  <c r="LD36" i="13" s="1"/>
  <c r="LE36" i="13" s="1"/>
  <c r="LJ36" i="13"/>
  <c r="LL36" i="13" s="1"/>
  <c r="LM36" i="13" s="1"/>
  <c r="KT36" i="13"/>
  <c r="KV36" i="13" s="1"/>
  <c r="KW36" i="13" s="1"/>
  <c r="GP109" i="13"/>
  <c r="NL109" i="13"/>
  <c r="NG117" i="13"/>
  <c r="KH117" i="13" s="1"/>
  <c r="KJ117" i="13" s="1"/>
  <c r="KK117" i="13" s="1"/>
  <c r="NH117" i="13"/>
  <c r="NF117" i="13"/>
  <c r="JL117" i="13"/>
  <c r="JN117" i="13" s="1"/>
  <c r="CE133" i="13"/>
  <c r="CD133" i="13" s="1"/>
  <c r="CC133" i="13" s="1"/>
  <c r="CB133" i="13" s="1"/>
  <c r="CA133" i="13" s="1"/>
  <c r="AS133" i="13"/>
  <c r="AR133" i="13" s="1"/>
  <c r="AQ133" i="13" s="1"/>
  <c r="AP133" i="13" s="1"/>
  <c r="AO133" i="13" s="1"/>
  <c r="AL133" i="13" s="1"/>
  <c r="BH133" i="13"/>
  <c r="BG133" i="13" s="1"/>
  <c r="BF133" i="13" s="1"/>
  <c r="BE133" i="13" s="1"/>
  <c r="BD133" i="13" s="1"/>
  <c r="BZ133" i="13"/>
  <c r="BY133" i="13" s="1"/>
  <c r="BX133" i="13" s="1"/>
  <c r="BW133" i="13" s="1"/>
  <c r="BV133" i="13" s="1"/>
  <c r="BC133" i="13"/>
  <c r="BB133" i="13" s="1"/>
  <c r="BA133" i="13" s="1"/>
  <c r="AZ133" i="13" s="1"/>
  <c r="AY133" i="13" s="1"/>
  <c r="BU133" i="13"/>
  <c r="BT133" i="13" s="1"/>
  <c r="BS133" i="13" s="1"/>
  <c r="BR133" i="13" s="1"/>
  <c r="BQ133" i="13" s="1"/>
  <c r="AX133" i="13"/>
  <c r="AW133" i="13" s="1"/>
  <c r="AV133" i="13" s="1"/>
  <c r="AU133" i="13" s="1"/>
  <c r="AT133" i="13" s="1"/>
  <c r="BP133" i="13"/>
  <c r="BO133" i="13" s="1"/>
  <c r="BN133" i="13" s="1"/>
  <c r="BM133" i="13" s="1"/>
  <c r="BL133" i="13" s="1"/>
  <c r="LN77" i="13"/>
  <c r="KP77" i="13"/>
  <c r="KR77" i="13" s="1"/>
  <c r="KS77" i="13" s="1"/>
  <c r="LF77" i="13"/>
  <c r="LH77" i="13" s="1"/>
  <c r="KX77" i="13"/>
  <c r="KZ77" i="13" s="1"/>
  <c r="LA77" i="13" s="1"/>
  <c r="JO161" i="13"/>
  <c r="KF161" i="13"/>
  <c r="DP73" i="13"/>
  <c r="DO73" i="13" s="1"/>
  <c r="CR73" i="13"/>
  <c r="CQ73" i="13" s="1"/>
  <c r="CC29" i="13"/>
  <c r="CB29" i="13" s="1"/>
  <c r="CA29" i="13" s="1"/>
  <c r="NH184" i="13"/>
  <c r="NG184" i="13"/>
  <c r="KH184" i="13" s="1"/>
  <c r="KJ184" i="13" s="1"/>
  <c r="KK184" i="13" s="1"/>
  <c r="NF184" i="13"/>
  <c r="JL184" i="13"/>
  <c r="JN184" i="13" s="1"/>
  <c r="NR173" i="13"/>
  <c r="CC207" i="13"/>
  <c r="CB207" i="13" s="1"/>
  <c r="CA207" i="13" s="1"/>
  <c r="NI17" i="13"/>
  <c r="KL17" i="13"/>
  <c r="KN17" i="13" s="1"/>
  <c r="KO17" i="13" s="1"/>
  <c r="JO153" i="13"/>
  <c r="KF153" i="13"/>
  <c r="AV110" i="13"/>
  <c r="AU110" i="13" s="1"/>
  <c r="AT110" i="13" s="1"/>
  <c r="NO28" i="13"/>
  <c r="CP28" i="13" s="1"/>
  <c r="CO28" i="13" s="1"/>
  <c r="CN28" i="13" s="1"/>
  <c r="LI28" i="13"/>
  <c r="NU28" i="13"/>
  <c r="BP212" i="13"/>
  <c r="BO212" i="13" s="1"/>
  <c r="BN212" i="13" s="1"/>
  <c r="BM212" i="13" s="1"/>
  <c r="BL212" i="13" s="1"/>
  <c r="BH12" i="13"/>
  <c r="BG12" i="13" s="1"/>
  <c r="BF12" i="13" s="1"/>
  <c r="BE12" i="13" s="1"/>
  <c r="BD12" i="13" s="1"/>
  <c r="KT143" i="13"/>
  <c r="KV143" i="13" s="1"/>
  <c r="KW143" i="13" s="1"/>
  <c r="LR143" i="13"/>
  <c r="LT143" i="13" s="1"/>
  <c r="LU143" i="13" s="1"/>
  <c r="LB143" i="13"/>
  <c r="LD143" i="13" s="1"/>
  <c r="LE143" i="13" s="1"/>
  <c r="LJ143" i="13"/>
  <c r="LL143" i="13" s="1"/>
  <c r="LM143" i="13" s="1"/>
  <c r="DP149" i="13"/>
  <c r="DO149" i="13" s="1"/>
  <c r="CR149" i="13"/>
  <c r="CQ149" i="13" s="1"/>
  <c r="NT120" i="13"/>
  <c r="NM120" i="13"/>
  <c r="IA120" i="13"/>
  <c r="NN120" i="13" s="1"/>
  <c r="BP78" i="13"/>
  <c r="BO78" i="13" s="1"/>
  <c r="BN78" i="13" s="1"/>
  <c r="BM78" i="13" s="1"/>
  <c r="BL78" i="13" s="1"/>
  <c r="LP40" i="13"/>
  <c r="LQ40" i="13" s="1"/>
  <c r="NR40" i="13" s="1"/>
  <c r="NV40" i="13"/>
  <c r="NQ40" i="13"/>
  <c r="CM125" i="13"/>
  <c r="CL125" i="13" s="1"/>
  <c r="CK125" i="13" s="1"/>
  <c r="JO158" i="13"/>
  <c r="KF158" i="13"/>
  <c r="GP181" i="13"/>
  <c r="BX148" i="13"/>
  <c r="BW148" i="13" s="1"/>
  <c r="BV148" i="13" s="1"/>
  <c r="NI177" i="13"/>
  <c r="KL177" i="13"/>
  <c r="KN177" i="13" s="1"/>
  <c r="KO177" i="13" s="1"/>
  <c r="NV154" i="13"/>
  <c r="NQ154" i="13"/>
  <c r="LP154" i="13"/>
  <c r="LQ154" i="13" s="1"/>
  <c r="NR154" i="13" s="1"/>
  <c r="LB24" i="13"/>
  <c r="LD24" i="13" s="1"/>
  <c r="LE24" i="13" s="1"/>
  <c r="DZ24" i="13" s="1"/>
  <c r="DY24" i="13" s="1"/>
  <c r="LJ24" i="13"/>
  <c r="LL24" i="13" s="1"/>
  <c r="LM24" i="13" s="1"/>
  <c r="CW24" i="13" s="1"/>
  <c r="CV24" i="13" s="1"/>
  <c r="CU24" i="13" s="1"/>
  <c r="CT24" i="13" s="1"/>
  <c r="CS24" i="13" s="1"/>
  <c r="LR24" i="13"/>
  <c r="LT24" i="13" s="1"/>
  <c r="LU24" i="13" s="1"/>
  <c r="DU24" i="13" s="1"/>
  <c r="DT24" i="13" s="1"/>
  <c r="KT24" i="13"/>
  <c r="KV24" i="13" s="1"/>
  <c r="KW24" i="13" s="1"/>
  <c r="DB24" i="13" s="1"/>
  <c r="DA24" i="13" s="1"/>
  <c r="CZ24" i="13" s="1"/>
  <c r="CY24" i="13" s="1"/>
  <c r="CX24" i="13" s="1"/>
  <c r="LB198" i="13"/>
  <c r="LD198" i="13" s="1"/>
  <c r="LE198" i="13" s="1"/>
  <c r="DZ198" i="13" s="1"/>
  <c r="DY198" i="13" s="1"/>
  <c r="LJ198" i="13"/>
  <c r="LL198" i="13" s="1"/>
  <c r="LM198" i="13" s="1"/>
  <c r="CW198" i="13" s="1"/>
  <c r="CV198" i="13" s="1"/>
  <c r="LR198" i="13"/>
  <c r="LT198" i="13" s="1"/>
  <c r="LU198" i="13" s="1"/>
  <c r="DU198" i="13" s="1"/>
  <c r="DT198" i="13" s="1"/>
  <c r="KT198" i="13"/>
  <c r="KV198" i="13" s="1"/>
  <c r="KW198" i="13" s="1"/>
  <c r="DB198" i="13" s="1"/>
  <c r="DA198" i="13" s="1"/>
  <c r="JK167" i="13"/>
  <c r="AV139" i="13"/>
  <c r="AU139" i="13" s="1"/>
  <c r="AT139" i="13" s="1"/>
  <c r="BH15" i="13"/>
  <c r="BG15" i="13" s="1"/>
  <c r="BF15" i="13" s="1"/>
  <c r="BE15" i="13" s="1"/>
  <c r="BD15" i="13" s="1"/>
  <c r="CR165" i="13"/>
  <c r="CQ165" i="13" s="1"/>
  <c r="DP165" i="13"/>
  <c r="DO165" i="13" s="1"/>
  <c r="DN165" i="13" s="1"/>
  <c r="DM165" i="13" s="1"/>
  <c r="DL165" i="13" s="1"/>
  <c r="CC174" i="13"/>
  <c r="CB174" i="13" s="1"/>
  <c r="CA174" i="13" s="1"/>
  <c r="KT174" i="13"/>
  <c r="KV174" i="13" s="1"/>
  <c r="KW174" i="13" s="1"/>
  <c r="LB174" i="13"/>
  <c r="LD174" i="13" s="1"/>
  <c r="LE174" i="13" s="1"/>
  <c r="LR174" i="13"/>
  <c r="LT174" i="13" s="1"/>
  <c r="LU174" i="13" s="1"/>
  <c r="DU174" i="13" s="1"/>
  <c r="DT174" i="13" s="1"/>
  <c r="DS174" i="13" s="1"/>
  <c r="DR174" i="13" s="1"/>
  <c r="DQ174" i="13" s="1"/>
  <c r="LJ174" i="13"/>
  <c r="LL174" i="13" s="1"/>
  <c r="LM174" i="13" s="1"/>
  <c r="JK156" i="13"/>
  <c r="NT150" i="13"/>
  <c r="NM150" i="13"/>
  <c r="IA150" i="13"/>
  <c r="KX213" i="13"/>
  <c r="KZ213" i="13" s="1"/>
  <c r="LA213" i="13" s="1"/>
  <c r="LF213" i="13"/>
  <c r="LH213" i="13" s="1"/>
  <c r="LN213" i="13"/>
  <c r="KP213" i="13"/>
  <c r="KR213" i="13" s="1"/>
  <c r="KS213" i="13" s="1"/>
  <c r="GP44" i="13"/>
  <c r="JO136" i="13"/>
  <c r="KG136" i="13" s="1"/>
  <c r="KF136" i="13"/>
  <c r="BP83" i="13"/>
  <c r="BO83" i="13" s="1"/>
  <c r="BN83" i="13" s="1"/>
  <c r="BM83" i="13" s="1"/>
  <c r="BL83" i="13" s="1"/>
  <c r="NX151" i="13"/>
  <c r="NW151" i="13"/>
  <c r="HL130" i="13"/>
  <c r="HN130" i="13" s="1"/>
  <c r="HO130" i="13" s="1"/>
  <c r="HD130" i="13"/>
  <c r="HF130" i="13" s="1"/>
  <c r="HG130" i="13" s="1"/>
  <c r="IB130" i="13"/>
  <c r="ID130" i="13" s="1"/>
  <c r="IE130" i="13" s="1"/>
  <c r="HT130" i="13"/>
  <c r="HV130" i="13" s="1"/>
  <c r="HW130" i="13" s="1"/>
  <c r="NX159" i="13"/>
  <c r="NW159" i="13"/>
  <c r="LI51" i="13"/>
  <c r="NP51" i="13" s="1"/>
  <c r="NU51" i="13"/>
  <c r="NO51" i="13"/>
  <c r="KG36" i="13"/>
  <c r="AB5" i="141"/>
  <c r="MV104" i="13"/>
  <c r="MU104" i="13"/>
  <c r="GQ104" i="13" s="1"/>
  <c r="GS104" i="13" s="1"/>
  <c r="GU104" i="13" s="1"/>
  <c r="MT104" i="13"/>
  <c r="GC104" i="13"/>
  <c r="GE104" i="13" s="1"/>
  <c r="LB60" i="13"/>
  <c r="LD60" i="13" s="1"/>
  <c r="LE60" i="13" s="1"/>
  <c r="LR60" i="13"/>
  <c r="LT60" i="13" s="1"/>
  <c r="LU60" i="13" s="1"/>
  <c r="DU60" i="13" s="1"/>
  <c r="DT60" i="13" s="1"/>
  <c r="LJ60" i="13"/>
  <c r="LL60" i="13" s="1"/>
  <c r="LM60" i="13" s="1"/>
  <c r="CW60" i="13" s="1"/>
  <c r="CV60" i="13" s="1"/>
  <c r="KT60" i="13"/>
  <c r="KV60" i="13" s="1"/>
  <c r="KW60" i="13" s="1"/>
  <c r="JK157" i="13"/>
  <c r="NI89" i="13"/>
  <c r="KL89" i="13"/>
  <c r="KN89" i="13" s="1"/>
  <c r="KO89" i="13" s="1"/>
  <c r="NX82" i="13"/>
  <c r="NW82" i="13"/>
  <c r="NS108" i="13"/>
  <c r="HS108" i="13"/>
  <c r="NK108" i="13"/>
  <c r="NY108" i="13"/>
  <c r="NI108" i="13"/>
  <c r="KL108" i="13"/>
  <c r="KN108" i="13" s="1"/>
  <c r="KO108" i="13" s="1"/>
  <c r="GP140" i="13"/>
  <c r="BP106" i="13"/>
  <c r="BO106" i="13" s="1"/>
  <c r="BN106" i="13" s="1"/>
  <c r="BM106" i="13" s="1"/>
  <c r="BL106" i="13" s="1"/>
  <c r="CE106" i="13"/>
  <c r="CD106" i="13" s="1"/>
  <c r="CC106" i="13" s="1"/>
  <c r="CB106" i="13" s="1"/>
  <c r="CA106" i="13" s="1"/>
  <c r="BZ106" i="13"/>
  <c r="BY106" i="13" s="1"/>
  <c r="BX106" i="13" s="1"/>
  <c r="BW106" i="13" s="1"/>
  <c r="BV106" i="13" s="1"/>
  <c r="AS106" i="13"/>
  <c r="AR106" i="13" s="1"/>
  <c r="AQ106" i="13" s="1"/>
  <c r="AP106" i="13" s="1"/>
  <c r="AO106" i="13" s="1"/>
  <c r="AL106" i="13" s="1"/>
  <c r="BH106" i="13"/>
  <c r="BG106" i="13" s="1"/>
  <c r="BF106" i="13" s="1"/>
  <c r="BE106" i="13" s="1"/>
  <c r="BD106" i="13" s="1"/>
  <c r="BC106" i="13"/>
  <c r="BB106" i="13" s="1"/>
  <c r="BA106" i="13" s="1"/>
  <c r="AZ106" i="13" s="1"/>
  <c r="AY106" i="13" s="1"/>
  <c r="BU106" i="13"/>
  <c r="BT106" i="13" s="1"/>
  <c r="BS106" i="13" s="1"/>
  <c r="BR106" i="13" s="1"/>
  <c r="BQ106" i="13" s="1"/>
  <c r="AX106" i="13"/>
  <c r="AW106" i="13" s="1"/>
  <c r="AV106" i="13" s="1"/>
  <c r="AU106" i="13" s="1"/>
  <c r="AT106" i="13" s="1"/>
  <c r="NH134" i="13"/>
  <c r="NG134" i="13"/>
  <c r="KH134" i="13" s="1"/>
  <c r="KJ134" i="13" s="1"/>
  <c r="KK134" i="13" s="1"/>
  <c r="NF134" i="13"/>
  <c r="JL134" i="13"/>
  <c r="JN134" i="13" s="1"/>
  <c r="CR116" i="13"/>
  <c r="CQ116" i="13" s="1"/>
  <c r="DP116" i="13"/>
  <c r="DO116" i="13" s="1"/>
  <c r="KT74" i="13"/>
  <c r="KV74" i="13" s="1"/>
  <c r="KW74" i="13" s="1"/>
  <c r="DB74" i="13" s="1"/>
  <c r="DA74" i="13" s="1"/>
  <c r="LJ74" i="13"/>
  <c r="LL74" i="13" s="1"/>
  <c r="LM74" i="13" s="1"/>
  <c r="CW74" i="13" s="1"/>
  <c r="CV74" i="13" s="1"/>
  <c r="LR74" i="13"/>
  <c r="LT74" i="13" s="1"/>
  <c r="LU74" i="13" s="1"/>
  <c r="DU74" i="13" s="1"/>
  <c r="DT74" i="13" s="1"/>
  <c r="DS74" i="13" s="1"/>
  <c r="DR74" i="13" s="1"/>
  <c r="DQ74" i="13" s="1"/>
  <c r="LB74" i="13"/>
  <c r="LD74" i="13" s="1"/>
  <c r="LE74" i="13" s="1"/>
  <c r="DZ74" i="13" s="1"/>
  <c r="DY74" i="13" s="1"/>
  <c r="DX74" i="13" s="1"/>
  <c r="DW74" i="13" s="1"/>
  <c r="DV74" i="13" s="1"/>
  <c r="NX123" i="13"/>
  <c r="NW123" i="13"/>
  <c r="LI49" i="13"/>
  <c r="NP49" i="13" s="1"/>
  <c r="NU49" i="13"/>
  <c r="NO49" i="13"/>
  <c r="NU173" i="13"/>
  <c r="NO173" i="13"/>
  <c r="LI173" i="13"/>
  <c r="NP173" i="13" s="1"/>
  <c r="NX200" i="13"/>
  <c r="NW200" i="13"/>
  <c r="NU34" i="13"/>
  <c r="NO34" i="13"/>
  <c r="CP34" i="13" s="1"/>
  <c r="CO34" i="13" s="1"/>
  <c r="CN34" i="13" s="1"/>
  <c r="LI34" i="13"/>
  <c r="LN102" i="13"/>
  <c r="KP102" i="13"/>
  <c r="KR102" i="13" s="1"/>
  <c r="KS102" i="13" s="1"/>
  <c r="LF102" i="13"/>
  <c r="LH102" i="13" s="1"/>
  <c r="KX102" i="13"/>
  <c r="KZ102" i="13" s="1"/>
  <c r="LA102" i="13" s="1"/>
  <c r="LI164" i="13"/>
  <c r="NP164" i="13" s="1"/>
  <c r="NU164" i="13"/>
  <c r="NO164" i="13"/>
  <c r="NI84" i="13"/>
  <c r="KL84" i="13"/>
  <c r="KN84" i="13" s="1"/>
  <c r="KO84" i="13" s="1"/>
  <c r="JK181" i="13"/>
  <c r="KT204" i="13"/>
  <c r="KV204" i="13" s="1"/>
  <c r="KW204" i="13" s="1"/>
  <c r="DB204" i="13" s="1"/>
  <c r="DA204" i="13" s="1"/>
  <c r="LR204" i="13"/>
  <c r="LT204" i="13" s="1"/>
  <c r="LU204" i="13" s="1"/>
  <c r="DU204" i="13" s="1"/>
  <c r="DT204" i="13" s="1"/>
  <c r="DS204" i="13" s="1"/>
  <c r="DR204" i="13" s="1"/>
  <c r="DQ204" i="13" s="1"/>
  <c r="LJ204" i="13"/>
  <c r="LL204" i="13" s="1"/>
  <c r="LM204" i="13" s="1"/>
  <c r="CW204" i="13" s="1"/>
  <c r="CV204" i="13" s="1"/>
  <c r="LB204" i="13"/>
  <c r="LD204" i="13" s="1"/>
  <c r="LE204" i="13" s="1"/>
  <c r="DZ204" i="13" s="1"/>
  <c r="DY204" i="13" s="1"/>
  <c r="DX204" i="13" s="1"/>
  <c r="DW204" i="13" s="1"/>
  <c r="DV204" i="13" s="1"/>
  <c r="NT109" i="13"/>
  <c r="NM109" i="13"/>
  <c r="IA109" i="13"/>
  <c r="NN109" i="13" s="1"/>
  <c r="CA184" i="13"/>
  <c r="CR91" i="13"/>
  <c r="CQ91" i="13" s="1"/>
  <c r="DP91" i="13"/>
  <c r="DO91" i="13" s="1"/>
  <c r="NV91" i="13"/>
  <c r="NQ91" i="13"/>
  <c r="LP91" i="13"/>
  <c r="LQ91" i="13" s="1"/>
  <c r="NR91" i="13" s="1"/>
  <c r="AS152" i="13"/>
  <c r="AR152" i="13" s="1"/>
  <c r="AQ152" i="13" s="1"/>
  <c r="AP152" i="13" s="1"/>
  <c r="AO152" i="13" s="1"/>
  <c r="AL152" i="13" s="1"/>
  <c r="CE152" i="13"/>
  <c r="CD152" i="13" s="1"/>
  <c r="CC152" i="13" s="1"/>
  <c r="CB152" i="13" s="1"/>
  <c r="CA152" i="13" s="1"/>
  <c r="BZ152" i="13"/>
  <c r="BY152" i="13" s="1"/>
  <c r="BX152" i="13" s="1"/>
  <c r="BW152" i="13" s="1"/>
  <c r="BV152" i="13" s="1"/>
  <c r="BH152" i="13"/>
  <c r="BG152" i="13" s="1"/>
  <c r="BF152" i="13" s="1"/>
  <c r="BE152" i="13" s="1"/>
  <c r="BD152" i="13" s="1"/>
  <c r="BU152" i="13"/>
  <c r="BT152" i="13" s="1"/>
  <c r="BS152" i="13" s="1"/>
  <c r="BR152" i="13" s="1"/>
  <c r="BQ152" i="13" s="1"/>
  <c r="BC152" i="13"/>
  <c r="BB152" i="13" s="1"/>
  <c r="BA152" i="13" s="1"/>
  <c r="AZ152" i="13" s="1"/>
  <c r="AY152" i="13" s="1"/>
  <c r="BP152" i="13"/>
  <c r="BO152" i="13" s="1"/>
  <c r="BN152" i="13" s="1"/>
  <c r="BM152" i="13" s="1"/>
  <c r="BL152" i="13" s="1"/>
  <c r="AX152" i="13"/>
  <c r="AW152" i="13" s="1"/>
  <c r="AV152" i="13" s="1"/>
  <c r="AU152" i="13" s="1"/>
  <c r="AT152" i="13" s="1"/>
  <c r="BP13" i="13"/>
  <c r="BO13" i="13" s="1"/>
  <c r="BN13" i="13" s="1"/>
  <c r="BM13" i="13" s="1"/>
  <c r="BL13" i="13" s="1"/>
  <c r="NL184" i="13"/>
  <c r="NX41" i="13"/>
  <c r="NW41" i="13"/>
  <c r="NI186" i="13"/>
  <c r="KL186" i="13"/>
  <c r="KN186" i="13" s="1"/>
  <c r="KO186" i="13" s="1"/>
  <c r="NI98" i="13"/>
  <c r="KL98" i="13"/>
  <c r="KN98" i="13" s="1"/>
  <c r="KO98" i="13" s="1"/>
  <c r="DP137" i="13"/>
  <c r="DO137" i="13" s="1"/>
  <c r="CW137" i="13"/>
  <c r="CV137" i="13" s="1"/>
  <c r="CU137" i="13" s="1"/>
  <c r="CT137" i="13" s="1"/>
  <c r="CS137" i="13" s="1"/>
  <c r="CR137" i="13"/>
  <c r="CQ137" i="13" s="1"/>
  <c r="CP137" i="13" s="1"/>
  <c r="CO137" i="13" s="1"/>
  <c r="CN137" i="13" s="1"/>
  <c r="CM137" i="13"/>
  <c r="CL137" i="13" s="1"/>
  <c r="CK137" i="13" s="1"/>
  <c r="CJ137" i="13" s="1"/>
  <c r="CI137" i="13" s="1"/>
  <c r="DU137" i="13"/>
  <c r="DT137" i="13" s="1"/>
  <c r="NV115" i="13"/>
  <c r="NQ115" i="13"/>
  <c r="LP115" i="13"/>
  <c r="LQ115" i="13" s="1"/>
  <c r="NQ21" i="13"/>
  <c r="DN21" i="13" s="1"/>
  <c r="DM21" i="13" s="1"/>
  <c r="DL21" i="13" s="1"/>
  <c r="LP21" i="13"/>
  <c r="LQ21" i="13" s="1"/>
  <c r="NV21" i="13"/>
  <c r="JO93" i="13"/>
  <c r="KF93" i="13"/>
  <c r="BH135" i="13"/>
  <c r="BG135" i="13" s="1"/>
  <c r="BF135" i="13" s="1"/>
  <c r="BE135" i="13" s="1"/>
  <c r="BD135" i="13" s="1"/>
  <c r="BX147" i="13"/>
  <c r="BW147" i="13" s="1"/>
  <c r="BV147" i="13" s="1"/>
  <c r="NI161" i="13"/>
  <c r="KL161" i="13"/>
  <c r="KN161" i="13" s="1"/>
  <c r="KO161" i="13" s="1"/>
  <c r="JO41" i="13"/>
  <c r="KF41" i="13"/>
  <c r="JO82" i="13"/>
  <c r="KF82" i="13"/>
  <c r="DP173" i="13"/>
  <c r="DO173" i="13" s="1"/>
  <c r="DK173" i="13"/>
  <c r="DJ173" i="13" s="1"/>
  <c r="CR173" i="13"/>
  <c r="CQ173" i="13" s="1"/>
  <c r="CP173" i="13" s="1"/>
  <c r="CO173" i="13" s="1"/>
  <c r="CN173" i="13" s="1"/>
  <c r="NX16" i="13"/>
  <c r="NW16" i="13"/>
  <c r="LN29" i="13"/>
  <c r="KP29" i="13"/>
  <c r="KR29" i="13" s="1"/>
  <c r="KS29" i="13" s="1"/>
  <c r="KX29" i="13"/>
  <c r="KZ29" i="13" s="1"/>
  <c r="LA29" i="13" s="1"/>
  <c r="DP29" i="13" s="1"/>
  <c r="DO29" i="13" s="1"/>
  <c r="LF29" i="13"/>
  <c r="LH29" i="13" s="1"/>
  <c r="NI153" i="13"/>
  <c r="KL153" i="13"/>
  <c r="KN153" i="13" s="1"/>
  <c r="KO153" i="13" s="1"/>
  <c r="BS110" i="13"/>
  <c r="BR110" i="13" s="1"/>
  <c r="BQ110" i="13" s="1"/>
  <c r="NM144" i="13"/>
  <c r="IA144" i="13"/>
  <c r="NT144" i="13"/>
  <c r="LJ112" i="13"/>
  <c r="LL112" i="13" s="1"/>
  <c r="LM112" i="13" s="1"/>
  <c r="LB112" i="13"/>
  <c r="LD112" i="13" s="1"/>
  <c r="LE112" i="13" s="1"/>
  <c r="KT112" i="13"/>
  <c r="KV112" i="13" s="1"/>
  <c r="KW112" i="13" s="1"/>
  <c r="LR112" i="13"/>
  <c r="LT112" i="13" s="1"/>
  <c r="LU112" i="13" s="1"/>
  <c r="CC40" i="13"/>
  <c r="CB40" i="13" s="1"/>
  <c r="CA40" i="13" s="1"/>
  <c r="NX170" i="13"/>
  <c r="NW170" i="13"/>
  <c r="NM177" i="13"/>
  <c r="NT177" i="13"/>
  <c r="IA177" i="13"/>
  <c r="NN177" i="13" s="1"/>
  <c r="LI66" i="13"/>
  <c r="NP66" i="13" s="1"/>
  <c r="NU66" i="13"/>
  <c r="NO66" i="13"/>
  <c r="CE39" i="13"/>
  <c r="CD39" i="13" s="1"/>
  <c r="CC39" i="13" s="1"/>
  <c r="CB39" i="13" s="1"/>
  <c r="CA39" i="13" s="1"/>
  <c r="HD45" i="13"/>
  <c r="HF45" i="13" s="1"/>
  <c r="HG45" i="13" s="1"/>
  <c r="HT45" i="13"/>
  <c r="HV45" i="13" s="1"/>
  <c r="HW45" i="13" s="1"/>
  <c r="HL45" i="13"/>
  <c r="HN45" i="13" s="1"/>
  <c r="HO45" i="13" s="1"/>
  <c r="IB45" i="13"/>
  <c r="ID45" i="13" s="1"/>
  <c r="IE45" i="13" s="1"/>
  <c r="LF15" i="13"/>
  <c r="LH15" i="13" s="1"/>
  <c r="KP15" i="13"/>
  <c r="KR15" i="13" s="1"/>
  <c r="KS15" i="13" s="1"/>
  <c r="KX15" i="13"/>
  <c r="KZ15" i="13" s="1"/>
  <c r="LA15" i="13" s="1"/>
  <c r="DP15" i="13" s="1"/>
  <c r="DO15" i="13" s="1"/>
  <c r="LN15" i="13"/>
  <c r="CC129" i="13"/>
  <c r="CB129" i="13" s="1"/>
  <c r="CA129" i="13" s="1"/>
  <c r="NO40" i="13"/>
  <c r="LI40" i="13"/>
  <c r="NP40" i="13" s="1"/>
  <c r="NU40" i="13"/>
  <c r="BX149" i="13"/>
  <c r="BW149" i="13" s="1"/>
  <c r="BV149" i="13" s="1"/>
  <c r="CC162" i="13"/>
  <c r="CB162" i="13" s="1"/>
  <c r="CA162" i="13" s="1"/>
  <c r="KX158" i="13"/>
  <c r="KZ158" i="13" s="1"/>
  <c r="LA158" i="13" s="1"/>
  <c r="KP158" i="13"/>
  <c r="KR158" i="13" s="1"/>
  <c r="KS158" i="13" s="1"/>
  <c r="LF158" i="13"/>
  <c r="LH158" i="13" s="1"/>
  <c r="LN158" i="13"/>
  <c r="KP57" i="13"/>
  <c r="KR57" i="13" s="1"/>
  <c r="KS57" i="13" s="1"/>
  <c r="KX57" i="13"/>
  <c r="KZ57" i="13" s="1"/>
  <c r="LA57" i="13" s="1"/>
  <c r="LN57" i="13"/>
  <c r="LF57" i="13"/>
  <c r="LH57" i="13" s="1"/>
  <c r="LF177" i="13"/>
  <c r="LH177" i="13" s="1"/>
  <c r="KX177" i="13"/>
  <c r="KZ177" i="13" s="1"/>
  <c r="LA177" i="13" s="1"/>
  <c r="KP177" i="13"/>
  <c r="KR177" i="13" s="1"/>
  <c r="KS177" i="13" s="1"/>
  <c r="LN177" i="13"/>
  <c r="JK99" i="13"/>
  <c r="LI154" i="13"/>
  <c r="NP154" i="13" s="1"/>
  <c r="NU154" i="13"/>
  <c r="NO154" i="13"/>
  <c r="MW14" i="13"/>
  <c r="GV14" i="13"/>
  <c r="GX14" i="13" s="1"/>
  <c r="GY14" i="13" s="1"/>
  <c r="JO42" i="13"/>
  <c r="KF42" i="13"/>
  <c r="NO67" i="13"/>
  <c r="LI67" i="13"/>
  <c r="NP67" i="13" s="1"/>
  <c r="NU67" i="13"/>
  <c r="NH107" i="13"/>
  <c r="NG107" i="13"/>
  <c r="KH107" i="13" s="1"/>
  <c r="KJ107" i="13" s="1"/>
  <c r="KK107" i="13" s="1"/>
  <c r="NF107" i="13"/>
  <c r="JL107" i="13"/>
  <c r="JN107" i="13" s="1"/>
  <c r="CC141" i="13"/>
  <c r="CB141" i="13" s="1"/>
  <c r="CA141" i="13" s="1"/>
  <c r="LB155" i="13"/>
  <c r="LD155" i="13" s="1"/>
  <c r="LE155" i="13" s="1"/>
  <c r="LR155" i="13"/>
  <c r="LT155" i="13" s="1"/>
  <c r="LU155" i="13" s="1"/>
  <c r="LJ155" i="13"/>
  <c r="LL155" i="13" s="1"/>
  <c r="LM155" i="13" s="1"/>
  <c r="KT155" i="13"/>
  <c r="KV155" i="13" s="1"/>
  <c r="KW155" i="13" s="1"/>
  <c r="BX131" i="13"/>
  <c r="BW131" i="13" s="1"/>
  <c r="BV131" i="13" s="1"/>
  <c r="JO38" i="13"/>
  <c r="KF38" i="13"/>
  <c r="LF183" i="13"/>
  <c r="LH183" i="13" s="1"/>
  <c r="KP183" i="13"/>
  <c r="KR183" i="13" s="1"/>
  <c r="KS183" i="13" s="1"/>
  <c r="LN183" i="13"/>
  <c r="KX183" i="13"/>
  <c r="KZ183" i="13" s="1"/>
  <c r="LA183" i="13" s="1"/>
  <c r="NU174" i="13"/>
  <c r="NO174" i="13"/>
  <c r="LI174" i="13"/>
  <c r="NP174" i="13" s="1"/>
  <c r="LN136" i="13"/>
  <c r="KX136" i="13"/>
  <c r="KZ136" i="13" s="1"/>
  <c r="LA136" i="13" s="1"/>
  <c r="LF136" i="13"/>
  <c r="LH136" i="13" s="1"/>
  <c r="KP136" i="13"/>
  <c r="KR136" i="13" s="1"/>
  <c r="KS136" i="13" s="1"/>
  <c r="NI87" i="13"/>
  <c r="KL87" i="13"/>
  <c r="KN87" i="13" s="1"/>
  <c r="KO87" i="13" s="1"/>
  <c r="AS83" i="13"/>
  <c r="AR83" i="13" s="1"/>
  <c r="AQ83" i="13" s="1"/>
  <c r="AP83" i="13" s="1"/>
  <c r="AO83" i="13" s="1"/>
  <c r="AL83" i="13" s="1"/>
  <c r="LF20" i="13"/>
  <c r="LH20" i="13" s="1"/>
  <c r="KP20" i="13"/>
  <c r="KR20" i="13" s="1"/>
  <c r="KS20" i="13" s="1"/>
  <c r="LN20" i="13"/>
  <c r="KX20" i="13"/>
  <c r="KZ20" i="13" s="1"/>
  <c r="LA20" i="13" s="1"/>
  <c r="DP20" i="13" s="1"/>
  <c r="DO20" i="13" s="1"/>
  <c r="JO89" i="13"/>
  <c r="KF89" i="13"/>
  <c r="NO21" i="13"/>
  <c r="CP21" i="13" s="1"/>
  <c r="CO21" i="13" s="1"/>
  <c r="CN21" i="13" s="1"/>
  <c r="LI21" i="13"/>
  <c r="NU21" i="13"/>
  <c r="DZ50" i="13"/>
  <c r="DY50" i="13" s="1"/>
  <c r="CR50" i="13"/>
  <c r="CQ50" i="13" s="1"/>
  <c r="DP50" i="13"/>
  <c r="DO50" i="13" s="1"/>
  <c r="DB50" i="13"/>
  <c r="DA50" i="13" s="1"/>
  <c r="CW50" i="13"/>
  <c r="CV50" i="13" s="1"/>
  <c r="DU50" i="13"/>
  <c r="DT50" i="13" s="1"/>
  <c r="DP135" i="13"/>
  <c r="DO135" i="13" s="1"/>
  <c r="CR135" i="13"/>
  <c r="CQ135" i="13" s="1"/>
  <c r="NI13" i="13"/>
  <c r="KL13" i="13"/>
  <c r="KN13" i="13" s="1"/>
  <c r="KO13" i="13" s="1"/>
  <c r="NT108" i="13"/>
  <c r="NM108" i="13"/>
  <c r="IA108" i="13"/>
  <c r="LI74" i="13"/>
  <c r="NP74" i="13" s="1"/>
  <c r="NU74" i="13"/>
  <c r="NO74" i="13"/>
  <c r="NH109" i="13"/>
  <c r="NG109" i="13"/>
  <c r="KH109" i="13" s="1"/>
  <c r="KJ109" i="13" s="1"/>
  <c r="KK109" i="13" s="1"/>
  <c r="NF109" i="13"/>
  <c r="JL109" i="13"/>
  <c r="JN109" i="13" s="1"/>
  <c r="BU211" i="13"/>
  <c r="BT211" i="13" s="1"/>
  <c r="BS211" i="13" s="1"/>
  <c r="BR211" i="13" s="1"/>
  <c r="BQ211" i="13" s="1"/>
  <c r="AX211" i="13"/>
  <c r="AW211" i="13" s="1"/>
  <c r="AV211" i="13" s="1"/>
  <c r="AU211" i="13" s="1"/>
  <c r="AT211" i="13" s="1"/>
  <c r="AS211" i="13"/>
  <c r="AR211" i="13" s="1"/>
  <c r="AQ211" i="13" s="1"/>
  <c r="AP211" i="13" s="1"/>
  <c r="AO211" i="13" s="1"/>
  <c r="AL211" i="13" s="1"/>
  <c r="BP211" i="13"/>
  <c r="BO211" i="13" s="1"/>
  <c r="BN211" i="13" s="1"/>
  <c r="BM211" i="13" s="1"/>
  <c r="BL211" i="13" s="1"/>
  <c r="BH211" i="13"/>
  <c r="BG211" i="13" s="1"/>
  <c r="BF211" i="13" s="1"/>
  <c r="BE211" i="13" s="1"/>
  <c r="BD211" i="13" s="1"/>
  <c r="BC211" i="13"/>
  <c r="BB211" i="13" s="1"/>
  <c r="BA211" i="13" s="1"/>
  <c r="AZ211" i="13" s="1"/>
  <c r="AY211" i="13" s="1"/>
  <c r="CE211" i="13"/>
  <c r="CD211" i="13" s="1"/>
  <c r="CC211" i="13" s="1"/>
  <c r="CB211" i="13" s="1"/>
  <c r="CA211" i="13" s="1"/>
  <c r="BZ211" i="13"/>
  <c r="BY211" i="13" s="1"/>
  <c r="BX211" i="13" s="1"/>
  <c r="BW211" i="13" s="1"/>
  <c r="BV211" i="13" s="1"/>
  <c r="NX36" i="13"/>
  <c r="NW36" i="13"/>
  <c r="KX126" i="13"/>
  <c r="KZ126" i="13" s="1"/>
  <c r="LA126" i="13" s="1"/>
  <c r="LN126" i="13"/>
  <c r="KP126" i="13"/>
  <c r="KR126" i="13" s="1"/>
  <c r="KS126" i="13" s="1"/>
  <c r="LF126" i="13"/>
  <c r="LH126" i="13" s="1"/>
  <c r="NU194" i="13"/>
  <c r="NO194" i="13"/>
  <c r="LI194" i="13"/>
  <c r="NP194" i="13" s="1"/>
  <c r="JO37" i="13"/>
  <c r="KF37" i="13"/>
  <c r="CO127" i="13"/>
  <c r="CN127" i="13" s="1"/>
  <c r="KP181" i="13"/>
  <c r="KR181" i="13" s="1"/>
  <c r="KS181" i="13" s="1"/>
  <c r="LN181" i="13"/>
  <c r="LF181" i="13"/>
  <c r="LH181" i="13" s="1"/>
  <c r="KX181" i="13"/>
  <c r="KZ181" i="13" s="1"/>
  <c r="LA181" i="13" s="1"/>
  <c r="CR106" i="13"/>
  <c r="CQ106" i="13" s="1"/>
  <c r="DP106" i="13"/>
  <c r="DO106" i="13" s="1"/>
  <c r="NU63" i="13"/>
  <c r="NO63" i="13"/>
  <c r="LI63" i="13"/>
  <c r="NP63" i="13" s="1"/>
  <c r="NU26" i="13"/>
  <c r="NO26" i="13"/>
  <c r="CP26" i="13" s="1"/>
  <c r="CO26" i="13" s="1"/>
  <c r="CN26" i="13" s="1"/>
  <c r="LI26" i="13"/>
  <c r="GP138" i="13"/>
  <c r="AS13" i="13"/>
  <c r="AR13" i="13" s="1"/>
  <c r="AQ13" i="13" s="1"/>
  <c r="AP13" i="13" s="1"/>
  <c r="AO13" i="13" s="1"/>
  <c r="AL13" i="13" s="1"/>
  <c r="GP101" i="13"/>
  <c r="CC96" i="13"/>
  <c r="CB96" i="13" s="1"/>
  <c r="CA96" i="13" s="1"/>
  <c r="IA127" i="13"/>
  <c r="NT127" i="13"/>
  <c r="NM127" i="13"/>
  <c r="NH61" i="13"/>
  <c r="NG61" i="13"/>
  <c r="KH61" i="13" s="1"/>
  <c r="KJ61" i="13" s="1"/>
  <c r="KK61" i="13" s="1"/>
  <c r="NF61" i="13"/>
  <c r="JL61" i="13"/>
  <c r="JN61" i="13" s="1"/>
  <c r="LI73" i="13"/>
  <c r="NP73" i="13" s="1"/>
  <c r="NU73" i="13"/>
  <c r="NO73" i="13"/>
  <c r="NX114" i="13"/>
  <c r="NW114" i="13"/>
  <c r="KP103" i="13"/>
  <c r="KR103" i="13" s="1"/>
  <c r="KS103" i="13" s="1"/>
  <c r="LF103" i="13"/>
  <c r="LH103" i="13" s="1"/>
  <c r="KX103" i="13"/>
  <c r="KZ103" i="13" s="1"/>
  <c r="LA103" i="13" s="1"/>
  <c r="LN103" i="13"/>
  <c r="LB115" i="13"/>
  <c r="LD115" i="13" s="1"/>
  <c r="LE115" i="13" s="1"/>
  <c r="KT115" i="13"/>
  <c r="KV115" i="13" s="1"/>
  <c r="KW115" i="13" s="1"/>
  <c r="LR115" i="13"/>
  <c r="LT115" i="13" s="1"/>
  <c r="LU115" i="13" s="1"/>
  <c r="LJ115" i="13"/>
  <c r="LL115" i="13" s="1"/>
  <c r="LM115" i="13" s="1"/>
  <c r="LN186" i="13"/>
  <c r="LF186" i="13"/>
  <c r="LH186" i="13" s="1"/>
  <c r="KX186" i="13"/>
  <c r="KZ186" i="13" s="1"/>
  <c r="LA186" i="13" s="1"/>
  <c r="KP186" i="13"/>
  <c r="KR186" i="13" s="1"/>
  <c r="KS186" i="13" s="1"/>
  <c r="CC20" i="13"/>
  <c r="CB20" i="13" s="1"/>
  <c r="CA20" i="13" s="1"/>
  <c r="CC63" i="13"/>
  <c r="CB63" i="13" s="1"/>
  <c r="CA63" i="13" s="1"/>
  <c r="NU115" i="13"/>
  <c r="NO115" i="13"/>
  <c r="LI115" i="13"/>
  <c r="NP115" i="13" s="1"/>
  <c r="CC93" i="13"/>
  <c r="CB93" i="13" s="1"/>
  <c r="CA93" i="13" s="1"/>
  <c r="NI27" i="13"/>
  <c r="KL27" i="13"/>
  <c r="KN27" i="13" s="1"/>
  <c r="KO27" i="13" s="1"/>
  <c r="NI93" i="13"/>
  <c r="KL93" i="13"/>
  <c r="KN93" i="13" s="1"/>
  <c r="KO93" i="13" s="1"/>
  <c r="NX135" i="13"/>
  <c r="NW135" i="13"/>
  <c r="JK184" i="13"/>
  <c r="GP46" i="13"/>
  <c r="NL46" i="13"/>
  <c r="BA147" i="13"/>
  <c r="AZ147" i="13" s="1"/>
  <c r="AY147" i="13" s="1"/>
  <c r="HD55" i="13"/>
  <c r="HF55" i="13" s="1"/>
  <c r="HG55" i="13" s="1"/>
  <c r="HT55" i="13"/>
  <c r="HV55" i="13" s="1"/>
  <c r="HW55" i="13" s="1"/>
  <c r="IB55" i="13"/>
  <c r="ID55" i="13" s="1"/>
  <c r="IE55" i="13" s="1"/>
  <c r="HL55" i="13"/>
  <c r="HN55" i="13" s="1"/>
  <c r="HO55" i="13" s="1"/>
  <c r="BP29" i="13"/>
  <c r="BO29" i="13" s="1"/>
  <c r="BN29" i="13" s="1"/>
  <c r="BM29" i="13" s="1"/>
  <c r="BL29" i="13" s="1"/>
  <c r="NI41" i="13"/>
  <c r="KL41" i="13"/>
  <c r="KN41" i="13" s="1"/>
  <c r="KO41" i="13" s="1"/>
  <c r="NI82" i="13"/>
  <c r="KL82" i="13"/>
  <c r="KN82" i="13" s="1"/>
  <c r="KO82" i="13" s="1"/>
  <c r="LF17" i="13"/>
  <c r="LH17" i="13" s="1"/>
  <c r="KP17" i="13"/>
  <c r="KR17" i="13" s="1"/>
  <c r="KS17" i="13" s="1"/>
  <c r="LN17" i="13"/>
  <c r="KX17" i="13"/>
  <c r="KZ17" i="13" s="1"/>
  <c r="LA17" i="13" s="1"/>
  <c r="DP17" i="13" s="1"/>
  <c r="DO17" i="13" s="1"/>
  <c r="NV105" i="13"/>
  <c r="LP105" i="13"/>
  <c r="LQ105" i="13" s="1"/>
  <c r="NQ105" i="13"/>
  <c r="NS144" i="13"/>
  <c r="HS144" i="13"/>
  <c r="AU3" i="13" s="1"/>
  <c r="NY144" i="13"/>
  <c r="NK144" i="13"/>
  <c r="BH112" i="13"/>
  <c r="BG112" i="13" s="1"/>
  <c r="BF112" i="13" s="1"/>
  <c r="BE112" i="13" s="1"/>
  <c r="BD112" i="13" s="1"/>
  <c r="CE112" i="13"/>
  <c r="CD112" i="13" s="1"/>
  <c r="CC112" i="13" s="1"/>
  <c r="CB112" i="13" s="1"/>
  <c r="CA112" i="13" s="1"/>
  <c r="BC112" i="13"/>
  <c r="BB112" i="13" s="1"/>
  <c r="BA112" i="13" s="1"/>
  <c r="AZ112" i="13" s="1"/>
  <c r="AY112" i="13" s="1"/>
  <c r="AS112" i="13"/>
  <c r="AR112" i="13" s="1"/>
  <c r="AQ112" i="13" s="1"/>
  <c r="AP112" i="13" s="1"/>
  <c r="AO112" i="13" s="1"/>
  <c r="AL112" i="13" s="1"/>
  <c r="AX112" i="13"/>
  <c r="AW112" i="13" s="1"/>
  <c r="AV112" i="13" s="1"/>
  <c r="AU112" i="13" s="1"/>
  <c r="AT112" i="13" s="1"/>
  <c r="BZ112" i="13"/>
  <c r="BY112" i="13" s="1"/>
  <c r="BX112" i="13" s="1"/>
  <c r="BW112" i="13" s="1"/>
  <c r="BV112" i="13" s="1"/>
  <c r="BU112" i="13"/>
  <c r="BT112" i="13" s="1"/>
  <c r="BS112" i="13" s="1"/>
  <c r="BR112" i="13" s="1"/>
  <c r="BQ112" i="13" s="1"/>
  <c r="BP112" i="13"/>
  <c r="BO112" i="13" s="1"/>
  <c r="BN112" i="13" s="1"/>
  <c r="BM112" i="13" s="1"/>
  <c r="BL112" i="13" s="1"/>
  <c r="JO96" i="13"/>
  <c r="KG96" i="13" s="1"/>
  <c r="KF96" i="13"/>
  <c r="NM134" i="13"/>
  <c r="IA134" i="13"/>
  <c r="NT134" i="13"/>
  <c r="BP39" i="13"/>
  <c r="BO39" i="13" s="1"/>
  <c r="BN39" i="13" s="1"/>
  <c r="BM39" i="13" s="1"/>
  <c r="BL39" i="13" s="1"/>
  <c r="BS135" i="13"/>
  <c r="BR135" i="13" s="1"/>
  <c r="BQ135" i="13" s="1"/>
  <c r="BP12" i="13"/>
  <c r="BO12" i="13" s="1"/>
  <c r="BN12" i="13" s="1"/>
  <c r="BM12" i="13" s="1"/>
  <c r="BL12" i="13" s="1"/>
  <c r="NK120" i="13"/>
  <c r="NY120" i="13"/>
  <c r="NS120" i="13"/>
  <c r="HS120" i="13"/>
  <c r="NL120" i="13" s="1"/>
  <c r="HD113" i="13"/>
  <c r="HF113" i="13" s="1"/>
  <c r="HG113" i="13" s="1"/>
  <c r="HL113" i="13"/>
  <c r="HN113" i="13" s="1"/>
  <c r="HO113" i="13" s="1"/>
  <c r="HT113" i="13"/>
  <c r="HV113" i="13" s="1"/>
  <c r="HW113" i="13" s="1"/>
  <c r="IB113" i="13"/>
  <c r="ID113" i="13" s="1"/>
  <c r="IE113" i="13" s="1"/>
  <c r="CR59" i="13"/>
  <c r="CQ59" i="13" s="1"/>
  <c r="DZ59" i="13"/>
  <c r="DY59" i="13" s="1"/>
  <c r="DP59" i="13"/>
  <c r="DO59" i="13" s="1"/>
  <c r="CW59" i="13"/>
  <c r="CV59" i="13" s="1"/>
  <c r="DU59" i="13"/>
  <c r="DT59" i="13" s="1"/>
  <c r="NI158" i="13"/>
  <c r="KL158" i="13"/>
  <c r="KN158" i="13" s="1"/>
  <c r="KO158" i="13" s="1"/>
  <c r="GP120" i="13"/>
  <c r="DZ175" i="13"/>
  <c r="DY175" i="13" s="1"/>
  <c r="CR175" i="13"/>
  <c r="CQ175" i="13" s="1"/>
  <c r="DP175" i="13"/>
  <c r="DO175" i="13" s="1"/>
  <c r="DB175" i="13"/>
  <c r="DA175" i="13" s="1"/>
  <c r="CW175" i="13"/>
  <c r="CV175" i="13" s="1"/>
  <c r="DU175" i="13"/>
  <c r="DT175" i="13" s="1"/>
  <c r="NV212" i="13"/>
  <c r="NQ212" i="13"/>
  <c r="LP212" i="13"/>
  <c r="LQ212" i="13" s="1"/>
  <c r="NR212" i="13" s="1"/>
  <c r="LJ128" i="13"/>
  <c r="LL128" i="13" s="1"/>
  <c r="LM128" i="13" s="1"/>
  <c r="KT128" i="13"/>
  <c r="KV128" i="13" s="1"/>
  <c r="KW128" i="13" s="1"/>
  <c r="LR128" i="13"/>
  <c r="LT128" i="13" s="1"/>
  <c r="LU128" i="13" s="1"/>
  <c r="LB128" i="13"/>
  <c r="LD128" i="13" s="1"/>
  <c r="LE128" i="13" s="1"/>
  <c r="NI42" i="13"/>
  <c r="KL42" i="13"/>
  <c r="KN42" i="13" s="1"/>
  <c r="KO42" i="13" s="1"/>
  <c r="NT17" i="13"/>
  <c r="NM17" i="13"/>
  <c r="IA17" i="13"/>
  <c r="HD44" i="13"/>
  <c r="HF44" i="13" s="1"/>
  <c r="HG44" i="13" s="1"/>
  <c r="IB44" i="13"/>
  <c r="ID44" i="13" s="1"/>
  <c r="IE44" i="13" s="1"/>
  <c r="HL44" i="13"/>
  <c r="HN44" i="13" s="1"/>
  <c r="HO44" i="13" s="1"/>
  <c r="HT44" i="13"/>
  <c r="HV44" i="13" s="1"/>
  <c r="HW44" i="13" s="1"/>
  <c r="NQ67" i="13"/>
  <c r="LP67" i="13"/>
  <c r="LQ67" i="13" s="1"/>
  <c r="NV67" i="13"/>
  <c r="NL139" i="13"/>
  <c r="NG199" i="13"/>
  <c r="KH199" i="13" s="1"/>
  <c r="KJ199" i="13" s="1"/>
  <c r="KK199" i="13" s="1"/>
  <c r="NH199" i="13"/>
  <c r="NF199" i="13"/>
  <c r="JL199" i="13"/>
  <c r="JN199" i="13" s="1"/>
  <c r="NX29" i="13"/>
  <c r="NW29" i="13"/>
  <c r="NK150" i="13"/>
  <c r="NY150" i="13"/>
  <c r="NS150" i="13"/>
  <c r="HS150" i="13"/>
  <c r="NM99" i="13"/>
  <c r="IA99" i="13"/>
  <c r="NT99" i="13"/>
  <c r="NI38" i="13"/>
  <c r="KL38" i="13"/>
  <c r="KN38" i="13" s="1"/>
  <c r="KO38" i="13" s="1"/>
  <c r="NR174" i="13"/>
  <c r="JK107" i="13"/>
  <c r="NI136" i="13"/>
  <c r="KL136" i="13"/>
  <c r="KN136" i="13" s="1"/>
  <c r="KO136" i="13" s="1"/>
  <c r="KX87" i="13"/>
  <c r="KZ87" i="13" s="1"/>
  <c r="LA87" i="13" s="1"/>
  <c r="KP87" i="13"/>
  <c r="KR87" i="13" s="1"/>
  <c r="KS87" i="13" s="1"/>
  <c r="LF87" i="13"/>
  <c r="LH87" i="13" s="1"/>
  <c r="LN87" i="13"/>
  <c r="JO156" i="13"/>
  <c r="KG156" i="13" s="1"/>
  <c r="KF156" i="13"/>
  <c r="AV83" i="13"/>
  <c r="AU83" i="13" s="1"/>
  <c r="AT83" i="13" s="1"/>
  <c r="BP147" i="13"/>
  <c r="BO147" i="13" s="1"/>
  <c r="BN147" i="13" s="1"/>
  <c r="BM147" i="13" s="1"/>
  <c r="BL147" i="13" s="1"/>
  <c r="NN147" i="13"/>
  <c r="BP94" i="13"/>
  <c r="BO94" i="13" s="1"/>
  <c r="BN94" i="13" s="1"/>
  <c r="BM94" i="13" s="1"/>
  <c r="BL94" i="13" s="1"/>
  <c r="AS94" i="13"/>
  <c r="AR94" i="13" s="1"/>
  <c r="AQ94" i="13" s="1"/>
  <c r="AP94" i="13" s="1"/>
  <c r="AO94" i="13" s="1"/>
  <c r="AL94" i="13" s="1"/>
  <c r="BZ94" i="13"/>
  <c r="BY94" i="13" s="1"/>
  <c r="BX94" i="13" s="1"/>
  <c r="BW94" i="13" s="1"/>
  <c r="BV94" i="13" s="1"/>
  <c r="AX94" i="13"/>
  <c r="AW94" i="13" s="1"/>
  <c r="AV94" i="13" s="1"/>
  <c r="AU94" i="13" s="1"/>
  <c r="AT94" i="13" s="1"/>
  <c r="CE94" i="13"/>
  <c r="CD94" i="13" s="1"/>
  <c r="CC94" i="13" s="1"/>
  <c r="CB94" i="13" s="1"/>
  <c r="CA94" i="13" s="1"/>
  <c r="BH94" i="13"/>
  <c r="BG94" i="13" s="1"/>
  <c r="BF94" i="13" s="1"/>
  <c r="BE94" i="13" s="1"/>
  <c r="BD94" i="13" s="1"/>
  <c r="BC94" i="13"/>
  <c r="BB94" i="13" s="1"/>
  <c r="BA94" i="13" s="1"/>
  <c r="AZ94" i="13" s="1"/>
  <c r="AY94" i="13" s="1"/>
  <c r="BU94" i="13"/>
  <c r="BT94" i="13" s="1"/>
  <c r="BS94" i="13" s="1"/>
  <c r="BR94" i="13" s="1"/>
  <c r="BQ94" i="13" s="1"/>
  <c r="NH206" i="13"/>
  <c r="NG206" i="13"/>
  <c r="KH206" i="13" s="1"/>
  <c r="KJ206" i="13" s="1"/>
  <c r="KK206" i="13" s="1"/>
  <c r="NF206" i="13"/>
  <c r="JL206" i="13"/>
  <c r="JN206" i="13" s="1"/>
  <c r="CR76" i="13"/>
  <c r="CQ76" i="13" s="1"/>
  <c r="DP76" i="13"/>
  <c r="DO76" i="13" s="1"/>
  <c r="NI122" i="13"/>
  <c r="KL122" i="13"/>
  <c r="KN122" i="13" s="1"/>
  <c r="KO122" i="13" s="1"/>
  <c r="NX67" i="13"/>
  <c r="NW67" i="13"/>
  <c r="HT120" i="13"/>
  <c r="HV120" i="13" s="1"/>
  <c r="HW120" i="13" s="1"/>
  <c r="HL120" i="13"/>
  <c r="HN120" i="13" s="1"/>
  <c r="HO120" i="13" s="1"/>
  <c r="IB120" i="13"/>
  <c r="ID120" i="13" s="1"/>
  <c r="IE120" i="13" s="1"/>
  <c r="HD120" i="13"/>
  <c r="HF120" i="13" s="1"/>
  <c r="HG120" i="13" s="1"/>
  <c r="JO57" i="13"/>
  <c r="KF57" i="13"/>
  <c r="BU137" i="13"/>
  <c r="BT137" i="13" s="1"/>
  <c r="BS137" i="13" s="1"/>
  <c r="BR137" i="13" s="1"/>
  <c r="BQ137" i="13" s="1"/>
  <c r="AX137" i="13"/>
  <c r="AW137" i="13" s="1"/>
  <c r="AV137" i="13" s="1"/>
  <c r="AU137" i="13" s="1"/>
  <c r="AT137" i="13" s="1"/>
  <c r="BP137" i="13"/>
  <c r="BO137" i="13" s="1"/>
  <c r="BN137" i="13" s="1"/>
  <c r="BM137" i="13" s="1"/>
  <c r="BL137" i="13" s="1"/>
  <c r="AS137" i="13"/>
  <c r="AR137" i="13" s="1"/>
  <c r="AQ137" i="13" s="1"/>
  <c r="AP137" i="13" s="1"/>
  <c r="AO137" i="13" s="1"/>
  <c r="AL137" i="13" s="1"/>
  <c r="CE137" i="13"/>
  <c r="CD137" i="13" s="1"/>
  <c r="CC137" i="13" s="1"/>
  <c r="CB137" i="13" s="1"/>
  <c r="CA137" i="13" s="1"/>
  <c r="BH137" i="13"/>
  <c r="BG137" i="13" s="1"/>
  <c r="BF137" i="13" s="1"/>
  <c r="BE137" i="13" s="1"/>
  <c r="BD137" i="13" s="1"/>
  <c r="BZ137" i="13"/>
  <c r="BY137" i="13" s="1"/>
  <c r="BX137" i="13" s="1"/>
  <c r="BW137" i="13" s="1"/>
  <c r="BV137" i="13" s="1"/>
  <c r="BC137" i="13"/>
  <c r="BB137" i="13" s="1"/>
  <c r="BA137" i="13" s="1"/>
  <c r="AZ137" i="13" s="1"/>
  <c r="AY137" i="13" s="1"/>
  <c r="IB17" i="13"/>
  <c r="ID17" i="13" s="1"/>
  <c r="IE17" i="13" s="1"/>
  <c r="BZ17" i="13" s="1"/>
  <c r="BY17" i="13" s="1"/>
  <c r="BX17" i="13" s="1"/>
  <c r="BW17" i="13" s="1"/>
  <c r="BV17" i="13" s="1"/>
  <c r="HD17" i="13"/>
  <c r="HF17" i="13" s="1"/>
  <c r="HG17" i="13" s="1"/>
  <c r="HT17" i="13"/>
  <c r="HV17" i="13" s="1"/>
  <c r="HW17" i="13" s="1"/>
  <c r="BC17" i="13" s="1"/>
  <c r="BB17" i="13" s="1"/>
  <c r="HL17" i="13"/>
  <c r="HN17" i="13" s="1"/>
  <c r="HO17" i="13" s="1"/>
  <c r="JO64" i="13"/>
  <c r="KF64" i="13"/>
  <c r="HT136" i="13"/>
  <c r="HV136" i="13" s="1"/>
  <c r="HW136" i="13" s="1"/>
  <c r="HD136" i="13"/>
  <c r="HF136" i="13" s="1"/>
  <c r="HG136" i="13" s="1"/>
  <c r="IB136" i="13"/>
  <c r="ID136" i="13" s="1"/>
  <c r="IE136" i="13" s="1"/>
  <c r="HL136" i="13"/>
  <c r="HN136" i="13" s="1"/>
  <c r="HO136" i="13" s="1"/>
  <c r="BZ196" i="13"/>
  <c r="BY196" i="13" s="1"/>
  <c r="BX196" i="13" s="1"/>
  <c r="BW196" i="13" s="1"/>
  <c r="BV196" i="13" s="1"/>
  <c r="BH196" i="13"/>
  <c r="BG196" i="13" s="1"/>
  <c r="BF196" i="13" s="1"/>
  <c r="BE196" i="13" s="1"/>
  <c r="BD196" i="13" s="1"/>
  <c r="AX196" i="13"/>
  <c r="AW196" i="13" s="1"/>
  <c r="AV196" i="13" s="1"/>
  <c r="AU196" i="13" s="1"/>
  <c r="AT196" i="13" s="1"/>
  <c r="CE196" i="13"/>
  <c r="CD196" i="13" s="1"/>
  <c r="CC196" i="13" s="1"/>
  <c r="CB196" i="13" s="1"/>
  <c r="CA196" i="13" s="1"/>
  <c r="AS196" i="13"/>
  <c r="AR196" i="13" s="1"/>
  <c r="AQ196" i="13" s="1"/>
  <c r="AP196" i="13" s="1"/>
  <c r="AO196" i="13" s="1"/>
  <c r="AL196" i="13" s="1"/>
  <c r="BP196" i="13"/>
  <c r="BO196" i="13" s="1"/>
  <c r="BN196" i="13" s="1"/>
  <c r="BM196" i="13" s="1"/>
  <c r="BL196" i="13" s="1"/>
  <c r="BU196" i="13"/>
  <c r="BT196" i="13" s="1"/>
  <c r="BS196" i="13" s="1"/>
  <c r="BR196" i="13" s="1"/>
  <c r="BQ196" i="13" s="1"/>
  <c r="BC196" i="13"/>
  <c r="BB196" i="13" s="1"/>
  <c r="BA196" i="13" s="1"/>
  <c r="AZ196" i="13" s="1"/>
  <c r="AY196" i="13" s="1"/>
  <c r="JO72" i="13"/>
  <c r="KF72" i="13"/>
  <c r="LF108" i="13"/>
  <c r="LH108" i="13" s="1"/>
  <c r="KX108" i="13"/>
  <c r="KZ108" i="13" s="1"/>
  <c r="LA108" i="13" s="1"/>
  <c r="KP108" i="13"/>
  <c r="KR108" i="13" s="1"/>
  <c r="KS108" i="13" s="1"/>
  <c r="LN108" i="13"/>
  <c r="JO130" i="13"/>
  <c r="KG130" i="13" s="1"/>
  <c r="KF130" i="13"/>
  <c r="NW214" i="13"/>
  <c r="NX214" i="13"/>
  <c r="NS138" i="13"/>
  <c r="HS138" i="13"/>
  <c r="NL138" i="13" s="1"/>
  <c r="NK138" i="13"/>
  <c r="NY138" i="13"/>
  <c r="GP178" i="13"/>
  <c r="NI37" i="13"/>
  <c r="KL37" i="13"/>
  <c r="KN37" i="13" s="1"/>
  <c r="KO37" i="13" s="1"/>
  <c r="DH127" i="13"/>
  <c r="DG127" i="13" s="1"/>
  <c r="LR63" i="13"/>
  <c r="LT63" i="13" s="1"/>
  <c r="LU63" i="13" s="1"/>
  <c r="LB63" i="13"/>
  <c r="LD63" i="13" s="1"/>
  <c r="LE63" i="13" s="1"/>
  <c r="DZ63" i="13" s="1"/>
  <c r="DY63" i="13" s="1"/>
  <c r="DX63" i="13" s="1"/>
  <c r="DW63" i="13" s="1"/>
  <c r="DV63" i="13" s="1"/>
  <c r="LJ63" i="13"/>
  <c r="LL63" i="13" s="1"/>
  <c r="LM63" i="13" s="1"/>
  <c r="KT63" i="13"/>
  <c r="KV63" i="13" s="1"/>
  <c r="KW63" i="13" s="1"/>
  <c r="NX91" i="13"/>
  <c r="NW91" i="13"/>
  <c r="JO192" i="13"/>
  <c r="KF192" i="13"/>
  <c r="IB180" i="13"/>
  <c r="ID180" i="13" s="1"/>
  <c r="IE180" i="13" s="1"/>
  <c r="HD180" i="13"/>
  <c r="HF180" i="13" s="1"/>
  <c r="HG180" i="13" s="1"/>
  <c r="HL180" i="13"/>
  <c r="HN180" i="13" s="1"/>
  <c r="HO180" i="13" s="1"/>
  <c r="HT180" i="13"/>
  <c r="HV180" i="13" s="1"/>
  <c r="HW180" i="13" s="1"/>
  <c r="BP118" i="13"/>
  <c r="BO118" i="13" s="1"/>
  <c r="BN118" i="13" s="1"/>
  <c r="BM118" i="13" s="1"/>
  <c r="BL118" i="13" s="1"/>
  <c r="NN118" i="13"/>
  <c r="LR33" i="13"/>
  <c r="LT33" i="13" s="1"/>
  <c r="LU33" i="13" s="1"/>
  <c r="DU33" i="13" s="1"/>
  <c r="DT33" i="13" s="1"/>
  <c r="KT33" i="13"/>
  <c r="KV33" i="13" s="1"/>
  <c r="KW33" i="13" s="1"/>
  <c r="DB33" i="13" s="1"/>
  <c r="DA33" i="13" s="1"/>
  <c r="LJ33" i="13"/>
  <c r="LL33" i="13" s="1"/>
  <c r="LM33" i="13" s="1"/>
  <c r="CW33" i="13" s="1"/>
  <c r="CV33" i="13" s="1"/>
  <c r="LB33" i="13"/>
  <c r="LD33" i="13" s="1"/>
  <c r="LE33" i="13" s="1"/>
  <c r="DZ33" i="13" s="1"/>
  <c r="DY33" i="13" s="1"/>
  <c r="NX112" i="13"/>
  <c r="NW112" i="13"/>
  <c r="NX208" i="13"/>
  <c r="NW208" i="13"/>
  <c r="LB23" i="13"/>
  <c r="LD23" i="13" s="1"/>
  <c r="LE23" i="13" s="1"/>
  <c r="DZ23" i="13" s="1"/>
  <c r="DY23" i="13" s="1"/>
  <c r="DX23" i="13" s="1"/>
  <c r="DW23" i="13" s="1"/>
  <c r="DV23" i="13" s="1"/>
  <c r="LJ23" i="13"/>
  <c r="LL23" i="13" s="1"/>
  <c r="LM23" i="13" s="1"/>
  <c r="CW23" i="13" s="1"/>
  <c r="CV23" i="13" s="1"/>
  <c r="CU23" i="13" s="1"/>
  <c r="CT23" i="13" s="1"/>
  <c r="CS23" i="13" s="1"/>
  <c r="KT23" i="13"/>
  <c r="KV23" i="13" s="1"/>
  <c r="KW23" i="13" s="1"/>
  <c r="DB23" i="13" s="1"/>
  <c r="DA23" i="13" s="1"/>
  <c r="CZ23" i="13" s="1"/>
  <c r="CY23" i="13" s="1"/>
  <c r="CX23" i="13" s="1"/>
  <c r="LR23" i="13"/>
  <c r="LT23" i="13" s="1"/>
  <c r="LU23" i="13" s="1"/>
  <c r="DU23" i="13" s="1"/>
  <c r="DT23" i="13" s="1"/>
  <c r="DS23" i="13" s="1"/>
  <c r="DR23" i="13" s="1"/>
  <c r="DQ23" i="13" s="1"/>
  <c r="BF184" i="13"/>
  <c r="BE184" i="13" s="1"/>
  <c r="BD184" i="13" s="1"/>
  <c r="NU106" i="13"/>
  <c r="NO106" i="13"/>
  <c r="LI106" i="13"/>
  <c r="NP106" i="13" s="1"/>
  <c r="AV100" i="13"/>
  <c r="AU100" i="13" s="1"/>
  <c r="AT100" i="13" s="1"/>
  <c r="BX172" i="13"/>
  <c r="BW172" i="13" s="1"/>
  <c r="BV172" i="13" s="1"/>
  <c r="KG51" i="13"/>
  <c r="NX51" i="13"/>
  <c r="NW51" i="13"/>
  <c r="BH159" i="13"/>
  <c r="BG159" i="13" s="1"/>
  <c r="BF159" i="13" s="1"/>
  <c r="BE159" i="13" s="1"/>
  <c r="BD159" i="13" s="1"/>
  <c r="CE159" i="13"/>
  <c r="CD159" i="13" s="1"/>
  <c r="CC159" i="13" s="1"/>
  <c r="CB159" i="13" s="1"/>
  <c r="CA159" i="13" s="1"/>
  <c r="BU159" i="13"/>
  <c r="BT159" i="13" s="1"/>
  <c r="BS159" i="13" s="1"/>
  <c r="BR159" i="13" s="1"/>
  <c r="BQ159" i="13" s="1"/>
  <c r="BC159" i="13"/>
  <c r="BB159" i="13" s="1"/>
  <c r="BA159" i="13" s="1"/>
  <c r="AZ159" i="13" s="1"/>
  <c r="AY159" i="13" s="1"/>
  <c r="BP159" i="13"/>
  <c r="BO159" i="13" s="1"/>
  <c r="BN159" i="13" s="1"/>
  <c r="BM159" i="13" s="1"/>
  <c r="BL159" i="13" s="1"/>
  <c r="AX159" i="13"/>
  <c r="AW159" i="13" s="1"/>
  <c r="AV159" i="13" s="1"/>
  <c r="AU159" i="13" s="1"/>
  <c r="AT159" i="13" s="1"/>
  <c r="AS159" i="13"/>
  <c r="AR159" i="13" s="1"/>
  <c r="AQ159" i="13" s="1"/>
  <c r="AP159" i="13" s="1"/>
  <c r="AO159" i="13" s="1"/>
  <c r="AL159" i="13" s="1"/>
  <c r="BZ159" i="13"/>
  <c r="BY159" i="13" s="1"/>
  <c r="BX159" i="13" s="1"/>
  <c r="BW159" i="13" s="1"/>
  <c r="BV159" i="13" s="1"/>
  <c r="NV175" i="13"/>
  <c r="NQ175" i="13"/>
  <c r="LP175" i="13"/>
  <c r="LQ175" i="13" s="1"/>
  <c r="DK175" i="13" s="1"/>
  <c r="DJ175" i="13" s="1"/>
  <c r="DI175" i="13" s="1"/>
  <c r="DH175" i="13" s="1"/>
  <c r="DG175" i="13" s="1"/>
  <c r="GP125" i="13"/>
  <c r="NX12" i="13"/>
  <c r="NW12" i="13"/>
  <c r="JK83" i="13"/>
  <c r="NN205" i="13"/>
  <c r="LN98" i="13"/>
  <c r="LF98" i="13"/>
  <c r="LH98" i="13" s="1"/>
  <c r="KX98" i="13"/>
  <c r="KZ98" i="13" s="1"/>
  <c r="LA98" i="13" s="1"/>
  <c r="KP98" i="13"/>
  <c r="KR98" i="13" s="1"/>
  <c r="KS98" i="13" s="1"/>
  <c r="BX129" i="13"/>
  <c r="BW129" i="13" s="1"/>
  <c r="BV129" i="13" s="1"/>
  <c r="NS70" i="13"/>
  <c r="HS70" i="13"/>
  <c r="NK70" i="13"/>
  <c r="NY70" i="13"/>
  <c r="CE147" i="13"/>
  <c r="CD147" i="13" s="1"/>
  <c r="CC147" i="13" s="1"/>
  <c r="CB147" i="13" s="1"/>
  <c r="CA147" i="13" s="1"/>
  <c r="BH147" i="13"/>
  <c r="BG147" i="13" s="1"/>
  <c r="BF147" i="13" s="1"/>
  <c r="BE147" i="13" s="1"/>
  <c r="BD147" i="13" s="1"/>
  <c r="BU91" i="13"/>
  <c r="BT91" i="13" s="1"/>
  <c r="BS91" i="13" s="1"/>
  <c r="BR91" i="13" s="1"/>
  <c r="BQ91" i="13" s="1"/>
  <c r="BP91" i="13"/>
  <c r="BO91" i="13" s="1"/>
  <c r="BN91" i="13" s="1"/>
  <c r="BM91" i="13" s="1"/>
  <c r="BL91" i="13" s="1"/>
  <c r="CE91" i="13"/>
  <c r="CD91" i="13" s="1"/>
  <c r="CC91" i="13" s="1"/>
  <c r="CB91" i="13" s="1"/>
  <c r="CA91" i="13" s="1"/>
  <c r="AS91" i="13"/>
  <c r="AR91" i="13" s="1"/>
  <c r="AQ91" i="13" s="1"/>
  <c r="AP91" i="13" s="1"/>
  <c r="AO91" i="13" s="1"/>
  <c r="AL91" i="13" s="1"/>
  <c r="BH91" i="13"/>
  <c r="BG91" i="13" s="1"/>
  <c r="BF91" i="13" s="1"/>
  <c r="BE91" i="13" s="1"/>
  <c r="BD91" i="13" s="1"/>
  <c r="BZ91" i="13"/>
  <c r="BY91" i="13" s="1"/>
  <c r="BX91" i="13" s="1"/>
  <c r="BW91" i="13" s="1"/>
  <c r="BV91" i="13" s="1"/>
  <c r="BC91" i="13"/>
  <c r="BB91" i="13" s="1"/>
  <c r="BA91" i="13" s="1"/>
  <c r="AZ91" i="13" s="1"/>
  <c r="AY91" i="13" s="1"/>
  <c r="AX91" i="13"/>
  <c r="AW91" i="13" s="1"/>
  <c r="AV91" i="13" s="1"/>
  <c r="AU91" i="13" s="1"/>
  <c r="AT91" i="13" s="1"/>
  <c r="KP161" i="13"/>
  <c r="KR161" i="13" s="1"/>
  <c r="KS161" i="13" s="1"/>
  <c r="LN161" i="13"/>
  <c r="LF161" i="13"/>
  <c r="LH161" i="13" s="1"/>
  <c r="KX161" i="13"/>
  <c r="KZ161" i="13" s="1"/>
  <c r="LA161" i="13" s="1"/>
  <c r="IB186" i="13"/>
  <c r="ID186" i="13" s="1"/>
  <c r="IE186" i="13" s="1"/>
  <c r="HL186" i="13"/>
  <c r="HN186" i="13" s="1"/>
  <c r="HO186" i="13" s="1"/>
  <c r="HT186" i="13"/>
  <c r="HV186" i="13" s="1"/>
  <c r="HW186" i="13" s="1"/>
  <c r="HD186" i="13"/>
  <c r="HF186" i="13" s="1"/>
  <c r="HG186" i="13" s="1"/>
  <c r="BS166" i="13"/>
  <c r="BR166" i="13" s="1"/>
  <c r="BQ166" i="13" s="1"/>
  <c r="NX86" i="13"/>
  <c r="NW86" i="13"/>
  <c r="KX153" i="13"/>
  <c r="KZ153" i="13" s="1"/>
  <c r="LA153" i="13" s="1"/>
  <c r="KP153" i="13"/>
  <c r="KR153" i="13" s="1"/>
  <c r="KS153" i="13" s="1"/>
  <c r="LF153" i="13"/>
  <c r="LH153" i="13" s="1"/>
  <c r="LN153" i="13"/>
  <c r="BX19" i="13"/>
  <c r="BW19" i="13" s="1"/>
  <c r="BV19" i="13" s="1"/>
  <c r="NN166" i="13"/>
  <c r="HD70" i="13"/>
  <c r="HF70" i="13" s="1"/>
  <c r="HG70" i="13" s="1"/>
  <c r="HT70" i="13"/>
  <c r="HV70" i="13" s="1"/>
  <c r="HW70" i="13" s="1"/>
  <c r="HL70" i="13"/>
  <c r="HN70" i="13" s="1"/>
  <c r="HO70" i="13" s="1"/>
  <c r="IB70" i="13"/>
  <c r="ID70" i="13" s="1"/>
  <c r="IE70" i="13" s="1"/>
  <c r="BX40" i="13"/>
  <c r="BW40" i="13" s="1"/>
  <c r="BV40" i="13" s="1"/>
  <c r="NI96" i="13"/>
  <c r="KL96" i="13"/>
  <c r="KN96" i="13" s="1"/>
  <c r="KO96" i="13" s="1"/>
  <c r="HS177" i="13"/>
  <c r="NL177" i="13" s="1"/>
  <c r="NK177" i="13"/>
  <c r="NY177" i="13"/>
  <c r="NS177" i="13"/>
  <c r="AV39" i="13"/>
  <c r="AU39" i="13" s="1"/>
  <c r="AT39" i="13" s="1"/>
  <c r="BU116" i="13"/>
  <c r="BT116" i="13" s="1"/>
  <c r="BS116" i="13" s="1"/>
  <c r="BR116" i="13" s="1"/>
  <c r="BQ116" i="13" s="1"/>
  <c r="BP116" i="13"/>
  <c r="BO116" i="13" s="1"/>
  <c r="BN116" i="13" s="1"/>
  <c r="BM116" i="13" s="1"/>
  <c r="BL116" i="13" s="1"/>
  <c r="AX116" i="13"/>
  <c r="AW116" i="13" s="1"/>
  <c r="AV116" i="13" s="1"/>
  <c r="AU116" i="13" s="1"/>
  <c r="AT116" i="13" s="1"/>
  <c r="CE116" i="13"/>
  <c r="CD116" i="13" s="1"/>
  <c r="CC116" i="13" s="1"/>
  <c r="CB116" i="13" s="1"/>
  <c r="CA116" i="13" s="1"/>
  <c r="AS116" i="13"/>
  <c r="AR116" i="13" s="1"/>
  <c r="AQ116" i="13" s="1"/>
  <c r="AP116" i="13" s="1"/>
  <c r="AO116" i="13" s="1"/>
  <c r="AL116" i="13" s="1"/>
  <c r="BH116" i="13"/>
  <c r="BG116" i="13" s="1"/>
  <c r="BF116" i="13" s="1"/>
  <c r="BE116" i="13" s="1"/>
  <c r="BD116" i="13" s="1"/>
  <c r="BZ116" i="13"/>
  <c r="BY116" i="13" s="1"/>
  <c r="BX116" i="13" s="1"/>
  <c r="BW116" i="13" s="1"/>
  <c r="BV116" i="13" s="1"/>
  <c r="BC116" i="13"/>
  <c r="BB116" i="13" s="1"/>
  <c r="BA116" i="13" s="1"/>
  <c r="AZ116" i="13" s="1"/>
  <c r="AY116" i="13" s="1"/>
  <c r="AS12" i="13"/>
  <c r="AR12" i="13" s="1"/>
  <c r="AQ12" i="13" s="1"/>
  <c r="AP12" i="13" s="1"/>
  <c r="AO12" i="13" s="1"/>
  <c r="AL12" i="13" s="1"/>
  <c r="NQ128" i="13"/>
  <c r="LP128" i="13"/>
  <c r="LQ128" i="13" s="1"/>
  <c r="NV128" i="13"/>
  <c r="NR19" i="13"/>
  <c r="DK19" i="13"/>
  <c r="DJ19" i="13" s="1"/>
  <c r="DI19" i="13" s="1"/>
  <c r="DH19" i="13" s="1"/>
  <c r="DG19" i="13" s="1"/>
  <c r="NQ201" i="13"/>
  <c r="LP201" i="13"/>
  <c r="LQ201" i="13" s="1"/>
  <c r="NV201" i="13"/>
  <c r="CC146" i="13"/>
  <c r="CB146" i="13" s="1"/>
  <c r="CA146" i="13" s="1"/>
  <c r="NX210" i="13"/>
  <c r="NW210" i="13"/>
  <c r="AV135" i="13"/>
  <c r="AU135" i="13" s="1"/>
  <c r="AT135" i="13" s="1"/>
  <c r="NG88" i="13"/>
  <c r="KH88" i="13" s="1"/>
  <c r="KJ88" i="13" s="1"/>
  <c r="KK88" i="13" s="1"/>
  <c r="NH88" i="13"/>
  <c r="NF88" i="13"/>
  <c r="JL88" i="13"/>
  <c r="JN88" i="13" s="1"/>
  <c r="CC148" i="13"/>
  <c r="CB148" i="13" s="1"/>
  <c r="CA148" i="13" s="1"/>
  <c r="BX58" i="13"/>
  <c r="BW58" i="13" s="1"/>
  <c r="BV58" i="13" s="1"/>
  <c r="LI155" i="13"/>
  <c r="NP155" i="13" s="1"/>
  <c r="NU155" i="13"/>
  <c r="NO155" i="13"/>
  <c r="LR211" i="13"/>
  <c r="LT211" i="13" s="1"/>
  <c r="LU211" i="13" s="1"/>
  <c r="DU211" i="13" s="1"/>
  <c r="DT211" i="13" s="1"/>
  <c r="DS211" i="13" s="1"/>
  <c r="DR211" i="13" s="1"/>
  <c r="DQ211" i="13" s="1"/>
  <c r="LJ211" i="13"/>
  <c r="LL211" i="13" s="1"/>
  <c r="LM211" i="13" s="1"/>
  <c r="LB211" i="13"/>
  <c r="LD211" i="13" s="1"/>
  <c r="LE211" i="13" s="1"/>
  <c r="KT211" i="13"/>
  <c r="KV211" i="13" s="1"/>
  <c r="KW211" i="13" s="1"/>
  <c r="E14" i="13"/>
  <c r="HH14" i="13"/>
  <c r="HJ14" i="13" s="1"/>
  <c r="HK14" i="13" s="1"/>
  <c r="BU14" i="13" s="1"/>
  <c r="BT14" i="13" s="1"/>
  <c r="GZ14" i="13"/>
  <c r="HB14" i="13" s="1"/>
  <c r="HC14" i="13" s="1"/>
  <c r="HP14" i="13"/>
  <c r="HR14" i="13" s="1"/>
  <c r="HX14" i="13"/>
  <c r="HZ14" i="13" s="1"/>
  <c r="BS18" i="13"/>
  <c r="BR18" i="13" s="1"/>
  <c r="BQ18" i="13" s="1"/>
  <c r="NS17" i="13"/>
  <c r="HS17" i="13"/>
  <c r="NK17" i="13"/>
  <c r="NY17" i="13"/>
  <c r="AS190" i="13"/>
  <c r="AR190" i="13" s="1"/>
  <c r="AQ190" i="13" s="1"/>
  <c r="AP190" i="13" s="1"/>
  <c r="AO190" i="13" s="1"/>
  <c r="AL190" i="13" s="1"/>
  <c r="JO167" i="13"/>
  <c r="KG167" i="13" s="1"/>
  <c r="KF167" i="13"/>
  <c r="BS118" i="13"/>
  <c r="BR118" i="13" s="1"/>
  <c r="BQ118" i="13" s="1"/>
  <c r="NX209" i="13"/>
  <c r="NW209" i="13"/>
  <c r="DP143" i="13"/>
  <c r="DO143" i="13" s="1"/>
  <c r="DB143" i="13"/>
  <c r="DA143" i="13" s="1"/>
  <c r="DZ143" i="13"/>
  <c r="DY143" i="13" s="1"/>
  <c r="CW143" i="13"/>
  <c r="CV143" i="13" s="1"/>
  <c r="CR143" i="13"/>
  <c r="CQ143" i="13" s="1"/>
  <c r="DU143" i="13"/>
  <c r="DT143" i="13" s="1"/>
  <c r="NH209" i="13"/>
  <c r="NG209" i="13"/>
  <c r="KH209" i="13" s="1"/>
  <c r="KJ209" i="13" s="1"/>
  <c r="KK209" i="13" s="1"/>
  <c r="NF209" i="13"/>
  <c r="JL209" i="13"/>
  <c r="JN209" i="13" s="1"/>
  <c r="BX28" i="13"/>
  <c r="BW28" i="13" s="1"/>
  <c r="BV28" i="13" s="1"/>
  <c r="CM174" i="13"/>
  <c r="CL174" i="13" s="1"/>
  <c r="CK174" i="13" s="1"/>
  <c r="CJ174" i="13" s="1"/>
  <c r="CI174" i="13" s="1"/>
  <c r="CW174" i="13"/>
  <c r="CV174" i="13" s="1"/>
  <c r="CU174" i="13" s="1"/>
  <c r="CT174" i="13" s="1"/>
  <c r="CS174" i="13" s="1"/>
  <c r="DP174" i="13"/>
  <c r="DO174" i="13" s="1"/>
  <c r="DN174" i="13" s="1"/>
  <c r="DM174" i="13" s="1"/>
  <c r="DL174" i="13" s="1"/>
  <c r="DK174" i="13"/>
  <c r="DJ174" i="13" s="1"/>
  <c r="DI174" i="13" s="1"/>
  <c r="DH174" i="13" s="1"/>
  <c r="DG174" i="13" s="1"/>
  <c r="DZ174" i="13"/>
  <c r="DY174" i="13" s="1"/>
  <c r="DX174" i="13" s="1"/>
  <c r="DW174" i="13" s="1"/>
  <c r="DV174" i="13" s="1"/>
  <c r="CR174" i="13"/>
  <c r="CQ174" i="13" s="1"/>
  <c r="CP174" i="13" s="1"/>
  <c r="CO174" i="13" s="1"/>
  <c r="CN174" i="13" s="1"/>
  <c r="DB174" i="13"/>
  <c r="DA174" i="13" s="1"/>
  <c r="CZ174" i="13" s="1"/>
  <c r="CY174" i="13" s="1"/>
  <c r="CX174" i="13" s="1"/>
  <c r="JK144" i="13"/>
  <c r="NI156" i="13"/>
  <c r="KL156" i="13"/>
  <c r="KN156" i="13" s="1"/>
  <c r="KO156" i="13" s="1"/>
  <c r="BS83" i="13"/>
  <c r="BR83" i="13" s="1"/>
  <c r="BQ83" i="13" s="1"/>
  <c r="BX74" i="13"/>
  <c r="BW74" i="13" s="1"/>
  <c r="BV74" i="13" s="1"/>
  <c r="NX133" i="13"/>
  <c r="NW133" i="13"/>
  <c r="LN64" i="13"/>
  <c r="KP64" i="13"/>
  <c r="KR64" i="13" s="1"/>
  <c r="KS64" i="13" s="1"/>
  <c r="LF64" i="13"/>
  <c r="LH64" i="13" s="1"/>
  <c r="KX64" i="13"/>
  <c r="KZ64" i="13" s="1"/>
  <c r="LA64" i="13" s="1"/>
  <c r="NV65" i="13"/>
  <c r="NQ65" i="13"/>
  <c r="LP65" i="13"/>
  <c r="LQ65" i="13" s="1"/>
  <c r="NR65" i="13" s="1"/>
  <c r="LF13" i="13"/>
  <c r="LH13" i="13" s="1"/>
  <c r="KP13" i="13"/>
  <c r="KR13" i="13" s="1"/>
  <c r="KS13" i="13" s="1"/>
  <c r="KX13" i="13"/>
  <c r="KZ13" i="13" s="1"/>
  <c r="LA13" i="13" s="1"/>
  <c r="DP13" i="13" s="1"/>
  <c r="DO13" i="13" s="1"/>
  <c r="LN13" i="13"/>
  <c r="JO69" i="13"/>
  <c r="KG69" i="13" s="1"/>
  <c r="KF69" i="13"/>
  <c r="NH170" i="13"/>
  <c r="NG170" i="13"/>
  <c r="KH170" i="13" s="1"/>
  <c r="KJ170" i="13" s="1"/>
  <c r="KK170" i="13" s="1"/>
  <c r="NF170" i="13"/>
  <c r="JL170" i="13"/>
  <c r="JN170" i="13" s="1"/>
  <c r="JK138" i="13"/>
  <c r="GP115" i="13"/>
  <c r="NI72" i="13"/>
  <c r="KL72" i="13"/>
  <c r="KN72" i="13" s="1"/>
  <c r="KO72" i="13" s="1"/>
  <c r="NH132" i="13"/>
  <c r="NG132" i="13"/>
  <c r="KH132" i="13" s="1"/>
  <c r="KJ132" i="13" s="1"/>
  <c r="KK132" i="13" s="1"/>
  <c r="NF132" i="13"/>
  <c r="JL132" i="13"/>
  <c r="JN132" i="13" s="1"/>
  <c r="JK79" i="13"/>
  <c r="NI130" i="13"/>
  <c r="KL130" i="13"/>
  <c r="KN130" i="13" s="1"/>
  <c r="KO130" i="13" s="1"/>
  <c r="NM138" i="13"/>
  <c r="IA138" i="13"/>
  <c r="NN138" i="13" s="1"/>
  <c r="NT138" i="13"/>
  <c r="JO58" i="13"/>
  <c r="KF58" i="13"/>
  <c r="JK130" i="13"/>
  <c r="CE62" i="13"/>
  <c r="CD62" i="13" s="1"/>
  <c r="CC62" i="13" s="1"/>
  <c r="CB62" i="13" s="1"/>
  <c r="CA62" i="13" s="1"/>
  <c r="BP169" i="13"/>
  <c r="BO169" i="13" s="1"/>
  <c r="BN169" i="13" s="1"/>
  <c r="BM169" i="13" s="1"/>
  <c r="BL169" i="13" s="1"/>
  <c r="NV164" i="13"/>
  <c r="NQ164" i="13"/>
  <c r="LP164" i="13"/>
  <c r="LQ164" i="13" s="1"/>
  <c r="NI192" i="13"/>
  <c r="KL192" i="13"/>
  <c r="KN192" i="13" s="1"/>
  <c r="KO192" i="13" s="1"/>
  <c r="CR113" i="13"/>
  <c r="CQ113" i="13" s="1"/>
  <c r="DP113" i="13"/>
  <c r="DO113" i="13" s="1"/>
  <c r="NV63" i="13"/>
  <c r="NQ63" i="13"/>
  <c r="LP63" i="13"/>
  <c r="LQ63" i="13" s="1"/>
  <c r="NM79" i="13"/>
  <c r="IA79" i="13"/>
  <c r="NT79" i="13"/>
  <c r="BU189" i="13"/>
  <c r="BT189" i="13" s="1"/>
  <c r="BS189" i="13" s="1"/>
  <c r="BR189" i="13" s="1"/>
  <c r="BQ189" i="13" s="1"/>
  <c r="BC189" i="13"/>
  <c r="BB189" i="13" s="1"/>
  <c r="BA189" i="13" s="1"/>
  <c r="AZ189" i="13" s="1"/>
  <c r="AY189" i="13" s="1"/>
  <c r="BP189" i="13"/>
  <c r="BO189" i="13" s="1"/>
  <c r="BN189" i="13" s="1"/>
  <c r="BM189" i="13" s="1"/>
  <c r="BL189" i="13" s="1"/>
  <c r="AX189" i="13"/>
  <c r="AW189" i="13" s="1"/>
  <c r="AV189" i="13" s="1"/>
  <c r="AU189" i="13" s="1"/>
  <c r="AT189" i="13" s="1"/>
  <c r="CE189" i="13"/>
  <c r="CD189" i="13" s="1"/>
  <c r="CC189" i="13" s="1"/>
  <c r="CB189" i="13" s="1"/>
  <c r="CA189" i="13" s="1"/>
  <c r="AS189" i="13"/>
  <c r="AR189" i="13" s="1"/>
  <c r="AQ189" i="13" s="1"/>
  <c r="AP189" i="13" s="1"/>
  <c r="AO189" i="13" s="1"/>
  <c r="AL189" i="13" s="1"/>
  <c r="BZ189" i="13"/>
  <c r="BY189" i="13" s="1"/>
  <c r="BX189" i="13" s="1"/>
  <c r="BW189" i="13" s="1"/>
  <c r="BV189" i="13" s="1"/>
  <c r="BH189" i="13"/>
  <c r="BG189" i="13" s="1"/>
  <c r="BF189" i="13" s="1"/>
  <c r="BE189" i="13" s="1"/>
  <c r="BD189" i="13" s="1"/>
  <c r="NV106" i="13"/>
  <c r="LP106" i="13"/>
  <c r="LQ106" i="13" s="1"/>
  <c r="NR106" i="13" s="1"/>
  <c r="NQ106" i="13"/>
  <c r="LI91" i="13"/>
  <c r="NP91" i="13" s="1"/>
  <c r="NO91" i="13"/>
  <c r="NU91" i="13"/>
  <c r="LB171" i="13"/>
  <c r="LD171" i="13" s="1"/>
  <c r="LE171" i="13" s="1"/>
  <c r="DZ171" i="13" s="1"/>
  <c r="DY171" i="13" s="1"/>
  <c r="LJ171" i="13"/>
  <c r="LL171" i="13" s="1"/>
  <c r="LM171" i="13" s="1"/>
  <c r="CW171" i="13" s="1"/>
  <c r="CV171" i="13" s="1"/>
  <c r="KT171" i="13"/>
  <c r="KV171" i="13" s="1"/>
  <c r="KW171" i="13" s="1"/>
  <c r="DB171" i="13" s="1"/>
  <c r="DA171" i="13" s="1"/>
  <c r="CZ171" i="13" s="1"/>
  <c r="CY171" i="13" s="1"/>
  <c r="CX171" i="13" s="1"/>
  <c r="LR171" i="13"/>
  <c r="LT171" i="13" s="1"/>
  <c r="LU171" i="13" s="1"/>
  <c r="LI76" i="13"/>
  <c r="NP76" i="13" s="1"/>
  <c r="NU76" i="13"/>
  <c r="NO76" i="13"/>
  <c r="JO163" i="13"/>
  <c r="KF163" i="13"/>
  <c r="BN96" i="13"/>
  <c r="BM96" i="13" s="1"/>
  <c r="BL96" i="13" s="1"/>
  <c r="NH55" i="13"/>
  <c r="NG55" i="13"/>
  <c r="KH55" i="13" s="1"/>
  <c r="KJ55" i="13" s="1"/>
  <c r="KK55" i="13" s="1"/>
  <c r="NF55" i="13"/>
  <c r="JL55" i="13"/>
  <c r="JN55" i="13" s="1"/>
  <c r="AS185" i="13"/>
  <c r="AR185" i="13" s="1"/>
  <c r="AQ185" i="13" s="1"/>
  <c r="AP185" i="13" s="1"/>
  <c r="AO185" i="13" s="1"/>
  <c r="AL185" i="13" s="1"/>
  <c r="NV73" i="13"/>
  <c r="NQ73" i="13"/>
  <c r="LP73" i="13"/>
  <c r="LQ73" i="13" s="1"/>
  <c r="NR73" i="13" s="1"/>
  <c r="NW118" i="13"/>
  <c r="NX118" i="13"/>
  <c r="HT79" i="13"/>
  <c r="HV79" i="13" s="1"/>
  <c r="HW79" i="13" s="1"/>
  <c r="HD79" i="13"/>
  <c r="HF79" i="13" s="1"/>
  <c r="HG79" i="13" s="1"/>
  <c r="HL79" i="13"/>
  <c r="HN79" i="13" s="1"/>
  <c r="HO79" i="13" s="1"/>
  <c r="IB79" i="13"/>
  <c r="ID79" i="13" s="1"/>
  <c r="IE79" i="13" s="1"/>
  <c r="BU124" i="13"/>
  <c r="BT124" i="13" s="1"/>
  <c r="BS124" i="13" s="1"/>
  <c r="BR124" i="13" s="1"/>
  <c r="BQ124" i="13" s="1"/>
  <c r="BP124" i="13"/>
  <c r="BO124" i="13" s="1"/>
  <c r="BN124" i="13" s="1"/>
  <c r="BM124" i="13" s="1"/>
  <c r="BL124" i="13" s="1"/>
  <c r="AX124" i="13"/>
  <c r="AW124" i="13" s="1"/>
  <c r="AV124" i="13" s="1"/>
  <c r="AU124" i="13" s="1"/>
  <c r="AT124" i="13" s="1"/>
  <c r="CE124" i="13"/>
  <c r="CD124" i="13" s="1"/>
  <c r="CC124" i="13" s="1"/>
  <c r="CB124" i="13" s="1"/>
  <c r="CA124" i="13" s="1"/>
  <c r="AS124" i="13"/>
  <c r="AR124" i="13" s="1"/>
  <c r="AQ124" i="13" s="1"/>
  <c r="AP124" i="13" s="1"/>
  <c r="AO124" i="13" s="1"/>
  <c r="AL124" i="13" s="1"/>
  <c r="BH124" i="13"/>
  <c r="BG124" i="13" s="1"/>
  <c r="BF124" i="13" s="1"/>
  <c r="BE124" i="13" s="1"/>
  <c r="BD124" i="13" s="1"/>
  <c r="BZ124" i="13"/>
  <c r="BY124" i="13" s="1"/>
  <c r="BX124" i="13" s="1"/>
  <c r="BW124" i="13" s="1"/>
  <c r="BV124" i="13" s="1"/>
  <c r="BC124" i="13"/>
  <c r="BB124" i="13" s="1"/>
  <c r="BA124" i="13" s="1"/>
  <c r="AZ124" i="13" s="1"/>
  <c r="AY124" i="13" s="1"/>
  <c r="IA107" i="13"/>
  <c r="NN107" i="13" s="1"/>
  <c r="NT107" i="13"/>
  <c r="NM107" i="13"/>
  <c r="CC81" i="13"/>
  <c r="CB81" i="13" s="1"/>
  <c r="CA81" i="13" s="1"/>
  <c r="NX92" i="13"/>
  <c r="NW92" i="13"/>
  <c r="KX27" i="13"/>
  <c r="KZ27" i="13" s="1"/>
  <c r="LA27" i="13" s="1"/>
  <c r="DP27" i="13" s="1"/>
  <c r="DO27" i="13" s="1"/>
  <c r="LN27" i="13"/>
  <c r="LF27" i="13"/>
  <c r="LH27" i="13" s="1"/>
  <c r="KP27" i="13"/>
  <c r="KR27" i="13" s="1"/>
  <c r="KS27" i="13" s="1"/>
  <c r="NX77" i="13"/>
  <c r="NW77" i="13"/>
  <c r="LN93" i="13"/>
  <c r="LF93" i="13"/>
  <c r="LH93" i="13" s="1"/>
  <c r="KP93" i="13"/>
  <c r="KR93" i="13" s="1"/>
  <c r="KS93" i="13" s="1"/>
  <c r="KX93" i="13"/>
  <c r="KZ93" i="13" s="1"/>
  <c r="LA93" i="13" s="1"/>
  <c r="AV68" i="13"/>
  <c r="AU68" i="13" s="1"/>
  <c r="AT68" i="13" s="1"/>
  <c r="JK86" i="13"/>
  <c r="CC163" i="13"/>
  <c r="CB163" i="13" s="1"/>
  <c r="CA163" i="13" s="1"/>
  <c r="LF41" i="13"/>
  <c r="LH41" i="13" s="1"/>
  <c r="KX41" i="13"/>
  <c r="KZ41" i="13" s="1"/>
  <c r="LA41" i="13" s="1"/>
  <c r="KP41" i="13"/>
  <c r="KR41" i="13" s="1"/>
  <c r="KS41" i="13" s="1"/>
  <c r="LN41" i="13"/>
  <c r="LF82" i="13"/>
  <c r="LH82" i="13" s="1"/>
  <c r="KX82" i="13"/>
  <c r="KZ82" i="13" s="1"/>
  <c r="LA82" i="13" s="1"/>
  <c r="LN82" i="13"/>
  <c r="KP82" i="13"/>
  <c r="KR82" i="13" s="1"/>
  <c r="KS82" i="13" s="1"/>
  <c r="NX169" i="13"/>
  <c r="NW169" i="13"/>
  <c r="LB21" i="13"/>
  <c r="LD21" i="13" s="1"/>
  <c r="LE21" i="13" s="1"/>
  <c r="DZ21" i="13" s="1"/>
  <c r="DY21" i="13" s="1"/>
  <c r="DX21" i="13" s="1"/>
  <c r="DW21" i="13" s="1"/>
  <c r="DV21" i="13" s="1"/>
  <c r="LJ21" i="13"/>
  <c r="LL21" i="13" s="1"/>
  <c r="LM21" i="13" s="1"/>
  <c r="CW21" i="13" s="1"/>
  <c r="CV21" i="13" s="1"/>
  <c r="CU21" i="13" s="1"/>
  <c r="CT21" i="13" s="1"/>
  <c r="CS21" i="13" s="1"/>
  <c r="LR21" i="13"/>
  <c r="LT21" i="13" s="1"/>
  <c r="LU21" i="13" s="1"/>
  <c r="DU21" i="13" s="1"/>
  <c r="DT21" i="13" s="1"/>
  <c r="DS21" i="13" s="1"/>
  <c r="DR21" i="13" s="1"/>
  <c r="DQ21" i="13" s="1"/>
  <c r="KT21" i="13"/>
  <c r="KV21" i="13" s="1"/>
  <c r="KW21" i="13" s="1"/>
  <c r="DB21" i="13" s="1"/>
  <c r="DA21" i="13" s="1"/>
  <c r="CZ21" i="13" s="1"/>
  <c r="CY21" i="13" s="1"/>
  <c r="CX21" i="13" s="1"/>
  <c r="AX143" i="13"/>
  <c r="AW143" i="13" s="1"/>
  <c r="AV143" i="13" s="1"/>
  <c r="AU143" i="13" s="1"/>
  <c r="AT143" i="13" s="1"/>
  <c r="BZ143" i="13"/>
  <c r="BY143" i="13" s="1"/>
  <c r="BX143" i="13" s="1"/>
  <c r="BW143" i="13" s="1"/>
  <c r="BV143" i="13" s="1"/>
  <c r="AS143" i="13"/>
  <c r="AR143" i="13" s="1"/>
  <c r="AQ143" i="13" s="1"/>
  <c r="AP143" i="13" s="1"/>
  <c r="AO143" i="13" s="1"/>
  <c r="AL143" i="13" s="1"/>
  <c r="BU143" i="13"/>
  <c r="BT143" i="13" s="1"/>
  <c r="BS143" i="13" s="1"/>
  <c r="BR143" i="13" s="1"/>
  <c r="BQ143" i="13" s="1"/>
  <c r="CE143" i="13"/>
  <c r="CD143" i="13" s="1"/>
  <c r="CC143" i="13" s="1"/>
  <c r="CB143" i="13" s="1"/>
  <c r="CA143" i="13" s="1"/>
  <c r="BH143" i="13"/>
  <c r="BG143" i="13" s="1"/>
  <c r="BF143" i="13" s="1"/>
  <c r="BE143" i="13" s="1"/>
  <c r="BD143" i="13" s="1"/>
  <c r="BC143" i="13"/>
  <c r="BB143" i="13" s="1"/>
  <c r="BA143" i="13" s="1"/>
  <c r="AZ143" i="13" s="1"/>
  <c r="AY143" i="13" s="1"/>
  <c r="BP143" i="13"/>
  <c r="BO143" i="13" s="1"/>
  <c r="BN143" i="13" s="1"/>
  <c r="BM143" i="13" s="1"/>
  <c r="BL143" i="13" s="1"/>
  <c r="NU105" i="13"/>
  <c r="NO105" i="13"/>
  <c r="LI105" i="13"/>
  <c r="NP105" i="13" s="1"/>
  <c r="NO80" i="13"/>
  <c r="LI80" i="13"/>
  <c r="NP80" i="13" s="1"/>
  <c r="NU80" i="13"/>
  <c r="JO208" i="13"/>
  <c r="KG208" i="13" s="1"/>
  <c r="KF208" i="13"/>
  <c r="JO205" i="13"/>
  <c r="KG205" i="13" s="1"/>
  <c r="KF205" i="13"/>
  <c r="BH188" i="13"/>
  <c r="BG188" i="13" s="1"/>
  <c r="BF188" i="13" s="1"/>
  <c r="BE188" i="13" s="1"/>
  <c r="BD188" i="13" s="1"/>
  <c r="LI24" i="13"/>
  <c r="NU24" i="13"/>
  <c r="NO24" i="13"/>
  <c r="CP24" i="13" s="1"/>
  <c r="CO24" i="13" s="1"/>
  <c r="CN24" i="13" s="1"/>
  <c r="BS39" i="13"/>
  <c r="BR39" i="13" s="1"/>
  <c r="BQ39" i="13" s="1"/>
  <c r="NX20" i="13"/>
  <c r="NW20" i="13"/>
  <c r="GP70" i="13"/>
  <c r="NL70" i="13"/>
  <c r="NW196" i="13"/>
  <c r="NX196" i="13"/>
  <c r="JK177" i="13"/>
  <c r="NO201" i="13"/>
  <c r="LI201" i="13"/>
  <c r="NP201" i="13" s="1"/>
  <c r="NU201" i="13"/>
  <c r="KT80" i="13"/>
  <c r="KV80" i="13" s="1"/>
  <c r="KW80" i="13" s="1"/>
  <c r="DB80" i="13" s="1"/>
  <c r="DA80" i="13" s="1"/>
  <c r="CZ80" i="13" s="1"/>
  <c r="CY80" i="13" s="1"/>
  <c r="CX80" i="13" s="1"/>
  <c r="LJ80" i="13"/>
  <c r="LL80" i="13" s="1"/>
  <c r="LM80" i="13" s="1"/>
  <c r="LB80" i="13"/>
  <c r="LD80" i="13" s="1"/>
  <c r="LE80" i="13" s="1"/>
  <c r="LR80" i="13"/>
  <c r="LT80" i="13" s="1"/>
  <c r="LU80" i="13" s="1"/>
  <c r="NX146" i="13"/>
  <c r="NW146" i="13"/>
  <c r="IB134" i="13"/>
  <c r="ID134" i="13" s="1"/>
  <c r="IE134" i="13" s="1"/>
  <c r="HL134" i="13"/>
  <c r="HN134" i="13" s="1"/>
  <c r="HO134" i="13" s="1"/>
  <c r="HT134" i="13"/>
  <c r="HV134" i="13" s="1"/>
  <c r="HW134" i="13" s="1"/>
  <c r="HD134" i="13"/>
  <c r="HF134" i="13" s="1"/>
  <c r="HG134" i="13" s="1"/>
  <c r="KT66" i="13"/>
  <c r="KV66" i="13" s="1"/>
  <c r="KW66" i="13" s="1"/>
  <c r="LJ66" i="13"/>
  <c r="LL66" i="13" s="1"/>
  <c r="LM66" i="13" s="1"/>
  <c r="LR66" i="13"/>
  <c r="LT66" i="13" s="1"/>
  <c r="LU66" i="13" s="1"/>
  <c r="LB66" i="13"/>
  <c r="LD66" i="13" s="1"/>
  <c r="LE66" i="13" s="1"/>
  <c r="DZ66" i="13" s="1"/>
  <c r="DY66" i="13" s="1"/>
  <c r="DX66" i="13" s="1"/>
  <c r="DW66" i="13" s="1"/>
  <c r="DV66" i="13" s="1"/>
  <c r="JK119" i="13"/>
  <c r="DP195" i="13"/>
  <c r="DO195" i="13" s="1"/>
  <c r="CR195" i="13"/>
  <c r="CQ195" i="13" s="1"/>
  <c r="JO45" i="13"/>
  <c r="KG45" i="13" s="1"/>
  <c r="KF45" i="13"/>
  <c r="AX30" i="13"/>
  <c r="AW30" i="13" s="1"/>
  <c r="BH18" i="13"/>
  <c r="BG18" i="13" s="1"/>
  <c r="BF18" i="13" s="1"/>
  <c r="BE18" i="13" s="1"/>
  <c r="BD18" i="13" s="1"/>
  <c r="LF42" i="13"/>
  <c r="LH42" i="13" s="1"/>
  <c r="KP42" i="13"/>
  <c r="KR42" i="13" s="1"/>
  <c r="KS42" i="13" s="1"/>
  <c r="KX42" i="13"/>
  <c r="KZ42" i="13" s="1"/>
  <c r="LA42" i="13" s="1"/>
  <c r="LN42" i="13"/>
  <c r="NU47" i="13"/>
  <c r="NO47" i="13"/>
  <c r="LI47" i="13"/>
  <c r="NP47" i="13" s="1"/>
  <c r="BH190" i="13"/>
  <c r="BG190" i="13" s="1"/>
  <c r="BF190" i="13" s="1"/>
  <c r="BE190" i="13" s="1"/>
  <c r="BD190" i="13" s="1"/>
  <c r="NI167" i="13"/>
  <c r="KL167" i="13"/>
  <c r="KN167" i="13" s="1"/>
  <c r="KO167" i="13" s="1"/>
  <c r="GP191" i="13"/>
  <c r="CC155" i="13"/>
  <c r="CB155" i="13" s="1"/>
  <c r="CA155" i="13" s="1"/>
  <c r="NW106" i="13"/>
  <c r="NX106" i="13"/>
  <c r="CC131" i="13"/>
  <c r="CB131" i="13" s="1"/>
  <c r="CA131" i="13" s="1"/>
  <c r="LN38" i="13"/>
  <c r="KP38" i="13"/>
  <c r="KR38" i="13" s="1"/>
  <c r="KS38" i="13" s="1"/>
  <c r="LF38" i="13"/>
  <c r="LH38" i="13" s="1"/>
  <c r="KX38" i="13"/>
  <c r="KZ38" i="13" s="1"/>
  <c r="LA38" i="13" s="1"/>
  <c r="NS136" i="13"/>
  <c r="HS136" i="13"/>
  <c r="NY136" i="13"/>
  <c r="NK136" i="13"/>
  <c r="CC34" i="13"/>
  <c r="CB34" i="13" s="1"/>
  <c r="CA34" i="13" s="1"/>
  <c r="JO203" i="13"/>
  <c r="KG203" i="13" s="1"/>
  <c r="KF203" i="13"/>
  <c r="DK154" i="13"/>
  <c r="DJ154" i="13" s="1"/>
  <c r="DI154" i="13" s="1"/>
  <c r="DH154" i="13" s="1"/>
  <c r="DG154" i="13" s="1"/>
  <c r="CR154" i="13"/>
  <c r="CQ154" i="13" s="1"/>
  <c r="CP154" i="13" s="1"/>
  <c r="CO154" i="13" s="1"/>
  <c r="CN154" i="13" s="1"/>
  <c r="DP154" i="13"/>
  <c r="DO154" i="13" s="1"/>
  <c r="DN154" i="13" s="1"/>
  <c r="DM154" i="13" s="1"/>
  <c r="DL154" i="13" s="1"/>
  <c r="HT115" i="13"/>
  <c r="HV115" i="13" s="1"/>
  <c r="HW115" i="13" s="1"/>
  <c r="HL115" i="13"/>
  <c r="HN115" i="13" s="1"/>
  <c r="HO115" i="13" s="1"/>
  <c r="HD115" i="13"/>
  <c r="HF115" i="13" s="1"/>
  <c r="HG115" i="13" s="1"/>
  <c r="IB115" i="13"/>
  <c r="ID115" i="13" s="1"/>
  <c r="IE115" i="13" s="1"/>
  <c r="BX32" i="13"/>
  <c r="BW32" i="13" s="1"/>
  <c r="BV32" i="13" s="1"/>
  <c r="AS202" i="13"/>
  <c r="AR202" i="13" s="1"/>
  <c r="AQ202" i="13" s="1"/>
  <c r="AP202" i="13" s="1"/>
  <c r="AO202" i="13" s="1"/>
  <c r="AL202" i="13" s="1"/>
  <c r="AX202" i="13"/>
  <c r="AW202" i="13" s="1"/>
  <c r="AV202" i="13" s="1"/>
  <c r="AU202" i="13" s="1"/>
  <c r="AT202" i="13" s="1"/>
  <c r="BZ202" i="13"/>
  <c r="BY202" i="13" s="1"/>
  <c r="BX202" i="13" s="1"/>
  <c r="BW202" i="13" s="1"/>
  <c r="BV202" i="13" s="1"/>
  <c r="BH202" i="13"/>
  <c r="BG202" i="13" s="1"/>
  <c r="BF202" i="13" s="1"/>
  <c r="BE202" i="13" s="1"/>
  <c r="BD202" i="13" s="1"/>
  <c r="BU202" i="13"/>
  <c r="BT202" i="13" s="1"/>
  <c r="BS202" i="13" s="1"/>
  <c r="BR202" i="13" s="1"/>
  <c r="BQ202" i="13" s="1"/>
  <c r="BC202" i="13"/>
  <c r="BB202" i="13" s="1"/>
  <c r="BA202" i="13" s="1"/>
  <c r="AZ202" i="13" s="1"/>
  <c r="AY202" i="13" s="1"/>
  <c r="CE202" i="13"/>
  <c r="CD202" i="13" s="1"/>
  <c r="CC202" i="13" s="1"/>
  <c r="CB202" i="13" s="1"/>
  <c r="CA202" i="13" s="1"/>
  <c r="BP202" i="13"/>
  <c r="BO202" i="13" s="1"/>
  <c r="BN202" i="13" s="1"/>
  <c r="BM202" i="13" s="1"/>
  <c r="BL202" i="13" s="1"/>
  <c r="DP60" i="13"/>
  <c r="DO60" i="13" s="1"/>
  <c r="DK60" i="13"/>
  <c r="DJ60" i="13" s="1"/>
  <c r="DI60" i="13" s="1"/>
  <c r="DH60" i="13" s="1"/>
  <c r="DG60" i="13" s="1"/>
  <c r="DZ60" i="13"/>
  <c r="DY60" i="13" s="1"/>
  <c r="CR60" i="13"/>
  <c r="CQ60" i="13" s="1"/>
  <c r="DB60" i="13"/>
  <c r="DA60" i="13" s="1"/>
  <c r="NH46" i="13"/>
  <c r="NG46" i="13"/>
  <c r="KH46" i="13" s="1"/>
  <c r="KJ46" i="13" s="1"/>
  <c r="KK46" i="13" s="1"/>
  <c r="NF46" i="13"/>
  <c r="JL46" i="13"/>
  <c r="JN46" i="13" s="1"/>
  <c r="NH86" i="13"/>
  <c r="NG86" i="13"/>
  <c r="KH86" i="13" s="1"/>
  <c r="KJ86" i="13" s="1"/>
  <c r="KK86" i="13" s="1"/>
  <c r="NF86" i="13"/>
  <c r="JL86" i="13"/>
  <c r="JN86" i="13" s="1"/>
  <c r="NH110" i="13"/>
  <c r="NG110" i="13"/>
  <c r="KH110" i="13" s="1"/>
  <c r="KJ110" i="13" s="1"/>
  <c r="KK110" i="13" s="1"/>
  <c r="NF110" i="13"/>
  <c r="JL110" i="13"/>
  <c r="JN110" i="13" s="1"/>
  <c r="JK56" i="13"/>
  <c r="NI64" i="13"/>
  <c r="KL64" i="13"/>
  <c r="KN64" i="13" s="1"/>
  <c r="KO64" i="13" s="1"/>
  <c r="NI69" i="13"/>
  <c r="KL69" i="13"/>
  <c r="KN69" i="13" s="1"/>
  <c r="KO69" i="13" s="1"/>
  <c r="KG147" i="13"/>
  <c r="BH139" i="13"/>
  <c r="BG139" i="13" s="1"/>
  <c r="BF139" i="13" s="1"/>
  <c r="BE139" i="13" s="1"/>
  <c r="BD139" i="13" s="1"/>
  <c r="LB173" i="13"/>
  <c r="LD173" i="13" s="1"/>
  <c r="LE173" i="13" s="1"/>
  <c r="DZ173" i="13" s="1"/>
  <c r="DY173" i="13" s="1"/>
  <c r="DX173" i="13" s="1"/>
  <c r="DW173" i="13" s="1"/>
  <c r="DV173" i="13" s="1"/>
  <c r="KT173" i="13"/>
  <c r="KV173" i="13" s="1"/>
  <c r="KW173" i="13" s="1"/>
  <c r="DB173" i="13" s="1"/>
  <c r="DA173" i="13" s="1"/>
  <c r="LJ173" i="13"/>
  <c r="LL173" i="13" s="1"/>
  <c r="LM173" i="13" s="1"/>
  <c r="CW173" i="13" s="1"/>
  <c r="CV173" i="13" s="1"/>
  <c r="LR173" i="13"/>
  <c r="LT173" i="13" s="1"/>
  <c r="LU173" i="13" s="1"/>
  <c r="DU173" i="13" s="1"/>
  <c r="DT173" i="13" s="1"/>
  <c r="DS173" i="13" s="1"/>
  <c r="DR173" i="13" s="1"/>
  <c r="DQ173" i="13" s="1"/>
  <c r="NH62" i="13"/>
  <c r="NG62" i="13"/>
  <c r="KH62" i="13" s="1"/>
  <c r="KJ62" i="13" s="1"/>
  <c r="KK62" i="13" s="1"/>
  <c r="NF62" i="13"/>
  <c r="JL62" i="13"/>
  <c r="JN62" i="13" s="1"/>
  <c r="NI58" i="13"/>
  <c r="KL58" i="13"/>
  <c r="KN58" i="13" s="1"/>
  <c r="KO58" i="13" s="1"/>
  <c r="NQ194" i="13"/>
  <c r="LP194" i="13"/>
  <c r="LQ194" i="13" s="1"/>
  <c r="NR194" i="13" s="1"/>
  <c r="NV194" i="13"/>
  <c r="NX97" i="13"/>
  <c r="NW97" i="13"/>
  <c r="LN37" i="13"/>
  <c r="KP37" i="13"/>
  <c r="KR37" i="13" s="1"/>
  <c r="KS37" i="13" s="1"/>
  <c r="LF37" i="13"/>
  <c r="LH37" i="13" s="1"/>
  <c r="KX37" i="13"/>
  <c r="KZ37" i="13" s="1"/>
  <c r="LA37" i="13" s="1"/>
  <c r="JK108" i="13"/>
  <c r="DM127" i="13"/>
  <c r="DL127" i="13" s="1"/>
  <c r="JK179" i="13"/>
  <c r="NX154" i="13"/>
  <c r="NW154" i="13"/>
  <c r="CR40" i="13"/>
  <c r="CQ40" i="13" s="1"/>
  <c r="CM40" i="13"/>
  <c r="CL40" i="13" s="1"/>
  <c r="DP40" i="13"/>
  <c r="DO40" i="13" s="1"/>
  <c r="DN40" i="13" s="1"/>
  <c r="DM40" i="13" s="1"/>
  <c r="DL40" i="13" s="1"/>
  <c r="KT51" i="13"/>
  <c r="KV51" i="13" s="1"/>
  <c r="KW51" i="13" s="1"/>
  <c r="LJ51" i="13"/>
  <c r="LL51" i="13" s="1"/>
  <c r="LM51" i="13" s="1"/>
  <c r="LB51" i="13"/>
  <c r="LD51" i="13" s="1"/>
  <c r="LE51" i="13" s="1"/>
  <c r="LR51" i="13"/>
  <c r="LT51" i="13" s="1"/>
  <c r="LU51" i="13" s="1"/>
  <c r="IB101" i="13"/>
  <c r="ID101" i="13" s="1"/>
  <c r="IE101" i="13" s="1"/>
  <c r="HT101" i="13"/>
  <c r="HV101" i="13" s="1"/>
  <c r="HW101" i="13" s="1"/>
  <c r="HL101" i="13"/>
  <c r="HN101" i="13" s="1"/>
  <c r="HO101" i="13" s="1"/>
  <c r="HD101" i="13"/>
  <c r="HF101" i="13" s="1"/>
  <c r="HG101" i="13" s="1"/>
  <c r="NV26" i="13"/>
  <c r="NQ26" i="13"/>
  <c r="DN26" i="13" s="1"/>
  <c r="DM26" i="13" s="1"/>
  <c r="DL26" i="13" s="1"/>
  <c r="LP26" i="13"/>
  <c r="LQ26" i="13" s="1"/>
  <c r="BP100" i="13"/>
  <c r="BO100" i="13" s="1"/>
  <c r="BN100" i="13" s="1"/>
  <c r="BM100" i="13" s="1"/>
  <c r="BL100" i="13" s="1"/>
  <c r="BX43" i="13"/>
  <c r="BW43" i="13" s="1"/>
  <c r="BV43" i="13" s="1"/>
  <c r="JK191" i="13"/>
  <c r="NI163" i="13"/>
  <c r="KL163" i="13"/>
  <c r="KN163" i="13" s="1"/>
  <c r="KO163" i="13" s="1"/>
  <c r="AV96" i="13"/>
  <c r="AU96" i="13" s="1"/>
  <c r="AT96" i="13" s="1"/>
  <c r="LI36" i="13"/>
  <c r="NP36" i="13" s="1"/>
  <c r="NU36" i="13"/>
  <c r="NO36" i="13"/>
  <c r="AV185" i="13"/>
  <c r="AU185" i="13" s="1"/>
  <c r="AT185" i="13" s="1"/>
  <c r="HD121" i="13"/>
  <c r="HF121" i="13" s="1"/>
  <c r="HG121" i="13" s="1"/>
  <c r="HL121" i="13"/>
  <c r="HN121" i="13" s="1"/>
  <c r="HO121" i="13" s="1"/>
  <c r="IB121" i="13"/>
  <c r="ID121" i="13" s="1"/>
  <c r="IE121" i="13" s="1"/>
  <c r="HT121" i="13"/>
  <c r="HV121" i="13" s="1"/>
  <c r="HW121" i="13" s="1"/>
  <c r="NL118" i="13"/>
  <c r="AS118" i="13"/>
  <c r="AR118" i="13" s="1"/>
  <c r="AQ118" i="13" s="1"/>
  <c r="AP118" i="13" s="1"/>
  <c r="AO118" i="13" s="1"/>
  <c r="AL118" i="13" s="1"/>
  <c r="NN185" i="13"/>
  <c r="CC160" i="13"/>
  <c r="CB160" i="13" s="1"/>
  <c r="CA160" i="13" s="1"/>
  <c r="JK77" i="13"/>
  <c r="KT73" i="13"/>
  <c r="KV73" i="13" s="1"/>
  <c r="KW73" i="13" s="1"/>
  <c r="DB73" i="13" s="1"/>
  <c r="DA73" i="13" s="1"/>
  <c r="LR73" i="13"/>
  <c r="LT73" i="13" s="1"/>
  <c r="LU73" i="13" s="1"/>
  <c r="DU73" i="13" s="1"/>
  <c r="DT73" i="13" s="1"/>
  <c r="LJ73" i="13"/>
  <c r="LL73" i="13" s="1"/>
  <c r="LM73" i="13" s="1"/>
  <c r="CW73" i="13" s="1"/>
  <c r="CV73" i="13" s="1"/>
  <c r="LB73" i="13"/>
  <c r="LD73" i="13" s="1"/>
  <c r="LE73" i="13" s="1"/>
  <c r="DZ73" i="13" s="1"/>
  <c r="DY73" i="13" s="1"/>
  <c r="IA70" i="13"/>
  <c r="NN70" i="13" s="1"/>
  <c r="NT70" i="13"/>
  <c r="NM70" i="13"/>
  <c r="BS68" i="13"/>
  <c r="BR68" i="13" s="1"/>
  <c r="BQ68" i="13" s="1"/>
  <c r="NL77" i="13"/>
  <c r="GP127" i="13"/>
  <c r="NN127" i="13"/>
  <c r="NL127" i="13"/>
  <c r="GP55" i="13"/>
  <c r="NI208" i="13"/>
  <c r="KL208" i="13"/>
  <c r="KN208" i="13" s="1"/>
  <c r="KO208" i="13" s="1"/>
  <c r="GP107" i="13"/>
  <c r="NI205" i="13"/>
  <c r="KL205" i="13"/>
  <c r="KN205" i="13" s="1"/>
  <c r="KO205" i="13" s="1"/>
  <c r="KX96" i="13"/>
  <c r="KZ96" i="13" s="1"/>
  <c r="LA96" i="13" s="1"/>
  <c r="KP96" i="13"/>
  <c r="KR96" i="13" s="1"/>
  <c r="KS96" i="13" s="1"/>
  <c r="LN96" i="13"/>
  <c r="LF96" i="13"/>
  <c r="LH96" i="13" s="1"/>
  <c r="NK134" i="13"/>
  <c r="NY134" i="13"/>
  <c r="NS134" i="13"/>
  <c r="HS134" i="13"/>
  <c r="IA113" i="13"/>
  <c r="NN113" i="13" s="1"/>
  <c r="NT113" i="13"/>
  <c r="NM113" i="13"/>
  <c r="BH168" i="13"/>
  <c r="BG168" i="13" s="1"/>
  <c r="BF168" i="13" s="1"/>
  <c r="BE168" i="13" s="1"/>
  <c r="BD168" i="13" s="1"/>
  <c r="IB144" i="13"/>
  <c r="ID144" i="13" s="1"/>
  <c r="IE144" i="13" s="1"/>
  <c r="HL144" i="13"/>
  <c r="HN144" i="13" s="1"/>
  <c r="HO144" i="13" s="1"/>
  <c r="HD144" i="13"/>
  <c r="HF144" i="13" s="1"/>
  <c r="HG144" i="13" s="1"/>
  <c r="HT144" i="13"/>
  <c r="HV144" i="13" s="1"/>
  <c r="HW144" i="13" s="1"/>
  <c r="LJ54" i="13"/>
  <c r="LL54" i="13" s="1"/>
  <c r="LM54" i="13" s="1"/>
  <c r="LB54" i="13"/>
  <c r="LD54" i="13" s="1"/>
  <c r="LE54" i="13" s="1"/>
  <c r="LR54" i="13"/>
  <c r="LT54" i="13" s="1"/>
  <c r="LU54" i="13" s="1"/>
  <c r="KT54" i="13"/>
  <c r="KV54" i="13" s="1"/>
  <c r="KW54" i="13" s="1"/>
  <c r="JO71" i="13"/>
  <c r="KF71" i="13"/>
  <c r="NV155" i="13"/>
  <c r="NQ155" i="13"/>
  <c r="LP155" i="13"/>
  <c r="LQ155" i="13" s="1"/>
  <c r="NR155" i="13" s="1"/>
  <c r="LJ47" i="13"/>
  <c r="LL47" i="13" s="1"/>
  <c r="LM47" i="13" s="1"/>
  <c r="KT47" i="13"/>
  <c r="KV47" i="13" s="1"/>
  <c r="KW47" i="13" s="1"/>
  <c r="LB47" i="13"/>
  <c r="LD47" i="13" s="1"/>
  <c r="LE47" i="13" s="1"/>
  <c r="LR47" i="13"/>
  <c r="LT47" i="13" s="1"/>
  <c r="LU47" i="13" s="1"/>
  <c r="NI45" i="13"/>
  <c r="KL45" i="13"/>
  <c r="KN45" i="13" s="1"/>
  <c r="KO45" i="13" s="1"/>
  <c r="LJ200" i="13"/>
  <c r="LL200" i="13" s="1"/>
  <c r="LM200" i="13" s="1"/>
  <c r="CW200" i="13" s="1"/>
  <c r="CV200" i="13" s="1"/>
  <c r="KT200" i="13"/>
  <c r="KV200" i="13" s="1"/>
  <c r="KW200" i="13" s="1"/>
  <c r="DB200" i="13" s="1"/>
  <c r="DA200" i="13" s="1"/>
  <c r="LR200" i="13"/>
  <c r="LT200" i="13" s="1"/>
  <c r="LU200" i="13" s="1"/>
  <c r="DU200" i="13" s="1"/>
  <c r="DT200" i="13" s="1"/>
  <c r="LB200" i="13"/>
  <c r="LD200" i="13" s="1"/>
  <c r="LE200" i="13" s="1"/>
  <c r="BP190" i="13"/>
  <c r="BO190" i="13" s="1"/>
  <c r="BN190" i="13" s="1"/>
  <c r="BM190" i="13" s="1"/>
  <c r="BL190" i="13" s="1"/>
  <c r="CR200" i="13"/>
  <c r="CQ200" i="13" s="1"/>
  <c r="DK200" i="13"/>
  <c r="DJ200" i="13" s="1"/>
  <c r="DI200" i="13" s="1"/>
  <c r="DH200" i="13" s="1"/>
  <c r="DG200" i="13" s="1"/>
  <c r="DZ200" i="13"/>
  <c r="DY200" i="13" s="1"/>
  <c r="DX200" i="13" s="1"/>
  <c r="DW200" i="13" s="1"/>
  <c r="DV200" i="13" s="1"/>
  <c r="DP200" i="13"/>
  <c r="DO200" i="13" s="1"/>
  <c r="DN200" i="13" s="1"/>
  <c r="DM200" i="13" s="1"/>
  <c r="DL200" i="13" s="1"/>
  <c r="NS69" i="13"/>
  <c r="HS69" i="13"/>
  <c r="NK69" i="13"/>
  <c r="NY69" i="13"/>
  <c r="KG201" i="13"/>
  <c r="NR201" i="13"/>
  <c r="NH196" i="13"/>
  <c r="NG196" i="13"/>
  <c r="KH196" i="13" s="1"/>
  <c r="KJ196" i="13" s="1"/>
  <c r="KK196" i="13" s="1"/>
  <c r="NF196" i="13"/>
  <c r="JL196" i="13"/>
  <c r="JN196" i="13" s="1"/>
  <c r="NT136" i="13"/>
  <c r="NM136" i="13"/>
  <c r="IA136" i="13"/>
  <c r="NN136" i="13" s="1"/>
  <c r="KX156" i="13"/>
  <c r="KZ156" i="13" s="1"/>
  <c r="LA156" i="13" s="1"/>
  <c r="LN156" i="13"/>
  <c r="KP156" i="13"/>
  <c r="KR156" i="13" s="1"/>
  <c r="KS156" i="13" s="1"/>
  <c r="LF156" i="13"/>
  <c r="LH156" i="13" s="1"/>
  <c r="NI203" i="13"/>
  <c r="KL203" i="13"/>
  <c r="KN203" i="13" s="1"/>
  <c r="KO203" i="13" s="1"/>
  <c r="NX189" i="13"/>
  <c r="NW189" i="13"/>
  <c r="BX42" i="13"/>
  <c r="BW42" i="13" s="1"/>
  <c r="BV42" i="13" s="1"/>
  <c r="CC74" i="13"/>
  <c r="CB74" i="13" s="1"/>
  <c r="CA74" i="13" s="1"/>
  <c r="CC24" i="13"/>
  <c r="CB24" i="13" s="1"/>
  <c r="CA24" i="13" s="1"/>
  <c r="NX122" i="13"/>
  <c r="NW122" i="13"/>
  <c r="HD191" i="13"/>
  <c r="HF191" i="13" s="1"/>
  <c r="HG191" i="13" s="1"/>
  <c r="HL191" i="13"/>
  <c r="HN191" i="13" s="1"/>
  <c r="HO191" i="13" s="1"/>
  <c r="IB191" i="13"/>
  <c r="ID191" i="13" s="1"/>
  <c r="IE191" i="13" s="1"/>
  <c r="HT191" i="13"/>
  <c r="HV191" i="13" s="1"/>
  <c r="HW191" i="13" s="1"/>
  <c r="LI65" i="13"/>
  <c r="NP65" i="13" s="1"/>
  <c r="NU65" i="13"/>
  <c r="NO65" i="13"/>
  <c r="NX147" i="13"/>
  <c r="NW147" i="13"/>
  <c r="GP130" i="13"/>
  <c r="KX72" i="13"/>
  <c r="KZ72" i="13" s="1"/>
  <c r="LA72" i="13" s="1"/>
  <c r="KP72" i="13"/>
  <c r="KR72" i="13" s="1"/>
  <c r="KS72" i="13" s="1"/>
  <c r="LN72" i="13"/>
  <c r="LF72" i="13"/>
  <c r="LH72" i="13" s="1"/>
  <c r="HT103" i="13"/>
  <c r="HV103" i="13" s="1"/>
  <c r="HW103" i="13" s="1"/>
  <c r="HL103" i="13"/>
  <c r="HN103" i="13" s="1"/>
  <c r="HO103" i="13" s="1"/>
  <c r="HD103" i="13"/>
  <c r="HF103" i="13" s="1"/>
  <c r="HG103" i="13" s="1"/>
  <c r="IB103" i="13"/>
  <c r="ID103" i="13" s="1"/>
  <c r="IE103" i="13" s="1"/>
  <c r="NX212" i="13"/>
  <c r="NW212" i="13"/>
  <c r="LF130" i="13"/>
  <c r="LH130" i="13" s="1"/>
  <c r="LN130" i="13"/>
  <c r="KP130" i="13"/>
  <c r="KR130" i="13" s="1"/>
  <c r="KS130" i="13" s="1"/>
  <c r="KX130" i="13"/>
  <c r="KZ130" i="13" s="1"/>
  <c r="LA130" i="13" s="1"/>
  <c r="LI31" i="13"/>
  <c r="NU31" i="13"/>
  <c r="NO31" i="13"/>
  <c r="CP31" i="13" s="1"/>
  <c r="CO31" i="13" s="1"/>
  <c r="CN31" i="13" s="1"/>
  <c r="JK111" i="13"/>
  <c r="NS125" i="13"/>
  <c r="HS125" i="13"/>
  <c r="NL125" i="13" s="1"/>
  <c r="NK125" i="13"/>
  <c r="NY125" i="13"/>
  <c r="JO68" i="13"/>
  <c r="KG68" i="13" s="1"/>
  <c r="KF68" i="13"/>
  <c r="LJ25" i="13"/>
  <c r="LL25" i="13" s="1"/>
  <c r="LM25" i="13" s="1"/>
  <c r="CW25" i="13" s="1"/>
  <c r="CV25" i="13" s="1"/>
  <c r="CU25" i="13" s="1"/>
  <c r="CT25" i="13" s="1"/>
  <c r="CS25" i="13" s="1"/>
  <c r="LR25" i="13"/>
  <c r="LT25" i="13" s="1"/>
  <c r="LU25" i="13" s="1"/>
  <c r="DU25" i="13" s="1"/>
  <c r="DT25" i="13" s="1"/>
  <c r="KT25" i="13"/>
  <c r="KV25" i="13" s="1"/>
  <c r="KW25" i="13" s="1"/>
  <c r="DB25" i="13" s="1"/>
  <c r="DA25" i="13" s="1"/>
  <c r="LB25" i="13"/>
  <c r="LD25" i="13" s="1"/>
  <c r="LE25" i="13" s="1"/>
  <c r="DZ25" i="13" s="1"/>
  <c r="DY25" i="13" s="1"/>
  <c r="GP108" i="13"/>
  <c r="NL108" i="13"/>
  <c r="NN108" i="13"/>
  <c r="KT26" i="13"/>
  <c r="KV26" i="13" s="1"/>
  <c r="KW26" i="13" s="1"/>
  <c r="DB26" i="13" s="1"/>
  <c r="DA26" i="13" s="1"/>
  <c r="LB26" i="13"/>
  <c r="LD26" i="13" s="1"/>
  <c r="LE26" i="13" s="1"/>
  <c r="DZ26" i="13" s="1"/>
  <c r="DY26" i="13" s="1"/>
  <c r="LJ26" i="13"/>
  <c r="LL26" i="13" s="1"/>
  <c r="LM26" i="13" s="1"/>
  <c r="CW26" i="13" s="1"/>
  <c r="CV26" i="13" s="1"/>
  <c r="LR26" i="13"/>
  <c r="LT26" i="13" s="1"/>
  <c r="LU26" i="13" s="1"/>
  <c r="DU26" i="13" s="1"/>
  <c r="DT26" i="13" s="1"/>
  <c r="KX192" i="13"/>
  <c r="KZ192" i="13" s="1"/>
  <c r="LA192" i="13" s="1"/>
  <c r="KP192" i="13"/>
  <c r="KR192" i="13" s="1"/>
  <c r="KS192" i="13" s="1"/>
  <c r="LN192" i="13"/>
  <c r="LF192" i="13"/>
  <c r="LH192" i="13" s="1"/>
  <c r="JO179" i="13"/>
  <c r="KG179" i="13" s="1"/>
  <c r="KF179" i="13"/>
  <c r="JO191" i="13"/>
  <c r="KG191" i="13" s="1"/>
  <c r="KF191" i="13"/>
  <c r="JO92" i="13"/>
  <c r="KF92" i="13"/>
  <c r="JO207" i="13"/>
  <c r="KF207" i="13"/>
  <c r="IA47" i="13"/>
  <c r="NN47" i="13" s="1"/>
  <c r="NT47" i="13"/>
  <c r="NM47" i="13"/>
  <c r="NV76" i="13"/>
  <c r="NQ76" i="13"/>
  <c r="LP76" i="13"/>
  <c r="LQ76" i="13" s="1"/>
  <c r="NR76" i="13" s="1"/>
  <c r="BS96" i="13"/>
  <c r="BR96" i="13" s="1"/>
  <c r="BQ96" i="13" s="1"/>
  <c r="NV50" i="13"/>
  <c r="NQ50" i="13"/>
  <c r="LP50" i="13"/>
  <c r="LQ50" i="13" s="1"/>
  <c r="DK50" i="13" s="1"/>
  <c r="DJ50" i="13" s="1"/>
  <c r="DI50" i="13" s="1"/>
  <c r="DH50" i="13" s="1"/>
  <c r="DG50" i="13" s="1"/>
  <c r="NV36" i="13"/>
  <c r="NQ36" i="13"/>
  <c r="LP36" i="13"/>
  <c r="LQ36" i="13" s="1"/>
  <c r="NR36" i="13" s="1"/>
  <c r="LI175" i="13"/>
  <c r="NP175" i="13" s="1"/>
  <c r="NU175" i="13"/>
  <c r="NO175" i="13"/>
  <c r="BX98" i="13"/>
  <c r="BW98" i="13" s="1"/>
  <c r="BV98" i="13" s="1"/>
  <c r="JO133" i="13"/>
  <c r="KG133" i="13" s="1"/>
  <c r="KF133" i="13"/>
  <c r="JK100" i="13"/>
  <c r="BX201" i="13"/>
  <c r="BW201" i="13" s="1"/>
  <c r="BV201" i="13" s="1"/>
  <c r="NS107" i="13"/>
  <c r="NK107" i="13"/>
  <c r="HS107" i="13"/>
  <c r="NL107" i="13" s="1"/>
  <c r="NY107" i="13"/>
  <c r="GP79" i="13"/>
  <c r="NN79" i="13"/>
  <c r="LB165" i="13"/>
  <c r="LD165" i="13" s="1"/>
  <c r="LE165" i="13" s="1"/>
  <c r="DZ165" i="13" s="1"/>
  <c r="DY165" i="13" s="1"/>
  <c r="DX165" i="13" s="1"/>
  <c r="DW165" i="13" s="1"/>
  <c r="DV165" i="13" s="1"/>
  <c r="KT165" i="13"/>
  <c r="KV165" i="13" s="1"/>
  <c r="KW165" i="13" s="1"/>
  <c r="DB165" i="13" s="1"/>
  <c r="DA165" i="13" s="1"/>
  <c r="LJ165" i="13"/>
  <c r="LL165" i="13" s="1"/>
  <c r="LM165" i="13" s="1"/>
  <c r="CW165" i="13" s="1"/>
  <c r="CV165" i="13" s="1"/>
  <c r="LR165" i="13"/>
  <c r="LT165" i="13" s="1"/>
  <c r="LU165" i="13" s="1"/>
  <c r="DU165" i="13" s="1"/>
  <c r="DT165" i="13" s="1"/>
  <c r="DS165" i="13" s="1"/>
  <c r="DR165" i="13" s="1"/>
  <c r="DQ165" i="13" s="1"/>
  <c r="DK152" i="13"/>
  <c r="DJ152" i="13" s="1"/>
  <c r="DI152" i="13" s="1"/>
  <c r="DH152" i="13" s="1"/>
  <c r="DG152" i="13" s="1"/>
  <c r="NX78" i="13"/>
  <c r="NW78" i="13"/>
  <c r="BX68" i="13"/>
  <c r="BW68" i="13" s="1"/>
  <c r="BV68" i="13" s="1"/>
  <c r="BX59" i="13"/>
  <c r="BW59" i="13" s="1"/>
  <c r="BV59" i="13" s="1"/>
  <c r="NO85" i="13"/>
  <c r="LI85" i="13"/>
  <c r="NP85" i="13" s="1"/>
  <c r="NU85" i="13"/>
  <c r="NX56" i="13"/>
  <c r="NW56" i="13"/>
  <c r="JK96" i="13"/>
  <c r="NQ60" i="13"/>
  <c r="LP60" i="13"/>
  <c r="LQ60" i="13" s="1"/>
  <c r="NR60" i="13" s="1"/>
  <c r="NV60" i="13"/>
  <c r="LB195" i="13"/>
  <c r="LD195" i="13" s="1"/>
  <c r="LE195" i="13" s="1"/>
  <c r="DZ195" i="13" s="1"/>
  <c r="DY195" i="13" s="1"/>
  <c r="LJ195" i="13"/>
  <c r="LL195" i="13" s="1"/>
  <c r="LM195" i="13" s="1"/>
  <c r="CW195" i="13" s="1"/>
  <c r="CV195" i="13" s="1"/>
  <c r="LR195" i="13"/>
  <c r="LT195" i="13" s="1"/>
  <c r="LU195" i="13" s="1"/>
  <c r="DU195" i="13" s="1"/>
  <c r="DT195" i="13" s="1"/>
  <c r="KT195" i="13"/>
  <c r="KV195" i="13" s="1"/>
  <c r="KW195" i="13" s="1"/>
  <c r="DB195" i="13" s="1"/>
  <c r="DA195" i="13" s="1"/>
  <c r="NQ80" i="13"/>
  <c r="LP80" i="13"/>
  <c r="LQ80" i="13" s="1"/>
  <c r="NR80" i="13" s="1"/>
  <c r="NV80" i="13"/>
  <c r="NK186" i="13"/>
  <c r="HS186" i="13"/>
  <c r="NY186" i="13"/>
  <c r="NS186" i="13"/>
  <c r="JO90" i="13"/>
  <c r="KF90" i="13"/>
  <c r="LI54" i="13"/>
  <c r="NP54" i="13" s="1"/>
  <c r="NU54" i="13"/>
  <c r="NO54" i="13"/>
  <c r="CC32" i="13"/>
  <c r="CB32" i="13" s="1"/>
  <c r="CA32" i="13" s="1"/>
  <c r="CP210" i="13"/>
  <c r="CO210" i="13" s="1"/>
  <c r="CN210" i="13" s="1"/>
  <c r="JK187" i="13"/>
  <c r="NY113" i="13"/>
  <c r="NS113" i="13"/>
  <c r="HS113" i="13"/>
  <c r="NK113" i="13"/>
  <c r="HL181" i="13"/>
  <c r="HN181" i="13" s="1"/>
  <c r="HO181" i="13" s="1"/>
  <c r="HT181" i="13"/>
  <c r="HV181" i="13" s="1"/>
  <c r="HW181" i="13" s="1"/>
  <c r="HD181" i="13"/>
  <c r="HF181" i="13" s="1"/>
  <c r="HG181" i="13" s="1"/>
  <c r="IB181" i="13"/>
  <c r="ID181" i="13" s="1"/>
  <c r="IE181" i="13" s="1"/>
  <c r="NH180" i="13"/>
  <c r="NG180" i="13"/>
  <c r="KH180" i="13" s="1"/>
  <c r="KJ180" i="13" s="1"/>
  <c r="KK180" i="13" s="1"/>
  <c r="NF180" i="13"/>
  <c r="JL180" i="13"/>
  <c r="JN180" i="13" s="1"/>
  <c r="NU128" i="13"/>
  <c r="NO128" i="13"/>
  <c r="LI128" i="13"/>
  <c r="NP128" i="13" s="1"/>
  <c r="NX168" i="13"/>
  <c r="NW168" i="13"/>
  <c r="NT44" i="13"/>
  <c r="NM44" i="13"/>
  <c r="IA44" i="13"/>
  <c r="NN44" i="13" s="1"/>
  <c r="JK104" i="13"/>
  <c r="CC58" i="13"/>
  <c r="CB58" i="13" s="1"/>
  <c r="CA58" i="13" s="1"/>
  <c r="KX71" i="13"/>
  <c r="KZ71" i="13" s="1"/>
  <c r="LA71" i="13" s="1"/>
  <c r="LN71" i="13"/>
  <c r="KP71" i="13"/>
  <c r="KR71" i="13" s="1"/>
  <c r="KS71" i="13" s="1"/>
  <c r="LF71" i="13"/>
  <c r="LH71" i="13" s="1"/>
  <c r="CC42" i="13"/>
  <c r="CB42" i="13" s="1"/>
  <c r="CA42" i="13" s="1"/>
  <c r="DP193" i="13"/>
  <c r="DO193" i="13" s="1"/>
  <c r="CR193" i="13"/>
  <c r="CQ193" i="13" s="1"/>
  <c r="BP18" i="13"/>
  <c r="BO18" i="13" s="1"/>
  <c r="BN18" i="13" s="1"/>
  <c r="BM18" i="13" s="1"/>
  <c r="BL18" i="13" s="1"/>
  <c r="GP134" i="13"/>
  <c r="NL134" i="13"/>
  <c r="NN134" i="13"/>
  <c r="NH169" i="13"/>
  <c r="NG169" i="13"/>
  <c r="KH169" i="13" s="1"/>
  <c r="KJ169" i="13" s="1"/>
  <c r="KK169" i="13" s="1"/>
  <c r="NF169" i="13"/>
  <c r="JL169" i="13"/>
  <c r="JN169" i="13" s="1"/>
  <c r="NV47" i="13"/>
  <c r="NQ47" i="13"/>
  <c r="LP47" i="13"/>
  <c r="LQ47" i="13" s="1"/>
  <c r="NX137" i="13"/>
  <c r="NW137" i="13"/>
  <c r="NH146" i="13"/>
  <c r="NG146" i="13"/>
  <c r="KH146" i="13" s="1"/>
  <c r="KJ146" i="13" s="1"/>
  <c r="KK146" i="13" s="1"/>
  <c r="NF146" i="13"/>
  <c r="JL146" i="13"/>
  <c r="JN146" i="13" s="1"/>
  <c r="KX167" i="13"/>
  <c r="KZ167" i="13" s="1"/>
  <c r="LA167" i="13" s="1"/>
  <c r="KP167" i="13"/>
  <c r="KR167" i="13" s="1"/>
  <c r="KS167" i="13" s="1"/>
  <c r="LN167" i="13"/>
  <c r="LF167" i="13"/>
  <c r="LH167" i="13" s="1"/>
  <c r="JO118" i="13"/>
  <c r="KF118" i="13"/>
  <c r="JO95" i="13"/>
  <c r="KG95" i="13" s="1"/>
  <c r="KF95" i="13"/>
  <c r="AX210" i="13"/>
  <c r="AW210" i="13" s="1"/>
  <c r="AV210" i="13" s="1"/>
  <c r="AU210" i="13" s="1"/>
  <c r="AT210" i="13" s="1"/>
  <c r="CE210" i="13"/>
  <c r="CD210" i="13" s="1"/>
  <c r="CC210" i="13" s="1"/>
  <c r="CB210" i="13" s="1"/>
  <c r="CA210" i="13" s="1"/>
  <c r="BZ210" i="13"/>
  <c r="BY210" i="13" s="1"/>
  <c r="BX210" i="13" s="1"/>
  <c r="BW210" i="13" s="1"/>
  <c r="BV210" i="13" s="1"/>
  <c r="BH210" i="13"/>
  <c r="BG210" i="13" s="1"/>
  <c r="BF210" i="13" s="1"/>
  <c r="BE210" i="13" s="1"/>
  <c r="BD210" i="13" s="1"/>
  <c r="BU210" i="13"/>
  <c r="BT210" i="13" s="1"/>
  <c r="BS210" i="13" s="1"/>
  <c r="BR210" i="13" s="1"/>
  <c r="BQ210" i="13" s="1"/>
  <c r="BC210" i="13"/>
  <c r="BB210" i="13" s="1"/>
  <c r="BA210" i="13" s="1"/>
  <c r="AZ210" i="13" s="1"/>
  <c r="AY210" i="13" s="1"/>
  <c r="BP210" i="13"/>
  <c r="BO210" i="13" s="1"/>
  <c r="BN210" i="13" s="1"/>
  <c r="BM210" i="13" s="1"/>
  <c r="BL210" i="13" s="1"/>
  <c r="AS210" i="13"/>
  <c r="AR210" i="13" s="1"/>
  <c r="AQ210" i="13" s="1"/>
  <c r="AP210" i="13" s="1"/>
  <c r="AO210" i="13" s="1"/>
  <c r="AL210" i="13" s="1"/>
  <c r="JK170" i="13"/>
  <c r="NW142" i="13"/>
  <c r="NX142" i="13"/>
  <c r="BC206" i="13"/>
  <c r="BB206" i="13" s="1"/>
  <c r="BA206" i="13" s="1"/>
  <c r="AZ206" i="13" s="1"/>
  <c r="AY206" i="13" s="1"/>
  <c r="BU206" i="13"/>
  <c r="BT206" i="13" s="1"/>
  <c r="BS206" i="13" s="1"/>
  <c r="BR206" i="13" s="1"/>
  <c r="BQ206" i="13" s="1"/>
  <c r="BH206" i="13"/>
  <c r="BG206" i="13" s="1"/>
  <c r="BF206" i="13" s="1"/>
  <c r="BE206" i="13" s="1"/>
  <c r="BD206" i="13" s="1"/>
  <c r="BZ206" i="13"/>
  <c r="BY206" i="13" s="1"/>
  <c r="BX206" i="13" s="1"/>
  <c r="BW206" i="13" s="1"/>
  <c r="BV206" i="13" s="1"/>
  <c r="AX206" i="13"/>
  <c r="AW206" i="13" s="1"/>
  <c r="AV206" i="13" s="1"/>
  <c r="AU206" i="13" s="1"/>
  <c r="AT206" i="13" s="1"/>
  <c r="BP206" i="13"/>
  <c r="BO206" i="13" s="1"/>
  <c r="BN206" i="13" s="1"/>
  <c r="BM206" i="13" s="1"/>
  <c r="BL206" i="13" s="1"/>
  <c r="CE206" i="13"/>
  <c r="CD206" i="13" s="1"/>
  <c r="CC206" i="13" s="1"/>
  <c r="CB206" i="13" s="1"/>
  <c r="CA206" i="13" s="1"/>
  <c r="AS206" i="13"/>
  <c r="AR206" i="13" s="1"/>
  <c r="AQ206" i="13" s="1"/>
  <c r="AP206" i="13" s="1"/>
  <c r="AO206" i="13" s="1"/>
  <c r="AL206" i="13" s="1"/>
  <c r="KP69" i="13"/>
  <c r="KR69" i="13" s="1"/>
  <c r="KS69" i="13" s="1"/>
  <c r="LF69" i="13"/>
  <c r="LH69" i="13" s="1"/>
  <c r="KX69" i="13"/>
  <c r="KZ69" i="13" s="1"/>
  <c r="LA69" i="13" s="1"/>
  <c r="LN69" i="13"/>
  <c r="AQ147" i="13"/>
  <c r="AP147" i="13" s="1"/>
  <c r="AO147" i="13" s="1"/>
  <c r="AL147" i="13" s="1"/>
  <c r="BP36" i="13"/>
  <c r="BO36" i="13" s="1"/>
  <c r="BN36" i="13" s="1"/>
  <c r="BM36" i="13" s="1"/>
  <c r="BL36" i="13" s="1"/>
  <c r="CE36" i="13"/>
  <c r="CD36" i="13" s="1"/>
  <c r="CC36" i="13" s="1"/>
  <c r="CB36" i="13" s="1"/>
  <c r="CA36" i="13" s="1"/>
  <c r="AS36" i="13"/>
  <c r="AR36" i="13" s="1"/>
  <c r="AQ36" i="13" s="1"/>
  <c r="AP36" i="13" s="1"/>
  <c r="AO36" i="13" s="1"/>
  <c r="AL36" i="13" s="1"/>
  <c r="BH36" i="13"/>
  <c r="BG36" i="13" s="1"/>
  <c r="BF36" i="13" s="1"/>
  <c r="BE36" i="13" s="1"/>
  <c r="BD36" i="13" s="1"/>
  <c r="BZ36" i="13"/>
  <c r="BY36" i="13" s="1"/>
  <c r="BX36" i="13" s="1"/>
  <c r="BW36" i="13" s="1"/>
  <c r="BV36" i="13" s="1"/>
  <c r="BC36" i="13"/>
  <c r="BB36" i="13" s="1"/>
  <c r="BA36" i="13" s="1"/>
  <c r="AZ36" i="13" s="1"/>
  <c r="AY36" i="13" s="1"/>
  <c r="BU36" i="13"/>
  <c r="BT36" i="13" s="1"/>
  <c r="BS36" i="13" s="1"/>
  <c r="BR36" i="13" s="1"/>
  <c r="BQ36" i="13" s="1"/>
  <c r="AX36" i="13"/>
  <c r="AW36" i="13" s="1"/>
  <c r="AV36" i="13" s="1"/>
  <c r="AU36" i="13" s="1"/>
  <c r="AT36" i="13" s="1"/>
  <c r="IA88" i="13"/>
  <c r="NT88" i="13"/>
  <c r="NM88" i="13"/>
  <c r="IB99" i="13"/>
  <c r="ID99" i="13" s="1"/>
  <c r="IE99" i="13" s="1"/>
  <c r="HL99" i="13"/>
  <c r="HN99" i="13" s="1"/>
  <c r="HO99" i="13" s="1"/>
  <c r="HT99" i="13"/>
  <c r="HV99" i="13" s="1"/>
  <c r="HW99" i="13" s="1"/>
  <c r="HD99" i="13"/>
  <c r="HF99" i="13" s="1"/>
  <c r="HG99" i="13" s="1"/>
  <c r="BC89" i="13"/>
  <c r="BB89" i="13" s="1"/>
  <c r="BA89" i="13" s="1"/>
  <c r="AZ89" i="13" s="1"/>
  <c r="AY89" i="13" s="1"/>
  <c r="BU89" i="13"/>
  <c r="BT89" i="13" s="1"/>
  <c r="BS89" i="13" s="1"/>
  <c r="BR89" i="13" s="1"/>
  <c r="BQ89" i="13" s="1"/>
  <c r="BP89" i="13"/>
  <c r="BO89" i="13" s="1"/>
  <c r="BN89" i="13" s="1"/>
  <c r="BM89" i="13" s="1"/>
  <c r="BL89" i="13" s="1"/>
  <c r="CE89" i="13"/>
  <c r="CD89" i="13" s="1"/>
  <c r="CC89" i="13" s="1"/>
  <c r="CB89" i="13" s="1"/>
  <c r="CA89" i="13" s="1"/>
  <c r="AX89" i="13"/>
  <c r="AW89" i="13" s="1"/>
  <c r="AV89" i="13" s="1"/>
  <c r="AU89" i="13" s="1"/>
  <c r="AT89" i="13" s="1"/>
  <c r="AS89" i="13"/>
  <c r="AR89" i="13" s="1"/>
  <c r="AQ89" i="13" s="1"/>
  <c r="AP89" i="13" s="1"/>
  <c r="AO89" i="13" s="1"/>
  <c r="AL89" i="13" s="1"/>
  <c r="BH89" i="13"/>
  <c r="BG89" i="13" s="1"/>
  <c r="BF89" i="13" s="1"/>
  <c r="BE89" i="13" s="1"/>
  <c r="BD89" i="13" s="1"/>
  <c r="BZ89" i="13"/>
  <c r="BY89" i="13" s="1"/>
  <c r="BX89" i="13" s="1"/>
  <c r="BW89" i="13" s="1"/>
  <c r="BV89" i="13" s="1"/>
  <c r="JO111" i="13"/>
  <c r="KG111" i="13" s="1"/>
  <c r="KF111" i="13"/>
  <c r="LI25" i="13"/>
  <c r="NU25" i="13"/>
  <c r="NO25" i="13"/>
  <c r="CP25" i="13" s="1"/>
  <c r="CO25" i="13" s="1"/>
  <c r="CN25" i="13" s="1"/>
  <c r="GP136" i="13"/>
  <c r="NL136" i="13"/>
  <c r="LJ65" i="13"/>
  <c r="LL65" i="13" s="1"/>
  <c r="LM65" i="13" s="1"/>
  <c r="CW65" i="13" s="1"/>
  <c r="CV65" i="13" s="1"/>
  <c r="CU65" i="13" s="1"/>
  <c r="CT65" i="13" s="1"/>
  <c r="CS65" i="13" s="1"/>
  <c r="KT65" i="13"/>
  <c r="KV65" i="13" s="1"/>
  <c r="KW65" i="13" s="1"/>
  <c r="LR65" i="13"/>
  <c r="LT65" i="13" s="1"/>
  <c r="LU65" i="13" s="1"/>
  <c r="LB65" i="13"/>
  <c r="LD65" i="13" s="1"/>
  <c r="LE65" i="13" s="1"/>
  <c r="GP126" i="13"/>
  <c r="LF58" i="13"/>
  <c r="LH58" i="13" s="1"/>
  <c r="KX58" i="13"/>
  <c r="KZ58" i="13" s="1"/>
  <c r="LA58" i="13" s="1"/>
  <c r="LN58" i="13"/>
  <c r="KP58" i="13"/>
  <c r="KR58" i="13" s="1"/>
  <c r="KS58" i="13" s="1"/>
  <c r="IB30" i="13"/>
  <c r="ID30" i="13" s="1"/>
  <c r="IE30" i="13" s="1"/>
  <c r="HT30" i="13"/>
  <c r="HV30" i="13" s="1"/>
  <c r="HW30" i="13" s="1"/>
  <c r="BC30" i="13" s="1"/>
  <c r="BB30" i="13" s="1"/>
  <c r="HD30" i="13"/>
  <c r="HF30" i="13" s="1"/>
  <c r="HG30" i="13" s="1"/>
  <c r="HL30" i="13"/>
  <c r="HN30" i="13" s="1"/>
  <c r="HO30" i="13" s="1"/>
  <c r="BH30" i="13" s="1"/>
  <c r="BG30" i="13" s="1"/>
  <c r="JO141" i="13"/>
  <c r="KF141" i="13"/>
  <c r="NI68" i="13"/>
  <c r="KL68" i="13"/>
  <c r="KN68" i="13" s="1"/>
  <c r="KO68" i="13" s="1"/>
  <c r="JK39" i="13"/>
  <c r="KT31" i="13"/>
  <c r="KV31" i="13" s="1"/>
  <c r="KW31" i="13" s="1"/>
  <c r="DB31" i="13" s="1"/>
  <c r="DA31" i="13" s="1"/>
  <c r="CZ31" i="13" s="1"/>
  <c r="CY31" i="13" s="1"/>
  <c r="CX31" i="13" s="1"/>
  <c r="LR31" i="13"/>
  <c r="LT31" i="13" s="1"/>
  <c r="LU31" i="13" s="1"/>
  <c r="DU31" i="13" s="1"/>
  <c r="DT31" i="13" s="1"/>
  <c r="LB31" i="13"/>
  <c r="LD31" i="13" s="1"/>
  <c r="LE31" i="13" s="1"/>
  <c r="DZ31" i="13" s="1"/>
  <c r="DY31" i="13" s="1"/>
  <c r="LJ31" i="13"/>
  <c r="LL31" i="13" s="1"/>
  <c r="LM31" i="13" s="1"/>
  <c r="CW31" i="13" s="1"/>
  <c r="CV31" i="13" s="1"/>
  <c r="CU31" i="13" s="1"/>
  <c r="CT31" i="13" s="1"/>
  <c r="CS31" i="13" s="1"/>
  <c r="NI179" i="13"/>
  <c r="KL179" i="13"/>
  <c r="KN179" i="13" s="1"/>
  <c r="KO179" i="13" s="1"/>
  <c r="HT138" i="13"/>
  <c r="HV138" i="13" s="1"/>
  <c r="HW138" i="13" s="1"/>
  <c r="HD138" i="13"/>
  <c r="HF138" i="13" s="1"/>
  <c r="HG138" i="13" s="1"/>
  <c r="HL138" i="13"/>
  <c r="HN138" i="13" s="1"/>
  <c r="HO138" i="13" s="1"/>
  <c r="IB138" i="13"/>
  <c r="ID138" i="13" s="1"/>
  <c r="IE138" i="13" s="1"/>
  <c r="NI191" i="13"/>
  <c r="KL191" i="13"/>
  <c r="KN191" i="13" s="1"/>
  <c r="KO191" i="13" s="1"/>
  <c r="HS79" i="13"/>
  <c r="NL79" i="13" s="1"/>
  <c r="NK79" i="13"/>
  <c r="NY79" i="13"/>
  <c r="NS79" i="13"/>
  <c r="NX139" i="13"/>
  <c r="NW139" i="13"/>
  <c r="AS114" i="13"/>
  <c r="AR114" i="13" s="1"/>
  <c r="AQ114" i="13" s="1"/>
  <c r="AP114" i="13" s="1"/>
  <c r="AO114" i="13" s="1"/>
  <c r="AL114" i="13" s="1"/>
  <c r="BH114" i="13"/>
  <c r="BG114" i="13" s="1"/>
  <c r="BF114" i="13" s="1"/>
  <c r="BE114" i="13" s="1"/>
  <c r="BD114" i="13" s="1"/>
  <c r="BC114" i="13"/>
  <c r="BB114" i="13" s="1"/>
  <c r="BA114" i="13" s="1"/>
  <c r="AZ114" i="13" s="1"/>
  <c r="AY114" i="13" s="1"/>
  <c r="AX114" i="13"/>
  <c r="AW114" i="13" s="1"/>
  <c r="AV114" i="13" s="1"/>
  <c r="AU114" i="13" s="1"/>
  <c r="AT114" i="13" s="1"/>
  <c r="BZ114" i="13"/>
  <c r="BY114" i="13" s="1"/>
  <c r="BX114" i="13" s="1"/>
  <c r="BW114" i="13" s="1"/>
  <c r="BV114" i="13" s="1"/>
  <c r="BU114" i="13"/>
  <c r="BT114" i="13" s="1"/>
  <c r="BS114" i="13" s="1"/>
  <c r="BR114" i="13" s="1"/>
  <c r="BQ114" i="13" s="1"/>
  <c r="BP114" i="13"/>
  <c r="BO114" i="13" s="1"/>
  <c r="BN114" i="13" s="1"/>
  <c r="BM114" i="13" s="1"/>
  <c r="BL114" i="13" s="1"/>
  <c r="CE114" i="13"/>
  <c r="CD114" i="13" s="1"/>
  <c r="CC114" i="13" s="1"/>
  <c r="CB114" i="13" s="1"/>
  <c r="CA114" i="13" s="1"/>
  <c r="NI92" i="13"/>
  <c r="KL92" i="13"/>
  <c r="KN92" i="13" s="1"/>
  <c r="KO92" i="13" s="1"/>
  <c r="NI207" i="13"/>
  <c r="KL207" i="13"/>
  <c r="KN207" i="13" s="1"/>
  <c r="KO207" i="13" s="1"/>
  <c r="HD125" i="13"/>
  <c r="HF125" i="13" s="1"/>
  <c r="HG125" i="13" s="1"/>
  <c r="HT125" i="13"/>
  <c r="HV125" i="13" s="1"/>
  <c r="HW125" i="13" s="1"/>
  <c r="HL125" i="13"/>
  <c r="HN125" i="13" s="1"/>
  <c r="HO125" i="13" s="1"/>
  <c r="IB125" i="13"/>
  <c r="ID125" i="13" s="1"/>
  <c r="IE125" i="13" s="1"/>
  <c r="KT49" i="13"/>
  <c r="KV49" i="13" s="1"/>
  <c r="KW49" i="13" s="1"/>
  <c r="LJ49" i="13"/>
  <c r="LL49" i="13" s="1"/>
  <c r="LM49" i="13" s="1"/>
  <c r="LR49" i="13"/>
  <c r="LT49" i="13" s="1"/>
  <c r="LU49" i="13" s="1"/>
  <c r="LB49" i="13"/>
  <c r="LD49" i="13" s="1"/>
  <c r="LE49" i="13" s="1"/>
  <c r="CC194" i="13"/>
  <c r="CB194" i="13" s="1"/>
  <c r="CA194" i="13" s="1"/>
  <c r="BX35" i="13"/>
  <c r="BW35" i="13" s="1"/>
  <c r="BV35" i="13" s="1"/>
  <c r="BX165" i="13"/>
  <c r="BW165" i="13" s="1"/>
  <c r="BV165" i="13" s="1"/>
  <c r="CC198" i="13"/>
  <c r="CB198" i="13" s="1"/>
  <c r="CA198" i="13" s="1"/>
  <c r="CC165" i="13"/>
  <c r="CB165" i="13" s="1"/>
  <c r="CA165" i="13" s="1"/>
  <c r="BX21" i="13"/>
  <c r="BW21" i="13" s="1"/>
  <c r="BV21" i="13" s="1"/>
  <c r="CC73" i="13"/>
  <c r="CB73" i="13" s="1"/>
  <c r="CA73" i="13" s="1"/>
  <c r="BX198" i="13"/>
  <c r="BW198" i="13" s="1"/>
  <c r="BV198" i="13" s="1"/>
  <c r="CC66" i="13"/>
  <c r="CB66" i="13" s="1"/>
  <c r="CA66" i="13" s="1"/>
  <c r="CC35" i="13"/>
  <c r="CB35" i="13" s="1"/>
  <c r="CA35" i="13" s="1"/>
  <c r="BX26" i="13"/>
  <c r="BW26" i="13" s="1"/>
  <c r="BV26" i="13" s="1"/>
  <c r="BX33" i="13"/>
  <c r="BW33" i="13" s="1"/>
  <c r="BV33" i="13" s="1"/>
  <c r="BX34" i="13"/>
  <c r="BW34" i="13" s="1"/>
  <c r="BV34" i="13" s="1"/>
  <c r="BX192" i="13"/>
  <c r="BW192" i="13" s="1"/>
  <c r="BV192" i="13" s="1"/>
  <c r="BX73" i="13"/>
  <c r="BW73" i="13" s="1"/>
  <c r="BV73" i="13" s="1"/>
  <c r="BX213" i="13"/>
  <c r="BW213" i="13" s="1"/>
  <c r="BV213" i="13" s="1"/>
  <c r="CC53" i="13"/>
  <c r="CB53" i="13" s="1"/>
  <c r="CA53" i="13" s="1"/>
  <c r="BX25" i="13"/>
  <c r="BW25" i="13" s="1"/>
  <c r="BV25" i="13" s="1"/>
  <c r="BX53" i="13"/>
  <c r="BW53" i="13" s="1"/>
  <c r="BV53" i="13" s="1"/>
  <c r="BX66" i="13"/>
  <c r="BW66" i="13" s="1"/>
  <c r="BV66" i="13" s="1"/>
  <c r="BX164" i="13"/>
  <c r="BW164" i="13" s="1"/>
  <c r="BV164" i="13" s="1"/>
  <c r="BX60" i="13"/>
  <c r="BW60" i="13" s="1"/>
  <c r="BV60" i="13" s="1"/>
  <c r="CC26" i="13"/>
  <c r="CB26" i="13" s="1"/>
  <c r="CA26" i="13" s="1"/>
  <c r="BX23" i="13"/>
  <c r="BW23" i="13" s="1"/>
  <c r="BV23" i="13" s="1"/>
  <c r="BX204" i="13"/>
  <c r="BW204" i="13" s="1"/>
  <c r="BV204" i="13" s="1"/>
  <c r="CC192" i="13"/>
  <c r="CB192" i="13" s="1"/>
  <c r="CA192" i="13" s="1"/>
  <c r="CC213" i="13"/>
  <c r="CB213" i="13" s="1"/>
  <c r="CA213" i="13" s="1"/>
  <c r="BX194" i="13"/>
  <c r="BW194" i="13" s="1"/>
  <c r="BV194" i="13" s="1"/>
  <c r="CC33" i="13"/>
  <c r="CB33" i="13" s="1"/>
  <c r="CA33" i="13" s="1"/>
  <c r="CC43" i="13"/>
  <c r="CB43" i="13" s="1"/>
  <c r="CA43" i="13" s="1"/>
  <c r="CC172" i="13"/>
  <c r="CB172" i="13" s="1"/>
  <c r="CA172" i="13" s="1"/>
  <c r="NS47" i="13"/>
  <c r="HS47" i="13"/>
  <c r="NL47" i="13" s="1"/>
  <c r="NK47" i="13"/>
  <c r="NY47" i="13"/>
  <c r="BC151" i="13"/>
  <c r="BB151" i="13" s="1"/>
  <c r="BA151" i="13" s="1"/>
  <c r="AZ151" i="13" s="1"/>
  <c r="AY151" i="13" s="1"/>
  <c r="CE151" i="13"/>
  <c r="CD151" i="13" s="1"/>
  <c r="CC151" i="13" s="1"/>
  <c r="CB151" i="13" s="1"/>
  <c r="CA151" i="13" s="1"/>
  <c r="BU151" i="13"/>
  <c r="BT151" i="13" s="1"/>
  <c r="BS151" i="13" s="1"/>
  <c r="BR151" i="13" s="1"/>
  <c r="BQ151" i="13" s="1"/>
  <c r="BP151" i="13"/>
  <c r="BO151" i="13" s="1"/>
  <c r="BN151" i="13" s="1"/>
  <c r="BM151" i="13" s="1"/>
  <c r="BL151" i="13" s="1"/>
  <c r="AX151" i="13"/>
  <c r="AW151" i="13" s="1"/>
  <c r="AV151" i="13" s="1"/>
  <c r="AU151" i="13" s="1"/>
  <c r="AT151" i="13" s="1"/>
  <c r="AS151" i="13"/>
  <c r="AR151" i="13" s="1"/>
  <c r="AQ151" i="13" s="1"/>
  <c r="AP151" i="13" s="1"/>
  <c r="AO151" i="13" s="1"/>
  <c r="AL151" i="13" s="1"/>
  <c r="BZ151" i="13"/>
  <c r="BY151" i="13" s="1"/>
  <c r="BX151" i="13" s="1"/>
  <c r="BW151" i="13" s="1"/>
  <c r="BV151" i="13" s="1"/>
  <c r="BH151" i="13"/>
  <c r="BG151" i="13" s="1"/>
  <c r="BF151" i="13" s="1"/>
  <c r="BE151" i="13" s="1"/>
  <c r="BD151" i="13" s="1"/>
  <c r="LF163" i="13"/>
  <c r="LH163" i="13" s="1"/>
  <c r="LN163" i="13"/>
  <c r="KX163" i="13"/>
  <c r="KZ163" i="13" s="1"/>
  <c r="LA163" i="13" s="1"/>
  <c r="KP163" i="13"/>
  <c r="KR163" i="13" s="1"/>
  <c r="KS163" i="13" s="1"/>
  <c r="LI50" i="13"/>
  <c r="NP50" i="13" s="1"/>
  <c r="NU50" i="13"/>
  <c r="NO50" i="13"/>
  <c r="BA185" i="13"/>
  <c r="AZ185" i="13" s="1"/>
  <c r="AY185" i="13" s="1"/>
  <c r="JK206" i="13"/>
  <c r="NI133" i="13"/>
  <c r="KL133" i="13"/>
  <c r="KN133" i="13" s="1"/>
  <c r="KO133" i="13" s="1"/>
  <c r="BX37" i="13"/>
  <c r="BW37" i="13" s="1"/>
  <c r="BV37" i="13" s="1"/>
  <c r="NI22" i="13"/>
  <c r="KL22" i="13"/>
  <c r="KN22" i="13" s="1"/>
  <c r="KO22" i="13" s="1"/>
  <c r="NX152" i="13"/>
  <c r="NW152" i="13"/>
  <c r="BX63" i="13"/>
  <c r="BW63" i="13" s="1"/>
  <c r="BV63" i="13" s="1"/>
  <c r="JO121" i="13"/>
  <c r="KF121" i="13"/>
  <c r="BX93" i="13"/>
  <c r="BW93" i="13" s="1"/>
  <c r="BV93" i="13" s="1"/>
  <c r="CM152" i="13"/>
  <c r="CL152" i="13" s="1"/>
  <c r="CK152" i="13" s="1"/>
  <c r="CJ152" i="13" s="1"/>
  <c r="CI152" i="13" s="1"/>
  <c r="NQ59" i="13"/>
  <c r="LP59" i="13"/>
  <c r="LQ59" i="13" s="1"/>
  <c r="DK59" i="13" s="1"/>
  <c r="DJ59" i="13" s="1"/>
  <c r="NV59" i="13"/>
  <c r="NI14" i="13"/>
  <c r="KL14" i="13"/>
  <c r="KN14" i="13" s="1"/>
  <c r="KO14" i="13" s="1"/>
  <c r="BF68" i="13"/>
  <c r="BE68" i="13" s="1"/>
  <c r="BD68" i="13" s="1"/>
  <c r="AX75" i="13"/>
  <c r="AW75" i="13" s="1"/>
  <c r="AV75" i="13" s="1"/>
  <c r="AU75" i="13" s="1"/>
  <c r="AT75" i="13" s="1"/>
  <c r="BP75" i="13"/>
  <c r="BO75" i="13" s="1"/>
  <c r="BN75" i="13" s="1"/>
  <c r="BM75" i="13" s="1"/>
  <c r="BL75" i="13" s="1"/>
  <c r="BU75" i="13"/>
  <c r="BT75" i="13" s="1"/>
  <c r="BS75" i="13" s="1"/>
  <c r="BR75" i="13" s="1"/>
  <c r="BQ75" i="13" s="1"/>
  <c r="BC75" i="13"/>
  <c r="BB75" i="13" s="1"/>
  <c r="BA75" i="13" s="1"/>
  <c r="AZ75" i="13" s="1"/>
  <c r="AY75" i="13" s="1"/>
  <c r="BH75" i="13"/>
  <c r="BG75" i="13" s="1"/>
  <c r="BF75" i="13" s="1"/>
  <c r="BE75" i="13" s="1"/>
  <c r="BD75" i="13" s="1"/>
  <c r="CE75" i="13"/>
  <c r="CD75" i="13" s="1"/>
  <c r="CC75" i="13" s="1"/>
  <c r="CB75" i="13" s="1"/>
  <c r="CA75" i="13" s="1"/>
  <c r="BZ75" i="13"/>
  <c r="BY75" i="13" s="1"/>
  <c r="BX75" i="13" s="1"/>
  <c r="BW75" i="13" s="1"/>
  <c r="BV75" i="13" s="1"/>
  <c r="AS75" i="13"/>
  <c r="AR75" i="13" s="1"/>
  <c r="AQ75" i="13" s="1"/>
  <c r="AP75" i="13" s="1"/>
  <c r="AO75" i="13" s="1"/>
  <c r="AL75" i="13" s="1"/>
  <c r="NT45" i="13"/>
  <c r="NM45" i="13"/>
  <c r="IA45" i="13"/>
  <c r="DP112" i="13"/>
  <c r="DO112" i="13" s="1"/>
  <c r="DN112" i="13" s="1"/>
  <c r="DM112" i="13" s="1"/>
  <c r="DL112" i="13" s="1"/>
  <c r="CR112" i="13"/>
  <c r="CQ112" i="13" s="1"/>
  <c r="CW112" i="13"/>
  <c r="CV112" i="13" s="1"/>
  <c r="DB112" i="13"/>
  <c r="DA112" i="13" s="1"/>
  <c r="DZ112" i="13"/>
  <c r="DY112" i="13" s="1"/>
  <c r="DX112" i="13" s="1"/>
  <c r="DW112" i="13" s="1"/>
  <c r="DV112" i="13" s="1"/>
  <c r="DU112" i="13"/>
  <c r="DT112" i="13" s="1"/>
  <c r="DS112" i="13" s="1"/>
  <c r="DR112" i="13" s="1"/>
  <c r="DQ112" i="13" s="1"/>
  <c r="HL177" i="13"/>
  <c r="HN177" i="13" s="1"/>
  <c r="HO177" i="13" s="1"/>
  <c r="HT177" i="13"/>
  <c r="HV177" i="13" s="1"/>
  <c r="HW177" i="13" s="1"/>
  <c r="HD177" i="13"/>
  <c r="HF177" i="13" s="1"/>
  <c r="HG177" i="13" s="1"/>
  <c r="IB177" i="13"/>
  <c r="ID177" i="13" s="1"/>
  <c r="IE177" i="13" s="1"/>
  <c r="NR164" i="13"/>
  <c r="NM186" i="13"/>
  <c r="NT186" i="13"/>
  <c r="IA186" i="13"/>
  <c r="KP208" i="13"/>
  <c r="KR208" i="13" s="1"/>
  <c r="KS208" i="13" s="1"/>
  <c r="KX208" i="13"/>
  <c r="KZ208" i="13" s="1"/>
  <c r="LA208" i="13" s="1"/>
  <c r="LF208" i="13"/>
  <c r="LH208" i="13" s="1"/>
  <c r="LN208" i="13"/>
  <c r="LN90" i="13"/>
  <c r="LF90" i="13"/>
  <c r="LH90" i="13" s="1"/>
  <c r="KP90" i="13"/>
  <c r="KR90" i="13" s="1"/>
  <c r="KS90" i="13" s="1"/>
  <c r="KX90" i="13"/>
  <c r="KZ90" i="13" s="1"/>
  <c r="LA90" i="13" s="1"/>
  <c r="LP54" i="13"/>
  <c r="LQ54" i="13" s="1"/>
  <c r="NR54" i="13" s="1"/>
  <c r="NV54" i="13"/>
  <c r="NQ54" i="13"/>
  <c r="KP205" i="13"/>
  <c r="KR205" i="13" s="1"/>
  <c r="KS205" i="13" s="1"/>
  <c r="LN205" i="13"/>
  <c r="LF205" i="13"/>
  <c r="LH205" i="13" s="1"/>
  <c r="KX205" i="13"/>
  <c r="KZ205" i="13" s="1"/>
  <c r="LA205" i="13" s="1"/>
  <c r="DS210" i="13"/>
  <c r="DR210" i="13" s="1"/>
  <c r="DQ210" i="13" s="1"/>
  <c r="NP19" i="13"/>
  <c r="CM19" i="13"/>
  <c r="CL19" i="13" s="1"/>
  <c r="CK19" i="13" s="1"/>
  <c r="CJ19" i="13" s="1"/>
  <c r="CI19" i="13" s="1"/>
  <c r="AS188" i="13"/>
  <c r="AR188" i="13" s="1"/>
  <c r="AQ188" i="13" s="1"/>
  <c r="AP188" i="13" s="1"/>
  <c r="AO188" i="13" s="1"/>
  <c r="AL188" i="13" s="1"/>
  <c r="NV24" i="13"/>
  <c r="NQ24" i="13"/>
  <c r="DN24" i="13" s="1"/>
  <c r="DM24" i="13" s="1"/>
  <c r="DL24" i="13" s="1"/>
  <c r="LP24" i="13"/>
  <c r="LQ24" i="13" s="1"/>
  <c r="JO48" i="13"/>
  <c r="KF48" i="13"/>
  <c r="BX162" i="13"/>
  <c r="BW162" i="13" s="1"/>
  <c r="BV162" i="13" s="1"/>
  <c r="NS44" i="13"/>
  <c r="HS44" i="13"/>
  <c r="NL44" i="13" s="1"/>
  <c r="NK44" i="13"/>
  <c r="NY44" i="13"/>
  <c r="NW89" i="13"/>
  <c r="NX89" i="13"/>
  <c r="NI71" i="13"/>
  <c r="KL71" i="13"/>
  <c r="KN71" i="13" s="1"/>
  <c r="KO71" i="13" s="1"/>
  <c r="JK110" i="13"/>
  <c r="KX45" i="13"/>
  <c r="KZ45" i="13" s="1"/>
  <c r="LA45" i="13" s="1"/>
  <c r="LN45" i="13"/>
  <c r="KP45" i="13"/>
  <c r="KR45" i="13" s="1"/>
  <c r="KS45" i="13" s="1"/>
  <c r="LF45" i="13"/>
  <c r="LH45" i="13" s="1"/>
  <c r="BZ30" i="13"/>
  <c r="BY30" i="13" s="1"/>
  <c r="BX30" i="13" s="1"/>
  <c r="BW30" i="13" s="1"/>
  <c r="AS18" i="13"/>
  <c r="AR18" i="13" s="1"/>
  <c r="AQ18" i="13" s="1"/>
  <c r="AP18" i="13" s="1"/>
  <c r="AO18" i="13" s="1"/>
  <c r="AL18" i="13" s="1"/>
  <c r="NX96" i="13"/>
  <c r="NW96" i="13"/>
  <c r="LJ201" i="13"/>
  <c r="LL201" i="13" s="1"/>
  <c r="LM201" i="13" s="1"/>
  <c r="LB201" i="13"/>
  <c r="LD201" i="13" s="1"/>
  <c r="LE201" i="13" s="1"/>
  <c r="KT201" i="13"/>
  <c r="KV201" i="13" s="1"/>
  <c r="KW201" i="13" s="1"/>
  <c r="LR201" i="13"/>
  <c r="LT201" i="13" s="1"/>
  <c r="LU201" i="13" s="1"/>
  <c r="AV190" i="13"/>
  <c r="AU190" i="13" s="1"/>
  <c r="AT190" i="13" s="1"/>
  <c r="NO147" i="13"/>
  <c r="LI147" i="13"/>
  <c r="NP147" i="13" s="1"/>
  <c r="NU147" i="13"/>
  <c r="NF70" i="13"/>
  <c r="NH70" i="13"/>
  <c r="NG70" i="13"/>
  <c r="KH70" i="13" s="1"/>
  <c r="KJ70" i="13" s="1"/>
  <c r="KK70" i="13" s="1"/>
  <c r="JL70" i="13"/>
  <c r="JN70" i="13" s="1"/>
  <c r="CE22" i="13"/>
  <c r="CD22" i="13" s="1"/>
  <c r="CC22" i="13" s="1"/>
  <c r="CB22" i="13" s="1"/>
  <c r="CA22" i="13" s="1"/>
  <c r="IA69" i="13"/>
  <c r="NT69" i="13"/>
  <c r="NM69" i="13"/>
  <c r="NI95" i="13"/>
  <c r="KL95" i="13"/>
  <c r="KN95" i="13" s="1"/>
  <c r="KO95" i="13" s="1"/>
  <c r="CC60" i="13"/>
  <c r="CB60" i="13" s="1"/>
  <c r="CA60" i="13" s="1"/>
  <c r="CC158" i="13"/>
  <c r="CB158" i="13" s="1"/>
  <c r="CA158" i="13" s="1"/>
  <c r="LR160" i="13"/>
  <c r="LT160" i="13" s="1"/>
  <c r="LU160" i="13" s="1"/>
  <c r="KT160" i="13"/>
  <c r="KV160" i="13" s="1"/>
  <c r="KW160" i="13" s="1"/>
  <c r="LB160" i="13"/>
  <c r="LD160" i="13" s="1"/>
  <c r="LE160" i="13" s="1"/>
  <c r="LJ160" i="13"/>
  <c r="LL160" i="13" s="1"/>
  <c r="LM160" i="13" s="1"/>
  <c r="CW160" i="13" s="1"/>
  <c r="CV160" i="13" s="1"/>
  <c r="KP203" i="13"/>
  <c r="KR203" i="13" s="1"/>
  <c r="KS203" i="13" s="1"/>
  <c r="KX203" i="13"/>
  <c r="KZ203" i="13" s="1"/>
  <c r="LA203" i="13" s="1"/>
  <c r="LN203" i="13"/>
  <c r="LF203" i="13"/>
  <c r="LH203" i="13" s="1"/>
  <c r="KG75" i="13"/>
  <c r="NI18" i="13"/>
  <c r="KL18" i="13"/>
  <c r="KN18" i="13" s="1"/>
  <c r="KO18" i="13" s="1"/>
  <c r="BU41" i="13"/>
  <c r="BT41" i="13" s="1"/>
  <c r="BS41" i="13" s="1"/>
  <c r="BR41" i="13" s="1"/>
  <c r="BQ41" i="13" s="1"/>
  <c r="AS41" i="13"/>
  <c r="AR41" i="13" s="1"/>
  <c r="AQ41" i="13" s="1"/>
  <c r="AP41" i="13" s="1"/>
  <c r="AO41" i="13" s="1"/>
  <c r="AL41" i="13" s="1"/>
  <c r="AX41" i="13"/>
  <c r="AW41" i="13" s="1"/>
  <c r="AV41" i="13" s="1"/>
  <c r="AU41" i="13" s="1"/>
  <c r="AT41" i="13" s="1"/>
  <c r="CE41" i="13"/>
  <c r="CD41" i="13" s="1"/>
  <c r="CC41" i="13" s="1"/>
  <c r="CB41" i="13" s="1"/>
  <c r="CA41" i="13" s="1"/>
  <c r="BZ41" i="13"/>
  <c r="BY41" i="13" s="1"/>
  <c r="BX41" i="13" s="1"/>
  <c r="BW41" i="13" s="1"/>
  <c r="BV41" i="13" s="1"/>
  <c r="BH41" i="13"/>
  <c r="BG41" i="13" s="1"/>
  <c r="BF41" i="13" s="1"/>
  <c r="BE41" i="13" s="1"/>
  <c r="BD41" i="13" s="1"/>
  <c r="BP41" i="13"/>
  <c r="BO41" i="13" s="1"/>
  <c r="BN41" i="13" s="1"/>
  <c r="BM41" i="13" s="1"/>
  <c r="BL41" i="13" s="1"/>
  <c r="BC41" i="13"/>
  <c r="BB41" i="13" s="1"/>
  <c r="BA41" i="13" s="1"/>
  <c r="AZ41" i="13" s="1"/>
  <c r="AY41" i="13" s="1"/>
  <c r="NQ28" i="13"/>
  <c r="LP28" i="13"/>
  <c r="LQ28" i="13" s="1"/>
  <c r="NV28" i="13"/>
  <c r="NH140" i="13"/>
  <c r="NG140" i="13"/>
  <c r="KH140" i="13" s="1"/>
  <c r="KJ140" i="13" s="1"/>
  <c r="KK140" i="13" s="1"/>
  <c r="NF140" i="13"/>
  <c r="JL140" i="13"/>
  <c r="JN140" i="13" s="1"/>
  <c r="AQ22" i="13"/>
  <c r="AP22" i="13" s="1"/>
  <c r="AO22" i="13" s="1"/>
  <c r="AL22" i="13" s="1"/>
  <c r="GP132" i="13"/>
  <c r="NX185" i="13"/>
  <c r="NW185" i="13"/>
  <c r="NX27" i="13"/>
  <c r="NW27" i="13"/>
  <c r="JO176" i="13"/>
  <c r="KF176" i="13"/>
  <c r="JK44" i="13"/>
  <c r="NS88" i="13"/>
  <c r="HS88" i="13"/>
  <c r="NK88" i="13"/>
  <c r="NY88" i="13"/>
  <c r="NV32" i="13"/>
  <c r="NQ32" i="13"/>
  <c r="LP32" i="13"/>
  <c r="LQ32" i="13" s="1"/>
  <c r="NI111" i="13"/>
  <c r="KL111" i="13"/>
  <c r="KN111" i="13" s="1"/>
  <c r="KO111" i="13" s="1"/>
  <c r="BP27" i="13"/>
  <c r="BO27" i="13" s="1"/>
  <c r="BN27" i="13" s="1"/>
  <c r="BM27" i="13" s="1"/>
  <c r="BL27" i="13" s="1"/>
  <c r="NV31" i="13"/>
  <c r="NQ31" i="13"/>
  <c r="DN31" i="13" s="1"/>
  <c r="DM31" i="13" s="1"/>
  <c r="DL31" i="13" s="1"/>
  <c r="LP31" i="13"/>
  <c r="LQ31" i="13" s="1"/>
  <c r="DB65" i="13"/>
  <c r="DA65" i="13" s="1"/>
  <c r="DZ65" i="13"/>
  <c r="DY65" i="13" s="1"/>
  <c r="DX65" i="13" s="1"/>
  <c r="DW65" i="13" s="1"/>
  <c r="DV65" i="13" s="1"/>
  <c r="CR65" i="13"/>
  <c r="CQ65" i="13" s="1"/>
  <c r="CP65" i="13" s="1"/>
  <c r="CO65" i="13" s="1"/>
  <c r="CN65" i="13" s="1"/>
  <c r="CM65" i="13"/>
  <c r="CL65" i="13" s="1"/>
  <c r="CK65" i="13" s="1"/>
  <c r="CJ65" i="13" s="1"/>
  <c r="CI65" i="13" s="1"/>
  <c r="DP65" i="13"/>
  <c r="DO65" i="13" s="1"/>
  <c r="DN65" i="13" s="1"/>
  <c r="DM65" i="13" s="1"/>
  <c r="DL65" i="13" s="1"/>
  <c r="DU65" i="13"/>
  <c r="DT65" i="13" s="1"/>
  <c r="DS65" i="13" s="1"/>
  <c r="DR65" i="13" s="1"/>
  <c r="DQ65" i="13" s="1"/>
  <c r="LI33" i="13"/>
  <c r="NU33" i="13"/>
  <c r="NO33" i="13"/>
  <c r="CP33" i="13" s="1"/>
  <c r="CO33" i="13" s="1"/>
  <c r="CN33" i="13" s="1"/>
  <c r="JK102" i="13"/>
  <c r="NI141" i="13"/>
  <c r="KL141" i="13"/>
  <c r="KN141" i="13" s="1"/>
  <c r="KO141" i="13" s="1"/>
  <c r="BC82" i="13"/>
  <c r="BB82" i="13" s="1"/>
  <c r="BA82" i="13" s="1"/>
  <c r="AZ82" i="13" s="1"/>
  <c r="AY82" i="13" s="1"/>
  <c r="BU82" i="13"/>
  <c r="BT82" i="13" s="1"/>
  <c r="BS82" i="13" s="1"/>
  <c r="BR82" i="13" s="1"/>
  <c r="BQ82" i="13" s="1"/>
  <c r="AX82" i="13"/>
  <c r="AW82" i="13" s="1"/>
  <c r="AV82" i="13" s="1"/>
  <c r="AU82" i="13" s="1"/>
  <c r="AT82" i="13" s="1"/>
  <c r="AS82" i="13"/>
  <c r="AR82" i="13" s="1"/>
  <c r="AQ82" i="13" s="1"/>
  <c r="AP82" i="13" s="1"/>
  <c r="AO82" i="13" s="1"/>
  <c r="AL82" i="13" s="1"/>
  <c r="BP82" i="13"/>
  <c r="BO82" i="13" s="1"/>
  <c r="BN82" i="13" s="1"/>
  <c r="BM82" i="13" s="1"/>
  <c r="BL82" i="13" s="1"/>
  <c r="CE82" i="13"/>
  <c r="CD82" i="13" s="1"/>
  <c r="CC82" i="13" s="1"/>
  <c r="CB82" i="13" s="1"/>
  <c r="CA82" i="13" s="1"/>
  <c r="BH82" i="13"/>
  <c r="BG82" i="13" s="1"/>
  <c r="BF82" i="13" s="1"/>
  <c r="BE82" i="13" s="1"/>
  <c r="BD82" i="13" s="1"/>
  <c r="BZ82" i="13"/>
  <c r="BY82" i="13" s="1"/>
  <c r="BX82" i="13" s="1"/>
  <c r="BW82" i="13" s="1"/>
  <c r="BV82" i="13" s="1"/>
  <c r="NH120" i="13"/>
  <c r="NG120" i="13"/>
  <c r="KH120" i="13" s="1"/>
  <c r="KJ120" i="13" s="1"/>
  <c r="KK120" i="13" s="1"/>
  <c r="NF120" i="13"/>
  <c r="JL120" i="13"/>
  <c r="JN120" i="13" s="1"/>
  <c r="JO145" i="13"/>
  <c r="KF145" i="13"/>
  <c r="JK133" i="13"/>
  <c r="NO189" i="13"/>
  <c r="NU189" i="13"/>
  <c r="LI189" i="13"/>
  <c r="NP189" i="13" s="1"/>
  <c r="CE205" i="13"/>
  <c r="CD205" i="13" s="1"/>
  <c r="CC205" i="13" s="1"/>
  <c r="CB205" i="13" s="1"/>
  <c r="CA205" i="13" s="1"/>
  <c r="JO182" i="13"/>
  <c r="KF182" i="13"/>
  <c r="BS185" i="13"/>
  <c r="BR185" i="13" s="1"/>
  <c r="BQ185" i="13" s="1"/>
  <c r="LB164" i="13"/>
  <c r="LD164" i="13" s="1"/>
  <c r="LE164" i="13" s="1"/>
  <c r="DZ164" i="13" s="1"/>
  <c r="DY164" i="13" s="1"/>
  <c r="DX164" i="13" s="1"/>
  <c r="DW164" i="13" s="1"/>
  <c r="DV164" i="13" s="1"/>
  <c r="LR164" i="13"/>
  <c r="LT164" i="13" s="1"/>
  <c r="LU164" i="13" s="1"/>
  <c r="DU164" i="13" s="1"/>
  <c r="DT164" i="13" s="1"/>
  <c r="DS164" i="13" s="1"/>
  <c r="DR164" i="13" s="1"/>
  <c r="DQ164" i="13" s="1"/>
  <c r="LJ164" i="13"/>
  <c r="LL164" i="13" s="1"/>
  <c r="LM164" i="13" s="1"/>
  <c r="KT164" i="13"/>
  <c r="KV164" i="13" s="1"/>
  <c r="KW164" i="13" s="1"/>
  <c r="DB164" i="13" s="1"/>
  <c r="DA164" i="13" s="1"/>
  <c r="CM54" i="13"/>
  <c r="CL54" i="13" s="1"/>
  <c r="DZ54" i="13"/>
  <c r="DY54" i="13" s="1"/>
  <c r="DX54" i="13" s="1"/>
  <c r="DW54" i="13" s="1"/>
  <c r="DV54" i="13" s="1"/>
  <c r="DU54" i="13"/>
  <c r="DT54" i="13" s="1"/>
  <c r="DS54" i="13" s="1"/>
  <c r="DR54" i="13" s="1"/>
  <c r="DQ54" i="13" s="1"/>
  <c r="DP54" i="13"/>
  <c r="DO54" i="13" s="1"/>
  <c r="DN54" i="13" s="1"/>
  <c r="DM54" i="13" s="1"/>
  <c r="DL54" i="13" s="1"/>
  <c r="CR54" i="13"/>
  <c r="CQ54" i="13" s="1"/>
  <c r="CW54" i="13"/>
  <c r="CV54" i="13" s="1"/>
  <c r="CU54" i="13" s="1"/>
  <c r="CT54" i="13" s="1"/>
  <c r="CS54" i="13" s="1"/>
  <c r="DB54" i="13"/>
  <c r="DA54" i="13" s="1"/>
  <c r="CZ54" i="13" s="1"/>
  <c r="CY54" i="13" s="1"/>
  <c r="CX54" i="13" s="1"/>
  <c r="LB53" i="13"/>
  <c r="LD53" i="13" s="1"/>
  <c r="LE53" i="13" s="1"/>
  <c r="KT53" i="13"/>
  <c r="KV53" i="13" s="1"/>
  <c r="KW53" i="13" s="1"/>
  <c r="LR53" i="13"/>
  <c r="LT53" i="13" s="1"/>
  <c r="LU53" i="13" s="1"/>
  <c r="LJ53" i="13"/>
  <c r="LL53" i="13" s="1"/>
  <c r="LM53" i="13" s="1"/>
  <c r="CC201" i="13"/>
  <c r="CB201" i="13" s="1"/>
  <c r="CA201" i="13" s="1"/>
  <c r="NK55" i="13"/>
  <c r="NY55" i="13"/>
  <c r="NS55" i="13"/>
  <c r="HS55" i="13"/>
  <c r="NL55" i="13" s="1"/>
  <c r="NX75" i="13"/>
  <c r="NW75" i="13"/>
  <c r="JO162" i="13"/>
  <c r="KF162" i="13"/>
  <c r="BX20" i="13"/>
  <c r="BW20" i="13" s="1"/>
  <c r="BV20" i="13" s="1"/>
  <c r="NR63" i="13"/>
  <c r="BX128" i="13"/>
  <c r="BW128" i="13" s="1"/>
  <c r="BV128" i="13" s="1"/>
  <c r="NI121" i="13"/>
  <c r="KL121" i="13"/>
  <c r="KN121" i="13" s="1"/>
  <c r="KO121" i="13" s="1"/>
  <c r="NX156" i="13"/>
  <c r="NW156" i="13"/>
  <c r="BP68" i="13"/>
  <c r="BO68" i="13" s="1"/>
  <c r="BN68" i="13" s="1"/>
  <c r="BM68" i="13" s="1"/>
  <c r="BL68" i="13" s="1"/>
  <c r="CC59" i="13"/>
  <c r="CB59" i="13" s="1"/>
  <c r="CA59" i="13" s="1"/>
  <c r="NQ85" i="13"/>
  <c r="LP85" i="13"/>
  <c r="LQ85" i="13" s="1"/>
  <c r="NR85" i="13" s="1"/>
  <c r="NV85" i="13"/>
  <c r="NS45" i="13"/>
  <c r="HS45" i="13"/>
  <c r="NL45" i="13" s="1"/>
  <c r="NK45" i="13"/>
  <c r="NY45" i="13"/>
  <c r="JK78" i="13"/>
  <c r="JK205" i="13"/>
  <c r="NL147" i="13"/>
  <c r="NO60" i="13"/>
  <c r="LI60" i="13"/>
  <c r="NP60" i="13" s="1"/>
  <c r="NU60" i="13"/>
  <c r="CR164" i="13"/>
  <c r="CQ164" i="13" s="1"/>
  <c r="CP164" i="13" s="1"/>
  <c r="CO164" i="13" s="1"/>
  <c r="CN164" i="13" s="1"/>
  <c r="DK164" i="13"/>
  <c r="DJ164" i="13" s="1"/>
  <c r="DI164" i="13" s="1"/>
  <c r="DH164" i="13" s="1"/>
  <c r="DG164" i="13" s="1"/>
  <c r="CM164" i="13"/>
  <c r="CL164" i="13" s="1"/>
  <c r="CK164" i="13" s="1"/>
  <c r="CJ164" i="13" s="1"/>
  <c r="CI164" i="13" s="1"/>
  <c r="DP164" i="13"/>
  <c r="DO164" i="13" s="1"/>
  <c r="DN164" i="13" s="1"/>
  <c r="DM164" i="13" s="1"/>
  <c r="DL164" i="13" s="1"/>
  <c r="CW164" i="13"/>
  <c r="CV164" i="13" s="1"/>
  <c r="NI90" i="13"/>
  <c r="KL90" i="13"/>
  <c r="KN90" i="13" s="1"/>
  <c r="KO90" i="13" s="1"/>
  <c r="JO78" i="13"/>
  <c r="KG78" i="13" s="1"/>
  <c r="KF78" i="13"/>
  <c r="NV135" i="13"/>
  <c r="NQ135" i="13"/>
  <c r="LP135" i="13"/>
  <c r="LQ135" i="13" s="1"/>
  <c r="NR135" i="13" s="1"/>
  <c r="LN48" i="13"/>
  <c r="KX48" i="13"/>
  <c r="KZ48" i="13" s="1"/>
  <c r="LA48" i="13" s="1"/>
  <c r="LF48" i="13"/>
  <c r="LH48" i="13" s="1"/>
  <c r="KP48" i="13"/>
  <c r="KR48" i="13" s="1"/>
  <c r="KS48" i="13" s="1"/>
  <c r="NX95" i="13"/>
  <c r="NW95" i="13"/>
  <c r="LJ116" i="13"/>
  <c r="LL116" i="13" s="1"/>
  <c r="LM116" i="13" s="1"/>
  <c r="CW116" i="13" s="1"/>
  <c r="CV116" i="13" s="1"/>
  <c r="LB116" i="13"/>
  <c r="LD116" i="13" s="1"/>
  <c r="LE116" i="13" s="1"/>
  <c r="DZ116" i="13" s="1"/>
  <c r="DY116" i="13" s="1"/>
  <c r="KT116" i="13"/>
  <c r="KV116" i="13" s="1"/>
  <c r="KW116" i="13" s="1"/>
  <c r="DB116" i="13" s="1"/>
  <c r="DA116" i="13" s="1"/>
  <c r="CZ116" i="13" s="1"/>
  <c r="CY116" i="13" s="1"/>
  <c r="CX116" i="13" s="1"/>
  <c r="LR116" i="13"/>
  <c r="LT116" i="13" s="1"/>
  <c r="LU116" i="13" s="1"/>
  <c r="DU116" i="13" s="1"/>
  <c r="DT116" i="13" s="1"/>
  <c r="BX146" i="13"/>
  <c r="BW146" i="13" s="1"/>
  <c r="BV146" i="13" s="1"/>
  <c r="BX71" i="13"/>
  <c r="BW71" i="13" s="1"/>
  <c r="BV71" i="13" s="1"/>
  <c r="LJ212" i="13"/>
  <c r="LL212" i="13" s="1"/>
  <c r="LM212" i="13" s="1"/>
  <c r="LR212" i="13"/>
  <c r="LT212" i="13" s="1"/>
  <c r="LU212" i="13" s="1"/>
  <c r="LB212" i="13"/>
  <c r="LD212" i="13" s="1"/>
  <c r="LE212" i="13" s="1"/>
  <c r="KT212" i="13"/>
  <c r="KV212" i="13" s="1"/>
  <c r="KW212" i="13" s="1"/>
  <c r="GP199" i="13"/>
  <c r="AV18" i="13"/>
  <c r="AU18" i="13" s="1"/>
  <c r="AT18" i="13" s="1"/>
  <c r="CC203" i="13"/>
  <c r="CB203" i="13" s="1"/>
  <c r="CA203" i="13" s="1"/>
  <c r="KT40" i="13"/>
  <c r="KV40" i="13" s="1"/>
  <c r="KW40" i="13" s="1"/>
  <c r="DB40" i="13" s="1"/>
  <c r="DA40" i="13" s="1"/>
  <c r="LR40" i="13"/>
  <c r="LT40" i="13" s="1"/>
  <c r="LU40" i="13" s="1"/>
  <c r="DU40" i="13" s="1"/>
  <c r="DT40" i="13" s="1"/>
  <c r="DS40" i="13" s="1"/>
  <c r="DR40" i="13" s="1"/>
  <c r="DQ40" i="13" s="1"/>
  <c r="LJ40" i="13"/>
  <c r="LL40" i="13" s="1"/>
  <c r="LM40" i="13" s="1"/>
  <c r="CW40" i="13" s="1"/>
  <c r="CV40" i="13" s="1"/>
  <c r="CU40" i="13" s="1"/>
  <c r="CT40" i="13" s="1"/>
  <c r="CS40" i="13" s="1"/>
  <c r="LB40" i="13"/>
  <c r="LD40" i="13" s="1"/>
  <c r="LE40" i="13" s="1"/>
  <c r="DZ40" i="13" s="1"/>
  <c r="DY40" i="13" s="1"/>
  <c r="DX40" i="13" s="1"/>
  <c r="DW40" i="13" s="1"/>
  <c r="DV40" i="13" s="1"/>
  <c r="JK183" i="13"/>
  <c r="BP22" i="13"/>
  <c r="BO22" i="13" s="1"/>
  <c r="BN22" i="13" s="1"/>
  <c r="BM22" i="13" s="1"/>
  <c r="BL22" i="13" s="1"/>
  <c r="HD61" i="13"/>
  <c r="HF61" i="13" s="1"/>
  <c r="HG61" i="13" s="1"/>
  <c r="HT61" i="13"/>
  <c r="HV61" i="13" s="1"/>
  <c r="HW61" i="13" s="1"/>
  <c r="IB61" i="13"/>
  <c r="ID61" i="13" s="1"/>
  <c r="IE61" i="13" s="1"/>
  <c r="HL61" i="13"/>
  <c r="HN61" i="13" s="1"/>
  <c r="HO61" i="13" s="1"/>
  <c r="NI118" i="13"/>
  <c r="KL118" i="13"/>
  <c r="KN118" i="13" s="1"/>
  <c r="KO118" i="13" s="1"/>
  <c r="KT75" i="13"/>
  <c r="KV75" i="13" s="1"/>
  <c r="KW75" i="13" s="1"/>
  <c r="LJ75" i="13"/>
  <c r="LL75" i="13" s="1"/>
  <c r="LM75" i="13" s="1"/>
  <c r="LB75" i="13"/>
  <c r="LD75" i="13" s="1"/>
  <c r="LE75" i="13" s="1"/>
  <c r="LR75" i="13"/>
  <c r="LT75" i="13" s="1"/>
  <c r="LU75" i="13" s="1"/>
  <c r="JO151" i="13"/>
  <c r="KF151" i="13"/>
  <c r="DZ80" i="13"/>
  <c r="DY80" i="13" s="1"/>
  <c r="DX80" i="13" s="1"/>
  <c r="DW80" i="13" s="1"/>
  <c r="DV80" i="13" s="1"/>
  <c r="DP80" i="13"/>
  <c r="DO80" i="13" s="1"/>
  <c r="DN80" i="13" s="1"/>
  <c r="DM80" i="13" s="1"/>
  <c r="DL80" i="13" s="1"/>
  <c r="CM80" i="13"/>
  <c r="CL80" i="13" s="1"/>
  <c r="CK80" i="13" s="1"/>
  <c r="CJ80" i="13" s="1"/>
  <c r="CI80" i="13" s="1"/>
  <c r="DU80" i="13"/>
  <c r="DT80" i="13" s="1"/>
  <c r="DS80" i="13" s="1"/>
  <c r="DR80" i="13" s="1"/>
  <c r="DQ80" i="13" s="1"/>
  <c r="CR80" i="13"/>
  <c r="CQ80" i="13" s="1"/>
  <c r="CP80" i="13" s="1"/>
  <c r="CO80" i="13" s="1"/>
  <c r="CN80" i="13" s="1"/>
  <c r="CW80" i="13"/>
  <c r="CV80" i="13" s="1"/>
  <c r="CU80" i="13" s="1"/>
  <c r="CT80" i="13" s="1"/>
  <c r="CS80" i="13" s="1"/>
  <c r="DK80" i="13"/>
  <c r="DJ80" i="13" s="1"/>
  <c r="DI80" i="13" s="1"/>
  <c r="DH80" i="13" s="1"/>
  <c r="DG80" i="13" s="1"/>
  <c r="NI176" i="13"/>
  <c r="KL176" i="13"/>
  <c r="KN176" i="13" s="1"/>
  <c r="KO176" i="13" s="1"/>
  <c r="JK132" i="13"/>
  <c r="JK188" i="13"/>
  <c r="NH150" i="13"/>
  <c r="NG150" i="13"/>
  <c r="KH150" i="13" s="1"/>
  <c r="KJ150" i="13" s="1"/>
  <c r="KK150" i="13" s="1"/>
  <c r="NF150" i="13"/>
  <c r="JL150" i="13"/>
  <c r="JN150" i="13" s="1"/>
  <c r="LI32" i="13"/>
  <c r="NU32" i="13"/>
  <c r="NO32" i="13"/>
  <c r="CP32" i="13" s="1"/>
  <c r="CO32" i="13" s="1"/>
  <c r="CN32" i="13" s="1"/>
  <c r="NV25" i="13"/>
  <c r="NQ25" i="13"/>
  <c r="DN25" i="13" s="1"/>
  <c r="DM25" i="13" s="1"/>
  <c r="DL25" i="13" s="1"/>
  <c r="LP25" i="13"/>
  <c r="LQ25" i="13" s="1"/>
  <c r="AV27" i="13"/>
  <c r="AU27" i="13" s="1"/>
  <c r="AT27" i="13" s="1"/>
  <c r="DZ211" i="13"/>
  <c r="DY211" i="13" s="1"/>
  <c r="DB211" i="13"/>
  <c r="DA211" i="13" s="1"/>
  <c r="DP211" i="13"/>
  <c r="DO211" i="13" s="1"/>
  <c r="CW211" i="13"/>
  <c r="CV211" i="13" s="1"/>
  <c r="CR211" i="13"/>
  <c r="CQ211" i="13" s="1"/>
  <c r="JO94" i="13"/>
  <c r="KF94" i="13"/>
  <c r="IA125" i="13"/>
  <c r="NN125" i="13" s="1"/>
  <c r="NT125" i="13"/>
  <c r="NM125" i="13"/>
  <c r="KP68" i="13"/>
  <c r="KR68" i="13" s="1"/>
  <c r="KS68" i="13" s="1"/>
  <c r="LF68" i="13"/>
  <c r="LH68" i="13" s="1"/>
  <c r="KX68" i="13"/>
  <c r="KZ68" i="13" s="1"/>
  <c r="LA68" i="13" s="1"/>
  <c r="LN68" i="13"/>
  <c r="JO101" i="13"/>
  <c r="KG101" i="13" s="1"/>
  <c r="KF101" i="13"/>
  <c r="KX179" i="13"/>
  <c r="KZ179" i="13" s="1"/>
  <c r="LA179" i="13" s="1"/>
  <c r="LN179" i="13"/>
  <c r="KP179" i="13"/>
  <c r="KR179" i="13" s="1"/>
  <c r="KS179" i="13" s="1"/>
  <c r="LF179" i="13"/>
  <c r="LH179" i="13" s="1"/>
  <c r="JK68" i="13"/>
  <c r="NI16" i="13"/>
  <c r="KL16" i="13"/>
  <c r="KN16" i="13" s="1"/>
  <c r="KO16" i="13" s="1"/>
  <c r="KX191" i="13"/>
  <c r="KZ191" i="13" s="1"/>
  <c r="LA191" i="13" s="1"/>
  <c r="KP191" i="13"/>
  <c r="KR191" i="13" s="1"/>
  <c r="KS191" i="13" s="1"/>
  <c r="LF191" i="13"/>
  <c r="LH191" i="13" s="1"/>
  <c r="LN191" i="13"/>
  <c r="JO172" i="13"/>
  <c r="KF172" i="13"/>
  <c r="LN92" i="13"/>
  <c r="KX92" i="13"/>
  <c r="KZ92" i="13" s="1"/>
  <c r="LA92" i="13" s="1"/>
  <c r="LF92" i="13"/>
  <c r="LH92" i="13" s="1"/>
  <c r="KP92" i="13"/>
  <c r="KR92" i="13" s="1"/>
  <c r="KS92" i="13" s="1"/>
  <c r="KX207" i="13"/>
  <c r="KZ207" i="13" s="1"/>
  <c r="LA207" i="13" s="1"/>
  <c r="LF207" i="13"/>
  <c r="LH207" i="13" s="1"/>
  <c r="LN207" i="13"/>
  <c r="KP207" i="13"/>
  <c r="KR207" i="13" s="1"/>
  <c r="KS207" i="13" s="1"/>
  <c r="NI145" i="13"/>
  <c r="KL145" i="13"/>
  <c r="KN145" i="13" s="1"/>
  <c r="KO145" i="13" s="1"/>
  <c r="NN139" i="13"/>
  <c r="NI182" i="13"/>
  <c r="KL182" i="13"/>
  <c r="KN182" i="13" s="1"/>
  <c r="KO182" i="13" s="1"/>
  <c r="BX96" i="13"/>
  <c r="BW96" i="13" s="1"/>
  <c r="BV96" i="13" s="1"/>
  <c r="LN133" i="13"/>
  <c r="LF133" i="13"/>
  <c r="LH133" i="13" s="1"/>
  <c r="KX133" i="13"/>
  <c r="KZ133" i="13" s="1"/>
  <c r="LA133" i="13" s="1"/>
  <c r="KP133" i="13"/>
  <c r="KR133" i="13" s="1"/>
  <c r="KS133" i="13" s="1"/>
  <c r="KX22" i="13"/>
  <c r="KZ22" i="13" s="1"/>
  <c r="LA22" i="13" s="1"/>
  <c r="DP22" i="13" s="1"/>
  <c r="DO22" i="13" s="1"/>
  <c r="KP22" i="13"/>
  <c r="KR22" i="13" s="1"/>
  <c r="KS22" i="13" s="1"/>
  <c r="LF22" i="13"/>
  <c r="LH22" i="13" s="1"/>
  <c r="LN22" i="13"/>
  <c r="JO202" i="13"/>
  <c r="KG202" i="13" s="1"/>
  <c r="KF202" i="13"/>
  <c r="NI162" i="13"/>
  <c r="KL162" i="13"/>
  <c r="KN162" i="13" s="1"/>
  <c r="KO162" i="13" s="1"/>
  <c r="DB63" i="13"/>
  <c r="DA63" i="13" s="1"/>
  <c r="CZ63" i="13" s="1"/>
  <c r="CY63" i="13" s="1"/>
  <c r="CX63" i="13" s="1"/>
  <c r="CW63" i="13"/>
  <c r="CV63" i="13" s="1"/>
  <c r="CU63" i="13" s="1"/>
  <c r="CT63" i="13" s="1"/>
  <c r="CS63" i="13" s="1"/>
  <c r="DP63" i="13"/>
  <c r="DO63" i="13" s="1"/>
  <c r="DN63" i="13" s="1"/>
  <c r="DM63" i="13" s="1"/>
  <c r="DL63" i="13" s="1"/>
  <c r="DK63" i="13"/>
  <c r="DJ63" i="13" s="1"/>
  <c r="DI63" i="13" s="1"/>
  <c r="DH63" i="13" s="1"/>
  <c r="DG63" i="13" s="1"/>
  <c r="CR63" i="13"/>
  <c r="CQ63" i="13" s="1"/>
  <c r="CP63" i="13" s="1"/>
  <c r="CO63" i="13" s="1"/>
  <c r="CN63" i="13" s="1"/>
  <c r="DU63" i="13"/>
  <c r="DT63" i="13" s="1"/>
  <c r="DS63" i="13" s="1"/>
  <c r="DR63" i="13" s="1"/>
  <c r="DQ63" i="13" s="1"/>
  <c r="BX160" i="13"/>
  <c r="BW160" i="13" s="1"/>
  <c r="BV160" i="13" s="1"/>
  <c r="BH77" i="13"/>
  <c r="BG77" i="13" s="1"/>
  <c r="BF77" i="13" s="1"/>
  <c r="BE77" i="13" s="1"/>
  <c r="BD77" i="13" s="1"/>
  <c r="NQ131" i="13"/>
  <c r="LP131" i="13"/>
  <c r="LQ131" i="13" s="1"/>
  <c r="NV131" i="13"/>
  <c r="NO59" i="13"/>
  <c r="LI59" i="13"/>
  <c r="NP59" i="13" s="1"/>
  <c r="NU59" i="13"/>
  <c r="LF14" i="13"/>
  <c r="LH14" i="13" s="1"/>
  <c r="KP14" i="13"/>
  <c r="KR14" i="13" s="1"/>
  <c r="KS14" i="13" s="1"/>
  <c r="KX14" i="13"/>
  <c r="KZ14" i="13" s="1"/>
  <c r="LA14" i="13" s="1"/>
  <c r="DP14" i="13" s="1"/>
  <c r="DO14" i="13" s="1"/>
  <c r="LN14" i="13"/>
  <c r="CC68" i="13"/>
  <c r="CB68" i="13" s="1"/>
  <c r="CA68" i="13" s="1"/>
  <c r="BH209" i="13"/>
  <c r="BG209" i="13" s="1"/>
  <c r="BF209" i="13" s="1"/>
  <c r="BE209" i="13" s="1"/>
  <c r="BD209" i="13" s="1"/>
  <c r="BX57" i="13"/>
  <c r="BW57" i="13" s="1"/>
  <c r="BV57" i="13" s="1"/>
  <c r="JO129" i="13"/>
  <c r="KF129" i="13"/>
  <c r="NI78" i="13"/>
  <c r="KL78" i="13"/>
  <c r="KN78" i="13" s="1"/>
  <c r="KO78" i="13" s="1"/>
  <c r="NR115" i="13"/>
  <c r="NV211" i="13"/>
  <c r="NQ211" i="13"/>
  <c r="LP211" i="13"/>
  <c r="LQ211" i="13" s="1"/>
  <c r="NR211" i="13" s="1"/>
  <c r="NU135" i="13"/>
  <c r="LI135" i="13"/>
  <c r="NP135" i="13" s="1"/>
  <c r="NO135" i="13"/>
  <c r="CE142" i="13"/>
  <c r="CD142" i="13" s="1"/>
  <c r="CC142" i="13" s="1"/>
  <c r="CB142" i="13" s="1"/>
  <c r="CA142" i="13" s="1"/>
  <c r="BZ142" i="13"/>
  <c r="BY142" i="13" s="1"/>
  <c r="BX142" i="13" s="1"/>
  <c r="BW142" i="13" s="1"/>
  <c r="BV142" i="13" s="1"/>
  <c r="BC142" i="13"/>
  <c r="BB142" i="13" s="1"/>
  <c r="BA142" i="13" s="1"/>
  <c r="AZ142" i="13" s="1"/>
  <c r="AY142" i="13" s="1"/>
  <c r="AX142" i="13"/>
  <c r="AW142" i="13" s="1"/>
  <c r="AV142" i="13" s="1"/>
  <c r="AU142" i="13" s="1"/>
  <c r="AT142" i="13" s="1"/>
  <c r="AS142" i="13"/>
  <c r="AR142" i="13" s="1"/>
  <c r="AQ142" i="13" s="1"/>
  <c r="AP142" i="13" s="1"/>
  <c r="AO142" i="13" s="1"/>
  <c r="AL142" i="13" s="1"/>
  <c r="BU142" i="13"/>
  <c r="BT142" i="13" s="1"/>
  <c r="BS142" i="13" s="1"/>
  <c r="BR142" i="13" s="1"/>
  <c r="BQ142" i="13" s="1"/>
  <c r="BP142" i="13"/>
  <c r="BO142" i="13" s="1"/>
  <c r="BN142" i="13" s="1"/>
  <c r="BM142" i="13" s="1"/>
  <c r="BL142" i="13" s="1"/>
  <c r="BH142" i="13"/>
  <c r="BG142" i="13" s="1"/>
  <c r="BF142" i="13" s="1"/>
  <c r="BE142" i="13" s="1"/>
  <c r="BD142" i="13" s="1"/>
  <c r="NI48" i="13"/>
  <c r="KL48" i="13"/>
  <c r="KN48" i="13" s="1"/>
  <c r="KO48" i="13" s="1"/>
  <c r="AV78" i="13"/>
  <c r="AU78" i="13" s="1"/>
  <c r="AT78" i="13" s="1"/>
  <c r="NO198" i="13"/>
  <c r="LI198" i="13"/>
  <c r="NP198" i="13" s="1"/>
  <c r="NU198" i="13"/>
  <c r="GP113" i="13"/>
  <c r="NL113" i="13"/>
  <c r="GP144" i="13"/>
  <c r="NN144" i="13"/>
  <c r="NL144" i="13"/>
  <c r="DZ49" i="13"/>
  <c r="DY49" i="13" s="1"/>
  <c r="CR49" i="13"/>
  <c r="CQ49" i="13" s="1"/>
  <c r="CP49" i="13" s="1"/>
  <c r="CO49" i="13" s="1"/>
  <c r="CN49" i="13" s="1"/>
  <c r="DB49" i="13"/>
  <c r="DA49" i="13" s="1"/>
  <c r="CZ49" i="13" s="1"/>
  <c r="CY49" i="13" s="1"/>
  <c r="CX49" i="13" s="1"/>
  <c r="DU49" i="13"/>
  <c r="DT49" i="13" s="1"/>
  <c r="DP49" i="13"/>
  <c r="DO49" i="13" s="1"/>
  <c r="CW49" i="13"/>
  <c r="CV49" i="13" s="1"/>
  <c r="CU49" i="13" s="1"/>
  <c r="CT49" i="13" s="1"/>
  <c r="CS49" i="13" s="1"/>
  <c r="NV159" i="13"/>
  <c r="NQ159" i="13"/>
  <c r="LP159" i="13"/>
  <c r="LQ159" i="13" s="1"/>
  <c r="HL150" i="13"/>
  <c r="HN150" i="13" s="1"/>
  <c r="HO150" i="13" s="1"/>
  <c r="HD150" i="13"/>
  <c r="HF150" i="13" s="1"/>
  <c r="HG150" i="13" s="1"/>
  <c r="IB150" i="13"/>
  <c r="ID150" i="13" s="1"/>
  <c r="IE150" i="13" s="1"/>
  <c r="HT150" i="13"/>
  <c r="HV150" i="13" s="1"/>
  <c r="HW150" i="13" s="1"/>
  <c r="NH119" i="13"/>
  <c r="NG119" i="13"/>
  <c r="KH119" i="13" s="1"/>
  <c r="KJ119" i="13" s="1"/>
  <c r="KK119" i="13" s="1"/>
  <c r="NF119" i="13"/>
  <c r="JL119" i="13"/>
  <c r="JN119" i="13" s="1"/>
  <c r="NS115" i="13"/>
  <c r="NY115" i="13"/>
  <c r="HS115" i="13"/>
  <c r="NL115" i="13" s="1"/>
  <c r="NK115" i="13"/>
  <c r="AV22" i="13"/>
  <c r="AU22" i="13" s="1"/>
  <c r="AT22" i="13" s="1"/>
  <c r="NH144" i="13"/>
  <c r="NG144" i="13"/>
  <c r="KH144" i="13" s="1"/>
  <c r="KJ144" i="13" s="1"/>
  <c r="KK144" i="13" s="1"/>
  <c r="NF144" i="13"/>
  <c r="JL144" i="13"/>
  <c r="JN144" i="13" s="1"/>
  <c r="KP118" i="13"/>
  <c r="KR118" i="13" s="1"/>
  <c r="KS118" i="13" s="1"/>
  <c r="KX118" i="13"/>
  <c r="KZ118" i="13" s="1"/>
  <c r="LA118" i="13" s="1"/>
  <c r="LF118" i="13"/>
  <c r="LH118" i="13" s="1"/>
  <c r="LN118" i="13"/>
  <c r="LF95" i="13"/>
  <c r="LH95" i="13" s="1"/>
  <c r="LN95" i="13"/>
  <c r="KP95" i="13"/>
  <c r="KR95" i="13" s="1"/>
  <c r="KS95" i="13" s="1"/>
  <c r="KX95" i="13"/>
  <c r="KZ95" i="13" s="1"/>
  <c r="LA95" i="13" s="1"/>
  <c r="HD111" i="13"/>
  <c r="HF111" i="13" s="1"/>
  <c r="HG111" i="13" s="1"/>
  <c r="IB111" i="13"/>
  <c r="ID111" i="13" s="1"/>
  <c r="IE111" i="13" s="1"/>
  <c r="HL111" i="13"/>
  <c r="HN111" i="13" s="1"/>
  <c r="HO111" i="13" s="1"/>
  <c r="HT111" i="13"/>
  <c r="HV111" i="13" s="1"/>
  <c r="HW111" i="13" s="1"/>
  <c r="BX118" i="13"/>
  <c r="BW118" i="13" s="1"/>
  <c r="BV118" i="13" s="1"/>
  <c r="NN207" i="13"/>
  <c r="BP207" i="13"/>
  <c r="BO207" i="13" s="1"/>
  <c r="BN207" i="13" s="1"/>
  <c r="BM207" i="13" s="1"/>
  <c r="BL207" i="13" s="1"/>
  <c r="IA126" i="13"/>
  <c r="NN126" i="13" s="1"/>
  <c r="NT126" i="13"/>
  <c r="NM126" i="13"/>
  <c r="JK199" i="13"/>
  <c r="KG155" i="13"/>
  <c r="NI151" i="13"/>
  <c r="KL151" i="13"/>
  <c r="KN151" i="13" s="1"/>
  <c r="KO151" i="13" s="1"/>
  <c r="NR47" i="13"/>
  <c r="LF18" i="13"/>
  <c r="LH18" i="13" s="1"/>
  <c r="KP18" i="13"/>
  <c r="KR18" i="13" s="1"/>
  <c r="KS18" i="13" s="1"/>
  <c r="LN18" i="13"/>
  <c r="KX18" i="13"/>
  <c r="KZ18" i="13" s="1"/>
  <c r="LA18" i="13" s="1"/>
  <c r="DP18" i="13" s="1"/>
  <c r="DO18" i="13" s="1"/>
  <c r="NV113" i="13"/>
  <c r="LP113" i="13"/>
  <c r="LQ113" i="13" s="1"/>
  <c r="NR113" i="13" s="1"/>
  <c r="NQ113" i="13"/>
  <c r="NG187" i="13"/>
  <c r="KH187" i="13" s="1"/>
  <c r="KJ187" i="13" s="1"/>
  <c r="KK187" i="13" s="1"/>
  <c r="NF187" i="13"/>
  <c r="NH187" i="13"/>
  <c r="JL187" i="13"/>
  <c r="JN187" i="13" s="1"/>
  <c r="JK88" i="13"/>
  <c r="JO183" i="13"/>
  <c r="KG183" i="13" s="1"/>
  <c r="LR147" i="13"/>
  <c r="LT147" i="13" s="1"/>
  <c r="LU147" i="13" s="1"/>
  <c r="LB147" i="13"/>
  <c r="LD147" i="13" s="1"/>
  <c r="LE147" i="13" s="1"/>
  <c r="KT147" i="13"/>
  <c r="KV147" i="13" s="1"/>
  <c r="KW147" i="13" s="1"/>
  <c r="LJ147" i="13"/>
  <c r="LL147" i="13" s="1"/>
  <c r="LM147" i="13" s="1"/>
  <c r="JK136" i="13"/>
  <c r="LF176" i="13"/>
  <c r="LH176" i="13" s="1"/>
  <c r="KP176" i="13"/>
  <c r="KR176" i="13" s="1"/>
  <c r="KS176" i="13" s="1"/>
  <c r="LN176" i="13"/>
  <c r="KX176" i="13"/>
  <c r="KZ176" i="13" s="1"/>
  <c r="LA176" i="13" s="1"/>
  <c r="GP111" i="13"/>
  <c r="NN111" i="13"/>
  <c r="NX188" i="13"/>
  <c r="NW188" i="13"/>
  <c r="DN32" i="13"/>
  <c r="DM32" i="13" s="1"/>
  <c r="DL32" i="13" s="1"/>
  <c r="LF111" i="13"/>
  <c r="LH111" i="13" s="1"/>
  <c r="KP111" i="13"/>
  <c r="KR111" i="13" s="1"/>
  <c r="KS111" i="13" s="1"/>
  <c r="LN111" i="13"/>
  <c r="KX111" i="13"/>
  <c r="KZ111" i="13" s="1"/>
  <c r="LA111" i="13" s="1"/>
  <c r="BH208" i="13"/>
  <c r="BG208" i="13" s="1"/>
  <c r="BF208" i="13" s="1"/>
  <c r="BE208" i="13" s="1"/>
  <c r="BD208" i="13" s="1"/>
  <c r="BZ208" i="13"/>
  <c r="BY208" i="13" s="1"/>
  <c r="BX208" i="13" s="1"/>
  <c r="BW208" i="13" s="1"/>
  <c r="BV208" i="13" s="1"/>
  <c r="AX208" i="13"/>
  <c r="AW208" i="13" s="1"/>
  <c r="AV208" i="13" s="1"/>
  <c r="AU208" i="13" s="1"/>
  <c r="AT208" i="13" s="1"/>
  <c r="BC208" i="13"/>
  <c r="BB208" i="13" s="1"/>
  <c r="BA208" i="13" s="1"/>
  <c r="AZ208" i="13" s="1"/>
  <c r="AY208" i="13" s="1"/>
  <c r="BU208" i="13"/>
  <c r="BT208" i="13" s="1"/>
  <c r="BS208" i="13" s="1"/>
  <c r="BR208" i="13" s="1"/>
  <c r="BQ208" i="13" s="1"/>
  <c r="BP208" i="13"/>
  <c r="BO208" i="13" s="1"/>
  <c r="BN208" i="13" s="1"/>
  <c r="BM208" i="13" s="1"/>
  <c r="BL208" i="13" s="1"/>
  <c r="AS208" i="13"/>
  <c r="AR208" i="13" s="1"/>
  <c r="AQ208" i="13" s="1"/>
  <c r="AP208" i="13" s="1"/>
  <c r="AO208" i="13" s="1"/>
  <c r="AL208" i="13" s="1"/>
  <c r="CE208" i="13"/>
  <c r="CD208" i="13" s="1"/>
  <c r="CC208" i="13" s="1"/>
  <c r="CB208" i="13" s="1"/>
  <c r="CA208" i="13" s="1"/>
  <c r="AS154" i="13"/>
  <c r="AR154" i="13" s="1"/>
  <c r="AQ154" i="13" s="1"/>
  <c r="AP154" i="13" s="1"/>
  <c r="AO154" i="13" s="1"/>
  <c r="AL154" i="13" s="1"/>
  <c r="BZ154" i="13"/>
  <c r="BY154" i="13" s="1"/>
  <c r="BX154" i="13" s="1"/>
  <c r="BW154" i="13" s="1"/>
  <c r="BV154" i="13" s="1"/>
  <c r="BH154" i="13"/>
  <c r="BG154" i="13" s="1"/>
  <c r="BF154" i="13" s="1"/>
  <c r="BE154" i="13" s="1"/>
  <c r="BD154" i="13" s="1"/>
  <c r="BU154" i="13"/>
  <c r="BT154" i="13" s="1"/>
  <c r="BS154" i="13" s="1"/>
  <c r="BR154" i="13" s="1"/>
  <c r="BQ154" i="13" s="1"/>
  <c r="BC154" i="13"/>
  <c r="BB154" i="13" s="1"/>
  <c r="BA154" i="13" s="1"/>
  <c r="AZ154" i="13" s="1"/>
  <c r="AY154" i="13" s="1"/>
  <c r="BP154" i="13"/>
  <c r="BO154" i="13" s="1"/>
  <c r="BN154" i="13" s="1"/>
  <c r="BM154" i="13" s="1"/>
  <c r="BL154" i="13" s="1"/>
  <c r="AX154" i="13"/>
  <c r="AW154" i="13" s="1"/>
  <c r="AV154" i="13" s="1"/>
  <c r="AU154" i="13" s="1"/>
  <c r="AT154" i="13" s="1"/>
  <c r="CE154" i="13"/>
  <c r="CD154" i="13" s="1"/>
  <c r="CC154" i="13" s="1"/>
  <c r="CB154" i="13" s="1"/>
  <c r="CA154" i="13" s="1"/>
  <c r="BS27" i="13"/>
  <c r="BR27" i="13" s="1"/>
  <c r="BQ27" i="13" s="1"/>
  <c r="HS180" i="13"/>
  <c r="NK180" i="13"/>
  <c r="NY180" i="13"/>
  <c r="NS180" i="13"/>
  <c r="NV33" i="13"/>
  <c r="NQ33" i="13"/>
  <c r="DN33" i="13" s="1"/>
  <c r="DM33" i="13" s="1"/>
  <c r="DL33" i="13" s="1"/>
  <c r="LP33" i="13"/>
  <c r="LQ33" i="13" s="1"/>
  <c r="NQ149" i="13"/>
  <c r="LP149" i="13"/>
  <c r="LQ149" i="13" s="1"/>
  <c r="DK149" i="13" s="1"/>
  <c r="DJ149" i="13" s="1"/>
  <c r="DI149" i="13" s="1"/>
  <c r="DH149" i="13" s="1"/>
  <c r="DG149" i="13" s="1"/>
  <c r="NV149" i="13"/>
  <c r="NI94" i="13"/>
  <c r="KL94" i="13"/>
  <c r="KN94" i="13" s="1"/>
  <c r="KO94" i="13" s="1"/>
  <c r="KP141" i="13"/>
  <c r="KR141" i="13" s="1"/>
  <c r="KS141" i="13" s="1"/>
  <c r="LF141" i="13"/>
  <c r="LH141" i="13" s="1"/>
  <c r="LN141" i="13"/>
  <c r="KX141" i="13"/>
  <c r="KZ141" i="13" s="1"/>
  <c r="LA141" i="13" s="1"/>
  <c r="JK120" i="13"/>
  <c r="NO171" i="13"/>
  <c r="LI171" i="13"/>
  <c r="NP171" i="13" s="1"/>
  <c r="NU171" i="13"/>
  <c r="LB194" i="13"/>
  <c r="LD194" i="13" s="1"/>
  <c r="LE194" i="13" s="1"/>
  <c r="DZ194" i="13" s="1"/>
  <c r="DY194" i="13" s="1"/>
  <c r="DX194" i="13" s="1"/>
  <c r="DW194" i="13" s="1"/>
  <c r="DV194" i="13" s="1"/>
  <c r="LR194" i="13"/>
  <c r="LT194" i="13" s="1"/>
  <c r="LU194" i="13" s="1"/>
  <c r="DU194" i="13" s="1"/>
  <c r="DT194" i="13" s="1"/>
  <c r="DS194" i="13" s="1"/>
  <c r="DR194" i="13" s="1"/>
  <c r="DQ194" i="13" s="1"/>
  <c r="KT194" i="13"/>
  <c r="KV194" i="13" s="1"/>
  <c r="KW194" i="13" s="1"/>
  <c r="DB194" i="13" s="1"/>
  <c r="DA194" i="13" s="1"/>
  <c r="CZ194" i="13" s="1"/>
  <c r="CY194" i="13" s="1"/>
  <c r="CX194" i="13" s="1"/>
  <c r="LJ194" i="13"/>
  <c r="LL194" i="13" s="1"/>
  <c r="LM194" i="13" s="1"/>
  <c r="CW194" i="13" s="1"/>
  <c r="CV194" i="13" s="1"/>
  <c r="CU194" i="13" s="1"/>
  <c r="CT194" i="13" s="1"/>
  <c r="CS194" i="13" s="1"/>
  <c r="LR149" i="13"/>
  <c r="LT149" i="13" s="1"/>
  <c r="LU149" i="13" s="1"/>
  <c r="DU149" i="13" s="1"/>
  <c r="DT149" i="13" s="1"/>
  <c r="LB149" i="13"/>
  <c r="LD149" i="13" s="1"/>
  <c r="LE149" i="13" s="1"/>
  <c r="DZ149" i="13" s="1"/>
  <c r="DY149" i="13" s="1"/>
  <c r="DX149" i="13" s="1"/>
  <c r="DW149" i="13" s="1"/>
  <c r="DV149" i="13" s="1"/>
  <c r="KT149" i="13"/>
  <c r="KV149" i="13" s="1"/>
  <c r="KW149" i="13" s="1"/>
  <c r="DB149" i="13" s="1"/>
  <c r="DA149" i="13" s="1"/>
  <c r="LJ149" i="13"/>
  <c r="LL149" i="13" s="1"/>
  <c r="LM149" i="13" s="1"/>
  <c r="CW149" i="13" s="1"/>
  <c r="CV149" i="13" s="1"/>
  <c r="GP88" i="13"/>
  <c r="NN88" i="13"/>
  <c r="NL88" i="13"/>
  <c r="NI101" i="13"/>
  <c r="KL101" i="13"/>
  <c r="KN101" i="13" s="1"/>
  <c r="KO101" i="13" s="1"/>
  <c r="NI12" i="13"/>
  <c r="KL12" i="13"/>
  <c r="KN12" i="13" s="1"/>
  <c r="KO12" i="13" s="1"/>
  <c r="NI172" i="13"/>
  <c r="KL172" i="13"/>
  <c r="KN172" i="13" s="1"/>
  <c r="KO172" i="13" s="1"/>
  <c r="JO124" i="13"/>
  <c r="KF124" i="13"/>
  <c r="NH178" i="13"/>
  <c r="NG178" i="13"/>
  <c r="KH178" i="13" s="1"/>
  <c r="KJ178" i="13" s="1"/>
  <c r="KK178" i="13" s="1"/>
  <c r="NF178" i="13"/>
  <c r="JL178" i="13"/>
  <c r="JN178" i="13" s="1"/>
  <c r="NS117" i="13"/>
  <c r="HS117" i="13"/>
  <c r="NL117" i="13" s="1"/>
  <c r="NK117" i="13"/>
  <c r="NY117" i="13"/>
  <c r="JO139" i="13"/>
  <c r="KF139" i="13"/>
  <c r="BC200" i="13"/>
  <c r="BB200" i="13" s="1"/>
  <c r="BA200" i="13" s="1"/>
  <c r="AZ200" i="13" s="1"/>
  <c r="AY200" i="13" s="1"/>
  <c r="BZ200" i="13"/>
  <c r="BY200" i="13" s="1"/>
  <c r="BX200" i="13" s="1"/>
  <c r="BW200" i="13" s="1"/>
  <c r="BV200" i="13" s="1"/>
  <c r="AX200" i="13"/>
  <c r="AW200" i="13" s="1"/>
  <c r="AV200" i="13" s="1"/>
  <c r="AU200" i="13" s="1"/>
  <c r="AT200" i="13" s="1"/>
  <c r="BU200" i="13"/>
  <c r="BT200" i="13" s="1"/>
  <c r="BS200" i="13" s="1"/>
  <c r="BR200" i="13" s="1"/>
  <c r="BQ200" i="13" s="1"/>
  <c r="BP200" i="13"/>
  <c r="BO200" i="13" s="1"/>
  <c r="BN200" i="13" s="1"/>
  <c r="BM200" i="13" s="1"/>
  <c r="BL200" i="13" s="1"/>
  <c r="AS200" i="13"/>
  <c r="AR200" i="13" s="1"/>
  <c r="AQ200" i="13" s="1"/>
  <c r="AP200" i="13" s="1"/>
  <c r="AO200" i="13" s="1"/>
  <c r="AL200" i="13" s="1"/>
  <c r="CE200" i="13"/>
  <c r="CD200" i="13" s="1"/>
  <c r="CC200" i="13" s="1"/>
  <c r="CB200" i="13" s="1"/>
  <c r="CA200" i="13" s="1"/>
  <c r="BH200" i="13"/>
  <c r="BG200" i="13" s="1"/>
  <c r="BF200" i="13" s="1"/>
  <c r="BE200" i="13" s="1"/>
  <c r="BD200" i="13" s="1"/>
  <c r="NI202" i="13"/>
  <c r="KL202" i="13"/>
  <c r="KN202" i="13" s="1"/>
  <c r="KO202" i="13" s="1"/>
  <c r="JK142" i="13"/>
  <c r="NM55" i="13"/>
  <c r="IA55" i="13"/>
  <c r="NN55" i="13" s="1"/>
  <c r="NT55" i="13"/>
  <c r="NR67" i="13"/>
  <c r="HD46" i="13"/>
  <c r="HF46" i="13" s="1"/>
  <c r="HG46" i="13" s="1"/>
  <c r="IB46" i="13"/>
  <c r="ID46" i="13" s="1"/>
  <c r="IE46" i="13" s="1"/>
  <c r="HT46" i="13"/>
  <c r="HV46" i="13" s="1"/>
  <c r="HW46" i="13" s="1"/>
  <c r="HL46" i="13"/>
  <c r="HN46" i="13" s="1"/>
  <c r="HO46" i="13" s="1"/>
  <c r="KP121" i="13"/>
  <c r="KR121" i="13" s="1"/>
  <c r="KS121" i="13" s="1"/>
  <c r="LF121" i="13"/>
  <c r="LH121" i="13" s="1"/>
  <c r="LN121" i="13"/>
  <c r="KX121" i="13"/>
  <c r="KZ121" i="13" s="1"/>
  <c r="LA121" i="13" s="1"/>
  <c r="NO131" i="13"/>
  <c r="LI131" i="13"/>
  <c r="NP131" i="13" s="1"/>
  <c r="NU131" i="13"/>
  <c r="HT127" i="13"/>
  <c r="HV127" i="13" s="1"/>
  <c r="HW127" i="13" s="1"/>
  <c r="HL127" i="13"/>
  <c r="HN127" i="13" s="1"/>
  <c r="HO127" i="13" s="1"/>
  <c r="IB127" i="13"/>
  <c r="ID127" i="13" s="1"/>
  <c r="IE127" i="13" s="1"/>
  <c r="HD127" i="13"/>
  <c r="HF127" i="13" s="1"/>
  <c r="HG127" i="13" s="1"/>
  <c r="DS152" i="13"/>
  <c r="DR152" i="13" s="1"/>
  <c r="DQ152" i="13" s="1"/>
  <c r="AS68" i="13"/>
  <c r="AR68" i="13" s="1"/>
  <c r="AQ68" i="13" s="1"/>
  <c r="AP68" i="13" s="1"/>
  <c r="AO68" i="13" s="1"/>
  <c r="AL68" i="13" s="1"/>
  <c r="GP117" i="13"/>
  <c r="KT148" i="13"/>
  <c r="KV148" i="13" s="1"/>
  <c r="KW148" i="13" s="1"/>
  <c r="LR148" i="13"/>
  <c r="LT148" i="13" s="1"/>
  <c r="LU148" i="13" s="1"/>
  <c r="DU148" i="13" s="1"/>
  <c r="DT148" i="13" s="1"/>
  <c r="LB148" i="13"/>
  <c r="LD148" i="13" s="1"/>
  <c r="LE148" i="13" s="1"/>
  <c r="LJ148" i="13"/>
  <c r="LL148" i="13" s="1"/>
  <c r="LM148" i="13" s="1"/>
  <c r="CW148" i="13" s="1"/>
  <c r="CV148" i="13" s="1"/>
  <c r="CC19" i="13"/>
  <c r="CB19" i="13" s="1"/>
  <c r="CA19" i="13" s="1"/>
  <c r="CC71" i="13"/>
  <c r="CB71" i="13" s="1"/>
  <c r="CA71" i="13" s="1"/>
  <c r="NI129" i="13"/>
  <c r="KL129" i="13"/>
  <c r="KN129" i="13" s="1"/>
  <c r="KO129" i="13" s="1"/>
  <c r="LJ131" i="13"/>
  <c r="LL131" i="13" s="1"/>
  <c r="LM131" i="13" s="1"/>
  <c r="CW131" i="13" s="1"/>
  <c r="CV131" i="13" s="1"/>
  <c r="CU131" i="13" s="1"/>
  <c r="CT131" i="13" s="1"/>
  <c r="CS131" i="13" s="1"/>
  <c r="LR131" i="13"/>
  <c r="LT131" i="13" s="1"/>
  <c r="LU131" i="13" s="1"/>
  <c r="DU131" i="13" s="1"/>
  <c r="DT131" i="13" s="1"/>
  <c r="LB131" i="13"/>
  <c r="LD131" i="13" s="1"/>
  <c r="LE131" i="13" s="1"/>
  <c r="DZ131" i="13" s="1"/>
  <c r="DY131" i="13" s="1"/>
  <c r="DX131" i="13" s="1"/>
  <c r="DW131" i="13" s="1"/>
  <c r="DV131" i="13" s="1"/>
  <c r="KT131" i="13"/>
  <c r="KV131" i="13" s="1"/>
  <c r="KW131" i="13" s="1"/>
  <c r="DZ212" i="13"/>
  <c r="DY212" i="13" s="1"/>
  <c r="DX212" i="13" s="1"/>
  <c r="DW212" i="13" s="1"/>
  <c r="DV212" i="13" s="1"/>
  <c r="CR212" i="13"/>
  <c r="CQ212" i="13" s="1"/>
  <c r="CP212" i="13" s="1"/>
  <c r="CO212" i="13" s="1"/>
  <c r="CN212" i="13" s="1"/>
  <c r="DB212" i="13"/>
  <c r="DA212" i="13" s="1"/>
  <c r="CZ212" i="13" s="1"/>
  <c r="CY212" i="13" s="1"/>
  <c r="CX212" i="13" s="1"/>
  <c r="DU212" i="13"/>
  <c r="DT212" i="13" s="1"/>
  <c r="DS212" i="13" s="1"/>
  <c r="DR212" i="13" s="1"/>
  <c r="DQ212" i="13" s="1"/>
  <c r="CM212" i="13"/>
  <c r="CL212" i="13" s="1"/>
  <c r="CK212" i="13" s="1"/>
  <c r="CJ212" i="13" s="1"/>
  <c r="CI212" i="13" s="1"/>
  <c r="DK212" i="13"/>
  <c r="DJ212" i="13" s="1"/>
  <c r="DI212" i="13" s="1"/>
  <c r="DH212" i="13" s="1"/>
  <c r="DG212" i="13" s="1"/>
  <c r="DP212" i="13"/>
  <c r="DO212" i="13" s="1"/>
  <c r="DN212" i="13" s="1"/>
  <c r="DM212" i="13" s="1"/>
  <c r="DL212" i="13" s="1"/>
  <c r="CW212" i="13"/>
  <c r="CV212" i="13" s="1"/>
  <c r="CU212" i="13" s="1"/>
  <c r="CT212" i="13" s="1"/>
  <c r="CS212" i="13" s="1"/>
  <c r="DN210" i="13"/>
  <c r="DM210" i="13" s="1"/>
  <c r="DL210" i="13" s="1"/>
  <c r="CM115" i="13"/>
  <c r="CL115" i="13" s="1"/>
  <c r="DP115" i="13"/>
  <c r="DO115" i="13" s="1"/>
  <c r="DN115" i="13" s="1"/>
  <c r="DM115" i="13" s="1"/>
  <c r="DL115" i="13" s="1"/>
  <c r="CR115" i="13"/>
  <c r="CQ115" i="13" s="1"/>
  <c r="DB115" i="13"/>
  <c r="DA115" i="13" s="1"/>
  <c r="CW115" i="13"/>
  <c r="CV115" i="13" s="1"/>
  <c r="DK115" i="13"/>
  <c r="DJ115" i="13" s="1"/>
  <c r="DI115" i="13" s="1"/>
  <c r="DH115" i="13" s="1"/>
  <c r="DG115" i="13" s="1"/>
  <c r="DZ115" i="13"/>
  <c r="DY115" i="13" s="1"/>
  <c r="DX115" i="13" s="1"/>
  <c r="DW115" i="13" s="1"/>
  <c r="DV115" i="13" s="1"/>
  <c r="DU115" i="13"/>
  <c r="DT115" i="13" s="1"/>
  <c r="DS115" i="13" s="1"/>
  <c r="DR115" i="13" s="1"/>
  <c r="DQ115" i="13" s="1"/>
  <c r="HL199" i="13"/>
  <c r="HN199" i="13" s="1"/>
  <c r="HO199" i="13" s="1"/>
  <c r="HT199" i="13"/>
  <c r="HV199" i="13" s="1"/>
  <c r="HW199" i="13" s="1"/>
  <c r="HD199" i="13"/>
  <c r="HF199" i="13" s="1"/>
  <c r="HG199" i="13" s="1"/>
  <c r="IB199" i="13"/>
  <c r="ID199" i="13" s="1"/>
  <c r="IE199" i="13" s="1"/>
  <c r="BX182" i="13"/>
  <c r="BW182" i="13" s="1"/>
  <c r="BV182" i="13" s="1"/>
  <c r="BS78" i="13"/>
  <c r="BR78" i="13" s="1"/>
  <c r="BQ78" i="13" s="1"/>
  <c r="KG105" i="13"/>
  <c r="NR105" i="13"/>
  <c r="DK125" i="13"/>
  <c r="DJ125" i="13" s="1"/>
  <c r="DI125" i="13" s="1"/>
  <c r="DH125" i="13" s="1"/>
  <c r="DG125" i="13" s="1"/>
  <c r="AV212" i="13"/>
  <c r="AU212" i="13" s="1"/>
  <c r="AT212" i="13" s="1"/>
  <c r="NS61" i="13"/>
  <c r="HS61" i="13"/>
  <c r="NL61" i="13" s="1"/>
  <c r="NK61" i="13"/>
  <c r="NY61" i="13"/>
  <c r="LB28" i="13"/>
  <c r="LD28" i="13" s="1"/>
  <c r="LE28" i="13" s="1"/>
  <c r="DZ28" i="13" s="1"/>
  <c r="DY28" i="13" s="1"/>
  <c r="DX28" i="13" s="1"/>
  <c r="DW28" i="13" s="1"/>
  <c r="DV28" i="13" s="1"/>
  <c r="LR28" i="13"/>
  <c r="LT28" i="13" s="1"/>
  <c r="LU28" i="13" s="1"/>
  <c r="DU28" i="13" s="1"/>
  <c r="DT28" i="13" s="1"/>
  <c r="DS28" i="13" s="1"/>
  <c r="DR28" i="13" s="1"/>
  <c r="DQ28" i="13" s="1"/>
  <c r="KT28" i="13"/>
  <c r="KV28" i="13" s="1"/>
  <c r="KW28" i="13" s="1"/>
  <c r="DB28" i="13" s="1"/>
  <c r="DA28" i="13" s="1"/>
  <c r="CZ28" i="13" s="1"/>
  <c r="CY28" i="13" s="1"/>
  <c r="CX28" i="13" s="1"/>
  <c r="LJ28" i="13"/>
  <c r="LL28" i="13" s="1"/>
  <c r="LM28" i="13" s="1"/>
  <c r="CW28" i="13" s="1"/>
  <c r="CV28" i="13" s="1"/>
  <c r="CU28" i="13" s="1"/>
  <c r="CT28" i="13" s="1"/>
  <c r="CS28" i="13" s="1"/>
  <c r="GP119" i="13"/>
  <c r="CC28" i="13"/>
  <c r="CB28" i="13" s="1"/>
  <c r="CA28" i="13" s="1"/>
  <c r="KT135" i="13"/>
  <c r="KV135" i="13" s="1"/>
  <c r="KW135" i="13" s="1"/>
  <c r="DB135" i="13" s="1"/>
  <c r="DA135" i="13" s="1"/>
  <c r="CZ135" i="13" s="1"/>
  <c r="CY135" i="13" s="1"/>
  <c r="CX135" i="13" s="1"/>
  <c r="LB135" i="13"/>
  <c r="LD135" i="13" s="1"/>
  <c r="LE135" i="13" s="1"/>
  <c r="DZ135" i="13" s="1"/>
  <c r="DY135" i="13" s="1"/>
  <c r="DX135" i="13" s="1"/>
  <c r="DW135" i="13" s="1"/>
  <c r="DV135" i="13" s="1"/>
  <c r="LR135" i="13"/>
  <c r="LT135" i="13" s="1"/>
  <c r="LU135" i="13" s="1"/>
  <c r="DU135" i="13" s="1"/>
  <c r="DT135" i="13" s="1"/>
  <c r="DS135" i="13" s="1"/>
  <c r="DR135" i="13" s="1"/>
  <c r="DQ135" i="13" s="1"/>
  <c r="LJ135" i="13"/>
  <c r="LL135" i="13" s="1"/>
  <c r="LM135" i="13" s="1"/>
  <c r="CW135" i="13" s="1"/>
  <c r="CV135" i="13" s="1"/>
  <c r="CU135" i="13" s="1"/>
  <c r="CT135" i="13" s="1"/>
  <c r="CS135" i="13" s="1"/>
  <c r="NU159" i="13"/>
  <c r="NO159" i="13"/>
  <c r="LI159" i="13"/>
  <c r="NP159" i="13" s="1"/>
  <c r="IA115" i="13"/>
  <c r="NN115" i="13" s="1"/>
  <c r="NT115" i="13"/>
  <c r="NM115" i="13"/>
  <c r="BS190" i="13"/>
  <c r="BR190" i="13" s="1"/>
  <c r="BQ190" i="13" s="1"/>
  <c r="LP147" i="13"/>
  <c r="LQ147" i="13" s="1"/>
  <c r="NR147" i="13" s="1"/>
  <c r="NV147" i="13"/>
  <c r="NQ147" i="13"/>
  <c r="BS22" i="13"/>
  <c r="BR22" i="13" s="1"/>
  <c r="BQ22" i="13" s="1"/>
  <c r="BX155" i="13"/>
  <c r="BW155" i="13" s="1"/>
  <c r="BV155" i="13" s="1"/>
  <c r="NR131" i="13"/>
  <c r="NU193" i="13"/>
  <c r="LI193" i="13"/>
  <c r="NP193" i="13" s="1"/>
  <c r="NO193" i="13"/>
  <c r="BA118" i="13"/>
  <c r="AZ118" i="13" s="1"/>
  <c r="AY118" i="13" s="1"/>
  <c r="JO157" i="13"/>
  <c r="KG157" i="13" s="1"/>
  <c r="KF157" i="13"/>
  <c r="NS126" i="13"/>
  <c r="HS126" i="13"/>
  <c r="NL126" i="13" s="1"/>
  <c r="NK126" i="13"/>
  <c r="NY126" i="13"/>
  <c r="NR159" i="13"/>
  <c r="NX179" i="13"/>
  <c r="NW179" i="13"/>
  <c r="DZ47" i="13"/>
  <c r="DY47" i="13" s="1"/>
  <c r="DX47" i="13" s="1"/>
  <c r="DW47" i="13" s="1"/>
  <c r="DV47" i="13" s="1"/>
  <c r="CR47" i="13"/>
  <c r="CQ47" i="13" s="1"/>
  <c r="CP47" i="13" s="1"/>
  <c r="CO47" i="13" s="1"/>
  <c r="CN47" i="13" s="1"/>
  <c r="DK47" i="13"/>
  <c r="DJ47" i="13" s="1"/>
  <c r="DI47" i="13" s="1"/>
  <c r="DH47" i="13" s="1"/>
  <c r="DG47" i="13" s="1"/>
  <c r="DP47" i="13"/>
  <c r="DO47" i="13" s="1"/>
  <c r="DN47" i="13" s="1"/>
  <c r="DM47" i="13" s="1"/>
  <c r="DL47" i="13" s="1"/>
  <c r="DB47" i="13"/>
  <c r="DA47" i="13" s="1"/>
  <c r="CZ47" i="13" s="1"/>
  <c r="CY47" i="13" s="1"/>
  <c r="CX47" i="13" s="1"/>
  <c r="DU47" i="13"/>
  <c r="DT47" i="13" s="1"/>
  <c r="DS47" i="13" s="1"/>
  <c r="DR47" i="13" s="1"/>
  <c r="DQ47" i="13" s="1"/>
  <c r="CM47" i="13"/>
  <c r="CL47" i="13" s="1"/>
  <c r="CK47" i="13" s="1"/>
  <c r="CJ47" i="13" s="1"/>
  <c r="CI47" i="13" s="1"/>
  <c r="CW47" i="13"/>
  <c r="CV47" i="13" s="1"/>
  <c r="CU47" i="13" s="1"/>
  <c r="CT47" i="13" s="1"/>
  <c r="CS47" i="13" s="1"/>
  <c r="NW143" i="13"/>
  <c r="NX143" i="13"/>
  <c r="CC80" i="13"/>
  <c r="CB80" i="13" s="1"/>
  <c r="CA80" i="13" s="1"/>
  <c r="JO123" i="13"/>
  <c r="KF123" i="13"/>
  <c r="CC31" i="13"/>
  <c r="CB31" i="13" s="1"/>
  <c r="CA31" i="13" s="1"/>
  <c r="NV49" i="13"/>
  <c r="NQ49" i="13"/>
  <c r="LP49" i="13"/>
  <c r="LQ49" i="13" s="1"/>
  <c r="NR49" i="13" s="1"/>
  <c r="KX81" i="13"/>
  <c r="KZ81" i="13" s="1"/>
  <c r="LA81" i="13" s="1"/>
  <c r="LN81" i="13"/>
  <c r="LF81" i="13"/>
  <c r="LH81" i="13" s="1"/>
  <c r="KP81" i="13"/>
  <c r="KR81" i="13" s="1"/>
  <c r="KS81" i="13" s="1"/>
  <c r="IA121" i="13"/>
  <c r="NN121" i="13" s="1"/>
  <c r="NT121" i="13"/>
  <c r="NM121" i="13"/>
  <c r="NU195" i="13"/>
  <c r="NO195" i="13"/>
  <c r="LI195" i="13"/>
  <c r="NP195" i="13" s="1"/>
  <c r="LR113" i="13"/>
  <c r="LT113" i="13" s="1"/>
  <c r="LU113" i="13" s="1"/>
  <c r="DU113" i="13" s="1"/>
  <c r="DT113" i="13" s="1"/>
  <c r="DS113" i="13" s="1"/>
  <c r="DR113" i="13" s="1"/>
  <c r="DQ113" i="13" s="1"/>
  <c r="LB113" i="13"/>
  <c r="LD113" i="13" s="1"/>
  <c r="LE113" i="13" s="1"/>
  <c r="DZ113" i="13" s="1"/>
  <c r="DY113" i="13" s="1"/>
  <c r="DX113" i="13" s="1"/>
  <c r="DW113" i="13" s="1"/>
  <c r="DV113" i="13" s="1"/>
  <c r="KT113" i="13"/>
  <c r="KV113" i="13" s="1"/>
  <c r="KW113" i="13" s="1"/>
  <c r="DB113" i="13" s="1"/>
  <c r="DA113" i="13" s="1"/>
  <c r="LJ113" i="13"/>
  <c r="LL113" i="13" s="1"/>
  <c r="LM113" i="13" s="1"/>
  <c r="CW113" i="13" s="1"/>
  <c r="CV113" i="13" s="1"/>
  <c r="NH56" i="13"/>
  <c r="NG56" i="13"/>
  <c r="KH56" i="13" s="1"/>
  <c r="KJ56" i="13" s="1"/>
  <c r="KK56" i="13" s="1"/>
  <c r="NF56" i="13"/>
  <c r="JL56" i="13"/>
  <c r="JN56" i="13" s="1"/>
  <c r="GP150" i="13"/>
  <c r="NL150" i="13"/>
  <c r="NN150" i="13"/>
  <c r="NK30" i="13"/>
  <c r="NY30" i="13"/>
  <c r="NS30" i="13"/>
  <c r="HS30" i="13"/>
  <c r="JK69" i="13"/>
  <c r="JK134" i="13"/>
  <c r="NH188" i="13"/>
  <c r="NG188" i="13"/>
  <c r="KH188" i="13" s="1"/>
  <c r="KJ188" i="13" s="1"/>
  <c r="KK188" i="13" s="1"/>
  <c r="NF188" i="13"/>
  <c r="JL188" i="13"/>
  <c r="JN188" i="13" s="1"/>
  <c r="DZ148" i="13"/>
  <c r="DY148" i="13" s="1"/>
  <c r="CR148" i="13"/>
  <c r="CQ148" i="13" s="1"/>
  <c r="DP148" i="13"/>
  <c r="DO148" i="13" s="1"/>
  <c r="DB148" i="13"/>
  <c r="DA148" i="13" s="1"/>
  <c r="AS27" i="13"/>
  <c r="AR27" i="13" s="1"/>
  <c r="AQ27" i="13" s="1"/>
  <c r="AP27" i="13" s="1"/>
  <c r="AO27" i="13" s="1"/>
  <c r="AL27" i="13" s="1"/>
  <c r="NM180" i="13"/>
  <c r="IA180" i="13"/>
  <c r="NT180" i="13"/>
  <c r="HD108" i="13"/>
  <c r="HF108" i="13" s="1"/>
  <c r="HG108" i="13" s="1"/>
  <c r="HT108" i="13"/>
  <c r="HV108" i="13" s="1"/>
  <c r="HW108" i="13" s="1"/>
  <c r="IB108" i="13"/>
  <c r="ID108" i="13" s="1"/>
  <c r="IE108" i="13" s="1"/>
  <c r="HL108" i="13"/>
  <c r="HN108" i="13" s="1"/>
  <c r="HO108" i="13" s="1"/>
  <c r="NV52" i="13"/>
  <c r="NQ52" i="13"/>
  <c r="LP52" i="13"/>
  <c r="LQ52" i="13" s="1"/>
  <c r="NR52" i="13" s="1"/>
  <c r="NH185" i="13"/>
  <c r="NG185" i="13"/>
  <c r="KH185" i="13" s="1"/>
  <c r="KJ185" i="13" s="1"/>
  <c r="KK185" i="13" s="1"/>
  <c r="NF185" i="13"/>
  <c r="JL185" i="13"/>
  <c r="JN185" i="13" s="1"/>
  <c r="NX83" i="13"/>
  <c r="NW83" i="13"/>
  <c r="NX68" i="13"/>
  <c r="NW68" i="13"/>
  <c r="LF16" i="13"/>
  <c r="LH16" i="13" s="1"/>
  <c r="KP16" i="13"/>
  <c r="KR16" i="13" s="1"/>
  <c r="KS16" i="13" s="1"/>
  <c r="LN16" i="13"/>
  <c r="KX16" i="13"/>
  <c r="KZ16" i="13" s="1"/>
  <c r="LA16" i="13" s="1"/>
  <c r="DP16" i="13" s="1"/>
  <c r="DO16" i="13" s="1"/>
  <c r="LI53" i="13"/>
  <c r="NP53" i="13" s="1"/>
  <c r="NU53" i="13"/>
  <c r="NO53" i="13"/>
  <c r="KX172" i="13"/>
  <c r="KZ172" i="13" s="1"/>
  <c r="LA172" i="13" s="1"/>
  <c r="LN172" i="13"/>
  <c r="KP172" i="13"/>
  <c r="KR172" i="13" s="1"/>
  <c r="KS172" i="13" s="1"/>
  <c r="LF172" i="13"/>
  <c r="LH172" i="13" s="1"/>
  <c r="KP124" i="13"/>
  <c r="KR124" i="13" s="1"/>
  <c r="KS124" i="13" s="1"/>
  <c r="KX124" i="13"/>
  <c r="KZ124" i="13" s="1"/>
  <c r="LA124" i="13" s="1"/>
  <c r="LN124" i="13"/>
  <c r="LF124" i="13"/>
  <c r="LH124" i="13" s="1"/>
  <c r="NX205" i="13"/>
  <c r="NW205" i="13"/>
  <c r="KP145" i="13"/>
  <c r="KR145" i="13" s="1"/>
  <c r="KS145" i="13" s="1"/>
  <c r="LN145" i="13"/>
  <c r="KX145" i="13"/>
  <c r="KZ145" i="13" s="1"/>
  <c r="LA145" i="13" s="1"/>
  <c r="LF145" i="13"/>
  <c r="LH145" i="13" s="1"/>
  <c r="JO81" i="13"/>
  <c r="KF81" i="13"/>
  <c r="IA117" i="13"/>
  <c r="NN117" i="13" s="1"/>
  <c r="NT117" i="13"/>
  <c r="NM117" i="13"/>
  <c r="BS13" i="13"/>
  <c r="BR13" i="13" s="1"/>
  <c r="BQ13" i="13" s="1"/>
  <c r="NQ189" i="13"/>
  <c r="NV189" i="13"/>
  <c r="LP189" i="13"/>
  <c r="LQ189" i="13" s="1"/>
  <c r="NR189" i="13" s="1"/>
  <c r="LN182" i="13"/>
  <c r="KX182" i="13"/>
  <c r="KZ182" i="13" s="1"/>
  <c r="LA182" i="13" s="1"/>
  <c r="LF182" i="13"/>
  <c r="LH182" i="13" s="1"/>
  <c r="KP182" i="13"/>
  <c r="KR182" i="13" s="1"/>
  <c r="KS182" i="13" s="1"/>
  <c r="NI139" i="13"/>
  <c r="KL139" i="13"/>
  <c r="KN139" i="13" s="1"/>
  <c r="KO139" i="13" s="1"/>
  <c r="CC185" i="13"/>
  <c r="CB185" i="13" s="1"/>
  <c r="CA185" i="13" s="1"/>
  <c r="CC87" i="13"/>
  <c r="CB87" i="13" s="1"/>
  <c r="CA87" i="13" s="1"/>
  <c r="KP162" i="13"/>
  <c r="KR162" i="13" s="1"/>
  <c r="KS162" i="13" s="1"/>
  <c r="LF162" i="13"/>
  <c r="LH162" i="13" s="1"/>
  <c r="LN162" i="13"/>
  <c r="KX162" i="13"/>
  <c r="KZ162" i="13" s="1"/>
  <c r="LA162" i="13" s="1"/>
  <c r="IB109" i="13"/>
  <c r="ID109" i="13" s="1"/>
  <c r="IE109" i="13" s="1"/>
  <c r="HT109" i="13"/>
  <c r="HV109" i="13" s="1"/>
  <c r="HW109" i="13" s="1"/>
  <c r="HL109" i="13"/>
  <c r="HN109" i="13" s="1"/>
  <c r="HO109" i="13" s="1"/>
  <c r="HD109" i="13"/>
  <c r="HF109" i="13" s="1"/>
  <c r="HG109" i="13" s="1"/>
  <c r="CM67" i="13"/>
  <c r="CL67" i="13" s="1"/>
  <c r="CK67" i="13" s="1"/>
  <c r="CJ67" i="13" s="1"/>
  <c r="CI67" i="13" s="1"/>
  <c r="DP67" i="13"/>
  <c r="DO67" i="13" s="1"/>
  <c r="DN67" i="13" s="1"/>
  <c r="DM67" i="13" s="1"/>
  <c r="DL67" i="13" s="1"/>
  <c r="DK67" i="13"/>
  <c r="DJ67" i="13" s="1"/>
  <c r="DI67" i="13" s="1"/>
  <c r="DH67" i="13" s="1"/>
  <c r="DG67" i="13" s="1"/>
  <c r="CR67" i="13"/>
  <c r="CQ67" i="13" s="1"/>
  <c r="CP67" i="13" s="1"/>
  <c r="CO67" i="13" s="1"/>
  <c r="CN67" i="13" s="1"/>
  <c r="NH100" i="13"/>
  <c r="NF100" i="13"/>
  <c r="NG100" i="13"/>
  <c r="KH100" i="13" s="1"/>
  <c r="KJ100" i="13" s="1"/>
  <c r="KK100" i="13" s="1"/>
  <c r="JL100" i="13"/>
  <c r="JN100" i="13" s="1"/>
  <c r="BZ197" i="13"/>
  <c r="BY197" i="13" s="1"/>
  <c r="BX197" i="13" s="1"/>
  <c r="BW197" i="13" s="1"/>
  <c r="BV197" i="13" s="1"/>
  <c r="BP197" i="13"/>
  <c r="BO197" i="13" s="1"/>
  <c r="BN197" i="13" s="1"/>
  <c r="BM197" i="13" s="1"/>
  <c r="BL197" i="13" s="1"/>
  <c r="AS197" i="13"/>
  <c r="AR197" i="13" s="1"/>
  <c r="AQ197" i="13" s="1"/>
  <c r="AP197" i="13" s="1"/>
  <c r="AO197" i="13" s="1"/>
  <c r="AL197" i="13" s="1"/>
  <c r="AX197" i="13"/>
  <c r="AW197" i="13" s="1"/>
  <c r="AV197" i="13" s="1"/>
  <c r="AU197" i="13" s="1"/>
  <c r="AT197" i="13" s="1"/>
  <c r="CE197" i="13"/>
  <c r="CD197" i="13" s="1"/>
  <c r="CC197" i="13" s="1"/>
  <c r="CB197" i="13" s="1"/>
  <c r="CA197" i="13" s="1"/>
  <c r="BH197" i="13"/>
  <c r="BG197" i="13" s="1"/>
  <c r="BF197" i="13" s="1"/>
  <c r="BE197" i="13" s="1"/>
  <c r="BD197" i="13" s="1"/>
  <c r="BC197" i="13"/>
  <c r="BB197" i="13" s="1"/>
  <c r="BA197" i="13" s="1"/>
  <c r="AZ197" i="13" s="1"/>
  <c r="AY197" i="13" s="1"/>
  <c r="BU197" i="13"/>
  <c r="BT197" i="13" s="1"/>
  <c r="BS197" i="13" s="1"/>
  <c r="BR197" i="13" s="1"/>
  <c r="BQ197" i="13" s="1"/>
  <c r="NX62" i="13"/>
  <c r="NW62" i="13"/>
  <c r="BX49" i="13"/>
  <c r="BW49" i="13" s="1"/>
  <c r="BV49" i="13" s="1"/>
  <c r="NW202" i="13"/>
  <c r="NX202" i="13"/>
  <c r="JK208" i="13"/>
  <c r="NM181" i="13"/>
  <c r="IA181" i="13"/>
  <c r="NN181" i="13" s="1"/>
  <c r="NT181" i="13"/>
  <c r="NS199" i="13"/>
  <c r="NY199" i="13"/>
  <c r="NK199" i="13"/>
  <c r="HS199" i="13"/>
  <c r="NL199" i="13" s="1"/>
  <c r="CE90" i="13"/>
  <c r="CD90" i="13" s="1"/>
  <c r="CC90" i="13" s="1"/>
  <c r="CB90" i="13" s="1"/>
  <c r="CA90" i="13" s="1"/>
  <c r="AS90" i="13"/>
  <c r="AR90" i="13" s="1"/>
  <c r="AQ90" i="13" s="1"/>
  <c r="AP90" i="13" s="1"/>
  <c r="AO90" i="13" s="1"/>
  <c r="AL90" i="13" s="1"/>
  <c r="BH90" i="13"/>
  <c r="BG90" i="13" s="1"/>
  <c r="BF90" i="13" s="1"/>
  <c r="BE90" i="13" s="1"/>
  <c r="BD90" i="13" s="1"/>
  <c r="BZ90" i="13"/>
  <c r="BY90" i="13" s="1"/>
  <c r="BX90" i="13" s="1"/>
  <c r="BW90" i="13" s="1"/>
  <c r="BV90" i="13" s="1"/>
  <c r="BC90" i="13"/>
  <c r="BB90" i="13" s="1"/>
  <c r="BA90" i="13" s="1"/>
  <c r="AZ90" i="13" s="1"/>
  <c r="AY90" i="13" s="1"/>
  <c r="AX90" i="13"/>
  <c r="AW90" i="13" s="1"/>
  <c r="AV90" i="13" s="1"/>
  <c r="AU90" i="13" s="1"/>
  <c r="AT90" i="13" s="1"/>
  <c r="BU90" i="13"/>
  <c r="BT90" i="13" s="1"/>
  <c r="BS90" i="13" s="1"/>
  <c r="BR90" i="13" s="1"/>
  <c r="BQ90" i="13" s="1"/>
  <c r="BP90" i="13"/>
  <c r="BO90" i="13" s="1"/>
  <c r="BN90" i="13" s="1"/>
  <c r="BM90" i="13" s="1"/>
  <c r="BL90" i="13" s="1"/>
  <c r="JK166" i="13"/>
  <c r="KX78" i="13"/>
  <c r="KZ78" i="13" s="1"/>
  <c r="LA78" i="13" s="1"/>
  <c r="LN78" i="13"/>
  <c r="LF78" i="13"/>
  <c r="LH78" i="13" s="1"/>
  <c r="KP78" i="13"/>
  <c r="KR78" i="13" s="1"/>
  <c r="KS78" i="13" s="1"/>
  <c r="JK180" i="13"/>
  <c r="CK210" i="13"/>
  <c r="CJ210" i="13" s="1"/>
  <c r="CI210" i="13" s="1"/>
  <c r="LP143" i="13"/>
  <c r="LQ143" i="13" s="1"/>
  <c r="DK143" i="13" s="1"/>
  <c r="DJ143" i="13" s="1"/>
  <c r="DI143" i="13" s="1"/>
  <c r="DH143" i="13" s="1"/>
  <c r="DG143" i="13" s="1"/>
  <c r="NV143" i="13"/>
  <c r="NQ143" i="13"/>
  <c r="BX54" i="13"/>
  <c r="BW54" i="13" s="1"/>
  <c r="BV54" i="13" s="1"/>
  <c r="NO211" i="13"/>
  <c r="LI211" i="13"/>
  <c r="NP211" i="13" s="1"/>
  <c r="NU211" i="13"/>
  <c r="JO104" i="13"/>
  <c r="KG104" i="13" s="1"/>
  <c r="KF104" i="13"/>
  <c r="BX153" i="13"/>
  <c r="BW153" i="13" s="1"/>
  <c r="BV153" i="13" s="1"/>
  <c r="NT191" i="13"/>
  <c r="NM191" i="13"/>
  <c r="IA191" i="13"/>
  <c r="NN191" i="13" s="1"/>
  <c r="NM132" i="13"/>
  <c r="IA132" i="13"/>
  <c r="NN132" i="13" s="1"/>
  <c r="NT132" i="13"/>
  <c r="CC149" i="13"/>
  <c r="CB149" i="13" s="1"/>
  <c r="CA149" i="13" s="1"/>
  <c r="LP198" i="13"/>
  <c r="LQ198" i="13" s="1"/>
  <c r="NR198" i="13" s="1"/>
  <c r="NV198" i="13"/>
  <c r="NQ198" i="13"/>
  <c r="HT119" i="13"/>
  <c r="HV119" i="13" s="1"/>
  <c r="HW119" i="13" s="1"/>
  <c r="IB119" i="13"/>
  <c r="ID119" i="13" s="1"/>
  <c r="IE119" i="13" s="1"/>
  <c r="HL119" i="13"/>
  <c r="HN119" i="13" s="1"/>
  <c r="HO119" i="13" s="1"/>
  <c r="HD119" i="13"/>
  <c r="HF119" i="13" s="1"/>
  <c r="HG119" i="13" s="1"/>
  <c r="JK97" i="13"/>
  <c r="BS139" i="13"/>
  <c r="BR139" i="13" s="1"/>
  <c r="BQ139" i="13" s="1"/>
  <c r="NT61" i="13"/>
  <c r="NM61" i="13"/>
  <c r="IA61" i="13"/>
  <c r="NN61" i="13" s="1"/>
  <c r="JK140" i="13"/>
  <c r="NU116" i="13"/>
  <c r="NO116" i="13"/>
  <c r="LI116" i="13"/>
  <c r="NP116" i="13" s="1"/>
  <c r="NX90" i="13"/>
  <c r="NW90" i="13"/>
  <c r="LI160" i="13"/>
  <c r="NP160" i="13" s="1"/>
  <c r="NU160" i="13"/>
  <c r="NO160" i="13"/>
  <c r="AS156" i="13"/>
  <c r="AR156" i="13" s="1"/>
  <c r="AQ156" i="13" s="1"/>
  <c r="AP156" i="13" s="1"/>
  <c r="AO156" i="13" s="1"/>
  <c r="AL156" i="13" s="1"/>
  <c r="BZ156" i="13"/>
  <c r="BY156" i="13" s="1"/>
  <c r="BX156" i="13" s="1"/>
  <c r="BW156" i="13" s="1"/>
  <c r="BV156" i="13" s="1"/>
  <c r="BH156" i="13"/>
  <c r="BG156" i="13" s="1"/>
  <c r="BF156" i="13" s="1"/>
  <c r="BE156" i="13" s="1"/>
  <c r="BD156" i="13" s="1"/>
  <c r="BU156" i="13"/>
  <c r="BT156" i="13" s="1"/>
  <c r="BS156" i="13" s="1"/>
  <c r="BR156" i="13" s="1"/>
  <c r="BQ156" i="13" s="1"/>
  <c r="BC156" i="13"/>
  <c r="BB156" i="13" s="1"/>
  <c r="BA156" i="13" s="1"/>
  <c r="AZ156" i="13" s="1"/>
  <c r="AY156" i="13" s="1"/>
  <c r="BP156" i="13"/>
  <c r="BO156" i="13" s="1"/>
  <c r="BN156" i="13" s="1"/>
  <c r="BM156" i="13" s="1"/>
  <c r="BL156" i="13" s="1"/>
  <c r="AX156" i="13"/>
  <c r="AW156" i="13" s="1"/>
  <c r="AV156" i="13" s="1"/>
  <c r="AU156" i="13" s="1"/>
  <c r="AT156" i="13" s="1"/>
  <c r="CE156" i="13"/>
  <c r="CD156" i="13" s="1"/>
  <c r="CC156" i="13" s="1"/>
  <c r="CB156" i="13" s="1"/>
  <c r="CA156" i="13" s="1"/>
  <c r="JK45" i="13"/>
  <c r="NL207" i="13"/>
  <c r="AS207" i="13"/>
  <c r="AR207" i="13" s="1"/>
  <c r="AQ207" i="13" s="1"/>
  <c r="AP207" i="13" s="1"/>
  <c r="AO207" i="13" s="1"/>
  <c r="AL207" i="13" s="1"/>
  <c r="NX15" i="13"/>
  <c r="NW15" i="13"/>
  <c r="DB131" i="13"/>
  <c r="DA131" i="13" s="1"/>
  <c r="DK131" i="13"/>
  <c r="DJ131" i="13" s="1"/>
  <c r="DI131" i="13" s="1"/>
  <c r="DH131" i="13" s="1"/>
  <c r="DG131" i="13" s="1"/>
  <c r="DP131" i="13"/>
  <c r="DO131" i="13" s="1"/>
  <c r="DN131" i="13" s="1"/>
  <c r="DM131" i="13" s="1"/>
  <c r="DL131" i="13" s="1"/>
  <c r="CR131" i="13"/>
  <c r="CQ131" i="13" s="1"/>
  <c r="JK190" i="13"/>
  <c r="CE118" i="13"/>
  <c r="CD118" i="13" s="1"/>
  <c r="CC118" i="13" s="1"/>
  <c r="CB118" i="13" s="1"/>
  <c r="CA118" i="13" s="1"/>
  <c r="BH118" i="13"/>
  <c r="BG118" i="13" s="1"/>
  <c r="BF118" i="13" s="1"/>
  <c r="BE118" i="13" s="1"/>
  <c r="BD118" i="13" s="1"/>
  <c r="NI157" i="13"/>
  <c r="KL157" i="13"/>
  <c r="KN157" i="13" s="1"/>
  <c r="KO157" i="13" s="1"/>
  <c r="BX158" i="13"/>
  <c r="BW158" i="13" s="1"/>
  <c r="BV158" i="13" s="1"/>
  <c r="DP159" i="13"/>
  <c r="DO159" i="13" s="1"/>
  <c r="DN159" i="13" s="1"/>
  <c r="DM159" i="13" s="1"/>
  <c r="DL159" i="13" s="1"/>
  <c r="DK159" i="13"/>
  <c r="DJ159" i="13" s="1"/>
  <c r="DI159" i="13" s="1"/>
  <c r="DH159" i="13" s="1"/>
  <c r="DG159" i="13" s="1"/>
  <c r="CR159" i="13"/>
  <c r="CQ159" i="13" s="1"/>
  <c r="CP159" i="13" s="1"/>
  <c r="CO159" i="13" s="1"/>
  <c r="CN159" i="13" s="1"/>
  <c r="LF151" i="13"/>
  <c r="LH151" i="13" s="1"/>
  <c r="KX151" i="13"/>
  <c r="KZ151" i="13" s="1"/>
  <c r="LA151" i="13" s="1"/>
  <c r="KP151" i="13"/>
  <c r="KR151" i="13" s="1"/>
  <c r="KS151" i="13" s="1"/>
  <c r="LN151" i="13"/>
  <c r="JK209" i="13"/>
  <c r="JK196" i="13"/>
  <c r="NI123" i="13"/>
  <c r="KL123" i="13"/>
  <c r="KN123" i="13" s="1"/>
  <c r="KO123" i="13" s="1"/>
  <c r="BX76" i="13"/>
  <c r="BW76" i="13" s="1"/>
  <c r="BV76" i="13" s="1"/>
  <c r="JK62" i="13"/>
  <c r="LI112" i="13"/>
  <c r="NP112" i="13" s="1"/>
  <c r="NU112" i="13"/>
  <c r="NO112" i="13"/>
  <c r="NK102" i="13"/>
  <c r="NY102" i="13"/>
  <c r="NS102" i="13"/>
  <c r="HS102" i="13"/>
  <c r="NS130" i="13"/>
  <c r="HS130" i="13"/>
  <c r="NL130" i="13" s="1"/>
  <c r="NY130" i="13"/>
  <c r="NK130" i="13"/>
  <c r="NX13" i="13"/>
  <c r="NW13" i="13"/>
  <c r="LJ67" i="13"/>
  <c r="LL67" i="13" s="1"/>
  <c r="LM67" i="13" s="1"/>
  <c r="CW67" i="13" s="1"/>
  <c r="CV67" i="13" s="1"/>
  <c r="CU67" i="13" s="1"/>
  <c r="CT67" i="13" s="1"/>
  <c r="CS67" i="13" s="1"/>
  <c r="LB67" i="13"/>
  <c r="LD67" i="13" s="1"/>
  <c r="LE67" i="13" s="1"/>
  <c r="DZ67" i="13" s="1"/>
  <c r="DY67" i="13" s="1"/>
  <c r="DX67" i="13" s="1"/>
  <c r="DW67" i="13" s="1"/>
  <c r="DV67" i="13" s="1"/>
  <c r="KT67" i="13"/>
  <c r="KV67" i="13" s="1"/>
  <c r="KW67" i="13" s="1"/>
  <c r="DB67" i="13" s="1"/>
  <c r="DA67" i="13" s="1"/>
  <c r="CZ67" i="13" s="1"/>
  <c r="CY67" i="13" s="1"/>
  <c r="CX67" i="13" s="1"/>
  <c r="LR67" i="13"/>
  <c r="LT67" i="13" s="1"/>
  <c r="LU67" i="13" s="1"/>
  <c r="DU67" i="13" s="1"/>
  <c r="DT67" i="13" s="1"/>
  <c r="DS67" i="13" s="1"/>
  <c r="DR67" i="13" s="1"/>
  <c r="DQ67" i="13" s="1"/>
  <c r="DK52" i="13"/>
  <c r="DJ52" i="13" s="1"/>
  <c r="DI52" i="13" s="1"/>
  <c r="DH52" i="13" s="1"/>
  <c r="DG52" i="13" s="1"/>
  <c r="CR52" i="13"/>
  <c r="CQ52" i="13" s="1"/>
  <c r="DP52" i="13"/>
  <c r="DO52" i="13" s="1"/>
  <c r="DN52" i="13" s="1"/>
  <c r="DM52" i="13" s="1"/>
  <c r="DL52" i="13" s="1"/>
  <c r="HT126" i="13"/>
  <c r="HV126" i="13" s="1"/>
  <c r="HW126" i="13" s="1"/>
  <c r="HL126" i="13"/>
  <c r="HN126" i="13" s="1"/>
  <c r="HO126" i="13" s="1"/>
  <c r="IB126" i="13"/>
  <c r="ID126" i="13" s="1"/>
  <c r="IE126" i="13" s="1"/>
  <c r="HD126" i="13"/>
  <c r="HF126" i="13" s="1"/>
  <c r="HG126" i="13" s="1"/>
  <c r="GP69" i="13"/>
  <c r="NN69" i="13"/>
  <c r="NL69" i="13"/>
  <c r="BA27" i="13"/>
  <c r="AZ27" i="13" s="1"/>
  <c r="AY27" i="13" s="1"/>
  <c r="NV51" i="13"/>
  <c r="NQ51" i="13"/>
  <c r="LP51" i="13"/>
  <c r="LQ51" i="13" s="1"/>
  <c r="NR51" i="13" s="1"/>
  <c r="NM101" i="13"/>
  <c r="IA101" i="13"/>
  <c r="NN101" i="13" s="1"/>
  <c r="NT101" i="13"/>
  <c r="LJ34" i="13"/>
  <c r="LL34" i="13" s="1"/>
  <c r="LM34" i="13" s="1"/>
  <c r="CW34" i="13" s="1"/>
  <c r="CV34" i="13" s="1"/>
  <c r="CU34" i="13" s="1"/>
  <c r="CT34" i="13" s="1"/>
  <c r="CS34" i="13" s="1"/>
  <c r="KT34" i="13"/>
  <c r="KV34" i="13" s="1"/>
  <c r="KW34" i="13" s="1"/>
  <c r="DB34" i="13" s="1"/>
  <c r="DA34" i="13" s="1"/>
  <c r="CZ34" i="13" s="1"/>
  <c r="CY34" i="13" s="1"/>
  <c r="CX34" i="13" s="1"/>
  <c r="LB34" i="13"/>
  <c r="LD34" i="13" s="1"/>
  <c r="LE34" i="13" s="1"/>
  <c r="DZ34" i="13" s="1"/>
  <c r="DY34" i="13" s="1"/>
  <c r="DX34" i="13" s="1"/>
  <c r="DW34" i="13" s="1"/>
  <c r="DV34" i="13" s="1"/>
  <c r="LR34" i="13"/>
  <c r="LT34" i="13" s="1"/>
  <c r="LU34" i="13" s="1"/>
  <c r="DU34" i="13" s="1"/>
  <c r="DT34" i="13" s="1"/>
  <c r="DS34" i="13" s="1"/>
  <c r="DR34" i="13" s="1"/>
  <c r="DQ34" i="13" s="1"/>
  <c r="NO149" i="13"/>
  <c r="NU149" i="13"/>
  <c r="LI149" i="13"/>
  <c r="NP149" i="13" s="1"/>
  <c r="NO204" i="13"/>
  <c r="NU204" i="13"/>
  <c r="LI204" i="13"/>
  <c r="NP204" i="13" s="1"/>
  <c r="LF94" i="13"/>
  <c r="LH94" i="13" s="1"/>
  <c r="LN94" i="13"/>
  <c r="KP94" i="13"/>
  <c r="KR94" i="13" s="1"/>
  <c r="KS94" i="13" s="1"/>
  <c r="KX94" i="13"/>
  <c r="KZ94" i="13" s="1"/>
  <c r="LA94" i="13" s="1"/>
  <c r="KT32" i="13"/>
  <c r="KV32" i="13" s="1"/>
  <c r="KW32" i="13" s="1"/>
  <c r="DB32" i="13" s="1"/>
  <c r="DA32" i="13" s="1"/>
  <c r="CZ32" i="13" s="1"/>
  <c r="CY32" i="13" s="1"/>
  <c r="CX32" i="13" s="1"/>
  <c r="LB32" i="13"/>
  <c r="LD32" i="13" s="1"/>
  <c r="LE32" i="13" s="1"/>
  <c r="DZ32" i="13" s="1"/>
  <c r="DY32" i="13" s="1"/>
  <c r="LJ32" i="13"/>
  <c r="LL32" i="13" s="1"/>
  <c r="LM32" i="13" s="1"/>
  <c r="CW32" i="13" s="1"/>
  <c r="CV32" i="13" s="1"/>
  <c r="CU32" i="13" s="1"/>
  <c r="CT32" i="13" s="1"/>
  <c r="CS32" i="13" s="1"/>
  <c r="LR32" i="13"/>
  <c r="LT32" i="13" s="1"/>
  <c r="LU32" i="13" s="1"/>
  <c r="DU32" i="13" s="1"/>
  <c r="DT32" i="13" s="1"/>
  <c r="AS187" i="13"/>
  <c r="AR187" i="13" s="1"/>
  <c r="AQ187" i="13" s="1"/>
  <c r="AP187" i="13" s="1"/>
  <c r="AO187" i="13" s="1"/>
  <c r="AL187" i="13" s="1"/>
  <c r="LF101" i="13"/>
  <c r="LH101" i="13" s="1"/>
  <c r="LN101" i="13"/>
  <c r="KX101" i="13"/>
  <c r="KZ101" i="13" s="1"/>
  <c r="LA101" i="13" s="1"/>
  <c r="KP101" i="13"/>
  <c r="KR101" i="13" s="1"/>
  <c r="KS101" i="13" s="1"/>
  <c r="BH16" i="13"/>
  <c r="BG16" i="13" s="1"/>
  <c r="BF16" i="13" s="1"/>
  <c r="BE16" i="13" s="1"/>
  <c r="BD16" i="13" s="1"/>
  <c r="JO114" i="13"/>
  <c r="KF114" i="13"/>
  <c r="LF12" i="13"/>
  <c r="LH12" i="13" s="1"/>
  <c r="KP12" i="13"/>
  <c r="KR12" i="13" s="1"/>
  <c r="KS12" i="13" s="1"/>
  <c r="KX12" i="13"/>
  <c r="KZ12" i="13" s="1"/>
  <c r="LA12" i="13" s="1"/>
  <c r="DP12" i="13" s="1"/>
  <c r="DO12" i="13" s="1"/>
  <c r="LN12" i="13"/>
  <c r="NV53" i="13"/>
  <c r="NQ53" i="13"/>
  <c r="LP53" i="13"/>
  <c r="LQ53" i="13" s="1"/>
  <c r="NR53" i="13" s="1"/>
  <c r="NX184" i="13"/>
  <c r="NW184" i="13"/>
  <c r="NI124" i="13"/>
  <c r="KL124" i="13"/>
  <c r="KN124" i="13" s="1"/>
  <c r="KO124" i="13" s="1"/>
  <c r="BX65" i="13"/>
  <c r="BW65" i="13" s="1"/>
  <c r="BV65" i="13" s="1"/>
  <c r="IA46" i="13"/>
  <c r="NN46" i="13" s="1"/>
  <c r="NT46" i="13"/>
  <c r="NM46" i="13"/>
  <c r="GP180" i="13"/>
  <c r="NN180" i="13"/>
  <c r="NL180" i="13"/>
  <c r="NI81" i="13"/>
  <c r="KL81" i="13"/>
  <c r="KN81" i="13" s="1"/>
  <c r="KO81" i="13" s="1"/>
  <c r="BA13" i="13"/>
  <c r="AZ13" i="13" s="1"/>
  <c r="AY13" i="13" s="1"/>
  <c r="NF142" i="13"/>
  <c r="NH142" i="13"/>
  <c r="NG142" i="13"/>
  <c r="KH142" i="13" s="1"/>
  <c r="KJ142" i="13" s="1"/>
  <c r="KK142" i="13" s="1"/>
  <c r="JL142" i="13"/>
  <c r="JN142" i="13" s="1"/>
  <c r="AV17" i="13"/>
  <c r="AU17" i="13" s="1"/>
  <c r="AT17" i="13" s="1"/>
  <c r="BX85" i="13"/>
  <c r="BW85" i="13" s="1"/>
  <c r="BV85" i="13" s="1"/>
  <c r="KX202" i="13"/>
  <c r="KZ202" i="13" s="1"/>
  <c r="LA202" i="13" s="1"/>
  <c r="LN202" i="13"/>
  <c r="LF202" i="13"/>
  <c r="LH202" i="13" s="1"/>
  <c r="KP202" i="13"/>
  <c r="KR202" i="13" s="1"/>
  <c r="KS202" i="13" s="1"/>
  <c r="JO168" i="13"/>
  <c r="KG168" i="13" s="1"/>
  <c r="KF168" i="13"/>
  <c r="NQ148" i="13"/>
  <c r="LP148" i="13"/>
  <c r="LQ148" i="13" s="1"/>
  <c r="NR148" i="13" s="1"/>
  <c r="NV148" i="13"/>
  <c r="JK61" i="13"/>
  <c r="AQ135" i="13"/>
  <c r="AP135" i="13" s="1"/>
  <c r="AO135" i="13" s="1"/>
  <c r="AL135" i="13" s="1"/>
  <c r="LR91" i="13"/>
  <c r="LT91" i="13" s="1"/>
  <c r="LU91" i="13" s="1"/>
  <c r="DU91" i="13" s="1"/>
  <c r="DT91" i="13" s="1"/>
  <c r="DS91" i="13" s="1"/>
  <c r="DR91" i="13" s="1"/>
  <c r="DQ91" i="13" s="1"/>
  <c r="KT91" i="13"/>
  <c r="KV91" i="13" s="1"/>
  <c r="KW91" i="13" s="1"/>
  <c r="DB91" i="13" s="1"/>
  <c r="DA91" i="13" s="1"/>
  <c r="LB91" i="13"/>
  <c r="LD91" i="13" s="1"/>
  <c r="LE91" i="13" s="1"/>
  <c r="DZ91" i="13" s="1"/>
  <c r="DY91" i="13" s="1"/>
  <c r="DX91" i="13" s="1"/>
  <c r="DW91" i="13" s="1"/>
  <c r="DV91" i="13" s="1"/>
  <c r="LJ91" i="13"/>
  <c r="LL91" i="13" s="1"/>
  <c r="LM91" i="13" s="1"/>
  <c r="CW91" i="13" s="1"/>
  <c r="CV91" i="13" s="1"/>
  <c r="CC128" i="13"/>
  <c r="CB128" i="13" s="1"/>
  <c r="CA128" i="13" s="1"/>
  <c r="NH83" i="13"/>
  <c r="NG83" i="13"/>
  <c r="KH83" i="13" s="1"/>
  <c r="KJ83" i="13" s="1"/>
  <c r="KK83" i="13" s="1"/>
  <c r="NF83" i="13"/>
  <c r="JL83" i="13"/>
  <c r="JN83" i="13" s="1"/>
  <c r="DN152" i="13"/>
  <c r="DM152" i="13" s="1"/>
  <c r="DL152" i="13" s="1"/>
  <c r="CW66" i="13"/>
  <c r="CV66" i="13" s="1"/>
  <c r="CU66" i="13" s="1"/>
  <c r="CT66" i="13" s="1"/>
  <c r="CS66" i="13" s="1"/>
  <c r="DK66" i="13"/>
  <c r="DJ66" i="13" s="1"/>
  <c r="DI66" i="13" s="1"/>
  <c r="DH66" i="13" s="1"/>
  <c r="DG66" i="13" s="1"/>
  <c r="DP66" i="13"/>
  <c r="DO66" i="13" s="1"/>
  <c r="DN66" i="13" s="1"/>
  <c r="DM66" i="13" s="1"/>
  <c r="DL66" i="13" s="1"/>
  <c r="DB66" i="13"/>
  <c r="DA66" i="13" s="1"/>
  <c r="CZ66" i="13" s="1"/>
  <c r="CY66" i="13" s="1"/>
  <c r="CX66" i="13" s="1"/>
  <c r="CR66" i="13"/>
  <c r="CQ66" i="13" s="1"/>
  <c r="CP66" i="13" s="1"/>
  <c r="CO66" i="13" s="1"/>
  <c r="CN66" i="13" s="1"/>
  <c r="DU66" i="13"/>
  <c r="DT66" i="13" s="1"/>
  <c r="DS66" i="13" s="1"/>
  <c r="DR66" i="13" s="1"/>
  <c r="DQ66" i="13" s="1"/>
  <c r="CM66" i="13"/>
  <c r="CL66" i="13" s="1"/>
  <c r="CK66" i="13" s="1"/>
  <c r="CJ66" i="13" s="1"/>
  <c r="CI66" i="13" s="1"/>
  <c r="NQ195" i="13"/>
  <c r="LP195" i="13"/>
  <c r="LQ195" i="13" s="1"/>
  <c r="NR195" i="13" s="1"/>
  <c r="NV195" i="13"/>
  <c r="KT105" i="13"/>
  <c r="KV105" i="13" s="1"/>
  <c r="KW105" i="13" s="1"/>
  <c r="LJ105" i="13"/>
  <c r="LL105" i="13" s="1"/>
  <c r="LM105" i="13" s="1"/>
  <c r="LR105" i="13"/>
  <c r="LT105" i="13" s="1"/>
  <c r="LU105" i="13" s="1"/>
  <c r="LB105" i="13"/>
  <c r="LD105" i="13" s="1"/>
  <c r="LE105" i="13" s="1"/>
  <c r="NX94" i="13"/>
  <c r="NW94" i="13"/>
  <c r="AV166" i="13"/>
  <c r="AU166" i="13" s="1"/>
  <c r="AT166" i="13" s="1"/>
  <c r="NY181" i="13"/>
  <c r="HS181" i="13"/>
  <c r="NL181" i="13" s="1"/>
  <c r="NK181" i="13"/>
  <c r="NS181" i="13"/>
  <c r="LF129" i="13"/>
  <c r="LH129" i="13" s="1"/>
  <c r="KX129" i="13"/>
  <c r="KZ129" i="13" s="1"/>
  <c r="LA129" i="13" s="1"/>
  <c r="KP129" i="13"/>
  <c r="KR129" i="13" s="1"/>
  <c r="KS129" i="13" s="1"/>
  <c r="LN129" i="13"/>
  <c r="BH110" i="13"/>
  <c r="BG110" i="13" s="1"/>
  <c r="BF110" i="13" s="1"/>
  <c r="BE110" i="13" s="1"/>
  <c r="BD110" i="13" s="1"/>
  <c r="NM119" i="13"/>
  <c r="IA119" i="13"/>
  <c r="NN119" i="13" s="1"/>
  <c r="NT119" i="13"/>
  <c r="NO143" i="13"/>
  <c r="LI143" i="13"/>
  <c r="NP143" i="13" s="1"/>
  <c r="NU143" i="13"/>
  <c r="LN104" i="13"/>
  <c r="LF104" i="13"/>
  <c r="LH104" i="13" s="1"/>
  <c r="KP104" i="13"/>
  <c r="KR104" i="13" s="1"/>
  <c r="KS104" i="13" s="1"/>
  <c r="KX104" i="13"/>
  <c r="KZ104" i="13" s="1"/>
  <c r="LA104" i="13" s="1"/>
  <c r="CC182" i="13"/>
  <c r="CB182" i="13" s="1"/>
  <c r="CA182" i="13" s="1"/>
  <c r="BS12" i="13"/>
  <c r="BR12" i="13" s="1"/>
  <c r="BQ12" i="13" s="1"/>
  <c r="HS132" i="13"/>
  <c r="NL132" i="13" s="1"/>
  <c r="NK132" i="13"/>
  <c r="NY132" i="13"/>
  <c r="NS132" i="13"/>
  <c r="GP45" i="13"/>
  <c r="NN45" i="13"/>
  <c r="NM102" i="13"/>
  <c r="IA102" i="13"/>
  <c r="NN102" i="13" s="1"/>
  <c r="NT102" i="13"/>
  <c r="JO97" i="13"/>
  <c r="KG97" i="13" s="1"/>
  <c r="KF97" i="13"/>
  <c r="DP160" i="13"/>
  <c r="DO160" i="13" s="1"/>
  <c r="DK160" i="13"/>
  <c r="DJ160" i="13" s="1"/>
  <c r="DZ160" i="13"/>
  <c r="DY160" i="13" s="1"/>
  <c r="CR160" i="13"/>
  <c r="CQ160" i="13" s="1"/>
  <c r="CM160" i="13"/>
  <c r="CL160" i="13" s="1"/>
  <c r="DB160" i="13"/>
  <c r="DA160" i="13" s="1"/>
  <c r="CZ160" i="13" s="1"/>
  <c r="CY160" i="13" s="1"/>
  <c r="CX160" i="13" s="1"/>
  <c r="DU160" i="13"/>
  <c r="DT160" i="13" s="1"/>
  <c r="DS160" i="13" s="1"/>
  <c r="DR160" i="13" s="1"/>
  <c r="DQ160" i="13" s="1"/>
  <c r="NV160" i="13"/>
  <c r="LP160" i="13"/>
  <c r="LQ160" i="13" s="1"/>
  <c r="NR160" i="13" s="1"/>
  <c r="NQ160" i="13"/>
  <c r="IB132" i="13"/>
  <c r="ID132" i="13" s="1"/>
  <c r="IE132" i="13" s="1"/>
  <c r="HD132" i="13"/>
  <c r="HF132" i="13" s="1"/>
  <c r="HG132" i="13" s="1"/>
  <c r="HL132" i="13"/>
  <c r="HN132" i="13" s="1"/>
  <c r="HO132" i="13" s="1"/>
  <c r="HT132" i="13"/>
  <c r="HV132" i="13" s="1"/>
  <c r="HW132" i="13" s="1"/>
  <c r="NM130" i="13"/>
  <c r="IA130" i="13"/>
  <c r="NN130" i="13" s="1"/>
  <c r="NT130" i="13"/>
  <c r="NX207" i="13"/>
  <c r="NW207" i="13"/>
  <c r="DP171" i="13"/>
  <c r="DO171" i="13" s="1"/>
  <c r="CR171" i="13"/>
  <c r="CQ171" i="13" s="1"/>
  <c r="CP171" i="13" s="1"/>
  <c r="CO171" i="13" s="1"/>
  <c r="CN171" i="13" s="1"/>
  <c r="CM171" i="13"/>
  <c r="CL171" i="13" s="1"/>
  <c r="CK171" i="13" s="1"/>
  <c r="CJ171" i="13" s="1"/>
  <c r="CI171" i="13" s="1"/>
  <c r="DU171" i="13"/>
  <c r="DT171" i="13" s="1"/>
  <c r="CC23" i="13"/>
  <c r="CB23" i="13" s="1"/>
  <c r="CA23" i="13" s="1"/>
  <c r="NV193" i="13"/>
  <c r="NQ193" i="13"/>
  <c r="LP193" i="13"/>
  <c r="LQ193" i="13" s="1"/>
  <c r="NR193" i="13" s="1"/>
  <c r="HS140" i="13"/>
  <c r="NL140" i="13" s="1"/>
  <c r="NK140" i="13"/>
  <c r="NY140" i="13"/>
  <c r="NS140" i="13"/>
  <c r="JK70" i="13"/>
  <c r="KX157" i="13"/>
  <c r="KZ157" i="13" s="1"/>
  <c r="LA157" i="13" s="1"/>
  <c r="LN157" i="13"/>
  <c r="LF157" i="13"/>
  <c r="LH157" i="13" s="1"/>
  <c r="KP157" i="13"/>
  <c r="KR157" i="13" s="1"/>
  <c r="KS157" i="13" s="1"/>
  <c r="NM103" i="13"/>
  <c r="IA103" i="13"/>
  <c r="NN103" i="13" s="1"/>
  <c r="NT103" i="13"/>
  <c r="GP167" i="13"/>
  <c r="NL167" i="13"/>
  <c r="LI165" i="13"/>
  <c r="NP165" i="13" s="1"/>
  <c r="NU165" i="13"/>
  <c r="NO165" i="13"/>
  <c r="NO148" i="13"/>
  <c r="LI148" i="13"/>
  <c r="NP148" i="13" s="1"/>
  <c r="NU148" i="13"/>
  <c r="IB117" i="13"/>
  <c r="ID117" i="13" s="1"/>
  <c r="IE117" i="13" s="1"/>
  <c r="HD117" i="13"/>
  <c r="HF117" i="13" s="1"/>
  <c r="HG117" i="13" s="1"/>
  <c r="HL117" i="13"/>
  <c r="HN117" i="13" s="1"/>
  <c r="HO117" i="13" s="1"/>
  <c r="HT117" i="13"/>
  <c r="HV117" i="13" s="1"/>
  <c r="HW117" i="13" s="1"/>
  <c r="NX190" i="13"/>
  <c r="NW190" i="13"/>
  <c r="NI77" i="13"/>
  <c r="KL77" i="13"/>
  <c r="KN77" i="13" s="1"/>
  <c r="KO77" i="13" s="1"/>
  <c r="NX22" i="13"/>
  <c r="NW22" i="13"/>
  <c r="GP61" i="13"/>
  <c r="NQ137" i="13"/>
  <c r="NV137" i="13"/>
  <c r="LP137" i="13"/>
  <c r="LQ137" i="13" s="1"/>
  <c r="DK137" i="13" s="1"/>
  <c r="DJ137" i="13" s="1"/>
  <c r="HD69" i="13"/>
  <c r="HF69" i="13" s="1"/>
  <c r="HG69" i="13" s="1"/>
  <c r="HL69" i="13"/>
  <c r="HN69" i="13" s="1"/>
  <c r="HO69" i="13" s="1"/>
  <c r="IB69" i="13"/>
  <c r="ID69" i="13" s="1"/>
  <c r="IE69" i="13" s="1"/>
  <c r="HT69" i="13"/>
  <c r="HV69" i="13" s="1"/>
  <c r="HW69" i="13" s="1"/>
  <c r="NM30" i="13"/>
  <c r="BS30" i="13" s="1"/>
  <c r="BR30" i="13" s="1"/>
  <c r="BQ30" i="13" s="1"/>
  <c r="IA30" i="13"/>
  <c r="NT30" i="13"/>
  <c r="BP214" i="13"/>
  <c r="BO214" i="13" s="1"/>
  <c r="BN214" i="13" s="1"/>
  <c r="BM214" i="13" s="1"/>
  <c r="BL214" i="13" s="1"/>
  <c r="BC214" i="13"/>
  <c r="BB214" i="13" s="1"/>
  <c r="BA214" i="13" s="1"/>
  <c r="AZ214" i="13" s="1"/>
  <c r="AY214" i="13" s="1"/>
  <c r="AX214" i="13"/>
  <c r="AW214" i="13" s="1"/>
  <c r="AV214" i="13" s="1"/>
  <c r="AU214" i="13" s="1"/>
  <c r="AT214" i="13" s="1"/>
  <c r="CE214" i="13"/>
  <c r="CD214" i="13" s="1"/>
  <c r="CC214" i="13" s="1"/>
  <c r="CB214" i="13" s="1"/>
  <c r="CA214" i="13" s="1"/>
  <c r="AS214" i="13"/>
  <c r="AR214" i="13" s="1"/>
  <c r="AQ214" i="13" s="1"/>
  <c r="AP214" i="13" s="1"/>
  <c r="AO214" i="13" s="1"/>
  <c r="AL214" i="13" s="1"/>
  <c r="BZ214" i="13"/>
  <c r="BY214" i="13" s="1"/>
  <c r="BX214" i="13" s="1"/>
  <c r="BW214" i="13" s="1"/>
  <c r="BV214" i="13" s="1"/>
  <c r="BH214" i="13"/>
  <c r="BG214" i="13" s="1"/>
  <c r="BF214" i="13" s="1"/>
  <c r="BE214" i="13" s="1"/>
  <c r="BD214" i="13" s="1"/>
  <c r="BU214" i="13"/>
  <c r="BT214" i="13" s="1"/>
  <c r="BS214" i="13" s="1"/>
  <c r="BR214" i="13" s="1"/>
  <c r="BQ214" i="13" s="1"/>
  <c r="IB140" i="13"/>
  <c r="ID140" i="13" s="1"/>
  <c r="IE140" i="13" s="1"/>
  <c r="HL140" i="13"/>
  <c r="HN140" i="13" s="1"/>
  <c r="HO140" i="13" s="1"/>
  <c r="HD140" i="13"/>
  <c r="HF140" i="13" s="1"/>
  <c r="HG140" i="13" s="1"/>
  <c r="HT140" i="13"/>
  <c r="HV140" i="13" s="1"/>
  <c r="HW140" i="13" s="1"/>
  <c r="DK43" i="13"/>
  <c r="DJ43" i="13" s="1"/>
  <c r="DI43" i="13" s="1"/>
  <c r="DH43" i="13" s="1"/>
  <c r="DG43" i="13" s="1"/>
  <c r="CW43" i="13"/>
  <c r="CV43" i="13" s="1"/>
  <c r="CU43" i="13" s="1"/>
  <c r="CT43" i="13" s="1"/>
  <c r="CS43" i="13" s="1"/>
  <c r="DZ43" i="13"/>
  <c r="DY43" i="13" s="1"/>
  <c r="DX43" i="13" s="1"/>
  <c r="DW43" i="13" s="1"/>
  <c r="DV43" i="13" s="1"/>
  <c r="CR43" i="13"/>
  <c r="CQ43" i="13" s="1"/>
  <c r="CP43" i="13" s="1"/>
  <c r="CO43" i="13" s="1"/>
  <c r="CN43" i="13" s="1"/>
  <c r="DP43" i="13"/>
  <c r="DO43" i="13" s="1"/>
  <c r="DN43" i="13" s="1"/>
  <c r="DM43" i="13" s="1"/>
  <c r="DL43" i="13" s="1"/>
  <c r="CM43" i="13"/>
  <c r="CL43" i="13" s="1"/>
  <c r="CK43" i="13" s="1"/>
  <c r="CJ43" i="13" s="1"/>
  <c r="CI43" i="13" s="1"/>
  <c r="DU43" i="13"/>
  <c r="DT43" i="13" s="1"/>
  <c r="DS43" i="13" s="1"/>
  <c r="DR43" i="13" s="1"/>
  <c r="DQ43" i="13" s="1"/>
  <c r="DB43" i="13"/>
  <c r="DA43" i="13" s="1"/>
  <c r="CZ43" i="13" s="1"/>
  <c r="CY43" i="13" s="1"/>
  <c r="CX43" i="13" s="1"/>
  <c r="NH44" i="13"/>
  <c r="NG44" i="13"/>
  <c r="KH44" i="13" s="1"/>
  <c r="KJ44" i="13" s="1"/>
  <c r="KK44" i="13" s="1"/>
  <c r="NF44" i="13"/>
  <c r="JL44" i="13"/>
  <c r="JN44" i="13" s="1"/>
  <c r="NM167" i="13"/>
  <c r="NT167" i="13"/>
  <c r="IA167" i="13"/>
  <c r="NN167" i="13" s="1"/>
  <c r="GP99" i="13"/>
  <c r="NN99" i="13"/>
  <c r="BV27" i="13"/>
  <c r="JK185" i="13"/>
  <c r="HS101" i="13"/>
  <c r="NL101" i="13" s="1"/>
  <c r="NK101" i="13"/>
  <c r="NY101" i="13"/>
  <c r="NS101" i="13"/>
  <c r="CM85" i="13"/>
  <c r="CL85" i="13" s="1"/>
  <c r="CK85" i="13" s="1"/>
  <c r="CJ85" i="13" s="1"/>
  <c r="CI85" i="13" s="1"/>
  <c r="CR85" i="13"/>
  <c r="CQ85" i="13" s="1"/>
  <c r="CP85" i="13" s="1"/>
  <c r="CO85" i="13" s="1"/>
  <c r="CN85" i="13" s="1"/>
  <c r="DP85" i="13"/>
  <c r="DO85" i="13" s="1"/>
  <c r="DN85" i="13" s="1"/>
  <c r="DM85" i="13" s="1"/>
  <c r="DL85" i="13" s="1"/>
  <c r="DN23" i="13"/>
  <c r="DM23" i="13" s="1"/>
  <c r="DL23" i="13" s="1"/>
  <c r="LI52" i="13"/>
  <c r="NP52" i="13" s="1"/>
  <c r="NU52" i="13"/>
  <c r="NO52" i="13"/>
  <c r="LP171" i="13"/>
  <c r="LQ171" i="13" s="1"/>
  <c r="NR171" i="13" s="1"/>
  <c r="NV171" i="13"/>
  <c r="NQ171" i="13"/>
  <c r="JO214" i="13"/>
  <c r="KF214" i="13"/>
  <c r="BZ51" i="13"/>
  <c r="BY51" i="13" s="1"/>
  <c r="BX51" i="13" s="1"/>
  <c r="BW51" i="13" s="1"/>
  <c r="BV51" i="13" s="1"/>
  <c r="BU51" i="13"/>
  <c r="BT51" i="13" s="1"/>
  <c r="BS51" i="13" s="1"/>
  <c r="BR51" i="13" s="1"/>
  <c r="BQ51" i="13" s="1"/>
  <c r="BC51" i="13"/>
  <c r="BB51" i="13" s="1"/>
  <c r="BA51" i="13" s="1"/>
  <c r="AZ51" i="13" s="1"/>
  <c r="AY51" i="13" s="1"/>
  <c r="AX51" i="13"/>
  <c r="AW51" i="13" s="1"/>
  <c r="AV51" i="13" s="1"/>
  <c r="AU51" i="13" s="1"/>
  <c r="AT51" i="13" s="1"/>
  <c r="BP51" i="13"/>
  <c r="BO51" i="13" s="1"/>
  <c r="BN51" i="13" s="1"/>
  <c r="BM51" i="13" s="1"/>
  <c r="BL51" i="13" s="1"/>
  <c r="BH51" i="13"/>
  <c r="BG51" i="13" s="1"/>
  <c r="BF51" i="13" s="1"/>
  <c r="BE51" i="13" s="1"/>
  <c r="BD51" i="13" s="1"/>
  <c r="CE51" i="13"/>
  <c r="CD51" i="13" s="1"/>
  <c r="CC51" i="13" s="1"/>
  <c r="CB51" i="13" s="1"/>
  <c r="CA51" i="13" s="1"/>
  <c r="AS51" i="13"/>
  <c r="AR51" i="13" s="1"/>
  <c r="AQ51" i="13" s="1"/>
  <c r="AP51" i="13" s="1"/>
  <c r="AO51" i="13" s="1"/>
  <c r="AL51" i="13" s="1"/>
  <c r="KT106" i="13"/>
  <c r="KV106" i="13" s="1"/>
  <c r="KW106" i="13" s="1"/>
  <c r="DB106" i="13" s="1"/>
  <c r="DA106" i="13" s="1"/>
  <c r="CZ106" i="13" s="1"/>
  <c r="CY106" i="13" s="1"/>
  <c r="CX106" i="13" s="1"/>
  <c r="LB106" i="13"/>
  <c r="LD106" i="13" s="1"/>
  <c r="LE106" i="13" s="1"/>
  <c r="DZ106" i="13" s="1"/>
  <c r="DY106" i="13" s="1"/>
  <c r="DX106" i="13" s="1"/>
  <c r="DW106" i="13" s="1"/>
  <c r="DV106" i="13" s="1"/>
  <c r="LR106" i="13"/>
  <c r="LT106" i="13" s="1"/>
  <c r="LU106" i="13" s="1"/>
  <c r="DU106" i="13" s="1"/>
  <c r="DT106" i="13" s="1"/>
  <c r="DS106" i="13" s="1"/>
  <c r="DR106" i="13" s="1"/>
  <c r="DQ106" i="13" s="1"/>
  <c r="LJ106" i="13"/>
  <c r="LL106" i="13" s="1"/>
  <c r="LM106" i="13" s="1"/>
  <c r="CW106" i="13" s="1"/>
  <c r="CV106" i="13" s="1"/>
  <c r="CU106" i="13" s="1"/>
  <c r="CT106" i="13" s="1"/>
  <c r="CS106" i="13" s="1"/>
  <c r="NI114" i="13"/>
  <c r="KL114" i="13"/>
  <c r="KN114" i="13" s="1"/>
  <c r="KO114" i="13" s="1"/>
  <c r="NI30" i="13"/>
  <c r="KL30" i="13"/>
  <c r="KN30" i="13" s="1"/>
  <c r="KO30" i="13" s="1"/>
  <c r="NH39" i="13"/>
  <c r="NG39" i="13"/>
  <c r="KH39" i="13" s="1"/>
  <c r="KJ39" i="13" s="1"/>
  <c r="KK39" i="13" s="1"/>
  <c r="NF39" i="13"/>
  <c r="JL39" i="13"/>
  <c r="JN39" i="13" s="1"/>
  <c r="JK55" i="13"/>
  <c r="KT52" i="13"/>
  <c r="KV52" i="13" s="1"/>
  <c r="KW52" i="13" s="1"/>
  <c r="DB52" i="13" s="1"/>
  <c r="DA52" i="13" s="1"/>
  <c r="CZ52" i="13" s="1"/>
  <c r="CY52" i="13" s="1"/>
  <c r="CX52" i="13" s="1"/>
  <c r="LJ52" i="13"/>
  <c r="LL52" i="13" s="1"/>
  <c r="LM52" i="13" s="1"/>
  <c r="CW52" i="13" s="1"/>
  <c r="CV52" i="13" s="1"/>
  <c r="CU52" i="13" s="1"/>
  <c r="CT52" i="13" s="1"/>
  <c r="CS52" i="13" s="1"/>
  <c r="LB52" i="13"/>
  <c r="LD52" i="13" s="1"/>
  <c r="LE52" i="13" s="1"/>
  <c r="DZ52" i="13" s="1"/>
  <c r="DY52" i="13" s="1"/>
  <c r="DX52" i="13" s="1"/>
  <c r="DW52" i="13" s="1"/>
  <c r="DV52" i="13" s="1"/>
  <c r="LR52" i="13"/>
  <c r="LT52" i="13" s="1"/>
  <c r="LU52" i="13" s="1"/>
  <c r="DU52" i="13" s="1"/>
  <c r="DT52" i="13" s="1"/>
  <c r="DS52" i="13" s="1"/>
  <c r="DR52" i="13" s="1"/>
  <c r="DQ52" i="13" s="1"/>
  <c r="AV13" i="13"/>
  <c r="AU13" i="13" s="1"/>
  <c r="AT13" i="13" s="1"/>
  <c r="BS205" i="13"/>
  <c r="BR205" i="13" s="1"/>
  <c r="BQ205" i="13" s="1"/>
  <c r="LF139" i="13"/>
  <c r="LH139" i="13" s="1"/>
  <c r="LN139" i="13"/>
  <c r="KP139" i="13"/>
  <c r="KR139" i="13" s="1"/>
  <c r="KS139" i="13" s="1"/>
  <c r="KX139" i="13"/>
  <c r="KZ139" i="13" s="1"/>
  <c r="LA139" i="13" s="1"/>
  <c r="BS17" i="13"/>
  <c r="BR17" i="13" s="1"/>
  <c r="BQ17" i="13" s="1"/>
  <c r="DZ53" i="13"/>
  <c r="DY53" i="13" s="1"/>
  <c r="CR53" i="13"/>
  <c r="CQ53" i="13" s="1"/>
  <c r="CP53" i="13" s="1"/>
  <c r="CO53" i="13" s="1"/>
  <c r="CN53" i="13" s="1"/>
  <c r="DB53" i="13"/>
  <c r="DA53" i="13" s="1"/>
  <c r="CZ53" i="13" s="1"/>
  <c r="CY53" i="13" s="1"/>
  <c r="CX53" i="13" s="1"/>
  <c r="DU53" i="13"/>
  <c r="DT53" i="13" s="1"/>
  <c r="DS53" i="13" s="1"/>
  <c r="DR53" i="13" s="1"/>
  <c r="DQ53" i="13" s="1"/>
  <c r="CW53" i="13"/>
  <c r="CV53" i="13" s="1"/>
  <c r="CU53" i="13" s="1"/>
  <c r="CT53" i="13" s="1"/>
  <c r="CS53" i="13" s="1"/>
  <c r="CM53" i="13"/>
  <c r="CL53" i="13" s="1"/>
  <c r="CK53" i="13" s="1"/>
  <c r="CJ53" i="13" s="1"/>
  <c r="CI53" i="13" s="1"/>
  <c r="DP53" i="13"/>
  <c r="DO53" i="13" s="1"/>
  <c r="DN53" i="13" s="1"/>
  <c r="DM53" i="13" s="1"/>
  <c r="DL53" i="13" s="1"/>
  <c r="NI168" i="13"/>
  <c r="KL168" i="13"/>
  <c r="KN168" i="13" s="1"/>
  <c r="KO168" i="13" s="1"/>
  <c r="LI113" i="13"/>
  <c r="NP113" i="13" s="1"/>
  <c r="NU113" i="13"/>
  <c r="NO113" i="13"/>
  <c r="LR189" i="13"/>
  <c r="LT189" i="13" s="1"/>
  <c r="LU189" i="13" s="1"/>
  <c r="DU189" i="13" s="1"/>
  <c r="DT189" i="13" s="1"/>
  <c r="KT189" i="13"/>
  <c r="KV189" i="13" s="1"/>
  <c r="KW189" i="13" s="1"/>
  <c r="DB189" i="13" s="1"/>
  <c r="DA189" i="13" s="1"/>
  <c r="CZ189" i="13" s="1"/>
  <c r="CY189" i="13" s="1"/>
  <c r="CX189" i="13" s="1"/>
  <c r="LB189" i="13"/>
  <c r="LD189" i="13" s="1"/>
  <c r="LE189" i="13" s="1"/>
  <c r="DZ189" i="13" s="1"/>
  <c r="DY189" i="13" s="1"/>
  <c r="LJ189" i="13"/>
  <c r="LL189" i="13" s="1"/>
  <c r="LM189" i="13" s="1"/>
  <c r="CW189" i="13" s="1"/>
  <c r="CV189" i="13" s="1"/>
  <c r="CU189" i="13" s="1"/>
  <c r="CT189" i="13" s="1"/>
  <c r="CS189" i="13" s="1"/>
  <c r="LB76" i="13"/>
  <c r="LD76" i="13" s="1"/>
  <c r="LE76" i="13" s="1"/>
  <c r="DZ76" i="13" s="1"/>
  <c r="DY76" i="13" s="1"/>
  <c r="DX76" i="13" s="1"/>
  <c r="DW76" i="13" s="1"/>
  <c r="DV76" i="13" s="1"/>
  <c r="KT76" i="13"/>
  <c r="KV76" i="13" s="1"/>
  <c r="KW76" i="13" s="1"/>
  <c r="DB76" i="13" s="1"/>
  <c r="DA76" i="13" s="1"/>
  <c r="CZ76" i="13" s="1"/>
  <c r="CY76" i="13" s="1"/>
  <c r="CX76" i="13" s="1"/>
  <c r="LJ76" i="13"/>
  <c r="LL76" i="13" s="1"/>
  <c r="LM76" i="13" s="1"/>
  <c r="CW76" i="13" s="1"/>
  <c r="CV76" i="13" s="1"/>
  <c r="CU76" i="13" s="1"/>
  <c r="CT76" i="13" s="1"/>
  <c r="CS76" i="13" s="1"/>
  <c r="LR76" i="13"/>
  <c r="LT76" i="13" s="1"/>
  <c r="LU76" i="13" s="1"/>
  <c r="DU76" i="13" s="1"/>
  <c r="DT76" i="13" s="1"/>
  <c r="DS76" i="13" s="1"/>
  <c r="DR76" i="13" s="1"/>
  <c r="DQ76" i="13" s="1"/>
  <c r="JO122" i="13"/>
  <c r="KF122" i="13"/>
  <c r="CO152" i="13"/>
  <c r="CN152" i="13" s="1"/>
  <c r="JO77" i="13"/>
  <c r="KG77" i="13" s="1"/>
  <c r="KF77" i="13"/>
  <c r="NX166" i="13"/>
  <c r="NW166" i="13"/>
  <c r="BX29" i="13"/>
  <c r="BW29" i="13" s="1"/>
  <c r="BV29" i="13" s="1"/>
  <c r="JK117" i="13"/>
  <c r="NW116" i="13"/>
  <c r="NX116" i="13"/>
  <c r="NM199" i="13"/>
  <c r="NT199" i="13"/>
  <c r="IA199" i="13"/>
  <c r="NN199" i="13" s="1"/>
  <c r="CC48" i="13"/>
  <c r="CB48" i="13" s="1"/>
  <c r="CA48" i="13" s="1"/>
  <c r="BX80" i="13"/>
  <c r="BW80" i="13" s="1"/>
  <c r="BV80" i="13" s="1"/>
  <c r="NK119" i="13"/>
  <c r="NY119" i="13"/>
  <c r="NS119" i="13"/>
  <c r="HS119" i="13"/>
  <c r="NL119" i="13" s="1"/>
  <c r="DX210" i="13"/>
  <c r="DW210" i="13" s="1"/>
  <c r="DV210" i="13" s="1"/>
  <c r="DN28" i="13"/>
  <c r="DM28" i="13" s="1"/>
  <c r="DL28" i="13" s="1"/>
  <c r="LR85" i="13"/>
  <c r="LT85" i="13" s="1"/>
  <c r="LU85" i="13" s="1"/>
  <c r="DU85" i="13" s="1"/>
  <c r="DT85" i="13" s="1"/>
  <c r="DS85" i="13" s="1"/>
  <c r="DR85" i="13" s="1"/>
  <c r="DQ85" i="13" s="1"/>
  <c r="KT85" i="13"/>
  <c r="KV85" i="13" s="1"/>
  <c r="KW85" i="13" s="1"/>
  <c r="DB85" i="13" s="1"/>
  <c r="DA85" i="13" s="1"/>
  <c r="CZ85" i="13" s="1"/>
  <c r="CY85" i="13" s="1"/>
  <c r="CX85" i="13" s="1"/>
  <c r="LB85" i="13"/>
  <c r="LD85" i="13" s="1"/>
  <c r="LE85" i="13" s="1"/>
  <c r="DZ85" i="13" s="1"/>
  <c r="DY85" i="13" s="1"/>
  <c r="LJ85" i="13"/>
  <c r="LL85" i="13" s="1"/>
  <c r="LM85" i="13" s="1"/>
  <c r="CW85" i="13" s="1"/>
  <c r="CV85" i="13" s="1"/>
  <c r="CU85" i="13" s="1"/>
  <c r="CT85" i="13" s="1"/>
  <c r="CS85" i="13" s="1"/>
  <c r="NX197" i="13"/>
  <c r="NW197" i="13"/>
  <c r="GP186" i="13"/>
  <c r="NL186" i="13"/>
  <c r="NN186" i="13"/>
  <c r="NI104" i="13"/>
  <c r="KL104" i="13"/>
  <c r="KN104" i="13" s="1"/>
  <c r="KO104" i="13" s="1"/>
  <c r="CC153" i="13"/>
  <c r="CB153" i="13" s="1"/>
  <c r="CA153" i="13" s="1"/>
  <c r="HS191" i="13"/>
  <c r="NL191" i="13" s="1"/>
  <c r="NS191" i="13"/>
  <c r="NK191" i="13"/>
  <c r="NY191" i="13"/>
  <c r="AV12" i="13"/>
  <c r="AU12" i="13" s="1"/>
  <c r="AT12" i="13" s="1"/>
  <c r="NX183" i="13"/>
  <c r="NW183" i="13"/>
  <c r="NO200" i="13"/>
  <c r="LI200" i="13"/>
  <c r="NP200" i="13" s="1"/>
  <c r="NU200" i="13"/>
  <c r="DN125" i="13"/>
  <c r="DM125" i="13" s="1"/>
  <c r="DL125" i="13" s="1"/>
  <c r="AX122" i="13"/>
  <c r="AW122" i="13" s="1"/>
  <c r="AV122" i="13" s="1"/>
  <c r="AU122" i="13" s="1"/>
  <c r="AT122" i="13" s="1"/>
  <c r="BU122" i="13"/>
  <c r="BT122" i="13" s="1"/>
  <c r="BS122" i="13" s="1"/>
  <c r="BR122" i="13" s="1"/>
  <c r="BQ122" i="13" s="1"/>
  <c r="BP122" i="13"/>
  <c r="BO122" i="13" s="1"/>
  <c r="BN122" i="13" s="1"/>
  <c r="BM122" i="13" s="1"/>
  <c r="BL122" i="13" s="1"/>
  <c r="CE122" i="13"/>
  <c r="CD122" i="13" s="1"/>
  <c r="CC122" i="13" s="1"/>
  <c r="CB122" i="13" s="1"/>
  <c r="CA122" i="13" s="1"/>
  <c r="AS122" i="13"/>
  <c r="AR122" i="13" s="1"/>
  <c r="AQ122" i="13" s="1"/>
  <c r="AP122" i="13" s="1"/>
  <c r="AO122" i="13" s="1"/>
  <c r="AL122" i="13" s="1"/>
  <c r="BH122" i="13"/>
  <c r="BG122" i="13" s="1"/>
  <c r="BF122" i="13" s="1"/>
  <c r="BE122" i="13" s="1"/>
  <c r="BD122" i="13" s="1"/>
  <c r="BZ122" i="13"/>
  <c r="BY122" i="13" s="1"/>
  <c r="BX122" i="13" s="1"/>
  <c r="BW122" i="13" s="1"/>
  <c r="BV122" i="13" s="1"/>
  <c r="BC122" i="13"/>
  <c r="BB122" i="13" s="1"/>
  <c r="BA122" i="13" s="1"/>
  <c r="AZ122" i="13" s="1"/>
  <c r="AY122" i="13" s="1"/>
  <c r="NX187" i="13"/>
  <c r="NW187" i="13"/>
  <c r="KT159" i="13"/>
  <c r="KV159" i="13" s="1"/>
  <c r="KW159" i="13" s="1"/>
  <c r="DB159" i="13" s="1"/>
  <c r="DA159" i="13" s="1"/>
  <c r="CZ159" i="13" s="1"/>
  <c r="CY159" i="13" s="1"/>
  <c r="CX159" i="13" s="1"/>
  <c r="LB159" i="13"/>
  <c r="LD159" i="13" s="1"/>
  <c r="LE159" i="13" s="1"/>
  <c r="DZ159" i="13" s="1"/>
  <c r="DY159" i="13" s="1"/>
  <c r="DX159" i="13" s="1"/>
  <c r="DW159" i="13" s="1"/>
  <c r="DV159" i="13" s="1"/>
  <c r="LR159" i="13"/>
  <c r="LT159" i="13" s="1"/>
  <c r="LU159" i="13" s="1"/>
  <c r="DU159" i="13" s="1"/>
  <c r="DT159" i="13" s="1"/>
  <c r="DS159" i="13" s="1"/>
  <c r="DR159" i="13" s="1"/>
  <c r="DQ159" i="13" s="1"/>
  <c r="LJ159" i="13"/>
  <c r="LL159" i="13" s="1"/>
  <c r="LM159" i="13" s="1"/>
  <c r="CW159" i="13" s="1"/>
  <c r="CV159" i="13" s="1"/>
  <c r="CU159" i="13" s="1"/>
  <c r="CT159" i="13" s="1"/>
  <c r="CS159" i="13" s="1"/>
  <c r="NV116" i="13"/>
  <c r="NQ116" i="13"/>
  <c r="LP116" i="13"/>
  <c r="LQ116" i="13" s="1"/>
  <c r="NR116" i="13" s="1"/>
  <c r="NV75" i="13"/>
  <c r="NQ75" i="13"/>
  <c r="LP75" i="13"/>
  <c r="LQ75" i="13" s="1"/>
  <c r="NR75" i="13" s="1"/>
  <c r="JK146" i="13"/>
  <c r="NI97" i="13"/>
  <c r="KL97" i="13"/>
  <c r="KN97" i="13" s="1"/>
  <c r="KO97" i="13" s="1"/>
  <c r="NX39" i="13"/>
  <c r="NW39" i="13"/>
  <c r="NF99" i="13"/>
  <c r="NH99" i="13"/>
  <c r="NG99" i="13"/>
  <c r="KH99" i="13" s="1"/>
  <c r="KJ99" i="13" s="1"/>
  <c r="KK99" i="13" s="1"/>
  <c r="JL99" i="13"/>
  <c r="JN99" i="13" s="1"/>
  <c r="BX141" i="13"/>
  <c r="BW141" i="13" s="1"/>
  <c r="BV141" i="13" s="1"/>
  <c r="KG128" i="13"/>
  <c r="NR128" i="13"/>
  <c r="LJ154" i="13"/>
  <c r="LL154" i="13" s="1"/>
  <c r="LM154" i="13" s="1"/>
  <c r="CW154" i="13" s="1"/>
  <c r="CV154" i="13" s="1"/>
  <c r="LR154" i="13"/>
  <c r="LT154" i="13" s="1"/>
  <c r="LU154" i="13" s="1"/>
  <c r="DU154" i="13" s="1"/>
  <c r="DT154" i="13" s="1"/>
  <c r="DS154" i="13" s="1"/>
  <c r="DR154" i="13" s="1"/>
  <c r="DQ154" i="13" s="1"/>
  <c r="KT154" i="13"/>
  <c r="KV154" i="13" s="1"/>
  <c r="KW154" i="13" s="1"/>
  <c r="DB154" i="13" s="1"/>
  <c r="DA154" i="13" s="1"/>
  <c r="LB154" i="13"/>
  <c r="LD154" i="13" s="1"/>
  <c r="LE154" i="13" s="1"/>
  <c r="DZ154" i="13" s="1"/>
  <c r="DY154" i="13" s="1"/>
  <c r="DX154" i="13" s="1"/>
  <c r="DW154" i="13" s="1"/>
  <c r="DV154" i="13" s="1"/>
  <c r="JO213" i="13"/>
  <c r="KF213" i="13"/>
  <c r="NM140" i="13"/>
  <c r="IA140" i="13"/>
  <c r="NN140" i="13" s="1"/>
  <c r="NT140" i="13"/>
  <c r="NX18" i="13"/>
  <c r="NW18" i="13"/>
  <c r="GP102" i="13"/>
  <c r="NL102" i="13"/>
  <c r="NK103" i="13"/>
  <c r="NY103" i="13"/>
  <c r="NS103" i="13"/>
  <c r="HS103" i="13"/>
  <c r="NL103" i="13" s="1"/>
  <c r="LB193" i="13"/>
  <c r="LD193" i="13" s="1"/>
  <c r="LE193" i="13" s="1"/>
  <c r="DZ193" i="13" s="1"/>
  <c r="DY193" i="13" s="1"/>
  <c r="DX193" i="13" s="1"/>
  <c r="DW193" i="13" s="1"/>
  <c r="DV193" i="13" s="1"/>
  <c r="LR193" i="13"/>
  <c r="LT193" i="13" s="1"/>
  <c r="LU193" i="13" s="1"/>
  <c r="DU193" i="13" s="1"/>
  <c r="DT193" i="13" s="1"/>
  <c r="LJ193" i="13"/>
  <c r="LL193" i="13" s="1"/>
  <c r="LM193" i="13" s="1"/>
  <c r="CW193" i="13" s="1"/>
  <c r="CV193" i="13" s="1"/>
  <c r="CU193" i="13" s="1"/>
  <c r="CT193" i="13" s="1"/>
  <c r="CS193" i="13" s="1"/>
  <c r="KT193" i="13"/>
  <c r="KV193" i="13" s="1"/>
  <c r="KW193" i="13" s="1"/>
  <c r="DB193" i="13" s="1"/>
  <c r="DA193" i="13" s="1"/>
  <c r="CZ193" i="13" s="1"/>
  <c r="CY193" i="13" s="1"/>
  <c r="CX193" i="13" s="1"/>
  <c r="NK111" i="13"/>
  <c r="NY111" i="13"/>
  <c r="HS111" i="13"/>
  <c r="NL111" i="13" s="1"/>
  <c r="NS111" i="13"/>
  <c r="KP123" i="13"/>
  <c r="KR123" i="13" s="1"/>
  <c r="KS123" i="13" s="1"/>
  <c r="LF123" i="13"/>
  <c r="LH123" i="13" s="1"/>
  <c r="KX123" i="13"/>
  <c r="KZ123" i="13" s="1"/>
  <c r="LA123" i="13" s="1"/>
  <c r="LN123" i="13"/>
  <c r="CC76" i="13"/>
  <c r="CB76" i="13" s="1"/>
  <c r="CA76" i="13" s="1"/>
  <c r="DS193" i="13" l="1"/>
  <c r="DR193" i="13" s="1"/>
  <c r="DQ193" i="13" s="1"/>
  <c r="DS131" i="13"/>
  <c r="DR131" i="13" s="1"/>
  <c r="DQ131" i="13" s="1"/>
  <c r="CZ25" i="13"/>
  <c r="CY25" i="13" s="1"/>
  <c r="CX25" i="13" s="1"/>
  <c r="CU171" i="13"/>
  <c r="CT171" i="13" s="1"/>
  <c r="CS171" i="13" s="1"/>
  <c r="CU33" i="13"/>
  <c r="CT33" i="13" s="1"/>
  <c r="CS33" i="13" s="1"/>
  <c r="CZ33" i="13"/>
  <c r="CY33" i="13" s="1"/>
  <c r="CX33" i="13" s="1"/>
  <c r="CZ131" i="13"/>
  <c r="CY131" i="13" s="1"/>
  <c r="CX131" i="13" s="1"/>
  <c r="DS149" i="13"/>
  <c r="DR149" i="13" s="1"/>
  <c r="DQ149" i="13" s="1"/>
  <c r="DX116" i="13"/>
  <c r="DW116" i="13" s="1"/>
  <c r="DV116" i="13" s="1"/>
  <c r="DK112" i="13"/>
  <c r="DJ112" i="13" s="1"/>
  <c r="DI112" i="13" s="1"/>
  <c r="DH112" i="13" s="1"/>
  <c r="DG112" i="13" s="1"/>
  <c r="BF30" i="13"/>
  <c r="BE30" i="13" s="1"/>
  <c r="BD30" i="13" s="1"/>
  <c r="CK115" i="13"/>
  <c r="CJ115" i="13" s="1"/>
  <c r="CI115" i="13" s="1"/>
  <c r="CU74" i="13"/>
  <c r="CT74" i="13" s="1"/>
  <c r="CS74" i="13" s="1"/>
  <c r="DX53" i="13"/>
  <c r="DW53" i="13" s="1"/>
  <c r="DV53" i="13" s="1"/>
  <c r="CU91" i="13"/>
  <c r="CT91" i="13" s="1"/>
  <c r="CS91" i="13" s="1"/>
  <c r="BA30" i="13"/>
  <c r="AZ30" i="13" s="1"/>
  <c r="AY30" i="13" s="1"/>
  <c r="CZ74" i="13"/>
  <c r="CY74" i="13" s="1"/>
  <c r="CX74" i="13" s="1"/>
  <c r="CM63" i="13"/>
  <c r="CL63" i="13" s="1"/>
  <c r="CK63" i="13" s="1"/>
  <c r="CJ63" i="13" s="1"/>
  <c r="CI63" i="13" s="1"/>
  <c r="DI59" i="13"/>
  <c r="DH59" i="13" s="1"/>
  <c r="DG59" i="13" s="1"/>
  <c r="DS200" i="13"/>
  <c r="DR200" i="13" s="1"/>
  <c r="DQ200" i="13" s="1"/>
  <c r="CM173" i="13"/>
  <c r="CL173" i="13" s="1"/>
  <c r="CK173" i="13" s="1"/>
  <c r="CJ173" i="13" s="1"/>
  <c r="CI173" i="13" s="1"/>
  <c r="CU164" i="13"/>
  <c r="CT164" i="13" s="1"/>
  <c r="CS164" i="13" s="1"/>
  <c r="CZ91" i="13"/>
  <c r="CY91" i="13" s="1"/>
  <c r="CX91" i="13" s="1"/>
  <c r="DS32" i="13"/>
  <c r="DR32" i="13" s="1"/>
  <c r="DQ32" i="13" s="1"/>
  <c r="CZ40" i="13"/>
  <c r="CY40" i="13" s="1"/>
  <c r="CX40" i="13" s="1"/>
  <c r="DI173" i="13"/>
  <c r="DH173" i="13" s="1"/>
  <c r="DG173" i="13" s="1"/>
  <c r="CK54" i="13"/>
  <c r="CJ54" i="13" s="1"/>
  <c r="CI54" i="13" s="1"/>
  <c r="CK160" i="13"/>
  <c r="CJ160" i="13" s="1"/>
  <c r="CI160" i="13" s="1"/>
  <c r="DN171" i="13"/>
  <c r="DM171" i="13" s="1"/>
  <c r="DL171" i="13" s="1"/>
  <c r="CP160" i="13"/>
  <c r="CO160" i="13" s="1"/>
  <c r="CN160" i="13" s="1"/>
  <c r="CM159" i="13"/>
  <c r="CL159" i="13" s="1"/>
  <c r="CK159" i="13" s="1"/>
  <c r="CJ159" i="13" s="1"/>
  <c r="CI159" i="13" s="1"/>
  <c r="DS26" i="13"/>
  <c r="DR26" i="13" s="1"/>
  <c r="DQ26" i="13" s="1"/>
  <c r="DX73" i="13"/>
  <c r="DW73" i="13" s="1"/>
  <c r="DV73" i="13" s="1"/>
  <c r="DN173" i="13"/>
  <c r="DM173" i="13" s="1"/>
  <c r="DL173" i="13" s="1"/>
  <c r="NR50" i="13"/>
  <c r="DX85" i="13"/>
  <c r="DW85" i="13" s="1"/>
  <c r="DV85" i="13" s="1"/>
  <c r="DX160" i="13"/>
  <c r="DW160" i="13" s="1"/>
  <c r="DV160" i="13" s="1"/>
  <c r="DX32" i="13"/>
  <c r="DW32" i="13" s="1"/>
  <c r="DV32" i="13" s="1"/>
  <c r="CZ65" i="13"/>
  <c r="CY65" i="13" s="1"/>
  <c r="CX65" i="13" s="1"/>
  <c r="CU26" i="13"/>
  <c r="CT26" i="13" s="1"/>
  <c r="CS26" i="13" s="1"/>
  <c r="CU73" i="13"/>
  <c r="CT73" i="13" s="1"/>
  <c r="CS73" i="13" s="1"/>
  <c r="DX26" i="13"/>
  <c r="DW26" i="13" s="1"/>
  <c r="DV26" i="13" s="1"/>
  <c r="DS73" i="13"/>
  <c r="DR73" i="13" s="1"/>
  <c r="DQ73" i="13" s="1"/>
  <c r="DK54" i="13"/>
  <c r="DJ54" i="13" s="1"/>
  <c r="DI54" i="13" s="1"/>
  <c r="DH54" i="13" s="1"/>
  <c r="DG54" i="13" s="1"/>
  <c r="CZ26" i="13"/>
  <c r="CY26" i="13" s="1"/>
  <c r="CX26" i="13" s="1"/>
  <c r="CZ73" i="13"/>
  <c r="CY73" i="13" s="1"/>
  <c r="CX73" i="13" s="1"/>
  <c r="CK40" i="13"/>
  <c r="CJ40" i="13" s="1"/>
  <c r="CI40" i="13" s="1"/>
  <c r="CP40" i="13"/>
  <c r="CO40" i="13" s="1"/>
  <c r="CN40" i="13" s="1"/>
  <c r="DS198" i="13"/>
  <c r="DR198" i="13" s="1"/>
  <c r="DQ198" i="13" s="1"/>
  <c r="DI137" i="13"/>
  <c r="DH137" i="13" s="1"/>
  <c r="DG137" i="13" s="1"/>
  <c r="CP54" i="13"/>
  <c r="CO54" i="13" s="1"/>
  <c r="CN54" i="13" s="1"/>
  <c r="DK40" i="13"/>
  <c r="DJ40" i="13" s="1"/>
  <c r="DI40" i="13" s="1"/>
  <c r="DH40" i="13" s="1"/>
  <c r="DG40" i="13" s="1"/>
  <c r="CU198" i="13"/>
  <c r="CT198" i="13" s="1"/>
  <c r="CS198" i="13" s="1"/>
  <c r="CZ164" i="13"/>
  <c r="CY164" i="13" s="1"/>
  <c r="CX164" i="13" s="1"/>
  <c r="CM49" i="13"/>
  <c r="CL49" i="13" s="1"/>
  <c r="CK49" i="13" s="1"/>
  <c r="CJ49" i="13" s="1"/>
  <c r="CI49" i="13" s="1"/>
  <c r="CU116" i="13"/>
  <c r="CT116" i="13" s="1"/>
  <c r="CS116" i="13" s="1"/>
  <c r="DX198" i="13"/>
  <c r="DW198" i="13" s="1"/>
  <c r="DV198" i="13" s="1"/>
  <c r="CZ154" i="13"/>
  <c r="CY154" i="13" s="1"/>
  <c r="CX154" i="13" s="1"/>
  <c r="DS148" i="13"/>
  <c r="DR148" i="13" s="1"/>
  <c r="DQ148" i="13" s="1"/>
  <c r="CU160" i="13"/>
  <c r="CT160" i="13" s="1"/>
  <c r="CS160" i="13" s="1"/>
  <c r="CU173" i="13"/>
  <c r="CT173" i="13" s="1"/>
  <c r="CS173" i="13" s="1"/>
  <c r="CU154" i="13"/>
  <c r="CT154" i="13" s="1"/>
  <c r="CS154" i="13" s="1"/>
  <c r="DK85" i="13"/>
  <c r="DJ85" i="13" s="1"/>
  <c r="DI85" i="13" s="1"/>
  <c r="DH85" i="13" s="1"/>
  <c r="DG85" i="13" s="1"/>
  <c r="CZ173" i="13"/>
  <c r="CY173" i="13" s="1"/>
  <c r="CX173" i="13" s="1"/>
  <c r="CZ200" i="13"/>
  <c r="CY200" i="13" s="1"/>
  <c r="CX200" i="13" s="1"/>
  <c r="CP131" i="13"/>
  <c r="CO131" i="13" s="1"/>
  <c r="CN131" i="13" s="1"/>
  <c r="CU113" i="13"/>
  <c r="CT113" i="13" s="1"/>
  <c r="CS113" i="13" s="1"/>
  <c r="CZ113" i="13"/>
  <c r="CY113" i="13" s="1"/>
  <c r="CX113" i="13" s="1"/>
  <c r="DX189" i="13"/>
  <c r="DW189" i="13" s="1"/>
  <c r="DV189" i="13" s="1"/>
  <c r="DS171" i="13"/>
  <c r="DR171" i="13" s="1"/>
  <c r="DQ171" i="13" s="1"/>
  <c r="CM131" i="13"/>
  <c r="CL131" i="13" s="1"/>
  <c r="CK131" i="13" s="1"/>
  <c r="CJ131" i="13" s="1"/>
  <c r="CI131" i="13" s="1"/>
  <c r="DN211" i="13"/>
  <c r="DM211" i="13" s="1"/>
  <c r="DL211" i="13" s="1"/>
  <c r="CZ195" i="13"/>
  <c r="CY195" i="13" s="1"/>
  <c r="CX195" i="13" s="1"/>
  <c r="DS189" i="13"/>
  <c r="DR189" i="13" s="1"/>
  <c r="DQ189" i="13" s="1"/>
  <c r="DS195" i="13"/>
  <c r="DR195" i="13" s="1"/>
  <c r="DQ195" i="13" s="1"/>
  <c r="DN204" i="13"/>
  <c r="DM204" i="13" s="1"/>
  <c r="DL204" i="13" s="1"/>
  <c r="CU115" i="13"/>
  <c r="CT115" i="13" s="1"/>
  <c r="CS115" i="13" s="1"/>
  <c r="DX211" i="13"/>
  <c r="DW211" i="13" s="1"/>
  <c r="DV211" i="13" s="1"/>
  <c r="CU195" i="13"/>
  <c r="CT195" i="13" s="1"/>
  <c r="CS195" i="13" s="1"/>
  <c r="CU204" i="13"/>
  <c r="CT204" i="13" s="1"/>
  <c r="CS204" i="13" s="1"/>
  <c r="CZ115" i="13"/>
  <c r="CY115" i="13" s="1"/>
  <c r="CX115" i="13" s="1"/>
  <c r="CU149" i="13"/>
  <c r="CT149" i="13" s="1"/>
  <c r="CS149" i="13" s="1"/>
  <c r="DX195" i="13"/>
  <c r="DW195" i="13" s="1"/>
  <c r="DV195" i="13" s="1"/>
  <c r="CU165" i="13"/>
  <c r="CT165" i="13" s="1"/>
  <c r="CS165" i="13" s="1"/>
  <c r="CP115" i="13"/>
  <c r="CO115" i="13" s="1"/>
  <c r="CN115" i="13" s="1"/>
  <c r="CZ149" i="13"/>
  <c r="CY149" i="13" s="1"/>
  <c r="CX149" i="13" s="1"/>
  <c r="CZ165" i="13"/>
  <c r="CY165" i="13" s="1"/>
  <c r="CX165" i="13" s="1"/>
  <c r="CZ204" i="13"/>
  <c r="CY204" i="13" s="1"/>
  <c r="CX204" i="13" s="1"/>
  <c r="DS116" i="13"/>
  <c r="DR116" i="13" s="1"/>
  <c r="DQ116" i="13" s="1"/>
  <c r="CM154" i="13"/>
  <c r="CL154" i="13" s="1"/>
  <c r="CK154" i="13" s="1"/>
  <c r="CJ154" i="13" s="1"/>
  <c r="CI154" i="13" s="1"/>
  <c r="CZ198" i="13"/>
  <c r="CY198" i="13" s="1"/>
  <c r="CX198" i="13" s="1"/>
  <c r="NX111" i="13"/>
  <c r="NW111" i="13"/>
  <c r="NU104" i="13"/>
  <c r="NO104" i="13"/>
  <c r="LI104" i="13"/>
  <c r="NP104" i="13" s="1"/>
  <c r="NQ12" i="13"/>
  <c r="LP12" i="13"/>
  <c r="LQ12" i="13" s="1"/>
  <c r="NV12" i="13"/>
  <c r="BZ69" i="13"/>
  <c r="BY69" i="13" s="1"/>
  <c r="BX69" i="13" s="1"/>
  <c r="BW69" i="13" s="1"/>
  <c r="BV69" i="13" s="1"/>
  <c r="BC69" i="13"/>
  <c r="BB69" i="13" s="1"/>
  <c r="BA69" i="13" s="1"/>
  <c r="AZ69" i="13" s="1"/>
  <c r="AY69" i="13" s="1"/>
  <c r="BU69" i="13"/>
  <c r="BT69" i="13" s="1"/>
  <c r="BS69" i="13" s="1"/>
  <c r="BR69" i="13" s="1"/>
  <c r="BQ69" i="13" s="1"/>
  <c r="CE69" i="13"/>
  <c r="CD69" i="13" s="1"/>
  <c r="CC69" i="13" s="1"/>
  <c r="CB69" i="13" s="1"/>
  <c r="CA69" i="13" s="1"/>
  <c r="BP69" i="13"/>
  <c r="BO69" i="13" s="1"/>
  <c r="BN69" i="13" s="1"/>
  <c r="BM69" i="13" s="1"/>
  <c r="BL69" i="13" s="1"/>
  <c r="AS69" i="13"/>
  <c r="AR69" i="13" s="1"/>
  <c r="AQ69" i="13" s="1"/>
  <c r="AP69" i="13" s="1"/>
  <c r="AO69" i="13" s="1"/>
  <c r="AL69" i="13" s="1"/>
  <c r="AX69" i="13"/>
  <c r="AW69" i="13" s="1"/>
  <c r="AV69" i="13" s="1"/>
  <c r="AU69" i="13" s="1"/>
  <c r="AT69" i="13" s="1"/>
  <c r="BH69" i="13"/>
  <c r="BG69" i="13" s="1"/>
  <c r="BF69" i="13" s="1"/>
  <c r="BE69" i="13" s="1"/>
  <c r="BD69" i="13" s="1"/>
  <c r="NO145" i="13"/>
  <c r="LI145" i="13"/>
  <c r="NP145" i="13" s="1"/>
  <c r="NU145" i="13"/>
  <c r="CU148" i="13"/>
  <c r="CT148" i="13" s="1"/>
  <c r="CS148" i="13" s="1"/>
  <c r="LR129" i="13"/>
  <c r="LT129" i="13" s="1"/>
  <c r="LU129" i="13" s="1"/>
  <c r="KT129" i="13"/>
  <c r="KV129" i="13" s="1"/>
  <c r="KW129" i="13" s="1"/>
  <c r="LJ129" i="13"/>
  <c r="LL129" i="13" s="1"/>
  <c r="LM129" i="13" s="1"/>
  <c r="LB129" i="13"/>
  <c r="LD129" i="13" s="1"/>
  <c r="LE129" i="13" s="1"/>
  <c r="LB172" i="13"/>
  <c r="LD172" i="13" s="1"/>
  <c r="LE172" i="13" s="1"/>
  <c r="LR172" i="13"/>
  <c r="LT172" i="13" s="1"/>
  <c r="LU172" i="13" s="1"/>
  <c r="KT172" i="13"/>
  <c r="KV172" i="13" s="1"/>
  <c r="KW172" i="13" s="1"/>
  <c r="LJ172" i="13"/>
  <c r="LL172" i="13" s="1"/>
  <c r="LM172" i="13" s="1"/>
  <c r="NU18" i="13"/>
  <c r="NO18" i="13"/>
  <c r="CP18" i="13" s="1"/>
  <c r="CO18" i="13" s="1"/>
  <c r="CN18" i="13" s="1"/>
  <c r="LI18" i="13"/>
  <c r="DS49" i="13"/>
  <c r="DR49" i="13" s="1"/>
  <c r="DQ49" i="13" s="1"/>
  <c r="NO133" i="13"/>
  <c r="LI133" i="13"/>
  <c r="NP133" i="13" s="1"/>
  <c r="NU133" i="13"/>
  <c r="NQ92" i="13"/>
  <c r="NV92" i="13"/>
  <c r="LP92" i="13"/>
  <c r="LQ92" i="13" s="1"/>
  <c r="CM211" i="13"/>
  <c r="CL211" i="13" s="1"/>
  <c r="CK211" i="13" s="1"/>
  <c r="CJ211" i="13" s="1"/>
  <c r="CI211" i="13" s="1"/>
  <c r="LJ121" i="13"/>
  <c r="LL121" i="13" s="1"/>
  <c r="LM121" i="13" s="1"/>
  <c r="KT121" i="13"/>
  <c r="KV121" i="13" s="1"/>
  <c r="KW121" i="13" s="1"/>
  <c r="LB121" i="13"/>
  <c r="LD121" i="13" s="1"/>
  <c r="LE121" i="13" s="1"/>
  <c r="LR121" i="13"/>
  <c r="LT121" i="13" s="1"/>
  <c r="LU121" i="13" s="1"/>
  <c r="DZ75" i="13"/>
  <c r="DY75" i="13" s="1"/>
  <c r="DX75" i="13" s="1"/>
  <c r="DW75" i="13" s="1"/>
  <c r="DV75" i="13" s="1"/>
  <c r="CR75" i="13"/>
  <c r="CQ75" i="13" s="1"/>
  <c r="CP75" i="13" s="1"/>
  <c r="CO75" i="13" s="1"/>
  <c r="CN75" i="13" s="1"/>
  <c r="DU75" i="13"/>
  <c r="DT75" i="13" s="1"/>
  <c r="DS75" i="13" s="1"/>
  <c r="DR75" i="13" s="1"/>
  <c r="DQ75" i="13" s="1"/>
  <c r="CM75" i="13"/>
  <c r="CL75" i="13" s="1"/>
  <c r="CK75" i="13" s="1"/>
  <c r="CJ75" i="13" s="1"/>
  <c r="CI75" i="13" s="1"/>
  <c r="DB75" i="13"/>
  <c r="DA75" i="13" s="1"/>
  <c r="CZ75" i="13" s="1"/>
  <c r="CY75" i="13" s="1"/>
  <c r="CX75" i="13" s="1"/>
  <c r="DP75" i="13"/>
  <c r="DO75" i="13" s="1"/>
  <c r="DN75" i="13" s="1"/>
  <c r="DM75" i="13" s="1"/>
  <c r="DL75" i="13" s="1"/>
  <c r="CW75" i="13"/>
  <c r="CV75" i="13" s="1"/>
  <c r="CU75" i="13" s="1"/>
  <c r="CT75" i="13" s="1"/>
  <c r="CS75" i="13" s="1"/>
  <c r="DK75" i="13"/>
  <c r="DJ75" i="13" s="1"/>
  <c r="DI75" i="13" s="1"/>
  <c r="DH75" i="13" s="1"/>
  <c r="DG75" i="13" s="1"/>
  <c r="BV30" i="13"/>
  <c r="BU126" i="13"/>
  <c r="BT126" i="13" s="1"/>
  <c r="BS126" i="13" s="1"/>
  <c r="BR126" i="13" s="1"/>
  <c r="BQ126" i="13" s="1"/>
  <c r="CE126" i="13"/>
  <c r="CD126" i="13" s="1"/>
  <c r="CC126" i="13" s="1"/>
  <c r="CB126" i="13" s="1"/>
  <c r="CA126" i="13" s="1"/>
  <c r="AX126" i="13"/>
  <c r="AW126" i="13" s="1"/>
  <c r="AV126" i="13" s="1"/>
  <c r="AU126" i="13" s="1"/>
  <c r="AT126" i="13" s="1"/>
  <c r="AS126" i="13"/>
  <c r="AR126" i="13" s="1"/>
  <c r="AQ126" i="13" s="1"/>
  <c r="AP126" i="13" s="1"/>
  <c r="AO126" i="13" s="1"/>
  <c r="AL126" i="13" s="1"/>
  <c r="BP126" i="13"/>
  <c r="BO126" i="13" s="1"/>
  <c r="BN126" i="13" s="1"/>
  <c r="BM126" i="13" s="1"/>
  <c r="BL126" i="13" s="1"/>
  <c r="BH126" i="13"/>
  <c r="BG126" i="13" s="1"/>
  <c r="BF126" i="13" s="1"/>
  <c r="BE126" i="13" s="1"/>
  <c r="BD126" i="13" s="1"/>
  <c r="BZ126" i="13"/>
  <c r="BY126" i="13" s="1"/>
  <c r="BX126" i="13" s="1"/>
  <c r="BW126" i="13" s="1"/>
  <c r="BV126" i="13" s="1"/>
  <c r="BC126" i="13"/>
  <c r="BB126" i="13" s="1"/>
  <c r="BA126" i="13" s="1"/>
  <c r="AZ126" i="13" s="1"/>
  <c r="AY126" i="13" s="1"/>
  <c r="NI169" i="13"/>
  <c r="KL169" i="13"/>
  <c r="KN169" i="13" s="1"/>
  <c r="KO169" i="13" s="1"/>
  <c r="JO180" i="13"/>
  <c r="KF180" i="13"/>
  <c r="KT64" i="13"/>
  <c r="KV64" i="13" s="1"/>
  <c r="KW64" i="13" s="1"/>
  <c r="LR64" i="13"/>
  <c r="LT64" i="13" s="1"/>
  <c r="LU64" i="13" s="1"/>
  <c r="LB64" i="13"/>
  <c r="LD64" i="13" s="1"/>
  <c r="LE64" i="13" s="1"/>
  <c r="LJ64" i="13"/>
  <c r="LL64" i="13" s="1"/>
  <c r="LM64" i="13" s="1"/>
  <c r="CZ60" i="13"/>
  <c r="CY60" i="13" s="1"/>
  <c r="CX60" i="13" s="1"/>
  <c r="DN195" i="13"/>
  <c r="DM195" i="13" s="1"/>
  <c r="DL195" i="13" s="1"/>
  <c r="NO82" i="13"/>
  <c r="LI82" i="13"/>
  <c r="NP82" i="13" s="1"/>
  <c r="NU82" i="13"/>
  <c r="NU27" i="13"/>
  <c r="NO27" i="13"/>
  <c r="CP27" i="13" s="1"/>
  <c r="CO27" i="13" s="1"/>
  <c r="CN27" i="13" s="1"/>
  <c r="LI27" i="13"/>
  <c r="CP113" i="13"/>
  <c r="CO113" i="13" s="1"/>
  <c r="CN113" i="13" s="1"/>
  <c r="KG58" i="13"/>
  <c r="BH115" i="13"/>
  <c r="BG115" i="13" s="1"/>
  <c r="BF115" i="13" s="1"/>
  <c r="BE115" i="13" s="1"/>
  <c r="BD115" i="13" s="1"/>
  <c r="BZ115" i="13"/>
  <c r="BY115" i="13" s="1"/>
  <c r="BX115" i="13" s="1"/>
  <c r="BW115" i="13" s="1"/>
  <c r="BV115" i="13" s="1"/>
  <c r="BC115" i="13"/>
  <c r="BB115" i="13" s="1"/>
  <c r="BA115" i="13" s="1"/>
  <c r="AZ115" i="13" s="1"/>
  <c r="AY115" i="13" s="1"/>
  <c r="AX115" i="13"/>
  <c r="AW115" i="13" s="1"/>
  <c r="AV115" i="13" s="1"/>
  <c r="AU115" i="13" s="1"/>
  <c r="AT115" i="13" s="1"/>
  <c r="BU115" i="13"/>
  <c r="BT115" i="13" s="1"/>
  <c r="BS115" i="13" s="1"/>
  <c r="BR115" i="13" s="1"/>
  <c r="BQ115" i="13" s="1"/>
  <c r="BP115" i="13"/>
  <c r="BO115" i="13" s="1"/>
  <c r="BN115" i="13" s="1"/>
  <c r="BM115" i="13" s="1"/>
  <c r="BL115" i="13" s="1"/>
  <c r="CE115" i="13"/>
  <c r="CD115" i="13" s="1"/>
  <c r="CC115" i="13" s="1"/>
  <c r="CB115" i="13" s="1"/>
  <c r="CA115" i="13" s="1"/>
  <c r="AS115" i="13"/>
  <c r="AR115" i="13" s="1"/>
  <c r="AQ115" i="13" s="1"/>
  <c r="AP115" i="13" s="1"/>
  <c r="AO115" i="13" s="1"/>
  <c r="AL115" i="13" s="1"/>
  <c r="LF209" i="13"/>
  <c r="LH209" i="13" s="1"/>
  <c r="LN209" i="13"/>
  <c r="KX209" i="13"/>
  <c r="KZ209" i="13" s="1"/>
  <c r="LA209" i="13" s="1"/>
  <c r="KP209" i="13"/>
  <c r="KR209" i="13" s="1"/>
  <c r="KS209" i="13" s="1"/>
  <c r="NX17" i="13"/>
  <c r="NW17" i="13"/>
  <c r="LR37" i="13"/>
  <c r="LT37" i="13" s="1"/>
  <c r="LU37" i="13" s="1"/>
  <c r="KT37" i="13"/>
  <c r="KV37" i="13" s="1"/>
  <c r="KW37" i="13" s="1"/>
  <c r="LB37" i="13"/>
  <c r="LD37" i="13" s="1"/>
  <c r="LE37" i="13" s="1"/>
  <c r="LJ37" i="13"/>
  <c r="LL37" i="13" s="1"/>
  <c r="LM37" i="13" s="1"/>
  <c r="CE17" i="13"/>
  <c r="CD17" i="13" s="1"/>
  <c r="CC17" i="13" s="1"/>
  <c r="CB17" i="13" s="1"/>
  <c r="CA17" i="13" s="1"/>
  <c r="BH17" i="13"/>
  <c r="BG17" i="13" s="1"/>
  <c r="BF17" i="13" s="1"/>
  <c r="BE17" i="13" s="1"/>
  <c r="BD17" i="13" s="1"/>
  <c r="NU87" i="13"/>
  <c r="NO87" i="13"/>
  <c r="LI87" i="13"/>
  <c r="NP87" i="13" s="1"/>
  <c r="NX150" i="13"/>
  <c r="NW150" i="13"/>
  <c r="NN17" i="13"/>
  <c r="BP17" i="13"/>
  <c r="BO17" i="13" s="1"/>
  <c r="BN17" i="13" s="1"/>
  <c r="BM17" i="13" s="1"/>
  <c r="BL17" i="13" s="1"/>
  <c r="CZ175" i="13"/>
  <c r="CY175" i="13" s="1"/>
  <c r="CX175" i="13" s="1"/>
  <c r="KT41" i="13"/>
  <c r="KV41" i="13" s="1"/>
  <c r="KW41" i="13" s="1"/>
  <c r="LR41" i="13"/>
  <c r="LT41" i="13" s="1"/>
  <c r="LU41" i="13" s="1"/>
  <c r="LJ41" i="13"/>
  <c r="LL41" i="13" s="1"/>
  <c r="LM41" i="13" s="1"/>
  <c r="LB41" i="13"/>
  <c r="LD41" i="13" s="1"/>
  <c r="LE41" i="13" s="1"/>
  <c r="LP103" i="13"/>
  <c r="LQ103" i="13" s="1"/>
  <c r="NR103" i="13" s="1"/>
  <c r="NV103" i="13"/>
  <c r="NQ103" i="13"/>
  <c r="KG37" i="13"/>
  <c r="KP107" i="13"/>
  <c r="KR107" i="13" s="1"/>
  <c r="KS107" i="13" s="1"/>
  <c r="KX107" i="13"/>
  <c r="KZ107" i="13" s="1"/>
  <c r="LA107" i="13" s="1"/>
  <c r="LF107" i="13"/>
  <c r="LH107" i="13" s="1"/>
  <c r="LN107" i="13"/>
  <c r="NU158" i="13"/>
  <c r="NO158" i="13"/>
  <c r="LI158" i="13"/>
  <c r="NP158" i="13" s="1"/>
  <c r="NO102" i="13"/>
  <c r="LI102" i="13"/>
  <c r="NP102" i="13" s="1"/>
  <c r="NU102" i="13"/>
  <c r="CJ125" i="13"/>
  <c r="CI125" i="13" s="1"/>
  <c r="CR168" i="13"/>
  <c r="CQ168" i="13" s="1"/>
  <c r="DP168" i="13"/>
  <c r="DO168" i="13" s="1"/>
  <c r="BZ103" i="13"/>
  <c r="BY103" i="13" s="1"/>
  <c r="BX103" i="13" s="1"/>
  <c r="BW103" i="13" s="1"/>
  <c r="BV103" i="13" s="1"/>
  <c r="BC103" i="13"/>
  <c r="BB103" i="13" s="1"/>
  <c r="BA103" i="13" s="1"/>
  <c r="AZ103" i="13" s="1"/>
  <c r="AY103" i="13" s="1"/>
  <c r="BH103" i="13"/>
  <c r="BG103" i="13" s="1"/>
  <c r="BF103" i="13" s="1"/>
  <c r="BE103" i="13" s="1"/>
  <c r="BD103" i="13" s="1"/>
  <c r="BU103" i="13"/>
  <c r="BT103" i="13" s="1"/>
  <c r="BS103" i="13" s="1"/>
  <c r="BR103" i="13" s="1"/>
  <c r="BQ103" i="13" s="1"/>
  <c r="AX103" i="13"/>
  <c r="AW103" i="13" s="1"/>
  <c r="AV103" i="13" s="1"/>
  <c r="AU103" i="13" s="1"/>
  <c r="AT103" i="13" s="1"/>
  <c r="BP103" i="13"/>
  <c r="BO103" i="13" s="1"/>
  <c r="BN103" i="13" s="1"/>
  <c r="BM103" i="13" s="1"/>
  <c r="BL103" i="13" s="1"/>
  <c r="CE103" i="13"/>
  <c r="CD103" i="13" s="1"/>
  <c r="CC103" i="13" s="1"/>
  <c r="CB103" i="13" s="1"/>
  <c r="CA103" i="13" s="1"/>
  <c r="AS103" i="13"/>
  <c r="AR103" i="13" s="1"/>
  <c r="AQ103" i="13" s="1"/>
  <c r="AP103" i="13" s="1"/>
  <c r="AO103" i="13" s="1"/>
  <c r="AL103" i="13" s="1"/>
  <c r="LR126" i="13"/>
  <c r="LT126" i="13" s="1"/>
  <c r="LU126" i="13" s="1"/>
  <c r="LJ126" i="13"/>
  <c r="LL126" i="13" s="1"/>
  <c r="LM126" i="13" s="1"/>
  <c r="KT126" i="13"/>
  <c r="KV126" i="13" s="1"/>
  <c r="KW126" i="13" s="1"/>
  <c r="DB126" i="13" s="1"/>
  <c r="DA126" i="13" s="1"/>
  <c r="LB126" i="13"/>
  <c r="LD126" i="13" s="1"/>
  <c r="LE126" i="13" s="1"/>
  <c r="NR23" i="13"/>
  <c r="DK23" i="13"/>
  <c r="DJ23" i="13" s="1"/>
  <c r="DI23" i="13" s="1"/>
  <c r="DH23" i="13" s="1"/>
  <c r="DG23" i="13" s="1"/>
  <c r="JO166" i="13"/>
  <c r="KF166" i="13"/>
  <c r="LP30" i="13"/>
  <c r="LQ30" i="13" s="1"/>
  <c r="NV30" i="13"/>
  <c r="NQ30" i="13"/>
  <c r="NX178" i="13"/>
  <c r="NW178" i="13"/>
  <c r="BP186" i="13"/>
  <c r="BO186" i="13" s="1"/>
  <c r="BN186" i="13" s="1"/>
  <c r="BM186" i="13" s="1"/>
  <c r="BL186" i="13" s="1"/>
  <c r="BH186" i="13"/>
  <c r="BG186" i="13" s="1"/>
  <c r="BF186" i="13" s="1"/>
  <c r="BE186" i="13" s="1"/>
  <c r="BD186" i="13" s="1"/>
  <c r="BZ186" i="13"/>
  <c r="BY186" i="13" s="1"/>
  <c r="BX186" i="13" s="1"/>
  <c r="BW186" i="13" s="1"/>
  <c r="BV186" i="13" s="1"/>
  <c r="AX186" i="13"/>
  <c r="AW186" i="13" s="1"/>
  <c r="AV186" i="13" s="1"/>
  <c r="AU186" i="13" s="1"/>
  <c r="AT186" i="13" s="1"/>
  <c r="AS186" i="13"/>
  <c r="AR186" i="13" s="1"/>
  <c r="AQ186" i="13" s="1"/>
  <c r="AP186" i="13" s="1"/>
  <c r="AO186" i="13" s="1"/>
  <c r="AL186" i="13" s="1"/>
  <c r="BU186" i="13"/>
  <c r="BT186" i="13" s="1"/>
  <c r="BS186" i="13" s="1"/>
  <c r="BR186" i="13" s="1"/>
  <c r="BQ186" i="13" s="1"/>
  <c r="BC186" i="13"/>
  <c r="BB186" i="13" s="1"/>
  <c r="BA186" i="13" s="1"/>
  <c r="AZ186" i="13" s="1"/>
  <c r="AY186" i="13" s="1"/>
  <c r="CE186" i="13"/>
  <c r="CD186" i="13" s="1"/>
  <c r="CC186" i="13" s="1"/>
  <c r="CB186" i="13" s="1"/>
  <c r="CA186" i="13" s="1"/>
  <c r="JO39" i="13"/>
  <c r="KF39" i="13"/>
  <c r="NQ104" i="13"/>
  <c r="LP104" i="13"/>
  <c r="LQ104" i="13" s="1"/>
  <c r="NR104" i="13" s="1"/>
  <c r="NV104" i="13"/>
  <c r="LB81" i="13"/>
  <c r="LD81" i="13" s="1"/>
  <c r="LE81" i="13" s="1"/>
  <c r="LJ81" i="13"/>
  <c r="LL81" i="13" s="1"/>
  <c r="LM81" i="13" s="1"/>
  <c r="KT81" i="13"/>
  <c r="KV81" i="13" s="1"/>
  <c r="KW81" i="13" s="1"/>
  <c r="LR81" i="13"/>
  <c r="LT81" i="13" s="1"/>
  <c r="LU81" i="13" s="1"/>
  <c r="DN12" i="13"/>
  <c r="DM12" i="13" s="1"/>
  <c r="DL12" i="13" s="1"/>
  <c r="LP101" i="13"/>
  <c r="LQ101" i="13" s="1"/>
  <c r="NV101" i="13"/>
  <c r="NQ101" i="13"/>
  <c r="CR45" i="13"/>
  <c r="CQ45" i="13" s="1"/>
  <c r="DP45" i="13"/>
  <c r="DO45" i="13" s="1"/>
  <c r="CP148" i="13"/>
  <c r="CO148" i="13" s="1"/>
  <c r="CN148" i="13" s="1"/>
  <c r="LP133" i="13"/>
  <c r="LQ133" i="13" s="1"/>
  <c r="NR133" i="13" s="1"/>
  <c r="NV133" i="13"/>
  <c r="NQ133" i="13"/>
  <c r="NQ68" i="13"/>
  <c r="LP68" i="13"/>
  <c r="LQ68" i="13" s="1"/>
  <c r="NR68" i="13" s="1"/>
  <c r="NV68" i="13"/>
  <c r="DK211" i="13"/>
  <c r="DJ211" i="13" s="1"/>
  <c r="DI211" i="13" s="1"/>
  <c r="DH211" i="13" s="1"/>
  <c r="DG211" i="13" s="1"/>
  <c r="NP32" i="13"/>
  <c r="CM32" i="13"/>
  <c r="CL32" i="13" s="1"/>
  <c r="CK32" i="13" s="1"/>
  <c r="CJ32" i="13" s="1"/>
  <c r="CI32" i="13" s="1"/>
  <c r="DP205" i="13"/>
  <c r="DO205" i="13" s="1"/>
  <c r="CR205" i="13"/>
  <c r="CQ205" i="13" s="1"/>
  <c r="LF140" i="13"/>
  <c r="LH140" i="13" s="1"/>
  <c r="LN140" i="13"/>
  <c r="KP140" i="13"/>
  <c r="KR140" i="13" s="1"/>
  <c r="KS140" i="13" s="1"/>
  <c r="KX140" i="13"/>
  <c r="KZ140" i="13" s="1"/>
  <c r="LA140" i="13" s="1"/>
  <c r="NO203" i="13"/>
  <c r="LI203" i="13"/>
  <c r="NP203" i="13" s="1"/>
  <c r="NU203" i="13"/>
  <c r="JO70" i="13"/>
  <c r="KF70" i="13"/>
  <c r="NU45" i="13"/>
  <c r="NO45" i="13"/>
  <c r="LI45" i="13"/>
  <c r="NP45" i="13" s="1"/>
  <c r="KG48" i="13"/>
  <c r="KT22" i="13"/>
  <c r="KV22" i="13" s="1"/>
  <c r="KW22" i="13" s="1"/>
  <c r="DB22" i="13" s="1"/>
  <c r="DA22" i="13" s="1"/>
  <c r="CZ22" i="13" s="1"/>
  <c r="CY22" i="13" s="1"/>
  <c r="CX22" i="13" s="1"/>
  <c r="LB22" i="13"/>
  <c r="LD22" i="13" s="1"/>
  <c r="LE22" i="13" s="1"/>
  <c r="DZ22" i="13" s="1"/>
  <c r="DY22" i="13" s="1"/>
  <c r="LR22" i="13"/>
  <c r="LT22" i="13" s="1"/>
  <c r="LU22" i="13" s="1"/>
  <c r="DU22" i="13" s="1"/>
  <c r="DT22" i="13" s="1"/>
  <c r="LJ22" i="13"/>
  <c r="LL22" i="13" s="1"/>
  <c r="LM22" i="13" s="1"/>
  <c r="CW22" i="13" s="1"/>
  <c r="CV22" i="13" s="1"/>
  <c r="KG118" i="13"/>
  <c r="NU71" i="13"/>
  <c r="NO71" i="13"/>
  <c r="LI71" i="13"/>
  <c r="NP71" i="13" s="1"/>
  <c r="NI180" i="13"/>
  <c r="KL180" i="13"/>
  <c r="KN180" i="13" s="1"/>
  <c r="KO180" i="13" s="1"/>
  <c r="NV156" i="13"/>
  <c r="NQ156" i="13"/>
  <c r="LP156" i="13"/>
  <c r="LQ156" i="13" s="1"/>
  <c r="DK156" i="13" s="1"/>
  <c r="DJ156" i="13" s="1"/>
  <c r="DI156" i="13" s="1"/>
  <c r="DH156" i="13" s="1"/>
  <c r="DG156" i="13" s="1"/>
  <c r="CU200" i="13"/>
  <c r="CT200" i="13" s="1"/>
  <c r="CS200" i="13" s="1"/>
  <c r="LJ58" i="13"/>
  <c r="LL58" i="13" s="1"/>
  <c r="LM58" i="13" s="1"/>
  <c r="KT58" i="13"/>
  <c r="KV58" i="13" s="1"/>
  <c r="KW58" i="13" s="1"/>
  <c r="LB58" i="13"/>
  <c r="LD58" i="13" s="1"/>
  <c r="LE58" i="13" s="1"/>
  <c r="LR58" i="13"/>
  <c r="LT58" i="13" s="1"/>
  <c r="LU58" i="13" s="1"/>
  <c r="CM60" i="13"/>
  <c r="CL60" i="13" s="1"/>
  <c r="CK60" i="13" s="1"/>
  <c r="CJ60" i="13" s="1"/>
  <c r="CI60" i="13" s="1"/>
  <c r="NQ41" i="13"/>
  <c r="LP41" i="13"/>
  <c r="LQ41" i="13" s="1"/>
  <c r="NV41" i="13"/>
  <c r="NQ27" i="13"/>
  <c r="LP27" i="13"/>
  <c r="LQ27" i="13" s="1"/>
  <c r="NV27" i="13"/>
  <c r="CM113" i="13"/>
  <c r="CL113" i="13" s="1"/>
  <c r="CK113" i="13" s="1"/>
  <c r="CJ113" i="13" s="1"/>
  <c r="CI113" i="13" s="1"/>
  <c r="NQ13" i="13"/>
  <c r="LP13" i="13"/>
  <c r="LQ13" i="13" s="1"/>
  <c r="NV13" i="13"/>
  <c r="LR156" i="13"/>
  <c r="LT156" i="13" s="1"/>
  <c r="LU156" i="13" s="1"/>
  <c r="KT156" i="13"/>
  <c r="KV156" i="13" s="1"/>
  <c r="KW156" i="13" s="1"/>
  <c r="LJ156" i="13"/>
  <c r="LL156" i="13" s="1"/>
  <c r="LM156" i="13" s="1"/>
  <c r="LB156" i="13"/>
  <c r="LD156" i="13" s="1"/>
  <c r="LE156" i="13" s="1"/>
  <c r="DZ156" i="13" s="1"/>
  <c r="DY156" i="13" s="1"/>
  <c r="DX156" i="13" s="1"/>
  <c r="DW156" i="13" s="1"/>
  <c r="DV156" i="13" s="1"/>
  <c r="DS143" i="13"/>
  <c r="DR143" i="13" s="1"/>
  <c r="DQ143" i="13" s="1"/>
  <c r="NL17" i="13"/>
  <c r="AS17" i="13"/>
  <c r="AR17" i="13" s="1"/>
  <c r="AQ17" i="13" s="1"/>
  <c r="AP17" i="13" s="1"/>
  <c r="AO17" i="13" s="1"/>
  <c r="AL17" i="13" s="1"/>
  <c r="KG72" i="13"/>
  <c r="BA17" i="13"/>
  <c r="AZ17" i="13" s="1"/>
  <c r="AY17" i="13" s="1"/>
  <c r="LF206" i="13"/>
  <c r="LH206" i="13" s="1"/>
  <c r="KP206" i="13"/>
  <c r="KR206" i="13" s="1"/>
  <c r="KS206" i="13" s="1"/>
  <c r="LN206" i="13"/>
  <c r="KX206" i="13"/>
  <c r="KZ206" i="13" s="1"/>
  <c r="LA206" i="13" s="1"/>
  <c r="NR143" i="13"/>
  <c r="DN175" i="13"/>
  <c r="DM175" i="13" s="1"/>
  <c r="DL175" i="13" s="1"/>
  <c r="KT158" i="13"/>
  <c r="KV158" i="13" s="1"/>
  <c r="KW158" i="13" s="1"/>
  <c r="LR158" i="13"/>
  <c r="LT158" i="13" s="1"/>
  <c r="LU158" i="13" s="1"/>
  <c r="LB158" i="13"/>
  <c r="LD158" i="13" s="1"/>
  <c r="LE158" i="13" s="1"/>
  <c r="LJ158" i="13"/>
  <c r="LL158" i="13" s="1"/>
  <c r="LM158" i="13" s="1"/>
  <c r="NX120" i="13"/>
  <c r="NW120" i="13"/>
  <c r="LJ27" i="13"/>
  <c r="LL27" i="13" s="1"/>
  <c r="LM27" i="13" s="1"/>
  <c r="CW27" i="13" s="1"/>
  <c r="CV27" i="13" s="1"/>
  <c r="CU27" i="13" s="1"/>
  <c r="CT27" i="13" s="1"/>
  <c r="CS27" i="13" s="1"/>
  <c r="LR27" i="13"/>
  <c r="LT27" i="13" s="1"/>
  <c r="LU27" i="13" s="1"/>
  <c r="DU27" i="13" s="1"/>
  <c r="DT27" i="13" s="1"/>
  <c r="DS27" i="13" s="1"/>
  <c r="DR27" i="13" s="1"/>
  <c r="DQ27" i="13" s="1"/>
  <c r="KT27" i="13"/>
  <c r="KV27" i="13" s="1"/>
  <c r="KW27" i="13" s="1"/>
  <c r="DB27" i="13" s="1"/>
  <c r="DA27" i="13" s="1"/>
  <c r="CZ27" i="13" s="1"/>
  <c r="CY27" i="13" s="1"/>
  <c r="CX27" i="13" s="1"/>
  <c r="LB27" i="13"/>
  <c r="LD27" i="13" s="1"/>
  <c r="LE27" i="13" s="1"/>
  <c r="DZ27" i="13" s="1"/>
  <c r="DY27" i="13" s="1"/>
  <c r="DK135" i="13"/>
  <c r="DJ135" i="13" s="1"/>
  <c r="DI135" i="13" s="1"/>
  <c r="DH135" i="13" s="1"/>
  <c r="DG135" i="13" s="1"/>
  <c r="CM73" i="13"/>
  <c r="CL73" i="13" s="1"/>
  <c r="CK73" i="13" s="1"/>
  <c r="CJ73" i="13" s="1"/>
  <c r="CI73" i="13" s="1"/>
  <c r="BU109" i="13"/>
  <c r="BT109" i="13" s="1"/>
  <c r="BS109" i="13" s="1"/>
  <c r="BR109" i="13" s="1"/>
  <c r="BQ109" i="13" s="1"/>
  <c r="AX109" i="13"/>
  <c r="AW109" i="13" s="1"/>
  <c r="AV109" i="13" s="1"/>
  <c r="AU109" i="13" s="1"/>
  <c r="AT109" i="13" s="1"/>
  <c r="BP109" i="13"/>
  <c r="BO109" i="13" s="1"/>
  <c r="BN109" i="13" s="1"/>
  <c r="BM109" i="13" s="1"/>
  <c r="BL109" i="13" s="1"/>
  <c r="AS109" i="13"/>
  <c r="AR109" i="13" s="1"/>
  <c r="AQ109" i="13" s="1"/>
  <c r="AP109" i="13" s="1"/>
  <c r="AO109" i="13" s="1"/>
  <c r="AL109" i="13" s="1"/>
  <c r="BC109" i="13"/>
  <c r="BB109" i="13" s="1"/>
  <c r="BA109" i="13" s="1"/>
  <c r="AZ109" i="13" s="1"/>
  <c r="AY109" i="13" s="1"/>
  <c r="CE109" i="13"/>
  <c r="CD109" i="13" s="1"/>
  <c r="CC109" i="13" s="1"/>
  <c r="CB109" i="13" s="1"/>
  <c r="CA109" i="13" s="1"/>
  <c r="BH109" i="13"/>
  <c r="BG109" i="13" s="1"/>
  <c r="BF109" i="13" s="1"/>
  <c r="BE109" i="13" s="1"/>
  <c r="BD109" i="13" s="1"/>
  <c r="BZ109" i="13"/>
  <c r="BY109" i="13" s="1"/>
  <c r="BX109" i="13" s="1"/>
  <c r="BW109" i="13" s="1"/>
  <c r="BV109" i="13" s="1"/>
  <c r="LJ103" i="13"/>
  <c r="LL103" i="13" s="1"/>
  <c r="LM103" i="13" s="1"/>
  <c r="KT103" i="13"/>
  <c r="KV103" i="13" s="1"/>
  <c r="KW103" i="13" s="1"/>
  <c r="LB103" i="13"/>
  <c r="LD103" i="13" s="1"/>
  <c r="LE103" i="13" s="1"/>
  <c r="LR103" i="13"/>
  <c r="LT103" i="13" s="1"/>
  <c r="LU103" i="13" s="1"/>
  <c r="LJ181" i="13"/>
  <c r="LL181" i="13" s="1"/>
  <c r="LM181" i="13" s="1"/>
  <c r="KT181" i="13"/>
  <c r="KV181" i="13" s="1"/>
  <c r="KW181" i="13" s="1"/>
  <c r="DB181" i="13" s="1"/>
  <c r="DA181" i="13" s="1"/>
  <c r="LR181" i="13"/>
  <c r="LT181" i="13" s="1"/>
  <c r="LU181" i="13" s="1"/>
  <c r="LB181" i="13"/>
  <c r="LD181" i="13" s="1"/>
  <c r="LE181" i="13" s="1"/>
  <c r="DZ181" i="13" s="1"/>
  <c r="DY181" i="13" s="1"/>
  <c r="NW99" i="13"/>
  <c r="NX99" i="13"/>
  <c r="NI166" i="13"/>
  <c r="KL166" i="13"/>
  <c r="KN166" i="13" s="1"/>
  <c r="KO166" i="13" s="1"/>
  <c r="NO30" i="13"/>
  <c r="CP30" i="13" s="1"/>
  <c r="CO30" i="13" s="1"/>
  <c r="CN30" i="13" s="1"/>
  <c r="LI30" i="13"/>
  <c r="NU30" i="13"/>
  <c r="KG213" i="13"/>
  <c r="NI39" i="13"/>
  <c r="KL39" i="13"/>
  <c r="KN39" i="13" s="1"/>
  <c r="KO39" i="13" s="1"/>
  <c r="AS167" i="13"/>
  <c r="AR167" i="13" s="1"/>
  <c r="AQ167" i="13" s="1"/>
  <c r="AP167" i="13" s="1"/>
  <c r="AO167" i="13" s="1"/>
  <c r="AL167" i="13" s="1"/>
  <c r="BZ167" i="13"/>
  <c r="BY167" i="13" s="1"/>
  <c r="BX167" i="13" s="1"/>
  <c r="BW167" i="13" s="1"/>
  <c r="BV167" i="13" s="1"/>
  <c r="BH167" i="13"/>
  <c r="BG167" i="13" s="1"/>
  <c r="BF167" i="13" s="1"/>
  <c r="BE167" i="13" s="1"/>
  <c r="BD167" i="13" s="1"/>
  <c r="CE167" i="13"/>
  <c r="CD167" i="13" s="1"/>
  <c r="CC167" i="13" s="1"/>
  <c r="CB167" i="13" s="1"/>
  <c r="CA167" i="13" s="1"/>
  <c r="BU167" i="13"/>
  <c r="BT167" i="13" s="1"/>
  <c r="BS167" i="13" s="1"/>
  <c r="BR167" i="13" s="1"/>
  <c r="BQ167" i="13" s="1"/>
  <c r="BC167" i="13"/>
  <c r="BB167" i="13" s="1"/>
  <c r="BA167" i="13" s="1"/>
  <c r="AZ167" i="13" s="1"/>
  <c r="AY167" i="13" s="1"/>
  <c r="BP167" i="13"/>
  <c r="BO167" i="13" s="1"/>
  <c r="BN167" i="13" s="1"/>
  <c r="BM167" i="13" s="1"/>
  <c r="BL167" i="13" s="1"/>
  <c r="AX167" i="13"/>
  <c r="AW167" i="13" s="1"/>
  <c r="AV167" i="13" s="1"/>
  <c r="AU167" i="13" s="1"/>
  <c r="AT167" i="13" s="1"/>
  <c r="NO101" i="13"/>
  <c r="LI101" i="13"/>
  <c r="NP101" i="13" s="1"/>
  <c r="NU101" i="13"/>
  <c r="LB139" i="13"/>
  <c r="LD139" i="13" s="1"/>
  <c r="LE139" i="13" s="1"/>
  <c r="KT139" i="13"/>
  <c r="KV139" i="13" s="1"/>
  <c r="KW139" i="13" s="1"/>
  <c r="LJ139" i="13"/>
  <c r="LL139" i="13" s="1"/>
  <c r="LM139" i="13" s="1"/>
  <c r="LR139" i="13"/>
  <c r="LT139" i="13" s="1"/>
  <c r="LU139" i="13" s="1"/>
  <c r="NQ145" i="13"/>
  <c r="LP145" i="13"/>
  <c r="LQ145" i="13" s="1"/>
  <c r="NV145" i="13"/>
  <c r="NQ16" i="13"/>
  <c r="DN16" i="13" s="1"/>
  <c r="DM16" i="13" s="1"/>
  <c r="DL16" i="13" s="1"/>
  <c r="LP16" i="13"/>
  <c r="LQ16" i="13" s="1"/>
  <c r="NV16" i="13"/>
  <c r="CM148" i="13"/>
  <c r="CL148" i="13" s="1"/>
  <c r="CK148" i="13" s="1"/>
  <c r="CJ148" i="13" s="1"/>
  <c r="CI148" i="13" s="1"/>
  <c r="CE150" i="13"/>
  <c r="CD150" i="13" s="1"/>
  <c r="CC150" i="13" s="1"/>
  <c r="CB150" i="13" s="1"/>
  <c r="CA150" i="13" s="1"/>
  <c r="BU150" i="13"/>
  <c r="BT150" i="13" s="1"/>
  <c r="BS150" i="13" s="1"/>
  <c r="BR150" i="13" s="1"/>
  <c r="BQ150" i="13" s="1"/>
  <c r="BP150" i="13"/>
  <c r="BO150" i="13" s="1"/>
  <c r="BN150" i="13" s="1"/>
  <c r="BM150" i="13" s="1"/>
  <c r="BL150" i="13" s="1"/>
  <c r="AS150" i="13"/>
  <c r="AR150" i="13" s="1"/>
  <c r="AQ150" i="13" s="1"/>
  <c r="AP150" i="13" s="1"/>
  <c r="AO150" i="13" s="1"/>
  <c r="AL150" i="13" s="1"/>
  <c r="BZ150" i="13"/>
  <c r="BY150" i="13" s="1"/>
  <c r="BX150" i="13" s="1"/>
  <c r="BW150" i="13" s="1"/>
  <c r="BV150" i="13" s="1"/>
  <c r="BH150" i="13"/>
  <c r="BG150" i="13" s="1"/>
  <c r="BF150" i="13" s="1"/>
  <c r="BE150" i="13" s="1"/>
  <c r="BD150" i="13" s="1"/>
  <c r="BC150" i="13"/>
  <c r="BB150" i="13" s="1"/>
  <c r="BA150" i="13" s="1"/>
  <c r="AZ150" i="13" s="1"/>
  <c r="AY150" i="13" s="1"/>
  <c r="AX150" i="13"/>
  <c r="AW150" i="13" s="1"/>
  <c r="AV150" i="13" s="1"/>
  <c r="AU150" i="13" s="1"/>
  <c r="AT150" i="13" s="1"/>
  <c r="NO81" i="13"/>
  <c r="LI81" i="13"/>
  <c r="NP81" i="13" s="1"/>
  <c r="NU81" i="13"/>
  <c r="LJ12" i="13"/>
  <c r="LL12" i="13" s="1"/>
  <c r="LM12" i="13" s="1"/>
  <c r="CW12" i="13" s="1"/>
  <c r="CV12" i="13" s="1"/>
  <c r="LR12" i="13"/>
  <c r="LT12" i="13" s="1"/>
  <c r="LU12" i="13" s="1"/>
  <c r="DU12" i="13" s="1"/>
  <c r="DT12" i="13" s="1"/>
  <c r="DS12" i="13" s="1"/>
  <c r="DR12" i="13" s="1"/>
  <c r="DQ12" i="13" s="1"/>
  <c r="LB12" i="13"/>
  <c r="LD12" i="13" s="1"/>
  <c r="LE12" i="13" s="1"/>
  <c r="DZ12" i="13" s="1"/>
  <c r="DY12" i="13" s="1"/>
  <c r="DX12" i="13" s="1"/>
  <c r="DW12" i="13" s="1"/>
  <c r="DV12" i="13" s="1"/>
  <c r="KT12" i="13"/>
  <c r="KV12" i="13" s="1"/>
  <c r="KW12" i="13" s="1"/>
  <c r="DB12" i="13" s="1"/>
  <c r="DA12" i="13" s="1"/>
  <c r="KG172" i="13"/>
  <c r="JO150" i="13"/>
  <c r="KF150" i="13"/>
  <c r="CR183" i="13"/>
  <c r="CQ183" i="13" s="1"/>
  <c r="DP183" i="13"/>
  <c r="DO183" i="13" s="1"/>
  <c r="NQ203" i="13"/>
  <c r="LP203" i="13"/>
  <c r="LQ203" i="13" s="1"/>
  <c r="NV203" i="13"/>
  <c r="DK24" i="13"/>
  <c r="DJ24" i="13" s="1"/>
  <c r="DI24" i="13" s="1"/>
  <c r="DH24" i="13" s="1"/>
  <c r="DG24" i="13" s="1"/>
  <c r="NR24" i="13"/>
  <c r="NU90" i="13"/>
  <c r="NO90" i="13"/>
  <c r="LI90" i="13"/>
  <c r="NP90" i="13" s="1"/>
  <c r="CZ112" i="13"/>
  <c r="CY112" i="13" s="1"/>
  <c r="CX112" i="13" s="1"/>
  <c r="NX79" i="13"/>
  <c r="NW79" i="13"/>
  <c r="NO167" i="13"/>
  <c r="LI167" i="13"/>
  <c r="NP167" i="13" s="1"/>
  <c r="NU167" i="13"/>
  <c r="LF169" i="13"/>
  <c r="LH169" i="13" s="1"/>
  <c r="LN169" i="13"/>
  <c r="KP169" i="13"/>
  <c r="KR169" i="13" s="1"/>
  <c r="KS169" i="13" s="1"/>
  <c r="KX169" i="13"/>
  <c r="KZ169" i="13" s="1"/>
  <c r="LA169" i="13" s="1"/>
  <c r="LI192" i="13"/>
  <c r="NP192" i="13" s="1"/>
  <c r="NU192" i="13"/>
  <c r="NO192" i="13"/>
  <c r="BC107" i="13"/>
  <c r="BB107" i="13" s="1"/>
  <c r="BA107" i="13" s="1"/>
  <c r="AZ107" i="13" s="1"/>
  <c r="AY107" i="13" s="1"/>
  <c r="BU107" i="13"/>
  <c r="BT107" i="13" s="1"/>
  <c r="BS107" i="13" s="1"/>
  <c r="BR107" i="13" s="1"/>
  <c r="BQ107" i="13" s="1"/>
  <c r="BP107" i="13"/>
  <c r="BO107" i="13" s="1"/>
  <c r="BN107" i="13" s="1"/>
  <c r="BM107" i="13" s="1"/>
  <c r="BL107" i="13" s="1"/>
  <c r="CE107" i="13"/>
  <c r="CD107" i="13" s="1"/>
  <c r="CC107" i="13" s="1"/>
  <c r="CB107" i="13" s="1"/>
  <c r="CA107" i="13" s="1"/>
  <c r="AX107" i="13"/>
  <c r="AW107" i="13" s="1"/>
  <c r="AV107" i="13" s="1"/>
  <c r="AU107" i="13" s="1"/>
  <c r="AT107" i="13" s="1"/>
  <c r="AS107" i="13"/>
  <c r="AR107" i="13" s="1"/>
  <c r="AQ107" i="13" s="1"/>
  <c r="AP107" i="13" s="1"/>
  <c r="AO107" i="13" s="1"/>
  <c r="AL107" i="13" s="1"/>
  <c r="BH107" i="13"/>
  <c r="BG107" i="13" s="1"/>
  <c r="BF107" i="13" s="1"/>
  <c r="BE107" i="13" s="1"/>
  <c r="BD107" i="13" s="1"/>
  <c r="BZ107" i="13"/>
  <c r="BY107" i="13" s="1"/>
  <c r="BX107" i="13" s="1"/>
  <c r="BW107" i="13" s="1"/>
  <c r="BV107" i="13" s="1"/>
  <c r="JO62" i="13"/>
  <c r="KF62" i="13"/>
  <c r="CP60" i="13"/>
  <c r="CO60" i="13" s="1"/>
  <c r="CN60" i="13" s="1"/>
  <c r="DK195" i="13"/>
  <c r="DJ195" i="13" s="1"/>
  <c r="DI195" i="13" s="1"/>
  <c r="DH195" i="13" s="1"/>
  <c r="DG195" i="13" s="1"/>
  <c r="DN27" i="13"/>
  <c r="DM27" i="13" s="1"/>
  <c r="DL27" i="13" s="1"/>
  <c r="DN13" i="13"/>
  <c r="DM13" i="13" s="1"/>
  <c r="DL13" i="13" s="1"/>
  <c r="CM143" i="13"/>
  <c r="CL143" i="13" s="1"/>
  <c r="CK143" i="13" s="1"/>
  <c r="CJ143" i="13" s="1"/>
  <c r="CI143" i="13" s="1"/>
  <c r="LR96" i="13"/>
  <c r="LT96" i="13" s="1"/>
  <c r="LU96" i="13" s="1"/>
  <c r="KT96" i="13"/>
  <c r="KV96" i="13" s="1"/>
  <c r="KW96" i="13" s="1"/>
  <c r="DB96" i="13" s="1"/>
  <c r="DA96" i="13" s="1"/>
  <c r="LJ96" i="13"/>
  <c r="LL96" i="13" s="1"/>
  <c r="LM96" i="13" s="1"/>
  <c r="LB96" i="13"/>
  <c r="LD96" i="13" s="1"/>
  <c r="LE96" i="13" s="1"/>
  <c r="CM175" i="13"/>
  <c r="CL175" i="13" s="1"/>
  <c r="CK175" i="13" s="1"/>
  <c r="CJ175" i="13" s="1"/>
  <c r="CI175" i="13" s="1"/>
  <c r="DS59" i="13"/>
  <c r="DR59" i="13" s="1"/>
  <c r="DQ59" i="13" s="1"/>
  <c r="NX144" i="13"/>
  <c r="NW144" i="13"/>
  <c r="LI103" i="13"/>
  <c r="NP103" i="13" s="1"/>
  <c r="NU103" i="13"/>
  <c r="NO103" i="13"/>
  <c r="JO109" i="13"/>
  <c r="KF109" i="13"/>
  <c r="CM135" i="13"/>
  <c r="CL135" i="13" s="1"/>
  <c r="CK135" i="13" s="1"/>
  <c r="CJ135" i="13" s="1"/>
  <c r="CI135" i="13" s="1"/>
  <c r="KG89" i="13"/>
  <c r="LP183" i="13"/>
  <c r="LQ183" i="13" s="1"/>
  <c r="DK183" i="13" s="1"/>
  <c r="DJ183" i="13" s="1"/>
  <c r="NV183" i="13"/>
  <c r="NQ183" i="13"/>
  <c r="LP102" i="13"/>
  <c r="LQ102" i="13" s="1"/>
  <c r="NR102" i="13" s="1"/>
  <c r="NV102" i="13"/>
  <c r="NQ102" i="13"/>
  <c r="DS24" i="13"/>
  <c r="DR24" i="13" s="1"/>
  <c r="DQ24" i="13" s="1"/>
  <c r="DN73" i="13"/>
  <c r="DM73" i="13" s="1"/>
  <c r="DL73" i="13" s="1"/>
  <c r="NR137" i="13"/>
  <c r="NR149" i="13"/>
  <c r="NX127" i="13"/>
  <c r="NW127" i="13"/>
  <c r="NV114" i="13"/>
  <c r="LP114" i="13"/>
  <c r="LQ114" i="13" s="1"/>
  <c r="NQ114" i="13"/>
  <c r="DP126" i="13"/>
  <c r="DO126" i="13" s="1"/>
  <c r="CW126" i="13"/>
  <c r="CV126" i="13" s="1"/>
  <c r="DZ126" i="13"/>
  <c r="DY126" i="13" s="1"/>
  <c r="CR126" i="13"/>
  <c r="CQ126" i="13" s="1"/>
  <c r="DU126" i="13"/>
  <c r="DT126" i="13" s="1"/>
  <c r="JO99" i="13"/>
  <c r="KF99" i="13"/>
  <c r="KT168" i="13"/>
  <c r="KV168" i="13" s="1"/>
  <c r="KW168" i="13" s="1"/>
  <c r="DB168" i="13" s="1"/>
  <c r="DA168" i="13" s="1"/>
  <c r="LR168" i="13"/>
  <c r="LT168" i="13" s="1"/>
  <c r="LU168" i="13" s="1"/>
  <c r="DU168" i="13" s="1"/>
  <c r="DT168" i="13" s="1"/>
  <c r="LJ168" i="13"/>
  <c r="LL168" i="13" s="1"/>
  <c r="LM168" i="13" s="1"/>
  <c r="CW168" i="13" s="1"/>
  <c r="CV168" i="13" s="1"/>
  <c r="LB168" i="13"/>
  <c r="LD168" i="13" s="1"/>
  <c r="LE168" i="13" s="1"/>
  <c r="DZ168" i="13" s="1"/>
  <c r="DY168" i="13" s="1"/>
  <c r="JO44" i="13"/>
  <c r="KF44" i="13"/>
  <c r="KT77" i="13"/>
  <c r="KV77" i="13" s="1"/>
  <c r="KW77" i="13" s="1"/>
  <c r="DB77" i="13" s="1"/>
  <c r="DA77" i="13" s="1"/>
  <c r="LR77" i="13"/>
  <c r="LT77" i="13" s="1"/>
  <c r="LU77" i="13" s="1"/>
  <c r="LJ77" i="13"/>
  <c r="LL77" i="13" s="1"/>
  <c r="LM77" i="13" s="1"/>
  <c r="LB77" i="13"/>
  <c r="LD77" i="13" s="1"/>
  <c r="LE77" i="13" s="1"/>
  <c r="NU12" i="13"/>
  <c r="NO12" i="13"/>
  <c r="CP12" i="13" s="1"/>
  <c r="CO12" i="13" s="1"/>
  <c r="CN12" i="13" s="1"/>
  <c r="LI12" i="13"/>
  <c r="LB123" i="13"/>
  <c r="LD123" i="13" s="1"/>
  <c r="LE123" i="13" s="1"/>
  <c r="KT123" i="13"/>
  <c r="KV123" i="13" s="1"/>
  <c r="KW123" i="13" s="1"/>
  <c r="LR123" i="13"/>
  <c r="LT123" i="13" s="1"/>
  <c r="LU123" i="13" s="1"/>
  <c r="LJ123" i="13"/>
  <c r="LL123" i="13" s="1"/>
  <c r="LM123" i="13" s="1"/>
  <c r="DX148" i="13"/>
  <c r="DW148" i="13" s="1"/>
  <c r="DV148" i="13" s="1"/>
  <c r="JO56" i="13"/>
  <c r="KF56" i="13"/>
  <c r="NQ81" i="13"/>
  <c r="LP81" i="13"/>
  <c r="LQ81" i="13" s="1"/>
  <c r="NR81" i="13" s="1"/>
  <c r="NV81" i="13"/>
  <c r="CR105" i="13"/>
  <c r="CQ105" i="13" s="1"/>
  <c r="CP105" i="13" s="1"/>
  <c r="CO105" i="13" s="1"/>
  <c r="CN105" i="13" s="1"/>
  <c r="DP105" i="13"/>
  <c r="DO105" i="13" s="1"/>
  <c r="DN105" i="13" s="1"/>
  <c r="DM105" i="13" s="1"/>
  <c r="DL105" i="13" s="1"/>
  <c r="CM105" i="13"/>
  <c r="CL105" i="13" s="1"/>
  <c r="CK105" i="13" s="1"/>
  <c r="CJ105" i="13" s="1"/>
  <c r="CI105" i="13" s="1"/>
  <c r="DK105" i="13"/>
  <c r="DJ105" i="13" s="1"/>
  <c r="DI105" i="13" s="1"/>
  <c r="DH105" i="13" s="1"/>
  <c r="DG105" i="13" s="1"/>
  <c r="DU105" i="13"/>
  <c r="DT105" i="13" s="1"/>
  <c r="DS105" i="13" s="1"/>
  <c r="DR105" i="13" s="1"/>
  <c r="DQ105" i="13" s="1"/>
  <c r="DZ105" i="13"/>
  <c r="DY105" i="13" s="1"/>
  <c r="DX105" i="13" s="1"/>
  <c r="DW105" i="13" s="1"/>
  <c r="DV105" i="13" s="1"/>
  <c r="DB105" i="13"/>
  <c r="DA105" i="13" s="1"/>
  <c r="CZ105" i="13" s="1"/>
  <c r="CY105" i="13" s="1"/>
  <c r="CX105" i="13" s="1"/>
  <c r="CW105" i="13"/>
  <c r="CV105" i="13" s="1"/>
  <c r="CU105" i="13" s="1"/>
  <c r="CT105" i="13" s="1"/>
  <c r="CS105" i="13" s="1"/>
  <c r="NX180" i="13"/>
  <c r="NW180" i="13"/>
  <c r="KT151" i="13"/>
  <c r="KV151" i="13" s="1"/>
  <c r="KW151" i="13" s="1"/>
  <c r="LJ151" i="13"/>
  <c r="LL151" i="13" s="1"/>
  <c r="LM151" i="13" s="1"/>
  <c r="LB151" i="13"/>
  <c r="LD151" i="13" s="1"/>
  <c r="LE151" i="13" s="1"/>
  <c r="LR151" i="13"/>
  <c r="LT151" i="13" s="1"/>
  <c r="LU151" i="13" s="1"/>
  <c r="JO119" i="13"/>
  <c r="KF119" i="13"/>
  <c r="NV191" i="13"/>
  <c r="NQ191" i="13"/>
  <c r="LP191" i="13"/>
  <c r="LQ191" i="13" s="1"/>
  <c r="NR191" i="13" s="1"/>
  <c r="NU68" i="13"/>
  <c r="NO68" i="13"/>
  <c r="LI68" i="13"/>
  <c r="NP68" i="13" s="1"/>
  <c r="NI150" i="13"/>
  <c r="KL150" i="13"/>
  <c r="KN150" i="13" s="1"/>
  <c r="KO150" i="13" s="1"/>
  <c r="LR90" i="13"/>
  <c r="LT90" i="13" s="1"/>
  <c r="LU90" i="13" s="1"/>
  <c r="LJ90" i="13"/>
  <c r="LL90" i="13" s="1"/>
  <c r="LM90" i="13" s="1"/>
  <c r="LB90" i="13"/>
  <c r="LD90" i="13" s="1"/>
  <c r="LE90" i="13" s="1"/>
  <c r="KT90" i="13"/>
  <c r="KV90" i="13" s="1"/>
  <c r="KW90" i="13" s="1"/>
  <c r="DP78" i="13"/>
  <c r="DO78" i="13" s="1"/>
  <c r="CR78" i="13"/>
  <c r="CQ78" i="13" s="1"/>
  <c r="DK28" i="13"/>
  <c r="DJ28" i="13" s="1"/>
  <c r="DI28" i="13" s="1"/>
  <c r="DH28" i="13" s="1"/>
  <c r="DG28" i="13" s="1"/>
  <c r="NR28" i="13"/>
  <c r="KX70" i="13"/>
  <c r="KZ70" i="13" s="1"/>
  <c r="LA70" i="13" s="1"/>
  <c r="KP70" i="13"/>
  <c r="KR70" i="13" s="1"/>
  <c r="KS70" i="13" s="1"/>
  <c r="LF70" i="13"/>
  <c r="LH70" i="13" s="1"/>
  <c r="LN70" i="13"/>
  <c r="NQ45" i="13"/>
  <c r="LP45" i="13"/>
  <c r="LQ45" i="13" s="1"/>
  <c r="NR45" i="13" s="1"/>
  <c r="NV45" i="13"/>
  <c r="NV90" i="13"/>
  <c r="NQ90" i="13"/>
  <c r="LP90" i="13"/>
  <c r="LQ90" i="13" s="1"/>
  <c r="NR90" i="13" s="1"/>
  <c r="LB207" i="13"/>
  <c r="LD207" i="13" s="1"/>
  <c r="LE207" i="13" s="1"/>
  <c r="LR207" i="13"/>
  <c r="LT207" i="13" s="1"/>
  <c r="LU207" i="13" s="1"/>
  <c r="LJ207" i="13"/>
  <c r="LL207" i="13" s="1"/>
  <c r="LM207" i="13" s="1"/>
  <c r="KT207" i="13"/>
  <c r="KV207" i="13" s="1"/>
  <c r="KW207" i="13" s="1"/>
  <c r="LB68" i="13"/>
  <c r="LD68" i="13" s="1"/>
  <c r="LE68" i="13" s="1"/>
  <c r="DZ68" i="13" s="1"/>
  <c r="DY68" i="13" s="1"/>
  <c r="DX68" i="13" s="1"/>
  <c r="DW68" i="13" s="1"/>
  <c r="DV68" i="13" s="1"/>
  <c r="KT68" i="13"/>
  <c r="KV68" i="13" s="1"/>
  <c r="KW68" i="13" s="1"/>
  <c r="DB68" i="13" s="1"/>
  <c r="DA68" i="13" s="1"/>
  <c r="CZ68" i="13" s="1"/>
  <c r="CY68" i="13" s="1"/>
  <c r="CX68" i="13" s="1"/>
  <c r="LJ68" i="13"/>
  <c r="LL68" i="13" s="1"/>
  <c r="LM68" i="13" s="1"/>
  <c r="LR68" i="13"/>
  <c r="LT68" i="13" s="1"/>
  <c r="LU68" i="13" s="1"/>
  <c r="LP167" i="13"/>
  <c r="LQ167" i="13" s="1"/>
  <c r="NV167" i="13"/>
  <c r="NQ167" i="13"/>
  <c r="NV71" i="13"/>
  <c r="NQ71" i="13"/>
  <c r="LP71" i="13"/>
  <c r="LQ71" i="13" s="1"/>
  <c r="KP180" i="13"/>
  <c r="KR180" i="13" s="1"/>
  <c r="KS180" i="13" s="1"/>
  <c r="LN180" i="13"/>
  <c r="LF180" i="13"/>
  <c r="LH180" i="13" s="1"/>
  <c r="KX180" i="13"/>
  <c r="KZ180" i="13" s="1"/>
  <c r="LA180" i="13" s="1"/>
  <c r="LP192" i="13"/>
  <c r="LQ192" i="13" s="1"/>
  <c r="NV192" i="13"/>
  <c r="NQ192" i="13"/>
  <c r="DP179" i="13"/>
  <c r="DO179" i="13" s="1"/>
  <c r="CR179" i="13"/>
  <c r="CQ179" i="13" s="1"/>
  <c r="NI62" i="13"/>
  <c r="KL62" i="13"/>
  <c r="KN62" i="13" s="1"/>
  <c r="KO62" i="13" s="1"/>
  <c r="JO110" i="13"/>
  <c r="KF110" i="13"/>
  <c r="DX60" i="13"/>
  <c r="DW60" i="13" s="1"/>
  <c r="DV60" i="13" s="1"/>
  <c r="CM195" i="13"/>
  <c r="CL195" i="13" s="1"/>
  <c r="CK195" i="13" s="1"/>
  <c r="CJ195" i="13" s="1"/>
  <c r="CI195" i="13" s="1"/>
  <c r="NP24" i="13"/>
  <c r="CM24" i="13"/>
  <c r="CL24" i="13" s="1"/>
  <c r="CK24" i="13" s="1"/>
  <c r="CJ24" i="13" s="1"/>
  <c r="CI24" i="13" s="1"/>
  <c r="JO55" i="13"/>
  <c r="KF55" i="13"/>
  <c r="AS5" i="13"/>
  <c r="CP143" i="13"/>
  <c r="CO143" i="13" s="1"/>
  <c r="CN143" i="13" s="1"/>
  <c r="JO88" i="13"/>
  <c r="KF88" i="13"/>
  <c r="CE178" i="13"/>
  <c r="CD178" i="13" s="1"/>
  <c r="CC178" i="13" s="1"/>
  <c r="CB178" i="13" s="1"/>
  <c r="CA178" i="13" s="1"/>
  <c r="AX178" i="13"/>
  <c r="AW178" i="13" s="1"/>
  <c r="AV178" i="13" s="1"/>
  <c r="AU178" i="13" s="1"/>
  <c r="AT178" i="13" s="1"/>
  <c r="BZ178" i="13"/>
  <c r="BY178" i="13" s="1"/>
  <c r="BX178" i="13" s="1"/>
  <c r="BW178" i="13" s="1"/>
  <c r="BV178" i="13" s="1"/>
  <c r="BH178" i="13"/>
  <c r="BG178" i="13" s="1"/>
  <c r="BF178" i="13" s="1"/>
  <c r="BE178" i="13" s="1"/>
  <c r="BD178" i="13" s="1"/>
  <c r="AS178" i="13"/>
  <c r="AR178" i="13" s="1"/>
  <c r="AQ178" i="13" s="1"/>
  <c r="AP178" i="13" s="1"/>
  <c r="AO178" i="13" s="1"/>
  <c r="AL178" i="13" s="1"/>
  <c r="BP178" i="13"/>
  <c r="BO178" i="13" s="1"/>
  <c r="BN178" i="13" s="1"/>
  <c r="BM178" i="13" s="1"/>
  <c r="BL178" i="13" s="1"/>
  <c r="BU178" i="13"/>
  <c r="BT178" i="13" s="1"/>
  <c r="BS178" i="13" s="1"/>
  <c r="BR178" i="13" s="1"/>
  <c r="BQ178" i="13" s="1"/>
  <c r="BC178" i="13"/>
  <c r="BB178" i="13" s="1"/>
  <c r="BA178" i="13" s="1"/>
  <c r="AZ178" i="13" s="1"/>
  <c r="AY178" i="13" s="1"/>
  <c r="CP175" i="13"/>
  <c r="CO175" i="13" s="1"/>
  <c r="CN175" i="13" s="1"/>
  <c r="CU59" i="13"/>
  <c r="CT59" i="13" s="1"/>
  <c r="CS59" i="13" s="1"/>
  <c r="BP101" i="13"/>
  <c r="BO101" i="13" s="1"/>
  <c r="BN101" i="13" s="1"/>
  <c r="BM101" i="13" s="1"/>
  <c r="BL101" i="13" s="1"/>
  <c r="BH101" i="13"/>
  <c r="BG101" i="13" s="1"/>
  <c r="BF101" i="13" s="1"/>
  <c r="BE101" i="13" s="1"/>
  <c r="BD101" i="13" s="1"/>
  <c r="AS101" i="13"/>
  <c r="AR101" i="13" s="1"/>
  <c r="AQ101" i="13" s="1"/>
  <c r="AP101" i="13" s="1"/>
  <c r="AO101" i="13" s="1"/>
  <c r="AL101" i="13" s="1"/>
  <c r="BZ101" i="13"/>
  <c r="BY101" i="13" s="1"/>
  <c r="BX101" i="13" s="1"/>
  <c r="BW101" i="13" s="1"/>
  <c r="BV101" i="13" s="1"/>
  <c r="BC101" i="13"/>
  <c r="BB101" i="13" s="1"/>
  <c r="BA101" i="13" s="1"/>
  <c r="AZ101" i="13" s="1"/>
  <c r="AY101" i="13" s="1"/>
  <c r="BU101" i="13"/>
  <c r="BT101" i="13" s="1"/>
  <c r="BS101" i="13" s="1"/>
  <c r="BR101" i="13" s="1"/>
  <c r="BQ101" i="13" s="1"/>
  <c r="AX101" i="13"/>
  <c r="AW101" i="13" s="1"/>
  <c r="AV101" i="13" s="1"/>
  <c r="AU101" i="13" s="1"/>
  <c r="AT101" i="13" s="1"/>
  <c r="CE101" i="13"/>
  <c r="CD101" i="13" s="1"/>
  <c r="CC101" i="13" s="1"/>
  <c r="CB101" i="13" s="1"/>
  <c r="CA101" i="13" s="1"/>
  <c r="DK106" i="13"/>
  <c r="DJ106" i="13" s="1"/>
  <c r="DI106" i="13" s="1"/>
  <c r="DH106" i="13" s="1"/>
  <c r="DG106" i="13" s="1"/>
  <c r="NI109" i="13"/>
  <c r="KL109" i="13"/>
  <c r="KN109" i="13" s="1"/>
  <c r="KO109" i="13" s="1"/>
  <c r="NR59" i="13"/>
  <c r="NP34" i="13"/>
  <c r="CM34" i="13"/>
  <c r="CL34" i="13" s="1"/>
  <c r="CK34" i="13" s="1"/>
  <c r="CJ34" i="13" s="1"/>
  <c r="CI34" i="13" s="1"/>
  <c r="GF104" i="13"/>
  <c r="GO104" i="13"/>
  <c r="CR156" i="13"/>
  <c r="CQ156" i="13" s="1"/>
  <c r="DB156" i="13"/>
  <c r="DA156" i="13" s="1"/>
  <c r="DP156" i="13"/>
  <c r="DO156" i="13" s="1"/>
  <c r="CW156" i="13"/>
  <c r="CV156" i="13" s="1"/>
  <c r="DU156" i="13"/>
  <c r="DT156" i="13" s="1"/>
  <c r="DS156" i="13" s="1"/>
  <c r="DR156" i="13" s="1"/>
  <c r="DQ156" i="13" s="1"/>
  <c r="KG153" i="13"/>
  <c r="NO97" i="13"/>
  <c r="LI97" i="13"/>
  <c r="NP97" i="13" s="1"/>
  <c r="NU97" i="13"/>
  <c r="KX166" i="13"/>
  <c r="KZ166" i="13" s="1"/>
  <c r="LA166" i="13" s="1"/>
  <c r="KP166" i="13"/>
  <c r="KR166" i="13" s="1"/>
  <c r="KS166" i="13" s="1"/>
  <c r="LN166" i="13"/>
  <c r="LF166" i="13"/>
  <c r="LH166" i="13" s="1"/>
  <c r="NR101" i="13"/>
  <c r="LF39" i="13"/>
  <c r="LH39" i="13" s="1"/>
  <c r="LN39" i="13"/>
  <c r="KX39" i="13"/>
  <c r="KZ39" i="13" s="1"/>
  <c r="LA39" i="13" s="1"/>
  <c r="KP39" i="13"/>
  <c r="KR39" i="13" s="1"/>
  <c r="KS39" i="13" s="1"/>
  <c r="NI44" i="13"/>
  <c r="KL44" i="13"/>
  <c r="KN44" i="13" s="1"/>
  <c r="KO44" i="13" s="1"/>
  <c r="BP180" i="13"/>
  <c r="BO180" i="13" s="1"/>
  <c r="BN180" i="13" s="1"/>
  <c r="BM180" i="13" s="1"/>
  <c r="BL180" i="13" s="1"/>
  <c r="AX180" i="13"/>
  <c r="AW180" i="13" s="1"/>
  <c r="AV180" i="13" s="1"/>
  <c r="AU180" i="13" s="1"/>
  <c r="AT180" i="13" s="1"/>
  <c r="CE180" i="13"/>
  <c r="CD180" i="13" s="1"/>
  <c r="CC180" i="13" s="1"/>
  <c r="CB180" i="13" s="1"/>
  <c r="CA180" i="13" s="1"/>
  <c r="BH180" i="13"/>
  <c r="BG180" i="13" s="1"/>
  <c r="BF180" i="13" s="1"/>
  <c r="BE180" i="13" s="1"/>
  <c r="BD180" i="13" s="1"/>
  <c r="AS180" i="13"/>
  <c r="AR180" i="13" s="1"/>
  <c r="AQ180" i="13" s="1"/>
  <c r="AP180" i="13" s="1"/>
  <c r="AO180" i="13" s="1"/>
  <c r="AL180" i="13" s="1"/>
  <c r="BZ180" i="13"/>
  <c r="BY180" i="13" s="1"/>
  <c r="BX180" i="13" s="1"/>
  <c r="BW180" i="13" s="1"/>
  <c r="BV180" i="13" s="1"/>
  <c r="BU180" i="13"/>
  <c r="BT180" i="13" s="1"/>
  <c r="BS180" i="13" s="1"/>
  <c r="BR180" i="13" s="1"/>
  <c r="BQ180" i="13" s="1"/>
  <c r="BC180" i="13"/>
  <c r="BB180" i="13" s="1"/>
  <c r="BA180" i="13" s="1"/>
  <c r="AZ180" i="13" s="1"/>
  <c r="AY180" i="13" s="1"/>
  <c r="NX130" i="13"/>
  <c r="NW130" i="13"/>
  <c r="NO182" i="13"/>
  <c r="LI182" i="13"/>
  <c r="NP182" i="13" s="1"/>
  <c r="NU182" i="13"/>
  <c r="NU16" i="13"/>
  <c r="NO16" i="13"/>
  <c r="CP16" i="13" s="1"/>
  <c r="CO16" i="13" s="1"/>
  <c r="CN16" i="13" s="1"/>
  <c r="LI16" i="13"/>
  <c r="JO188" i="13"/>
  <c r="KF188" i="13"/>
  <c r="NI56" i="13"/>
  <c r="KL56" i="13"/>
  <c r="KN56" i="13" s="1"/>
  <c r="KO56" i="13" s="1"/>
  <c r="KG139" i="13"/>
  <c r="KT101" i="13"/>
  <c r="KV101" i="13" s="1"/>
  <c r="KW101" i="13" s="1"/>
  <c r="DB101" i="13" s="1"/>
  <c r="DA101" i="13" s="1"/>
  <c r="LB101" i="13"/>
  <c r="LD101" i="13" s="1"/>
  <c r="LE101" i="13" s="1"/>
  <c r="LJ101" i="13"/>
  <c r="LL101" i="13" s="1"/>
  <c r="LM101" i="13" s="1"/>
  <c r="CW101" i="13" s="1"/>
  <c r="CV101" i="13" s="1"/>
  <c r="LR101" i="13"/>
  <c r="LT101" i="13" s="1"/>
  <c r="LU101" i="13" s="1"/>
  <c r="DU101" i="13" s="1"/>
  <c r="DT101" i="13" s="1"/>
  <c r="DS101" i="13" s="1"/>
  <c r="DR101" i="13" s="1"/>
  <c r="DQ101" i="13" s="1"/>
  <c r="LP95" i="13"/>
  <c r="LQ95" i="13" s="1"/>
  <c r="NV95" i="13"/>
  <c r="NQ95" i="13"/>
  <c r="NI119" i="13"/>
  <c r="KL119" i="13"/>
  <c r="KN119" i="13" s="1"/>
  <c r="KO119" i="13" s="1"/>
  <c r="DX49" i="13"/>
  <c r="DW49" i="13" s="1"/>
  <c r="DV49" i="13" s="1"/>
  <c r="NU191" i="13"/>
  <c r="NO191" i="13"/>
  <c r="LI191" i="13"/>
  <c r="NP191" i="13" s="1"/>
  <c r="NR31" i="13"/>
  <c r="DK31" i="13"/>
  <c r="DJ31" i="13" s="1"/>
  <c r="DI31" i="13" s="1"/>
  <c r="DH31" i="13" s="1"/>
  <c r="DG31" i="13" s="1"/>
  <c r="NI70" i="13"/>
  <c r="KL70" i="13"/>
  <c r="KN70" i="13" s="1"/>
  <c r="KO70" i="13" s="1"/>
  <c r="NQ208" i="13"/>
  <c r="LP208" i="13"/>
  <c r="LQ208" i="13" s="1"/>
  <c r="NR208" i="13" s="1"/>
  <c r="NV208" i="13"/>
  <c r="CM112" i="13"/>
  <c r="CL112" i="13" s="1"/>
  <c r="CK112" i="13" s="1"/>
  <c r="CJ112" i="13" s="1"/>
  <c r="CI112" i="13" s="1"/>
  <c r="LR133" i="13"/>
  <c r="LT133" i="13" s="1"/>
  <c r="LU133" i="13" s="1"/>
  <c r="KT133" i="13"/>
  <c r="KV133" i="13" s="1"/>
  <c r="KW133" i="13" s="1"/>
  <c r="LB133" i="13"/>
  <c r="LD133" i="13" s="1"/>
  <c r="LE133" i="13" s="1"/>
  <c r="LJ133" i="13"/>
  <c r="LL133" i="13" s="1"/>
  <c r="LM133" i="13" s="1"/>
  <c r="KG90" i="13"/>
  <c r="DZ96" i="13"/>
  <c r="DY96" i="13" s="1"/>
  <c r="CW96" i="13"/>
  <c r="CV96" i="13" s="1"/>
  <c r="CR96" i="13"/>
  <c r="CQ96" i="13" s="1"/>
  <c r="DU96" i="13"/>
  <c r="DT96" i="13" s="1"/>
  <c r="DP96" i="13"/>
  <c r="DO96" i="13" s="1"/>
  <c r="NW125" i="13"/>
  <c r="NX125" i="13"/>
  <c r="LB208" i="13"/>
  <c r="LD208" i="13" s="1"/>
  <c r="LE208" i="13" s="1"/>
  <c r="LJ208" i="13"/>
  <c r="LL208" i="13" s="1"/>
  <c r="LM208" i="13" s="1"/>
  <c r="CW208" i="13" s="1"/>
  <c r="CV208" i="13" s="1"/>
  <c r="LR208" i="13"/>
  <c r="LT208" i="13" s="1"/>
  <c r="LU208" i="13" s="1"/>
  <c r="KT208" i="13"/>
  <c r="KV208" i="13" s="1"/>
  <c r="KW208" i="13" s="1"/>
  <c r="KT163" i="13"/>
  <c r="KV163" i="13" s="1"/>
  <c r="KW163" i="13" s="1"/>
  <c r="LB163" i="13"/>
  <c r="LD163" i="13" s="1"/>
  <c r="LE163" i="13" s="1"/>
  <c r="LJ163" i="13"/>
  <c r="LL163" i="13" s="1"/>
  <c r="LM163" i="13" s="1"/>
  <c r="LR163" i="13"/>
  <c r="LT163" i="13" s="1"/>
  <c r="LU163" i="13" s="1"/>
  <c r="NI110" i="13"/>
  <c r="KL110" i="13"/>
  <c r="KN110" i="13" s="1"/>
  <c r="KO110" i="13" s="1"/>
  <c r="CU60" i="13"/>
  <c r="CT60" i="13" s="1"/>
  <c r="CS60" i="13" s="1"/>
  <c r="LI38" i="13"/>
  <c r="NP38" i="13" s="1"/>
  <c r="NU38" i="13"/>
  <c r="NO38" i="13"/>
  <c r="NQ42" i="13"/>
  <c r="LP42" i="13"/>
  <c r="LQ42" i="13" s="1"/>
  <c r="NV42" i="13"/>
  <c r="NO41" i="13"/>
  <c r="LI41" i="13"/>
  <c r="NP41" i="13" s="1"/>
  <c r="NU41" i="13"/>
  <c r="NI55" i="13"/>
  <c r="KL55" i="13"/>
  <c r="KN55" i="13" s="1"/>
  <c r="KO55" i="13" s="1"/>
  <c r="NU13" i="13"/>
  <c r="NO13" i="13"/>
  <c r="CP13" i="13" s="1"/>
  <c r="CO13" i="13" s="1"/>
  <c r="CN13" i="13" s="1"/>
  <c r="LI13" i="13"/>
  <c r="CU143" i="13"/>
  <c r="CT143" i="13" s="1"/>
  <c r="CS143" i="13" s="1"/>
  <c r="NI88" i="13"/>
  <c r="KL88" i="13"/>
  <c r="KN88" i="13" s="1"/>
  <c r="KO88" i="13" s="1"/>
  <c r="LB136" i="13"/>
  <c r="LD136" i="13" s="1"/>
  <c r="LE136" i="13" s="1"/>
  <c r="LJ136" i="13"/>
  <c r="LL136" i="13" s="1"/>
  <c r="LM136" i="13" s="1"/>
  <c r="LR136" i="13"/>
  <c r="LT136" i="13" s="1"/>
  <c r="LU136" i="13" s="1"/>
  <c r="KT136" i="13"/>
  <c r="KV136" i="13" s="1"/>
  <c r="KW136" i="13" s="1"/>
  <c r="DB136" i="13" s="1"/>
  <c r="DA136" i="13" s="1"/>
  <c r="JO199" i="13"/>
  <c r="KF199" i="13"/>
  <c r="LR42" i="13"/>
  <c r="LT42" i="13" s="1"/>
  <c r="LU42" i="13" s="1"/>
  <c r="LB42" i="13"/>
  <c r="LD42" i="13" s="1"/>
  <c r="LE42" i="13" s="1"/>
  <c r="KT42" i="13"/>
  <c r="KV42" i="13" s="1"/>
  <c r="KW42" i="13" s="1"/>
  <c r="LJ42" i="13"/>
  <c r="LL42" i="13" s="1"/>
  <c r="LM42" i="13" s="1"/>
  <c r="DX175" i="13"/>
  <c r="DW175" i="13" s="1"/>
  <c r="DV175" i="13" s="1"/>
  <c r="DN106" i="13"/>
  <c r="DM106" i="13" s="1"/>
  <c r="DL106" i="13" s="1"/>
  <c r="NU126" i="13"/>
  <c r="NO126" i="13"/>
  <c r="LI126" i="13"/>
  <c r="NP126" i="13" s="1"/>
  <c r="NQ20" i="13"/>
  <c r="DN20" i="13" s="1"/>
  <c r="DM20" i="13" s="1"/>
  <c r="DL20" i="13" s="1"/>
  <c r="LP20" i="13"/>
  <c r="LQ20" i="13" s="1"/>
  <c r="NV20" i="13"/>
  <c r="NO183" i="13"/>
  <c r="LI183" i="13"/>
  <c r="NP183" i="13" s="1"/>
  <c r="NU183" i="13"/>
  <c r="DS137" i="13"/>
  <c r="DR137" i="13" s="1"/>
  <c r="DQ137" i="13" s="1"/>
  <c r="MW104" i="13"/>
  <c r="GV104" i="13"/>
  <c r="GX104" i="13" s="1"/>
  <c r="GY104" i="13" s="1"/>
  <c r="DX24" i="13"/>
  <c r="DW24" i="13" s="1"/>
  <c r="DV24" i="13" s="1"/>
  <c r="LB20" i="13"/>
  <c r="LD20" i="13" s="1"/>
  <c r="LE20" i="13" s="1"/>
  <c r="DZ20" i="13" s="1"/>
  <c r="DY20" i="13" s="1"/>
  <c r="LJ20" i="13"/>
  <c r="LL20" i="13" s="1"/>
  <c r="LM20" i="13" s="1"/>
  <c r="CW20" i="13" s="1"/>
  <c r="CV20" i="13" s="1"/>
  <c r="LR20" i="13"/>
  <c r="LT20" i="13" s="1"/>
  <c r="LU20" i="13" s="1"/>
  <c r="DU20" i="13" s="1"/>
  <c r="DT20" i="13" s="1"/>
  <c r="KT20" i="13"/>
  <c r="KV20" i="13" s="1"/>
  <c r="KW20" i="13" s="1"/>
  <c r="DB20" i="13" s="1"/>
  <c r="DA20" i="13" s="1"/>
  <c r="CZ20" i="13" s="1"/>
  <c r="CY20" i="13" s="1"/>
  <c r="CX20" i="13" s="1"/>
  <c r="LP97" i="13"/>
  <c r="LQ97" i="13" s="1"/>
  <c r="NQ97" i="13"/>
  <c r="NV97" i="13"/>
  <c r="DK74" i="13"/>
  <c r="DJ74" i="13" s="1"/>
  <c r="DI74" i="13" s="1"/>
  <c r="DH74" i="13" s="1"/>
  <c r="DG74" i="13" s="1"/>
  <c r="LI114" i="13"/>
  <c r="NP114" i="13" s="1"/>
  <c r="NU114" i="13"/>
  <c r="NO114" i="13"/>
  <c r="DZ101" i="13"/>
  <c r="DY101" i="13" s="1"/>
  <c r="DX101" i="13" s="1"/>
  <c r="DW101" i="13" s="1"/>
  <c r="DV101" i="13" s="1"/>
  <c r="DK101" i="13"/>
  <c r="DJ101" i="13" s="1"/>
  <c r="DI101" i="13" s="1"/>
  <c r="DH101" i="13" s="1"/>
  <c r="DG101" i="13" s="1"/>
  <c r="CR101" i="13"/>
  <c r="CQ101" i="13" s="1"/>
  <c r="CP101" i="13" s="1"/>
  <c r="CO101" i="13" s="1"/>
  <c r="CN101" i="13" s="1"/>
  <c r="DP101" i="13"/>
  <c r="DO101" i="13" s="1"/>
  <c r="DN101" i="13" s="1"/>
  <c r="DM101" i="13" s="1"/>
  <c r="DL101" i="13" s="1"/>
  <c r="DK204" i="13"/>
  <c r="DJ204" i="13" s="1"/>
  <c r="DI204" i="13" s="1"/>
  <c r="DH204" i="13" s="1"/>
  <c r="DG204" i="13" s="1"/>
  <c r="LB213" i="13"/>
  <c r="LD213" i="13" s="1"/>
  <c r="LE213" i="13" s="1"/>
  <c r="LR213" i="13"/>
  <c r="LT213" i="13" s="1"/>
  <c r="LU213" i="13" s="1"/>
  <c r="LJ213" i="13"/>
  <c r="LL213" i="13" s="1"/>
  <c r="LM213" i="13" s="1"/>
  <c r="KT213" i="13"/>
  <c r="KV213" i="13" s="1"/>
  <c r="KW213" i="13" s="1"/>
  <c r="LF99" i="13"/>
  <c r="LH99" i="13" s="1"/>
  <c r="KP99" i="13"/>
  <c r="KR99" i="13" s="1"/>
  <c r="KS99" i="13" s="1"/>
  <c r="KX99" i="13"/>
  <c r="KZ99" i="13" s="1"/>
  <c r="LA99" i="13" s="1"/>
  <c r="LN99" i="13"/>
  <c r="KG114" i="13"/>
  <c r="NR114" i="13"/>
  <c r="NI188" i="13"/>
  <c r="KL188" i="13"/>
  <c r="KN188" i="13" s="1"/>
  <c r="KO188" i="13" s="1"/>
  <c r="DK155" i="13"/>
  <c r="DJ155" i="13" s="1"/>
  <c r="DI155" i="13" s="1"/>
  <c r="DH155" i="13" s="1"/>
  <c r="DG155" i="13" s="1"/>
  <c r="DZ155" i="13"/>
  <c r="DY155" i="13" s="1"/>
  <c r="DX155" i="13" s="1"/>
  <c r="DW155" i="13" s="1"/>
  <c r="DV155" i="13" s="1"/>
  <c r="CR155" i="13"/>
  <c r="CQ155" i="13" s="1"/>
  <c r="CP155" i="13" s="1"/>
  <c r="CO155" i="13" s="1"/>
  <c r="CN155" i="13" s="1"/>
  <c r="DB155" i="13"/>
  <c r="DA155" i="13" s="1"/>
  <c r="CZ155" i="13" s="1"/>
  <c r="CY155" i="13" s="1"/>
  <c r="CX155" i="13" s="1"/>
  <c r="CM155" i="13"/>
  <c r="CL155" i="13" s="1"/>
  <c r="CK155" i="13" s="1"/>
  <c r="CJ155" i="13" s="1"/>
  <c r="CI155" i="13" s="1"/>
  <c r="DP155" i="13"/>
  <c r="DO155" i="13" s="1"/>
  <c r="DN155" i="13" s="1"/>
  <c r="DM155" i="13" s="1"/>
  <c r="DL155" i="13" s="1"/>
  <c r="CW155" i="13"/>
  <c r="CV155" i="13" s="1"/>
  <c r="CU155" i="13" s="1"/>
  <c r="CT155" i="13" s="1"/>
  <c r="CS155" i="13" s="1"/>
  <c r="DU155" i="13"/>
  <c r="DT155" i="13" s="1"/>
  <c r="DS155" i="13" s="1"/>
  <c r="DR155" i="13" s="1"/>
  <c r="DQ155" i="13" s="1"/>
  <c r="LI95" i="13"/>
  <c r="NP95" i="13" s="1"/>
  <c r="NU95" i="13"/>
  <c r="NO95" i="13"/>
  <c r="DK49" i="13"/>
  <c r="DJ49" i="13" s="1"/>
  <c r="DI49" i="13" s="1"/>
  <c r="DH49" i="13" s="1"/>
  <c r="DG49" i="13" s="1"/>
  <c r="LB182" i="13"/>
  <c r="LD182" i="13" s="1"/>
  <c r="LE182" i="13" s="1"/>
  <c r="LJ182" i="13"/>
  <c r="LL182" i="13" s="1"/>
  <c r="LM182" i="13" s="1"/>
  <c r="LR182" i="13"/>
  <c r="LT182" i="13" s="1"/>
  <c r="LU182" i="13" s="1"/>
  <c r="KT182" i="13"/>
  <c r="KV182" i="13" s="1"/>
  <c r="KW182" i="13" s="1"/>
  <c r="KP150" i="13"/>
  <c r="KR150" i="13" s="1"/>
  <c r="KS150" i="13" s="1"/>
  <c r="LF150" i="13"/>
  <c r="LH150" i="13" s="1"/>
  <c r="LN150" i="13"/>
  <c r="KX150" i="13"/>
  <c r="KZ150" i="13" s="1"/>
  <c r="LA150" i="13" s="1"/>
  <c r="KG151" i="13"/>
  <c r="NX45" i="13"/>
  <c r="NW45" i="13"/>
  <c r="KG162" i="13"/>
  <c r="DK133" i="13"/>
  <c r="DJ133" i="13" s="1"/>
  <c r="DI133" i="13" s="1"/>
  <c r="DH133" i="13" s="1"/>
  <c r="DG133" i="13" s="1"/>
  <c r="DZ133" i="13"/>
  <c r="DY133" i="13" s="1"/>
  <c r="DX133" i="13" s="1"/>
  <c r="DW133" i="13" s="1"/>
  <c r="DV133" i="13" s="1"/>
  <c r="CR133" i="13"/>
  <c r="CQ133" i="13" s="1"/>
  <c r="DP133" i="13"/>
  <c r="DO133" i="13" s="1"/>
  <c r="DN133" i="13" s="1"/>
  <c r="DM133" i="13" s="1"/>
  <c r="DL133" i="13" s="1"/>
  <c r="CW133" i="13"/>
  <c r="CV133" i="13" s="1"/>
  <c r="CU133" i="13" s="1"/>
  <c r="CT133" i="13" s="1"/>
  <c r="CS133" i="13" s="1"/>
  <c r="DB133" i="13"/>
  <c r="DA133" i="13" s="1"/>
  <c r="CZ133" i="13" s="1"/>
  <c r="CY133" i="13" s="1"/>
  <c r="CX133" i="13" s="1"/>
  <c r="CM133" i="13"/>
  <c r="CL133" i="13" s="1"/>
  <c r="DU133" i="13"/>
  <c r="DT133" i="13" s="1"/>
  <c r="DS133" i="13" s="1"/>
  <c r="DR133" i="13" s="1"/>
  <c r="DQ133" i="13" s="1"/>
  <c r="KT141" i="13"/>
  <c r="KV141" i="13" s="1"/>
  <c r="KW141" i="13" s="1"/>
  <c r="LB141" i="13"/>
  <c r="LD141" i="13" s="1"/>
  <c r="LE141" i="13" s="1"/>
  <c r="LJ141" i="13"/>
  <c r="LL141" i="13" s="1"/>
  <c r="LM141" i="13" s="1"/>
  <c r="LR141" i="13"/>
  <c r="LT141" i="13" s="1"/>
  <c r="LU141" i="13" s="1"/>
  <c r="KG176" i="13"/>
  <c r="NU208" i="13"/>
  <c r="NO208" i="13"/>
  <c r="LI208" i="13"/>
  <c r="NP208" i="13" s="1"/>
  <c r="CU112" i="13"/>
  <c r="CT112" i="13" s="1"/>
  <c r="CS112" i="13" s="1"/>
  <c r="LJ14" i="13"/>
  <c r="LL14" i="13" s="1"/>
  <c r="LM14" i="13" s="1"/>
  <c r="CW14" i="13" s="1"/>
  <c r="CV14" i="13" s="1"/>
  <c r="KT14" i="13"/>
  <c r="KV14" i="13" s="1"/>
  <c r="KW14" i="13" s="1"/>
  <c r="DB14" i="13" s="1"/>
  <c r="DA14" i="13" s="1"/>
  <c r="CZ14" i="13" s="1"/>
  <c r="CY14" i="13" s="1"/>
  <c r="CX14" i="13" s="1"/>
  <c r="LB14" i="13"/>
  <c r="LD14" i="13" s="1"/>
  <c r="LE14" i="13" s="1"/>
  <c r="DZ14" i="13" s="1"/>
  <c r="DY14" i="13" s="1"/>
  <c r="LR14" i="13"/>
  <c r="LT14" i="13" s="1"/>
  <c r="LU14" i="13" s="1"/>
  <c r="DU14" i="13" s="1"/>
  <c r="DT14" i="13" s="1"/>
  <c r="LR92" i="13"/>
  <c r="LT92" i="13" s="1"/>
  <c r="LU92" i="13" s="1"/>
  <c r="LB92" i="13"/>
  <c r="LD92" i="13" s="1"/>
  <c r="LE92" i="13" s="1"/>
  <c r="KT92" i="13"/>
  <c r="KV92" i="13" s="1"/>
  <c r="KW92" i="13" s="1"/>
  <c r="LJ92" i="13"/>
  <c r="LL92" i="13" s="1"/>
  <c r="LM92" i="13" s="1"/>
  <c r="LR191" i="13"/>
  <c r="LT191" i="13" s="1"/>
  <c r="LU191" i="13" s="1"/>
  <c r="DU191" i="13" s="1"/>
  <c r="DT191" i="13" s="1"/>
  <c r="DS191" i="13" s="1"/>
  <c r="DR191" i="13" s="1"/>
  <c r="DQ191" i="13" s="1"/>
  <c r="LJ191" i="13"/>
  <c r="LL191" i="13" s="1"/>
  <c r="LM191" i="13" s="1"/>
  <c r="LB191" i="13"/>
  <c r="LD191" i="13" s="1"/>
  <c r="LE191" i="13" s="1"/>
  <c r="KT191" i="13"/>
  <c r="KV191" i="13" s="1"/>
  <c r="KW191" i="13" s="1"/>
  <c r="KG141" i="13"/>
  <c r="BC134" i="13"/>
  <c r="BB134" i="13" s="1"/>
  <c r="BA134" i="13" s="1"/>
  <c r="AZ134" i="13" s="1"/>
  <c r="AY134" i="13" s="1"/>
  <c r="BU134" i="13"/>
  <c r="BT134" i="13" s="1"/>
  <c r="BS134" i="13" s="1"/>
  <c r="BR134" i="13" s="1"/>
  <c r="BQ134" i="13" s="1"/>
  <c r="AX134" i="13"/>
  <c r="AW134" i="13" s="1"/>
  <c r="AV134" i="13" s="1"/>
  <c r="AU134" i="13" s="1"/>
  <c r="AT134" i="13" s="1"/>
  <c r="BP134" i="13"/>
  <c r="BO134" i="13" s="1"/>
  <c r="BN134" i="13" s="1"/>
  <c r="BM134" i="13" s="1"/>
  <c r="BL134" i="13" s="1"/>
  <c r="CE134" i="13"/>
  <c r="CD134" i="13" s="1"/>
  <c r="CC134" i="13" s="1"/>
  <c r="CB134" i="13" s="1"/>
  <c r="CA134" i="13" s="1"/>
  <c r="BZ134" i="13"/>
  <c r="BY134" i="13" s="1"/>
  <c r="BX134" i="13" s="1"/>
  <c r="BW134" i="13" s="1"/>
  <c r="BV134" i="13" s="1"/>
  <c r="AS134" i="13"/>
  <c r="AR134" i="13" s="1"/>
  <c r="AQ134" i="13" s="1"/>
  <c r="AP134" i="13" s="1"/>
  <c r="AO134" i="13" s="1"/>
  <c r="AL134" i="13" s="1"/>
  <c r="BH134" i="13"/>
  <c r="BG134" i="13" s="1"/>
  <c r="BF134" i="13" s="1"/>
  <c r="BE134" i="13" s="1"/>
  <c r="BD134" i="13" s="1"/>
  <c r="CR77" i="13"/>
  <c r="CQ77" i="13" s="1"/>
  <c r="DZ77" i="13"/>
  <c r="DY77" i="13" s="1"/>
  <c r="DP77" i="13"/>
  <c r="DO77" i="13" s="1"/>
  <c r="CW77" i="13"/>
  <c r="CV77" i="13" s="1"/>
  <c r="DU77" i="13"/>
  <c r="DT77" i="13" s="1"/>
  <c r="KX62" i="13"/>
  <c r="KZ62" i="13" s="1"/>
  <c r="LA62" i="13" s="1"/>
  <c r="LN62" i="13"/>
  <c r="LF62" i="13"/>
  <c r="LH62" i="13" s="1"/>
  <c r="KP62" i="13"/>
  <c r="KR62" i="13" s="1"/>
  <c r="KS62" i="13" s="1"/>
  <c r="LJ130" i="13"/>
  <c r="LL130" i="13" s="1"/>
  <c r="LM130" i="13" s="1"/>
  <c r="KT130" i="13"/>
  <c r="KV130" i="13" s="1"/>
  <c r="KW130" i="13" s="1"/>
  <c r="LR130" i="13"/>
  <c r="LT130" i="13" s="1"/>
  <c r="LU130" i="13" s="1"/>
  <c r="DU130" i="13" s="1"/>
  <c r="DT130" i="13" s="1"/>
  <c r="LB130" i="13"/>
  <c r="LD130" i="13" s="1"/>
  <c r="LE130" i="13" s="1"/>
  <c r="DZ130" i="13" s="1"/>
  <c r="DY130" i="13" s="1"/>
  <c r="DX143" i="13"/>
  <c r="DW143" i="13" s="1"/>
  <c r="DV143" i="13" s="1"/>
  <c r="NT14" i="13"/>
  <c r="NM14" i="13"/>
  <c r="IA14" i="13"/>
  <c r="KX88" i="13"/>
  <c r="KZ88" i="13" s="1"/>
  <c r="LA88" i="13" s="1"/>
  <c r="LF88" i="13"/>
  <c r="LH88" i="13" s="1"/>
  <c r="KP88" i="13"/>
  <c r="KR88" i="13" s="1"/>
  <c r="KS88" i="13" s="1"/>
  <c r="LN88" i="13"/>
  <c r="BZ125" i="13"/>
  <c r="BY125" i="13" s="1"/>
  <c r="BX125" i="13" s="1"/>
  <c r="BW125" i="13" s="1"/>
  <c r="BV125" i="13" s="1"/>
  <c r="BC125" i="13"/>
  <c r="BB125" i="13" s="1"/>
  <c r="BA125" i="13" s="1"/>
  <c r="AZ125" i="13" s="1"/>
  <c r="AY125" i="13" s="1"/>
  <c r="BU125" i="13"/>
  <c r="BT125" i="13" s="1"/>
  <c r="BS125" i="13" s="1"/>
  <c r="BR125" i="13" s="1"/>
  <c r="BQ125" i="13" s="1"/>
  <c r="BP125" i="13"/>
  <c r="BO125" i="13" s="1"/>
  <c r="BN125" i="13" s="1"/>
  <c r="BM125" i="13" s="1"/>
  <c r="BL125" i="13" s="1"/>
  <c r="CE125" i="13"/>
  <c r="CD125" i="13" s="1"/>
  <c r="CC125" i="13" s="1"/>
  <c r="CB125" i="13" s="1"/>
  <c r="CA125" i="13" s="1"/>
  <c r="AX125" i="13"/>
  <c r="AW125" i="13" s="1"/>
  <c r="AV125" i="13" s="1"/>
  <c r="AU125" i="13" s="1"/>
  <c r="AT125" i="13" s="1"/>
  <c r="AS125" i="13"/>
  <c r="AR125" i="13" s="1"/>
  <c r="AQ125" i="13" s="1"/>
  <c r="AP125" i="13" s="1"/>
  <c r="AO125" i="13" s="1"/>
  <c r="AL125" i="13" s="1"/>
  <c r="BH125" i="13"/>
  <c r="BG125" i="13" s="1"/>
  <c r="BF125" i="13" s="1"/>
  <c r="BE125" i="13" s="1"/>
  <c r="BD125" i="13" s="1"/>
  <c r="NX138" i="13"/>
  <c r="NW138" i="13"/>
  <c r="LJ122" i="13"/>
  <c r="LL122" i="13" s="1"/>
  <c r="LM122" i="13" s="1"/>
  <c r="LB122" i="13"/>
  <c r="LD122" i="13" s="1"/>
  <c r="LE122" i="13" s="1"/>
  <c r="LR122" i="13"/>
  <c r="LT122" i="13" s="1"/>
  <c r="LU122" i="13" s="1"/>
  <c r="KT122" i="13"/>
  <c r="KV122" i="13" s="1"/>
  <c r="KW122" i="13" s="1"/>
  <c r="NI199" i="13"/>
  <c r="KL199" i="13"/>
  <c r="KN199" i="13" s="1"/>
  <c r="KO199" i="13" s="1"/>
  <c r="CM59" i="13"/>
  <c r="CL59" i="13" s="1"/>
  <c r="CK59" i="13" s="1"/>
  <c r="CJ59" i="13" s="1"/>
  <c r="CI59" i="13" s="1"/>
  <c r="LN109" i="13"/>
  <c r="KX109" i="13"/>
  <c r="KZ109" i="13" s="1"/>
  <c r="LA109" i="13" s="1"/>
  <c r="LF109" i="13"/>
  <c r="LH109" i="13" s="1"/>
  <c r="KP109" i="13"/>
  <c r="KR109" i="13" s="1"/>
  <c r="KS109" i="13" s="1"/>
  <c r="LJ153" i="13"/>
  <c r="LL153" i="13" s="1"/>
  <c r="LM153" i="13" s="1"/>
  <c r="LR153" i="13"/>
  <c r="LT153" i="13" s="1"/>
  <c r="LU153" i="13" s="1"/>
  <c r="KT153" i="13"/>
  <c r="KV153" i="13" s="1"/>
  <c r="KW153" i="13" s="1"/>
  <c r="LB153" i="13"/>
  <c r="LD153" i="13" s="1"/>
  <c r="LE153" i="13" s="1"/>
  <c r="KG82" i="13"/>
  <c r="DN116" i="13"/>
  <c r="DM116" i="13" s="1"/>
  <c r="DL116" i="13" s="1"/>
  <c r="LJ17" i="13"/>
  <c r="LL17" i="13" s="1"/>
  <c r="LM17" i="13" s="1"/>
  <c r="CW17" i="13" s="1"/>
  <c r="CV17" i="13" s="1"/>
  <c r="KT17" i="13"/>
  <c r="KV17" i="13" s="1"/>
  <c r="KW17" i="13" s="1"/>
  <c r="DB17" i="13" s="1"/>
  <c r="DA17" i="13" s="1"/>
  <c r="LR17" i="13"/>
  <c r="LT17" i="13" s="1"/>
  <c r="LU17" i="13" s="1"/>
  <c r="DU17" i="13" s="1"/>
  <c r="DT17" i="13" s="1"/>
  <c r="LB17" i="13"/>
  <c r="LD17" i="13" s="1"/>
  <c r="LE17" i="13" s="1"/>
  <c r="DZ17" i="13" s="1"/>
  <c r="DY17" i="13" s="1"/>
  <c r="KG98" i="13"/>
  <c r="CM74" i="13"/>
  <c r="CL74" i="13" s="1"/>
  <c r="CK74" i="13" s="1"/>
  <c r="CJ74" i="13" s="1"/>
  <c r="CI74" i="13" s="1"/>
  <c r="NX121" i="13"/>
  <c r="NW121" i="13"/>
  <c r="CP204" i="13"/>
  <c r="CO204" i="13" s="1"/>
  <c r="CN204" i="13" s="1"/>
  <c r="NI99" i="13"/>
  <c r="KL99" i="13"/>
  <c r="KN99" i="13" s="1"/>
  <c r="KO99" i="13" s="1"/>
  <c r="LJ30" i="13"/>
  <c r="LL30" i="13" s="1"/>
  <c r="LM30" i="13" s="1"/>
  <c r="CW30" i="13" s="1"/>
  <c r="CV30" i="13" s="1"/>
  <c r="CU30" i="13" s="1"/>
  <c r="CT30" i="13" s="1"/>
  <c r="CS30" i="13" s="1"/>
  <c r="LR30" i="13"/>
  <c r="LT30" i="13" s="1"/>
  <c r="LU30" i="13" s="1"/>
  <c r="DU30" i="13" s="1"/>
  <c r="DT30" i="13" s="1"/>
  <c r="KT30" i="13"/>
  <c r="KV30" i="13" s="1"/>
  <c r="KW30" i="13" s="1"/>
  <c r="DB30" i="13" s="1"/>
  <c r="DA30" i="13" s="1"/>
  <c r="CZ30" i="13" s="1"/>
  <c r="CY30" i="13" s="1"/>
  <c r="CX30" i="13" s="1"/>
  <c r="LB30" i="13"/>
  <c r="LD30" i="13" s="1"/>
  <c r="LE30" i="13" s="1"/>
  <c r="DZ30" i="13" s="1"/>
  <c r="DY30" i="13" s="1"/>
  <c r="KG214" i="13"/>
  <c r="LN44" i="13"/>
  <c r="LF44" i="13"/>
  <c r="LH44" i="13" s="1"/>
  <c r="KP44" i="13"/>
  <c r="KR44" i="13" s="1"/>
  <c r="KS44" i="13" s="1"/>
  <c r="KX44" i="13"/>
  <c r="KZ44" i="13" s="1"/>
  <c r="LA44" i="13" s="1"/>
  <c r="CM52" i="13"/>
  <c r="CL52" i="13" s="1"/>
  <c r="CK52" i="13" s="1"/>
  <c r="CJ52" i="13" s="1"/>
  <c r="CI52" i="13" s="1"/>
  <c r="KT157" i="13"/>
  <c r="KV157" i="13" s="1"/>
  <c r="KW157" i="13" s="1"/>
  <c r="LJ157" i="13"/>
  <c r="LL157" i="13" s="1"/>
  <c r="LM157" i="13" s="1"/>
  <c r="CW157" i="13" s="1"/>
  <c r="CV157" i="13" s="1"/>
  <c r="CU157" i="13" s="1"/>
  <c r="CT157" i="13" s="1"/>
  <c r="CS157" i="13" s="1"/>
  <c r="LR157" i="13"/>
  <c r="LT157" i="13" s="1"/>
  <c r="LU157" i="13" s="1"/>
  <c r="DU157" i="13" s="1"/>
  <c r="DT157" i="13" s="1"/>
  <c r="DS157" i="13" s="1"/>
  <c r="DR157" i="13" s="1"/>
  <c r="DQ157" i="13" s="1"/>
  <c r="LB157" i="13"/>
  <c r="LD157" i="13" s="1"/>
  <c r="LE157" i="13" s="1"/>
  <c r="NX199" i="13"/>
  <c r="NW199" i="13"/>
  <c r="LP182" i="13"/>
  <c r="LQ182" i="13" s="1"/>
  <c r="NR182" i="13" s="1"/>
  <c r="NV182" i="13"/>
  <c r="NQ182" i="13"/>
  <c r="NU124" i="13"/>
  <c r="NO124" i="13"/>
  <c r="LI124" i="13"/>
  <c r="NP124" i="13" s="1"/>
  <c r="KX56" i="13"/>
  <c r="KZ56" i="13" s="1"/>
  <c r="LA56" i="13" s="1"/>
  <c r="LN56" i="13"/>
  <c r="LF56" i="13"/>
  <c r="LH56" i="13" s="1"/>
  <c r="KP56" i="13"/>
  <c r="KR56" i="13" s="1"/>
  <c r="KS56" i="13" s="1"/>
  <c r="NX117" i="13"/>
  <c r="NW117" i="13"/>
  <c r="LP141" i="13"/>
  <c r="LQ141" i="13" s="1"/>
  <c r="NR141" i="13" s="1"/>
  <c r="NV141" i="13"/>
  <c r="NQ141" i="13"/>
  <c r="JO187" i="13"/>
  <c r="KF187" i="13"/>
  <c r="NQ118" i="13"/>
  <c r="LP118" i="13"/>
  <c r="LQ118" i="13" s="1"/>
  <c r="NR118" i="13" s="1"/>
  <c r="NV118" i="13"/>
  <c r="LF119" i="13"/>
  <c r="LH119" i="13" s="1"/>
  <c r="KX119" i="13"/>
  <c r="KZ119" i="13" s="1"/>
  <c r="LA119" i="13" s="1"/>
  <c r="LN119" i="13"/>
  <c r="KP119" i="13"/>
  <c r="KR119" i="13" s="1"/>
  <c r="KS119" i="13" s="1"/>
  <c r="KG129" i="13"/>
  <c r="CP112" i="13"/>
  <c r="CO112" i="13" s="1"/>
  <c r="CN112" i="13" s="1"/>
  <c r="NV69" i="13"/>
  <c r="NQ69" i="13"/>
  <c r="LP69" i="13"/>
  <c r="LQ69" i="13" s="1"/>
  <c r="NR69" i="13" s="1"/>
  <c r="JO146" i="13"/>
  <c r="KF146" i="13"/>
  <c r="LI72" i="13"/>
  <c r="NP72" i="13" s="1"/>
  <c r="NU72" i="13"/>
  <c r="NO72" i="13"/>
  <c r="JO196" i="13"/>
  <c r="KF196" i="13"/>
  <c r="CP200" i="13"/>
  <c r="CO200" i="13" s="1"/>
  <c r="CN200" i="13" s="1"/>
  <c r="DZ191" i="13"/>
  <c r="DY191" i="13" s="1"/>
  <c r="DX191" i="13" s="1"/>
  <c r="DW191" i="13" s="1"/>
  <c r="DV191" i="13" s="1"/>
  <c r="CW191" i="13"/>
  <c r="CV191" i="13" s="1"/>
  <c r="CM191" i="13"/>
  <c r="CL191" i="13" s="1"/>
  <c r="CR191" i="13"/>
  <c r="CQ191" i="13" s="1"/>
  <c r="DB191" i="13"/>
  <c r="DA191" i="13" s="1"/>
  <c r="DK191" i="13"/>
  <c r="DJ191" i="13" s="1"/>
  <c r="DI191" i="13" s="1"/>
  <c r="DH191" i="13" s="1"/>
  <c r="DG191" i="13" s="1"/>
  <c r="DP191" i="13"/>
  <c r="DO191" i="13" s="1"/>
  <c r="DN191" i="13" s="1"/>
  <c r="DM191" i="13" s="1"/>
  <c r="DL191" i="13" s="1"/>
  <c r="DP108" i="13"/>
  <c r="DO108" i="13" s="1"/>
  <c r="CR108" i="13"/>
  <c r="CQ108" i="13" s="1"/>
  <c r="KX110" i="13"/>
  <c r="KZ110" i="13" s="1"/>
  <c r="LA110" i="13" s="1"/>
  <c r="LN110" i="13"/>
  <c r="LF110" i="13"/>
  <c r="LH110" i="13" s="1"/>
  <c r="KP110" i="13"/>
  <c r="KR110" i="13" s="1"/>
  <c r="KS110" i="13" s="1"/>
  <c r="DN60" i="13"/>
  <c r="DM60" i="13" s="1"/>
  <c r="DL60" i="13" s="1"/>
  <c r="LP38" i="13"/>
  <c r="LQ38" i="13" s="1"/>
  <c r="NV38" i="13"/>
  <c r="NQ38" i="13"/>
  <c r="LN55" i="13"/>
  <c r="LF55" i="13"/>
  <c r="LH55" i="13" s="1"/>
  <c r="KP55" i="13"/>
  <c r="KR55" i="13" s="1"/>
  <c r="KS55" i="13" s="1"/>
  <c r="KX55" i="13"/>
  <c r="KZ55" i="13" s="1"/>
  <c r="LA55" i="13" s="1"/>
  <c r="LJ192" i="13"/>
  <c r="LL192" i="13" s="1"/>
  <c r="LM192" i="13" s="1"/>
  <c r="LB192" i="13"/>
  <c r="LD192" i="13" s="1"/>
  <c r="LE192" i="13" s="1"/>
  <c r="LR192" i="13"/>
  <c r="LT192" i="13" s="1"/>
  <c r="LU192" i="13" s="1"/>
  <c r="KT192" i="13"/>
  <c r="KV192" i="13" s="1"/>
  <c r="KW192" i="13" s="1"/>
  <c r="CZ143" i="13"/>
  <c r="CY143" i="13" s="1"/>
  <c r="CX143" i="13" s="1"/>
  <c r="NS14" i="13"/>
  <c r="HS14" i="13"/>
  <c r="NK14" i="13"/>
  <c r="NY14" i="13"/>
  <c r="NW70" i="13"/>
  <c r="NX70" i="13"/>
  <c r="KP199" i="13"/>
  <c r="KR199" i="13" s="1"/>
  <c r="KS199" i="13" s="1"/>
  <c r="LN199" i="13"/>
  <c r="KX199" i="13"/>
  <c r="KZ199" i="13" s="1"/>
  <c r="LA199" i="13" s="1"/>
  <c r="LF199" i="13"/>
  <c r="LH199" i="13" s="1"/>
  <c r="DN59" i="13"/>
  <c r="DM59" i="13" s="1"/>
  <c r="DL59" i="13" s="1"/>
  <c r="NV126" i="13"/>
  <c r="NQ126" i="13"/>
  <c r="LP126" i="13"/>
  <c r="LQ126" i="13" s="1"/>
  <c r="NR126" i="13" s="1"/>
  <c r="DS50" i="13"/>
  <c r="DR50" i="13" s="1"/>
  <c r="DQ50" i="13" s="1"/>
  <c r="NO20" i="13"/>
  <c r="CP20" i="13" s="1"/>
  <c r="CO20" i="13" s="1"/>
  <c r="CN20" i="13" s="1"/>
  <c r="LI20" i="13"/>
  <c r="NU20" i="13"/>
  <c r="KG38" i="13"/>
  <c r="NR38" i="13"/>
  <c r="KG42" i="13"/>
  <c r="NR42" i="13"/>
  <c r="NO29" i="13"/>
  <c r="CP29" i="13" s="1"/>
  <c r="CO29" i="13" s="1"/>
  <c r="CN29" i="13" s="1"/>
  <c r="LI29" i="13"/>
  <c r="NU29" i="13"/>
  <c r="NX108" i="13"/>
  <c r="NW108" i="13"/>
  <c r="AE5" i="141"/>
  <c r="E104" i="13"/>
  <c r="GZ104" i="13"/>
  <c r="HB104" i="13" s="1"/>
  <c r="HC104" i="13" s="1"/>
  <c r="HH104" i="13"/>
  <c r="HJ104" i="13" s="1"/>
  <c r="HK104" i="13" s="1"/>
  <c r="HP104" i="13"/>
  <c r="HX104" i="13"/>
  <c r="HZ104" i="13" s="1"/>
  <c r="KG161" i="13"/>
  <c r="DK198" i="13"/>
  <c r="DJ198" i="13" s="1"/>
  <c r="DI198" i="13" s="1"/>
  <c r="DH198" i="13" s="1"/>
  <c r="DG198" i="13" s="1"/>
  <c r="LB29" i="13"/>
  <c r="LD29" i="13" s="1"/>
  <c r="LE29" i="13" s="1"/>
  <c r="DZ29" i="13" s="1"/>
  <c r="DY29" i="13" s="1"/>
  <c r="LJ29" i="13"/>
  <c r="LL29" i="13" s="1"/>
  <c r="LM29" i="13" s="1"/>
  <c r="CW29" i="13" s="1"/>
  <c r="CV29" i="13" s="1"/>
  <c r="LR29" i="13"/>
  <c r="LT29" i="13" s="1"/>
  <c r="LU29" i="13" s="1"/>
  <c r="DU29" i="13" s="1"/>
  <c r="DT29" i="13" s="1"/>
  <c r="KT29" i="13"/>
  <c r="KV29" i="13" s="1"/>
  <c r="KW29" i="13" s="1"/>
  <c r="DB29" i="13" s="1"/>
  <c r="DA29" i="13" s="1"/>
  <c r="CZ29" i="13" s="1"/>
  <c r="CY29" i="13" s="1"/>
  <c r="CX29" i="13" s="1"/>
  <c r="BZ121" i="13"/>
  <c r="BY121" i="13" s="1"/>
  <c r="BX121" i="13" s="1"/>
  <c r="BW121" i="13" s="1"/>
  <c r="BV121" i="13" s="1"/>
  <c r="BU121" i="13"/>
  <c r="BT121" i="13" s="1"/>
  <c r="BS121" i="13" s="1"/>
  <c r="BR121" i="13" s="1"/>
  <c r="BQ121" i="13" s="1"/>
  <c r="BC121" i="13"/>
  <c r="BB121" i="13" s="1"/>
  <c r="BA121" i="13" s="1"/>
  <c r="AZ121" i="13" s="1"/>
  <c r="AY121" i="13" s="1"/>
  <c r="AX121" i="13"/>
  <c r="AW121" i="13" s="1"/>
  <c r="AV121" i="13" s="1"/>
  <c r="AU121" i="13" s="1"/>
  <c r="AT121" i="13" s="1"/>
  <c r="BP121" i="13"/>
  <c r="BO121" i="13" s="1"/>
  <c r="BN121" i="13" s="1"/>
  <c r="BM121" i="13" s="1"/>
  <c r="BL121" i="13" s="1"/>
  <c r="CE121" i="13"/>
  <c r="CD121" i="13" s="1"/>
  <c r="CC121" i="13" s="1"/>
  <c r="CB121" i="13" s="1"/>
  <c r="CA121" i="13" s="1"/>
  <c r="AS121" i="13"/>
  <c r="AR121" i="13" s="1"/>
  <c r="AQ121" i="13" s="1"/>
  <c r="AP121" i="13" s="1"/>
  <c r="AO121" i="13" s="1"/>
  <c r="AL121" i="13" s="1"/>
  <c r="BH121" i="13"/>
  <c r="BG121" i="13" s="1"/>
  <c r="BF121" i="13" s="1"/>
  <c r="BE121" i="13" s="1"/>
  <c r="BD121" i="13" s="1"/>
  <c r="CM204" i="13"/>
  <c r="CL204" i="13" s="1"/>
  <c r="CK204" i="13" s="1"/>
  <c r="CJ204" i="13" s="1"/>
  <c r="CI204" i="13" s="1"/>
  <c r="NQ139" i="13"/>
  <c r="LP139" i="13"/>
  <c r="LQ139" i="13" s="1"/>
  <c r="NR139" i="13" s="1"/>
  <c r="NV139" i="13"/>
  <c r="AX61" i="13"/>
  <c r="AW61" i="13" s="1"/>
  <c r="AV61" i="13" s="1"/>
  <c r="AU61" i="13" s="1"/>
  <c r="AT61" i="13" s="1"/>
  <c r="BP61" i="13"/>
  <c r="BO61" i="13" s="1"/>
  <c r="BN61" i="13" s="1"/>
  <c r="BM61" i="13" s="1"/>
  <c r="BL61" i="13" s="1"/>
  <c r="AS61" i="13"/>
  <c r="AR61" i="13" s="1"/>
  <c r="AQ61" i="13" s="1"/>
  <c r="AP61" i="13" s="1"/>
  <c r="AO61" i="13" s="1"/>
  <c r="AL61" i="13" s="1"/>
  <c r="CE61" i="13"/>
  <c r="CD61" i="13" s="1"/>
  <c r="CC61" i="13" s="1"/>
  <c r="CB61" i="13" s="1"/>
  <c r="CA61" i="13" s="1"/>
  <c r="BH61" i="13"/>
  <c r="BG61" i="13" s="1"/>
  <c r="BF61" i="13" s="1"/>
  <c r="BE61" i="13" s="1"/>
  <c r="BD61" i="13" s="1"/>
  <c r="BZ61" i="13"/>
  <c r="BY61" i="13" s="1"/>
  <c r="BX61" i="13" s="1"/>
  <c r="BW61" i="13" s="1"/>
  <c r="BV61" i="13" s="1"/>
  <c r="BC61" i="13"/>
  <c r="BB61" i="13" s="1"/>
  <c r="BA61" i="13" s="1"/>
  <c r="AZ61" i="13" s="1"/>
  <c r="AY61" i="13" s="1"/>
  <c r="BU61" i="13"/>
  <c r="BT61" i="13" s="1"/>
  <c r="BS61" i="13" s="1"/>
  <c r="BR61" i="13" s="1"/>
  <c r="BQ61" i="13" s="1"/>
  <c r="NU157" i="13"/>
  <c r="NO157" i="13"/>
  <c r="LI157" i="13"/>
  <c r="NP157" i="13" s="1"/>
  <c r="NV124" i="13"/>
  <c r="NQ124" i="13"/>
  <c r="LP124" i="13"/>
  <c r="LQ124" i="13" s="1"/>
  <c r="NR124" i="13" s="1"/>
  <c r="LF188" i="13"/>
  <c r="LH188" i="13" s="1"/>
  <c r="LN188" i="13"/>
  <c r="KX188" i="13"/>
  <c r="KZ188" i="13" s="1"/>
  <c r="LA188" i="13" s="1"/>
  <c r="KP188" i="13"/>
  <c r="KR188" i="13" s="1"/>
  <c r="KS188" i="13" s="1"/>
  <c r="BU119" i="13"/>
  <c r="BT119" i="13" s="1"/>
  <c r="BS119" i="13" s="1"/>
  <c r="BR119" i="13" s="1"/>
  <c r="BQ119" i="13" s="1"/>
  <c r="AX119" i="13"/>
  <c r="AW119" i="13" s="1"/>
  <c r="AV119" i="13" s="1"/>
  <c r="AU119" i="13" s="1"/>
  <c r="AT119" i="13" s="1"/>
  <c r="CE119" i="13"/>
  <c r="CD119" i="13" s="1"/>
  <c r="CC119" i="13" s="1"/>
  <c r="CB119" i="13" s="1"/>
  <c r="CA119" i="13" s="1"/>
  <c r="BP119" i="13"/>
  <c r="BO119" i="13" s="1"/>
  <c r="BN119" i="13" s="1"/>
  <c r="BM119" i="13" s="1"/>
  <c r="BL119" i="13" s="1"/>
  <c r="AS119" i="13"/>
  <c r="AR119" i="13" s="1"/>
  <c r="AQ119" i="13" s="1"/>
  <c r="AP119" i="13" s="1"/>
  <c r="AO119" i="13" s="1"/>
  <c r="AL119" i="13" s="1"/>
  <c r="BH119" i="13"/>
  <c r="BG119" i="13" s="1"/>
  <c r="BF119" i="13" s="1"/>
  <c r="BE119" i="13" s="1"/>
  <c r="BD119" i="13" s="1"/>
  <c r="BZ119" i="13"/>
  <c r="BY119" i="13" s="1"/>
  <c r="BX119" i="13" s="1"/>
  <c r="BW119" i="13" s="1"/>
  <c r="BV119" i="13" s="1"/>
  <c r="BC119" i="13"/>
  <c r="BB119" i="13" s="1"/>
  <c r="BA119" i="13" s="1"/>
  <c r="AZ119" i="13" s="1"/>
  <c r="AY119" i="13" s="1"/>
  <c r="AX88" i="13"/>
  <c r="AW88" i="13" s="1"/>
  <c r="AV88" i="13" s="1"/>
  <c r="AU88" i="13" s="1"/>
  <c r="AT88" i="13" s="1"/>
  <c r="BP88" i="13"/>
  <c r="BO88" i="13" s="1"/>
  <c r="BN88" i="13" s="1"/>
  <c r="BM88" i="13" s="1"/>
  <c r="BL88" i="13" s="1"/>
  <c r="CE88" i="13"/>
  <c r="CD88" i="13" s="1"/>
  <c r="CC88" i="13" s="1"/>
  <c r="CB88" i="13" s="1"/>
  <c r="CA88" i="13" s="1"/>
  <c r="AS88" i="13"/>
  <c r="AR88" i="13" s="1"/>
  <c r="AQ88" i="13" s="1"/>
  <c r="AP88" i="13" s="1"/>
  <c r="AO88" i="13" s="1"/>
  <c r="AL88" i="13" s="1"/>
  <c r="BH88" i="13"/>
  <c r="BG88" i="13" s="1"/>
  <c r="BF88" i="13" s="1"/>
  <c r="BE88" i="13" s="1"/>
  <c r="BD88" i="13" s="1"/>
  <c r="BZ88" i="13"/>
  <c r="BY88" i="13" s="1"/>
  <c r="BX88" i="13" s="1"/>
  <c r="BW88" i="13" s="1"/>
  <c r="BV88" i="13" s="1"/>
  <c r="BC88" i="13"/>
  <c r="BB88" i="13" s="1"/>
  <c r="BA88" i="13" s="1"/>
  <c r="AZ88" i="13" s="1"/>
  <c r="AY88" i="13" s="1"/>
  <c r="BU88" i="13"/>
  <c r="BT88" i="13" s="1"/>
  <c r="BS88" i="13" s="1"/>
  <c r="BR88" i="13" s="1"/>
  <c r="BQ88" i="13" s="1"/>
  <c r="NO141" i="13"/>
  <c r="LI141" i="13"/>
  <c r="NP141" i="13" s="1"/>
  <c r="NU141" i="13"/>
  <c r="NV111" i="13"/>
  <c r="NQ111" i="13"/>
  <c r="LP111" i="13"/>
  <c r="LQ111" i="13" s="1"/>
  <c r="CE111" i="13"/>
  <c r="CD111" i="13" s="1"/>
  <c r="CC111" i="13" s="1"/>
  <c r="CB111" i="13" s="1"/>
  <c r="CA111" i="13" s="1"/>
  <c r="AS111" i="13"/>
  <c r="AR111" i="13" s="1"/>
  <c r="AQ111" i="13" s="1"/>
  <c r="AP111" i="13" s="1"/>
  <c r="AO111" i="13" s="1"/>
  <c r="AL111" i="13" s="1"/>
  <c r="BH111" i="13"/>
  <c r="BG111" i="13" s="1"/>
  <c r="BF111" i="13" s="1"/>
  <c r="BE111" i="13" s="1"/>
  <c r="BD111" i="13" s="1"/>
  <c r="BZ111" i="13"/>
  <c r="BY111" i="13" s="1"/>
  <c r="BX111" i="13" s="1"/>
  <c r="BW111" i="13" s="1"/>
  <c r="BV111" i="13" s="1"/>
  <c r="BC111" i="13"/>
  <c r="BB111" i="13" s="1"/>
  <c r="BA111" i="13" s="1"/>
  <c r="AZ111" i="13" s="1"/>
  <c r="AY111" i="13" s="1"/>
  <c r="BU111" i="13"/>
  <c r="BT111" i="13" s="1"/>
  <c r="BS111" i="13" s="1"/>
  <c r="BR111" i="13" s="1"/>
  <c r="BQ111" i="13" s="1"/>
  <c r="AX111" i="13"/>
  <c r="AW111" i="13" s="1"/>
  <c r="AV111" i="13" s="1"/>
  <c r="AU111" i="13" s="1"/>
  <c r="AT111" i="13" s="1"/>
  <c r="BP111" i="13"/>
  <c r="BO111" i="13" s="1"/>
  <c r="BN111" i="13" s="1"/>
  <c r="BM111" i="13" s="1"/>
  <c r="BL111" i="13" s="1"/>
  <c r="LF187" i="13"/>
  <c r="LH187" i="13" s="1"/>
  <c r="KP187" i="13"/>
  <c r="KR187" i="13" s="1"/>
  <c r="KS187" i="13" s="1"/>
  <c r="KX187" i="13"/>
  <c r="KZ187" i="13" s="1"/>
  <c r="LA187" i="13" s="1"/>
  <c r="LN187" i="13"/>
  <c r="NU118" i="13"/>
  <c r="NO118" i="13"/>
  <c r="LI118" i="13"/>
  <c r="NP118" i="13" s="1"/>
  <c r="KG145" i="13"/>
  <c r="NR145" i="13"/>
  <c r="NI146" i="13"/>
  <c r="KL146" i="13"/>
  <c r="KN146" i="13" s="1"/>
  <c r="KO146" i="13" s="1"/>
  <c r="DP104" i="13"/>
  <c r="DO104" i="13" s="1"/>
  <c r="DN104" i="13" s="1"/>
  <c r="DK104" i="13"/>
  <c r="DJ104" i="13" s="1"/>
  <c r="DI104" i="13" s="1"/>
  <c r="CR104" i="13"/>
  <c r="CQ104" i="13" s="1"/>
  <c r="CP104" i="13" s="1"/>
  <c r="NR111" i="13"/>
  <c r="NV72" i="13"/>
  <c r="NQ72" i="13"/>
  <c r="LP72" i="13"/>
  <c r="LQ72" i="13" s="1"/>
  <c r="NR72" i="13" s="1"/>
  <c r="NI196" i="13"/>
  <c r="KL196" i="13"/>
  <c r="KN196" i="13" s="1"/>
  <c r="KO196" i="13" s="1"/>
  <c r="CM200" i="13"/>
  <c r="CL200" i="13" s="1"/>
  <c r="CK200" i="13" s="1"/>
  <c r="CJ200" i="13" s="1"/>
  <c r="CI200" i="13" s="1"/>
  <c r="BU55" i="13"/>
  <c r="BT55" i="13" s="1"/>
  <c r="BS55" i="13" s="1"/>
  <c r="BR55" i="13" s="1"/>
  <c r="BQ55" i="13" s="1"/>
  <c r="AX55" i="13"/>
  <c r="AW55" i="13" s="1"/>
  <c r="AV55" i="13" s="1"/>
  <c r="AU55" i="13" s="1"/>
  <c r="AT55" i="13" s="1"/>
  <c r="BP55" i="13"/>
  <c r="BO55" i="13" s="1"/>
  <c r="BN55" i="13" s="1"/>
  <c r="BM55" i="13" s="1"/>
  <c r="BL55" i="13" s="1"/>
  <c r="CE55" i="13"/>
  <c r="CD55" i="13" s="1"/>
  <c r="CC55" i="13" s="1"/>
  <c r="CB55" i="13" s="1"/>
  <c r="CA55" i="13" s="1"/>
  <c r="BC55" i="13"/>
  <c r="BB55" i="13" s="1"/>
  <c r="BA55" i="13" s="1"/>
  <c r="AZ55" i="13" s="1"/>
  <c r="AY55" i="13" s="1"/>
  <c r="AS55" i="13"/>
  <c r="AR55" i="13" s="1"/>
  <c r="AQ55" i="13" s="1"/>
  <c r="AP55" i="13" s="1"/>
  <c r="AO55" i="13" s="1"/>
  <c r="AL55" i="13" s="1"/>
  <c r="BH55" i="13"/>
  <c r="BG55" i="13" s="1"/>
  <c r="BF55" i="13" s="1"/>
  <c r="BE55" i="13" s="1"/>
  <c r="BD55" i="13" s="1"/>
  <c r="BZ55" i="13"/>
  <c r="BY55" i="13" s="1"/>
  <c r="BX55" i="13" s="1"/>
  <c r="BW55" i="13" s="1"/>
  <c r="BV55" i="13" s="1"/>
  <c r="JO86" i="13"/>
  <c r="KF86" i="13"/>
  <c r="NO42" i="13"/>
  <c r="LI42" i="13"/>
  <c r="NP42" i="13" s="1"/>
  <c r="NU42" i="13"/>
  <c r="CR14" i="13"/>
  <c r="CQ14" i="13" s="1"/>
  <c r="AX14" i="13"/>
  <c r="AW14" i="13" s="1"/>
  <c r="AV14" i="13" s="1"/>
  <c r="AU14" i="13" s="1"/>
  <c r="AT14" i="13" s="1"/>
  <c r="KG192" i="13"/>
  <c r="NR192" i="13"/>
  <c r="DK76" i="13"/>
  <c r="DJ76" i="13" s="1"/>
  <c r="DI76" i="13" s="1"/>
  <c r="DH76" i="13" s="1"/>
  <c r="DG76" i="13" s="1"/>
  <c r="CE120" i="13"/>
  <c r="CD120" i="13" s="1"/>
  <c r="CC120" i="13" s="1"/>
  <c r="CB120" i="13" s="1"/>
  <c r="CA120" i="13" s="1"/>
  <c r="BU120" i="13"/>
  <c r="BT120" i="13" s="1"/>
  <c r="BS120" i="13" s="1"/>
  <c r="BR120" i="13" s="1"/>
  <c r="BQ120" i="13" s="1"/>
  <c r="AX120" i="13"/>
  <c r="AW120" i="13" s="1"/>
  <c r="AV120" i="13" s="1"/>
  <c r="AU120" i="13" s="1"/>
  <c r="AT120" i="13" s="1"/>
  <c r="BP120" i="13"/>
  <c r="BO120" i="13" s="1"/>
  <c r="BN120" i="13" s="1"/>
  <c r="BM120" i="13" s="1"/>
  <c r="BL120" i="13" s="1"/>
  <c r="BH120" i="13"/>
  <c r="BG120" i="13" s="1"/>
  <c r="BF120" i="13" s="1"/>
  <c r="BE120" i="13" s="1"/>
  <c r="BD120" i="13" s="1"/>
  <c r="BZ120" i="13"/>
  <c r="BY120" i="13" s="1"/>
  <c r="BX120" i="13" s="1"/>
  <c r="BW120" i="13" s="1"/>
  <c r="BV120" i="13" s="1"/>
  <c r="BC120" i="13"/>
  <c r="BB120" i="13" s="1"/>
  <c r="BA120" i="13" s="1"/>
  <c r="AZ120" i="13" s="1"/>
  <c r="AY120" i="13" s="1"/>
  <c r="AS120" i="13"/>
  <c r="AR120" i="13" s="1"/>
  <c r="AQ120" i="13" s="1"/>
  <c r="AP120" i="13" s="1"/>
  <c r="AO120" i="13" s="1"/>
  <c r="AL120" i="13" s="1"/>
  <c r="CZ59" i="13"/>
  <c r="CY59" i="13" s="1"/>
  <c r="CX59" i="13" s="1"/>
  <c r="BZ138" i="13"/>
  <c r="BY138" i="13" s="1"/>
  <c r="BX138" i="13" s="1"/>
  <c r="BW138" i="13" s="1"/>
  <c r="BV138" i="13" s="1"/>
  <c r="BU138" i="13"/>
  <c r="BT138" i="13" s="1"/>
  <c r="BS138" i="13" s="1"/>
  <c r="BR138" i="13" s="1"/>
  <c r="BQ138" i="13" s="1"/>
  <c r="AX138" i="13"/>
  <c r="AW138" i="13" s="1"/>
  <c r="AV138" i="13" s="1"/>
  <c r="AU138" i="13" s="1"/>
  <c r="AT138" i="13" s="1"/>
  <c r="BP138" i="13"/>
  <c r="BO138" i="13" s="1"/>
  <c r="BN138" i="13" s="1"/>
  <c r="BM138" i="13" s="1"/>
  <c r="BL138" i="13" s="1"/>
  <c r="CE138" i="13"/>
  <c r="CD138" i="13" s="1"/>
  <c r="CC138" i="13" s="1"/>
  <c r="CB138" i="13" s="1"/>
  <c r="CA138" i="13" s="1"/>
  <c r="AS138" i="13"/>
  <c r="AR138" i="13" s="1"/>
  <c r="AQ138" i="13" s="1"/>
  <c r="AP138" i="13" s="1"/>
  <c r="AO138" i="13" s="1"/>
  <c r="AL138" i="13" s="1"/>
  <c r="BC138" i="13"/>
  <c r="BB138" i="13" s="1"/>
  <c r="BA138" i="13" s="1"/>
  <c r="AZ138" i="13" s="1"/>
  <c r="AY138" i="13" s="1"/>
  <c r="BH138" i="13"/>
  <c r="BG138" i="13" s="1"/>
  <c r="BF138" i="13" s="1"/>
  <c r="BE138" i="13" s="1"/>
  <c r="BD138" i="13" s="1"/>
  <c r="CM106" i="13"/>
  <c r="CL106" i="13" s="1"/>
  <c r="CK106" i="13" s="1"/>
  <c r="CJ106" i="13" s="1"/>
  <c r="CI106" i="13" s="1"/>
  <c r="CU50" i="13"/>
  <c r="CT50" i="13" s="1"/>
  <c r="CS50" i="13" s="1"/>
  <c r="NR175" i="13"/>
  <c r="LP177" i="13"/>
  <c r="LQ177" i="13" s="1"/>
  <c r="NR177" i="13" s="1"/>
  <c r="NV177" i="13"/>
  <c r="NQ177" i="13"/>
  <c r="KG41" i="13"/>
  <c r="NR41" i="13"/>
  <c r="NP28" i="13"/>
  <c r="CM28" i="13"/>
  <c r="CL28" i="13" s="1"/>
  <c r="CK28" i="13" s="1"/>
  <c r="CJ28" i="13" s="1"/>
  <c r="CI28" i="13" s="1"/>
  <c r="CM198" i="13"/>
  <c r="CL198" i="13" s="1"/>
  <c r="CK198" i="13" s="1"/>
  <c r="CJ198" i="13" s="1"/>
  <c r="CI198" i="13" s="1"/>
  <c r="JO190" i="13"/>
  <c r="KF190" i="13"/>
  <c r="LJ15" i="13"/>
  <c r="LL15" i="13" s="1"/>
  <c r="LM15" i="13" s="1"/>
  <c r="CW15" i="13" s="1"/>
  <c r="CV15" i="13" s="1"/>
  <c r="KT15" i="13"/>
  <c r="KV15" i="13" s="1"/>
  <c r="KW15" i="13" s="1"/>
  <c r="DB15" i="13" s="1"/>
  <c r="DA15" i="13" s="1"/>
  <c r="CZ15" i="13" s="1"/>
  <c r="CY15" i="13" s="1"/>
  <c r="CX15" i="13" s="1"/>
  <c r="LB15" i="13"/>
  <c r="LD15" i="13" s="1"/>
  <c r="LE15" i="13" s="1"/>
  <c r="DZ15" i="13" s="1"/>
  <c r="DY15" i="13" s="1"/>
  <c r="LR15" i="13"/>
  <c r="LT15" i="13" s="1"/>
  <c r="LU15" i="13" s="1"/>
  <c r="DU15" i="13" s="1"/>
  <c r="DT15" i="13" s="1"/>
  <c r="KG84" i="13"/>
  <c r="NX103" i="13"/>
  <c r="NW103" i="13"/>
  <c r="DK128" i="13"/>
  <c r="DJ128" i="13" s="1"/>
  <c r="DI128" i="13" s="1"/>
  <c r="DH128" i="13" s="1"/>
  <c r="DG128" i="13" s="1"/>
  <c r="CM128" i="13"/>
  <c r="CL128" i="13" s="1"/>
  <c r="CK128" i="13" s="1"/>
  <c r="CJ128" i="13" s="1"/>
  <c r="CI128" i="13" s="1"/>
  <c r="DU128" i="13"/>
  <c r="DT128" i="13" s="1"/>
  <c r="DS128" i="13" s="1"/>
  <c r="DR128" i="13" s="1"/>
  <c r="DQ128" i="13" s="1"/>
  <c r="DZ128" i="13"/>
  <c r="DY128" i="13" s="1"/>
  <c r="DX128" i="13" s="1"/>
  <c r="DW128" i="13" s="1"/>
  <c r="DV128" i="13" s="1"/>
  <c r="CR128" i="13"/>
  <c r="CQ128" i="13" s="1"/>
  <c r="CP128" i="13" s="1"/>
  <c r="CO128" i="13" s="1"/>
  <c r="CN128" i="13" s="1"/>
  <c r="DB128" i="13"/>
  <c r="DA128" i="13" s="1"/>
  <c r="CZ128" i="13" s="1"/>
  <c r="CY128" i="13" s="1"/>
  <c r="CX128" i="13" s="1"/>
  <c r="DP128" i="13"/>
  <c r="DO128" i="13" s="1"/>
  <c r="DN128" i="13" s="1"/>
  <c r="DM128" i="13" s="1"/>
  <c r="DL128" i="13" s="1"/>
  <c r="CW128" i="13"/>
  <c r="CV128" i="13" s="1"/>
  <c r="CU128" i="13" s="1"/>
  <c r="CT128" i="13" s="1"/>
  <c r="CS128" i="13" s="1"/>
  <c r="NO139" i="13"/>
  <c r="LI139" i="13"/>
  <c r="NP139" i="13" s="1"/>
  <c r="NU139" i="13"/>
  <c r="KT114" i="13"/>
  <c r="KV114" i="13" s="1"/>
  <c r="KW114" i="13" s="1"/>
  <c r="LJ114" i="13"/>
  <c r="LL114" i="13" s="1"/>
  <c r="LM114" i="13" s="1"/>
  <c r="LR114" i="13"/>
  <c r="LT114" i="13" s="1"/>
  <c r="LU114" i="13" s="1"/>
  <c r="LB114" i="13"/>
  <c r="LD114" i="13" s="1"/>
  <c r="LE114" i="13" s="1"/>
  <c r="NX101" i="13"/>
  <c r="NW101" i="13"/>
  <c r="NQ157" i="13"/>
  <c r="LP157" i="13"/>
  <c r="LQ157" i="13" s="1"/>
  <c r="DK157" i="13" s="1"/>
  <c r="DJ157" i="13" s="1"/>
  <c r="DI157" i="13" s="1"/>
  <c r="DH157" i="13" s="1"/>
  <c r="DG157" i="13" s="1"/>
  <c r="NV157" i="13"/>
  <c r="DX171" i="13"/>
  <c r="DW171" i="13" s="1"/>
  <c r="DV171" i="13" s="1"/>
  <c r="CP52" i="13"/>
  <c r="CO52" i="13" s="1"/>
  <c r="CN52" i="13" s="1"/>
  <c r="NV151" i="13"/>
  <c r="NQ151" i="13"/>
  <c r="LP151" i="13"/>
  <c r="LQ151" i="13" s="1"/>
  <c r="NR151" i="13" s="1"/>
  <c r="NO78" i="13"/>
  <c r="LI78" i="13"/>
  <c r="NP78" i="13" s="1"/>
  <c r="NU78" i="13"/>
  <c r="NI187" i="13"/>
  <c r="KL187" i="13"/>
  <c r="KN187" i="13" s="1"/>
  <c r="KO187" i="13" s="1"/>
  <c r="AT3" i="13"/>
  <c r="AV3" i="13" s="1"/>
  <c r="BZ144" i="13"/>
  <c r="BY144" i="13" s="1"/>
  <c r="BX144" i="13" s="1"/>
  <c r="BW144" i="13" s="1"/>
  <c r="BV144" i="13" s="1"/>
  <c r="BC144" i="13"/>
  <c r="BB144" i="13" s="1"/>
  <c r="BA144" i="13" s="1"/>
  <c r="AZ144" i="13" s="1"/>
  <c r="AY144" i="13" s="1"/>
  <c r="BU144" i="13"/>
  <c r="BT144" i="13" s="1"/>
  <c r="BS144" i="13" s="1"/>
  <c r="BR144" i="13" s="1"/>
  <c r="BQ144" i="13" s="1"/>
  <c r="AX144" i="13"/>
  <c r="AW144" i="13" s="1"/>
  <c r="AV144" i="13" s="1"/>
  <c r="AU144" i="13" s="1"/>
  <c r="AT144" i="13" s="1"/>
  <c r="CE144" i="13"/>
  <c r="CD144" i="13" s="1"/>
  <c r="CC144" i="13" s="1"/>
  <c r="CB144" i="13" s="1"/>
  <c r="CA144" i="13" s="1"/>
  <c r="AS144" i="13"/>
  <c r="AR144" i="13" s="1"/>
  <c r="AQ144" i="13" s="1"/>
  <c r="AP144" i="13" s="1"/>
  <c r="AO144" i="13" s="1"/>
  <c r="AL144" i="13" s="1"/>
  <c r="BP144" i="13"/>
  <c r="BO144" i="13" s="1"/>
  <c r="BN144" i="13" s="1"/>
  <c r="BM144" i="13" s="1"/>
  <c r="BL144" i="13" s="1"/>
  <c r="BH144" i="13"/>
  <c r="BG144" i="13" s="1"/>
  <c r="BF144" i="13" s="1"/>
  <c r="BE144" i="13" s="1"/>
  <c r="BD144" i="13" s="1"/>
  <c r="LR145" i="13"/>
  <c r="LT145" i="13" s="1"/>
  <c r="LU145" i="13" s="1"/>
  <c r="LB145" i="13"/>
  <c r="LD145" i="13" s="1"/>
  <c r="LE145" i="13" s="1"/>
  <c r="LJ145" i="13"/>
  <c r="LL145" i="13" s="1"/>
  <c r="LM145" i="13" s="1"/>
  <c r="KT145" i="13"/>
  <c r="KV145" i="13" s="1"/>
  <c r="KW145" i="13" s="1"/>
  <c r="LJ16" i="13"/>
  <c r="LL16" i="13" s="1"/>
  <c r="LM16" i="13" s="1"/>
  <c r="CW16" i="13" s="1"/>
  <c r="CV16" i="13" s="1"/>
  <c r="CU16" i="13" s="1"/>
  <c r="CT16" i="13" s="1"/>
  <c r="CS16" i="13" s="1"/>
  <c r="LB16" i="13"/>
  <c r="LD16" i="13" s="1"/>
  <c r="LE16" i="13" s="1"/>
  <c r="DZ16" i="13" s="1"/>
  <c r="DY16" i="13" s="1"/>
  <c r="DX16" i="13" s="1"/>
  <c r="DW16" i="13" s="1"/>
  <c r="DV16" i="13" s="1"/>
  <c r="KT16" i="13"/>
  <c r="KV16" i="13" s="1"/>
  <c r="KW16" i="13" s="1"/>
  <c r="DB16" i="13" s="1"/>
  <c r="DA16" i="13" s="1"/>
  <c r="CZ16" i="13" s="1"/>
  <c r="CY16" i="13" s="1"/>
  <c r="CX16" i="13" s="1"/>
  <c r="LR16" i="13"/>
  <c r="LT16" i="13" s="1"/>
  <c r="LU16" i="13" s="1"/>
  <c r="DU16" i="13" s="1"/>
  <c r="DT16" i="13" s="1"/>
  <c r="DS16" i="13" s="1"/>
  <c r="DR16" i="13" s="1"/>
  <c r="DQ16" i="13" s="1"/>
  <c r="JO120" i="13"/>
  <c r="KF120" i="13"/>
  <c r="CM102" i="13"/>
  <c r="CL102" i="13" s="1"/>
  <c r="DK102" i="13"/>
  <c r="DJ102" i="13" s="1"/>
  <c r="DI102" i="13" s="1"/>
  <c r="DH102" i="13" s="1"/>
  <c r="DG102" i="13" s="1"/>
  <c r="DP102" i="13"/>
  <c r="DO102" i="13" s="1"/>
  <c r="DN102" i="13" s="1"/>
  <c r="DM102" i="13" s="1"/>
  <c r="DL102" i="13" s="1"/>
  <c r="CR102" i="13"/>
  <c r="CQ102" i="13" s="1"/>
  <c r="LR71" i="13"/>
  <c r="LT71" i="13" s="1"/>
  <c r="LU71" i="13" s="1"/>
  <c r="LJ71" i="13"/>
  <c r="LL71" i="13" s="1"/>
  <c r="LM71" i="13" s="1"/>
  <c r="LB71" i="13"/>
  <c r="LD71" i="13" s="1"/>
  <c r="LE71" i="13" s="1"/>
  <c r="KT71" i="13"/>
  <c r="KV71" i="13" s="1"/>
  <c r="KW71" i="13" s="1"/>
  <c r="NW47" i="13"/>
  <c r="NX47" i="13"/>
  <c r="CE136" i="13"/>
  <c r="CD136" i="13" s="1"/>
  <c r="CC136" i="13" s="1"/>
  <c r="CB136" i="13" s="1"/>
  <c r="CA136" i="13" s="1"/>
  <c r="BH136" i="13"/>
  <c r="BG136" i="13" s="1"/>
  <c r="BF136" i="13" s="1"/>
  <c r="BE136" i="13" s="1"/>
  <c r="BD136" i="13" s="1"/>
  <c r="BZ136" i="13"/>
  <c r="BY136" i="13" s="1"/>
  <c r="BX136" i="13" s="1"/>
  <c r="BW136" i="13" s="1"/>
  <c r="BV136" i="13" s="1"/>
  <c r="BC136" i="13"/>
  <c r="BB136" i="13" s="1"/>
  <c r="BA136" i="13" s="1"/>
  <c r="AZ136" i="13" s="1"/>
  <c r="AY136" i="13" s="1"/>
  <c r="BU136" i="13"/>
  <c r="BT136" i="13" s="1"/>
  <c r="BS136" i="13" s="1"/>
  <c r="BR136" i="13" s="1"/>
  <c r="BQ136" i="13" s="1"/>
  <c r="BP136" i="13"/>
  <c r="BO136" i="13" s="1"/>
  <c r="BN136" i="13" s="1"/>
  <c r="BM136" i="13" s="1"/>
  <c r="BL136" i="13" s="1"/>
  <c r="AS136" i="13"/>
  <c r="AR136" i="13" s="1"/>
  <c r="AQ136" i="13" s="1"/>
  <c r="AP136" i="13" s="1"/>
  <c r="AO136" i="13" s="1"/>
  <c r="AL136" i="13" s="1"/>
  <c r="AX136" i="13"/>
  <c r="AW136" i="13" s="1"/>
  <c r="AV136" i="13" s="1"/>
  <c r="AU136" i="13" s="1"/>
  <c r="AT136" i="13" s="1"/>
  <c r="NU69" i="13"/>
  <c r="NO69" i="13"/>
  <c r="LI69" i="13"/>
  <c r="NP69" i="13" s="1"/>
  <c r="NX113" i="13"/>
  <c r="NW113" i="13"/>
  <c r="NX186" i="13"/>
  <c r="NW186" i="13"/>
  <c r="NX107" i="13"/>
  <c r="NW107" i="13"/>
  <c r="DK111" i="13"/>
  <c r="DJ111" i="13" s="1"/>
  <c r="DI111" i="13" s="1"/>
  <c r="DH111" i="13" s="1"/>
  <c r="DG111" i="13" s="1"/>
  <c r="DP111" i="13"/>
  <c r="DO111" i="13" s="1"/>
  <c r="DN111" i="13" s="1"/>
  <c r="DM111" i="13" s="1"/>
  <c r="DL111" i="13" s="1"/>
  <c r="CR111" i="13"/>
  <c r="CQ111" i="13" s="1"/>
  <c r="KG71" i="13"/>
  <c r="NR71" i="13"/>
  <c r="LI37" i="13"/>
  <c r="NP37" i="13" s="1"/>
  <c r="NU37" i="13"/>
  <c r="NO37" i="13"/>
  <c r="NI86" i="13"/>
  <c r="KL86" i="13"/>
  <c r="KN86" i="13" s="1"/>
  <c r="KO86" i="13" s="1"/>
  <c r="CR177" i="13"/>
  <c r="CQ177" i="13" s="1"/>
  <c r="DP177" i="13"/>
  <c r="DO177" i="13" s="1"/>
  <c r="DN177" i="13" s="1"/>
  <c r="DM177" i="13" s="1"/>
  <c r="DL177" i="13" s="1"/>
  <c r="JO132" i="13"/>
  <c r="KF132" i="13"/>
  <c r="DN143" i="13"/>
  <c r="DM143" i="13" s="1"/>
  <c r="DL143" i="13" s="1"/>
  <c r="BS14" i="13"/>
  <c r="BR14" i="13" s="1"/>
  <c r="BQ14" i="13" s="1"/>
  <c r="LI161" i="13"/>
  <c r="NP161" i="13" s="1"/>
  <c r="NU161" i="13"/>
  <c r="NO161" i="13"/>
  <c r="CM76" i="13"/>
  <c r="CL76" i="13" s="1"/>
  <c r="CK76" i="13" s="1"/>
  <c r="CJ76" i="13" s="1"/>
  <c r="CI76" i="13" s="1"/>
  <c r="DX59" i="13"/>
  <c r="DW59" i="13" s="1"/>
  <c r="DV59" i="13" s="1"/>
  <c r="CZ50" i="13"/>
  <c r="CY50" i="13" s="1"/>
  <c r="CX50" i="13" s="1"/>
  <c r="DX137" i="13"/>
  <c r="DW137" i="13" s="1"/>
  <c r="DV137" i="13" s="1"/>
  <c r="DK91" i="13"/>
  <c r="DJ91" i="13" s="1"/>
  <c r="DI91" i="13" s="1"/>
  <c r="DH91" i="13" s="1"/>
  <c r="DG91" i="13" s="1"/>
  <c r="DP181" i="13"/>
  <c r="DO181" i="13" s="1"/>
  <c r="CW181" i="13"/>
  <c r="CV181" i="13" s="1"/>
  <c r="CR181" i="13"/>
  <c r="CQ181" i="13" s="1"/>
  <c r="DU181" i="13"/>
  <c r="DT181" i="13" s="1"/>
  <c r="CM116" i="13"/>
  <c r="CL116" i="13" s="1"/>
  <c r="CK116" i="13" s="1"/>
  <c r="CJ116" i="13" s="1"/>
  <c r="CI116" i="13" s="1"/>
  <c r="JO184" i="13"/>
  <c r="KF184" i="13"/>
  <c r="LI77" i="13"/>
  <c r="NP77" i="13" s="1"/>
  <c r="NU77" i="13"/>
  <c r="NO77" i="13"/>
  <c r="CM189" i="13"/>
  <c r="CL189" i="13" s="1"/>
  <c r="CK189" i="13" s="1"/>
  <c r="CJ189" i="13" s="1"/>
  <c r="CI189" i="13" s="1"/>
  <c r="CM194" i="13"/>
  <c r="CL194" i="13" s="1"/>
  <c r="CK194" i="13" s="1"/>
  <c r="CJ194" i="13" s="1"/>
  <c r="CI194" i="13" s="1"/>
  <c r="CP198" i="13"/>
  <c r="CO198" i="13" s="1"/>
  <c r="CN198" i="13" s="1"/>
  <c r="NI190" i="13"/>
  <c r="KL190" i="13"/>
  <c r="KN190" i="13" s="1"/>
  <c r="KO190" i="13" s="1"/>
  <c r="DP202" i="13"/>
  <c r="DO202" i="13" s="1"/>
  <c r="CR202" i="13"/>
  <c r="CQ202" i="13" s="1"/>
  <c r="DZ103" i="13"/>
  <c r="DY103" i="13" s="1"/>
  <c r="DB103" i="13"/>
  <c r="DA103" i="13" s="1"/>
  <c r="CZ103" i="13" s="1"/>
  <c r="CY103" i="13" s="1"/>
  <c r="CX103" i="13" s="1"/>
  <c r="CW103" i="13"/>
  <c r="CV103" i="13" s="1"/>
  <c r="CU103" i="13" s="1"/>
  <c r="CT103" i="13" s="1"/>
  <c r="CS103" i="13" s="1"/>
  <c r="DU103" i="13"/>
  <c r="DT103" i="13" s="1"/>
  <c r="CM103" i="13"/>
  <c r="CL103" i="13" s="1"/>
  <c r="CK103" i="13" s="1"/>
  <c r="CJ103" i="13" s="1"/>
  <c r="CI103" i="13" s="1"/>
  <c r="DK103" i="13"/>
  <c r="DJ103" i="13" s="1"/>
  <c r="DP103" i="13"/>
  <c r="DO103" i="13" s="1"/>
  <c r="CR103" i="13"/>
  <c r="CQ103" i="13" s="1"/>
  <c r="CP103" i="13" s="1"/>
  <c r="CO103" i="13" s="1"/>
  <c r="CN103" i="13" s="1"/>
  <c r="NV123" i="13"/>
  <c r="NQ123" i="13"/>
  <c r="LP123" i="13"/>
  <c r="LQ123" i="13" s="1"/>
  <c r="NW191" i="13"/>
  <c r="NX191" i="13"/>
  <c r="DK53" i="13"/>
  <c r="DJ53" i="13" s="1"/>
  <c r="DI53" i="13" s="1"/>
  <c r="DH53" i="13" s="1"/>
  <c r="DG53" i="13" s="1"/>
  <c r="DK171" i="13"/>
  <c r="DJ171" i="13" s="1"/>
  <c r="DI171" i="13" s="1"/>
  <c r="DH171" i="13" s="1"/>
  <c r="DG171" i="13" s="1"/>
  <c r="NQ129" i="13"/>
  <c r="LP129" i="13"/>
  <c r="LQ129" i="13" s="1"/>
  <c r="NR129" i="13" s="1"/>
  <c r="NV129" i="13"/>
  <c r="NR97" i="13"/>
  <c r="LP78" i="13"/>
  <c r="LQ78" i="13" s="1"/>
  <c r="NR78" i="13" s="1"/>
  <c r="NV78" i="13"/>
  <c r="NQ78" i="13"/>
  <c r="JO185" i="13"/>
  <c r="KF185" i="13"/>
  <c r="CE117" i="13"/>
  <c r="CD117" i="13" s="1"/>
  <c r="CC117" i="13" s="1"/>
  <c r="CB117" i="13" s="1"/>
  <c r="CA117" i="13" s="1"/>
  <c r="AX117" i="13"/>
  <c r="AW117" i="13" s="1"/>
  <c r="AV117" i="13" s="1"/>
  <c r="AU117" i="13" s="1"/>
  <c r="AT117" i="13" s="1"/>
  <c r="AS117" i="13"/>
  <c r="AR117" i="13" s="1"/>
  <c r="AQ117" i="13" s="1"/>
  <c r="AP117" i="13" s="1"/>
  <c r="AO117" i="13" s="1"/>
  <c r="AL117" i="13" s="1"/>
  <c r="BP117" i="13"/>
  <c r="BO117" i="13" s="1"/>
  <c r="BN117" i="13" s="1"/>
  <c r="BM117" i="13" s="1"/>
  <c r="BL117" i="13" s="1"/>
  <c r="BH117" i="13"/>
  <c r="BG117" i="13" s="1"/>
  <c r="BF117" i="13" s="1"/>
  <c r="BE117" i="13" s="1"/>
  <c r="BD117" i="13" s="1"/>
  <c r="BZ117" i="13"/>
  <c r="BY117" i="13" s="1"/>
  <c r="BX117" i="13" s="1"/>
  <c r="BW117" i="13" s="1"/>
  <c r="BV117" i="13" s="1"/>
  <c r="BC117" i="13"/>
  <c r="BB117" i="13" s="1"/>
  <c r="BA117" i="13" s="1"/>
  <c r="AZ117" i="13" s="1"/>
  <c r="AY117" i="13" s="1"/>
  <c r="BU117" i="13"/>
  <c r="BT117" i="13" s="1"/>
  <c r="BS117" i="13" s="1"/>
  <c r="BR117" i="13" s="1"/>
  <c r="BQ117" i="13" s="1"/>
  <c r="KF178" i="13"/>
  <c r="JO178" i="13"/>
  <c r="NU111" i="13"/>
  <c r="NO111" i="13"/>
  <c r="LI111" i="13"/>
  <c r="NP111" i="13" s="1"/>
  <c r="NV176" i="13"/>
  <c r="NQ176" i="13"/>
  <c r="LP176" i="13"/>
  <c r="LQ176" i="13" s="1"/>
  <c r="NR176" i="13" s="1"/>
  <c r="KG94" i="13"/>
  <c r="NI120" i="13"/>
  <c r="KL120" i="13"/>
  <c r="KN120" i="13" s="1"/>
  <c r="KO120" i="13" s="1"/>
  <c r="LN146" i="13"/>
  <c r="LF146" i="13"/>
  <c r="LH146" i="13" s="1"/>
  <c r="KX146" i="13"/>
  <c r="KZ146" i="13" s="1"/>
  <c r="LA146" i="13" s="1"/>
  <c r="KP146" i="13"/>
  <c r="KR146" i="13" s="1"/>
  <c r="KS146" i="13" s="1"/>
  <c r="DK193" i="13"/>
  <c r="DJ193" i="13" s="1"/>
  <c r="DI193" i="13" s="1"/>
  <c r="DH193" i="13" s="1"/>
  <c r="DG193" i="13" s="1"/>
  <c r="KG207" i="13"/>
  <c r="LN196" i="13"/>
  <c r="KP196" i="13"/>
  <c r="KR196" i="13" s="1"/>
  <c r="KS196" i="13" s="1"/>
  <c r="LF196" i="13"/>
  <c r="LH196" i="13" s="1"/>
  <c r="KX196" i="13"/>
  <c r="KZ196" i="13" s="1"/>
  <c r="LA196" i="13" s="1"/>
  <c r="NX134" i="13"/>
  <c r="NW134" i="13"/>
  <c r="DK26" i="13"/>
  <c r="DJ26" i="13" s="1"/>
  <c r="DI26" i="13" s="1"/>
  <c r="DH26" i="13" s="1"/>
  <c r="DG26" i="13" s="1"/>
  <c r="NR26" i="13"/>
  <c r="AV30" i="13"/>
  <c r="AU30" i="13" s="1"/>
  <c r="AT30" i="13" s="1"/>
  <c r="KG163" i="13"/>
  <c r="NI132" i="13"/>
  <c r="KL132" i="13"/>
  <c r="KN132" i="13" s="1"/>
  <c r="KO132" i="13" s="1"/>
  <c r="NU64" i="13"/>
  <c r="NO64" i="13"/>
  <c r="LI64" i="13"/>
  <c r="NP64" i="13" s="1"/>
  <c r="NV161" i="13"/>
  <c r="NQ161" i="13"/>
  <c r="LP161" i="13"/>
  <c r="LQ161" i="13" s="1"/>
  <c r="NR161" i="13" s="1"/>
  <c r="DN76" i="13"/>
  <c r="DM76" i="13" s="1"/>
  <c r="DL76" i="13" s="1"/>
  <c r="LR38" i="13"/>
  <c r="LT38" i="13" s="1"/>
  <c r="LU38" i="13" s="1"/>
  <c r="LJ38" i="13"/>
  <c r="LL38" i="13" s="1"/>
  <c r="LM38" i="13" s="1"/>
  <c r="LB38" i="13"/>
  <c r="LD38" i="13" s="1"/>
  <c r="LE38" i="13" s="1"/>
  <c r="KT38" i="13"/>
  <c r="KV38" i="13" s="1"/>
  <c r="KW38" i="13" s="1"/>
  <c r="CP59" i="13"/>
  <c r="CO59" i="13" s="1"/>
  <c r="CN59" i="13" s="1"/>
  <c r="BP46" i="13"/>
  <c r="BO46" i="13" s="1"/>
  <c r="BN46" i="13" s="1"/>
  <c r="BM46" i="13" s="1"/>
  <c r="BL46" i="13" s="1"/>
  <c r="CE46" i="13"/>
  <c r="CD46" i="13" s="1"/>
  <c r="CC46" i="13" s="1"/>
  <c r="CB46" i="13" s="1"/>
  <c r="CA46" i="13" s="1"/>
  <c r="AX46" i="13"/>
  <c r="AW46" i="13" s="1"/>
  <c r="AV46" i="13" s="1"/>
  <c r="AU46" i="13" s="1"/>
  <c r="AT46" i="13" s="1"/>
  <c r="AS46" i="13"/>
  <c r="AR46" i="13" s="1"/>
  <c r="AQ46" i="13" s="1"/>
  <c r="AP46" i="13" s="1"/>
  <c r="AO46" i="13" s="1"/>
  <c r="AL46" i="13" s="1"/>
  <c r="BH46" i="13"/>
  <c r="BG46" i="13" s="1"/>
  <c r="BF46" i="13" s="1"/>
  <c r="BE46" i="13" s="1"/>
  <c r="BD46" i="13" s="1"/>
  <c r="BU46" i="13"/>
  <c r="BT46" i="13" s="1"/>
  <c r="BS46" i="13" s="1"/>
  <c r="BR46" i="13" s="1"/>
  <c r="BQ46" i="13" s="1"/>
  <c r="BZ46" i="13"/>
  <c r="BY46" i="13" s="1"/>
  <c r="BX46" i="13" s="1"/>
  <c r="BW46" i="13" s="1"/>
  <c r="BV46" i="13" s="1"/>
  <c r="BC46" i="13"/>
  <c r="BB46" i="13" s="1"/>
  <c r="BA46" i="13" s="1"/>
  <c r="AZ46" i="13" s="1"/>
  <c r="AY46" i="13" s="1"/>
  <c r="JO61" i="13"/>
  <c r="KF61" i="13"/>
  <c r="CP106" i="13"/>
  <c r="CO106" i="13" s="1"/>
  <c r="CN106" i="13" s="1"/>
  <c r="DN50" i="13"/>
  <c r="DM50" i="13" s="1"/>
  <c r="DL50" i="13" s="1"/>
  <c r="LR87" i="13"/>
  <c r="LT87" i="13" s="1"/>
  <c r="LU87" i="13" s="1"/>
  <c r="KT87" i="13"/>
  <c r="KV87" i="13" s="1"/>
  <c r="KW87" i="13" s="1"/>
  <c r="LJ87" i="13"/>
  <c r="LL87" i="13" s="1"/>
  <c r="LM87" i="13" s="1"/>
  <c r="LB87" i="13"/>
  <c r="LD87" i="13" s="1"/>
  <c r="LE87" i="13" s="1"/>
  <c r="IB14" i="13"/>
  <c r="ID14" i="13" s="1"/>
  <c r="IE14" i="13" s="1"/>
  <c r="BZ14" i="13" s="1"/>
  <c r="BY14" i="13" s="1"/>
  <c r="BX14" i="13" s="1"/>
  <c r="BW14" i="13" s="1"/>
  <c r="BV14" i="13" s="1"/>
  <c r="HL14" i="13"/>
  <c r="HN14" i="13" s="1"/>
  <c r="HO14" i="13" s="1"/>
  <c r="BH14" i="13" s="1"/>
  <c r="BG14" i="13" s="1"/>
  <c r="BF14" i="13" s="1"/>
  <c r="BE14" i="13" s="1"/>
  <c r="BD14" i="13" s="1"/>
  <c r="HT14" i="13"/>
  <c r="HV14" i="13" s="1"/>
  <c r="HW14" i="13" s="1"/>
  <c r="BC14" i="13" s="1"/>
  <c r="BB14" i="13" s="1"/>
  <c r="BA14" i="13" s="1"/>
  <c r="AZ14" i="13" s="1"/>
  <c r="AY14" i="13" s="1"/>
  <c r="HD14" i="13"/>
  <c r="HF14" i="13" s="1"/>
  <c r="HG14" i="13" s="1"/>
  <c r="NQ29" i="13"/>
  <c r="DN29" i="13" s="1"/>
  <c r="DM29" i="13" s="1"/>
  <c r="DL29" i="13" s="1"/>
  <c r="LP29" i="13"/>
  <c r="LQ29" i="13" s="1"/>
  <c r="NV29" i="13"/>
  <c r="LJ161" i="13"/>
  <c r="LL161" i="13" s="1"/>
  <c r="LM161" i="13" s="1"/>
  <c r="KT161" i="13"/>
  <c r="KV161" i="13" s="1"/>
  <c r="KW161" i="13" s="1"/>
  <c r="LB161" i="13"/>
  <c r="LD161" i="13" s="1"/>
  <c r="LE161" i="13" s="1"/>
  <c r="LR161" i="13"/>
  <c r="LT161" i="13" s="1"/>
  <c r="LU161" i="13" s="1"/>
  <c r="DK116" i="13"/>
  <c r="DJ116" i="13" s="1"/>
  <c r="DI116" i="13" s="1"/>
  <c r="DH116" i="13" s="1"/>
  <c r="DG116" i="13" s="1"/>
  <c r="DU36" i="13"/>
  <c r="DT36" i="13" s="1"/>
  <c r="DS36" i="13" s="1"/>
  <c r="DR36" i="13" s="1"/>
  <c r="DQ36" i="13" s="1"/>
  <c r="CW36" i="13"/>
  <c r="CV36" i="13" s="1"/>
  <c r="CU36" i="13" s="1"/>
  <c r="CT36" i="13" s="1"/>
  <c r="CS36" i="13" s="1"/>
  <c r="DK36" i="13"/>
  <c r="DJ36" i="13" s="1"/>
  <c r="DI36" i="13" s="1"/>
  <c r="DH36" i="13" s="1"/>
  <c r="DG36" i="13" s="1"/>
  <c r="DZ36" i="13"/>
  <c r="DY36" i="13" s="1"/>
  <c r="DX36" i="13" s="1"/>
  <c r="DW36" i="13" s="1"/>
  <c r="DV36" i="13" s="1"/>
  <c r="DP36" i="13"/>
  <c r="DO36" i="13" s="1"/>
  <c r="DN36" i="13" s="1"/>
  <c r="DM36" i="13" s="1"/>
  <c r="DL36" i="13" s="1"/>
  <c r="CR36" i="13"/>
  <c r="CQ36" i="13" s="1"/>
  <c r="CP36" i="13" s="1"/>
  <c r="CO36" i="13" s="1"/>
  <c r="CN36" i="13" s="1"/>
  <c r="CM36" i="13"/>
  <c r="CL36" i="13" s="1"/>
  <c r="CK36" i="13" s="1"/>
  <c r="CJ36" i="13" s="1"/>
  <c r="CI36" i="13" s="1"/>
  <c r="DB36" i="13"/>
  <c r="DA36" i="13" s="1"/>
  <c r="CZ36" i="13" s="1"/>
  <c r="CY36" i="13" s="1"/>
  <c r="CX36" i="13" s="1"/>
  <c r="LR177" i="13"/>
  <c r="LT177" i="13" s="1"/>
  <c r="LU177" i="13" s="1"/>
  <c r="DU177" i="13" s="1"/>
  <c r="DT177" i="13" s="1"/>
  <c r="LJ177" i="13"/>
  <c r="LL177" i="13" s="1"/>
  <c r="LM177" i="13" s="1"/>
  <c r="CW177" i="13" s="1"/>
  <c r="CV177" i="13" s="1"/>
  <c r="KT177" i="13"/>
  <c r="KV177" i="13" s="1"/>
  <c r="KW177" i="13" s="1"/>
  <c r="DB177" i="13" s="1"/>
  <c r="DA177" i="13" s="1"/>
  <c r="LB177" i="13"/>
  <c r="LD177" i="13" s="1"/>
  <c r="LE177" i="13" s="1"/>
  <c r="DZ177" i="13" s="1"/>
  <c r="DY177" i="13" s="1"/>
  <c r="DX177" i="13" s="1"/>
  <c r="DW177" i="13" s="1"/>
  <c r="DV177" i="13" s="1"/>
  <c r="NI184" i="13"/>
  <c r="KL184" i="13"/>
  <c r="KN184" i="13" s="1"/>
  <c r="KO184" i="13" s="1"/>
  <c r="CP189" i="13"/>
  <c r="CO189" i="13" s="1"/>
  <c r="CN189" i="13" s="1"/>
  <c r="DN198" i="13"/>
  <c r="DM198" i="13" s="1"/>
  <c r="DL198" i="13" s="1"/>
  <c r="NO84" i="13"/>
  <c r="LI84" i="13"/>
  <c r="NP84" i="13" s="1"/>
  <c r="NU84" i="13"/>
  <c r="NP23" i="13"/>
  <c r="CM23" i="13"/>
  <c r="CL23" i="13" s="1"/>
  <c r="CK23" i="13" s="1"/>
  <c r="CJ23" i="13" s="1"/>
  <c r="CI23" i="13" s="1"/>
  <c r="NR203" i="13"/>
  <c r="AX47" i="13"/>
  <c r="AW47" i="13" s="1"/>
  <c r="AV47" i="13" s="1"/>
  <c r="AU47" i="13" s="1"/>
  <c r="AT47" i="13" s="1"/>
  <c r="AS47" i="13"/>
  <c r="AR47" i="13" s="1"/>
  <c r="AQ47" i="13" s="1"/>
  <c r="AP47" i="13" s="1"/>
  <c r="AO47" i="13" s="1"/>
  <c r="AL47" i="13" s="1"/>
  <c r="BH47" i="13"/>
  <c r="BG47" i="13" s="1"/>
  <c r="BF47" i="13" s="1"/>
  <c r="BE47" i="13" s="1"/>
  <c r="BD47" i="13" s="1"/>
  <c r="BC47" i="13"/>
  <c r="BB47" i="13" s="1"/>
  <c r="BA47" i="13" s="1"/>
  <c r="AZ47" i="13" s="1"/>
  <c r="AY47" i="13" s="1"/>
  <c r="BU47" i="13"/>
  <c r="BT47" i="13" s="1"/>
  <c r="BS47" i="13" s="1"/>
  <c r="BR47" i="13" s="1"/>
  <c r="BQ47" i="13" s="1"/>
  <c r="CE47" i="13"/>
  <c r="CD47" i="13" s="1"/>
  <c r="CC47" i="13" s="1"/>
  <c r="CB47" i="13" s="1"/>
  <c r="CA47" i="13" s="1"/>
  <c r="BZ47" i="13"/>
  <c r="BY47" i="13" s="1"/>
  <c r="BX47" i="13" s="1"/>
  <c r="BW47" i="13" s="1"/>
  <c r="BV47" i="13" s="1"/>
  <c r="BP47" i="13"/>
  <c r="BO47" i="13" s="1"/>
  <c r="BN47" i="13" s="1"/>
  <c r="BM47" i="13" s="1"/>
  <c r="BL47" i="13" s="1"/>
  <c r="KG87" i="13"/>
  <c r="DN74" i="13"/>
  <c r="DM74" i="13" s="1"/>
  <c r="DL74" i="13" s="1"/>
  <c r="LR214" i="13"/>
  <c r="LT214" i="13" s="1"/>
  <c r="LU214" i="13" s="1"/>
  <c r="KT214" i="13"/>
  <c r="KV214" i="13" s="1"/>
  <c r="KW214" i="13" s="1"/>
  <c r="LB214" i="13"/>
  <c r="LD214" i="13" s="1"/>
  <c r="LE214" i="13" s="1"/>
  <c r="LJ214" i="13"/>
  <c r="LL214" i="13" s="1"/>
  <c r="LM214" i="13" s="1"/>
  <c r="LJ97" i="13"/>
  <c r="LL97" i="13" s="1"/>
  <c r="LM97" i="13" s="1"/>
  <c r="CW97" i="13" s="1"/>
  <c r="CV97" i="13" s="1"/>
  <c r="CU97" i="13" s="1"/>
  <c r="CT97" i="13" s="1"/>
  <c r="CS97" i="13" s="1"/>
  <c r="LB97" i="13"/>
  <c r="LD97" i="13" s="1"/>
  <c r="LE97" i="13" s="1"/>
  <c r="DZ97" i="13" s="1"/>
  <c r="DY97" i="13" s="1"/>
  <c r="DX97" i="13" s="1"/>
  <c r="DW97" i="13" s="1"/>
  <c r="DV97" i="13" s="1"/>
  <c r="LR97" i="13"/>
  <c r="LT97" i="13" s="1"/>
  <c r="LU97" i="13" s="1"/>
  <c r="DU97" i="13" s="1"/>
  <c r="DT97" i="13" s="1"/>
  <c r="DS97" i="13" s="1"/>
  <c r="DR97" i="13" s="1"/>
  <c r="DQ97" i="13" s="1"/>
  <c r="KT97" i="13"/>
  <c r="KV97" i="13" s="1"/>
  <c r="KW97" i="13" s="1"/>
  <c r="NX132" i="13"/>
  <c r="NW132" i="13"/>
  <c r="LB124" i="13"/>
  <c r="LD124" i="13" s="1"/>
  <c r="LE124" i="13" s="1"/>
  <c r="LJ124" i="13"/>
  <c r="LL124" i="13" s="1"/>
  <c r="LM124" i="13" s="1"/>
  <c r="LR124" i="13"/>
  <c r="LT124" i="13" s="1"/>
  <c r="LU124" i="13" s="1"/>
  <c r="KT124" i="13"/>
  <c r="KV124" i="13" s="1"/>
  <c r="KW124" i="13" s="1"/>
  <c r="NV94" i="13"/>
  <c r="NQ94" i="13"/>
  <c r="LP94" i="13"/>
  <c r="LQ94" i="13" s="1"/>
  <c r="NR94" i="13" s="1"/>
  <c r="DB97" i="13"/>
  <c r="DA97" i="13" s="1"/>
  <c r="CZ97" i="13" s="1"/>
  <c r="CY97" i="13" s="1"/>
  <c r="CX97" i="13" s="1"/>
  <c r="DP97" i="13"/>
  <c r="DO97" i="13" s="1"/>
  <c r="DN97" i="13" s="1"/>
  <c r="DM97" i="13" s="1"/>
  <c r="DL97" i="13" s="1"/>
  <c r="CM97" i="13"/>
  <c r="CL97" i="13" s="1"/>
  <c r="CK97" i="13" s="1"/>
  <c r="CJ97" i="13" s="1"/>
  <c r="CI97" i="13" s="1"/>
  <c r="CR97" i="13"/>
  <c r="CQ97" i="13" s="1"/>
  <c r="CP97" i="13" s="1"/>
  <c r="CO97" i="13" s="1"/>
  <c r="CN97" i="13" s="1"/>
  <c r="DK97" i="13"/>
  <c r="DJ97" i="13" s="1"/>
  <c r="DI97" i="13" s="1"/>
  <c r="DH97" i="13" s="1"/>
  <c r="DG97" i="13" s="1"/>
  <c r="NO172" i="13"/>
  <c r="LI172" i="13"/>
  <c r="NP172" i="13" s="1"/>
  <c r="NU172" i="13"/>
  <c r="NI185" i="13"/>
  <c r="KL185" i="13"/>
  <c r="KN185" i="13" s="1"/>
  <c r="KO185" i="13" s="1"/>
  <c r="KG123" i="13"/>
  <c r="NR123" i="13"/>
  <c r="NX126" i="13"/>
  <c r="NW126" i="13"/>
  <c r="KT202" i="13"/>
  <c r="KV202" i="13" s="1"/>
  <c r="KW202" i="13" s="1"/>
  <c r="DB202" i="13" s="1"/>
  <c r="DA202" i="13" s="1"/>
  <c r="LB202" i="13"/>
  <c r="LD202" i="13" s="1"/>
  <c r="LE202" i="13" s="1"/>
  <c r="DZ202" i="13" s="1"/>
  <c r="DY202" i="13" s="1"/>
  <c r="LJ202" i="13"/>
  <c r="LL202" i="13" s="1"/>
  <c r="LM202" i="13" s="1"/>
  <c r="CW202" i="13" s="1"/>
  <c r="CV202" i="13" s="1"/>
  <c r="LR202" i="13"/>
  <c r="LT202" i="13" s="1"/>
  <c r="LU202" i="13" s="1"/>
  <c r="DU202" i="13" s="1"/>
  <c r="DT202" i="13" s="1"/>
  <c r="NI178" i="13"/>
  <c r="KL178" i="13"/>
  <c r="KN178" i="13" s="1"/>
  <c r="KO178" i="13" s="1"/>
  <c r="KT94" i="13"/>
  <c r="KV94" i="13" s="1"/>
  <c r="KW94" i="13" s="1"/>
  <c r="LR94" i="13"/>
  <c r="LT94" i="13" s="1"/>
  <c r="LU94" i="13" s="1"/>
  <c r="LB94" i="13"/>
  <c r="LD94" i="13" s="1"/>
  <c r="LE94" i="13" s="1"/>
  <c r="LJ94" i="13"/>
  <c r="LL94" i="13" s="1"/>
  <c r="LM94" i="13" s="1"/>
  <c r="JO144" i="13"/>
  <c r="KF144" i="13"/>
  <c r="NQ14" i="13"/>
  <c r="DN14" i="13" s="1"/>
  <c r="DM14" i="13" s="1"/>
  <c r="DL14" i="13" s="1"/>
  <c r="LP14" i="13"/>
  <c r="LQ14" i="13" s="1"/>
  <c r="NV14" i="13"/>
  <c r="LP22" i="13"/>
  <c r="LQ22" i="13" s="1"/>
  <c r="NV22" i="13"/>
  <c r="NQ22" i="13"/>
  <c r="DN22" i="13" s="1"/>
  <c r="DM22" i="13" s="1"/>
  <c r="DL22" i="13" s="1"/>
  <c r="NV207" i="13"/>
  <c r="LP207" i="13"/>
  <c r="LQ207" i="13" s="1"/>
  <c r="NR207" i="13" s="1"/>
  <c r="NQ207" i="13"/>
  <c r="CW68" i="13"/>
  <c r="CV68" i="13" s="1"/>
  <c r="CM68" i="13"/>
  <c r="CL68" i="13" s="1"/>
  <c r="CK68" i="13" s="1"/>
  <c r="CJ68" i="13" s="1"/>
  <c r="CI68" i="13" s="1"/>
  <c r="CR68" i="13"/>
  <c r="CQ68" i="13" s="1"/>
  <c r="CP68" i="13" s="1"/>
  <c r="CO68" i="13" s="1"/>
  <c r="CN68" i="13" s="1"/>
  <c r="DP68" i="13"/>
  <c r="DO68" i="13" s="1"/>
  <c r="DU68" i="13"/>
  <c r="DT68" i="13" s="1"/>
  <c r="DS68" i="13" s="1"/>
  <c r="DR68" i="13" s="1"/>
  <c r="DQ68" i="13" s="1"/>
  <c r="NU48" i="13"/>
  <c r="NO48" i="13"/>
  <c r="LI48" i="13"/>
  <c r="NP48" i="13" s="1"/>
  <c r="LR111" i="13"/>
  <c r="LT111" i="13" s="1"/>
  <c r="LU111" i="13" s="1"/>
  <c r="DU111" i="13" s="1"/>
  <c r="DT111" i="13" s="1"/>
  <c r="DS111" i="13" s="1"/>
  <c r="DR111" i="13" s="1"/>
  <c r="DQ111" i="13" s="1"/>
  <c r="LB111" i="13"/>
  <c r="LD111" i="13" s="1"/>
  <c r="LE111" i="13" s="1"/>
  <c r="DZ111" i="13" s="1"/>
  <c r="DY111" i="13" s="1"/>
  <c r="DX111" i="13" s="1"/>
  <c r="DW111" i="13" s="1"/>
  <c r="DV111" i="13" s="1"/>
  <c r="LJ111" i="13"/>
  <c r="LL111" i="13" s="1"/>
  <c r="LM111" i="13" s="1"/>
  <c r="CW111" i="13" s="1"/>
  <c r="CV111" i="13" s="1"/>
  <c r="KT111" i="13"/>
  <c r="KV111" i="13" s="1"/>
  <c r="KW111" i="13" s="1"/>
  <c r="DB111" i="13" s="1"/>
  <c r="DA111" i="13" s="1"/>
  <c r="NU205" i="13"/>
  <c r="NO205" i="13"/>
  <c r="LI205" i="13"/>
  <c r="NP205" i="13" s="1"/>
  <c r="NO96" i="13"/>
  <c r="LI96" i="13"/>
  <c r="NP96" i="13" s="1"/>
  <c r="NU96" i="13"/>
  <c r="BH127" i="13"/>
  <c r="BG127" i="13" s="1"/>
  <c r="BF127" i="13" s="1"/>
  <c r="BE127" i="13" s="1"/>
  <c r="BD127" i="13" s="1"/>
  <c r="BZ127" i="13"/>
  <c r="BY127" i="13" s="1"/>
  <c r="BX127" i="13" s="1"/>
  <c r="BW127" i="13" s="1"/>
  <c r="BV127" i="13" s="1"/>
  <c r="BC127" i="13"/>
  <c r="BB127" i="13" s="1"/>
  <c r="BA127" i="13" s="1"/>
  <c r="AZ127" i="13" s="1"/>
  <c r="AY127" i="13" s="1"/>
  <c r="AS127" i="13"/>
  <c r="AR127" i="13" s="1"/>
  <c r="AQ127" i="13" s="1"/>
  <c r="AP127" i="13" s="1"/>
  <c r="AO127" i="13" s="1"/>
  <c r="AL127" i="13" s="1"/>
  <c r="BU127" i="13"/>
  <c r="BT127" i="13" s="1"/>
  <c r="BS127" i="13" s="1"/>
  <c r="BR127" i="13" s="1"/>
  <c r="BQ127" i="13" s="1"/>
  <c r="AX127" i="13"/>
  <c r="AW127" i="13" s="1"/>
  <c r="AV127" i="13" s="1"/>
  <c r="AU127" i="13" s="1"/>
  <c r="AT127" i="13" s="1"/>
  <c r="BP127" i="13"/>
  <c r="BO127" i="13" s="1"/>
  <c r="BN127" i="13" s="1"/>
  <c r="BM127" i="13" s="1"/>
  <c r="BL127" i="13" s="1"/>
  <c r="CE127" i="13"/>
  <c r="CD127" i="13" s="1"/>
  <c r="CC127" i="13" s="1"/>
  <c r="CB127" i="13" s="1"/>
  <c r="CA127" i="13" s="1"/>
  <c r="NV37" i="13"/>
  <c r="NQ37" i="13"/>
  <c r="LP37" i="13"/>
  <c r="LQ37" i="13" s="1"/>
  <c r="NR37" i="13" s="1"/>
  <c r="KX86" i="13"/>
  <c r="KZ86" i="13" s="1"/>
  <c r="LA86" i="13" s="1"/>
  <c r="LF86" i="13"/>
  <c r="LH86" i="13" s="1"/>
  <c r="LN86" i="13"/>
  <c r="KP86" i="13"/>
  <c r="KR86" i="13" s="1"/>
  <c r="KS86" i="13" s="1"/>
  <c r="NV153" i="13"/>
  <c r="NQ153" i="13"/>
  <c r="LP153" i="13"/>
  <c r="LQ153" i="13" s="1"/>
  <c r="NR153" i="13" s="1"/>
  <c r="CP76" i="13"/>
  <c r="CO76" i="13" s="1"/>
  <c r="CN76" i="13" s="1"/>
  <c r="NQ17" i="13"/>
  <c r="DN17" i="13" s="1"/>
  <c r="DM17" i="13" s="1"/>
  <c r="DL17" i="13" s="1"/>
  <c r="LP17" i="13"/>
  <c r="LQ17" i="13" s="1"/>
  <c r="NV17" i="13"/>
  <c r="NO186" i="13"/>
  <c r="NU186" i="13"/>
  <c r="LI186" i="13"/>
  <c r="NP186" i="13" s="1"/>
  <c r="NI61" i="13"/>
  <c r="KL61" i="13"/>
  <c r="KN61" i="13" s="1"/>
  <c r="KO61" i="13" s="1"/>
  <c r="NP26" i="13"/>
  <c r="CM26" i="13"/>
  <c r="CL26" i="13" s="1"/>
  <c r="CK26" i="13" s="1"/>
  <c r="CJ26" i="13" s="1"/>
  <c r="CI26" i="13" s="1"/>
  <c r="NO177" i="13"/>
  <c r="LI177" i="13"/>
  <c r="NP177" i="13" s="1"/>
  <c r="NU177" i="13"/>
  <c r="NQ15" i="13"/>
  <c r="LP15" i="13"/>
  <c r="LQ15" i="13" s="1"/>
  <c r="NV15" i="13"/>
  <c r="DN91" i="13"/>
  <c r="DM91" i="13" s="1"/>
  <c r="DL91" i="13" s="1"/>
  <c r="LR84" i="13"/>
  <c r="LT84" i="13" s="1"/>
  <c r="LU84" i="13" s="1"/>
  <c r="LB84" i="13"/>
  <c r="LD84" i="13" s="1"/>
  <c r="LE84" i="13" s="1"/>
  <c r="LJ84" i="13"/>
  <c r="LL84" i="13" s="1"/>
  <c r="LM84" i="13" s="1"/>
  <c r="KT84" i="13"/>
  <c r="KV84" i="13" s="1"/>
  <c r="KW84" i="13" s="1"/>
  <c r="CP116" i="13"/>
  <c r="CO116" i="13" s="1"/>
  <c r="CN116" i="13" s="1"/>
  <c r="BC140" i="13"/>
  <c r="BB140" i="13" s="1"/>
  <c r="BA140" i="13" s="1"/>
  <c r="AZ140" i="13" s="1"/>
  <c r="AY140" i="13" s="1"/>
  <c r="BU140" i="13"/>
  <c r="BT140" i="13" s="1"/>
  <c r="BS140" i="13" s="1"/>
  <c r="BR140" i="13" s="1"/>
  <c r="BQ140" i="13" s="1"/>
  <c r="AX140" i="13"/>
  <c r="AW140" i="13" s="1"/>
  <c r="AV140" i="13" s="1"/>
  <c r="AU140" i="13" s="1"/>
  <c r="AT140" i="13" s="1"/>
  <c r="BP140" i="13"/>
  <c r="BO140" i="13" s="1"/>
  <c r="BN140" i="13" s="1"/>
  <c r="BM140" i="13" s="1"/>
  <c r="BL140" i="13" s="1"/>
  <c r="CE140" i="13"/>
  <c r="CD140" i="13" s="1"/>
  <c r="CC140" i="13" s="1"/>
  <c r="CB140" i="13" s="1"/>
  <c r="CA140" i="13" s="1"/>
  <c r="AS140" i="13"/>
  <c r="AR140" i="13" s="1"/>
  <c r="AQ140" i="13" s="1"/>
  <c r="AP140" i="13" s="1"/>
  <c r="AO140" i="13" s="1"/>
  <c r="AL140" i="13" s="1"/>
  <c r="BZ140" i="13"/>
  <c r="BY140" i="13" s="1"/>
  <c r="BX140" i="13" s="1"/>
  <c r="BW140" i="13" s="1"/>
  <c r="BV140" i="13" s="1"/>
  <c r="BH140" i="13"/>
  <c r="BG140" i="13" s="1"/>
  <c r="BF140" i="13" s="1"/>
  <c r="BE140" i="13" s="1"/>
  <c r="BD140" i="13" s="1"/>
  <c r="BZ44" i="13"/>
  <c r="BY44" i="13" s="1"/>
  <c r="BX44" i="13" s="1"/>
  <c r="BW44" i="13" s="1"/>
  <c r="BV44" i="13" s="1"/>
  <c r="BC44" i="13"/>
  <c r="BB44" i="13" s="1"/>
  <c r="BA44" i="13" s="1"/>
  <c r="AZ44" i="13" s="1"/>
  <c r="AY44" i="13" s="1"/>
  <c r="BU44" i="13"/>
  <c r="BT44" i="13" s="1"/>
  <c r="BS44" i="13" s="1"/>
  <c r="BR44" i="13" s="1"/>
  <c r="BQ44" i="13" s="1"/>
  <c r="AX44" i="13"/>
  <c r="AW44" i="13" s="1"/>
  <c r="AV44" i="13" s="1"/>
  <c r="AU44" i="13" s="1"/>
  <c r="AT44" i="13" s="1"/>
  <c r="BH44" i="13"/>
  <c r="BG44" i="13" s="1"/>
  <c r="BF44" i="13" s="1"/>
  <c r="BE44" i="13" s="1"/>
  <c r="BD44" i="13" s="1"/>
  <c r="AS44" i="13"/>
  <c r="AR44" i="13" s="1"/>
  <c r="AQ44" i="13" s="1"/>
  <c r="AP44" i="13" s="1"/>
  <c r="AO44" i="13" s="1"/>
  <c r="AL44" i="13" s="1"/>
  <c r="BP44" i="13"/>
  <c r="BO44" i="13" s="1"/>
  <c r="BN44" i="13" s="1"/>
  <c r="BM44" i="13" s="1"/>
  <c r="BL44" i="13" s="1"/>
  <c r="CE44" i="13"/>
  <c r="CD44" i="13" s="1"/>
  <c r="CC44" i="13" s="1"/>
  <c r="CB44" i="13" s="1"/>
  <c r="CA44" i="13" s="1"/>
  <c r="CM149" i="13"/>
  <c r="CL149" i="13" s="1"/>
  <c r="CK149" i="13" s="1"/>
  <c r="CJ149" i="13" s="1"/>
  <c r="CI149" i="13" s="1"/>
  <c r="LP77" i="13"/>
  <c r="LQ77" i="13" s="1"/>
  <c r="DK77" i="13" s="1"/>
  <c r="DJ77" i="13" s="1"/>
  <c r="NV77" i="13"/>
  <c r="NQ77" i="13"/>
  <c r="DN189" i="13"/>
  <c r="DM189" i="13" s="1"/>
  <c r="DL189" i="13" s="1"/>
  <c r="NQ84" i="13"/>
  <c r="LP84" i="13"/>
  <c r="LQ84" i="13" s="1"/>
  <c r="NR84" i="13" s="1"/>
  <c r="NV84" i="13"/>
  <c r="JO79" i="13"/>
  <c r="KF79" i="13"/>
  <c r="DP203" i="13"/>
  <c r="DO203" i="13" s="1"/>
  <c r="DN203" i="13" s="1"/>
  <c r="DM203" i="13" s="1"/>
  <c r="DL203" i="13" s="1"/>
  <c r="CM203" i="13"/>
  <c r="CL203" i="13" s="1"/>
  <c r="CR203" i="13"/>
  <c r="CQ203" i="13" s="1"/>
  <c r="DK203" i="13"/>
  <c r="DJ203" i="13" s="1"/>
  <c r="LN190" i="13"/>
  <c r="LF190" i="13"/>
  <c r="LH190" i="13" s="1"/>
  <c r="KX190" i="13"/>
  <c r="KZ190" i="13" s="1"/>
  <c r="LA190" i="13" s="1"/>
  <c r="KP190" i="13"/>
  <c r="KR190" i="13" s="1"/>
  <c r="KS190" i="13" s="1"/>
  <c r="CP74" i="13"/>
  <c r="CO74" i="13" s="1"/>
  <c r="CN74" i="13" s="1"/>
  <c r="NO168" i="13"/>
  <c r="LI168" i="13"/>
  <c r="NP168" i="13" s="1"/>
  <c r="NU168" i="13"/>
  <c r="JO138" i="13"/>
  <c r="KF138" i="13"/>
  <c r="LI123" i="13"/>
  <c r="NP123" i="13" s="1"/>
  <c r="NU123" i="13"/>
  <c r="NO123" i="13"/>
  <c r="BP102" i="13"/>
  <c r="BO102" i="13" s="1"/>
  <c r="BN102" i="13" s="1"/>
  <c r="BM102" i="13" s="1"/>
  <c r="BL102" i="13" s="1"/>
  <c r="AS102" i="13"/>
  <c r="AR102" i="13" s="1"/>
  <c r="AQ102" i="13" s="1"/>
  <c r="AP102" i="13" s="1"/>
  <c r="AO102" i="13" s="1"/>
  <c r="AL102" i="13" s="1"/>
  <c r="AX102" i="13"/>
  <c r="AW102" i="13" s="1"/>
  <c r="AV102" i="13" s="1"/>
  <c r="AU102" i="13" s="1"/>
  <c r="AT102" i="13" s="1"/>
  <c r="CE102" i="13"/>
  <c r="CD102" i="13" s="1"/>
  <c r="CC102" i="13" s="1"/>
  <c r="CB102" i="13" s="1"/>
  <c r="CA102" i="13" s="1"/>
  <c r="BZ102" i="13"/>
  <c r="BY102" i="13" s="1"/>
  <c r="BX102" i="13" s="1"/>
  <c r="BW102" i="13" s="1"/>
  <c r="BV102" i="13" s="1"/>
  <c r="BH102" i="13"/>
  <c r="BG102" i="13" s="1"/>
  <c r="BF102" i="13" s="1"/>
  <c r="BE102" i="13" s="1"/>
  <c r="BD102" i="13" s="1"/>
  <c r="BC102" i="13"/>
  <c r="BB102" i="13" s="1"/>
  <c r="BA102" i="13" s="1"/>
  <c r="AZ102" i="13" s="1"/>
  <c r="AY102" i="13" s="1"/>
  <c r="BU102" i="13"/>
  <c r="BT102" i="13" s="1"/>
  <c r="BS102" i="13" s="1"/>
  <c r="BR102" i="13" s="1"/>
  <c r="BQ102" i="13" s="1"/>
  <c r="JO142" i="13"/>
  <c r="KF142" i="13"/>
  <c r="LI94" i="13"/>
  <c r="NP94" i="13" s="1"/>
  <c r="NU94" i="13"/>
  <c r="NO94" i="13"/>
  <c r="NX102" i="13"/>
  <c r="NW102" i="13"/>
  <c r="LI151" i="13"/>
  <c r="NP151" i="13" s="1"/>
  <c r="NO151" i="13"/>
  <c r="NU151" i="13"/>
  <c r="JO100" i="13"/>
  <c r="KF100" i="13"/>
  <c r="DP69" i="13"/>
  <c r="DO69" i="13" s="1"/>
  <c r="CM69" i="13"/>
  <c r="CL69" i="13" s="1"/>
  <c r="CK69" i="13" s="1"/>
  <c r="CJ69" i="13" s="1"/>
  <c r="CI69" i="13" s="1"/>
  <c r="CR69" i="13"/>
  <c r="CQ69" i="13" s="1"/>
  <c r="CP69" i="13" s="1"/>
  <c r="CO69" i="13" s="1"/>
  <c r="CN69" i="13" s="1"/>
  <c r="NO176" i="13"/>
  <c r="LI176" i="13"/>
  <c r="NP176" i="13" s="1"/>
  <c r="NU176" i="13"/>
  <c r="NI144" i="13"/>
  <c r="KL144" i="13"/>
  <c r="KN144" i="13" s="1"/>
  <c r="KO144" i="13" s="1"/>
  <c r="BH113" i="13"/>
  <c r="BG113" i="13" s="1"/>
  <c r="BF113" i="13" s="1"/>
  <c r="BE113" i="13" s="1"/>
  <c r="BD113" i="13" s="1"/>
  <c r="BP113" i="13"/>
  <c r="BO113" i="13" s="1"/>
  <c r="BN113" i="13" s="1"/>
  <c r="BM113" i="13" s="1"/>
  <c r="BL113" i="13" s="1"/>
  <c r="CE113" i="13"/>
  <c r="CD113" i="13" s="1"/>
  <c r="CC113" i="13" s="1"/>
  <c r="CB113" i="13" s="1"/>
  <c r="CA113" i="13" s="1"/>
  <c r="AS113" i="13"/>
  <c r="AR113" i="13" s="1"/>
  <c r="AQ113" i="13" s="1"/>
  <c r="AP113" i="13" s="1"/>
  <c r="AO113" i="13" s="1"/>
  <c r="AL113" i="13" s="1"/>
  <c r="BU113" i="13"/>
  <c r="BT113" i="13" s="1"/>
  <c r="BS113" i="13" s="1"/>
  <c r="BR113" i="13" s="1"/>
  <c r="BQ113" i="13" s="1"/>
  <c r="BC113" i="13"/>
  <c r="BB113" i="13" s="1"/>
  <c r="BA113" i="13" s="1"/>
  <c r="AZ113" i="13" s="1"/>
  <c r="AY113" i="13" s="1"/>
  <c r="BZ113" i="13"/>
  <c r="BY113" i="13" s="1"/>
  <c r="BX113" i="13" s="1"/>
  <c r="BW113" i="13" s="1"/>
  <c r="BV113" i="13" s="1"/>
  <c r="AX113" i="13"/>
  <c r="AW113" i="13" s="1"/>
  <c r="AV113" i="13" s="1"/>
  <c r="AU113" i="13" s="1"/>
  <c r="AT113" i="13" s="1"/>
  <c r="KT48" i="13"/>
  <c r="KV48" i="13" s="1"/>
  <c r="KW48" i="13" s="1"/>
  <c r="LJ48" i="13"/>
  <c r="LL48" i="13" s="1"/>
  <c r="LM48" i="13" s="1"/>
  <c r="LB48" i="13"/>
  <c r="LD48" i="13" s="1"/>
  <c r="LE48" i="13" s="1"/>
  <c r="LR48" i="13"/>
  <c r="LT48" i="13" s="1"/>
  <c r="LU48" i="13" s="1"/>
  <c r="NO22" i="13"/>
  <c r="CP22" i="13" s="1"/>
  <c r="CO22" i="13" s="1"/>
  <c r="CN22" i="13" s="1"/>
  <c r="LI22" i="13"/>
  <c r="NU22" i="13"/>
  <c r="NU207" i="13"/>
  <c r="NO207" i="13"/>
  <c r="LI207" i="13"/>
  <c r="NP207" i="13" s="1"/>
  <c r="NO179" i="13"/>
  <c r="LI179" i="13"/>
  <c r="NP179" i="13" s="1"/>
  <c r="NU179" i="13"/>
  <c r="CP211" i="13"/>
  <c r="CO211" i="13" s="1"/>
  <c r="CN211" i="13" s="1"/>
  <c r="LB176" i="13"/>
  <c r="LD176" i="13" s="1"/>
  <c r="LE176" i="13" s="1"/>
  <c r="LR176" i="13"/>
  <c r="LT176" i="13" s="1"/>
  <c r="LU176" i="13" s="1"/>
  <c r="LJ176" i="13"/>
  <c r="LL176" i="13" s="1"/>
  <c r="LM176" i="13" s="1"/>
  <c r="KT176" i="13"/>
  <c r="KV176" i="13" s="1"/>
  <c r="KW176" i="13" s="1"/>
  <c r="LB118" i="13"/>
  <c r="LD118" i="13" s="1"/>
  <c r="LE118" i="13" s="1"/>
  <c r="LR118" i="13"/>
  <c r="LT118" i="13" s="1"/>
  <c r="LU118" i="13" s="1"/>
  <c r="KT118" i="13"/>
  <c r="KV118" i="13" s="1"/>
  <c r="KW118" i="13" s="1"/>
  <c r="LJ118" i="13"/>
  <c r="LL118" i="13" s="1"/>
  <c r="LM118" i="13" s="1"/>
  <c r="NX55" i="13"/>
  <c r="NW55" i="13"/>
  <c r="KX120" i="13"/>
  <c r="KZ120" i="13" s="1"/>
  <c r="LA120" i="13" s="1"/>
  <c r="LN120" i="13"/>
  <c r="KP120" i="13"/>
  <c r="KR120" i="13" s="1"/>
  <c r="KS120" i="13" s="1"/>
  <c r="LF120" i="13"/>
  <c r="LH120" i="13" s="1"/>
  <c r="NP33" i="13"/>
  <c r="CM33" i="13"/>
  <c r="CL33" i="13" s="1"/>
  <c r="CK33" i="13" s="1"/>
  <c r="CJ33" i="13" s="1"/>
  <c r="CI33" i="13" s="1"/>
  <c r="DK32" i="13"/>
  <c r="DJ32" i="13" s="1"/>
  <c r="DI32" i="13" s="1"/>
  <c r="DH32" i="13" s="1"/>
  <c r="DG32" i="13" s="1"/>
  <c r="NR32" i="13"/>
  <c r="NV205" i="13"/>
  <c r="NQ205" i="13"/>
  <c r="LP205" i="13"/>
  <c r="LQ205" i="13" s="1"/>
  <c r="NR205" i="13" s="1"/>
  <c r="LB179" i="13"/>
  <c r="LD179" i="13" s="1"/>
  <c r="LE179" i="13" s="1"/>
  <c r="DZ179" i="13" s="1"/>
  <c r="DY179" i="13" s="1"/>
  <c r="KT179" i="13"/>
  <c r="KV179" i="13" s="1"/>
  <c r="KW179" i="13" s="1"/>
  <c r="DB179" i="13" s="1"/>
  <c r="DA179" i="13" s="1"/>
  <c r="CZ179" i="13" s="1"/>
  <c r="CY179" i="13" s="1"/>
  <c r="CX179" i="13" s="1"/>
  <c r="LJ179" i="13"/>
  <c r="LL179" i="13" s="1"/>
  <c r="LM179" i="13" s="1"/>
  <c r="CW179" i="13" s="1"/>
  <c r="CV179" i="13" s="1"/>
  <c r="LR179" i="13"/>
  <c r="LT179" i="13" s="1"/>
  <c r="LU179" i="13" s="1"/>
  <c r="DU179" i="13" s="1"/>
  <c r="DT179" i="13" s="1"/>
  <c r="NQ58" i="13"/>
  <c r="LP58" i="13"/>
  <c r="LQ58" i="13" s="1"/>
  <c r="NR58" i="13" s="1"/>
  <c r="NV58" i="13"/>
  <c r="NP25" i="13"/>
  <c r="CM25" i="13"/>
  <c r="CL25" i="13" s="1"/>
  <c r="CK25" i="13" s="1"/>
  <c r="CJ25" i="13" s="1"/>
  <c r="CI25" i="13" s="1"/>
  <c r="KG92" i="13"/>
  <c r="NR92" i="13"/>
  <c r="NP31" i="13"/>
  <c r="CM31" i="13"/>
  <c r="CL31" i="13" s="1"/>
  <c r="CK31" i="13" s="1"/>
  <c r="CJ31" i="13" s="1"/>
  <c r="CI31" i="13" s="1"/>
  <c r="DZ201" i="13"/>
  <c r="DY201" i="13" s="1"/>
  <c r="DX201" i="13" s="1"/>
  <c r="DW201" i="13" s="1"/>
  <c r="DV201" i="13" s="1"/>
  <c r="CR201" i="13"/>
  <c r="CQ201" i="13" s="1"/>
  <c r="CP201" i="13" s="1"/>
  <c r="CO201" i="13" s="1"/>
  <c r="CN201" i="13" s="1"/>
  <c r="DB201" i="13"/>
  <c r="DA201" i="13" s="1"/>
  <c r="CZ201" i="13" s="1"/>
  <c r="CY201" i="13" s="1"/>
  <c r="CX201" i="13" s="1"/>
  <c r="DU201" i="13"/>
  <c r="DT201" i="13" s="1"/>
  <c r="DS201" i="13" s="1"/>
  <c r="DR201" i="13" s="1"/>
  <c r="DQ201" i="13" s="1"/>
  <c r="DP201" i="13"/>
  <c r="DO201" i="13" s="1"/>
  <c r="DN201" i="13" s="1"/>
  <c r="DM201" i="13" s="1"/>
  <c r="DL201" i="13" s="1"/>
  <c r="CW201" i="13"/>
  <c r="CV201" i="13" s="1"/>
  <c r="CU201" i="13" s="1"/>
  <c r="CT201" i="13" s="1"/>
  <c r="CS201" i="13" s="1"/>
  <c r="DK201" i="13"/>
  <c r="DJ201" i="13" s="1"/>
  <c r="DI201" i="13" s="1"/>
  <c r="DH201" i="13" s="1"/>
  <c r="DG201" i="13" s="1"/>
  <c r="CM201" i="13"/>
  <c r="CL201" i="13" s="1"/>
  <c r="CK201" i="13" s="1"/>
  <c r="CJ201" i="13" s="1"/>
  <c r="CI201" i="13" s="1"/>
  <c r="LP96" i="13"/>
  <c r="LQ96" i="13" s="1"/>
  <c r="NR96" i="13" s="1"/>
  <c r="NQ96" i="13"/>
  <c r="NV96" i="13"/>
  <c r="JO46" i="13"/>
  <c r="KF46" i="13"/>
  <c r="LI93" i="13"/>
  <c r="NP93" i="13" s="1"/>
  <c r="NU93" i="13"/>
  <c r="NO93" i="13"/>
  <c r="KP132" i="13"/>
  <c r="KR132" i="13" s="1"/>
  <c r="KS132" i="13" s="1"/>
  <c r="KX132" i="13"/>
  <c r="KZ132" i="13" s="1"/>
  <c r="LA132" i="13" s="1"/>
  <c r="LN132" i="13"/>
  <c r="LF132" i="13"/>
  <c r="LH132" i="13" s="1"/>
  <c r="JO170" i="13"/>
  <c r="KF170" i="13"/>
  <c r="NV64" i="13"/>
  <c r="NQ64" i="13"/>
  <c r="LP64" i="13"/>
  <c r="LQ64" i="13" s="1"/>
  <c r="NR64" i="13" s="1"/>
  <c r="LI153" i="13"/>
  <c r="NP153" i="13" s="1"/>
  <c r="NO153" i="13"/>
  <c r="NU153" i="13"/>
  <c r="NQ186" i="13"/>
  <c r="NV186" i="13"/>
  <c r="LP186" i="13"/>
  <c r="LQ186" i="13" s="1"/>
  <c r="NR186" i="13" s="1"/>
  <c r="LI181" i="13"/>
  <c r="NP181" i="13" s="1"/>
  <c r="NO181" i="13"/>
  <c r="NU181" i="13"/>
  <c r="CM50" i="13"/>
  <c r="CL50" i="13" s="1"/>
  <c r="CK50" i="13" s="1"/>
  <c r="CJ50" i="13" s="1"/>
  <c r="CI50" i="13" s="1"/>
  <c r="NU136" i="13"/>
  <c r="NO136" i="13"/>
  <c r="LI136" i="13"/>
  <c r="NP136" i="13" s="1"/>
  <c r="NO57" i="13"/>
  <c r="LI57" i="13"/>
  <c r="NP57" i="13" s="1"/>
  <c r="NU57" i="13"/>
  <c r="DN15" i="13"/>
  <c r="DM15" i="13" s="1"/>
  <c r="DL15" i="13" s="1"/>
  <c r="DN137" i="13"/>
  <c r="DM137" i="13" s="1"/>
  <c r="DL137" i="13" s="1"/>
  <c r="CM91" i="13"/>
  <c r="CL91" i="13" s="1"/>
  <c r="CK91" i="13" s="1"/>
  <c r="CJ91" i="13" s="1"/>
  <c r="CI91" i="13" s="1"/>
  <c r="CM165" i="13"/>
  <c r="CL165" i="13" s="1"/>
  <c r="CK165" i="13" s="1"/>
  <c r="CJ165" i="13" s="1"/>
  <c r="CI165" i="13" s="1"/>
  <c r="NR167" i="13"/>
  <c r="CP149" i="13"/>
  <c r="CO149" i="13" s="1"/>
  <c r="CN149" i="13" s="1"/>
  <c r="LF184" i="13"/>
  <c r="LH184" i="13" s="1"/>
  <c r="KP184" i="13"/>
  <c r="KR184" i="13" s="1"/>
  <c r="KS184" i="13" s="1"/>
  <c r="KX184" i="13"/>
  <c r="KZ184" i="13" s="1"/>
  <c r="LA184" i="13" s="1"/>
  <c r="LN184" i="13"/>
  <c r="JO117" i="13"/>
  <c r="KF117" i="13"/>
  <c r="LI122" i="13"/>
  <c r="NP122" i="13" s="1"/>
  <c r="NU122" i="13"/>
  <c r="NO122" i="13"/>
  <c r="DK189" i="13"/>
  <c r="DJ189" i="13" s="1"/>
  <c r="DI189" i="13" s="1"/>
  <c r="DH189" i="13" s="1"/>
  <c r="DG189" i="13" s="1"/>
  <c r="DK194" i="13"/>
  <c r="DJ194" i="13" s="1"/>
  <c r="DI194" i="13" s="1"/>
  <c r="DH194" i="13" s="1"/>
  <c r="DG194" i="13" s="1"/>
  <c r="NI79" i="13"/>
  <c r="KL79" i="13"/>
  <c r="KN79" i="13" s="1"/>
  <c r="KO79" i="13" s="1"/>
  <c r="NX46" i="13"/>
  <c r="NW46" i="13"/>
  <c r="NR95" i="13"/>
  <c r="BC177" i="13"/>
  <c r="BB177" i="13" s="1"/>
  <c r="BA177" i="13" s="1"/>
  <c r="AZ177" i="13" s="1"/>
  <c r="AY177" i="13" s="1"/>
  <c r="BU177" i="13"/>
  <c r="BT177" i="13" s="1"/>
  <c r="BS177" i="13" s="1"/>
  <c r="BR177" i="13" s="1"/>
  <c r="BQ177" i="13" s="1"/>
  <c r="AX177" i="13"/>
  <c r="AW177" i="13" s="1"/>
  <c r="AV177" i="13" s="1"/>
  <c r="AU177" i="13" s="1"/>
  <c r="AT177" i="13" s="1"/>
  <c r="BP177" i="13"/>
  <c r="BO177" i="13" s="1"/>
  <c r="BN177" i="13" s="1"/>
  <c r="BM177" i="13" s="1"/>
  <c r="BL177" i="13" s="1"/>
  <c r="AS177" i="13"/>
  <c r="AR177" i="13" s="1"/>
  <c r="AQ177" i="13" s="1"/>
  <c r="AP177" i="13" s="1"/>
  <c r="AO177" i="13" s="1"/>
  <c r="AL177" i="13" s="1"/>
  <c r="CE177" i="13"/>
  <c r="CD177" i="13" s="1"/>
  <c r="CC177" i="13" s="1"/>
  <c r="CB177" i="13" s="1"/>
  <c r="CA177" i="13" s="1"/>
  <c r="BH177" i="13"/>
  <c r="BG177" i="13" s="1"/>
  <c r="BF177" i="13" s="1"/>
  <c r="BE177" i="13" s="1"/>
  <c r="BD177" i="13" s="1"/>
  <c r="BZ177" i="13"/>
  <c r="BY177" i="13" s="1"/>
  <c r="BX177" i="13" s="1"/>
  <c r="BW177" i="13" s="1"/>
  <c r="BV177" i="13" s="1"/>
  <c r="LP168" i="13"/>
  <c r="LQ168" i="13" s="1"/>
  <c r="DK168" i="13" s="1"/>
  <c r="DJ168" i="13" s="1"/>
  <c r="NV168" i="13"/>
  <c r="NQ168" i="13"/>
  <c r="NX109" i="13"/>
  <c r="NW109" i="13"/>
  <c r="KT102" i="13"/>
  <c r="KV102" i="13" s="1"/>
  <c r="KW102" i="13" s="1"/>
  <c r="DB102" i="13" s="1"/>
  <c r="DA102" i="13" s="1"/>
  <c r="LJ102" i="13"/>
  <c r="LL102" i="13" s="1"/>
  <c r="LM102" i="13" s="1"/>
  <c r="CW102" i="13" s="1"/>
  <c r="CV102" i="13" s="1"/>
  <c r="LB102" i="13"/>
  <c r="LD102" i="13" s="1"/>
  <c r="LE102" i="13" s="1"/>
  <c r="DZ102" i="13" s="1"/>
  <c r="DY102" i="13" s="1"/>
  <c r="DX102" i="13" s="1"/>
  <c r="DW102" i="13" s="1"/>
  <c r="DV102" i="13" s="1"/>
  <c r="LR102" i="13"/>
  <c r="LT102" i="13" s="1"/>
  <c r="LU102" i="13" s="1"/>
  <c r="DU102" i="13" s="1"/>
  <c r="DT102" i="13" s="1"/>
  <c r="DS102" i="13" s="1"/>
  <c r="DR102" i="13" s="1"/>
  <c r="DQ102" i="13" s="1"/>
  <c r="NI138" i="13"/>
  <c r="KL138" i="13"/>
  <c r="KN138" i="13" s="1"/>
  <c r="KO138" i="13" s="1"/>
  <c r="NX167" i="13"/>
  <c r="NW167" i="13"/>
  <c r="NN30" i="13"/>
  <c r="BP30" i="13"/>
  <c r="BO30" i="13" s="1"/>
  <c r="BN30" i="13" s="1"/>
  <c r="BM30" i="13" s="1"/>
  <c r="BL30" i="13" s="1"/>
  <c r="NO129" i="13"/>
  <c r="LI129" i="13"/>
  <c r="NP129" i="13" s="1"/>
  <c r="NU129" i="13"/>
  <c r="JO83" i="13"/>
  <c r="KF83" i="13"/>
  <c r="NV162" i="13"/>
  <c r="NQ162" i="13"/>
  <c r="LP162" i="13"/>
  <c r="LQ162" i="13" s="1"/>
  <c r="NR162" i="13" s="1"/>
  <c r="NQ172" i="13"/>
  <c r="NV172" i="13"/>
  <c r="LP172" i="13"/>
  <c r="LQ172" i="13" s="1"/>
  <c r="NR172" i="13" s="1"/>
  <c r="LN185" i="13"/>
  <c r="LF185" i="13"/>
  <c r="LH185" i="13" s="1"/>
  <c r="KP185" i="13"/>
  <c r="KR185" i="13" s="1"/>
  <c r="KS185" i="13" s="1"/>
  <c r="KX185" i="13"/>
  <c r="KZ185" i="13" s="1"/>
  <c r="LA185" i="13" s="1"/>
  <c r="NL30" i="13"/>
  <c r="AS30" i="13"/>
  <c r="AR30" i="13" s="1"/>
  <c r="AQ30" i="13" s="1"/>
  <c r="AP30" i="13" s="1"/>
  <c r="AO30" i="13" s="1"/>
  <c r="AL30" i="13" s="1"/>
  <c r="NV121" i="13"/>
  <c r="NQ121" i="13"/>
  <c r="LP121" i="13"/>
  <c r="LQ121" i="13" s="1"/>
  <c r="NR121" i="13" s="1"/>
  <c r="KX178" i="13"/>
  <c r="KZ178" i="13" s="1"/>
  <c r="LA178" i="13" s="1"/>
  <c r="KP178" i="13"/>
  <c r="KR178" i="13" s="1"/>
  <c r="KS178" i="13" s="1"/>
  <c r="LF178" i="13"/>
  <c r="LH178" i="13" s="1"/>
  <c r="LN178" i="13"/>
  <c r="LB78" i="13"/>
  <c r="LD78" i="13" s="1"/>
  <c r="LE78" i="13" s="1"/>
  <c r="DZ78" i="13" s="1"/>
  <c r="DY78" i="13" s="1"/>
  <c r="DX78" i="13" s="1"/>
  <c r="DW78" i="13" s="1"/>
  <c r="DV78" i="13" s="1"/>
  <c r="LR78" i="13"/>
  <c r="LT78" i="13" s="1"/>
  <c r="LU78" i="13" s="1"/>
  <c r="DU78" i="13" s="1"/>
  <c r="DT78" i="13" s="1"/>
  <c r="DS78" i="13" s="1"/>
  <c r="DR78" i="13" s="1"/>
  <c r="DQ78" i="13" s="1"/>
  <c r="LJ78" i="13"/>
  <c r="LL78" i="13" s="1"/>
  <c r="LM78" i="13" s="1"/>
  <c r="CW78" i="13" s="1"/>
  <c r="CV78" i="13" s="1"/>
  <c r="KT78" i="13"/>
  <c r="KV78" i="13" s="1"/>
  <c r="KW78" i="13" s="1"/>
  <c r="DB78" i="13" s="1"/>
  <c r="DA78" i="13" s="1"/>
  <c r="CU211" i="13"/>
  <c r="CT211" i="13" s="1"/>
  <c r="CS211" i="13" s="1"/>
  <c r="NR25" i="13"/>
  <c r="DK25" i="13"/>
  <c r="DJ25" i="13" s="1"/>
  <c r="DI25" i="13" s="1"/>
  <c r="DH25" i="13" s="1"/>
  <c r="DG25" i="13" s="1"/>
  <c r="AX199" i="13"/>
  <c r="AW199" i="13" s="1"/>
  <c r="AV199" i="13" s="1"/>
  <c r="AU199" i="13" s="1"/>
  <c r="AT199" i="13" s="1"/>
  <c r="CE199" i="13"/>
  <c r="CD199" i="13" s="1"/>
  <c r="CC199" i="13" s="1"/>
  <c r="CB199" i="13" s="1"/>
  <c r="CA199" i="13" s="1"/>
  <c r="AS199" i="13"/>
  <c r="AR199" i="13" s="1"/>
  <c r="AQ199" i="13" s="1"/>
  <c r="AP199" i="13" s="1"/>
  <c r="AO199" i="13" s="1"/>
  <c r="AL199" i="13" s="1"/>
  <c r="BP199" i="13"/>
  <c r="BO199" i="13" s="1"/>
  <c r="BN199" i="13" s="1"/>
  <c r="BM199" i="13" s="1"/>
  <c r="BL199" i="13" s="1"/>
  <c r="BH199" i="13"/>
  <c r="BG199" i="13" s="1"/>
  <c r="BF199" i="13" s="1"/>
  <c r="BE199" i="13" s="1"/>
  <c r="BD199" i="13" s="1"/>
  <c r="BC199" i="13"/>
  <c r="BB199" i="13" s="1"/>
  <c r="BA199" i="13" s="1"/>
  <c r="AZ199" i="13" s="1"/>
  <c r="AY199" i="13" s="1"/>
  <c r="BZ199" i="13"/>
  <c r="BY199" i="13" s="1"/>
  <c r="BX199" i="13" s="1"/>
  <c r="BW199" i="13" s="1"/>
  <c r="BV199" i="13" s="1"/>
  <c r="BU199" i="13"/>
  <c r="BT199" i="13" s="1"/>
  <c r="BS199" i="13" s="1"/>
  <c r="BR199" i="13" s="1"/>
  <c r="BQ199" i="13" s="1"/>
  <c r="NV48" i="13"/>
  <c r="NQ48" i="13"/>
  <c r="LP48" i="13"/>
  <c r="LQ48" i="13" s="1"/>
  <c r="NR48" i="13" s="1"/>
  <c r="BZ132" i="13"/>
  <c r="BY132" i="13" s="1"/>
  <c r="BX132" i="13" s="1"/>
  <c r="BW132" i="13" s="1"/>
  <c r="BV132" i="13" s="1"/>
  <c r="BH132" i="13"/>
  <c r="BG132" i="13" s="1"/>
  <c r="BF132" i="13" s="1"/>
  <c r="BE132" i="13" s="1"/>
  <c r="BD132" i="13" s="1"/>
  <c r="BC132" i="13"/>
  <c r="BB132" i="13" s="1"/>
  <c r="BA132" i="13" s="1"/>
  <c r="AZ132" i="13" s="1"/>
  <c r="AY132" i="13" s="1"/>
  <c r="AS132" i="13"/>
  <c r="AR132" i="13" s="1"/>
  <c r="AQ132" i="13" s="1"/>
  <c r="AP132" i="13" s="1"/>
  <c r="AO132" i="13" s="1"/>
  <c r="AL132" i="13" s="1"/>
  <c r="BU132" i="13"/>
  <c r="BT132" i="13" s="1"/>
  <c r="BS132" i="13" s="1"/>
  <c r="BR132" i="13" s="1"/>
  <c r="BQ132" i="13" s="1"/>
  <c r="AX132" i="13"/>
  <c r="AW132" i="13" s="1"/>
  <c r="AV132" i="13" s="1"/>
  <c r="AU132" i="13" s="1"/>
  <c r="AT132" i="13" s="1"/>
  <c r="BP132" i="13"/>
  <c r="BO132" i="13" s="1"/>
  <c r="BN132" i="13" s="1"/>
  <c r="BM132" i="13" s="1"/>
  <c r="BL132" i="13" s="1"/>
  <c r="CE132" i="13"/>
  <c r="CD132" i="13" s="1"/>
  <c r="CC132" i="13" s="1"/>
  <c r="CB132" i="13" s="1"/>
  <c r="CA132" i="13" s="1"/>
  <c r="LB95" i="13"/>
  <c r="LD95" i="13" s="1"/>
  <c r="LE95" i="13" s="1"/>
  <c r="DZ95" i="13" s="1"/>
  <c r="DY95" i="13" s="1"/>
  <c r="KT95" i="13"/>
  <c r="KV95" i="13" s="1"/>
  <c r="KW95" i="13" s="1"/>
  <c r="DB95" i="13" s="1"/>
  <c r="DA95" i="13" s="1"/>
  <c r="CZ95" i="13" s="1"/>
  <c r="CY95" i="13" s="1"/>
  <c r="CX95" i="13" s="1"/>
  <c r="LJ95" i="13"/>
  <c r="LL95" i="13" s="1"/>
  <c r="LM95" i="13" s="1"/>
  <c r="LR95" i="13"/>
  <c r="LT95" i="13" s="1"/>
  <c r="LU95" i="13" s="1"/>
  <c r="DU95" i="13" s="1"/>
  <c r="DT95" i="13" s="1"/>
  <c r="NX44" i="13"/>
  <c r="NW44" i="13"/>
  <c r="KG121" i="13"/>
  <c r="CP193" i="13"/>
  <c r="CO193" i="13" s="1"/>
  <c r="CN193" i="13" s="1"/>
  <c r="BH108" i="13"/>
  <c r="BG108" i="13" s="1"/>
  <c r="BF108" i="13" s="1"/>
  <c r="BE108" i="13" s="1"/>
  <c r="BD108" i="13" s="1"/>
  <c r="BZ108" i="13"/>
  <c r="BY108" i="13" s="1"/>
  <c r="BX108" i="13" s="1"/>
  <c r="BW108" i="13" s="1"/>
  <c r="BV108" i="13" s="1"/>
  <c r="BC108" i="13"/>
  <c r="BB108" i="13" s="1"/>
  <c r="BA108" i="13" s="1"/>
  <c r="AZ108" i="13" s="1"/>
  <c r="AY108" i="13" s="1"/>
  <c r="BU108" i="13"/>
  <c r="BT108" i="13" s="1"/>
  <c r="BS108" i="13" s="1"/>
  <c r="BR108" i="13" s="1"/>
  <c r="BQ108" i="13" s="1"/>
  <c r="CE108" i="13"/>
  <c r="CD108" i="13" s="1"/>
  <c r="CC108" i="13" s="1"/>
  <c r="CB108" i="13" s="1"/>
  <c r="CA108" i="13" s="1"/>
  <c r="BP108" i="13"/>
  <c r="BO108" i="13" s="1"/>
  <c r="BN108" i="13" s="1"/>
  <c r="BM108" i="13" s="1"/>
  <c r="BL108" i="13" s="1"/>
  <c r="AS108" i="13"/>
  <c r="AR108" i="13" s="1"/>
  <c r="AQ108" i="13" s="1"/>
  <c r="AP108" i="13" s="1"/>
  <c r="AO108" i="13" s="1"/>
  <c r="AL108" i="13" s="1"/>
  <c r="AX108" i="13"/>
  <c r="AW108" i="13" s="1"/>
  <c r="AV108" i="13" s="1"/>
  <c r="AU108" i="13" s="1"/>
  <c r="AT108" i="13" s="1"/>
  <c r="BC130" i="13"/>
  <c r="BB130" i="13" s="1"/>
  <c r="BA130" i="13" s="1"/>
  <c r="AZ130" i="13" s="1"/>
  <c r="AY130" i="13" s="1"/>
  <c r="BU130" i="13"/>
  <c r="BT130" i="13" s="1"/>
  <c r="BS130" i="13" s="1"/>
  <c r="BR130" i="13" s="1"/>
  <c r="BQ130" i="13" s="1"/>
  <c r="AX130" i="13"/>
  <c r="AW130" i="13" s="1"/>
  <c r="AV130" i="13" s="1"/>
  <c r="AU130" i="13" s="1"/>
  <c r="AT130" i="13" s="1"/>
  <c r="AS130" i="13"/>
  <c r="AR130" i="13" s="1"/>
  <c r="AQ130" i="13" s="1"/>
  <c r="AP130" i="13" s="1"/>
  <c r="AO130" i="13" s="1"/>
  <c r="AL130" i="13" s="1"/>
  <c r="BP130" i="13"/>
  <c r="BO130" i="13" s="1"/>
  <c r="BN130" i="13" s="1"/>
  <c r="BM130" i="13" s="1"/>
  <c r="BL130" i="13" s="1"/>
  <c r="CE130" i="13"/>
  <c r="CD130" i="13" s="1"/>
  <c r="CC130" i="13" s="1"/>
  <c r="CB130" i="13" s="1"/>
  <c r="CA130" i="13" s="1"/>
  <c r="BH130" i="13"/>
  <c r="BG130" i="13" s="1"/>
  <c r="BF130" i="13" s="1"/>
  <c r="BE130" i="13" s="1"/>
  <c r="BD130" i="13" s="1"/>
  <c r="BZ130" i="13"/>
  <c r="BY130" i="13" s="1"/>
  <c r="BX130" i="13" s="1"/>
  <c r="BW130" i="13" s="1"/>
  <c r="BV130" i="13" s="1"/>
  <c r="DK147" i="13"/>
  <c r="DJ147" i="13" s="1"/>
  <c r="DI147" i="13" s="1"/>
  <c r="DH147" i="13" s="1"/>
  <c r="DG147" i="13" s="1"/>
  <c r="DB147" i="13"/>
  <c r="DA147" i="13" s="1"/>
  <c r="CZ147" i="13" s="1"/>
  <c r="CY147" i="13" s="1"/>
  <c r="CX147" i="13" s="1"/>
  <c r="DZ147" i="13"/>
  <c r="DY147" i="13" s="1"/>
  <c r="DX147" i="13" s="1"/>
  <c r="DW147" i="13" s="1"/>
  <c r="DV147" i="13" s="1"/>
  <c r="CR147" i="13"/>
  <c r="CQ147" i="13" s="1"/>
  <c r="CP147" i="13" s="1"/>
  <c r="CO147" i="13" s="1"/>
  <c r="CN147" i="13" s="1"/>
  <c r="CM147" i="13"/>
  <c r="CL147" i="13" s="1"/>
  <c r="CK147" i="13" s="1"/>
  <c r="CJ147" i="13" s="1"/>
  <c r="CI147" i="13" s="1"/>
  <c r="CW147" i="13"/>
  <c r="CV147" i="13" s="1"/>
  <c r="CU147" i="13" s="1"/>
  <c r="CT147" i="13" s="1"/>
  <c r="CS147" i="13" s="1"/>
  <c r="DP147" i="13"/>
  <c r="DO147" i="13" s="1"/>
  <c r="DN147" i="13" s="1"/>
  <c r="DM147" i="13" s="1"/>
  <c r="DL147" i="13" s="1"/>
  <c r="DU147" i="13"/>
  <c r="DT147" i="13" s="1"/>
  <c r="DS147" i="13" s="1"/>
  <c r="DR147" i="13" s="1"/>
  <c r="DQ147" i="13" s="1"/>
  <c r="NI46" i="13"/>
  <c r="KL46" i="13"/>
  <c r="KN46" i="13" s="1"/>
  <c r="KO46" i="13" s="1"/>
  <c r="NV93" i="13"/>
  <c r="LP93" i="13"/>
  <c r="LQ93" i="13" s="1"/>
  <c r="NQ93" i="13"/>
  <c r="NI170" i="13"/>
  <c r="KL170" i="13"/>
  <c r="KN170" i="13" s="1"/>
  <c r="KO170" i="13" s="1"/>
  <c r="NO98" i="13"/>
  <c r="NU98" i="13"/>
  <c r="LI98" i="13"/>
  <c r="NP98" i="13" s="1"/>
  <c r="DK51" i="13"/>
  <c r="DJ51" i="13" s="1"/>
  <c r="DI51" i="13" s="1"/>
  <c r="DH51" i="13" s="1"/>
  <c r="DG51" i="13" s="1"/>
  <c r="DZ51" i="13"/>
  <c r="DY51" i="13" s="1"/>
  <c r="DX51" i="13" s="1"/>
  <c r="DW51" i="13" s="1"/>
  <c r="DV51" i="13" s="1"/>
  <c r="CR51" i="13"/>
  <c r="CQ51" i="13" s="1"/>
  <c r="CP51" i="13" s="1"/>
  <c r="CO51" i="13" s="1"/>
  <c r="CN51" i="13" s="1"/>
  <c r="DU51" i="13"/>
  <c r="DT51" i="13" s="1"/>
  <c r="DS51" i="13" s="1"/>
  <c r="DR51" i="13" s="1"/>
  <c r="DQ51" i="13" s="1"/>
  <c r="DB51" i="13"/>
  <c r="DA51" i="13" s="1"/>
  <c r="CZ51" i="13" s="1"/>
  <c r="CY51" i="13" s="1"/>
  <c r="CX51" i="13" s="1"/>
  <c r="DP51" i="13"/>
  <c r="DO51" i="13" s="1"/>
  <c r="DN51" i="13" s="1"/>
  <c r="DM51" i="13" s="1"/>
  <c r="DL51" i="13" s="1"/>
  <c r="CM51" i="13"/>
  <c r="CL51" i="13" s="1"/>
  <c r="CK51" i="13" s="1"/>
  <c r="CJ51" i="13" s="1"/>
  <c r="CI51" i="13" s="1"/>
  <c r="CW51" i="13"/>
  <c r="CV51" i="13" s="1"/>
  <c r="CU51" i="13" s="1"/>
  <c r="CT51" i="13" s="1"/>
  <c r="CS51" i="13" s="1"/>
  <c r="DX33" i="13"/>
  <c r="DW33" i="13" s="1"/>
  <c r="DV33" i="13" s="1"/>
  <c r="NQ108" i="13"/>
  <c r="LP108" i="13"/>
  <c r="LQ108" i="13" s="1"/>
  <c r="NR108" i="13" s="1"/>
  <c r="NV108" i="13"/>
  <c r="CE30" i="13"/>
  <c r="CD30" i="13" s="1"/>
  <c r="CC30" i="13" s="1"/>
  <c r="CB30" i="13" s="1"/>
  <c r="CA30" i="13" s="1"/>
  <c r="NU17" i="13"/>
  <c r="NO17" i="13"/>
  <c r="CP17" i="13" s="1"/>
  <c r="CO17" i="13" s="1"/>
  <c r="CN17" i="13" s="1"/>
  <c r="LI17" i="13"/>
  <c r="KX61" i="13"/>
  <c r="KZ61" i="13" s="1"/>
  <c r="LA61" i="13" s="1"/>
  <c r="KP61" i="13"/>
  <c r="KR61" i="13" s="1"/>
  <c r="KS61" i="13" s="1"/>
  <c r="LF61" i="13"/>
  <c r="LH61" i="13" s="1"/>
  <c r="LN61" i="13"/>
  <c r="NV181" i="13"/>
  <c r="NQ181" i="13"/>
  <c r="LP181" i="13"/>
  <c r="LQ181" i="13" s="1"/>
  <c r="NR181" i="13" s="1"/>
  <c r="CP50" i="13"/>
  <c r="CO50" i="13" s="1"/>
  <c r="CN50" i="13" s="1"/>
  <c r="NQ57" i="13"/>
  <c r="LP57" i="13"/>
  <c r="LQ57" i="13" s="1"/>
  <c r="NV57" i="13"/>
  <c r="JO134" i="13"/>
  <c r="KF134" i="13"/>
  <c r="LB108" i="13"/>
  <c r="LD108" i="13" s="1"/>
  <c r="LE108" i="13" s="1"/>
  <c r="DZ108" i="13" s="1"/>
  <c r="DY108" i="13" s="1"/>
  <c r="LJ108" i="13"/>
  <c r="LL108" i="13" s="1"/>
  <c r="LM108" i="13" s="1"/>
  <c r="CW108" i="13" s="1"/>
  <c r="CV108" i="13" s="1"/>
  <c r="KT108" i="13"/>
  <c r="KV108" i="13" s="1"/>
  <c r="KW108" i="13" s="1"/>
  <c r="DB108" i="13" s="1"/>
  <c r="DA108" i="13" s="1"/>
  <c r="LR108" i="13"/>
  <c r="LT108" i="13" s="1"/>
  <c r="LU108" i="13" s="1"/>
  <c r="DU108" i="13" s="1"/>
  <c r="DT108" i="13" s="1"/>
  <c r="LR89" i="13"/>
  <c r="LT89" i="13" s="1"/>
  <c r="LU89" i="13" s="1"/>
  <c r="KT89" i="13"/>
  <c r="KV89" i="13" s="1"/>
  <c r="KW89" i="13" s="1"/>
  <c r="LB89" i="13"/>
  <c r="LD89" i="13" s="1"/>
  <c r="LE89" i="13" s="1"/>
  <c r="LJ89" i="13"/>
  <c r="LL89" i="13" s="1"/>
  <c r="LM89" i="13" s="1"/>
  <c r="NV213" i="13"/>
  <c r="NQ213" i="13"/>
  <c r="LP213" i="13"/>
  <c r="LQ213" i="13" s="1"/>
  <c r="NR213" i="13" s="1"/>
  <c r="CM167" i="13"/>
  <c r="CL167" i="13" s="1"/>
  <c r="DP167" i="13"/>
  <c r="DO167" i="13" s="1"/>
  <c r="DN167" i="13" s="1"/>
  <c r="DM167" i="13" s="1"/>
  <c r="DL167" i="13" s="1"/>
  <c r="DK167" i="13"/>
  <c r="DJ167" i="13" s="1"/>
  <c r="DI167" i="13" s="1"/>
  <c r="DH167" i="13" s="1"/>
  <c r="DG167" i="13" s="1"/>
  <c r="CR167" i="13"/>
  <c r="CQ167" i="13" s="1"/>
  <c r="NI117" i="13"/>
  <c r="KL117" i="13"/>
  <c r="KN117" i="13" s="1"/>
  <c r="KO117" i="13" s="1"/>
  <c r="NV122" i="13"/>
  <c r="NQ122" i="13"/>
  <c r="LP122" i="13"/>
  <c r="LQ122" i="13" s="1"/>
  <c r="DN194" i="13"/>
  <c r="DM194" i="13" s="1"/>
  <c r="DL194" i="13" s="1"/>
  <c r="NU89" i="13"/>
  <c r="NO89" i="13"/>
  <c r="LI89" i="13"/>
  <c r="NP89" i="13" s="1"/>
  <c r="DK95" i="13"/>
  <c r="DJ95" i="13" s="1"/>
  <c r="DI95" i="13" s="1"/>
  <c r="DH95" i="13" s="1"/>
  <c r="DG95" i="13" s="1"/>
  <c r="CW95" i="13"/>
  <c r="CV95" i="13" s="1"/>
  <c r="CU95" i="13" s="1"/>
  <c r="CT95" i="13" s="1"/>
  <c r="CS95" i="13" s="1"/>
  <c r="CR95" i="13"/>
  <c r="CQ95" i="13" s="1"/>
  <c r="DP95" i="13"/>
  <c r="DO95" i="13" s="1"/>
  <c r="DN95" i="13" s="1"/>
  <c r="DM95" i="13" s="1"/>
  <c r="DL95" i="13" s="1"/>
  <c r="CM95" i="13"/>
  <c r="CL95" i="13" s="1"/>
  <c r="NX119" i="13"/>
  <c r="NW119" i="13"/>
  <c r="DI160" i="13"/>
  <c r="DH160" i="13" s="1"/>
  <c r="DG160" i="13" s="1"/>
  <c r="NI83" i="13"/>
  <c r="KL83" i="13"/>
  <c r="KN83" i="13" s="1"/>
  <c r="KO83" i="13" s="1"/>
  <c r="KX142" i="13"/>
  <c r="KZ142" i="13" s="1"/>
  <c r="LA142" i="13" s="1"/>
  <c r="LF142" i="13"/>
  <c r="LH142" i="13" s="1"/>
  <c r="LN142" i="13"/>
  <c r="KP142" i="13"/>
  <c r="KR142" i="13" s="1"/>
  <c r="KS142" i="13" s="1"/>
  <c r="DZ208" i="13"/>
  <c r="DY208" i="13" s="1"/>
  <c r="DB208" i="13"/>
  <c r="DA208" i="13" s="1"/>
  <c r="DK208" i="13"/>
  <c r="DJ208" i="13" s="1"/>
  <c r="DI208" i="13" s="1"/>
  <c r="DH208" i="13" s="1"/>
  <c r="DG208" i="13" s="1"/>
  <c r="CR208" i="13"/>
  <c r="CQ208" i="13" s="1"/>
  <c r="CP208" i="13" s="1"/>
  <c r="CO208" i="13" s="1"/>
  <c r="CN208" i="13" s="1"/>
  <c r="DP208" i="13"/>
  <c r="DO208" i="13" s="1"/>
  <c r="DN208" i="13" s="1"/>
  <c r="DM208" i="13" s="1"/>
  <c r="DL208" i="13" s="1"/>
  <c r="CM208" i="13"/>
  <c r="CL208" i="13" s="1"/>
  <c r="DU208" i="13"/>
  <c r="DT208" i="13" s="1"/>
  <c r="NI100" i="13"/>
  <c r="KL100" i="13"/>
  <c r="KN100" i="13" s="1"/>
  <c r="KO100" i="13" s="1"/>
  <c r="LI162" i="13"/>
  <c r="NP162" i="13" s="1"/>
  <c r="NU162" i="13"/>
  <c r="NO162" i="13"/>
  <c r="CZ148" i="13"/>
  <c r="CY148" i="13" s="1"/>
  <c r="CX148" i="13" s="1"/>
  <c r="NX61" i="13"/>
  <c r="NW61" i="13"/>
  <c r="LI121" i="13"/>
  <c r="NP121" i="13" s="1"/>
  <c r="NU121" i="13"/>
  <c r="NO121" i="13"/>
  <c r="DP136" i="13"/>
  <c r="DO136" i="13" s="1"/>
  <c r="DZ136" i="13"/>
  <c r="DY136" i="13" s="1"/>
  <c r="CR136" i="13"/>
  <c r="CQ136" i="13" s="1"/>
  <c r="CP136" i="13" s="1"/>
  <c r="CO136" i="13" s="1"/>
  <c r="CN136" i="13" s="1"/>
  <c r="CM136" i="13"/>
  <c r="CL136" i="13" s="1"/>
  <c r="CK136" i="13" s="1"/>
  <c r="CJ136" i="13" s="1"/>
  <c r="CI136" i="13" s="1"/>
  <c r="CW136" i="13"/>
  <c r="CV136" i="13" s="1"/>
  <c r="CU136" i="13" s="1"/>
  <c r="CT136" i="13" s="1"/>
  <c r="CS136" i="13" s="1"/>
  <c r="DU136" i="13"/>
  <c r="DT136" i="13" s="1"/>
  <c r="LN144" i="13"/>
  <c r="KP144" i="13"/>
  <c r="KR144" i="13" s="1"/>
  <c r="KS144" i="13" s="1"/>
  <c r="KX144" i="13"/>
  <c r="KZ144" i="13" s="1"/>
  <c r="LA144" i="13" s="1"/>
  <c r="LF144" i="13"/>
  <c r="LH144" i="13" s="1"/>
  <c r="NU14" i="13"/>
  <c r="NO14" i="13"/>
  <c r="LI14" i="13"/>
  <c r="LP179" i="13"/>
  <c r="LQ179" i="13" s="1"/>
  <c r="DK179" i="13" s="1"/>
  <c r="DJ179" i="13" s="1"/>
  <c r="NV179" i="13"/>
  <c r="NQ179" i="13"/>
  <c r="DK65" i="13"/>
  <c r="DJ65" i="13" s="1"/>
  <c r="DI65" i="13" s="1"/>
  <c r="DH65" i="13" s="1"/>
  <c r="DG65" i="13" s="1"/>
  <c r="NV163" i="13"/>
  <c r="NQ163" i="13"/>
  <c r="LP163" i="13"/>
  <c r="LQ163" i="13" s="1"/>
  <c r="NR163" i="13" s="1"/>
  <c r="DX31" i="13"/>
  <c r="DW31" i="13" s="1"/>
  <c r="DV31" i="13" s="1"/>
  <c r="NO58" i="13"/>
  <c r="LI58" i="13"/>
  <c r="NP58" i="13" s="1"/>
  <c r="NU58" i="13"/>
  <c r="CM193" i="13"/>
  <c r="CL193" i="13" s="1"/>
  <c r="CK193" i="13" s="1"/>
  <c r="CJ193" i="13" s="1"/>
  <c r="CI193" i="13" s="1"/>
  <c r="BC79" i="13"/>
  <c r="BB79" i="13" s="1"/>
  <c r="BA79" i="13" s="1"/>
  <c r="AZ79" i="13" s="1"/>
  <c r="AY79" i="13" s="1"/>
  <c r="BU79" i="13"/>
  <c r="BT79" i="13" s="1"/>
  <c r="BS79" i="13" s="1"/>
  <c r="BR79" i="13" s="1"/>
  <c r="BQ79" i="13" s="1"/>
  <c r="AX79" i="13"/>
  <c r="AW79" i="13" s="1"/>
  <c r="AV79" i="13" s="1"/>
  <c r="AU79" i="13" s="1"/>
  <c r="AT79" i="13" s="1"/>
  <c r="BP79" i="13"/>
  <c r="BO79" i="13" s="1"/>
  <c r="BN79" i="13" s="1"/>
  <c r="BM79" i="13" s="1"/>
  <c r="BL79" i="13" s="1"/>
  <c r="CE79" i="13"/>
  <c r="CD79" i="13" s="1"/>
  <c r="CC79" i="13" s="1"/>
  <c r="CB79" i="13" s="1"/>
  <c r="CA79" i="13" s="1"/>
  <c r="AS79" i="13"/>
  <c r="AR79" i="13" s="1"/>
  <c r="AQ79" i="13" s="1"/>
  <c r="AP79" i="13" s="1"/>
  <c r="AO79" i="13" s="1"/>
  <c r="AL79" i="13" s="1"/>
  <c r="BZ79" i="13"/>
  <c r="BY79" i="13" s="1"/>
  <c r="BX79" i="13" s="1"/>
  <c r="BW79" i="13" s="1"/>
  <c r="BV79" i="13" s="1"/>
  <c r="BH79" i="13"/>
  <c r="BG79" i="13" s="1"/>
  <c r="BF79" i="13" s="1"/>
  <c r="BE79" i="13" s="1"/>
  <c r="BD79" i="13" s="1"/>
  <c r="DX25" i="13"/>
  <c r="DW25" i="13" s="1"/>
  <c r="DV25" i="13" s="1"/>
  <c r="NX69" i="13"/>
  <c r="NW69" i="13"/>
  <c r="AX191" i="13"/>
  <c r="AW191" i="13" s="1"/>
  <c r="AV191" i="13" s="1"/>
  <c r="AU191" i="13" s="1"/>
  <c r="AT191" i="13" s="1"/>
  <c r="AS191" i="13"/>
  <c r="AR191" i="13" s="1"/>
  <c r="AQ191" i="13" s="1"/>
  <c r="AP191" i="13" s="1"/>
  <c r="AO191" i="13" s="1"/>
  <c r="AL191" i="13" s="1"/>
  <c r="BP191" i="13"/>
  <c r="BO191" i="13" s="1"/>
  <c r="BN191" i="13" s="1"/>
  <c r="BM191" i="13" s="1"/>
  <c r="BL191" i="13" s="1"/>
  <c r="BZ191" i="13"/>
  <c r="BY191" i="13" s="1"/>
  <c r="BX191" i="13" s="1"/>
  <c r="BW191" i="13" s="1"/>
  <c r="BV191" i="13" s="1"/>
  <c r="BH191" i="13"/>
  <c r="BG191" i="13" s="1"/>
  <c r="BF191" i="13" s="1"/>
  <c r="BE191" i="13" s="1"/>
  <c r="BD191" i="13" s="1"/>
  <c r="CE191" i="13"/>
  <c r="CD191" i="13" s="1"/>
  <c r="CC191" i="13" s="1"/>
  <c r="CB191" i="13" s="1"/>
  <c r="CA191" i="13" s="1"/>
  <c r="BU191" i="13"/>
  <c r="BT191" i="13" s="1"/>
  <c r="BS191" i="13" s="1"/>
  <c r="BR191" i="13" s="1"/>
  <c r="BQ191" i="13" s="1"/>
  <c r="BC191" i="13"/>
  <c r="BB191" i="13" s="1"/>
  <c r="BA191" i="13" s="1"/>
  <c r="AZ191" i="13" s="1"/>
  <c r="AY191" i="13" s="1"/>
  <c r="BP70" i="13"/>
  <c r="BO70" i="13" s="1"/>
  <c r="BN70" i="13" s="1"/>
  <c r="BM70" i="13" s="1"/>
  <c r="BL70" i="13" s="1"/>
  <c r="BU70" i="13"/>
  <c r="BT70" i="13" s="1"/>
  <c r="BS70" i="13" s="1"/>
  <c r="BR70" i="13" s="1"/>
  <c r="BQ70" i="13" s="1"/>
  <c r="CE70" i="13"/>
  <c r="CD70" i="13" s="1"/>
  <c r="CC70" i="13" s="1"/>
  <c r="CB70" i="13" s="1"/>
  <c r="CA70" i="13" s="1"/>
  <c r="AX70" i="13"/>
  <c r="AW70" i="13" s="1"/>
  <c r="AV70" i="13" s="1"/>
  <c r="AU70" i="13" s="1"/>
  <c r="AT70" i="13" s="1"/>
  <c r="AS70" i="13"/>
  <c r="AR70" i="13" s="1"/>
  <c r="AQ70" i="13" s="1"/>
  <c r="AP70" i="13" s="1"/>
  <c r="AO70" i="13" s="1"/>
  <c r="AL70" i="13" s="1"/>
  <c r="BH70" i="13"/>
  <c r="BG70" i="13" s="1"/>
  <c r="BF70" i="13" s="1"/>
  <c r="BE70" i="13" s="1"/>
  <c r="BD70" i="13" s="1"/>
  <c r="BZ70" i="13"/>
  <c r="BY70" i="13" s="1"/>
  <c r="BX70" i="13" s="1"/>
  <c r="BW70" i="13" s="1"/>
  <c r="BV70" i="13" s="1"/>
  <c r="BC70" i="13"/>
  <c r="BB70" i="13" s="1"/>
  <c r="BA70" i="13" s="1"/>
  <c r="AZ70" i="13" s="1"/>
  <c r="AY70" i="13" s="1"/>
  <c r="DK113" i="13"/>
  <c r="DJ113" i="13" s="1"/>
  <c r="DI113" i="13" s="1"/>
  <c r="DH113" i="13" s="1"/>
  <c r="DG113" i="13" s="1"/>
  <c r="KT72" i="13"/>
  <c r="KV72" i="13" s="1"/>
  <c r="KW72" i="13" s="1"/>
  <c r="LJ72" i="13"/>
  <c r="LL72" i="13" s="1"/>
  <c r="LM72" i="13" s="1"/>
  <c r="LR72" i="13"/>
  <c r="LT72" i="13" s="1"/>
  <c r="LU72" i="13" s="1"/>
  <c r="LB72" i="13"/>
  <c r="LD72" i="13" s="1"/>
  <c r="LE72" i="13" s="1"/>
  <c r="JO209" i="13"/>
  <c r="KF209" i="13"/>
  <c r="NQ98" i="13"/>
  <c r="LP98" i="13"/>
  <c r="LQ98" i="13" s="1"/>
  <c r="NR98" i="13" s="1"/>
  <c r="NV98" i="13"/>
  <c r="KG57" i="13"/>
  <c r="NR57" i="13"/>
  <c r="DS175" i="13"/>
  <c r="DR175" i="13" s="1"/>
  <c r="DQ175" i="13" s="1"/>
  <c r="LJ13" i="13"/>
  <c r="LL13" i="13" s="1"/>
  <c r="LM13" i="13" s="1"/>
  <c r="CW13" i="13" s="1"/>
  <c r="CV13" i="13" s="1"/>
  <c r="CU13" i="13" s="1"/>
  <c r="CT13" i="13" s="1"/>
  <c r="CS13" i="13" s="1"/>
  <c r="KT13" i="13"/>
  <c r="KV13" i="13" s="1"/>
  <c r="KW13" i="13" s="1"/>
  <c r="DB13" i="13" s="1"/>
  <c r="DA13" i="13" s="1"/>
  <c r="CZ13" i="13" s="1"/>
  <c r="CY13" i="13" s="1"/>
  <c r="CX13" i="13" s="1"/>
  <c r="LB13" i="13"/>
  <c r="LD13" i="13" s="1"/>
  <c r="LE13" i="13" s="1"/>
  <c r="DZ13" i="13" s="1"/>
  <c r="DY13" i="13" s="1"/>
  <c r="LR13" i="13"/>
  <c r="LT13" i="13" s="1"/>
  <c r="LU13" i="13" s="1"/>
  <c r="DU13" i="13" s="1"/>
  <c r="DT13" i="13" s="1"/>
  <c r="DS13" i="13" s="1"/>
  <c r="DR13" i="13" s="1"/>
  <c r="DQ13" i="13" s="1"/>
  <c r="DX50" i="13"/>
  <c r="DW50" i="13" s="1"/>
  <c r="DV50" i="13" s="1"/>
  <c r="NQ136" i="13"/>
  <c r="LP136" i="13"/>
  <c r="LQ136" i="13" s="1"/>
  <c r="NR136" i="13" s="1"/>
  <c r="NV136" i="13"/>
  <c r="JO107" i="13"/>
  <c r="KF107" i="13"/>
  <c r="NU15" i="13"/>
  <c r="NO15" i="13"/>
  <c r="CP15" i="13" s="1"/>
  <c r="CO15" i="13" s="1"/>
  <c r="CN15" i="13" s="1"/>
  <c r="LI15" i="13"/>
  <c r="KG93" i="13"/>
  <c r="NR93" i="13"/>
  <c r="KT98" i="13"/>
  <c r="KV98" i="13" s="1"/>
  <c r="KW98" i="13" s="1"/>
  <c r="LJ98" i="13"/>
  <c r="LL98" i="13" s="1"/>
  <c r="LM98" i="13" s="1"/>
  <c r="LB98" i="13"/>
  <c r="LD98" i="13" s="1"/>
  <c r="LE98" i="13" s="1"/>
  <c r="LR98" i="13"/>
  <c r="LT98" i="13" s="1"/>
  <c r="LU98" i="13" s="1"/>
  <c r="CP91" i="13"/>
  <c r="CO91" i="13" s="1"/>
  <c r="CN91" i="13" s="1"/>
  <c r="NI134" i="13"/>
  <c r="KL134" i="13"/>
  <c r="KN134" i="13" s="1"/>
  <c r="KO134" i="13" s="1"/>
  <c r="LI213" i="13"/>
  <c r="NP213" i="13" s="1"/>
  <c r="NU213" i="13"/>
  <c r="NO213" i="13"/>
  <c r="DK165" i="13"/>
  <c r="DJ165" i="13" s="1"/>
  <c r="DI165" i="13" s="1"/>
  <c r="DH165" i="13" s="1"/>
  <c r="DG165" i="13" s="1"/>
  <c r="AX181" i="13"/>
  <c r="AW181" i="13" s="1"/>
  <c r="AV181" i="13" s="1"/>
  <c r="AU181" i="13" s="1"/>
  <c r="AT181" i="13" s="1"/>
  <c r="CE181" i="13"/>
  <c r="CD181" i="13" s="1"/>
  <c r="CC181" i="13" s="1"/>
  <c r="CB181" i="13" s="1"/>
  <c r="CA181" i="13" s="1"/>
  <c r="BZ181" i="13"/>
  <c r="BY181" i="13" s="1"/>
  <c r="BX181" i="13" s="1"/>
  <c r="BW181" i="13" s="1"/>
  <c r="BV181" i="13" s="1"/>
  <c r="BH181" i="13"/>
  <c r="BG181" i="13" s="1"/>
  <c r="BF181" i="13" s="1"/>
  <c r="BE181" i="13" s="1"/>
  <c r="BD181" i="13" s="1"/>
  <c r="AS181" i="13"/>
  <c r="AR181" i="13" s="1"/>
  <c r="AQ181" i="13" s="1"/>
  <c r="AP181" i="13" s="1"/>
  <c r="AO181" i="13" s="1"/>
  <c r="AL181" i="13" s="1"/>
  <c r="BP181" i="13"/>
  <c r="BO181" i="13" s="1"/>
  <c r="BN181" i="13" s="1"/>
  <c r="BM181" i="13" s="1"/>
  <c r="BL181" i="13" s="1"/>
  <c r="BU181" i="13"/>
  <c r="BT181" i="13" s="1"/>
  <c r="BS181" i="13" s="1"/>
  <c r="BR181" i="13" s="1"/>
  <c r="BQ181" i="13" s="1"/>
  <c r="BC181" i="13"/>
  <c r="BB181" i="13" s="1"/>
  <c r="BA181" i="13" s="1"/>
  <c r="AZ181" i="13" s="1"/>
  <c r="AY181" i="13" s="1"/>
  <c r="DN149" i="13"/>
  <c r="DM149" i="13" s="1"/>
  <c r="DL149" i="13" s="1"/>
  <c r="DK73" i="13"/>
  <c r="DJ73" i="13" s="1"/>
  <c r="DI73" i="13" s="1"/>
  <c r="DH73" i="13" s="1"/>
  <c r="DG73" i="13" s="1"/>
  <c r="LF117" i="13"/>
  <c r="LH117" i="13" s="1"/>
  <c r="LN117" i="13"/>
  <c r="KX117" i="13"/>
  <c r="KZ117" i="13" s="1"/>
  <c r="LA117" i="13" s="1"/>
  <c r="KP117" i="13"/>
  <c r="KR117" i="13" s="1"/>
  <c r="KS117" i="13" s="1"/>
  <c r="NV214" i="13"/>
  <c r="NQ214" i="13"/>
  <c r="LP214" i="13"/>
  <c r="LQ214" i="13" s="1"/>
  <c r="NR214" i="13" s="1"/>
  <c r="LN79" i="13"/>
  <c r="KX79" i="13"/>
  <c r="KZ79" i="13" s="1"/>
  <c r="LA79" i="13" s="1"/>
  <c r="KP79" i="13"/>
  <c r="KR79" i="13" s="1"/>
  <c r="KS79" i="13" s="1"/>
  <c r="LF79" i="13"/>
  <c r="LH79" i="13" s="1"/>
  <c r="KP138" i="13"/>
  <c r="KR138" i="13" s="1"/>
  <c r="KS138" i="13" s="1"/>
  <c r="LF138" i="13"/>
  <c r="LH138" i="13" s="1"/>
  <c r="LN138" i="13"/>
  <c r="KX138" i="13"/>
  <c r="KZ138" i="13" s="1"/>
  <c r="LA138" i="13" s="1"/>
  <c r="KT104" i="13"/>
  <c r="KV104" i="13" s="1"/>
  <c r="KW104" i="13" s="1"/>
  <c r="DB104" i="13" s="1"/>
  <c r="DA104" i="13" s="1"/>
  <c r="CZ104" i="13" s="1"/>
  <c r="CY104" i="13" s="1"/>
  <c r="CX104" i="13" s="1"/>
  <c r="LR104" i="13"/>
  <c r="LT104" i="13" s="1"/>
  <c r="LU104" i="13" s="1"/>
  <c r="DU104" i="13" s="1"/>
  <c r="DT104" i="13" s="1"/>
  <c r="LJ104" i="13"/>
  <c r="LL104" i="13" s="1"/>
  <c r="LM104" i="13" s="1"/>
  <c r="CW104" i="13" s="1"/>
  <c r="CV104" i="13" s="1"/>
  <c r="CU104" i="13" s="1"/>
  <c r="CT104" i="13" s="1"/>
  <c r="CS104" i="13" s="1"/>
  <c r="LB104" i="13"/>
  <c r="LD104" i="13" s="1"/>
  <c r="LE104" i="13" s="1"/>
  <c r="DZ104" i="13" s="1"/>
  <c r="DY104" i="13" s="1"/>
  <c r="KG122" i="13"/>
  <c r="NR122" i="13"/>
  <c r="NX140" i="13"/>
  <c r="NW140" i="13"/>
  <c r="NX181" i="13"/>
  <c r="NW181" i="13"/>
  <c r="NU202" i="13"/>
  <c r="NO202" i="13"/>
  <c r="LI202" i="13"/>
  <c r="NP202" i="13" s="1"/>
  <c r="NI142" i="13"/>
  <c r="KL142" i="13"/>
  <c r="KN142" i="13" s="1"/>
  <c r="KO142" i="13" s="1"/>
  <c r="KX100" i="13"/>
  <c r="KZ100" i="13" s="1"/>
  <c r="LA100" i="13" s="1"/>
  <c r="LF100" i="13"/>
  <c r="LH100" i="13" s="1"/>
  <c r="KP100" i="13"/>
  <c r="KR100" i="13" s="1"/>
  <c r="KS100" i="13" s="1"/>
  <c r="LN100" i="13"/>
  <c r="DK148" i="13"/>
  <c r="DJ148" i="13" s="1"/>
  <c r="DI148" i="13" s="1"/>
  <c r="DH148" i="13" s="1"/>
  <c r="DG148" i="13" s="1"/>
  <c r="KG124" i="13"/>
  <c r="DK33" i="13"/>
  <c r="DJ33" i="13" s="1"/>
  <c r="DI33" i="13" s="1"/>
  <c r="DH33" i="13" s="1"/>
  <c r="DG33" i="13" s="1"/>
  <c r="NR33" i="13"/>
  <c r="NQ18" i="13"/>
  <c r="DN18" i="13" s="1"/>
  <c r="DM18" i="13" s="1"/>
  <c r="DL18" i="13" s="1"/>
  <c r="LP18" i="13"/>
  <c r="LQ18" i="13" s="1"/>
  <c r="NV18" i="13"/>
  <c r="LI92" i="13"/>
  <c r="NP92" i="13" s="1"/>
  <c r="NU92" i="13"/>
  <c r="NO92" i="13"/>
  <c r="CZ211" i="13"/>
  <c r="CY211" i="13" s="1"/>
  <c r="CX211" i="13" s="1"/>
  <c r="JO140" i="13"/>
  <c r="KF140" i="13"/>
  <c r="LJ18" i="13"/>
  <c r="LL18" i="13" s="1"/>
  <c r="LM18" i="13" s="1"/>
  <c r="CW18" i="13" s="1"/>
  <c r="CV18" i="13" s="1"/>
  <c r="CU18" i="13" s="1"/>
  <c r="CT18" i="13" s="1"/>
  <c r="CS18" i="13" s="1"/>
  <c r="KT18" i="13"/>
  <c r="KV18" i="13" s="1"/>
  <c r="KW18" i="13" s="1"/>
  <c r="DB18" i="13" s="1"/>
  <c r="DA18" i="13" s="1"/>
  <c r="CZ18" i="13" s="1"/>
  <c r="CY18" i="13" s="1"/>
  <c r="CX18" i="13" s="1"/>
  <c r="LR18" i="13"/>
  <c r="LT18" i="13" s="1"/>
  <c r="LU18" i="13" s="1"/>
  <c r="DU18" i="13" s="1"/>
  <c r="DT18" i="13" s="1"/>
  <c r="LB18" i="13"/>
  <c r="LD18" i="13" s="1"/>
  <c r="LE18" i="13" s="1"/>
  <c r="DZ18" i="13" s="1"/>
  <c r="DY18" i="13" s="1"/>
  <c r="LI163" i="13"/>
  <c r="NP163" i="13" s="1"/>
  <c r="NU163" i="13"/>
  <c r="NO163" i="13"/>
  <c r="DS31" i="13"/>
  <c r="DR31" i="13" s="1"/>
  <c r="DQ31" i="13" s="1"/>
  <c r="NQ130" i="13"/>
  <c r="LP130" i="13"/>
  <c r="LQ130" i="13" s="1"/>
  <c r="NR130" i="13" s="1"/>
  <c r="NV130" i="13"/>
  <c r="LR203" i="13"/>
  <c r="LT203" i="13" s="1"/>
  <c r="LU203" i="13" s="1"/>
  <c r="DU203" i="13" s="1"/>
  <c r="DT203" i="13" s="1"/>
  <c r="DS203" i="13" s="1"/>
  <c r="DR203" i="13" s="1"/>
  <c r="DQ203" i="13" s="1"/>
  <c r="LJ203" i="13"/>
  <c r="LL203" i="13" s="1"/>
  <c r="LM203" i="13" s="1"/>
  <c r="CW203" i="13" s="1"/>
  <c r="CV203" i="13" s="1"/>
  <c r="CU203" i="13" s="1"/>
  <c r="CT203" i="13" s="1"/>
  <c r="CS203" i="13" s="1"/>
  <c r="LB203" i="13"/>
  <c r="LD203" i="13" s="1"/>
  <c r="LE203" i="13" s="1"/>
  <c r="DZ203" i="13" s="1"/>
  <c r="DY203" i="13" s="1"/>
  <c r="DX203" i="13" s="1"/>
  <c r="DW203" i="13" s="1"/>
  <c r="DV203" i="13" s="1"/>
  <c r="KT203" i="13"/>
  <c r="KV203" i="13" s="1"/>
  <c r="KW203" i="13" s="1"/>
  <c r="DB203" i="13" s="1"/>
  <c r="DA203" i="13" s="1"/>
  <c r="CZ203" i="13" s="1"/>
  <c r="CY203" i="13" s="1"/>
  <c r="CX203" i="13" s="1"/>
  <c r="LB45" i="13"/>
  <c r="LD45" i="13" s="1"/>
  <c r="LE45" i="13" s="1"/>
  <c r="DZ45" i="13" s="1"/>
  <c r="DY45" i="13" s="1"/>
  <c r="DX45" i="13" s="1"/>
  <c r="DW45" i="13" s="1"/>
  <c r="DV45" i="13" s="1"/>
  <c r="LR45" i="13"/>
  <c r="LT45" i="13" s="1"/>
  <c r="LU45" i="13" s="1"/>
  <c r="DU45" i="13" s="1"/>
  <c r="DT45" i="13" s="1"/>
  <c r="DS45" i="13" s="1"/>
  <c r="DR45" i="13" s="1"/>
  <c r="DQ45" i="13" s="1"/>
  <c r="LJ45" i="13"/>
  <c r="LL45" i="13" s="1"/>
  <c r="LM45" i="13" s="1"/>
  <c r="CW45" i="13" s="1"/>
  <c r="CV45" i="13" s="1"/>
  <c r="KT45" i="13"/>
  <c r="KV45" i="13" s="1"/>
  <c r="KW45" i="13" s="1"/>
  <c r="DB45" i="13" s="1"/>
  <c r="DA45" i="13" s="1"/>
  <c r="LB69" i="13"/>
  <c r="LD69" i="13" s="1"/>
  <c r="LE69" i="13" s="1"/>
  <c r="DZ69" i="13" s="1"/>
  <c r="DY69" i="13" s="1"/>
  <c r="DX69" i="13" s="1"/>
  <c r="DW69" i="13" s="1"/>
  <c r="DV69" i="13" s="1"/>
  <c r="LR69" i="13"/>
  <c r="LT69" i="13" s="1"/>
  <c r="LU69" i="13" s="1"/>
  <c r="DU69" i="13" s="1"/>
  <c r="DT69" i="13" s="1"/>
  <c r="DS69" i="13" s="1"/>
  <c r="DR69" i="13" s="1"/>
  <c r="DQ69" i="13" s="1"/>
  <c r="KT69" i="13"/>
  <c r="KV69" i="13" s="1"/>
  <c r="KW69" i="13" s="1"/>
  <c r="DB69" i="13" s="1"/>
  <c r="DA69" i="13" s="1"/>
  <c r="CZ69" i="13" s="1"/>
  <c r="CY69" i="13" s="1"/>
  <c r="CX69" i="13" s="1"/>
  <c r="LJ69" i="13"/>
  <c r="LL69" i="13" s="1"/>
  <c r="LM69" i="13" s="1"/>
  <c r="CW69" i="13" s="1"/>
  <c r="CV69" i="13" s="1"/>
  <c r="CU69" i="13" s="1"/>
  <c r="CT69" i="13" s="1"/>
  <c r="CS69" i="13" s="1"/>
  <c r="KX46" i="13"/>
  <c r="KZ46" i="13" s="1"/>
  <c r="LA46" i="13" s="1"/>
  <c r="LF46" i="13"/>
  <c r="LH46" i="13" s="1"/>
  <c r="LN46" i="13"/>
  <c r="KP46" i="13"/>
  <c r="KR46" i="13" s="1"/>
  <c r="KS46" i="13" s="1"/>
  <c r="NQ82" i="13"/>
  <c r="LP82" i="13"/>
  <c r="LQ82" i="13" s="1"/>
  <c r="NR82" i="13" s="1"/>
  <c r="NV82" i="13"/>
  <c r="CW130" i="13"/>
  <c r="CV130" i="13" s="1"/>
  <c r="DB130" i="13"/>
  <c r="DA130" i="13" s="1"/>
  <c r="DP130" i="13"/>
  <c r="DO130" i="13" s="1"/>
  <c r="CR130" i="13"/>
  <c r="CQ130" i="13" s="1"/>
  <c r="DK130" i="13"/>
  <c r="DJ130" i="13" s="1"/>
  <c r="DI130" i="13" s="1"/>
  <c r="DH130" i="13" s="1"/>
  <c r="DG130" i="13" s="1"/>
  <c r="LN170" i="13"/>
  <c r="KP170" i="13"/>
  <c r="KR170" i="13" s="1"/>
  <c r="KS170" i="13" s="1"/>
  <c r="KX170" i="13"/>
  <c r="KZ170" i="13" s="1"/>
  <c r="LA170" i="13" s="1"/>
  <c r="LF170" i="13"/>
  <c r="LH170" i="13" s="1"/>
  <c r="NI209" i="13"/>
  <c r="KL209" i="13"/>
  <c r="KN209" i="13" s="1"/>
  <c r="KO209" i="13" s="1"/>
  <c r="JO206" i="13"/>
  <c r="KF206" i="13"/>
  <c r="KT82" i="13"/>
  <c r="KV82" i="13" s="1"/>
  <c r="KW82" i="13" s="1"/>
  <c r="LJ82" i="13"/>
  <c r="LL82" i="13" s="1"/>
  <c r="LM82" i="13" s="1"/>
  <c r="LB82" i="13"/>
  <c r="LD82" i="13" s="1"/>
  <c r="LE82" i="13" s="1"/>
  <c r="LR82" i="13"/>
  <c r="LT82" i="13" s="1"/>
  <c r="LU82" i="13" s="1"/>
  <c r="CP135" i="13"/>
  <c r="CO135" i="13" s="1"/>
  <c r="CN135" i="13" s="1"/>
  <c r="NI107" i="13"/>
  <c r="KL107" i="13"/>
  <c r="KN107" i="13" s="1"/>
  <c r="KO107" i="13" s="1"/>
  <c r="DZ157" i="13"/>
  <c r="DY157" i="13" s="1"/>
  <c r="DX157" i="13" s="1"/>
  <c r="DW157" i="13" s="1"/>
  <c r="DV157" i="13" s="1"/>
  <c r="CM157" i="13"/>
  <c r="CL157" i="13" s="1"/>
  <c r="DB157" i="13"/>
  <c r="DA157" i="13" s="1"/>
  <c r="CR157" i="13"/>
  <c r="CQ157" i="13" s="1"/>
  <c r="DP157" i="13"/>
  <c r="DO157" i="13" s="1"/>
  <c r="DN157" i="13" s="1"/>
  <c r="DM157" i="13" s="1"/>
  <c r="DL157" i="13" s="1"/>
  <c r="CP165" i="13"/>
  <c r="CO165" i="13" s="1"/>
  <c r="CN165" i="13" s="1"/>
  <c r="CP194" i="13"/>
  <c r="CO194" i="13" s="1"/>
  <c r="CN194" i="13" s="1"/>
  <c r="DP186" i="13"/>
  <c r="DO186" i="13" s="1"/>
  <c r="DN186" i="13" s="1"/>
  <c r="DM186" i="13" s="1"/>
  <c r="DL186" i="13" s="1"/>
  <c r="DK186" i="13"/>
  <c r="DJ186" i="13" s="1"/>
  <c r="DI186" i="13" s="1"/>
  <c r="DH186" i="13" s="1"/>
  <c r="DG186" i="13" s="1"/>
  <c r="CR186" i="13"/>
  <c r="CQ186" i="13" s="1"/>
  <c r="CP186" i="13" s="1"/>
  <c r="CO186" i="13" s="1"/>
  <c r="CN186" i="13" s="1"/>
  <c r="CM186" i="13"/>
  <c r="CL186" i="13" s="1"/>
  <c r="CK186" i="13" s="1"/>
  <c r="CJ186" i="13" s="1"/>
  <c r="CI186" i="13" s="1"/>
  <c r="LI214" i="13"/>
  <c r="NP214" i="13" s="1"/>
  <c r="NU214" i="13"/>
  <c r="NO214" i="13"/>
  <c r="NV89" i="13"/>
  <c r="NQ89" i="13"/>
  <c r="LP89" i="13"/>
  <c r="LQ89" i="13" s="1"/>
  <c r="NR89" i="13" s="1"/>
  <c r="LR183" i="13"/>
  <c r="LT183" i="13" s="1"/>
  <c r="LU183" i="13" s="1"/>
  <c r="DU183" i="13" s="1"/>
  <c r="DT183" i="13" s="1"/>
  <c r="KT183" i="13"/>
  <c r="KV183" i="13" s="1"/>
  <c r="KW183" i="13" s="1"/>
  <c r="DB183" i="13" s="1"/>
  <c r="DA183" i="13" s="1"/>
  <c r="CZ183" i="13" s="1"/>
  <c r="CY183" i="13" s="1"/>
  <c r="CX183" i="13" s="1"/>
  <c r="LB183" i="13"/>
  <c r="LD183" i="13" s="1"/>
  <c r="LE183" i="13" s="1"/>
  <c r="DZ183" i="13" s="1"/>
  <c r="DY183" i="13" s="1"/>
  <c r="LJ183" i="13"/>
  <c r="LL183" i="13" s="1"/>
  <c r="LM183" i="13" s="1"/>
  <c r="CW183" i="13" s="1"/>
  <c r="CV183" i="13" s="1"/>
  <c r="CU183" i="13" s="1"/>
  <c r="CT183" i="13" s="1"/>
  <c r="CS183" i="13" s="1"/>
  <c r="NR34" i="13"/>
  <c r="DK34" i="13"/>
  <c r="DJ34" i="13" s="1"/>
  <c r="DI34" i="13" s="1"/>
  <c r="DH34" i="13" s="1"/>
  <c r="DG34" i="13" s="1"/>
  <c r="CO125" i="13"/>
  <c r="CN125" i="13" s="1"/>
  <c r="BP99" i="13"/>
  <c r="BO99" i="13" s="1"/>
  <c r="BN99" i="13" s="1"/>
  <c r="BM99" i="13" s="1"/>
  <c r="BL99" i="13" s="1"/>
  <c r="BH99" i="13"/>
  <c r="BG99" i="13" s="1"/>
  <c r="BF99" i="13" s="1"/>
  <c r="BE99" i="13" s="1"/>
  <c r="BD99" i="13" s="1"/>
  <c r="BZ99" i="13"/>
  <c r="BY99" i="13" s="1"/>
  <c r="BX99" i="13" s="1"/>
  <c r="BW99" i="13" s="1"/>
  <c r="BV99" i="13" s="1"/>
  <c r="BC99" i="13"/>
  <c r="BB99" i="13" s="1"/>
  <c r="BA99" i="13" s="1"/>
  <c r="AZ99" i="13" s="1"/>
  <c r="AY99" i="13" s="1"/>
  <c r="BU99" i="13"/>
  <c r="BT99" i="13" s="1"/>
  <c r="BS99" i="13" s="1"/>
  <c r="BR99" i="13" s="1"/>
  <c r="BQ99" i="13" s="1"/>
  <c r="CE99" i="13"/>
  <c r="CD99" i="13" s="1"/>
  <c r="CC99" i="13" s="1"/>
  <c r="CB99" i="13" s="1"/>
  <c r="CA99" i="13" s="1"/>
  <c r="AX99" i="13"/>
  <c r="AW99" i="13" s="1"/>
  <c r="AV99" i="13" s="1"/>
  <c r="AU99" i="13" s="1"/>
  <c r="AT99" i="13" s="1"/>
  <c r="AS99" i="13"/>
  <c r="AR99" i="13" s="1"/>
  <c r="AQ99" i="13" s="1"/>
  <c r="AP99" i="13" s="1"/>
  <c r="AO99" i="13" s="1"/>
  <c r="AL99" i="13" s="1"/>
  <c r="DN160" i="13"/>
  <c r="DM160" i="13" s="1"/>
  <c r="DL160" i="13" s="1"/>
  <c r="BH45" i="13"/>
  <c r="BG45" i="13" s="1"/>
  <c r="BF45" i="13" s="1"/>
  <c r="BE45" i="13" s="1"/>
  <c r="BD45" i="13" s="1"/>
  <c r="BZ45" i="13"/>
  <c r="BY45" i="13" s="1"/>
  <c r="BX45" i="13" s="1"/>
  <c r="BW45" i="13" s="1"/>
  <c r="BV45" i="13" s="1"/>
  <c r="BC45" i="13"/>
  <c r="BB45" i="13" s="1"/>
  <c r="BA45" i="13" s="1"/>
  <c r="AZ45" i="13" s="1"/>
  <c r="AY45" i="13" s="1"/>
  <c r="BU45" i="13"/>
  <c r="BT45" i="13" s="1"/>
  <c r="BS45" i="13" s="1"/>
  <c r="BR45" i="13" s="1"/>
  <c r="BQ45" i="13" s="1"/>
  <c r="AX45" i="13"/>
  <c r="AW45" i="13" s="1"/>
  <c r="AV45" i="13" s="1"/>
  <c r="AU45" i="13" s="1"/>
  <c r="AT45" i="13" s="1"/>
  <c r="CE45" i="13"/>
  <c r="CD45" i="13" s="1"/>
  <c r="CC45" i="13" s="1"/>
  <c r="CB45" i="13" s="1"/>
  <c r="CA45" i="13" s="1"/>
  <c r="AS45" i="13"/>
  <c r="AR45" i="13" s="1"/>
  <c r="AQ45" i="13" s="1"/>
  <c r="AP45" i="13" s="1"/>
  <c r="AO45" i="13" s="1"/>
  <c r="AL45" i="13" s="1"/>
  <c r="BP45" i="13"/>
  <c r="BO45" i="13" s="1"/>
  <c r="BN45" i="13" s="1"/>
  <c r="BM45" i="13" s="1"/>
  <c r="BL45" i="13" s="1"/>
  <c r="LF83" i="13"/>
  <c r="LH83" i="13" s="1"/>
  <c r="KP83" i="13"/>
  <c r="KR83" i="13" s="1"/>
  <c r="KS83" i="13" s="1"/>
  <c r="KX83" i="13"/>
  <c r="KZ83" i="13" s="1"/>
  <c r="LA83" i="13" s="1"/>
  <c r="LN83" i="13"/>
  <c r="NV202" i="13"/>
  <c r="LP202" i="13"/>
  <c r="LQ202" i="13" s="1"/>
  <c r="NR202" i="13" s="1"/>
  <c r="NQ202" i="13"/>
  <c r="KG81" i="13"/>
  <c r="DN148" i="13"/>
  <c r="DM148" i="13" s="1"/>
  <c r="DL148" i="13" s="1"/>
  <c r="NX30" i="13"/>
  <c r="NW30" i="13"/>
  <c r="NX115" i="13"/>
  <c r="NW115" i="13"/>
  <c r="DN49" i="13"/>
  <c r="DM49" i="13" s="1"/>
  <c r="DL49" i="13" s="1"/>
  <c r="KT162" i="13"/>
  <c r="KV162" i="13" s="1"/>
  <c r="KW162" i="13" s="1"/>
  <c r="LB162" i="13"/>
  <c r="LD162" i="13" s="1"/>
  <c r="LE162" i="13" s="1"/>
  <c r="LR162" i="13"/>
  <c r="LT162" i="13" s="1"/>
  <c r="LU162" i="13" s="1"/>
  <c r="LJ162" i="13"/>
  <c r="LL162" i="13" s="1"/>
  <c r="LM162" i="13" s="1"/>
  <c r="KG182" i="13"/>
  <c r="NX88" i="13"/>
  <c r="NW88" i="13"/>
  <c r="NI140" i="13"/>
  <c r="KL140" i="13"/>
  <c r="KN140" i="13" s="1"/>
  <c r="KO140" i="13" s="1"/>
  <c r="JO169" i="13"/>
  <c r="KF169" i="13"/>
  <c r="DN193" i="13"/>
  <c r="DM193" i="13" s="1"/>
  <c r="DL193" i="13" s="1"/>
  <c r="DS25" i="13"/>
  <c r="DR25" i="13" s="1"/>
  <c r="DQ25" i="13" s="1"/>
  <c r="NO130" i="13"/>
  <c r="LI130" i="13"/>
  <c r="NP130" i="13" s="1"/>
  <c r="NU130" i="13"/>
  <c r="LI156" i="13"/>
  <c r="NP156" i="13" s="1"/>
  <c r="NU156" i="13"/>
  <c r="NO156" i="13"/>
  <c r="LJ205" i="13"/>
  <c r="LL205" i="13" s="1"/>
  <c r="LM205" i="13" s="1"/>
  <c r="CW205" i="13" s="1"/>
  <c r="CV205" i="13" s="1"/>
  <c r="CU205" i="13" s="1"/>
  <c r="CT205" i="13" s="1"/>
  <c r="CS205" i="13" s="1"/>
  <c r="KT205" i="13"/>
  <c r="KV205" i="13" s="1"/>
  <c r="KW205" i="13" s="1"/>
  <c r="DB205" i="13" s="1"/>
  <c r="DA205" i="13" s="1"/>
  <c r="CZ205" i="13" s="1"/>
  <c r="CY205" i="13" s="1"/>
  <c r="CX205" i="13" s="1"/>
  <c r="LR205" i="13"/>
  <c r="LT205" i="13" s="1"/>
  <c r="LU205" i="13" s="1"/>
  <c r="DU205" i="13" s="1"/>
  <c r="DT205" i="13" s="1"/>
  <c r="DS205" i="13" s="1"/>
  <c r="DR205" i="13" s="1"/>
  <c r="DQ205" i="13" s="1"/>
  <c r="LB205" i="13"/>
  <c r="LD205" i="13" s="1"/>
  <c r="LE205" i="13" s="1"/>
  <c r="DZ205" i="13" s="1"/>
  <c r="DY205" i="13" s="1"/>
  <c r="DX205" i="13" s="1"/>
  <c r="DW205" i="13" s="1"/>
  <c r="DV205" i="13" s="1"/>
  <c r="DS60" i="13"/>
  <c r="DR60" i="13" s="1"/>
  <c r="DQ60" i="13" s="1"/>
  <c r="NX136" i="13"/>
  <c r="NW136" i="13"/>
  <c r="KT167" i="13"/>
  <c r="KV167" i="13" s="1"/>
  <c r="KW167" i="13" s="1"/>
  <c r="DB167" i="13" s="1"/>
  <c r="DA167" i="13" s="1"/>
  <c r="CZ167" i="13" s="1"/>
  <c r="CY167" i="13" s="1"/>
  <c r="CX167" i="13" s="1"/>
  <c r="LR167" i="13"/>
  <c r="LT167" i="13" s="1"/>
  <c r="LU167" i="13" s="1"/>
  <c r="DU167" i="13" s="1"/>
  <c r="DT167" i="13" s="1"/>
  <c r="LJ167" i="13"/>
  <c r="LL167" i="13" s="1"/>
  <c r="LM167" i="13" s="1"/>
  <c r="CW167" i="13" s="1"/>
  <c r="CV167" i="13" s="1"/>
  <c r="CU167" i="13" s="1"/>
  <c r="CT167" i="13" s="1"/>
  <c r="CS167" i="13" s="1"/>
  <c r="LB167" i="13"/>
  <c r="LD167" i="13" s="1"/>
  <c r="LE167" i="13" s="1"/>
  <c r="DZ167" i="13" s="1"/>
  <c r="DY167" i="13" s="1"/>
  <c r="DX167" i="13" s="1"/>
  <c r="DW167" i="13" s="1"/>
  <c r="DV167" i="13" s="1"/>
  <c r="CP195" i="13"/>
  <c r="CO195" i="13" s="1"/>
  <c r="CN195" i="13" s="1"/>
  <c r="DN113" i="13"/>
  <c r="DM113" i="13" s="1"/>
  <c r="DL113" i="13" s="1"/>
  <c r="NX177" i="13"/>
  <c r="NW177" i="13"/>
  <c r="DS33" i="13"/>
  <c r="DR33" i="13" s="1"/>
  <c r="DQ33" i="13" s="1"/>
  <c r="NU108" i="13"/>
  <c r="NO108" i="13"/>
  <c r="LI108" i="13"/>
  <c r="NP108" i="13" s="1"/>
  <c r="KG64" i="13"/>
  <c r="NI206" i="13"/>
  <c r="KL206" i="13"/>
  <c r="KN206" i="13" s="1"/>
  <c r="KO206" i="13" s="1"/>
  <c r="NQ87" i="13"/>
  <c r="LP87" i="13"/>
  <c r="LQ87" i="13" s="1"/>
  <c r="NR87" i="13" s="1"/>
  <c r="NV87" i="13"/>
  <c r="CU175" i="13"/>
  <c r="CT175" i="13" s="1"/>
  <c r="CS175" i="13" s="1"/>
  <c r="LJ93" i="13"/>
  <c r="LL93" i="13" s="1"/>
  <c r="LM93" i="13" s="1"/>
  <c r="LR93" i="13"/>
  <c r="LT93" i="13" s="1"/>
  <c r="LU93" i="13" s="1"/>
  <c r="KT93" i="13"/>
  <c r="KV93" i="13" s="1"/>
  <c r="KW93" i="13" s="1"/>
  <c r="LB93" i="13"/>
  <c r="LD93" i="13" s="1"/>
  <c r="LE93" i="13" s="1"/>
  <c r="DN135" i="13"/>
  <c r="DM135" i="13" s="1"/>
  <c r="DL135" i="13" s="1"/>
  <c r="NP21" i="13"/>
  <c r="CM21" i="13"/>
  <c r="CL21" i="13" s="1"/>
  <c r="CK21" i="13" s="1"/>
  <c r="CJ21" i="13" s="1"/>
  <c r="CI21" i="13" s="1"/>
  <c r="NQ158" i="13"/>
  <c r="LP158" i="13"/>
  <c r="LQ158" i="13" s="1"/>
  <c r="NR158" i="13" s="1"/>
  <c r="NV158" i="13"/>
  <c r="DK21" i="13"/>
  <c r="DJ21" i="13" s="1"/>
  <c r="DI21" i="13" s="1"/>
  <c r="DH21" i="13" s="1"/>
  <c r="DG21" i="13" s="1"/>
  <c r="NR21" i="13"/>
  <c r="LR186" i="13"/>
  <c r="LT186" i="13" s="1"/>
  <c r="LU186" i="13" s="1"/>
  <c r="DU186" i="13" s="1"/>
  <c r="DT186" i="13" s="1"/>
  <c r="LJ186" i="13"/>
  <c r="LL186" i="13" s="1"/>
  <c r="LM186" i="13" s="1"/>
  <c r="CW186" i="13" s="1"/>
  <c r="CV186" i="13" s="1"/>
  <c r="LB186" i="13"/>
  <c r="LD186" i="13" s="1"/>
  <c r="LE186" i="13" s="1"/>
  <c r="DZ186" i="13" s="1"/>
  <c r="DY186" i="13" s="1"/>
  <c r="KT186" i="13"/>
  <c r="KV186" i="13" s="1"/>
  <c r="KW186" i="13" s="1"/>
  <c r="DB186" i="13" s="1"/>
  <c r="DA186" i="13" s="1"/>
  <c r="CZ186" i="13" s="1"/>
  <c r="CY186" i="13" s="1"/>
  <c r="CX186" i="13" s="1"/>
  <c r="LF134" i="13"/>
  <c r="LH134" i="13" s="1"/>
  <c r="LN134" i="13"/>
  <c r="KP134" i="13"/>
  <c r="KR134" i="13" s="1"/>
  <c r="KS134" i="13" s="1"/>
  <c r="KX134" i="13"/>
  <c r="KZ134" i="13" s="1"/>
  <c r="LA134" i="13" s="1"/>
  <c r="KG158" i="13"/>
  <c r="CP73" i="13"/>
  <c r="CO73" i="13" s="1"/>
  <c r="CN73" i="13" s="1"/>
  <c r="KT57" i="13"/>
  <c r="KV57" i="13" s="1"/>
  <c r="KW57" i="13" s="1"/>
  <c r="LB57" i="13"/>
  <c r="LD57" i="13" s="1"/>
  <c r="LE57" i="13" s="1"/>
  <c r="LR57" i="13"/>
  <c r="LT57" i="13" s="1"/>
  <c r="LU57" i="13" s="1"/>
  <c r="LJ57" i="13"/>
  <c r="LL57" i="13" s="1"/>
  <c r="LM57" i="13" s="1"/>
  <c r="DN30" i="13"/>
  <c r="DM30" i="13" s="1"/>
  <c r="DL30" i="13" s="1"/>
  <c r="DX13" i="13" l="1"/>
  <c r="DW13" i="13" s="1"/>
  <c r="DV13" i="13" s="1"/>
  <c r="CK95" i="13"/>
  <c r="CJ95" i="13" s="1"/>
  <c r="CI95" i="13" s="1"/>
  <c r="DI203" i="13"/>
  <c r="DH203" i="13" s="1"/>
  <c r="DG203" i="13" s="1"/>
  <c r="DI103" i="13"/>
  <c r="DH103" i="13" s="1"/>
  <c r="DG103" i="13" s="1"/>
  <c r="DN103" i="13"/>
  <c r="DM103" i="13" s="1"/>
  <c r="DL103" i="13" s="1"/>
  <c r="CP133" i="13"/>
  <c r="CO133" i="13" s="1"/>
  <c r="CN133" i="13" s="1"/>
  <c r="CK208" i="13"/>
  <c r="CJ208" i="13" s="1"/>
  <c r="CI208" i="13" s="1"/>
  <c r="CP95" i="13"/>
  <c r="CO95" i="13" s="1"/>
  <c r="CN95" i="13" s="1"/>
  <c r="DS103" i="13"/>
  <c r="DR103" i="13" s="1"/>
  <c r="DQ103" i="13" s="1"/>
  <c r="DS167" i="13"/>
  <c r="DR167" i="13" s="1"/>
  <c r="DQ167" i="13" s="1"/>
  <c r="CZ208" i="13"/>
  <c r="CY208" i="13" s="1"/>
  <c r="CX208" i="13" s="1"/>
  <c r="DX103" i="13"/>
  <c r="DW103" i="13" s="1"/>
  <c r="DV103" i="13" s="1"/>
  <c r="CU15" i="13"/>
  <c r="CT15" i="13" s="1"/>
  <c r="CS15" i="13" s="1"/>
  <c r="CZ191" i="13"/>
  <c r="CY191" i="13" s="1"/>
  <c r="CX191" i="13" s="1"/>
  <c r="CU20" i="13"/>
  <c r="CT20" i="13" s="1"/>
  <c r="CS20" i="13" s="1"/>
  <c r="DS186" i="13"/>
  <c r="DR186" i="13" s="1"/>
  <c r="DQ186" i="13" s="1"/>
  <c r="DX183" i="13"/>
  <c r="DW183" i="13" s="1"/>
  <c r="DV183" i="13" s="1"/>
  <c r="DI179" i="13"/>
  <c r="DH179" i="13" s="1"/>
  <c r="DG179" i="13" s="1"/>
  <c r="DN68" i="13"/>
  <c r="DM68" i="13" s="1"/>
  <c r="DL68" i="13" s="1"/>
  <c r="CP191" i="13"/>
  <c r="CO191" i="13" s="1"/>
  <c r="CN191" i="13" s="1"/>
  <c r="DN156" i="13"/>
  <c r="DM156" i="13" s="1"/>
  <c r="DL156" i="13" s="1"/>
  <c r="CU186" i="13"/>
  <c r="CT186" i="13" s="1"/>
  <c r="CS186" i="13" s="1"/>
  <c r="CU179" i="13"/>
  <c r="CT179" i="13" s="1"/>
  <c r="CS179" i="13" s="1"/>
  <c r="CK191" i="13"/>
  <c r="CJ191" i="13" s="1"/>
  <c r="CI191" i="13" s="1"/>
  <c r="CM101" i="13"/>
  <c r="CL101" i="13" s="1"/>
  <c r="CK101" i="13" s="1"/>
  <c r="CJ101" i="13" s="1"/>
  <c r="CI101" i="13" s="1"/>
  <c r="DS183" i="13"/>
  <c r="DR183" i="13" s="1"/>
  <c r="DQ183" i="13" s="1"/>
  <c r="CP157" i="13"/>
  <c r="CO157" i="13" s="1"/>
  <c r="CN157" i="13" s="1"/>
  <c r="CU191" i="13"/>
  <c r="CT191" i="13" s="1"/>
  <c r="CS191" i="13" s="1"/>
  <c r="CZ157" i="13"/>
  <c r="CY157" i="13" s="1"/>
  <c r="CX157" i="13" s="1"/>
  <c r="CE14" i="13"/>
  <c r="CD14" i="13" s="1"/>
  <c r="CC14" i="13" s="1"/>
  <c r="CB14" i="13" s="1"/>
  <c r="CA14" i="13" s="1"/>
  <c r="CZ17" i="13"/>
  <c r="CY17" i="13" s="1"/>
  <c r="CX17" i="13" s="1"/>
  <c r="CZ168" i="13"/>
  <c r="CY168" i="13" s="1"/>
  <c r="CX168" i="13" s="1"/>
  <c r="CZ12" i="13"/>
  <c r="CY12" i="13" s="1"/>
  <c r="CX12" i="13" s="1"/>
  <c r="CK157" i="13"/>
  <c r="CJ157" i="13" s="1"/>
  <c r="CI157" i="13" s="1"/>
  <c r="DS108" i="13"/>
  <c r="DR108" i="13" s="1"/>
  <c r="DQ108" i="13" s="1"/>
  <c r="DK68" i="13"/>
  <c r="DJ68" i="13" s="1"/>
  <c r="DI68" i="13" s="1"/>
  <c r="DH68" i="13" s="1"/>
  <c r="DG68" i="13" s="1"/>
  <c r="CU17" i="13"/>
  <c r="CT17" i="13" s="1"/>
  <c r="CS17" i="13" s="1"/>
  <c r="CU208" i="13"/>
  <c r="CT208" i="13" s="1"/>
  <c r="CS208" i="13" s="1"/>
  <c r="NR156" i="13"/>
  <c r="CP45" i="13"/>
  <c r="CO45" i="13" s="1"/>
  <c r="CN45" i="13" s="1"/>
  <c r="DX186" i="13"/>
  <c r="DW186" i="13" s="1"/>
  <c r="DV186" i="13" s="1"/>
  <c r="CZ78" i="13"/>
  <c r="CY78" i="13" s="1"/>
  <c r="CX78" i="13" s="1"/>
  <c r="CU68" i="13"/>
  <c r="CT68" i="13" s="1"/>
  <c r="CS68" i="13" s="1"/>
  <c r="CU29" i="13"/>
  <c r="CT29" i="13" s="1"/>
  <c r="CS29" i="13" s="1"/>
  <c r="CK133" i="13"/>
  <c r="CJ133" i="13" s="1"/>
  <c r="CI133" i="13" s="1"/>
  <c r="CZ45" i="13"/>
  <c r="CY45" i="13" s="1"/>
  <c r="CX45" i="13" s="1"/>
  <c r="DX104" i="13"/>
  <c r="DW104" i="13" s="1"/>
  <c r="DV104" i="13" s="1"/>
  <c r="CU78" i="13"/>
  <c r="CT78" i="13" s="1"/>
  <c r="CS78" i="13" s="1"/>
  <c r="DX30" i="13"/>
  <c r="DW30" i="13" s="1"/>
  <c r="DV30" i="13" s="1"/>
  <c r="CZ136" i="13"/>
  <c r="CY136" i="13" s="1"/>
  <c r="CX136" i="13" s="1"/>
  <c r="CU101" i="13"/>
  <c r="CT101" i="13" s="1"/>
  <c r="CS101" i="13" s="1"/>
  <c r="CU12" i="13"/>
  <c r="CT12" i="13" s="1"/>
  <c r="CS12" i="13" s="1"/>
  <c r="CU22" i="13"/>
  <c r="CT22" i="13" s="1"/>
  <c r="CS22" i="13" s="1"/>
  <c r="CU45" i="13"/>
  <c r="CT45" i="13" s="1"/>
  <c r="CS45" i="13" s="1"/>
  <c r="DX108" i="13"/>
  <c r="DW108" i="13" s="1"/>
  <c r="DV108" i="13" s="1"/>
  <c r="DN69" i="13"/>
  <c r="DM69" i="13" s="1"/>
  <c r="DL69" i="13" s="1"/>
  <c r="CZ111" i="13"/>
  <c r="CY111" i="13" s="1"/>
  <c r="CX111" i="13" s="1"/>
  <c r="CM104" i="13"/>
  <c r="CL104" i="13" s="1"/>
  <c r="CK104" i="13" s="1"/>
  <c r="DS104" i="13"/>
  <c r="DR104" i="13" s="1"/>
  <c r="DQ104" i="13" s="1"/>
  <c r="DK69" i="13"/>
  <c r="DJ69" i="13" s="1"/>
  <c r="DI69" i="13" s="1"/>
  <c r="DH69" i="13" s="1"/>
  <c r="DG69" i="13" s="1"/>
  <c r="CU111" i="13"/>
  <c r="CT111" i="13" s="1"/>
  <c r="CS111" i="13" s="1"/>
  <c r="DS30" i="13"/>
  <c r="DR30" i="13" s="1"/>
  <c r="DQ30" i="13" s="1"/>
  <c r="CZ101" i="13"/>
  <c r="CY101" i="13" s="1"/>
  <c r="CX101" i="13" s="1"/>
  <c r="NR168" i="13"/>
  <c r="DX208" i="13"/>
  <c r="DW208" i="13" s="1"/>
  <c r="DV208" i="13" s="1"/>
  <c r="DX95" i="13"/>
  <c r="DW95" i="13" s="1"/>
  <c r="DV95" i="13" s="1"/>
  <c r="CK102" i="13"/>
  <c r="CJ102" i="13" s="1"/>
  <c r="CI102" i="13" s="1"/>
  <c r="DS179" i="13"/>
  <c r="DR179" i="13" s="1"/>
  <c r="DQ179" i="13" s="1"/>
  <c r="CZ177" i="13"/>
  <c r="CY177" i="13" s="1"/>
  <c r="CX177" i="13" s="1"/>
  <c r="CM111" i="13"/>
  <c r="CL111" i="13" s="1"/>
  <c r="DI168" i="13"/>
  <c r="DH168" i="13" s="1"/>
  <c r="DG168" i="13" s="1"/>
  <c r="NR157" i="13"/>
  <c r="CU177" i="13"/>
  <c r="CT177" i="13" s="1"/>
  <c r="CS177" i="13" s="1"/>
  <c r="DX179" i="13"/>
  <c r="DW179" i="13" s="1"/>
  <c r="DV179" i="13" s="1"/>
  <c r="DS177" i="13"/>
  <c r="DR177" i="13" s="1"/>
  <c r="DQ177" i="13" s="1"/>
  <c r="CZ108" i="13"/>
  <c r="CY108" i="13" s="1"/>
  <c r="CX108" i="13" s="1"/>
  <c r="DS136" i="13"/>
  <c r="DR136" i="13" s="1"/>
  <c r="DQ136" i="13" s="1"/>
  <c r="CU108" i="13"/>
  <c r="CT108" i="13" s="1"/>
  <c r="CS108" i="13" s="1"/>
  <c r="DI183" i="13"/>
  <c r="DH183" i="13" s="1"/>
  <c r="DG183" i="13" s="1"/>
  <c r="DI77" i="13"/>
  <c r="DH77" i="13" s="1"/>
  <c r="DG77" i="13" s="1"/>
  <c r="DS208" i="13"/>
  <c r="DR208" i="13" s="1"/>
  <c r="DQ208" i="13" s="1"/>
  <c r="DS202" i="13"/>
  <c r="DR202" i="13" s="1"/>
  <c r="DQ202" i="13" s="1"/>
  <c r="DK177" i="13"/>
  <c r="DJ177" i="13" s="1"/>
  <c r="DI177" i="13" s="1"/>
  <c r="DH177" i="13" s="1"/>
  <c r="DG177" i="13" s="1"/>
  <c r="CP167" i="13"/>
  <c r="CO167" i="13" s="1"/>
  <c r="CN167" i="13" s="1"/>
  <c r="CU202" i="13"/>
  <c r="CT202" i="13" s="1"/>
  <c r="CS202" i="13" s="1"/>
  <c r="CU102" i="13"/>
  <c r="CT102" i="13" s="1"/>
  <c r="CS102" i="13" s="1"/>
  <c r="DX202" i="13"/>
  <c r="DW202" i="13" s="1"/>
  <c r="DV202" i="13" s="1"/>
  <c r="DX136" i="13"/>
  <c r="DW136" i="13" s="1"/>
  <c r="DV136" i="13" s="1"/>
  <c r="CZ102" i="13"/>
  <c r="CY102" i="13" s="1"/>
  <c r="CX102" i="13" s="1"/>
  <c r="DX168" i="13"/>
  <c r="DW168" i="13" s="1"/>
  <c r="DV168" i="13" s="1"/>
  <c r="DN136" i="13"/>
  <c r="DM136" i="13" s="1"/>
  <c r="DL136" i="13" s="1"/>
  <c r="CK167" i="13"/>
  <c r="CJ167" i="13" s="1"/>
  <c r="CI167" i="13" s="1"/>
  <c r="DS95" i="13"/>
  <c r="DR95" i="13" s="1"/>
  <c r="DQ95" i="13" s="1"/>
  <c r="CP203" i="13"/>
  <c r="CO203" i="13" s="1"/>
  <c r="CN203" i="13" s="1"/>
  <c r="CP102" i="13"/>
  <c r="CO102" i="13" s="1"/>
  <c r="CN102" i="13" s="1"/>
  <c r="CU168" i="13"/>
  <c r="CT168" i="13" s="1"/>
  <c r="CS168" i="13" s="1"/>
  <c r="CK203" i="13"/>
  <c r="CJ203" i="13" s="1"/>
  <c r="CI203" i="13" s="1"/>
  <c r="DS168" i="13"/>
  <c r="DR168" i="13" s="1"/>
  <c r="DQ168" i="13" s="1"/>
  <c r="DN130" i="13"/>
  <c r="DM130" i="13" s="1"/>
  <c r="DL130" i="13" s="1"/>
  <c r="DS18" i="13"/>
  <c r="DR18" i="13" s="1"/>
  <c r="DQ18" i="13" s="1"/>
  <c r="KG134" i="13"/>
  <c r="LJ178" i="13"/>
  <c r="LL178" i="13" s="1"/>
  <c r="LM178" i="13" s="1"/>
  <c r="KT178" i="13"/>
  <c r="KV178" i="13" s="1"/>
  <c r="KW178" i="13" s="1"/>
  <c r="LR178" i="13"/>
  <c r="LT178" i="13" s="1"/>
  <c r="LU178" i="13" s="1"/>
  <c r="LB178" i="13"/>
  <c r="LD178" i="13" s="1"/>
  <c r="LE178" i="13" s="1"/>
  <c r="DZ94" i="13"/>
  <c r="DY94" i="13" s="1"/>
  <c r="DX94" i="13" s="1"/>
  <c r="DW94" i="13" s="1"/>
  <c r="DV94" i="13" s="1"/>
  <c r="DB94" i="13"/>
  <c r="DA94" i="13" s="1"/>
  <c r="CZ94" i="13" s="1"/>
  <c r="CY94" i="13" s="1"/>
  <c r="CX94" i="13" s="1"/>
  <c r="CW94" i="13"/>
  <c r="CV94" i="13" s="1"/>
  <c r="CU94" i="13" s="1"/>
  <c r="CT94" i="13" s="1"/>
  <c r="CS94" i="13" s="1"/>
  <c r="DK94" i="13"/>
  <c r="DJ94" i="13" s="1"/>
  <c r="DI94" i="13" s="1"/>
  <c r="DH94" i="13" s="1"/>
  <c r="DG94" i="13" s="1"/>
  <c r="DP94" i="13"/>
  <c r="DO94" i="13" s="1"/>
  <c r="DN94" i="13" s="1"/>
  <c r="DM94" i="13" s="1"/>
  <c r="DL94" i="13" s="1"/>
  <c r="DU94" i="13"/>
  <c r="DT94" i="13" s="1"/>
  <c r="DS94" i="13" s="1"/>
  <c r="DR94" i="13" s="1"/>
  <c r="DQ94" i="13" s="1"/>
  <c r="CR94" i="13"/>
  <c r="CQ94" i="13" s="1"/>
  <c r="CP94" i="13" s="1"/>
  <c r="CO94" i="13" s="1"/>
  <c r="CN94" i="13" s="1"/>
  <c r="CM94" i="13"/>
  <c r="CL94" i="13" s="1"/>
  <c r="CK94" i="13" s="1"/>
  <c r="CJ94" i="13" s="1"/>
  <c r="CI94" i="13" s="1"/>
  <c r="DX181" i="13"/>
  <c r="DW181" i="13" s="1"/>
  <c r="DV181" i="13" s="1"/>
  <c r="DS15" i="13"/>
  <c r="DR15" i="13" s="1"/>
  <c r="DQ15" i="13" s="1"/>
  <c r="KG146" i="13"/>
  <c r="NO44" i="13"/>
  <c r="LI44" i="13"/>
  <c r="NP44" i="13" s="1"/>
  <c r="NU44" i="13"/>
  <c r="CW82" i="13"/>
  <c r="CV82" i="13" s="1"/>
  <c r="CU82" i="13" s="1"/>
  <c r="CT82" i="13" s="1"/>
  <c r="CS82" i="13" s="1"/>
  <c r="DP82" i="13"/>
  <c r="DO82" i="13" s="1"/>
  <c r="DN82" i="13" s="1"/>
  <c r="DM82" i="13" s="1"/>
  <c r="DL82" i="13" s="1"/>
  <c r="DZ82" i="13"/>
  <c r="DY82" i="13" s="1"/>
  <c r="DX82" i="13" s="1"/>
  <c r="DW82" i="13" s="1"/>
  <c r="DV82" i="13" s="1"/>
  <c r="CR82" i="13"/>
  <c r="CQ82" i="13" s="1"/>
  <c r="CP82" i="13" s="1"/>
  <c r="CO82" i="13" s="1"/>
  <c r="CN82" i="13" s="1"/>
  <c r="CM82" i="13"/>
  <c r="CL82" i="13" s="1"/>
  <c r="CK82" i="13" s="1"/>
  <c r="CJ82" i="13" s="1"/>
  <c r="CI82" i="13" s="1"/>
  <c r="DU82" i="13"/>
  <c r="DT82" i="13" s="1"/>
  <c r="DS82" i="13" s="1"/>
  <c r="DR82" i="13" s="1"/>
  <c r="DQ82" i="13" s="1"/>
  <c r="DK82" i="13"/>
  <c r="DJ82" i="13" s="1"/>
  <c r="DI82" i="13" s="1"/>
  <c r="DH82" i="13" s="1"/>
  <c r="DG82" i="13" s="1"/>
  <c r="DB82" i="13"/>
  <c r="DA82" i="13" s="1"/>
  <c r="CZ82" i="13" s="1"/>
  <c r="CY82" i="13" s="1"/>
  <c r="CX82" i="13" s="1"/>
  <c r="NV62" i="13"/>
  <c r="NQ62" i="13"/>
  <c r="LP62" i="13"/>
  <c r="LQ62" i="13" s="1"/>
  <c r="LJ55" i="13"/>
  <c r="LL55" i="13" s="1"/>
  <c r="LM55" i="13" s="1"/>
  <c r="LB55" i="13"/>
  <c r="LD55" i="13" s="1"/>
  <c r="LE55" i="13" s="1"/>
  <c r="LR55" i="13"/>
  <c r="LT55" i="13" s="1"/>
  <c r="LU55" i="13" s="1"/>
  <c r="KT55" i="13"/>
  <c r="KV55" i="13" s="1"/>
  <c r="KW55" i="13" s="1"/>
  <c r="CP78" i="13"/>
  <c r="CO78" i="13" s="1"/>
  <c r="CN78" i="13" s="1"/>
  <c r="KG109" i="13"/>
  <c r="DK48" i="13"/>
  <c r="DJ48" i="13" s="1"/>
  <c r="DI48" i="13" s="1"/>
  <c r="DH48" i="13" s="1"/>
  <c r="DG48" i="13" s="1"/>
  <c r="DU48" i="13"/>
  <c r="DT48" i="13" s="1"/>
  <c r="DS48" i="13" s="1"/>
  <c r="DR48" i="13" s="1"/>
  <c r="DQ48" i="13" s="1"/>
  <c r="DZ48" i="13"/>
  <c r="DY48" i="13" s="1"/>
  <c r="DX48" i="13" s="1"/>
  <c r="DW48" i="13" s="1"/>
  <c r="DV48" i="13" s="1"/>
  <c r="CR48" i="13"/>
  <c r="CQ48" i="13" s="1"/>
  <c r="CP48" i="13" s="1"/>
  <c r="CO48" i="13" s="1"/>
  <c r="CN48" i="13" s="1"/>
  <c r="CM48" i="13"/>
  <c r="CL48" i="13" s="1"/>
  <c r="CK48" i="13" s="1"/>
  <c r="CJ48" i="13" s="1"/>
  <c r="CI48" i="13" s="1"/>
  <c r="DP48" i="13"/>
  <c r="DO48" i="13" s="1"/>
  <c r="DN48" i="13" s="1"/>
  <c r="DM48" i="13" s="1"/>
  <c r="DL48" i="13" s="1"/>
  <c r="DB48" i="13"/>
  <c r="DA48" i="13" s="1"/>
  <c r="CZ48" i="13" s="1"/>
  <c r="CY48" i="13" s="1"/>
  <c r="CX48" i="13" s="1"/>
  <c r="CW48" i="13"/>
  <c r="CV48" i="13" s="1"/>
  <c r="CU48" i="13" s="1"/>
  <c r="CT48" i="13" s="1"/>
  <c r="CS48" i="13" s="1"/>
  <c r="DN205" i="13"/>
  <c r="DM205" i="13" s="1"/>
  <c r="DL205" i="13" s="1"/>
  <c r="CW58" i="13"/>
  <c r="CV58" i="13" s="1"/>
  <c r="CU58" i="13" s="1"/>
  <c r="CT58" i="13" s="1"/>
  <c r="CS58" i="13" s="1"/>
  <c r="DZ58" i="13"/>
  <c r="DY58" i="13" s="1"/>
  <c r="DX58" i="13" s="1"/>
  <c r="DW58" i="13" s="1"/>
  <c r="DV58" i="13" s="1"/>
  <c r="DK58" i="13"/>
  <c r="DJ58" i="13" s="1"/>
  <c r="DI58" i="13" s="1"/>
  <c r="DH58" i="13" s="1"/>
  <c r="DG58" i="13" s="1"/>
  <c r="CR58" i="13"/>
  <c r="CQ58" i="13" s="1"/>
  <c r="CP58" i="13" s="1"/>
  <c r="CO58" i="13" s="1"/>
  <c r="CN58" i="13" s="1"/>
  <c r="CM58" i="13"/>
  <c r="CL58" i="13" s="1"/>
  <c r="CK58" i="13" s="1"/>
  <c r="CJ58" i="13" s="1"/>
  <c r="CI58" i="13" s="1"/>
  <c r="DB58" i="13"/>
  <c r="DA58" i="13" s="1"/>
  <c r="CZ58" i="13" s="1"/>
  <c r="CY58" i="13" s="1"/>
  <c r="CX58" i="13" s="1"/>
  <c r="DU58" i="13"/>
  <c r="DT58" i="13" s="1"/>
  <c r="DS58" i="13" s="1"/>
  <c r="DR58" i="13" s="1"/>
  <c r="DQ58" i="13" s="1"/>
  <c r="DP58" i="13"/>
  <c r="DO58" i="13" s="1"/>
  <c r="DN58" i="13" s="1"/>
  <c r="DM58" i="13" s="1"/>
  <c r="DL58" i="13" s="1"/>
  <c r="CM130" i="13"/>
  <c r="CL130" i="13" s="1"/>
  <c r="CK130" i="13" s="1"/>
  <c r="CJ130" i="13" s="1"/>
  <c r="CI130" i="13" s="1"/>
  <c r="NQ100" i="13"/>
  <c r="LP100" i="13"/>
  <c r="LQ100" i="13" s="1"/>
  <c r="NV100" i="13"/>
  <c r="NV117" i="13"/>
  <c r="NQ117" i="13"/>
  <c r="LP117" i="13"/>
  <c r="LQ117" i="13" s="1"/>
  <c r="KG79" i="13"/>
  <c r="NR15" i="13"/>
  <c r="DK15" i="13"/>
  <c r="DJ15" i="13" s="1"/>
  <c r="DI15" i="13" s="1"/>
  <c r="DH15" i="13" s="1"/>
  <c r="DG15" i="13" s="1"/>
  <c r="CU181" i="13"/>
  <c r="CT181" i="13" s="1"/>
  <c r="CS181" i="13" s="1"/>
  <c r="DX15" i="13"/>
  <c r="DW15" i="13" s="1"/>
  <c r="DV15" i="13" s="1"/>
  <c r="NQ44" i="13"/>
  <c r="LP44" i="13"/>
  <c r="LQ44" i="13" s="1"/>
  <c r="NV44" i="13"/>
  <c r="LR99" i="13"/>
  <c r="LT99" i="13" s="1"/>
  <c r="LU99" i="13" s="1"/>
  <c r="LB99" i="13"/>
  <c r="LD99" i="13" s="1"/>
  <c r="LE99" i="13" s="1"/>
  <c r="KT99" i="13"/>
  <c r="KV99" i="13" s="1"/>
  <c r="KW99" i="13" s="1"/>
  <c r="LJ99" i="13"/>
  <c r="LL99" i="13" s="1"/>
  <c r="LM99" i="13" s="1"/>
  <c r="NR77" i="13"/>
  <c r="CR90" i="13"/>
  <c r="CQ90" i="13" s="1"/>
  <c r="CP90" i="13" s="1"/>
  <c r="CO90" i="13" s="1"/>
  <c r="CN90" i="13" s="1"/>
  <c r="CM90" i="13"/>
  <c r="CL90" i="13" s="1"/>
  <c r="CK90" i="13" s="1"/>
  <c r="CJ90" i="13" s="1"/>
  <c r="CI90" i="13" s="1"/>
  <c r="DZ90" i="13"/>
  <c r="DY90" i="13" s="1"/>
  <c r="DX90" i="13" s="1"/>
  <c r="DW90" i="13" s="1"/>
  <c r="DV90" i="13" s="1"/>
  <c r="DP90" i="13"/>
  <c r="DO90" i="13" s="1"/>
  <c r="DN90" i="13" s="1"/>
  <c r="DM90" i="13" s="1"/>
  <c r="DL90" i="13" s="1"/>
  <c r="DB90" i="13"/>
  <c r="DA90" i="13" s="1"/>
  <c r="CZ90" i="13" s="1"/>
  <c r="CY90" i="13" s="1"/>
  <c r="CX90" i="13" s="1"/>
  <c r="CW90" i="13"/>
  <c r="CV90" i="13" s="1"/>
  <c r="CU90" i="13" s="1"/>
  <c r="CT90" i="13" s="1"/>
  <c r="CS90" i="13" s="1"/>
  <c r="DK90" i="13"/>
  <c r="DJ90" i="13" s="1"/>
  <c r="DI90" i="13" s="1"/>
  <c r="DH90" i="13" s="1"/>
  <c r="DG90" i="13" s="1"/>
  <c r="DU90" i="13"/>
  <c r="DT90" i="13" s="1"/>
  <c r="DS90" i="13" s="1"/>
  <c r="DR90" i="13" s="1"/>
  <c r="DQ90" i="13" s="1"/>
  <c r="CP179" i="13"/>
  <c r="CO179" i="13" s="1"/>
  <c r="CN179" i="13" s="1"/>
  <c r="NV70" i="13"/>
  <c r="NQ70" i="13"/>
  <c r="LP70" i="13"/>
  <c r="LQ70" i="13" s="1"/>
  <c r="DK78" i="13"/>
  <c r="DJ78" i="13" s="1"/>
  <c r="DI78" i="13" s="1"/>
  <c r="DH78" i="13" s="1"/>
  <c r="DG78" i="13" s="1"/>
  <c r="DB72" i="13"/>
  <c r="DA72" i="13" s="1"/>
  <c r="CZ72" i="13" s="1"/>
  <c r="CY72" i="13" s="1"/>
  <c r="CX72" i="13" s="1"/>
  <c r="CW72" i="13"/>
  <c r="CV72" i="13" s="1"/>
  <c r="CU72" i="13" s="1"/>
  <c r="CT72" i="13" s="1"/>
  <c r="CS72" i="13" s="1"/>
  <c r="DK72" i="13"/>
  <c r="DJ72" i="13" s="1"/>
  <c r="DI72" i="13" s="1"/>
  <c r="DH72" i="13" s="1"/>
  <c r="DG72" i="13" s="1"/>
  <c r="DZ72" i="13"/>
  <c r="DY72" i="13" s="1"/>
  <c r="DX72" i="13" s="1"/>
  <c r="DW72" i="13" s="1"/>
  <c r="DV72" i="13" s="1"/>
  <c r="CR72" i="13"/>
  <c r="CQ72" i="13" s="1"/>
  <c r="CP72" i="13" s="1"/>
  <c r="CO72" i="13" s="1"/>
  <c r="CN72" i="13" s="1"/>
  <c r="CM72" i="13"/>
  <c r="CL72" i="13" s="1"/>
  <c r="CK72" i="13" s="1"/>
  <c r="CJ72" i="13" s="1"/>
  <c r="CI72" i="13" s="1"/>
  <c r="DP72" i="13"/>
  <c r="DO72" i="13" s="1"/>
  <c r="DN72" i="13" s="1"/>
  <c r="DM72" i="13" s="1"/>
  <c r="DL72" i="13" s="1"/>
  <c r="DU72" i="13"/>
  <c r="DT72" i="13" s="1"/>
  <c r="DS72" i="13" s="1"/>
  <c r="DR72" i="13" s="1"/>
  <c r="DQ72" i="13" s="1"/>
  <c r="DZ37" i="13"/>
  <c r="DY37" i="13" s="1"/>
  <c r="DX37" i="13" s="1"/>
  <c r="DW37" i="13" s="1"/>
  <c r="DV37" i="13" s="1"/>
  <c r="CR37" i="13"/>
  <c r="CQ37" i="13" s="1"/>
  <c r="CP37" i="13" s="1"/>
  <c r="CO37" i="13" s="1"/>
  <c r="CN37" i="13" s="1"/>
  <c r="CM37" i="13"/>
  <c r="CL37" i="13" s="1"/>
  <c r="CK37" i="13" s="1"/>
  <c r="CJ37" i="13" s="1"/>
  <c r="CI37" i="13" s="1"/>
  <c r="DB37" i="13"/>
  <c r="DA37" i="13" s="1"/>
  <c r="CZ37" i="13" s="1"/>
  <c r="CY37" i="13" s="1"/>
  <c r="CX37" i="13" s="1"/>
  <c r="DP37" i="13"/>
  <c r="DO37" i="13" s="1"/>
  <c r="DN37" i="13" s="1"/>
  <c r="DM37" i="13" s="1"/>
  <c r="DL37" i="13" s="1"/>
  <c r="CW37" i="13"/>
  <c r="CV37" i="13" s="1"/>
  <c r="CU37" i="13" s="1"/>
  <c r="CT37" i="13" s="1"/>
  <c r="CS37" i="13" s="1"/>
  <c r="DK37" i="13"/>
  <c r="DJ37" i="13" s="1"/>
  <c r="DI37" i="13" s="1"/>
  <c r="DH37" i="13" s="1"/>
  <c r="DG37" i="13" s="1"/>
  <c r="DU37" i="13"/>
  <c r="DT37" i="13" s="1"/>
  <c r="DS37" i="13" s="1"/>
  <c r="DR37" i="13" s="1"/>
  <c r="DQ37" i="13" s="1"/>
  <c r="LR169" i="13"/>
  <c r="LT169" i="13" s="1"/>
  <c r="LU169" i="13" s="1"/>
  <c r="LJ169" i="13"/>
  <c r="LL169" i="13" s="1"/>
  <c r="LM169" i="13" s="1"/>
  <c r="LB169" i="13"/>
  <c r="LD169" i="13" s="1"/>
  <c r="LE169" i="13" s="1"/>
  <c r="KT169" i="13"/>
  <c r="KV169" i="13" s="1"/>
  <c r="KW169" i="13" s="1"/>
  <c r="NP18" i="13"/>
  <c r="CM18" i="13"/>
  <c r="CL18" i="13" s="1"/>
  <c r="CK18" i="13" s="1"/>
  <c r="CJ18" i="13" s="1"/>
  <c r="CI18" i="13" s="1"/>
  <c r="NR12" i="13"/>
  <c r="DK12" i="13"/>
  <c r="DJ12" i="13" s="1"/>
  <c r="DI12" i="13" s="1"/>
  <c r="DH12" i="13" s="1"/>
  <c r="DG12" i="13" s="1"/>
  <c r="DZ182" i="13"/>
  <c r="DY182" i="13" s="1"/>
  <c r="DX182" i="13" s="1"/>
  <c r="DW182" i="13" s="1"/>
  <c r="DV182" i="13" s="1"/>
  <c r="DP182" i="13"/>
  <c r="DO182" i="13" s="1"/>
  <c r="DN182" i="13" s="1"/>
  <c r="DM182" i="13" s="1"/>
  <c r="DL182" i="13" s="1"/>
  <c r="CR182" i="13"/>
  <c r="CQ182" i="13" s="1"/>
  <c r="CP182" i="13" s="1"/>
  <c r="CO182" i="13" s="1"/>
  <c r="CN182" i="13" s="1"/>
  <c r="CM182" i="13"/>
  <c r="CL182" i="13" s="1"/>
  <c r="CK182" i="13" s="1"/>
  <c r="CJ182" i="13" s="1"/>
  <c r="CI182" i="13" s="1"/>
  <c r="DU182" i="13"/>
  <c r="DT182" i="13" s="1"/>
  <c r="DS182" i="13" s="1"/>
  <c r="DR182" i="13" s="1"/>
  <c r="DQ182" i="13" s="1"/>
  <c r="DK182" i="13"/>
  <c r="DJ182" i="13" s="1"/>
  <c r="DI182" i="13" s="1"/>
  <c r="DH182" i="13" s="1"/>
  <c r="DG182" i="13" s="1"/>
  <c r="CW182" i="13"/>
  <c r="CV182" i="13" s="1"/>
  <c r="CU182" i="13" s="1"/>
  <c r="CT182" i="13" s="1"/>
  <c r="CS182" i="13" s="1"/>
  <c r="DB182" i="13"/>
  <c r="DA182" i="13" s="1"/>
  <c r="CZ182" i="13" s="1"/>
  <c r="CY182" i="13" s="1"/>
  <c r="CX182" i="13" s="1"/>
  <c r="NQ83" i="13"/>
  <c r="LP83" i="13"/>
  <c r="LQ83" i="13" s="1"/>
  <c r="NV83" i="13"/>
  <c r="CZ130" i="13"/>
  <c r="CY130" i="13" s="1"/>
  <c r="CX130" i="13" s="1"/>
  <c r="NU117" i="13"/>
  <c r="NO117" i="13"/>
  <c r="LI117" i="13"/>
  <c r="NP117" i="13" s="1"/>
  <c r="NO144" i="13"/>
  <c r="LI144" i="13"/>
  <c r="NU144" i="13"/>
  <c r="LJ170" i="13"/>
  <c r="LL170" i="13" s="1"/>
  <c r="LM170" i="13" s="1"/>
  <c r="LB170" i="13"/>
  <c r="LD170" i="13" s="1"/>
  <c r="LE170" i="13" s="1"/>
  <c r="LR170" i="13"/>
  <c r="LT170" i="13" s="1"/>
  <c r="LU170" i="13" s="1"/>
  <c r="KT170" i="13"/>
  <c r="KV170" i="13" s="1"/>
  <c r="KW170" i="13" s="1"/>
  <c r="KG142" i="13"/>
  <c r="LJ132" i="13"/>
  <c r="LL132" i="13" s="1"/>
  <c r="LM132" i="13" s="1"/>
  <c r="LR132" i="13"/>
  <c r="LT132" i="13" s="1"/>
  <c r="LU132" i="13" s="1"/>
  <c r="KT132" i="13"/>
  <c r="KV132" i="13" s="1"/>
  <c r="KW132" i="13" s="1"/>
  <c r="LB132" i="13"/>
  <c r="LD132" i="13" s="1"/>
  <c r="LE132" i="13" s="1"/>
  <c r="DK202" i="13"/>
  <c r="DJ202" i="13" s="1"/>
  <c r="DI202" i="13" s="1"/>
  <c r="DH202" i="13" s="1"/>
  <c r="DG202" i="13" s="1"/>
  <c r="KT190" i="13"/>
  <c r="KV190" i="13" s="1"/>
  <c r="KW190" i="13" s="1"/>
  <c r="LR190" i="13"/>
  <c r="LT190" i="13" s="1"/>
  <c r="LU190" i="13" s="1"/>
  <c r="LB190" i="13"/>
  <c r="LD190" i="13" s="1"/>
  <c r="LE190" i="13" s="1"/>
  <c r="LJ190" i="13"/>
  <c r="LL190" i="13" s="1"/>
  <c r="LM190" i="13" s="1"/>
  <c r="DN181" i="13"/>
  <c r="DM181" i="13" s="1"/>
  <c r="DL181" i="13" s="1"/>
  <c r="CR71" i="13"/>
  <c r="CQ71" i="13" s="1"/>
  <c r="CP71" i="13" s="1"/>
  <c r="CO71" i="13" s="1"/>
  <c r="CN71" i="13" s="1"/>
  <c r="DZ71" i="13"/>
  <c r="DY71" i="13" s="1"/>
  <c r="DX71" i="13" s="1"/>
  <c r="DW71" i="13" s="1"/>
  <c r="DV71" i="13" s="1"/>
  <c r="CW71" i="13"/>
  <c r="CV71" i="13" s="1"/>
  <c r="CU71" i="13" s="1"/>
  <c r="CT71" i="13" s="1"/>
  <c r="CS71" i="13" s="1"/>
  <c r="DU71" i="13"/>
  <c r="DT71" i="13" s="1"/>
  <c r="DS71" i="13" s="1"/>
  <c r="DR71" i="13" s="1"/>
  <c r="DQ71" i="13" s="1"/>
  <c r="DB71" i="13"/>
  <c r="DA71" i="13" s="1"/>
  <c r="CZ71" i="13" s="1"/>
  <c r="CY71" i="13" s="1"/>
  <c r="CX71" i="13" s="1"/>
  <c r="CM71" i="13"/>
  <c r="CL71" i="13" s="1"/>
  <c r="CK71" i="13" s="1"/>
  <c r="CJ71" i="13" s="1"/>
  <c r="CI71" i="13" s="1"/>
  <c r="DK71" i="13"/>
  <c r="DJ71" i="13" s="1"/>
  <c r="DI71" i="13" s="1"/>
  <c r="DH71" i="13" s="1"/>
  <c r="DG71" i="13" s="1"/>
  <c r="DP71" i="13"/>
  <c r="DO71" i="13" s="1"/>
  <c r="DN71" i="13" s="1"/>
  <c r="DM71" i="13" s="1"/>
  <c r="DL71" i="13" s="1"/>
  <c r="DZ41" i="13"/>
  <c r="DY41" i="13" s="1"/>
  <c r="DX41" i="13" s="1"/>
  <c r="DW41" i="13" s="1"/>
  <c r="DV41" i="13" s="1"/>
  <c r="CR41" i="13"/>
  <c r="CQ41" i="13" s="1"/>
  <c r="CP41" i="13" s="1"/>
  <c r="CO41" i="13" s="1"/>
  <c r="CN41" i="13" s="1"/>
  <c r="DK41" i="13"/>
  <c r="DJ41" i="13" s="1"/>
  <c r="DI41" i="13" s="1"/>
  <c r="DH41" i="13" s="1"/>
  <c r="DG41" i="13" s="1"/>
  <c r="CW41" i="13"/>
  <c r="CV41" i="13" s="1"/>
  <c r="CU41" i="13" s="1"/>
  <c r="CT41" i="13" s="1"/>
  <c r="CS41" i="13" s="1"/>
  <c r="DB41" i="13"/>
  <c r="DA41" i="13" s="1"/>
  <c r="CZ41" i="13" s="1"/>
  <c r="CY41" i="13" s="1"/>
  <c r="CX41" i="13" s="1"/>
  <c r="DP41" i="13"/>
  <c r="DO41" i="13" s="1"/>
  <c r="DN41" i="13" s="1"/>
  <c r="DM41" i="13" s="1"/>
  <c r="DL41" i="13" s="1"/>
  <c r="DU41" i="13"/>
  <c r="DT41" i="13" s="1"/>
  <c r="DS41" i="13" s="1"/>
  <c r="DR41" i="13" s="1"/>
  <c r="DQ41" i="13" s="1"/>
  <c r="CM41" i="13"/>
  <c r="CL41" i="13" s="1"/>
  <c r="CK41" i="13" s="1"/>
  <c r="CJ41" i="13" s="1"/>
  <c r="CI41" i="13" s="1"/>
  <c r="DS77" i="13"/>
  <c r="DR77" i="13" s="1"/>
  <c r="DQ77" i="13" s="1"/>
  <c r="NQ99" i="13"/>
  <c r="LP99" i="13"/>
  <c r="LQ99" i="13" s="1"/>
  <c r="NV99" i="13"/>
  <c r="IB104" i="13"/>
  <c r="ID104" i="13" s="1"/>
  <c r="IE104" i="13" s="1"/>
  <c r="HT104" i="13"/>
  <c r="HV104" i="13" s="1"/>
  <c r="HW104" i="13" s="1"/>
  <c r="HD104" i="13"/>
  <c r="HF104" i="13" s="1"/>
  <c r="HG104" i="13" s="1"/>
  <c r="HL104" i="13"/>
  <c r="HN104" i="13" s="1"/>
  <c r="HO104" i="13" s="1"/>
  <c r="DN179" i="13"/>
  <c r="DM179" i="13" s="1"/>
  <c r="DL179" i="13" s="1"/>
  <c r="NU70" i="13"/>
  <c r="NO70" i="13"/>
  <c r="LI70" i="13"/>
  <c r="NP70" i="13" s="1"/>
  <c r="CM78" i="13"/>
  <c r="CL78" i="13" s="1"/>
  <c r="CK78" i="13" s="1"/>
  <c r="CJ78" i="13" s="1"/>
  <c r="CI78" i="13" s="1"/>
  <c r="KG150" i="13"/>
  <c r="DP118" i="13"/>
  <c r="DO118" i="13" s="1"/>
  <c r="DN118" i="13" s="1"/>
  <c r="DM118" i="13" s="1"/>
  <c r="DL118" i="13" s="1"/>
  <c r="DZ118" i="13"/>
  <c r="DY118" i="13" s="1"/>
  <c r="DX118" i="13" s="1"/>
  <c r="DW118" i="13" s="1"/>
  <c r="DV118" i="13" s="1"/>
  <c r="CR118" i="13"/>
  <c r="CQ118" i="13" s="1"/>
  <c r="CP118" i="13" s="1"/>
  <c r="CO118" i="13" s="1"/>
  <c r="CN118" i="13" s="1"/>
  <c r="CM118" i="13"/>
  <c r="CL118" i="13" s="1"/>
  <c r="CK118" i="13" s="1"/>
  <c r="CJ118" i="13" s="1"/>
  <c r="CI118" i="13" s="1"/>
  <c r="DB118" i="13"/>
  <c r="DA118" i="13" s="1"/>
  <c r="CZ118" i="13" s="1"/>
  <c r="CY118" i="13" s="1"/>
  <c r="CX118" i="13" s="1"/>
  <c r="DK118" i="13"/>
  <c r="DJ118" i="13" s="1"/>
  <c r="DI118" i="13" s="1"/>
  <c r="DH118" i="13" s="1"/>
  <c r="DG118" i="13" s="1"/>
  <c r="CW118" i="13"/>
  <c r="CV118" i="13" s="1"/>
  <c r="CU118" i="13" s="1"/>
  <c r="CT118" i="13" s="1"/>
  <c r="CS118" i="13" s="1"/>
  <c r="DU118" i="13"/>
  <c r="DT118" i="13" s="1"/>
  <c r="DS118" i="13" s="1"/>
  <c r="DR118" i="13" s="1"/>
  <c r="DQ118" i="13" s="1"/>
  <c r="CM168" i="13"/>
  <c r="CL168" i="13" s="1"/>
  <c r="CK168" i="13" s="1"/>
  <c r="CJ168" i="13" s="1"/>
  <c r="CI168" i="13" s="1"/>
  <c r="NP27" i="13"/>
  <c r="CM27" i="13"/>
  <c r="CL27" i="13" s="1"/>
  <c r="CK27" i="13" s="1"/>
  <c r="CJ27" i="13" s="1"/>
  <c r="CI27" i="13" s="1"/>
  <c r="DB158" i="13"/>
  <c r="DA158" i="13" s="1"/>
  <c r="CZ158" i="13" s="1"/>
  <c r="CY158" i="13" s="1"/>
  <c r="CX158" i="13" s="1"/>
  <c r="CW158" i="13"/>
  <c r="CV158" i="13" s="1"/>
  <c r="CU158" i="13" s="1"/>
  <c r="CT158" i="13" s="1"/>
  <c r="CS158" i="13" s="1"/>
  <c r="DP158" i="13"/>
  <c r="DO158" i="13" s="1"/>
  <c r="DN158" i="13" s="1"/>
  <c r="DM158" i="13" s="1"/>
  <c r="DL158" i="13" s="1"/>
  <c r="CR158" i="13"/>
  <c r="CQ158" i="13" s="1"/>
  <c r="CP158" i="13" s="1"/>
  <c r="CO158" i="13" s="1"/>
  <c r="CN158" i="13" s="1"/>
  <c r="DU158" i="13"/>
  <c r="DT158" i="13" s="1"/>
  <c r="DS158" i="13" s="1"/>
  <c r="DR158" i="13" s="1"/>
  <c r="DQ158" i="13" s="1"/>
  <c r="DK158" i="13"/>
  <c r="DJ158" i="13" s="1"/>
  <c r="DI158" i="13" s="1"/>
  <c r="DH158" i="13" s="1"/>
  <c r="DG158" i="13" s="1"/>
  <c r="DZ158" i="13"/>
  <c r="DY158" i="13" s="1"/>
  <c r="DX158" i="13" s="1"/>
  <c r="DW158" i="13" s="1"/>
  <c r="DV158" i="13" s="1"/>
  <c r="CM158" i="13"/>
  <c r="CL158" i="13" s="1"/>
  <c r="CK158" i="13" s="1"/>
  <c r="CJ158" i="13" s="1"/>
  <c r="CI158" i="13" s="1"/>
  <c r="CU130" i="13"/>
  <c r="CT130" i="13" s="1"/>
  <c r="CS130" i="13" s="1"/>
  <c r="NO100" i="13"/>
  <c r="NU100" i="13"/>
  <c r="LI100" i="13"/>
  <c r="NP100" i="13" s="1"/>
  <c r="LR134" i="13"/>
  <c r="LT134" i="13" s="1"/>
  <c r="LU134" i="13" s="1"/>
  <c r="LB134" i="13"/>
  <c r="LD134" i="13" s="1"/>
  <c r="LE134" i="13" s="1"/>
  <c r="LJ134" i="13"/>
  <c r="LL134" i="13" s="1"/>
  <c r="LM134" i="13" s="1"/>
  <c r="KT134" i="13"/>
  <c r="KV134" i="13" s="1"/>
  <c r="KW134" i="13" s="1"/>
  <c r="LP142" i="13"/>
  <c r="LQ142" i="13" s="1"/>
  <c r="NR142" i="13" s="1"/>
  <c r="NV142" i="13"/>
  <c r="NQ142" i="13"/>
  <c r="NO146" i="13"/>
  <c r="LI146" i="13"/>
  <c r="NP146" i="13" s="1"/>
  <c r="NU146" i="13"/>
  <c r="CP202" i="13"/>
  <c r="CO202" i="13" s="1"/>
  <c r="CN202" i="13" s="1"/>
  <c r="CZ181" i="13"/>
  <c r="CY181" i="13" s="1"/>
  <c r="CX181" i="13" s="1"/>
  <c r="KG132" i="13"/>
  <c r="DU214" i="13"/>
  <c r="DT214" i="13" s="1"/>
  <c r="DS214" i="13" s="1"/>
  <c r="DR214" i="13" s="1"/>
  <c r="DQ214" i="13" s="1"/>
  <c r="DP214" i="13"/>
  <c r="DO214" i="13" s="1"/>
  <c r="DN214" i="13" s="1"/>
  <c r="DM214" i="13" s="1"/>
  <c r="DL214" i="13" s="1"/>
  <c r="CM214" i="13"/>
  <c r="CL214" i="13" s="1"/>
  <c r="CK214" i="13" s="1"/>
  <c r="CJ214" i="13" s="1"/>
  <c r="CI214" i="13" s="1"/>
  <c r="DZ214" i="13"/>
  <c r="DY214" i="13" s="1"/>
  <c r="DX214" i="13" s="1"/>
  <c r="DW214" i="13" s="1"/>
  <c r="DV214" i="13" s="1"/>
  <c r="CR214" i="13"/>
  <c r="CQ214" i="13" s="1"/>
  <c r="CP214" i="13" s="1"/>
  <c r="CO214" i="13" s="1"/>
  <c r="CN214" i="13" s="1"/>
  <c r="DB214" i="13"/>
  <c r="DA214" i="13" s="1"/>
  <c r="CZ214" i="13" s="1"/>
  <c r="CY214" i="13" s="1"/>
  <c r="CX214" i="13" s="1"/>
  <c r="CW214" i="13"/>
  <c r="CV214" i="13" s="1"/>
  <c r="CU214" i="13" s="1"/>
  <c r="CT214" i="13" s="1"/>
  <c r="CS214" i="13" s="1"/>
  <c r="DK214" i="13"/>
  <c r="DJ214" i="13" s="1"/>
  <c r="DI214" i="13" s="1"/>
  <c r="DH214" i="13" s="1"/>
  <c r="DG214" i="13" s="1"/>
  <c r="CM141" i="13"/>
  <c r="CL141" i="13" s="1"/>
  <c r="CK141" i="13" s="1"/>
  <c r="CJ141" i="13" s="1"/>
  <c r="CI141" i="13" s="1"/>
  <c r="DK141" i="13"/>
  <c r="DJ141" i="13" s="1"/>
  <c r="DI141" i="13" s="1"/>
  <c r="DH141" i="13" s="1"/>
  <c r="DG141" i="13" s="1"/>
  <c r="DB141" i="13"/>
  <c r="DA141" i="13" s="1"/>
  <c r="CZ141" i="13" s="1"/>
  <c r="CY141" i="13" s="1"/>
  <c r="CX141" i="13" s="1"/>
  <c r="DP141" i="13"/>
  <c r="DO141" i="13" s="1"/>
  <c r="DN141" i="13" s="1"/>
  <c r="DM141" i="13" s="1"/>
  <c r="DL141" i="13" s="1"/>
  <c r="CR141" i="13"/>
  <c r="CQ141" i="13" s="1"/>
  <c r="CP141" i="13" s="1"/>
  <c r="CO141" i="13" s="1"/>
  <c r="CN141" i="13" s="1"/>
  <c r="DU141" i="13"/>
  <c r="DT141" i="13" s="1"/>
  <c r="DS141" i="13" s="1"/>
  <c r="DR141" i="13" s="1"/>
  <c r="DQ141" i="13" s="1"/>
  <c r="DZ141" i="13"/>
  <c r="DY141" i="13" s="1"/>
  <c r="DX141" i="13" s="1"/>
  <c r="DW141" i="13" s="1"/>
  <c r="DV141" i="13" s="1"/>
  <c r="CW141" i="13"/>
  <c r="CV141" i="13" s="1"/>
  <c r="CU141" i="13" s="1"/>
  <c r="CT141" i="13" s="1"/>
  <c r="CS141" i="13" s="1"/>
  <c r="DB162" i="13"/>
  <c r="DA162" i="13" s="1"/>
  <c r="CZ162" i="13" s="1"/>
  <c r="CY162" i="13" s="1"/>
  <c r="CX162" i="13" s="1"/>
  <c r="DZ162" i="13"/>
  <c r="DY162" i="13" s="1"/>
  <c r="DX162" i="13" s="1"/>
  <c r="DW162" i="13" s="1"/>
  <c r="DV162" i="13" s="1"/>
  <c r="CW162" i="13"/>
  <c r="CV162" i="13" s="1"/>
  <c r="CU162" i="13" s="1"/>
  <c r="CT162" i="13" s="1"/>
  <c r="CS162" i="13" s="1"/>
  <c r="CM162" i="13"/>
  <c r="CL162" i="13" s="1"/>
  <c r="CK162" i="13" s="1"/>
  <c r="CJ162" i="13" s="1"/>
  <c r="CI162" i="13" s="1"/>
  <c r="DU162" i="13"/>
  <c r="DT162" i="13" s="1"/>
  <c r="DS162" i="13" s="1"/>
  <c r="DR162" i="13" s="1"/>
  <c r="DQ162" i="13" s="1"/>
  <c r="DK162" i="13"/>
  <c r="DJ162" i="13" s="1"/>
  <c r="DI162" i="13" s="1"/>
  <c r="DH162" i="13" s="1"/>
  <c r="DG162" i="13" s="1"/>
  <c r="CR162" i="13"/>
  <c r="CQ162" i="13" s="1"/>
  <c r="CP162" i="13" s="1"/>
  <c r="CO162" i="13" s="1"/>
  <c r="CN162" i="13" s="1"/>
  <c r="DP162" i="13"/>
  <c r="DO162" i="13" s="1"/>
  <c r="DN162" i="13" s="1"/>
  <c r="DM162" i="13" s="1"/>
  <c r="DL162" i="13" s="1"/>
  <c r="AS6" i="13"/>
  <c r="LJ39" i="13"/>
  <c r="LL39" i="13" s="1"/>
  <c r="LM39" i="13" s="1"/>
  <c r="LB39" i="13"/>
  <c r="LD39" i="13" s="1"/>
  <c r="LE39" i="13" s="1"/>
  <c r="LR39" i="13"/>
  <c r="LT39" i="13" s="1"/>
  <c r="LU39" i="13" s="1"/>
  <c r="KT39" i="13"/>
  <c r="KV39" i="13" s="1"/>
  <c r="KW39" i="13" s="1"/>
  <c r="DK205" i="13"/>
  <c r="DJ205" i="13" s="1"/>
  <c r="DI205" i="13" s="1"/>
  <c r="DH205" i="13" s="1"/>
  <c r="DG205" i="13" s="1"/>
  <c r="DX130" i="13"/>
  <c r="DW130" i="13" s="1"/>
  <c r="DV130" i="13" s="1"/>
  <c r="KG140" i="13"/>
  <c r="NU142" i="13"/>
  <c r="NO142" i="13"/>
  <c r="LI142" i="13"/>
  <c r="NP142" i="13" s="1"/>
  <c r="DK92" i="13"/>
  <c r="DJ92" i="13" s="1"/>
  <c r="DI92" i="13" s="1"/>
  <c r="DH92" i="13" s="1"/>
  <c r="DG92" i="13" s="1"/>
  <c r="DB92" i="13"/>
  <c r="DA92" i="13" s="1"/>
  <c r="CZ92" i="13" s="1"/>
  <c r="CY92" i="13" s="1"/>
  <c r="CX92" i="13" s="1"/>
  <c r="DU92" i="13"/>
  <c r="DT92" i="13" s="1"/>
  <c r="DS92" i="13" s="1"/>
  <c r="DR92" i="13" s="1"/>
  <c r="DQ92" i="13" s="1"/>
  <c r="DP92" i="13"/>
  <c r="DO92" i="13" s="1"/>
  <c r="DN92" i="13" s="1"/>
  <c r="DM92" i="13" s="1"/>
  <c r="DL92" i="13" s="1"/>
  <c r="CR92" i="13"/>
  <c r="CQ92" i="13" s="1"/>
  <c r="CP92" i="13" s="1"/>
  <c r="CO92" i="13" s="1"/>
  <c r="CN92" i="13" s="1"/>
  <c r="CW92" i="13"/>
  <c r="CV92" i="13" s="1"/>
  <c r="CU92" i="13" s="1"/>
  <c r="CT92" i="13" s="1"/>
  <c r="CS92" i="13" s="1"/>
  <c r="CM92" i="13"/>
  <c r="CL92" i="13" s="1"/>
  <c r="CK92" i="13" s="1"/>
  <c r="CJ92" i="13" s="1"/>
  <c r="CI92" i="13" s="1"/>
  <c r="DZ92" i="13"/>
  <c r="DY92" i="13" s="1"/>
  <c r="DX92" i="13" s="1"/>
  <c r="DW92" i="13" s="1"/>
  <c r="DV92" i="13" s="1"/>
  <c r="DZ163" i="13"/>
  <c r="DY163" i="13" s="1"/>
  <c r="DX163" i="13" s="1"/>
  <c r="DW163" i="13" s="1"/>
  <c r="DV163" i="13" s="1"/>
  <c r="CM163" i="13"/>
  <c r="CL163" i="13" s="1"/>
  <c r="CK163" i="13" s="1"/>
  <c r="CJ163" i="13" s="1"/>
  <c r="CI163" i="13" s="1"/>
  <c r="DP163" i="13"/>
  <c r="DO163" i="13" s="1"/>
  <c r="DN163" i="13" s="1"/>
  <c r="DM163" i="13" s="1"/>
  <c r="DL163" i="13" s="1"/>
  <c r="DB163" i="13"/>
  <c r="DA163" i="13" s="1"/>
  <c r="CZ163" i="13" s="1"/>
  <c r="CY163" i="13" s="1"/>
  <c r="CX163" i="13" s="1"/>
  <c r="CW163" i="13"/>
  <c r="CV163" i="13" s="1"/>
  <c r="CU163" i="13" s="1"/>
  <c r="CT163" i="13" s="1"/>
  <c r="CS163" i="13" s="1"/>
  <c r="DK163" i="13"/>
  <c r="DJ163" i="13" s="1"/>
  <c r="DI163" i="13" s="1"/>
  <c r="DH163" i="13" s="1"/>
  <c r="DG163" i="13" s="1"/>
  <c r="CR163" i="13"/>
  <c r="CQ163" i="13" s="1"/>
  <c r="CP163" i="13" s="1"/>
  <c r="CO163" i="13" s="1"/>
  <c r="CN163" i="13" s="1"/>
  <c r="DU163" i="13"/>
  <c r="DT163" i="13" s="1"/>
  <c r="DS163" i="13" s="1"/>
  <c r="DR163" i="13" s="1"/>
  <c r="DQ163" i="13" s="1"/>
  <c r="NQ146" i="13"/>
  <c r="LP146" i="13"/>
  <c r="LQ146" i="13" s="1"/>
  <c r="NR146" i="13" s="1"/>
  <c r="NV146" i="13"/>
  <c r="CP111" i="13"/>
  <c r="CO111" i="13" s="1"/>
  <c r="CN111" i="13" s="1"/>
  <c r="KG86" i="13"/>
  <c r="NX14" i="13"/>
  <c r="NW14" i="13"/>
  <c r="CU77" i="13"/>
  <c r="CT77" i="13" s="1"/>
  <c r="CS77" i="13" s="1"/>
  <c r="KG199" i="13"/>
  <c r="KT44" i="13"/>
  <c r="KV44" i="13" s="1"/>
  <c r="KW44" i="13" s="1"/>
  <c r="LB44" i="13"/>
  <c r="LD44" i="13" s="1"/>
  <c r="LE44" i="13" s="1"/>
  <c r="LR44" i="13"/>
  <c r="LT44" i="13" s="1"/>
  <c r="LU44" i="13" s="1"/>
  <c r="LJ44" i="13"/>
  <c r="LL44" i="13" s="1"/>
  <c r="LM44" i="13" s="1"/>
  <c r="DZ153" i="13"/>
  <c r="DY153" i="13" s="1"/>
  <c r="DX153" i="13" s="1"/>
  <c r="DW153" i="13" s="1"/>
  <c r="DV153" i="13" s="1"/>
  <c r="DK153" i="13"/>
  <c r="DJ153" i="13" s="1"/>
  <c r="DI153" i="13" s="1"/>
  <c r="DH153" i="13" s="1"/>
  <c r="DG153" i="13" s="1"/>
  <c r="DB153" i="13"/>
  <c r="DA153" i="13" s="1"/>
  <c r="CZ153" i="13" s="1"/>
  <c r="CY153" i="13" s="1"/>
  <c r="CX153" i="13" s="1"/>
  <c r="DU153" i="13"/>
  <c r="DT153" i="13" s="1"/>
  <c r="DS153" i="13" s="1"/>
  <c r="DR153" i="13" s="1"/>
  <c r="DQ153" i="13" s="1"/>
  <c r="CR153" i="13"/>
  <c r="CQ153" i="13" s="1"/>
  <c r="CP153" i="13" s="1"/>
  <c r="CO153" i="13" s="1"/>
  <c r="CN153" i="13" s="1"/>
  <c r="CM153" i="13"/>
  <c r="CL153" i="13" s="1"/>
  <c r="CK153" i="13" s="1"/>
  <c r="CJ153" i="13" s="1"/>
  <c r="CI153" i="13" s="1"/>
  <c r="CW153" i="13"/>
  <c r="CV153" i="13" s="1"/>
  <c r="CU153" i="13" s="1"/>
  <c r="CT153" i="13" s="1"/>
  <c r="CS153" i="13" s="1"/>
  <c r="DP153" i="13"/>
  <c r="DO153" i="13" s="1"/>
  <c r="DN153" i="13" s="1"/>
  <c r="DM153" i="13" s="1"/>
  <c r="DL153" i="13" s="1"/>
  <c r="LR109" i="13"/>
  <c r="LT109" i="13" s="1"/>
  <c r="LU109" i="13" s="1"/>
  <c r="LB109" i="13"/>
  <c r="LD109" i="13" s="1"/>
  <c r="LE109" i="13" s="1"/>
  <c r="KT109" i="13"/>
  <c r="KV109" i="13" s="1"/>
  <c r="KW109" i="13" s="1"/>
  <c r="LJ109" i="13"/>
  <c r="LL109" i="13" s="1"/>
  <c r="LM109" i="13" s="1"/>
  <c r="DN78" i="13"/>
  <c r="DM78" i="13" s="1"/>
  <c r="DL78" i="13" s="1"/>
  <c r="KG119" i="13"/>
  <c r="DS126" i="13"/>
  <c r="DR126" i="13" s="1"/>
  <c r="DQ126" i="13" s="1"/>
  <c r="DZ172" i="13"/>
  <c r="DY172" i="13" s="1"/>
  <c r="DX172" i="13" s="1"/>
  <c r="DW172" i="13" s="1"/>
  <c r="DV172" i="13" s="1"/>
  <c r="CR172" i="13"/>
  <c r="CQ172" i="13" s="1"/>
  <c r="CP172" i="13" s="1"/>
  <c r="CO172" i="13" s="1"/>
  <c r="CN172" i="13" s="1"/>
  <c r="DB172" i="13"/>
  <c r="DA172" i="13" s="1"/>
  <c r="CZ172" i="13" s="1"/>
  <c r="CY172" i="13" s="1"/>
  <c r="CX172" i="13" s="1"/>
  <c r="CM172" i="13"/>
  <c r="CL172" i="13" s="1"/>
  <c r="CK172" i="13" s="1"/>
  <c r="CJ172" i="13" s="1"/>
  <c r="CI172" i="13" s="1"/>
  <c r="CW172" i="13"/>
  <c r="CV172" i="13" s="1"/>
  <c r="CU172" i="13" s="1"/>
  <c r="CT172" i="13" s="1"/>
  <c r="CS172" i="13" s="1"/>
  <c r="DP172" i="13"/>
  <c r="DO172" i="13" s="1"/>
  <c r="DN172" i="13" s="1"/>
  <c r="DM172" i="13" s="1"/>
  <c r="DL172" i="13" s="1"/>
  <c r="DK172" i="13"/>
  <c r="DJ172" i="13" s="1"/>
  <c r="DI172" i="13" s="1"/>
  <c r="DH172" i="13" s="1"/>
  <c r="DG172" i="13" s="1"/>
  <c r="DU172" i="13"/>
  <c r="DT172" i="13" s="1"/>
  <c r="DS172" i="13" s="1"/>
  <c r="DR172" i="13" s="1"/>
  <c r="DQ172" i="13" s="1"/>
  <c r="DK45" i="13"/>
  <c r="DJ45" i="13" s="1"/>
  <c r="DI45" i="13" s="1"/>
  <c r="DH45" i="13" s="1"/>
  <c r="DG45" i="13" s="1"/>
  <c r="DK30" i="13"/>
  <c r="DJ30" i="13" s="1"/>
  <c r="DI30" i="13" s="1"/>
  <c r="DH30" i="13" s="1"/>
  <c r="DG30" i="13" s="1"/>
  <c r="NR30" i="13"/>
  <c r="NO83" i="13"/>
  <c r="LI83" i="13"/>
  <c r="NP83" i="13" s="1"/>
  <c r="NU83" i="13"/>
  <c r="NQ138" i="13"/>
  <c r="LP138" i="13"/>
  <c r="LQ138" i="13" s="1"/>
  <c r="NV138" i="13"/>
  <c r="NQ144" i="13"/>
  <c r="LP144" i="13"/>
  <c r="LQ144" i="13" s="1"/>
  <c r="NV144" i="13"/>
  <c r="KG117" i="13"/>
  <c r="NR117" i="13"/>
  <c r="KG46" i="13"/>
  <c r="LI120" i="13"/>
  <c r="NP120" i="13" s="1"/>
  <c r="NU120" i="13"/>
  <c r="NO120" i="13"/>
  <c r="NR22" i="13"/>
  <c r="DK22" i="13"/>
  <c r="DJ22" i="13" s="1"/>
  <c r="DI22" i="13" s="1"/>
  <c r="DH22" i="13" s="1"/>
  <c r="DG22" i="13" s="1"/>
  <c r="CK111" i="13"/>
  <c r="CJ111" i="13" s="1"/>
  <c r="CI111" i="13" s="1"/>
  <c r="KG190" i="13"/>
  <c r="LP187" i="13"/>
  <c r="LQ187" i="13" s="1"/>
  <c r="NQ187" i="13"/>
  <c r="NV187" i="13"/>
  <c r="NO199" i="13"/>
  <c r="LI199" i="13"/>
  <c r="NP199" i="13" s="1"/>
  <c r="NU199" i="13"/>
  <c r="NL14" i="13"/>
  <c r="AS14" i="13"/>
  <c r="AR14" i="13" s="1"/>
  <c r="AQ14" i="13" s="1"/>
  <c r="AP14" i="13" s="1"/>
  <c r="AO14" i="13" s="1"/>
  <c r="AL14" i="13" s="1"/>
  <c r="NO110" i="13"/>
  <c r="LI110" i="13"/>
  <c r="NP110" i="13" s="1"/>
  <c r="NU110" i="13"/>
  <c r="DN77" i="13"/>
  <c r="DM77" i="13" s="1"/>
  <c r="DL77" i="13" s="1"/>
  <c r="CM176" i="13"/>
  <c r="CL176" i="13" s="1"/>
  <c r="CK176" i="13" s="1"/>
  <c r="CJ176" i="13" s="1"/>
  <c r="CI176" i="13" s="1"/>
  <c r="DB176" i="13"/>
  <c r="DA176" i="13" s="1"/>
  <c r="CZ176" i="13" s="1"/>
  <c r="CY176" i="13" s="1"/>
  <c r="CX176" i="13" s="1"/>
  <c r="DP176" i="13"/>
  <c r="DO176" i="13" s="1"/>
  <c r="DN176" i="13" s="1"/>
  <c r="DM176" i="13" s="1"/>
  <c r="DL176" i="13" s="1"/>
  <c r="CW176" i="13"/>
  <c r="CV176" i="13" s="1"/>
  <c r="CU176" i="13" s="1"/>
  <c r="CT176" i="13" s="1"/>
  <c r="CS176" i="13" s="1"/>
  <c r="DK176" i="13"/>
  <c r="DJ176" i="13" s="1"/>
  <c r="DI176" i="13" s="1"/>
  <c r="DH176" i="13" s="1"/>
  <c r="DG176" i="13" s="1"/>
  <c r="DZ176" i="13"/>
  <c r="DY176" i="13" s="1"/>
  <c r="DX176" i="13" s="1"/>
  <c r="DW176" i="13" s="1"/>
  <c r="DV176" i="13" s="1"/>
  <c r="CR176" i="13"/>
  <c r="CQ176" i="13" s="1"/>
  <c r="CP176" i="13" s="1"/>
  <c r="CO176" i="13" s="1"/>
  <c r="CN176" i="13" s="1"/>
  <c r="DU176" i="13"/>
  <c r="DT176" i="13" s="1"/>
  <c r="DS176" i="13" s="1"/>
  <c r="DR176" i="13" s="1"/>
  <c r="DQ176" i="13" s="1"/>
  <c r="LR188" i="13"/>
  <c r="LT188" i="13" s="1"/>
  <c r="LU188" i="13" s="1"/>
  <c r="LJ188" i="13"/>
  <c r="LL188" i="13" s="1"/>
  <c r="LM188" i="13" s="1"/>
  <c r="KT188" i="13"/>
  <c r="KV188" i="13" s="1"/>
  <c r="KW188" i="13" s="1"/>
  <c r="LB188" i="13"/>
  <c r="LD188" i="13" s="1"/>
  <c r="LE188" i="13" s="1"/>
  <c r="NO99" i="13"/>
  <c r="LI99" i="13"/>
  <c r="NP99" i="13" s="1"/>
  <c r="NU99" i="13"/>
  <c r="KT119" i="13"/>
  <c r="KV119" i="13" s="1"/>
  <c r="KW119" i="13" s="1"/>
  <c r="LB119" i="13"/>
  <c r="LD119" i="13" s="1"/>
  <c r="LE119" i="13" s="1"/>
  <c r="LJ119" i="13"/>
  <c r="LL119" i="13" s="1"/>
  <c r="LM119" i="13" s="1"/>
  <c r="LR119" i="13"/>
  <c r="LT119" i="13" s="1"/>
  <c r="LU119" i="13" s="1"/>
  <c r="KG55" i="13"/>
  <c r="CM179" i="13"/>
  <c r="CL179" i="13" s="1"/>
  <c r="CK179" i="13" s="1"/>
  <c r="CJ179" i="13" s="1"/>
  <c r="CI179" i="13" s="1"/>
  <c r="KG44" i="13"/>
  <c r="NR44" i="13"/>
  <c r="CZ126" i="13"/>
  <c r="CY126" i="13" s="1"/>
  <c r="CX126" i="13" s="1"/>
  <c r="DK213" i="13"/>
  <c r="DJ213" i="13" s="1"/>
  <c r="DI213" i="13" s="1"/>
  <c r="DH213" i="13" s="1"/>
  <c r="DG213" i="13" s="1"/>
  <c r="CM213" i="13"/>
  <c r="CL213" i="13" s="1"/>
  <c r="CK213" i="13" s="1"/>
  <c r="CJ213" i="13" s="1"/>
  <c r="CI213" i="13" s="1"/>
  <c r="DU213" i="13"/>
  <c r="DT213" i="13" s="1"/>
  <c r="DS213" i="13" s="1"/>
  <c r="DR213" i="13" s="1"/>
  <c r="DQ213" i="13" s="1"/>
  <c r="CR213" i="13"/>
  <c r="CQ213" i="13" s="1"/>
  <c r="CP213" i="13" s="1"/>
  <c r="CO213" i="13" s="1"/>
  <c r="CN213" i="13" s="1"/>
  <c r="CW213" i="13"/>
  <c r="CV213" i="13" s="1"/>
  <c r="CU213" i="13" s="1"/>
  <c r="CT213" i="13" s="1"/>
  <c r="CS213" i="13" s="1"/>
  <c r="DB213" i="13"/>
  <c r="DA213" i="13" s="1"/>
  <c r="CZ213" i="13" s="1"/>
  <c r="CY213" i="13" s="1"/>
  <c r="CX213" i="13" s="1"/>
  <c r="DZ213" i="13"/>
  <c r="DY213" i="13" s="1"/>
  <c r="DX213" i="13" s="1"/>
  <c r="DW213" i="13" s="1"/>
  <c r="DV213" i="13" s="1"/>
  <c r="DP213" i="13"/>
  <c r="DO213" i="13" s="1"/>
  <c r="DN213" i="13" s="1"/>
  <c r="DM213" i="13" s="1"/>
  <c r="DL213" i="13" s="1"/>
  <c r="KG70" i="13"/>
  <c r="NR70" i="13"/>
  <c r="NR183" i="13"/>
  <c r="DN45" i="13"/>
  <c r="DM45" i="13" s="1"/>
  <c r="DL45" i="13" s="1"/>
  <c r="NQ209" i="13"/>
  <c r="NV209" i="13"/>
  <c r="LP209" i="13"/>
  <c r="LQ209" i="13" s="1"/>
  <c r="NV134" i="13"/>
  <c r="LP134" i="13"/>
  <c r="LQ134" i="13" s="1"/>
  <c r="NR134" i="13" s="1"/>
  <c r="NQ134" i="13"/>
  <c r="KG206" i="13"/>
  <c r="LB142" i="13"/>
  <c r="LD142" i="13" s="1"/>
  <c r="LE142" i="13" s="1"/>
  <c r="LJ142" i="13"/>
  <c r="LL142" i="13" s="1"/>
  <c r="LM142" i="13" s="1"/>
  <c r="LR142" i="13"/>
  <c r="LT142" i="13" s="1"/>
  <c r="LU142" i="13" s="1"/>
  <c r="KT142" i="13"/>
  <c r="KV142" i="13" s="1"/>
  <c r="KW142" i="13" s="1"/>
  <c r="NO138" i="13"/>
  <c r="LI138" i="13"/>
  <c r="NP138" i="13" s="1"/>
  <c r="NU138" i="13"/>
  <c r="NO185" i="13"/>
  <c r="LI185" i="13"/>
  <c r="NP185" i="13" s="1"/>
  <c r="NU185" i="13"/>
  <c r="LP184" i="13"/>
  <c r="LQ184" i="13" s="1"/>
  <c r="NR184" i="13" s="1"/>
  <c r="NV184" i="13"/>
  <c r="NQ184" i="13"/>
  <c r="NO190" i="13"/>
  <c r="LI190" i="13"/>
  <c r="NP190" i="13" s="1"/>
  <c r="NU190" i="13"/>
  <c r="LR120" i="13"/>
  <c r="LT120" i="13" s="1"/>
  <c r="LU120" i="13" s="1"/>
  <c r="KT120" i="13"/>
  <c r="KV120" i="13" s="1"/>
  <c r="KW120" i="13" s="1"/>
  <c r="LJ120" i="13"/>
  <c r="LL120" i="13" s="1"/>
  <c r="LM120" i="13" s="1"/>
  <c r="LB120" i="13"/>
  <c r="LD120" i="13" s="1"/>
  <c r="LE120" i="13" s="1"/>
  <c r="DN202" i="13"/>
  <c r="DM202" i="13" s="1"/>
  <c r="DL202" i="13" s="1"/>
  <c r="CR84" i="13"/>
  <c r="CQ84" i="13" s="1"/>
  <c r="CP84" i="13" s="1"/>
  <c r="CO84" i="13" s="1"/>
  <c r="CN84" i="13" s="1"/>
  <c r="DU84" i="13"/>
  <c r="DT84" i="13" s="1"/>
  <c r="DS84" i="13" s="1"/>
  <c r="DR84" i="13" s="1"/>
  <c r="DQ84" i="13" s="1"/>
  <c r="DK84" i="13"/>
  <c r="DJ84" i="13" s="1"/>
  <c r="DI84" i="13" s="1"/>
  <c r="DH84" i="13" s="1"/>
  <c r="DG84" i="13" s="1"/>
  <c r="DB84" i="13"/>
  <c r="DA84" i="13" s="1"/>
  <c r="CZ84" i="13" s="1"/>
  <c r="CY84" i="13" s="1"/>
  <c r="CX84" i="13" s="1"/>
  <c r="DP84" i="13"/>
  <c r="DO84" i="13" s="1"/>
  <c r="DN84" i="13" s="1"/>
  <c r="DM84" i="13" s="1"/>
  <c r="DL84" i="13" s="1"/>
  <c r="CM84" i="13"/>
  <c r="CL84" i="13" s="1"/>
  <c r="CK84" i="13" s="1"/>
  <c r="CJ84" i="13" s="1"/>
  <c r="CI84" i="13" s="1"/>
  <c r="CW84" i="13"/>
  <c r="CV84" i="13" s="1"/>
  <c r="CU84" i="13" s="1"/>
  <c r="CT84" i="13" s="1"/>
  <c r="CS84" i="13" s="1"/>
  <c r="DZ84" i="13"/>
  <c r="DY84" i="13" s="1"/>
  <c r="DX84" i="13" s="1"/>
  <c r="DW84" i="13" s="1"/>
  <c r="DV84" i="13" s="1"/>
  <c r="DS29" i="13"/>
  <c r="DR29" i="13" s="1"/>
  <c r="DQ29" i="13" s="1"/>
  <c r="NQ110" i="13"/>
  <c r="LP110" i="13"/>
  <c r="LQ110" i="13" s="1"/>
  <c r="NV110" i="13"/>
  <c r="DP129" i="13"/>
  <c r="DO129" i="13" s="1"/>
  <c r="DN129" i="13" s="1"/>
  <c r="DM129" i="13" s="1"/>
  <c r="DL129" i="13" s="1"/>
  <c r="DK129" i="13"/>
  <c r="DJ129" i="13" s="1"/>
  <c r="DI129" i="13" s="1"/>
  <c r="DH129" i="13" s="1"/>
  <c r="DG129" i="13" s="1"/>
  <c r="DZ129" i="13"/>
  <c r="DY129" i="13" s="1"/>
  <c r="DX129" i="13" s="1"/>
  <c r="DW129" i="13" s="1"/>
  <c r="DV129" i="13" s="1"/>
  <c r="CM129" i="13"/>
  <c r="CL129" i="13" s="1"/>
  <c r="CK129" i="13" s="1"/>
  <c r="CJ129" i="13" s="1"/>
  <c r="CI129" i="13" s="1"/>
  <c r="DU129" i="13"/>
  <c r="DT129" i="13" s="1"/>
  <c r="DS129" i="13" s="1"/>
  <c r="DR129" i="13" s="1"/>
  <c r="DQ129" i="13" s="1"/>
  <c r="CR129" i="13"/>
  <c r="CQ129" i="13" s="1"/>
  <c r="CP129" i="13" s="1"/>
  <c r="CO129" i="13" s="1"/>
  <c r="CN129" i="13" s="1"/>
  <c r="DB129" i="13"/>
  <c r="DA129" i="13" s="1"/>
  <c r="CZ129" i="13" s="1"/>
  <c r="CY129" i="13" s="1"/>
  <c r="CX129" i="13" s="1"/>
  <c r="CW129" i="13"/>
  <c r="CV129" i="13" s="1"/>
  <c r="CU129" i="13" s="1"/>
  <c r="CT129" i="13" s="1"/>
  <c r="CS129" i="13" s="1"/>
  <c r="NO56" i="13"/>
  <c r="LI56" i="13"/>
  <c r="NP56" i="13" s="1"/>
  <c r="NU56" i="13"/>
  <c r="NO109" i="13"/>
  <c r="LI109" i="13"/>
  <c r="NP109" i="13" s="1"/>
  <c r="NU109" i="13"/>
  <c r="CZ77" i="13"/>
  <c r="CY77" i="13" s="1"/>
  <c r="CX77" i="13" s="1"/>
  <c r="CM139" i="13"/>
  <c r="CL139" i="13" s="1"/>
  <c r="CK139" i="13" s="1"/>
  <c r="CJ139" i="13" s="1"/>
  <c r="CI139" i="13" s="1"/>
  <c r="DK139" i="13"/>
  <c r="DJ139" i="13" s="1"/>
  <c r="DI139" i="13" s="1"/>
  <c r="DH139" i="13" s="1"/>
  <c r="DG139" i="13" s="1"/>
  <c r="DB139" i="13"/>
  <c r="DA139" i="13" s="1"/>
  <c r="CZ139" i="13" s="1"/>
  <c r="CY139" i="13" s="1"/>
  <c r="CX139" i="13" s="1"/>
  <c r="DP139" i="13"/>
  <c r="DO139" i="13" s="1"/>
  <c r="DN139" i="13" s="1"/>
  <c r="DM139" i="13" s="1"/>
  <c r="DL139" i="13" s="1"/>
  <c r="CW139" i="13"/>
  <c r="CV139" i="13" s="1"/>
  <c r="CU139" i="13" s="1"/>
  <c r="CT139" i="13" s="1"/>
  <c r="CS139" i="13" s="1"/>
  <c r="DZ139" i="13"/>
  <c r="DY139" i="13" s="1"/>
  <c r="DX139" i="13" s="1"/>
  <c r="DW139" i="13" s="1"/>
  <c r="DV139" i="13" s="1"/>
  <c r="CR139" i="13"/>
  <c r="CQ139" i="13" s="1"/>
  <c r="CP139" i="13" s="1"/>
  <c r="CO139" i="13" s="1"/>
  <c r="CN139" i="13" s="1"/>
  <c r="DU139" i="13"/>
  <c r="DT139" i="13" s="1"/>
  <c r="DS139" i="13" s="1"/>
  <c r="DR139" i="13" s="1"/>
  <c r="DQ139" i="13" s="1"/>
  <c r="CM126" i="13"/>
  <c r="CL126" i="13" s="1"/>
  <c r="CK126" i="13" s="1"/>
  <c r="CJ126" i="13" s="1"/>
  <c r="CI126" i="13" s="1"/>
  <c r="NR16" i="13"/>
  <c r="DK16" i="13"/>
  <c r="DJ16" i="13" s="1"/>
  <c r="DI16" i="13" s="1"/>
  <c r="DH16" i="13" s="1"/>
  <c r="DG16" i="13" s="1"/>
  <c r="KG166" i="13"/>
  <c r="LI209" i="13"/>
  <c r="NP209" i="13" s="1"/>
  <c r="NU209" i="13"/>
  <c r="NO209" i="13"/>
  <c r="NO134" i="13"/>
  <c r="LI134" i="13"/>
  <c r="NP134" i="13" s="1"/>
  <c r="NU134" i="13"/>
  <c r="LB83" i="13"/>
  <c r="LD83" i="13" s="1"/>
  <c r="LE83" i="13" s="1"/>
  <c r="LJ83" i="13"/>
  <c r="LL83" i="13" s="1"/>
  <c r="LM83" i="13" s="1"/>
  <c r="KT83" i="13"/>
  <c r="KV83" i="13" s="1"/>
  <c r="KW83" i="13" s="1"/>
  <c r="LR83" i="13"/>
  <c r="LT83" i="13" s="1"/>
  <c r="LU83" i="13" s="1"/>
  <c r="LJ46" i="13"/>
  <c r="LL46" i="13" s="1"/>
  <c r="LM46" i="13" s="1"/>
  <c r="KT46" i="13"/>
  <c r="KV46" i="13" s="1"/>
  <c r="KW46" i="13" s="1"/>
  <c r="LB46" i="13"/>
  <c r="LD46" i="13" s="1"/>
  <c r="LE46" i="13" s="1"/>
  <c r="LR46" i="13"/>
  <c r="LT46" i="13" s="1"/>
  <c r="LU46" i="13" s="1"/>
  <c r="LP185" i="13"/>
  <c r="LQ185" i="13" s="1"/>
  <c r="NV185" i="13"/>
  <c r="NQ185" i="13"/>
  <c r="KG83" i="13"/>
  <c r="NR83" i="13"/>
  <c r="NQ120" i="13"/>
  <c r="NV120" i="13"/>
  <c r="LP120" i="13"/>
  <c r="LQ120" i="13" s="1"/>
  <c r="NQ190" i="13"/>
  <c r="LP190" i="13"/>
  <c r="LQ190" i="13" s="1"/>
  <c r="NR190" i="13" s="1"/>
  <c r="NV190" i="13"/>
  <c r="DK14" i="13"/>
  <c r="DJ14" i="13" s="1"/>
  <c r="DI14" i="13" s="1"/>
  <c r="DH14" i="13" s="1"/>
  <c r="DG14" i="13" s="1"/>
  <c r="NR14" i="13"/>
  <c r="KG178" i="13"/>
  <c r="CZ202" i="13"/>
  <c r="CY202" i="13" s="1"/>
  <c r="CX202" i="13" s="1"/>
  <c r="NP29" i="13"/>
  <c r="CM29" i="13"/>
  <c r="CL29" i="13" s="1"/>
  <c r="CK29" i="13" s="1"/>
  <c r="CJ29" i="13" s="1"/>
  <c r="CI29" i="13" s="1"/>
  <c r="LP199" i="13"/>
  <c r="LQ199" i="13" s="1"/>
  <c r="NR199" i="13" s="1"/>
  <c r="NV199" i="13"/>
  <c r="NQ199" i="13"/>
  <c r="LP56" i="13"/>
  <c r="LQ56" i="13" s="1"/>
  <c r="NV56" i="13"/>
  <c r="NQ56" i="13"/>
  <c r="DX77" i="13"/>
  <c r="DW77" i="13" s="1"/>
  <c r="DV77" i="13" s="1"/>
  <c r="DZ151" i="13"/>
  <c r="DY151" i="13" s="1"/>
  <c r="DX151" i="13" s="1"/>
  <c r="DW151" i="13" s="1"/>
  <c r="DV151" i="13" s="1"/>
  <c r="DP151" i="13"/>
  <c r="DO151" i="13" s="1"/>
  <c r="DN151" i="13" s="1"/>
  <c r="DM151" i="13" s="1"/>
  <c r="DL151" i="13" s="1"/>
  <c r="DU151" i="13"/>
  <c r="DT151" i="13" s="1"/>
  <c r="DS151" i="13" s="1"/>
  <c r="DR151" i="13" s="1"/>
  <c r="DQ151" i="13" s="1"/>
  <c r="DB151" i="13"/>
  <c r="DA151" i="13" s="1"/>
  <c r="CZ151" i="13" s="1"/>
  <c r="CY151" i="13" s="1"/>
  <c r="CX151" i="13" s="1"/>
  <c r="CM151" i="13"/>
  <c r="CL151" i="13" s="1"/>
  <c r="CK151" i="13" s="1"/>
  <c r="CJ151" i="13" s="1"/>
  <c r="CI151" i="13" s="1"/>
  <c r="DK151" i="13"/>
  <c r="DJ151" i="13" s="1"/>
  <c r="DI151" i="13" s="1"/>
  <c r="DH151" i="13" s="1"/>
  <c r="DG151" i="13" s="1"/>
  <c r="CR151" i="13"/>
  <c r="CQ151" i="13" s="1"/>
  <c r="CP151" i="13" s="1"/>
  <c r="CO151" i="13" s="1"/>
  <c r="CN151" i="13" s="1"/>
  <c r="CW151" i="13"/>
  <c r="CV151" i="13" s="1"/>
  <c r="CU151" i="13" s="1"/>
  <c r="CT151" i="13" s="1"/>
  <c r="CS151" i="13" s="1"/>
  <c r="CU14" i="13"/>
  <c r="CT14" i="13" s="1"/>
  <c r="CS14" i="13" s="1"/>
  <c r="LP39" i="13"/>
  <c r="LQ39" i="13" s="1"/>
  <c r="NR39" i="13" s="1"/>
  <c r="NV39" i="13"/>
  <c r="NQ39" i="13"/>
  <c r="CU156" i="13"/>
  <c r="CT156" i="13" s="1"/>
  <c r="CS156" i="13" s="1"/>
  <c r="KG56" i="13"/>
  <c r="NR56" i="13"/>
  <c r="CP126" i="13"/>
  <c r="CO126" i="13" s="1"/>
  <c r="CN126" i="13" s="1"/>
  <c r="NP30" i="13"/>
  <c r="CM30" i="13"/>
  <c r="CL30" i="13" s="1"/>
  <c r="CK30" i="13" s="1"/>
  <c r="CJ30" i="13" s="1"/>
  <c r="CI30" i="13" s="1"/>
  <c r="CM45" i="13"/>
  <c r="CL45" i="13" s="1"/>
  <c r="CK45" i="13" s="1"/>
  <c r="CJ45" i="13" s="1"/>
  <c r="CI45" i="13" s="1"/>
  <c r="KG39" i="13"/>
  <c r="KT209" i="13"/>
  <c r="KV209" i="13" s="1"/>
  <c r="KW209" i="13" s="1"/>
  <c r="LB209" i="13"/>
  <c r="LD209" i="13" s="1"/>
  <c r="LE209" i="13" s="1"/>
  <c r="LJ209" i="13"/>
  <c r="LL209" i="13" s="1"/>
  <c r="LM209" i="13" s="1"/>
  <c r="LR209" i="13"/>
  <c r="LT209" i="13" s="1"/>
  <c r="LU209" i="13" s="1"/>
  <c r="NO79" i="13"/>
  <c r="LI79" i="13"/>
  <c r="NP79" i="13" s="1"/>
  <c r="NU79" i="13"/>
  <c r="DK136" i="13"/>
  <c r="DJ136" i="13" s="1"/>
  <c r="DI136" i="13" s="1"/>
  <c r="DH136" i="13" s="1"/>
  <c r="DG136" i="13" s="1"/>
  <c r="LB138" i="13"/>
  <c r="LD138" i="13" s="1"/>
  <c r="LE138" i="13" s="1"/>
  <c r="KT138" i="13"/>
  <c r="KV138" i="13" s="1"/>
  <c r="KW138" i="13" s="1"/>
  <c r="LJ138" i="13"/>
  <c r="LL138" i="13" s="1"/>
  <c r="LM138" i="13" s="1"/>
  <c r="LR138" i="13"/>
  <c r="LT138" i="13" s="1"/>
  <c r="LU138" i="13" s="1"/>
  <c r="KG100" i="13"/>
  <c r="NR100" i="13"/>
  <c r="CR123" i="13"/>
  <c r="CQ123" i="13" s="1"/>
  <c r="CP123" i="13" s="1"/>
  <c r="CO123" i="13" s="1"/>
  <c r="CN123" i="13" s="1"/>
  <c r="CM123" i="13"/>
  <c r="CL123" i="13" s="1"/>
  <c r="CK123" i="13" s="1"/>
  <c r="CJ123" i="13" s="1"/>
  <c r="CI123" i="13" s="1"/>
  <c r="DP123" i="13"/>
  <c r="DO123" i="13" s="1"/>
  <c r="DN123" i="13" s="1"/>
  <c r="DM123" i="13" s="1"/>
  <c r="DL123" i="13" s="1"/>
  <c r="DB123" i="13"/>
  <c r="DA123" i="13" s="1"/>
  <c r="CZ123" i="13" s="1"/>
  <c r="CY123" i="13" s="1"/>
  <c r="CX123" i="13" s="1"/>
  <c r="CW123" i="13"/>
  <c r="CV123" i="13" s="1"/>
  <c r="CU123" i="13" s="1"/>
  <c r="CT123" i="13" s="1"/>
  <c r="CS123" i="13" s="1"/>
  <c r="DK123" i="13"/>
  <c r="DJ123" i="13" s="1"/>
  <c r="DI123" i="13" s="1"/>
  <c r="DH123" i="13" s="1"/>
  <c r="DG123" i="13" s="1"/>
  <c r="DZ123" i="13"/>
  <c r="DY123" i="13" s="1"/>
  <c r="DX123" i="13" s="1"/>
  <c r="DW123" i="13" s="1"/>
  <c r="DV123" i="13" s="1"/>
  <c r="DU123" i="13"/>
  <c r="DT123" i="13" s="1"/>
  <c r="DS123" i="13" s="1"/>
  <c r="DR123" i="13" s="1"/>
  <c r="DQ123" i="13" s="1"/>
  <c r="CM202" i="13"/>
  <c r="CL202" i="13" s="1"/>
  <c r="CK202" i="13" s="1"/>
  <c r="CJ202" i="13" s="1"/>
  <c r="CI202" i="13" s="1"/>
  <c r="CM177" i="13"/>
  <c r="CL177" i="13" s="1"/>
  <c r="CK177" i="13" s="1"/>
  <c r="CJ177" i="13" s="1"/>
  <c r="CI177" i="13" s="1"/>
  <c r="NO187" i="13"/>
  <c r="LI187" i="13"/>
  <c r="NP187" i="13" s="1"/>
  <c r="NU187" i="13"/>
  <c r="DX29" i="13"/>
  <c r="DW29" i="13" s="1"/>
  <c r="DV29" i="13" s="1"/>
  <c r="NV119" i="13"/>
  <c r="LP119" i="13"/>
  <c r="LQ119" i="13" s="1"/>
  <c r="NR119" i="13" s="1"/>
  <c r="NQ119" i="13"/>
  <c r="NQ109" i="13"/>
  <c r="LP109" i="13"/>
  <c r="LQ109" i="13" s="1"/>
  <c r="NR109" i="13" s="1"/>
  <c r="NV109" i="13"/>
  <c r="CM77" i="13"/>
  <c r="CL77" i="13" s="1"/>
  <c r="CK77" i="13" s="1"/>
  <c r="CJ77" i="13" s="1"/>
  <c r="CI77" i="13" s="1"/>
  <c r="NR20" i="13"/>
  <c r="DK20" i="13"/>
  <c r="DJ20" i="13" s="1"/>
  <c r="DI20" i="13" s="1"/>
  <c r="DH20" i="13" s="1"/>
  <c r="DG20" i="13" s="1"/>
  <c r="DN96" i="13"/>
  <c r="DM96" i="13" s="1"/>
  <c r="DL96" i="13" s="1"/>
  <c r="KT56" i="13"/>
  <c r="KV56" i="13" s="1"/>
  <c r="KW56" i="13" s="1"/>
  <c r="LJ56" i="13"/>
  <c r="LL56" i="13" s="1"/>
  <c r="LM56" i="13" s="1"/>
  <c r="LB56" i="13"/>
  <c r="LD56" i="13" s="1"/>
  <c r="LE56" i="13" s="1"/>
  <c r="LR56" i="13"/>
  <c r="LT56" i="13" s="1"/>
  <c r="LU56" i="13" s="1"/>
  <c r="NO39" i="13"/>
  <c r="LI39" i="13"/>
  <c r="NP39" i="13" s="1"/>
  <c r="NU39" i="13"/>
  <c r="DX126" i="13"/>
  <c r="DW126" i="13" s="1"/>
  <c r="DV126" i="13" s="1"/>
  <c r="NO170" i="13"/>
  <c r="LI170" i="13"/>
  <c r="NP170" i="13" s="1"/>
  <c r="NU170" i="13"/>
  <c r="NV46" i="13"/>
  <c r="NQ46" i="13"/>
  <c r="LP46" i="13"/>
  <c r="LQ46" i="13" s="1"/>
  <c r="NR46" i="13" s="1"/>
  <c r="LB100" i="13"/>
  <c r="LD100" i="13" s="1"/>
  <c r="LE100" i="13" s="1"/>
  <c r="LJ100" i="13"/>
  <c r="LL100" i="13" s="1"/>
  <c r="LM100" i="13" s="1"/>
  <c r="LR100" i="13"/>
  <c r="LT100" i="13" s="1"/>
  <c r="LU100" i="13" s="1"/>
  <c r="KT100" i="13"/>
  <c r="KV100" i="13" s="1"/>
  <c r="KW100" i="13" s="1"/>
  <c r="NO184" i="13"/>
  <c r="LI184" i="13"/>
  <c r="NP184" i="13" s="1"/>
  <c r="NU184" i="13"/>
  <c r="LB61" i="13"/>
  <c r="LD61" i="13" s="1"/>
  <c r="LE61" i="13" s="1"/>
  <c r="LR61" i="13"/>
  <c r="LT61" i="13" s="1"/>
  <c r="LU61" i="13" s="1"/>
  <c r="KT61" i="13"/>
  <c r="KV61" i="13" s="1"/>
  <c r="KW61" i="13" s="1"/>
  <c r="LJ61" i="13"/>
  <c r="LL61" i="13" s="1"/>
  <c r="LM61" i="13" s="1"/>
  <c r="CM87" i="13"/>
  <c r="CL87" i="13" s="1"/>
  <c r="CK87" i="13" s="1"/>
  <c r="CJ87" i="13" s="1"/>
  <c r="CI87" i="13" s="1"/>
  <c r="DZ87" i="13"/>
  <c r="DY87" i="13" s="1"/>
  <c r="DX87" i="13" s="1"/>
  <c r="DW87" i="13" s="1"/>
  <c r="DV87" i="13" s="1"/>
  <c r="CR87" i="13"/>
  <c r="CQ87" i="13" s="1"/>
  <c r="CP87" i="13" s="1"/>
  <c r="CO87" i="13" s="1"/>
  <c r="CN87" i="13" s="1"/>
  <c r="DB87" i="13"/>
  <c r="DA87" i="13" s="1"/>
  <c r="CZ87" i="13" s="1"/>
  <c r="CY87" i="13" s="1"/>
  <c r="CX87" i="13" s="1"/>
  <c r="CW87" i="13"/>
  <c r="CV87" i="13" s="1"/>
  <c r="CU87" i="13" s="1"/>
  <c r="CT87" i="13" s="1"/>
  <c r="CS87" i="13" s="1"/>
  <c r="DU87" i="13"/>
  <c r="DT87" i="13" s="1"/>
  <c r="DS87" i="13" s="1"/>
  <c r="DR87" i="13" s="1"/>
  <c r="DQ87" i="13" s="1"/>
  <c r="DK87" i="13"/>
  <c r="DJ87" i="13" s="1"/>
  <c r="DI87" i="13" s="1"/>
  <c r="DH87" i="13" s="1"/>
  <c r="DG87" i="13" s="1"/>
  <c r="DP87" i="13"/>
  <c r="DO87" i="13" s="1"/>
  <c r="DN87" i="13" s="1"/>
  <c r="DM87" i="13" s="1"/>
  <c r="DL87" i="13" s="1"/>
  <c r="LP188" i="13"/>
  <c r="LQ188" i="13" s="1"/>
  <c r="NR188" i="13" s="1"/>
  <c r="NV188" i="13"/>
  <c r="NQ188" i="13"/>
  <c r="CM98" i="13"/>
  <c r="CL98" i="13" s="1"/>
  <c r="CK98" i="13" s="1"/>
  <c r="CJ98" i="13" s="1"/>
  <c r="CI98" i="13" s="1"/>
  <c r="DK98" i="13"/>
  <c r="DJ98" i="13" s="1"/>
  <c r="DI98" i="13" s="1"/>
  <c r="DH98" i="13" s="1"/>
  <c r="DG98" i="13" s="1"/>
  <c r="DB98" i="13"/>
  <c r="DA98" i="13" s="1"/>
  <c r="CZ98" i="13" s="1"/>
  <c r="CY98" i="13" s="1"/>
  <c r="CX98" i="13" s="1"/>
  <c r="DZ98" i="13"/>
  <c r="DY98" i="13" s="1"/>
  <c r="DX98" i="13" s="1"/>
  <c r="DW98" i="13" s="1"/>
  <c r="DV98" i="13" s="1"/>
  <c r="CW98" i="13"/>
  <c r="CV98" i="13" s="1"/>
  <c r="CU98" i="13" s="1"/>
  <c r="CT98" i="13" s="1"/>
  <c r="CS98" i="13" s="1"/>
  <c r="DP98" i="13"/>
  <c r="DO98" i="13" s="1"/>
  <c r="DN98" i="13" s="1"/>
  <c r="DM98" i="13" s="1"/>
  <c r="DL98" i="13" s="1"/>
  <c r="CR98" i="13"/>
  <c r="CQ98" i="13" s="1"/>
  <c r="CP98" i="13" s="1"/>
  <c r="CO98" i="13" s="1"/>
  <c r="CN98" i="13" s="1"/>
  <c r="DU98" i="13"/>
  <c r="DT98" i="13" s="1"/>
  <c r="DS98" i="13" s="1"/>
  <c r="DR98" i="13" s="1"/>
  <c r="DQ98" i="13" s="1"/>
  <c r="CP77" i="13"/>
  <c r="CO77" i="13" s="1"/>
  <c r="CN77" i="13" s="1"/>
  <c r="NQ150" i="13"/>
  <c r="NV150" i="13"/>
  <c r="LP150" i="13"/>
  <c r="LQ150" i="13" s="1"/>
  <c r="NR150" i="13" s="1"/>
  <c r="DK96" i="13"/>
  <c r="DJ96" i="13" s="1"/>
  <c r="DI96" i="13" s="1"/>
  <c r="DH96" i="13" s="1"/>
  <c r="DG96" i="13" s="1"/>
  <c r="CM156" i="13"/>
  <c r="CL156" i="13" s="1"/>
  <c r="CK156" i="13" s="1"/>
  <c r="CJ156" i="13" s="1"/>
  <c r="CI156" i="13" s="1"/>
  <c r="KG88" i="13"/>
  <c r="CU126" i="13"/>
  <c r="CT126" i="13" s="1"/>
  <c r="CS126" i="13" s="1"/>
  <c r="LP169" i="13"/>
  <c r="LQ169" i="13" s="1"/>
  <c r="NV169" i="13"/>
  <c r="NQ169" i="13"/>
  <c r="NU46" i="13"/>
  <c r="NO46" i="13"/>
  <c r="LI46" i="13"/>
  <c r="NP46" i="13" s="1"/>
  <c r="DK18" i="13"/>
  <c r="DJ18" i="13" s="1"/>
  <c r="DI18" i="13" s="1"/>
  <c r="DH18" i="13" s="1"/>
  <c r="DG18" i="13" s="1"/>
  <c r="NR18" i="13"/>
  <c r="DP93" i="13"/>
  <c r="DO93" i="13" s="1"/>
  <c r="DN93" i="13" s="1"/>
  <c r="DM93" i="13" s="1"/>
  <c r="DL93" i="13" s="1"/>
  <c r="CW93" i="13"/>
  <c r="CV93" i="13" s="1"/>
  <c r="CU93" i="13" s="1"/>
  <c r="CT93" i="13" s="1"/>
  <c r="CS93" i="13" s="1"/>
  <c r="DZ93" i="13"/>
  <c r="DY93" i="13" s="1"/>
  <c r="DX93" i="13" s="1"/>
  <c r="DW93" i="13" s="1"/>
  <c r="DV93" i="13" s="1"/>
  <c r="CR93" i="13"/>
  <c r="CQ93" i="13" s="1"/>
  <c r="CP93" i="13" s="1"/>
  <c r="CO93" i="13" s="1"/>
  <c r="CN93" i="13" s="1"/>
  <c r="DK93" i="13"/>
  <c r="DJ93" i="13" s="1"/>
  <c r="DI93" i="13" s="1"/>
  <c r="DH93" i="13" s="1"/>
  <c r="DG93" i="13" s="1"/>
  <c r="DU93" i="13"/>
  <c r="DT93" i="13" s="1"/>
  <c r="DS93" i="13" s="1"/>
  <c r="DR93" i="13" s="1"/>
  <c r="DQ93" i="13" s="1"/>
  <c r="CM93" i="13"/>
  <c r="CL93" i="13" s="1"/>
  <c r="CK93" i="13" s="1"/>
  <c r="CJ93" i="13" s="1"/>
  <c r="CI93" i="13" s="1"/>
  <c r="DB93" i="13"/>
  <c r="DA93" i="13" s="1"/>
  <c r="CZ93" i="13" s="1"/>
  <c r="CY93" i="13" s="1"/>
  <c r="CX93" i="13" s="1"/>
  <c r="DB57" i="13"/>
  <c r="DA57" i="13" s="1"/>
  <c r="CZ57" i="13" s="1"/>
  <c r="CY57" i="13" s="1"/>
  <c r="CX57" i="13" s="1"/>
  <c r="DP57" i="13"/>
  <c r="DO57" i="13" s="1"/>
  <c r="DN57" i="13" s="1"/>
  <c r="DM57" i="13" s="1"/>
  <c r="DL57" i="13" s="1"/>
  <c r="CW57" i="13"/>
  <c r="CV57" i="13" s="1"/>
  <c r="CU57" i="13" s="1"/>
  <c r="CT57" i="13" s="1"/>
  <c r="CS57" i="13" s="1"/>
  <c r="DZ57" i="13"/>
  <c r="DY57" i="13" s="1"/>
  <c r="DX57" i="13" s="1"/>
  <c r="DW57" i="13" s="1"/>
  <c r="DV57" i="13" s="1"/>
  <c r="DK57" i="13"/>
  <c r="DJ57" i="13" s="1"/>
  <c r="DI57" i="13" s="1"/>
  <c r="DH57" i="13" s="1"/>
  <c r="DG57" i="13" s="1"/>
  <c r="CR57" i="13"/>
  <c r="CQ57" i="13" s="1"/>
  <c r="CP57" i="13" s="1"/>
  <c r="CO57" i="13" s="1"/>
  <c r="CN57" i="13" s="1"/>
  <c r="CM57" i="13"/>
  <c r="CL57" i="13" s="1"/>
  <c r="CK57" i="13" s="1"/>
  <c r="CJ57" i="13" s="1"/>
  <c r="CI57" i="13" s="1"/>
  <c r="DU57" i="13"/>
  <c r="DT57" i="13" s="1"/>
  <c r="DS57" i="13" s="1"/>
  <c r="DR57" i="13" s="1"/>
  <c r="DQ57" i="13" s="1"/>
  <c r="NQ61" i="13"/>
  <c r="LP61" i="13"/>
  <c r="LQ61" i="13" s="1"/>
  <c r="NV61" i="13"/>
  <c r="DU121" i="13"/>
  <c r="DT121" i="13" s="1"/>
  <c r="DS121" i="13" s="1"/>
  <c r="DR121" i="13" s="1"/>
  <c r="DQ121" i="13" s="1"/>
  <c r="DB121" i="13"/>
  <c r="DA121" i="13" s="1"/>
  <c r="CZ121" i="13" s="1"/>
  <c r="CY121" i="13" s="1"/>
  <c r="CX121" i="13" s="1"/>
  <c r="DK121" i="13"/>
  <c r="DJ121" i="13" s="1"/>
  <c r="DI121" i="13" s="1"/>
  <c r="DH121" i="13" s="1"/>
  <c r="DG121" i="13" s="1"/>
  <c r="CR121" i="13"/>
  <c r="CQ121" i="13" s="1"/>
  <c r="CP121" i="13" s="1"/>
  <c r="CO121" i="13" s="1"/>
  <c r="CN121" i="13" s="1"/>
  <c r="DP121" i="13"/>
  <c r="DO121" i="13" s="1"/>
  <c r="DN121" i="13" s="1"/>
  <c r="DM121" i="13" s="1"/>
  <c r="DL121" i="13" s="1"/>
  <c r="CW121" i="13"/>
  <c r="CV121" i="13" s="1"/>
  <c r="CU121" i="13" s="1"/>
  <c r="CT121" i="13" s="1"/>
  <c r="CS121" i="13" s="1"/>
  <c r="CM121" i="13"/>
  <c r="CL121" i="13" s="1"/>
  <c r="CK121" i="13" s="1"/>
  <c r="CJ121" i="13" s="1"/>
  <c r="CI121" i="13" s="1"/>
  <c r="DZ121" i="13"/>
  <c r="DY121" i="13" s="1"/>
  <c r="DX121" i="13" s="1"/>
  <c r="DW121" i="13" s="1"/>
  <c r="DV121" i="13" s="1"/>
  <c r="KG144" i="13"/>
  <c r="NR144" i="13"/>
  <c r="KT185" i="13"/>
  <c r="KV185" i="13" s="1"/>
  <c r="KW185" i="13" s="1"/>
  <c r="LR185" i="13"/>
  <c r="LT185" i="13" s="1"/>
  <c r="LU185" i="13" s="1"/>
  <c r="LJ185" i="13"/>
  <c r="LL185" i="13" s="1"/>
  <c r="LM185" i="13" s="1"/>
  <c r="LB185" i="13"/>
  <c r="LD185" i="13" s="1"/>
  <c r="LE185" i="13" s="1"/>
  <c r="KG185" i="13"/>
  <c r="NR185" i="13"/>
  <c r="KG184" i="13"/>
  <c r="CP177" i="13"/>
  <c r="CO177" i="13" s="1"/>
  <c r="CN177" i="13" s="1"/>
  <c r="NO188" i="13"/>
  <c r="LI188" i="13"/>
  <c r="NP188" i="13" s="1"/>
  <c r="NU188" i="13"/>
  <c r="DU42" i="13"/>
  <c r="DT42" i="13" s="1"/>
  <c r="DS42" i="13" s="1"/>
  <c r="DR42" i="13" s="1"/>
  <c r="DQ42" i="13" s="1"/>
  <c r="DP42" i="13"/>
  <c r="DO42" i="13" s="1"/>
  <c r="DN42" i="13" s="1"/>
  <c r="DM42" i="13" s="1"/>
  <c r="DL42" i="13" s="1"/>
  <c r="DB42" i="13"/>
  <c r="DA42" i="13" s="1"/>
  <c r="CZ42" i="13" s="1"/>
  <c r="CY42" i="13" s="1"/>
  <c r="CX42" i="13" s="1"/>
  <c r="DK42" i="13"/>
  <c r="DJ42" i="13" s="1"/>
  <c r="DI42" i="13" s="1"/>
  <c r="DH42" i="13" s="1"/>
  <c r="DG42" i="13" s="1"/>
  <c r="DZ42" i="13"/>
  <c r="DY42" i="13" s="1"/>
  <c r="DX42" i="13" s="1"/>
  <c r="DW42" i="13" s="1"/>
  <c r="DV42" i="13" s="1"/>
  <c r="CM42" i="13"/>
  <c r="CL42" i="13" s="1"/>
  <c r="CK42" i="13" s="1"/>
  <c r="CJ42" i="13" s="1"/>
  <c r="CI42" i="13" s="1"/>
  <c r="CR42" i="13"/>
  <c r="CQ42" i="13" s="1"/>
  <c r="CP42" i="13" s="1"/>
  <c r="CO42" i="13" s="1"/>
  <c r="CN42" i="13" s="1"/>
  <c r="CW42" i="13"/>
  <c r="CV42" i="13" s="1"/>
  <c r="CU42" i="13" s="1"/>
  <c r="CT42" i="13" s="1"/>
  <c r="CS42" i="13" s="1"/>
  <c r="CP108" i="13"/>
  <c r="CO108" i="13" s="1"/>
  <c r="CN108" i="13" s="1"/>
  <c r="KG196" i="13"/>
  <c r="LI119" i="13"/>
  <c r="NP119" i="13" s="1"/>
  <c r="NU119" i="13"/>
  <c r="NO119" i="13"/>
  <c r="DX17" i="13"/>
  <c r="DW17" i="13" s="1"/>
  <c r="DV17" i="13" s="1"/>
  <c r="NV88" i="13"/>
  <c r="NQ88" i="13"/>
  <c r="LP88" i="13"/>
  <c r="LQ88" i="13" s="1"/>
  <c r="NR88" i="13" s="1"/>
  <c r="LI150" i="13"/>
  <c r="NP150" i="13" s="1"/>
  <c r="NO150" i="13"/>
  <c r="NU150" i="13"/>
  <c r="KT88" i="13"/>
  <c r="KV88" i="13" s="1"/>
  <c r="KW88" i="13" s="1"/>
  <c r="LB88" i="13"/>
  <c r="LD88" i="13" s="1"/>
  <c r="LE88" i="13" s="1"/>
  <c r="LJ88" i="13"/>
  <c r="LL88" i="13" s="1"/>
  <c r="LM88" i="13" s="1"/>
  <c r="LR88" i="13"/>
  <c r="LT88" i="13" s="1"/>
  <c r="LU88" i="13" s="1"/>
  <c r="DS96" i="13"/>
  <c r="DR96" i="13" s="1"/>
  <c r="DQ96" i="13" s="1"/>
  <c r="KG188" i="13"/>
  <c r="LI166" i="13"/>
  <c r="NP166" i="13" s="1"/>
  <c r="NU166" i="13"/>
  <c r="NO166" i="13"/>
  <c r="CZ156" i="13"/>
  <c r="CY156" i="13" s="1"/>
  <c r="CX156" i="13" s="1"/>
  <c r="NO180" i="13"/>
  <c r="LI180" i="13"/>
  <c r="NP180" i="13" s="1"/>
  <c r="NU180" i="13"/>
  <c r="DK126" i="13"/>
  <c r="DJ126" i="13" s="1"/>
  <c r="DI126" i="13" s="1"/>
  <c r="DH126" i="13" s="1"/>
  <c r="DG126" i="13" s="1"/>
  <c r="KG62" i="13"/>
  <c r="NR62" i="13"/>
  <c r="NO169" i="13"/>
  <c r="LI169" i="13"/>
  <c r="NP169" i="13" s="1"/>
  <c r="NU169" i="13"/>
  <c r="CM183" i="13"/>
  <c r="CL183" i="13" s="1"/>
  <c r="CK183" i="13" s="1"/>
  <c r="CJ183" i="13" s="1"/>
  <c r="CI183" i="13" s="1"/>
  <c r="LB166" i="13"/>
  <c r="LD166" i="13" s="1"/>
  <c r="LE166" i="13" s="1"/>
  <c r="LR166" i="13"/>
  <c r="LT166" i="13" s="1"/>
  <c r="LU166" i="13" s="1"/>
  <c r="KT166" i="13"/>
  <c r="KV166" i="13" s="1"/>
  <c r="KW166" i="13" s="1"/>
  <c r="LJ166" i="13"/>
  <c r="LL166" i="13" s="1"/>
  <c r="LM166" i="13" s="1"/>
  <c r="NR13" i="13"/>
  <c r="DK13" i="13"/>
  <c r="DJ13" i="13" s="1"/>
  <c r="DI13" i="13" s="1"/>
  <c r="DH13" i="13" s="1"/>
  <c r="DG13" i="13" s="1"/>
  <c r="LP79" i="13"/>
  <c r="LQ79" i="13" s="1"/>
  <c r="NR79" i="13" s="1"/>
  <c r="NV79" i="13"/>
  <c r="NQ79" i="13"/>
  <c r="NP15" i="13"/>
  <c r="CM15" i="13"/>
  <c r="CL15" i="13" s="1"/>
  <c r="CK15" i="13" s="1"/>
  <c r="CJ15" i="13" s="1"/>
  <c r="CI15" i="13" s="1"/>
  <c r="LR117" i="13"/>
  <c r="LT117" i="13" s="1"/>
  <c r="LU117" i="13" s="1"/>
  <c r="LJ117" i="13"/>
  <c r="LL117" i="13" s="1"/>
  <c r="LM117" i="13" s="1"/>
  <c r="LB117" i="13"/>
  <c r="LD117" i="13" s="1"/>
  <c r="LE117" i="13" s="1"/>
  <c r="KT117" i="13"/>
  <c r="KV117" i="13" s="1"/>
  <c r="KW117" i="13" s="1"/>
  <c r="NU61" i="13"/>
  <c r="NO61" i="13"/>
  <c r="LI61" i="13"/>
  <c r="NP61" i="13" s="1"/>
  <c r="LP178" i="13"/>
  <c r="LQ178" i="13" s="1"/>
  <c r="NR178" i="13" s="1"/>
  <c r="NQ178" i="13"/>
  <c r="NV178" i="13"/>
  <c r="NP22" i="13"/>
  <c r="CM22" i="13"/>
  <c r="CL22" i="13" s="1"/>
  <c r="CK22" i="13" s="1"/>
  <c r="CJ22" i="13" s="1"/>
  <c r="CI22" i="13" s="1"/>
  <c r="LB144" i="13"/>
  <c r="LD144" i="13" s="1"/>
  <c r="LE144" i="13" s="1"/>
  <c r="KT144" i="13"/>
  <c r="KV144" i="13" s="1"/>
  <c r="KW144" i="13" s="1"/>
  <c r="LR144" i="13"/>
  <c r="LT144" i="13" s="1"/>
  <c r="LU144" i="13" s="1"/>
  <c r="LJ144" i="13"/>
  <c r="LL144" i="13" s="1"/>
  <c r="LM144" i="13" s="1"/>
  <c r="LJ184" i="13"/>
  <c r="LL184" i="13" s="1"/>
  <c r="LM184" i="13" s="1"/>
  <c r="LB184" i="13"/>
  <c r="LD184" i="13" s="1"/>
  <c r="LE184" i="13" s="1"/>
  <c r="LR184" i="13"/>
  <c r="LT184" i="13" s="1"/>
  <c r="LU184" i="13" s="1"/>
  <c r="KT184" i="13"/>
  <c r="KV184" i="13" s="1"/>
  <c r="KW184" i="13" s="1"/>
  <c r="KG61" i="13"/>
  <c r="NR61" i="13"/>
  <c r="NO196" i="13"/>
  <c r="LI196" i="13"/>
  <c r="NP196" i="13" s="1"/>
  <c r="NU196" i="13"/>
  <c r="KG120" i="13"/>
  <c r="NR120" i="13"/>
  <c r="CM108" i="13"/>
  <c r="CL108" i="13" s="1"/>
  <c r="CK108" i="13" s="1"/>
  <c r="CJ108" i="13" s="1"/>
  <c r="CI108" i="13" s="1"/>
  <c r="DS17" i="13"/>
  <c r="DR17" i="13" s="1"/>
  <c r="DQ17" i="13" s="1"/>
  <c r="KT199" i="13"/>
  <c r="KV199" i="13" s="1"/>
  <c r="KW199" i="13" s="1"/>
  <c r="LB199" i="13"/>
  <c r="LD199" i="13" s="1"/>
  <c r="LE199" i="13" s="1"/>
  <c r="LJ199" i="13"/>
  <c r="LL199" i="13" s="1"/>
  <c r="LM199" i="13" s="1"/>
  <c r="LR199" i="13"/>
  <c r="LT199" i="13" s="1"/>
  <c r="LU199" i="13" s="1"/>
  <c r="DS20" i="13"/>
  <c r="DR20" i="13" s="1"/>
  <c r="DQ20" i="13" s="1"/>
  <c r="CM96" i="13"/>
  <c r="CL96" i="13" s="1"/>
  <c r="CK96" i="13" s="1"/>
  <c r="CJ96" i="13" s="1"/>
  <c r="CI96" i="13" s="1"/>
  <c r="NP16" i="13"/>
  <c r="CM16" i="13"/>
  <c r="CL16" i="13" s="1"/>
  <c r="CK16" i="13" s="1"/>
  <c r="CJ16" i="13" s="1"/>
  <c r="CI16" i="13" s="1"/>
  <c r="LP166" i="13"/>
  <c r="LQ166" i="13" s="1"/>
  <c r="NR166" i="13" s="1"/>
  <c r="NQ166" i="13"/>
  <c r="NV166" i="13"/>
  <c r="CP156" i="13"/>
  <c r="CO156" i="13" s="1"/>
  <c r="CN156" i="13" s="1"/>
  <c r="KG110" i="13"/>
  <c r="NR110" i="13"/>
  <c r="LP180" i="13"/>
  <c r="LQ180" i="13" s="1"/>
  <c r="NV180" i="13"/>
  <c r="NQ180" i="13"/>
  <c r="KG99" i="13"/>
  <c r="NR99" i="13"/>
  <c r="DN126" i="13"/>
  <c r="DM126" i="13" s="1"/>
  <c r="DL126" i="13" s="1"/>
  <c r="NR179" i="13"/>
  <c r="NQ140" i="13"/>
  <c r="LP140" i="13"/>
  <c r="LQ140" i="13" s="1"/>
  <c r="NR140" i="13" s="1"/>
  <c r="NV140" i="13"/>
  <c r="KG169" i="13"/>
  <c r="NR169" i="13"/>
  <c r="LP170" i="13"/>
  <c r="LQ170" i="13" s="1"/>
  <c r="NR170" i="13" s="1"/>
  <c r="NV170" i="13"/>
  <c r="NQ170" i="13"/>
  <c r="NO178" i="13"/>
  <c r="LI178" i="13"/>
  <c r="NP178" i="13" s="1"/>
  <c r="NU178" i="13"/>
  <c r="KG170" i="13"/>
  <c r="DS181" i="13"/>
  <c r="DR181" i="13" s="1"/>
  <c r="DQ181" i="13" s="1"/>
  <c r="DK38" i="13"/>
  <c r="DJ38" i="13" s="1"/>
  <c r="DI38" i="13" s="1"/>
  <c r="DH38" i="13" s="1"/>
  <c r="DG38" i="13" s="1"/>
  <c r="DP38" i="13"/>
  <c r="DO38" i="13" s="1"/>
  <c r="DN38" i="13" s="1"/>
  <c r="DM38" i="13" s="1"/>
  <c r="DL38" i="13" s="1"/>
  <c r="DB38" i="13"/>
  <c r="DA38" i="13" s="1"/>
  <c r="CZ38" i="13" s="1"/>
  <c r="CY38" i="13" s="1"/>
  <c r="CX38" i="13" s="1"/>
  <c r="CW38" i="13"/>
  <c r="CV38" i="13" s="1"/>
  <c r="CU38" i="13" s="1"/>
  <c r="CT38" i="13" s="1"/>
  <c r="CS38" i="13" s="1"/>
  <c r="DU38" i="13"/>
  <c r="DT38" i="13" s="1"/>
  <c r="DS38" i="13" s="1"/>
  <c r="DR38" i="13" s="1"/>
  <c r="DQ38" i="13" s="1"/>
  <c r="CM38" i="13"/>
  <c r="CL38" i="13" s="1"/>
  <c r="CK38" i="13" s="1"/>
  <c r="CJ38" i="13" s="1"/>
  <c r="CI38" i="13" s="1"/>
  <c r="CR38" i="13"/>
  <c r="CQ38" i="13" s="1"/>
  <c r="CP38" i="13" s="1"/>
  <c r="CO38" i="13" s="1"/>
  <c r="CN38" i="13" s="1"/>
  <c r="DZ38" i="13"/>
  <c r="DY38" i="13" s="1"/>
  <c r="DX38" i="13" s="1"/>
  <c r="DW38" i="13" s="1"/>
  <c r="DV38" i="13" s="1"/>
  <c r="NU88" i="13"/>
  <c r="NO88" i="13"/>
  <c r="LI88" i="13"/>
  <c r="NP88" i="13" s="1"/>
  <c r="DS14" i="13"/>
  <c r="DR14" i="13" s="1"/>
  <c r="DQ14" i="13" s="1"/>
  <c r="NP13" i="13"/>
  <c r="CM13" i="13"/>
  <c r="CL13" i="13" s="1"/>
  <c r="CK13" i="13" s="1"/>
  <c r="CJ13" i="13" s="1"/>
  <c r="CI13" i="13" s="1"/>
  <c r="KT110" i="13"/>
  <c r="KV110" i="13" s="1"/>
  <c r="KW110" i="13" s="1"/>
  <c r="LB110" i="13"/>
  <c r="LD110" i="13" s="1"/>
  <c r="LE110" i="13" s="1"/>
  <c r="LJ110" i="13"/>
  <c r="LL110" i="13" s="1"/>
  <c r="LM110" i="13" s="1"/>
  <c r="LR110" i="13"/>
  <c r="LT110" i="13" s="1"/>
  <c r="LU110" i="13" s="1"/>
  <c r="CP96" i="13"/>
  <c r="CO96" i="13" s="1"/>
  <c r="CN96" i="13" s="1"/>
  <c r="KT150" i="13"/>
  <c r="KV150" i="13" s="1"/>
  <c r="KW150" i="13" s="1"/>
  <c r="LJ150" i="13"/>
  <c r="LL150" i="13" s="1"/>
  <c r="LM150" i="13" s="1"/>
  <c r="LB150" i="13"/>
  <c r="LD150" i="13" s="1"/>
  <c r="LE150" i="13" s="1"/>
  <c r="LR150" i="13"/>
  <c r="LT150" i="13" s="1"/>
  <c r="LU150" i="13" s="1"/>
  <c r="DN183" i="13"/>
  <c r="DM183" i="13" s="1"/>
  <c r="DL183" i="13" s="1"/>
  <c r="LP206" i="13"/>
  <c r="LQ206" i="13" s="1"/>
  <c r="NR206" i="13" s="1"/>
  <c r="NV206" i="13"/>
  <c r="NQ206" i="13"/>
  <c r="DS22" i="13"/>
  <c r="DR22" i="13" s="1"/>
  <c r="DQ22" i="13" s="1"/>
  <c r="NO140" i="13"/>
  <c r="LI140" i="13"/>
  <c r="NP140" i="13" s="1"/>
  <c r="NU140" i="13"/>
  <c r="NV107" i="13"/>
  <c r="NQ107" i="13"/>
  <c r="LP107" i="13"/>
  <c r="LQ107" i="13" s="1"/>
  <c r="LB206" i="13"/>
  <c r="LD206" i="13" s="1"/>
  <c r="LE206" i="13" s="1"/>
  <c r="KT206" i="13"/>
  <c r="KV206" i="13" s="1"/>
  <c r="KW206" i="13" s="1"/>
  <c r="LR206" i="13"/>
  <c r="LT206" i="13" s="1"/>
  <c r="LU206" i="13" s="1"/>
  <c r="LJ206" i="13"/>
  <c r="LL206" i="13" s="1"/>
  <c r="LM206" i="13" s="1"/>
  <c r="NO132" i="13"/>
  <c r="LI132" i="13"/>
  <c r="NP132" i="13" s="1"/>
  <c r="NU132" i="13"/>
  <c r="NQ86" i="13"/>
  <c r="LP86" i="13"/>
  <c r="LQ86" i="13" s="1"/>
  <c r="NR86" i="13" s="1"/>
  <c r="NV86" i="13"/>
  <c r="NQ196" i="13"/>
  <c r="NV196" i="13"/>
  <c r="LP196" i="13"/>
  <c r="LQ196" i="13" s="1"/>
  <c r="NR196" i="13" s="1"/>
  <c r="CP181" i="13"/>
  <c r="CO181" i="13" s="1"/>
  <c r="CN181" i="13" s="1"/>
  <c r="KT86" i="13"/>
  <c r="KV86" i="13" s="1"/>
  <c r="KW86" i="13" s="1"/>
  <c r="LR86" i="13"/>
  <c r="LT86" i="13" s="1"/>
  <c r="LU86" i="13" s="1"/>
  <c r="LJ86" i="13"/>
  <c r="LL86" i="13" s="1"/>
  <c r="LM86" i="13" s="1"/>
  <c r="LB86" i="13"/>
  <c r="LD86" i="13" s="1"/>
  <c r="LE86" i="13" s="1"/>
  <c r="DZ192" i="13"/>
  <c r="DY192" i="13" s="1"/>
  <c r="DX192" i="13" s="1"/>
  <c r="DW192" i="13" s="1"/>
  <c r="DV192" i="13" s="1"/>
  <c r="CM192" i="13"/>
  <c r="CL192" i="13" s="1"/>
  <c r="CK192" i="13" s="1"/>
  <c r="CJ192" i="13" s="1"/>
  <c r="CI192" i="13" s="1"/>
  <c r="CR192" i="13"/>
  <c r="CQ192" i="13" s="1"/>
  <c r="CP192" i="13" s="1"/>
  <c r="CO192" i="13" s="1"/>
  <c r="CN192" i="13" s="1"/>
  <c r="DB192" i="13"/>
  <c r="DA192" i="13" s="1"/>
  <c r="CZ192" i="13" s="1"/>
  <c r="CY192" i="13" s="1"/>
  <c r="CX192" i="13" s="1"/>
  <c r="DU192" i="13"/>
  <c r="DT192" i="13" s="1"/>
  <c r="DS192" i="13" s="1"/>
  <c r="DR192" i="13" s="1"/>
  <c r="DQ192" i="13" s="1"/>
  <c r="CW192" i="13"/>
  <c r="CV192" i="13" s="1"/>
  <c r="CU192" i="13" s="1"/>
  <c r="CT192" i="13" s="1"/>
  <c r="CS192" i="13" s="1"/>
  <c r="DP192" i="13"/>
  <c r="DO192" i="13" s="1"/>
  <c r="DN192" i="13" s="1"/>
  <c r="DM192" i="13" s="1"/>
  <c r="DL192" i="13" s="1"/>
  <c r="DK192" i="13"/>
  <c r="DJ192" i="13" s="1"/>
  <c r="DI192" i="13" s="1"/>
  <c r="DH192" i="13" s="1"/>
  <c r="DG192" i="13" s="1"/>
  <c r="LB146" i="13"/>
  <c r="LD146" i="13" s="1"/>
  <c r="LE146" i="13" s="1"/>
  <c r="KT146" i="13"/>
  <c r="KV146" i="13" s="1"/>
  <c r="KW146" i="13" s="1"/>
  <c r="LJ146" i="13"/>
  <c r="LL146" i="13" s="1"/>
  <c r="LM146" i="13" s="1"/>
  <c r="LR146" i="13"/>
  <c r="LT146" i="13" s="1"/>
  <c r="LU146" i="13" s="1"/>
  <c r="CM161" i="13"/>
  <c r="CL161" i="13" s="1"/>
  <c r="CK161" i="13" s="1"/>
  <c r="CJ161" i="13" s="1"/>
  <c r="CI161" i="13" s="1"/>
  <c r="DP161" i="13"/>
  <c r="DO161" i="13" s="1"/>
  <c r="DN161" i="13" s="1"/>
  <c r="DM161" i="13" s="1"/>
  <c r="DL161" i="13" s="1"/>
  <c r="DB161" i="13"/>
  <c r="DA161" i="13" s="1"/>
  <c r="CZ161" i="13" s="1"/>
  <c r="CY161" i="13" s="1"/>
  <c r="CX161" i="13" s="1"/>
  <c r="CW161" i="13"/>
  <c r="CV161" i="13" s="1"/>
  <c r="CU161" i="13" s="1"/>
  <c r="CT161" i="13" s="1"/>
  <c r="CS161" i="13" s="1"/>
  <c r="DK161" i="13"/>
  <c r="DJ161" i="13" s="1"/>
  <c r="DI161" i="13" s="1"/>
  <c r="DH161" i="13" s="1"/>
  <c r="DG161" i="13" s="1"/>
  <c r="DZ161" i="13"/>
  <c r="DY161" i="13" s="1"/>
  <c r="DX161" i="13" s="1"/>
  <c r="DW161" i="13" s="1"/>
  <c r="DV161" i="13" s="1"/>
  <c r="CR161" i="13"/>
  <c r="CQ161" i="13" s="1"/>
  <c r="CP161" i="13" s="1"/>
  <c r="CO161" i="13" s="1"/>
  <c r="CN161" i="13" s="1"/>
  <c r="DU161" i="13"/>
  <c r="DT161" i="13" s="1"/>
  <c r="DS161" i="13" s="1"/>
  <c r="DR161" i="13" s="1"/>
  <c r="DQ161" i="13" s="1"/>
  <c r="DK108" i="13"/>
  <c r="DJ108" i="13" s="1"/>
  <c r="DI108" i="13" s="1"/>
  <c r="DH108" i="13" s="1"/>
  <c r="DG108" i="13" s="1"/>
  <c r="DX14" i="13"/>
  <c r="DW14" i="13" s="1"/>
  <c r="DV14" i="13" s="1"/>
  <c r="DX20" i="13"/>
  <c r="DW20" i="13" s="1"/>
  <c r="DV20" i="13" s="1"/>
  <c r="CU96" i="13"/>
  <c r="CT96" i="13" s="1"/>
  <c r="CS96" i="13" s="1"/>
  <c r="LR70" i="13"/>
  <c r="LT70" i="13" s="1"/>
  <c r="LU70" i="13" s="1"/>
  <c r="LB70" i="13"/>
  <c r="LD70" i="13" s="1"/>
  <c r="LE70" i="13" s="1"/>
  <c r="LJ70" i="13"/>
  <c r="LL70" i="13" s="1"/>
  <c r="LM70" i="13" s="1"/>
  <c r="KT70" i="13"/>
  <c r="KV70" i="13" s="1"/>
  <c r="KW70" i="13" s="1"/>
  <c r="LR62" i="13"/>
  <c r="LT62" i="13" s="1"/>
  <c r="LU62" i="13" s="1"/>
  <c r="LB62" i="13"/>
  <c r="LD62" i="13" s="1"/>
  <c r="LE62" i="13" s="1"/>
  <c r="KT62" i="13"/>
  <c r="KV62" i="13" s="1"/>
  <c r="KW62" i="13" s="1"/>
  <c r="LJ62" i="13"/>
  <c r="LL62" i="13" s="1"/>
  <c r="LM62" i="13" s="1"/>
  <c r="NP12" i="13"/>
  <c r="CM12" i="13"/>
  <c r="CL12" i="13" s="1"/>
  <c r="CK12" i="13" s="1"/>
  <c r="CJ12" i="13" s="1"/>
  <c r="CI12" i="13" s="1"/>
  <c r="DZ89" i="13"/>
  <c r="DY89" i="13" s="1"/>
  <c r="DX89" i="13" s="1"/>
  <c r="DW89" i="13" s="1"/>
  <c r="DV89" i="13" s="1"/>
  <c r="CW89" i="13"/>
  <c r="CV89" i="13" s="1"/>
  <c r="CU89" i="13" s="1"/>
  <c r="CT89" i="13" s="1"/>
  <c r="CS89" i="13" s="1"/>
  <c r="CR89" i="13"/>
  <c r="CQ89" i="13" s="1"/>
  <c r="CP89" i="13" s="1"/>
  <c r="CO89" i="13" s="1"/>
  <c r="CN89" i="13" s="1"/>
  <c r="CM89" i="13"/>
  <c r="CL89" i="13" s="1"/>
  <c r="CK89" i="13" s="1"/>
  <c r="CJ89" i="13" s="1"/>
  <c r="CI89" i="13" s="1"/>
  <c r="DB89" i="13"/>
  <c r="DA89" i="13" s="1"/>
  <c r="CZ89" i="13" s="1"/>
  <c r="CY89" i="13" s="1"/>
  <c r="CX89" i="13" s="1"/>
  <c r="DP89" i="13"/>
  <c r="DO89" i="13" s="1"/>
  <c r="DN89" i="13" s="1"/>
  <c r="DM89" i="13" s="1"/>
  <c r="DL89" i="13" s="1"/>
  <c r="DK89" i="13"/>
  <c r="DJ89" i="13" s="1"/>
  <c r="DI89" i="13" s="1"/>
  <c r="DH89" i="13" s="1"/>
  <c r="DG89" i="13" s="1"/>
  <c r="DU89" i="13"/>
  <c r="DT89" i="13" s="1"/>
  <c r="DS89" i="13" s="1"/>
  <c r="DR89" i="13" s="1"/>
  <c r="DQ89" i="13" s="1"/>
  <c r="CP183" i="13"/>
  <c r="CO183" i="13" s="1"/>
  <c r="CN183" i="13" s="1"/>
  <c r="LR180" i="13"/>
  <c r="LT180" i="13" s="1"/>
  <c r="LU180" i="13" s="1"/>
  <c r="LJ180" i="13"/>
  <c r="LL180" i="13" s="1"/>
  <c r="LM180" i="13" s="1"/>
  <c r="LB180" i="13"/>
  <c r="LD180" i="13" s="1"/>
  <c r="LE180" i="13" s="1"/>
  <c r="KT180" i="13"/>
  <c r="KV180" i="13" s="1"/>
  <c r="KW180" i="13" s="1"/>
  <c r="DX22" i="13"/>
  <c r="DW22" i="13" s="1"/>
  <c r="DV22" i="13" s="1"/>
  <c r="NU107" i="13"/>
  <c r="NO107" i="13"/>
  <c r="LI107" i="13"/>
  <c r="NP107" i="13" s="1"/>
  <c r="LB140" i="13"/>
  <c r="LD140" i="13" s="1"/>
  <c r="LE140" i="13" s="1"/>
  <c r="LR140" i="13"/>
  <c r="LT140" i="13" s="1"/>
  <c r="LU140" i="13" s="1"/>
  <c r="KT140" i="13"/>
  <c r="KV140" i="13" s="1"/>
  <c r="KW140" i="13" s="1"/>
  <c r="LJ140" i="13"/>
  <c r="LL140" i="13" s="1"/>
  <c r="LM140" i="13" s="1"/>
  <c r="DB81" i="13"/>
  <c r="DA81" i="13" s="1"/>
  <c r="CZ81" i="13" s="1"/>
  <c r="CY81" i="13" s="1"/>
  <c r="CX81" i="13" s="1"/>
  <c r="DP81" i="13"/>
  <c r="DO81" i="13" s="1"/>
  <c r="DN81" i="13" s="1"/>
  <c r="DM81" i="13" s="1"/>
  <c r="DL81" i="13" s="1"/>
  <c r="DU81" i="13"/>
  <c r="DT81" i="13" s="1"/>
  <c r="DS81" i="13" s="1"/>
  <c r="DR81" i="13" s="1"/>
  <c r="DQ81" i="13" s="1"/>
  <c r="CW81" i="13"/>
  <c r="CV81" i="13" s="1"/>
  <c r="CU81" i="13" s="1"/>
  <c r="CT81" i="13" s="1"/>
  <c r="CS81" i="13" s="1"/>
  <c r="DZ81" i="13"/>
  <c r="DY81" i="13" s="1"/>
  <c r="DX81" i="13" s="1"/>
  <c r="DW81" i="13" s="1"/>
  <c r="DV81" i="13" s="1"/>
  <c r="DK81" i="13"/>
  <c r="DJ81" i="13" s="1"/>
  <c r="DI81" i="13" s="1"/>
  <c r="DH81" i="13" s="1"/>
  <c r="DG81" i="13" s="1"/>
  <c r="CR81" i="13"/>
  <c r="CQ81" i="13" s="1"/>
  <c r="CP81" i="13" s="1"/>
  <c r="CO81" i="13" s="1"/>
  <c r="CN81" i="13" s="1"/>
  <c r="CM81" i="13"/>
  <c r="CL81" i="13" s="1"/>
  <c r="CK81" i="13" s="1"/>
  <c r="CJ81" i="13" s="1"/>
  <c r="CI81" i="13" s="1"/>
  <c r="CP130" i="13"/>
  <c r="CO130" i="13" s="1"/>
  <c r="CN130" i="13" s="1"/>
  <c r="NP17" i="13"/>
  <c r="CM17" i="13"/>
  <c r="CL17" i="13" s="1"/>
  <c r="CK17" i="13" s="1"/>
  <c r="CJ17" i="13" s="1"/>
  <c r="CI17" i="13" s="1"/>
  <c r="KT79" i="13"/>
  <c r="KV79" i="13" s="1"/>
  <c r="KW79" i="13" s="1"/>
  <c r="LJ79" i="13"/>
  <c r="LL79" i="13" s="1"/>
  <c r="LM79" i="13" s="1"/>
  <c r="LB79" i="13"/>
  <c r="LD79" i="13" s="1"/>
  <c r="LE79" i="13" s="1"/>
  <c r="LR79" i="13"/>
  <c r="LT79" i="13" s="1"/>
  <c r="LU79" i="13" s="1"/>
  <c r="NQ132" i="13"/>
  <c r="LP132" i="13"/>
  <c r="LQ132" i="13" s="1"/>
  <c r="NR132" i="13" s="1"/>
  <c r="NV132" i="13"/>
  <c r="DK17" i="13"/>
  <c r="DJ17" i="13" s="1"/>
  <c r="DI17" i="13" s="1"/>
  <c r="DH17" i="13" s="1"/>
  <c r="DG17" i="13" s="1"/>
  <c r="NR17" i="13"/>
  <c r="NO86" i="13"/>
  <c r="LI86" i="13"/>
  <c r="NP86" i="13" s="1"/>
  <c r="NU86" i="13"/>
  <c r="DK29" i="13"/>
  <c r="DJ29" i="13" s="1"/>
  <c r="DI29" i="13" s="1"/>
  <c r="DH29" i="13" s="1"/>
  <c r="DG29" i="13" s="1"/>
  <c r="NR29" i="13"/>
  <c r="CM181" i="13"/>
  <c r="CL181" i="13" s="1"/>
  <c r="CK181" i="13" s="1"/>
  <c r="CJ181" i="13" s="1"/>
  <c r="CI181" i="13" s="1"/>
  <c r="KT187" i="13"/>
  <c r="KV187" i="13" s="1"/>
  <c r="KW187" i="13" s="1"/>
  <c r="LB187" i="13"/>
  <c r="LD187" i="13" s="1"/>
  <c r="LE187" i="13" s="1"/>
  <c r="LR187" i="13"/>
  <c r="LT187" i="13" s="1"/>
  <c r="LU187" i="13" s="1"/>
  <c r="LJ187" i="13"/>
  <c r="LL187" i="13" s="1"/>
  <c r="LM187" i="13" s="1"/>
  <c r="NT104" i="13"/>
  <c r="NM104" i="13"/>
  <c r="IA104" i="13"/>
  <c r="NP20" i="13"/>
  <c r="CM20" i="13"/>
  <c r="CL20" i="13" s="1"/>
  <c r="CK20" i="13" s="1"/>
  <c r="CJ20" i="13" s="1"/>
  <c r="CI20" i="13" s="1"/>
  <c r="NO55" i="13"/>
  <c r="LI55" i="13"/>
  <c r="NP55" i="13" s="1"/>
  <c r="NU55" i="13"/>
  <c r="DN108" i="13"/>
  <c r="DM108" i="13" s="1"/>
  <c r="DL108" i="13" s="1"/>
  <c r="NN14" i="13"/>
  <c r="BP14" i="13"/>
  <c r="BO14" i="13" s="1"/>
  <c r="BN14" i="13" s="1"/>
  <c r="BM14" i="13" s="1"/>
  <c r="BL14" i="13" s="1"/>
  <c r="CZ96" i="13"/>
  <c r="CY96" i="13" s="1"/>
  <c r="CX96" i="13" s="1"/>
  <c r="GP104" i="13"/>
  <c r="NN104" i="13"/>
  <c r="NO206" i="13"/>
  <c r="NU206" i="13"/>
  <c r="LI206" i="13"/>
  <c r="NP206" i="13" s="1"/>
  <c r="DK27" i="13"/>
  <c r="DJ27" i="13" s="1"/>
  <c r="DI27" i="13" s="1"/>
  <c r="DH27" i="13" s="1"/>
  <c r="DG27" i="13" s="1"/>
  <c r="NR27" i="13"/>
  <c r="CP205" i="13"/>
  <c r="CO205" i="13" s="1"/>
  <c r="CN205" i="13" s="1"/>
  <c r="DN168" i="13"/>
  <c r="DM168" i="13" s="1"/>
  <c r="DL168" i="13" s="1"/>
  <c r="DZ64" i="13"/>
  <c r="DY64" i="13" s="1"/>
  <c r="DX64" i="13" s="1"/>
  <c r="DW64" i="13" s="1"/>
  <c r="DV64" i="13" s="1"/>
  <c r="DK64" i="13"/>
  <c r="DJ64" i="13" s="1"/>
  <c r="DI64" i="13" s="1"/>
  <c r="DH64" i="13" s="1"/>
  <c r="DG64" i="13" s="1"/>
  <c r="CM64" i="13"/>
  <c r="CL64" i="13" s="1"/>
  <c r="CK64" i="13" s="1"/>
  <c r="CJ64" i="13" s="1"/>
  <c r="CI64" i="13" s="1"/>
  <c r="DB64" i="13"/>
  <c r="DA64" i="13" s="1"/>
  <c r="CZ64" i="13" s="1"/>
  <c r="CY64" i="13" s="1"/>
  <c r="CX64" i="13" s="1"/>
  <c r="CR64" i="13"/>
  <c r="CQ64" i="13" s="1"/>
  <c r="CP64" i="13" s="1"/>
  <c r="CO64" i="13" s="1"/>
  <c r="CN64" i="13" s="1"/>
  <c r="CW64" i="13"/>
  <c r="CV64" i="13" s="1"/>
  <c r="CU64" i="13" s="1"/>
  <c r="CT64" i="13" s="1"/>
  <c r="CS64" i="13" s="1"/>
  <c r="DU64" i="13"/>
  <c r="DT64" i="13" s="1"/>
  <c r="DS64" i="13" s="1"/>
  <c r="DR64" i="13" s="1"/>
  <c r="DQ64" i="13" s="1"/>
  <c r="DP64" i="13"/>
  <c r="DO64" i="13" s="1"/>
  <c r="DN64" i="13" s="1"/>
  <c r="DM64" i="13" s="1"/>
  <c r="DL64" i="13" s="1"/>
  <c r="KT107" i="13"/>
  <c r="KV107" i="13" s="1"/>
  <c r="KW107" i="13" s="1"/>
  <c r="LR107" i="13"/>
  <c r="LT107" i="13" s="1"/>
  <c r="LU107" i="13" s="1"/>
  <c r="LB107" i="13"/>
  <c r="LD107" i="13" s="1"/>
  <c r="LE107" i="13" s="1"/>
  <c r="LJ107" i="13"/>
  <c r="LL107" i="13" s="1"/>
  <c r="LM107" i="13" s="1"/>
  <c r="DS130" i="13"/>
  <c r="DR130" i="13" s="1"/>
  <c r="DQ130" i="13" s="1"/>
  <c r="DX18" i="13"/>
  <c r="DW18" i="13" s="1"/>
  <c r="DV18" i="13" s="1"/>
  <c r="DB124" i="13"/>
  <c r="DA124" i="13" s="1"/>
  <c r="CZ124" i="13" s="1"/>
  <c r="CY124" i="13" s="1"/>
  <c r="CX124" i="13" s="1"/>
  <c r="DP124" i="13"/>
  <c r="DO124" i="13" s="1"/>
  <c r="DN124" i="13" s="1"/>
  <c r="DM124" i="13" s="1"/>
  <c r="DL124" i="13" s="1"/>
  <c r="DU124" i="13"/>
  <c r="DT124" i="13" s="1"/>
  <c r="DS124" i="13" s="1"/>
  <c r="DR124" i="13" s="1"/>
  <c r="DQ124" i="13" s="1"/>
  <c r="CR124" i="13"/>
  <c r="CQ124" i="13" s="1"/>
  <c r="CP124" i="13" s="1"/>
  <c r="CO124" i="13" s="1"/>
  <c r="CN124" i="13" s="1"/>
  <c r="DZ124" i="13"/>
  <c r="DY124" i="13" s="1"/>
  <c r="DX124" i="13" s="1"/>
  <c r="DW124" i="13" s="1"/>
  <c r="DV124" i="13" s="1"/>
  <c r="CM124" i="13"/>
  <c r="CL124" i="13" s="1"/>
  <c r="CK124" i="13" s="1"/>
  <c r="CJ124" i="13" s="1"/>
  <c r="CI124" i="13" s="1"/>
  <c r="DK124" i="13"/>
  <c r="DJ124" i="13" s="1"/>
  <c r="DI124" i="13" s="1"/>
  <c r="DH124" i="13" s="1"/>
  <c r="DG124" i="13" s="1"/>
  <c r="CW124" i="13"/>
  <c r="CV124" i="13" s="1"/>
  <c r="CU124" i="13" s="1"/>
  <c r="CT124" i="13" s="1"/>
  <c r="CS124" i="13" s="1"/>
  <c r="DZ122" i="13"/>
  <c r="DY122" i="13" s="1"/>
  <c r="DX122" i="13" s="1"/>
  <c r="DW122" i="13" s="1"/>
  <c r="DV122" i="13" s="1"/>
  <c r="CW122" i="13"/>
  <c r="CV122" i="13" s="1"/>
  <c r="CU122" i="13" s="1"/>
  <c r="CT122" i="13" s="1"/>
  <c r="CS122" i="13" s="1"/>
  <c r="DU122" i="13"/>
  <c r="DT122" i="13" s="1"/>
  <c r="DS122" i="13" s="1"/>
  <c r="DR122" i="13" s="1"/>
  <c r="DQ122" i="13" s="1"/>
  <c r="CM122" i="13"/>
  <c r="CL122" i="13" s="1"/>
  <c r="CK122" i="13" s="1"/>
  <c r="CJ122" i="13" s="1"/>
  <c r="CI122" i="13" s="1"/>
  <c r="DP122" i="13"/>
  <c r="DO122" i="13" s="1"/>
  <c r="DN122" i="13" s="1"/>
  <c r="DM122" i="13" s="1"/>
  <c r="DL122" i="13" s="1"/>
  <c r="DB122" i="13"/>
  <c r="DA122" i="13" s="1"/>
  <c r="CZ122" i="13" s="1"/>
  <c r="CY122" i="13" s="1"/>
  <c r="CX122" i="13" s="1"/>
  <c r="CR122" i="13"/>
  <c r="CQ122" i="13" s="1"/>
  <c r="CP122" i="13" s="1"/>
  <c r="CO122" i="13" s="1"/>
  <c r="CN122" i="13" s="1"/>
  <c r="DK122" i="13"/>
  <c r="DJ122" i="13" s="1"/>
  <c r="DI122" i="13" s="1"/>
  <c r="DH122" i="13" s="1"/>
  <c r="DG122" i="13" s="1"/>
  <c r="KG107" i="13"/>
  <c r="NR107" i="13"/>
  <c r="KG209" i="13"/>
  <c r="NR209" i="13"/>
  <c r="NP14" i="13"/>
  <c r="CM14" i="13"/>
  <c r="CL14" i="13" s="1"/>
  <c r="CK14" i="13" s="1"/>
  <c r="CJ14" i="13" s="1"/>
  <c r="CI14" i="13" s="1"/>
  <c r="KG138" i="13"/>
  <c r="NR138" i="13"/>
  <c r="DZ207" i="13"/>
  <c r="DY207" i="13" s="1"/>
  <c r="DX207" i="13" s="1"/>
  <c r="DW207" i="13" s="1"/>
  <c r="DV207" i="13" s="1"/>
  <c r="DB207" i="13"/>
  <c r="DA207" i="13" s="1"/>
  <c r="CZ207" i="13" s="1"/>
  <c r="CY207" i="13" s="1"/>
  <c r="CX207" i="13" s="1"/>
  <c r="DP207" i="13"/>
  <c r="DO207" i="13" s="1"/>
  <c r="DN207" i="13" s="1"/>
  <c r="DM207" i="13" s="1"/>
  <c r="DL207" i="13" s="1"/>
  <c r="DU207" i="13"/>
  <c r="DT207" i="13" s="1"/>
  <c r="DS207" i="13" s="1"/>
  <c r="DR207" i="13" s="1"/>
  <c r="DQ207" i="13" s="1"/>
  <c r="CW207" i="13"/>
  <c r="CV207" i="13" s="1"/>
  <c r="CU207" i="13" s="1"/>
  <c r="CT207" i="13" s="1"/>
  <c r="CS207" i="13" s="1"/>
  <c r="CR207" i="13"/>
  <c r="CQ207" i="13" s="1"/>
  <c r="CP207" i="13" s="1"/>
  <c r="CO207" i="13" s="1"/>
  <c r="CN207" i="13" s="1"/>
  <c r="DK207" i="13"/>
  <c r="DJ207" i="13" s="1"/>
  <c r="DI207" i="13" s="1"/>
  <c r="DH207" i="13" s="1"/>
  <c r="DG207" i="13" s="1"/>
  <c r="CM207" i="13"/>
  <c r="CL207" i="13" s="1"/>
  <c r="CK207" i="13" s="1"/>
  <c r="CJ207" i="13" s="1"/>
  <c r="CI207" i="13" s="1"/>
  <c r="DK181" i="13"/>
  <c r="DJ181" i="13" s="1"/>
  <c r="DI181" i="13" s="1"/>
  <c r="DH181" i="13" s="1"/>
  <c r="DG181" i="13" s="1"/>
  <c r="CP14" i="13"/>
  <c r="CO14" i="13" s="1"/>
  <c r="CN14" i="13" s="1"/>
  <c r="LJ196" i="13"/>
  <c r="LL196" i="13" s="1"/>
  <c r="LM196" i="13" s="1"/>
  <c r="KT196" i="13"/>
  <c r="KV196" i="13" s="1"/>
  <c r="KW196" i="13" s="1"/>
  <c r="LB196" i="13"/>
  <c r="LD196" i="13" s="1"/>
  <c r="LE196" i="13" s="1"/>
  <c r="LR196" i="13"/>
  <c r="LT196" i="13" s="1"/>
  <c r="LU196" i="13" s="1"/>
  <c r="DK145" i="13"/>
  <c r="DJ145" i="13" s="1"/>
  <c r="DI145" i="13" s="1"/>
  <c r="DH145" i="13" s="1"/>
  <c r="DG145" i="13" s="1"/>
  <c r="DZ145" i="13"/>
  <c r="DY145" i="13" s="1"/>
  <c r="DX145" i="13" s="1"/>
  <c r="DW145" i="13" s="1"/>
  <c r="DV145" i="13" s="1"/>
  <c r="DP145" i="13"/>
  <c r="DO145" i="13" s="1"/>
  <c r="DN145" i="13" s="1"/>
  <c r="DM145" i="13" s="1"/>
  <c r="DL145" i="13" s="1"/>
  <c r="DB145" i="13"/>
  <c r="DA145" i="13" s="1"/>
  <c r="CZ145" i="13" s="1"/>
  <c r="CY145" i="13" s="1"/>
  <c r="CX145" i="13" s="1"/>
  <c r="CM145" i="13"/>
  <c r="CL145" i="13" s="1"/>
  <c r="CK145" i="13" s="1"/>
  <c r="CJ145" i="13" s="1"/>
  <c r="CI145" i="13" s="1"/>
  <c r="CR145" i="13"/>
  <c r="CQ145" i="13" s="1"/>
  <c r="CP145" i="13" s="1"/>
  <c r="CO145" i="13" s="1"/>
  <c r="CN145" i="13" s="1"/>
  <c r="CW145" i="13"/>
  <c r="CV145" i="13" s="1"/>
  <c r="CU145" i="13" s="1"/>
  <c r="CT145" i="13" s="1"/>
  <c r="CS145" i="13" s="1"/>
  <c r="DU145" i="13"/>
  <c r="DT145" i="13" s="1"/>
  <c r="DS145" i="13" s="1"/>
  <c r="DR145" i="13" s="1"/>
  <c r="DQ145" i="13" s="1"/>
  <c r="AC5" i="141"/>
  <c r="HR104" i="13"/>
  <c r="LP55" i="13"/>
  <c r="LQ55" i="13" s="1"/>
  <c r="NR55" i="13" s="1"/>
  <c r="NV55" i="13"/>
  <c r="NQ55" i="13"/>
  <c r="KG187" i="13"/>
  <c r="NR187" i="13"/>
  <c r="NU62" i="13"/>
  <c r="NO62" i="13"/>
  <c r="LI62" i="13"/>
  <c r="NP62" i="13" s="1"/>
  <c r="DZ114" i="13"/>
  <c r="DY114" i="13" s="1"/>
  <c r="DX114" i="13" s="1"/>
  <c r="DW114" i="13" s="1"/>
  <c r="DV114" i="13" s="1"/>
  <c r="DU114" i="13"/>
  <c r="DT114" i="13" s="1"/>
  <c r="DS114" i="13" s="1"/>
  <c r="DR114" i="13" s="1"/>
  <c r="DQ114" i="13" s="1"/>
  <c r="DP114" i="13"/>
  <c r="DO114" i="13" s="1"/>
  <c r="DN114" i="13" s="1"/>
  <c r="DM114" i="13" s="1"/>
  <c r="DL114" i="13" s="1"/>
  <c r="CR114" i="13"/>
  <c r="CQ114" i="13" s="1"/>
  <c r="CP114" i="13" s="1"/>
  <c r="CO114" i="13" s="1"/>
  <c r="CN114" i="13" s="1"/>
  <c r="DK114" i="13"/>
  <c r="DJ114" i="13" s="1"/>
  <c r="DI114" i="13" s="1"/>
  <c r="DH114" i="13" s="1"/>
  <c r="DG114" i="13" s="1"/>
  <c r="CM114" i="13"/>
  <c r="CL114" i="13" s="1"/>
  <c r="CK114" i="13" s="1"/>
  <c r="CJ114" i="13" s="1"/>
  <c r="CI114" i="13" s="1"/>
  <c r="CW114" i="13"/>
  <c r="CV114" i="13" s="1"/>
  <c r="CU114" i="13" s="1"/>
  <c r="CT114" i="13" s="1"/>
  <c r="CS114" i="13" s="1"/>
  <c r="DB114" i="13"/>
  <c r="DA114" i="13" s="1"/>
  <c r="CZ114" i="13" s="1"/>
  <c r="CY114" i="13" s="1"/>
  <c r="CX114" i="13" s="1"/>
  <c r="DX96" i="13"/>
  <c r="DW96" i="13" s="1"/>
  <c r="DV96" i="13" s="1"/>
  <c r="DX27" i="13"/>
  <c r="DW27" i="13" s="1"/>
  <c r="DV27" i="13" s="1"/>
  <c r="CM205" i="13"/>
  <c r="CL205" i="13" s="1"/>
  <c r="CK205" i="13" s="1"/>
  <c r="CJ205" i="13" s="1"/>
  <c r="CI205" i="13" s="1"/>
  <c r="CP168" i="13"/>
  <c r="CO168" i="13" s="1"/>
  <c r="CN168" i="13" s="1"/>
  <c r="KG180" i="13"/>
  <c r="NR180" i="13"/>
  <c r="DZ39" i="13" l="1"/>
  <c r="DY39" i="13" s="1"/>
  <c r="DX39" i="13" s="1"/>
  <c r="DW39" i="13" s="1"/>
  <c r="DV39" i="13" s="1"/>
  <c r="DU39" i="13"/>
  <c r="DT39" i="13" s="1"/>
  <c r="DS39" i="13" s="1"/>
  <c r="DR39" i="13" s="1"/>
  <c r="DQ39" i="13" s="1"/>
  <c r="DK39" i="13"/>
  <c r="DJ39" i="13" s="1"/>
  <c r="DI39" i="13" s="1"/>
  <c r="DH39" i="13" s="1"/>
  <c r="DG39" i="13" s="1"/>
  <c r="DB39" i="13"/>
  <c r="DA39" i="13" s="1"/>
  <c r="CZ39" i="13" s="1"/>
  <c r="CY39" i="13" s="1"/>
  <c r="CX39" i="13" s="1"/>
  <c r="CR39" i="13"/>
  <c r="CQ39" i="13" s="1"/>
  <c r="CP39" i="13" s="1"/>
  <c r="CO39" i="13" s="1"/>
  <c r="CN39" i="13" s="1"/>
  <c r="CW39" i="13"/>
  <c r="CV39" i="13" s="1"/>
  <c r="CU39" i="13" s="1"/>
  <c r="CT39" i="13" s="1"/>
  <c r="CS39" i="13" s="1"/>
  <c r="DP39" i="13"/>
  <c r="DO39" i="13" s="1"/>
  <c r="DN39" i="13" s="1"/>
  <c r="DM39" i="13" s="1"/>
  <c r="DL39" i="13" s="1"/>
  <c r="CM39" i="13"/>
  <c r="CL39" i="13" s="1"/>
  <c r="CK39" i="13" s="1"/>
  <c r="CJ39" i="13" s="1"/>
  <c r="CI39" i="13" s="1"/>
  <c r="CW178" i="13"/>
  <c r="CV178" i="13" s="1"/>
  <c r="CU178" i="13" s="1"/>
  <c r="CT178" i="13" s="1"/>
  <c r="CS178" i="13" s="1"/>
  <c r="DZ178" i="13"/>
  <c r="DY178" i="13" s="1"/>
  <c r="DX178" i="13" s="1"/>
  <c r="DW178" i="13" s="1"/>
  <c r="DV178" i="13" s="1"/>
  <c r="CR178" i="13"/>
  <c r="CQ178" i="13" s="1"/>
  <c r="CP178" i="13" s="1"/>
  <c r="CO178" i="13" s="1"/>
  <c r="CN178" i="13" s="1"/>
  <c r="DP178" i="13"/>
  <c r="DO178" i="13" s="1"/>
  <c r="DN178" i="13" s="1"/>
  <c r="DM178" i="13" s="1"/>
  <c r="DL178" i="13" s="1"/>
  <c r="DB178" i="13"/>
  <c r="DA178" i="13" s="1"/>
  <c r="CZ178" i="13" s="1"/>
  <c r="CY178" i="13" s="1"/>
  <c r="CX178" i="13" s="1"/>
  <c r="DU178" i="13"/>
  <c r="DT178" i="13" s="1"/>
  <c r="DS178" i="13" s="1"/>
  <c r="DR178" i="13" s="1"/>
  <c r="DQ178" i="13" s="1"/>
  <c r="DK178" i="13"/>
  <c r="DJ178" i="13" s="1"/>
  <c r="DI178" i="13" s="1"/>
  <c r="DH178" i="13" s="1"/>
  <c r="DG178" i="13" s="1"/>
  <c r="CM178" i="13"/>
  <c r="CL178" i="13" s="1"/>
  <c r="CK178" i="13" s="1"/>
  <c r="CJ178" i="13" s="1"/>
  <c r="CI178" i="13" s="1"/>
  <c r="DP110" i="13"/>
  <c r="DO110" i="13" s="1"/>
  <c r="DN110" i="13" s="1"/>
  <c r="DM110" i="13" s="1"/>
  <c r="DL110" i="13" s="1"/>
  <c r="CW110" i="13"/>
  <c r="CV110" i="13" s="1"/>
  <c r="CU110" i="13" s="1"/>
  <c r="CT110" i="13" s="1"/>
  <c r="CS110" i="13" s="1"/>
  <c r="DB110" i="13"/>
  <c r="DA110" i="13" s="1"/>
  <c r="CZ110" i="13" s="1"/>
  <c r="CY110" i="13" s="1"/>
  <c r="CX110" i="13" s="1"/>
  <c r="DZ110" i="13"/>
  <c r="DY110" i="13" s="1"/>
  <c r="DX110" i="13" s="1"/>
  <c r="DW110" i="13" s="1"/>
  <c r="DV110" i="13" s="1"/>
  <c r="CM110" i="13"/>
  <c r="CL110" i="13" s="1"/>
  <c r="CK110" i="13" s="1"/>
  <c r="CJ110" i="13" s="1"/>
  <c r="CI110" i="13" s="1"/>
  <c r="DK110" i="13"/>
  <c r="DJ110" i="13" s="1"/>
  <c r="DI110" i="13" s="1"/>
  <c r="DH110" i="13" s="1"/>
  <c r="DG110" i="13" s="1"/>
  <c r="CR110" i="13"/>
  <c r="CQ110" i="13" s="1"/>
  <c r="CP110" i="13" s="1"/>
  <c r="CO110" i="13" s="1"/>
  <c r="CN110" i="13" s="1"/>
  <c r="DU110" i="13"/>
  <c r="DT110" i="13" s="1"/>
  <c r="DS110" i="13" s="1"/>
  <c r="DR110" i="13" s="1"/>
  <c r="DQ110" i="13" s="1"/>
  <c r="DB120" i="13"/>
  <c r="DA120" i="13" s="1"/>
  <c r="CZ120" i="13" s="1"/>
  <c r="CY120" i="13" s="1"/>
  <c r="CX120" i="13" s="1"/>
  <c r="CW120" i="13"/>
  <c r="CV120" i="13" s="1"/>
  <c r="CU120" i="13" s="1"/>
  <c r="CT120" i="13" s="1"/>
  <c r="CS120" i="13" s="1"/>
  <c r="DZ120" i="13"/>
  <c r="DY120" i="13" s="1"/>
  <c r="DX120" i="13" s="1"/>
  <c r="DW120" i="13" s="1"/>
  <c r="DV120" i="13" s="1"/>
  <c r="CR120" i="13"/>
  <c r="CQ120" i="13" s="1"/>
  <c r="CP120" i="13" s="1"/>
  <c r="CO120" i="13" s="1"/>
  <c r="CN120" i="13" s="1"/>
  <c r="DU120" i="13"/>
  <c r="DT120" i="13" s="1"/>
  <c r="DS120" i="13" s="1"/>
  <c r="DR120" i="13" s="1"/>
  <c r="DQ120" i="13" s="1"/>
  <c r="DP120" i="13"/>
  <c r="DO120" i="13" s="1"/>
  <c r="DN120" i="13" s="1"/>
  <c r="DM120" i="13" s="1"/>
  <c r="DL120" i="13" s="1"/>
  <c r="DK120" i="13"/>
  <c r="DJ120" i="13" s="1"/>
  <c r="DI120" i="13" s="1"/>
  <c r="DH120" i="13" s="1"/>
  <c r="DG120" i="13" s="1"/>
  <c r="CM120" i="13"/>
  <c r="CL120" i="13" s="1"/>
  <c r="CK120" i="13" s="1"/>
  <c r="CJ120" i="13" s="1"/>
  <c r="CI120" i="13" s="1"/>
  <c r="DZ100" i="13"/>
  <c r="DY100" i="13" s="1"/>
  <c r="DX100" i="13" s="1"/>
  <c r="DW100" i="13" s="1"/>
  <c r="DV100" i="13" s="1"/>
  <c r="CM100" i="13"/>
  <c r="CL100" i="13" s="1"/>
  <c r="CK100" i="13" s="1"/>
  <c r="CJ100" i="13" s="1"/>
  <c r="CI100" i="13" s="1"/>
  <c r="DK100" i="13"/>
  <c r="DJ100" i="13" s="1"/>
  <c r="DI100" i="13" s="1"/>
  <c r="DH100" i="13" s="1"/>
  <c r="DG100" i="13" s="1"/>
  <c r="CR100" i="13"/>
  <c r="CQ100" i="13" s="1"/>
  <c r="CP100" i="13" s="1"/>
  <c r="CO100" i="13" s="1"/>
  <c r="CN100" i="13" s="1"/>
  <c r="DP100" i="13"/>
  <c r="DO100" i="13" s="1"/>
  <c r="DN100" i="13" s="1"/>
  <c r="DM100" i="13" s="1"/>
  <c r="DL100" i="13" s="1"/>
  <c r="DB100" i="13"/>
  <c r="DA100" i="13" s="1"/>
  <c r="CZ100" i="13" s="1"/>
  <c r="CY100" i="13" s="1"/>
  <c r="CX100" i="13" s="1"/>
  <c r="CW100" i="13"/>
  <c r="CV100" i="13" s="1"/>
  <c r="CU100" i="13" s="1"/>
  <c r="CT100" i="13" s="1"/>
  <c r="CS100" i="13" s="1"/>
  <c r="DU100" i="13"/>
  <c r="DT100" i="13" s="1"/>
  <c r="DS100" i="13" s="1"/>
  <c r="DR100" i="13" s="1"/>
  <c r="DQ100" i="13" s="1"/>
  <c r="DZ55" i="13"/>
  <c r="DY55" i="13" s="1"/>
  <c r="DX55" i="13" s="1"/>
  <c r="DW55" i="13" s="1"/>
  <c r="DV55" i="13" s="1"/>
  <c r="CR55" i="13"/>
  <c r="CQ55" i="13" s="1"/>
  <c r="CP55" i="13" s="1"/>
  <c r="CO55" i="13" s="1"/>
  <c r="CN55" i="13" s="1"/>
  <c r="CM55" i="13"/>
  <c r="CL55" i="13" s="1"/>
  <c r="CK55" i="13" s="1"/>
  <c r="CJ55" i="13" s="1"/>
  <c r="CI55" i="13" s="1"/>
  <c r="DB55" i="13"/>
  <c r="DA55" i="13" s="1"/>
  <c r="CZ55" i="13" s="1"/>
  <c r="CY55" i="13" s="1"/>
  <c r="CX55" i="13" s="1"/>
  <c r="DK55" i="13"/>
  <c r="DJ55" i="13" s="1"/>
  <c r="DI55" i="13" s="1"/>
  <c r="DH55" i="13" s="1"/>
  <c r="DG55" i="13" s="1"/>
  <c r="DP55" i="13"/>
  <c r="DO55" i="13" s="1"/>
  <c r="DN55" i="13" s="1"/>
  <c r="DM55" i="13" s="1"/>
  <c r="DL55" i="13" s="1"/>
  <c r="CW55" i="13"/>
  <c r="CV55" i="13" s="1"/>
  <c r="CU55" i="13" s="1"/>
  <c r="CT55" i="13" s="1"/>
  <c r="CS55" i="13" s="1"/>
  <c r="DU55" i="13"/>
  <c r="DT55" i="13" s="1"/>
  <c r="DS55" i="13" s="1"/>
  <c r="DR55" i="13" s="1"/>
  <c r="DQ55" i="13" s="1"/>
  <c r="DU190" i="13"/>
  <c r="DT190" i="13" s="1"/>
  <c r="DS190" i="13" s="1"/>
  <c r="DR190" i="13" s="1"/>
  <c r="DQ190" i="13" s="1"/>
  <c r="DZ190" i="13"/>
  <c r="DY190" i="13" s="1"/>
  <c r="DX190" i="13" s="1"/>
  <c r="DW190" i="13" s="1"/>
  <c r="DV190" i="13" s="1"/>
  <c r="CW190" i="13"/>
  <c r="CV190" i="13" s="1"/>
  <c r="CU190" i="13" s="1"/>
  <c r="CT190" i="13" s="1"/>
  <c r="CS190" i="13" s="1"/>
  <c r="DP190" i="13"/>
  <c r="DO190" i="13" s="1"/>
  <c r="DN190" i="13" s="1"/>
  <c r="DM190" i="13" s="1"/>
  <c r="DL190" i="13" s="1"/>
  <c r="CR190" i="13"/>
  <c r="CQ190" i="13" s="1"/>
  <c r="CP190" i="13" s="1"/>
  <c r="CO190" i="13" s="1"/>
  <c r="CN190" i="13" s="1"/>
  <c r="DK190" i="13"/>
  <c r="DJ190" i="13" s="1"/>
  <c r="DI190" i="13" s="1"/>
  <c r="DH190" i="13" s="1"/>
  <c r="DG190" i="13" s="1"/>
  <c r="CM190" i="13"/>
  <c r="CL190" i="13" s="1"/>
  <c r="CK190" i="13" s="1"/>
  <c r="CJ190" i="13" s="1"/>
  <c r="CI190" i="13" s="1"/>
  <c r="DB190" i="13"/>
  <c r="DA190" i="13" s="1"/>
  <c r="CZ190" i="13" s="1"/>
  <c r="CY190" i="13" s="1"/>
  <c r="CX190" i="13" s="1"/>
  <c r="CW88" i="13"/>
  <c r="CV88" i="13" s="1"/>
  <c r="CU88" i="13" s="1"/>
  <c r="CT88" i="13" s="1"/>
  <c r="CS88" i="13" s="1"/>
  <c r="DK88" i="13"/>
  <c r="DJ88" i="13" s="1"/>
  <c r="DI88" i="13" s="1"/>
  <c r="DH88" i="13" s="1"/>
  <c r="DG88" i="13" s="1"/>
  <c r="CR88" i="13"/>
  <c r="CQ88" i="13" s="1"/>
  <c r="CP88" i="13" s="1"/>
  <c r="CO88" i="13" s="1"/>
  <c r="CN88" i="13" s="1"/>
  <c r="DP88" i="13"/>
  <c r="DO88" i="13" s="1"/>
  <c r="DN88" i="13" s="1"/>
  <c r="DM88" i="13" s="1"/>
  <c r="DL88" i="13" s="1"/>
  <c r="DB88" i="13"/>
  <c r="DA88" i="13" s="1"/>
  <c r="CZ88" i="13" s="1"/>
  <c r="CY88" i="13" s="1"/>
  <c r="CX88" i="13" s="1"/>
  <c r="DZ88" i="13"/>
  <c r="DY88" i="13" s="1"/>
  <c r="DX88" i="13" s="1"/>
  <c r="DW88" i="13" s="1"/>
  <c r="DV88" i="13" s="1"/>
  <c r="CM88" i="13"/>
  <c r="CL88" i="13" s="1"/>
  <c r="CK88" i="13" s="1"/>
  <c r="CJ88" i="13" s="1"/>
  <c r="CI88" i="13" s="1"/>
  <c r="DU88" i="13"/>
  <c r="DT88" i="13" s="1"/>
  <c r="DS88" i="13" s="1"/>
  <c r="DR88" i="13" s="1"/>
  <c r="DQ88" i="13" s="1"/>
  <c r="DZ70" i="13"/>
  <c r="DY70" i="13" s="1"/>
  <c r="DX70" i="13" s="1"/>
  <c r="DW70" i="13" s="1"/>
  <c r="DV70" i="13" s="1"/>
  <c r="DK70" i="13"/>
  <c r="DJ70" i="13" s="1"/>
  <c r="DI70" i="13" s="1"/>
  <c r="DH70" i="13" s="1"/>
  <c r="DG70" i="13" s="1"/>
  <c r="DP70" i="13"/>
  <c r="DO70" i="13" s="1"/>
  <c r="DN70" i="13" s="1"/>
  <c r="DM70" i="13" s="1"/>
  <c r="DL70" i="13" s="1"/>
  <c r="CW70" i="13"/>
  <c r="CV70" i="13" s="1"/>
  <c r="CU70" i="13" s="1"/>
  <c r="CT70" i="13" s="1"/>
  <c r="CS70" i="13" s="1"/>
  <c r="CR70" i="13"/>
  <c r="CQ70" i="13" s="1"/>
  <c r="CP70" i="13" s="1"/>
  <c r="CO70" i="13" s="1"/>
  <c r="CN70" i="13" s="1"/>
  <c r="DU70" i="13"/>
  <c r="DT70" i="13" s="1"/>
  <c r="DS70" i="13" s="1"/>
  <c r="DR70" i="13" s="1"/>
  <c r="DQ70" i="13" s="1"/>
  <c r="DB70" i="13"/>
  <c r="DA70" i="13" s="1"/>
  <c r="CZ70" i="13" s="1"/>
  <c r="CY70" i="13" s="1"/>
  <c r="CX70" i="13" s="1"/>
  <c r="CM70" i="13"/>
  <c r="CL70" i="13" s="1"/>
  <c r="CK70" i="13" s="1"/>
  <c r="CJ70" i="13" s="1"/>
  <c r="CI70" i="13" s="1"/>
  <c r="DB119" i="13"/>
  <c r="DA119" i="13" s="1"/>
  <c r="CZ119" i="13" s="1"/>
  <c r="CY119" i="13" s="1"/>
  <c r="CX119" i="13" s="1"/>
  <c r="DP119" i="13"/>
  <c r="DO119" i="13" s="1"/>
  <c r="DN119" i="13" s="1"/>
  <c r="DM119" i="13" s="1"/>
  <c r="DL119" i="13" s="1"/>
  <c r="CW119" i="13"/>
  <c r="CV119" i="13" s="1"/>
  <c r="CU119" i="13" s="1"/>
  <c r="CT119" i="13" s="1"/>
  <c r="CS119" i="13" s="1"/>
  <c r="DK119" i="13"/>
  <c r="DJ119" i="13" s="1"/>
  <c r="DI119" i="13" s="1"/>
  <c r="DH119" i="13" s="1"/>
  <c r="DG119" i="13" s="1"/>
  <c r="CR119" i="13"/>
  <c r="CQ119" i="13" s="1"/>
  <c r="CP119" i="13" s="1"/>
  <c r="CO119" i="13" s="1"/>
  <c r="CN119" i="13" s="1"/>
  <c r="DZ119" i="13"/>
  <c r="DY119" i="13" s="1"/>
  <c r="DX119" i="13" s="1"/>
  <c r="DW119" i="13" s="1"/>
  <c r="DV119" i="13" s="1"/>
  <c r="CM119" i="13"/>
  <c r="CL119" i="13" s="1"/>
  <c r="CK119" i="13" s="1"/>
  <c r="CJ119" i="13" s="1"/>
  <c r="CI119" i="13" s="1"/>
  <c r="DU119" i="13"/>
  <c r="DT119" i="13" s="1"/>
  <c r="DS119" i="13" s="1"/>
  <c r="DR119" i="13" s="1"/>
  <c r="DQ119" i="13" s="1"/>
  <c r="BZ104" i="13"/>
  <c r="BY104" i="13" s="1"/>
  <c r="BX104" i="13" s="1"/>
  <c r="BW104" i="13" s="1"/>
  <c r="BV104" i="13" s="1"/>
  <c r="BC104" i="13"/>
  <c r="BB104" i="13" s="1"/>
  <c r="BU104" i="13"/>
  <c r="BT104" i="13" s="1"/>
  <c r="BS104" i="13" s="1"/>
  <c r="BR104" i="13" s="1"/>
  <c r="BQ104" i="13" s="1"/>
  <c r="BH104" i="13"/>
  <c r="BG104" i="13" s="1"/>
  <c r="AX104" i="13"/>
  <c r="AW104" i="13" s="1"/>
  <c r="AV104" i="13" s="1"/>
  <c r="AU104" i="13" s="1"/>
  <c r="AT104" i="13" s="1"/>
  <c r="BP104" i="13"/>
  <c r="BO104" i="13" s="1"/>
  <c r="BN104" i="13" s="1"/>
  <c r="BM104" i="13" s="1"/>
  <c r="BL104" i="13" s="1"/>
  <c r="CE104" i="13"/>
  <c r="CD104" i="13" s="1"/>
  <c r="CC104" i="13" s="1"/>
  <c r="CB104" i="13" s="1"/>
  <c r="CA104" i="13" s="1"/>
  <c r="DB169" i="13"/>
  <c r="DA169" i="13" s="1"/>
  <c r="CZ169" i="13" s="1"/>
  <c r="CY169" i="13" s="1"/>
  <c r="CX169" i="13" s="1"/>
  <c r="DK169" i="13"/>
  <c r="DJ169" i="13" s="1"/>
  <c r="DI169" i="13" s="1"/>
  <c r="DH169" i="13" s="1"/>
  <c r="DG169" i="13" s="1"/>
  <c r="DZ169" i="13"/>
  <c r="DY169" i="13" s="1"/>
  <c r="DX169" i="13" s="1"/>
  <c r="DW169" i="13" s="1"/>
  <c r="DV169" i="13" s="1"/>
  <c r="CR169" i="13"/>
  <c r="CQ169" i="13" s="1"/>
  <c r="CP169" i="13" s="1"/>
  <c r="CO169" i="13" s="1"/>
  <c r="CN169" i="13" s="1"/>
  <c r="CW169" i="13"/>
  <c r="CV169" i="13" s="1"/>
  <c r="CU169" i="13" s="1"/>
  <c r="CT169" i="13" s="1"/>
  <c r="CS169" i="13" s="1"/>
  <c r="DP169" i="13"/>
  <c r="DO169" i="13" s="1"/>
  <c r="DN169" i="13" s="1"/>
  <c r="DM169" i="13" s="1"/>
  <c r="DL169" i="13" s="1"/>
  <c r="DU169" i="13"/>
  <c r="DT169" i="13" s="1"/>
  <c r="DS169" i="13" s="1"/>
  <c r="DR169" i="13" s="1"/>
  <c r="DQ169" i="13" s="1"/>
  <c r="CM169" i="13"/>
  <c r="CL169" i="13" s="1"/>
  <c r="CK169" i="13" s="1"/>
  <c r="CJ169" i="13" s="1"/>
  <c r="CI169" i="13" s="1"/>
  <c r="DB140" i="13"/>
  <c r="DA140" i="13" s="1"/>
  <c r="CZ140" i="13" s="1"/>
  <c r="CY140" i="13" s="1"/>
  <c r="CX140" i="13" s="1"/>
  <c r="DP140" i="13"/>
  <c r="DO140" i="13" s="1"/>
  <c r="DN140" i="13" s="1"/>
  <c r="DM140" i="13" s="1"/>
  <c r="DL140" i="13" s="1"/>
  <c r="CW140" i="13"/>
  <c r="CV140" i="13" s="1"/>
  <c r="CU140" i="13" s="1"/>
  <c r="CT140" i="13" s="1"/>
  <c r="CS140" i="13" s="1"/>
  <c r="DK140" i="13"/>
  <c r="DJ140" i="13" s="1"/>
  <c r="DI140" i="13" s="1"/>
  <c r="DH140" i="13" s="1"/>
  <c r="DG140" i="13" s="1"/>
  <c r="DZ140" i="13"/>
  <c r="DY140" i="13" s="1"/>
  <c r="DX140" i="13" s="1"/>
  <c r="DW140" i="13" s="1"/>
  <c r="DV140" i="13" s="1"/>
  <c r="CR140" i="13"/>
  <c r="CQ140" i="13" s="1"/>
  <c r="CP140" i="13" s="1"/>
  <c r="CO140" i="13" s="1"/>
  <c r="CN140" i="13" s="1"/>
  <c r="CM140" i="13"/>
  <c r="CL140" i="13" s="1"/>
  <c r="CK140" i="13" s="1"/>
  <c r="CJ140" i="13" s="1"/>
  <c r="CI140" i="13" s="1"/>
  <c r="DU140" i="13"/>
  <c r="DT140" i="13" s="1"/>
  <c r="DS140" i="13" s="1"/>
  <c r="DR140" i="13" s="1"/>
  <c r="DQ140" i="13" s="1"/>
  <c r="CM142" i="13"/>
  <c r="CL142" i="13" s="1"/>
  <c r="CK142" i="13" s="1"/>
  <c r="CJ142" i="13" s="1"/>
  <c r="CI142" i="13" s="1"/>
  <c r="DP142" i="13"/>
  <c r="DO142" i="13" s="1"/>
  <c r="DN142" i="13" s="1"/>
  <c r="DM142" i="13" s="1"/>
  <c r="DL142" i="13" s="1"/>
  <c r="DZ142" i="13"/>
  <c r="DY142" i="13" s="1"/>
  <c r="DX142" i="13" s="1"/>
  <c r="DW142" i="13" s="1"/>
  <c r="DV142" i="13" s="1"/>
  <c r="DU142" i="13"/>
  <c r="DT142" i="13" s="1"/>
  <c r="DS142" i="13" s="1"/>
  <c r="DR142" i="13" s="1"/>
  <c r="DQ142" i="13" s="1"/>
  <c r="CR142" i="13"/>
  <c r="CQ142" i="13" s="1"/>
  <c r="CP142" i="13" s="1"/>
  <c r="CO142" i="13" s="1"/>
  <c r="CN142" i="13" s="1"/>
  <c r="DB142" i="13"/>
  <c r="DA142" i="13" s="1"/>
  <c r="CZ142" i="13" s="1"/>
  <c r="CY142" i="13" s="1"/>
  <c r="CX142" i="13" s="1"/>
  <c r="DK142" i="13"/>
  <c r="DJ142" i="13" s="1"/>
  <c r="DI142" i="13" s="1"/>
  <c r="DH142" i="13" s="1"/>
  <c r="DG142" i="13" s="1"/>
  <c r="CW142" i="13"/>
  <c r="CV142" i="13" s="1"/>
  <c r="CU142" i="13" s="1"/>
  <c r="CT142" i="13" s="1"/>
  <c r="CS142" i="13" s="1"/>
  <c r="DZ188" i="13"/>
  <c r="DY188" i="13" s="1"/>
  <c r="DX188" i="13" s="1"/>
  <c r="DW188" i="13" s="1"/>
  <c r="DV188" i="13" s="1"/>
  <c r="DK188" i="13"/>
  <c r="DJ188" i="13" s="1"/>
  <c r="DI188" i="13" s="1"/>
  <c r="DH188" i="13" s="1"/>
  <c r="DG188" i="13" s="1"/>
  <c r="DB188" i="13"/>
  <c r="DA188" i="13" s="1"/>
  <c r="CZ188" i="13" s="1"/>
  <c r="CY188" i="13" s="1"/>
  <c r="CX188" i="13" s="1"/>
  <c r="CW188" i="13"/>
  <c r="CV188" i="13" s="1"/>
  <c r="CU188" i="13" s="1"/>
  <c r="CT188" i="13" s="1"/>
  <c r="CS188" i="13" s="1"/>
  <c r="CR188" i="13"/>
  <c r="CQ188" i="13" s="1"/>
  <c r="CP188" i="13" s="1"/>
  <c r="CO188" i="13" s="1"/>
  <c r="CN188" i="13" s="1"/>
  <c r="DU188" i="13"/>
  <c r="DT188" i="13" s="1"/>
  <c r="DS188" i="13" s="1"/>
  <c r="DR188" i="13" s="1"/>
  <c r="DQ188" i="13" s="1"/>
  <c r="DP188" i="13"/>
  <c r="DO188" i="13" s="1"/>
  <c r="DN188" i="13" s="1"/>
  <c r="DM188" i="13" s="1"/>
  <c r="DL188" i="13" s="1"/>
  <c r="CM188" i="13"/>
  <c r="CL188" i="13" s="1"/>
  <c r="CK188" i="13" s="1"/>
  <c r="CJ188" i="13" s="1"/>
  <c r="CI188" i="13" s="1"/>
  <c r="DP184" i="13"/>
  <c r="DO184" i="13" s="1"/>
  <c r="DN184" i="13" s="1"/>
  <c r="DM184" i="13" s="1"/>
  <c r="DL184" i="13" s="1"/>
  <c r="CR184" i="13"/>
  <c r="CQ184" i="13" s="1"/>
  <c r="CP184" i="13" s="1"/>
  <c r="CO184" i="13" s="1"/>
  <c r="CN184" i="13" s="1"/>
  <c r="DU184" i="13"/>
  <c r="DT184" i="13" s="1"/>
  <c r="DS184" i="13" s="1"/>
  <c r="DR184" i="13" s="1"/>
  <c r="DQ184" i="13" s="1"/>
  <c r="DZ184" i="13"/>
  <c r="DY184" i="13" s="1"/>
  <c r="DX184" i="13" s="1"/>
  <c r="DW184" i="13" s="1"/>
  <c r="DV184" i="13" s="1"/>
  <c r="DK184" i="13"/>
  <c r="DJ184" i="13" s="1"/>
  <c r="DI184" i="13" s="1"/>
  <c r="DH184" i="13" s="1"/>
  <c r="DG184" i="13" s="1"/>
  <c r="CW184" i="13"/>
  <c r="CV184" i="13" s="1"/>
  <c r="CU184" i="13" s="1"/>
  <c r="CT184" i="13" s="1"/>
  <c r="CS184" i="13" s="1"/>
  <c r="CM184" i="13"/>
  <c r="CL184" i="13" s="1"/>
  <c r="CK184" i="13" s="1"/>
  <c r="CJ184" i="13" s="1"/>
  <c r="CI184" i="13" s="1"/>
  <c r="DB184" i="13"/>
  <c r="DA184" i="13" s="1"/>
  <c r="CZ184" i="13" s="1"/>
  <c r="CY184" i="13" s="1"/>
  <c r="CX184" i="13" s="1"/>
  <c r="DZ56" i="13"/>
  <c r="DY56" i="13" s="1"/>
  <c r="DX56" i="13" s="1"/>
  <c r="DW56" i="13" s="1"/>
  <c r="DV56" i="13" s="1"/>
  <c r="DK56" i="13"/>
  <c r="DJ56" i="13" s="1"/>
  <c r="DI56" i="13" s="1"/>
  <c r="DH56" i="13" s="1"/>
  <c r="DG56" i="13" s="1"/>
  <c r="DB56" i="13"/>
  <c r="DA56" i="13" s="1"/>
  <c r="CZ56" i="13" s="1"/>
  <c r="CY56" i="13" s="1"/>
  <c r="CX56" i="13" s="1"/>
  <c r="CW56" i="13"/>
  <c r="CV56" i="13" s="1"/>
  <c r="CU56" i="13" s="1"/>
  <c r="CT56" i="13" s="1"/>
  <c r="CS56" i="13" s="1"/>
  <c r="CM56" i="13"/>
  <c r="CL56" i="13" s="1"/>
  <c r="CK56" i="13" s="1"/>
  <c r="CJ56" i="13" s="1"/>
  <c r="CI56" i="13" s="1"/>
  <c r="DU56" i="13"/>
  <c r="DT56" i="13" s="1"/>
  <c r="DS56" i="13" s="1"/>
  <c r="DR56" i="13" s="1"/>
  <c r="DQ56" i="13" s="1"/>
  <c r="CR56" i="13"/>
  <c r="CQ56" i="13" s="1"/>
  <c r="CP56" i="13" s="1"/>
  <c r="CO56" i="13" s="1"/>
  <c r="CN56" i="13" s="1"/>
  <c r="DP56" i="13"/>
  <c r="DO56" i="13" s="1"/>
  <c r="DN56" i="13" s="1"/>
  <c r="DM56" i="13" s="1"/>
  <c r="DL56" i="13" s="1"/>
  <c r="DZ138" i="13"/>
  <c r="DY138" i="13" s="1"/>
  <c r="DX138" i="13" s="1"/>
  <c r="DW138" i="13" s="1"/>
  <c r="DV138" i="13" s="1"/>
  <c r="CM138" i="13"/>
  <c r="CL138" i="13" s="1"/>
  <c r="CK138" i="13" s="1"/>
  <c r="CJ138" i="13" s="1"/>
  <c r="CI138" i="13" s="1"/>
  <c r="CR138" i="13"/>
  <c r="CQ138" i="13" s="1"/>
  <c r="CP138" i="13" s="1"/>
  <c r="CO138" i="13" s="1"/>
  <c r="CN138" i="13" s="1"/>
  <c r="DU138" i="13"/>
  <c r="DT138" i="13" s="1"/>
  <c r="DS138" i="13" s="1"/>
  <c r="DR138" i="13" s="1"/>
  <c r="DQ138" i="13" s="1"/>
  <c r="DK138" i="13"/>
  <c r="DJ138" i="13" s="1"/>
  <c r="DI138" i="13" s="1"/>
  <c r="DH138" i="13" s="1"/>
  <c r="DG138" i="13" s="1"/>
  <c r="DP138" i="13"/>
  <c r="DO138" i="13" s="1"/>
  <c r="DN138" i="13" s="1"/>
  <c r="DM138" i="13" s="1"/>
  <c r="DL138" i="13" s="1"/>
  <c r="CW138" i="13"/>
  <c r="CV138" i="13" s="1"/>
  <c r="CU138" i="13" s="1"/>
  <c r="CT138" i="13" s="1"/>
  <c r="CS138" i="13" s="1"/>
  <c r="DB138" i="13"/>
  <c r="DA138" i="13" s="1"/>
  <c r="CZ138" i="13" s="1"/>
  <c r="CY138" i="13" s="1"/>
  <c r="CX138" i="13" s="1"/>
  <c r="DP61" i="13"/>
  <c r="DO61" i="13" s="1"/>
  <c r="DN61" i="13" s="1"/>
  <c r="DM61" i="13" s="1"/>
  <c r="DL61" i="13" s="1"/>
  <c r="DK61" i="13"/>
  <c r="DJ61" i="13" s="1"/>
  <c r="DI61" i="13" s="1"/>
  <c r="DH61" i="13" s="1"/>
  <c r="DG61" i="13" s="1"/>
  <c r="CW61" i="13"/>
  <c r="CV61" i="13" s="1"/>
  <c r="CU61" i="13" s="1"/>
  <c r="CT61" i="13" s="1"/>
  <c r="CS61" i="13" s="1"/>
  <c r="DZ61" i="13"/>
  <c r="DY61" i="13" s="1"/>
  <c r="DX61" i="13" s="1"/>
  <c r="DW61" i="13" s="1"/>
  <c r="DV61" i="13" s="1"/>
  <c r="CR61" i="13"/>
  <c r="CQ61" i="13" s="1"/>
  <c r="CP61" i="13" s="1"/>
  <c r="CO61" i="13" s="1"/>
  <c r="CN61" i="13" s="1"/>
  <c r="CM61" i="13"/>
  <c r="CL61" i="13" s="1"/>
  <c r="CK61" i="13" s="1"/>
  <c r="CJ61" i="13" s="1"/>
  <c r="CI61" i="13" s="1"/>
  <c r="DB61" i="13"/>
  <c r="DA61" i="13" s="1"/>
  <c r="CZ61" i="13" s="1"/>
  <c r="CY61" i="13" s="1"/>
  <c r="CX61" i="13" s="1"/>
  <c r="DU61" i="13"/>
  <c r="DT61" i="13" s="1"/>
  <c r="DS61" i="13" s="1"/>
  <c r="DR61" i="13" s="1"/>
  <c r="DQ61" i="13" s="1"/>
  <c r="DB196" i="13"/>
  <c r="DA196" i="13" s="1"/>
  <c r="CZ196" i="13" s="1"/>
  <c r="CY196" i="13" s="1"/>
  <c r="CX196" i="13" s="1"/>
  <c r="CM196" i="13"/>
  <c r="CL196" i="13" s="1"/>
  <c r="CK196" i="13" s="1"/>
  <c r="CJ196" i="13" s="1"/>
  <c r="CI196" i="13" s="1"/>
  <c r="CW196" i="13"/>
  <c r="CV196" i="13" s="1"/>
  <c r="CU196" i="13" s="1"/>
  <c r="CT196" i="13" s="1"/>
  <c r="CS196" i="13" s="1"/>
  <c r="CR196" i="13"/>
  <c r="CQ196" i="13" s="1"/>
  <c r="CP196" i="13" s="1"/>
  <c r="CO196" i="13" s="1"/>
  <c r="CN196" i="13" s="1"/>
  <c r="DK196" i="13"/>
  <c r="DJ196" i="13" s="1"/>
  <c r="DI196" i="13" s="1"/>
  <c r="DH196" i="13" s="1"/>
  <c r="DG196" i="13" s="1"/>
  <c r="DP196" i="13"/>
  <c r="DO196" i="13" s="1"/>
  <c r="DN196" i="13" s="1"/>
  <c r="DM196" i="13" s="1"/>
  <c r="DL196" i="13" s="1"/>
  <c r="DZ196" i="13"/>
  <c r="DY196" i="13" s="1"/>
  <c r="DX196" i="13" s="1"/>
  <c r="DW196" i="13" s="1"/>
  <c r="DV196" i="13" s="1"/>
  <c r="DU196" i="13"/>
  <c r="DT196" i="13" s="1"/>
  <c r="DS196" i="13" s="1"/>
  <c r="DR196" i="13" s="1"/>
  <c r="DQ196" i="13" s="1"/>
  <c r="DP199" i="13"/>
  <c r="DO199" i="13" s="1"/>
  <c r="DN199" i="13" s="1"/>
  <c r="DM199" i="13" s="1"/>
  <c r="DL199" i="13" s="1"/>
  <c r="CR199" i="13"/>
  <c r="CQ199" i="13" s="1"/>
  <c r="CP199" i="13" s="1"/>
  <c r="CO199" i="13" s="1"/>
  <c r="CN199" i="13" s="1"/>
  <c r="CW199" i="13"/>
  <c r="CV199" i="13" s="1"/>
  <c r="CU199" i="13" s="1"/>
  <c r="CT199" i="13" s="1"/>
  <c r="CS199" i="13" s="1"/>
  <c r="CM199" i="13"/>
  <c r="CL199" i="13" s="1"/>
  <c r="CK199" i="13" s="1"/>
  <c r="CJ199" i="13" s="1"/>
  <c r="CI199" i="13" s="1"/>
  <c r="DZ199" i="13"/>
  <c r="DY199" i="13" s="1"/>
  <c r="DX199" i="13" s="1"/>
  <c r="DW199" i="13" s="1"/>
  <c r="DV199" i="13" s="1"/>
  <c r="DB199" i="13"/>
  <c r="DA199" i="13" s="1"/>
  <c r="CZ199" i="13" s="1"/>
  <c r="CY199" i="13" s="1"/>
  <c r="CX199" i="13" s="1"/>
  <c r="DU199" i="13"/>
  <c r="DT199" i="13" s="1"/>
  <c r="DS199" i="13" s="1"/>
  <c r="DR199" i="13" s="1"/>
  <c r="DQ199" i="13" s="1"/>
  <c r="DK199" i="13"/>
  <c r="DJ199" i="13" s="1"/>
  <c r="DI199" i="13" s="1"/>
  <c r="DH199" i="13" s="1"/>
  <c r="DG199" i="13" s="1"/>
  <c r="DK132" i="13"/>
  <c r="DJ132" i="13" s="1"/>
  <c r="DI132" i="13" s="1"/>
  <c r="DH132" i="13" s="1"/>
  <c r="DG132" i="13" s="1"/>
  <c r="DP132" i="13"/>
  <c r="DO132" i="13" s="1"/>
  <c r="DN132" i="13" s="1"/>
  <c r="DM132" i="13" s="1"/>
  <c r="DL132" i="13" s="1"/>
  <c r="DZ132" i="13"/>
  <c r="DY132" i="13" s="1"/>
  <c r="DX132" i="13" s="1"/>
  <c r="DW132" i="13" s="1"/>
  <c r="DV132" i="13" s="1"/>
  <c r="CR132" i="13"/>
  <c r="CQ132" i="13" s="1"/>
  <c r="CP132" i="13" s="1"/>
  <c r="CO132" i="13" s="1"/>
  <c r="CN132" i="13" s="1"/>
  <c r="CM132" i="13"/>
  <c r="CL132" i="13" s="1"/>
  <c r="CK132" i="13" s="1"/>
  <c r="CJ132" i="13" s="1"/>
  <c r="CI132" i="13" s="1"/>
  <c r="DB132" i="13"/>
  <c r="DA132" i="13" s="1"/>
  <c r="CZ132" i="13" s="1"/>
  <c r="CY132" i="13" s="1"/>
  <c r="CX132" i="13" s="1"/>
  <c r="CW132" i="13"/>
  <c r="CV132" i="13" s="1"/>
  <c r="CU132" i="13" s="1"/>
  <c r="CT132" i="13" s="1"/>
  <c r="CS132" i="13" s="1"/>
  <c r="DU132" i="13"/>
  <c r="DT132" i="13" s="1"/>
  <c r="DS132" i="13" s="1"/>
  <c r="DR132" i="13" s="1"/>
  <c r="DQ132" i="13" s="1"/>
  <c r="DB185" i="13"/>
  <c r="DA185" i="13" s="1"/>
  <c r="CZ185" i="13" s="1"/>
  <c r="CY185" i="13" s="1"/>
  <c r="CX185" i="13" s="1"/>
  <c r="DZ185" i="13"/>
  <c r="DY185" i="13" s="1"/>
  <c r="DX185" i="13" s="1"/>
  <c r="DW185" i="13" s="1"/>
  <c r="DV185" i="13" s="1"/>
  <c r="CR185" i="13"/>
  <c r="CQ185" i="13" s="1"/>
  <c r="CP185" i="13" s="1"/>
  <c r="CO185" i="13" s="1"/>
  <c r="CN185" i="13" s="1"/>
  <c r="CM185" i="13"/>
  <c r="CL185" i="13" s="1"/>
  <c r="CK185" i="13" s="1"/>
  <c r="CJ185" i="13" s="1"/>
  <c r="CI185" i="13" s="1"/>
  <c r="DU185" i="13"/>
  <c r="DT185" i="13" s="1"/>
  <c r="DS185" i="13" s="1"/>
  <c r="DR185" i="13" s="1"/>
  <c r="DQ185" i="13" s="1"/>
  <c r="DP185" i="13"/>
  <c r="DO185" i="13" s="1"/>
  <c r="DN185" i="13" s="1"/>
  <c r="DM185" i="13" s="1"/>
  <c r="DL185" i="13" s="1"/>
  <c r="CW185" i="13"/>
  <c r="CV185" i="13" s="1"/>
  <c r="CU185" i="13" s="1"/>
  <c r="CT185" i="13" s="1"/>
  <c r="CS185" i="13" s="1"/>
  <c r="DK185" i="13"/>
  <c r="DJ185" i="13" s="1"/>
  <c r="DI185" i="13" s="1"/>
  <c r="DH185" i="13" s="1"/>
  <c r="DG185" i="13" s="1"/>
  <c r="CM109" i="13"/>
  <c r="CL109" i="13" s="1"/>
  <c r="CK109" i="13" s="1"/>
  <c r="CJ109" i="13" s="1"/>
  <c r="CI109" i="13" s="1"/>
  <c r="CR109" i="13"/>
  <c r="CQ109" i="13" s="1"/>
  <c r="CP109" i="13" s="1"/>
  <c r="CO109" i="13" s="1"/>
  <c r="CN109" i="13" s="1"/>
  <c r="CW109" i="13"/>
  <c r="CV109" i="13" s="1"/>
  <c r="CU109" i="13" s="1"/>
  <c r="CT109" i="13" s="1"/>
  <c r="CS109" i="13" s="1"/>
  <c r="DB109" i="13"/>
  <c r="DA109" i="13" s="1"/>
  <c r="CZ109" i="13" s="1"/>
  <c r="CY109" i="13" s="1"/>
  <c r="CX109" i="13" s="1"/>
  <c r="DK109" i="13"/>
  <c r="DJ109" i="13" s="1"/>
  <c r="DI109" i="13" s="1"/>
  <c r="DH109" i="13" s="1"/>
  <c r="DG109" i="13" s="1"/>
  <c r="DP109" i="13"/>
  <c r="DO109" i="13" s="1"/>
  <c r="DN109" i="13" s="1"/>
  <c r="DM109" i="13" s="1"/>
  <c r="DL109" i="13" s="1"/>
  <c r="DU109" i="13"/>
  <c r="DT109" i="13" s="1"/>
  <c r="DS109" i="13" s="1"/>
  <c r="DR109" i="13" s="1"/>
  <c r="DQ109" i="13" s="1"/>
  <c r="DZ109" i="13"/>
  <c r="DY109" i="13" s="1"/>
  <c r="DX109" i="13" s="1"/>
  <c r="DW109" i="13" s="1"/>
  <c r="DV109" i="13" s="1"/>
  <c r="DZ180" i="13"/>
  <c r="DY180" i="13" s="1"/>
  <c r="DX180" i="13" s="1"/>
  <c r="DW180" i="13" s="1"/>
  <c r="DV180" i="13" s="1"/>
  <c r="CW180" i="13"/>
  <c r="CV180" i="13" s="1"/>
  <c r="CU180" i="13" s="1"/>
  <c r="CT180" i="13" s="1"/>
  <c r="CS180" i="13" s="1"/>
  <c r="DP180" i="13"/>
  <c r="DO180" i="13" s="1"/>
  <c r="DN180" i="13" s="1"/>
  <c r="DM180" i="13" s="1"/>
  <c r="DL180" i="13" s="1"/>
  <c r="DU180" i="13"/>
  <c r="DT180" i="13" s="1"/>
  <c r="DS180" i="13" s="1"/>
  <c r="DR180" i="13" s="1"/>
  <c r="DQ180" i="13" s="1"/>
  <c r="CM180" i="13"/>
  <c r="CL180" i="13" s="1"/>
  <c r="CK180" i="13" s="1"/>
  <c r="CJ180" i="13" s="1"/>
  <c r="CI180" i="13" s="1"/>
  <c r="DK180" i="13"/>
  <c r="DJ180" i="13" s="1"/>
  <c r="DI180" i="13" s="1"/>
  <c r="DH180" i="13" s="1"/>
  <c r="DG180" i="13" s="1"/>
  <c r="DB180" i="13"/>
  <c r="DA180" i="13" s="1"/>
  <c r="CZ180" i="13" s="1"/>
  <c r="CY180" i="13" s="1"/>
  <c r="CX180" i="13" s="1"/>
  <c r="CR180" i="13"/>
  <c r="CQ180" i="13" s="1"/>
  <c r="CP180" i="13" s="1"/>
  <c r="CO180" i="13" s="1"/>
  <c r="CN180" i="13" s="1"/>
  <c r="DZ187" i="13"/>
  <c r="DY187" i="13" s="1"/>
  <c r="DX187" i="13" s="1"/>
  <c r="DW187" i="13" s="1"/>
  <c r="DV187" i="13" s="1"/>
  <c r="CR187" i="13"/>
  <c r="CQ187" i="13" s="1"/>
  <c r="CP187" i="13" s="1"/>
  <c r="CO187" i="13" s="1"/>
  <c r="CN187" i="13" s="1"/>
  <c r="DK187" i="13"/>
  <c r="DJ187" i="13" s="1"/>
  <c r="DI187" i="13" s="1"/>
  <c r="DH187" i="13" s="1"/>
  <c r="DG187" i="13" s="1"/>
  <c r="CW187" i="13"/>
  <c r="CV187" i="13" s="1"/>
  <c r="CU187" i="13" s="1"/>
  <c r="CT187" i="13" s="1"/>
  <c r="CS187" i="13" s="1"/>
  <c r="DU187" i="13"/>
  <c r="DT187" i="13" s="1"/>
  <c r="DS187" i="13" s="1"/>
  <c r="DR187" i="13" s="1"/>
  <c r="DQ187" i="13" s="1"/>
  <c r="DP187" i="13"/>
  <c r="DO187" i="13" s="1"/>
  <c r="DN187" i="13" s="1"/>
  <c r="DM187" i="13" s="1"/>
  <c r="DL187" i="13" s="1"/>
  <c r="DB187" i="13"/>
  <c r="DA187" i="13" s="1"/>
  <c r="CZ187" i="13" s="1"/>
  <c r="CY187" i="13" s="1"/>
  <c r="CX187" i="13" s="1"/>
  <c r="CM187" i="13"/>
  <c r="CL187" i="13" s="1"/>
  <c r="CK187" i="13" s="1"/>
  <c r="CJ187" i="13" s="1"/>
  <c r="CI187" i="13" s="1"/>
  <c r="DK83" i="13"/>
  <c r="DJ83" i="13" s="1"/>
  <c r="DI83" i="13" s="1"/>
  <c r="DH83" i="13" s="1"/>
  <c r="DG83" i="13" s="1"/>
  <c r="CW83" i="13"/>
  <c r="CV83" i="13" s="1"/>
  <c r="CU83" i="13" s="1"/>
  <c r="CT83" i="13" s="1"/>
  <c r="CS83" i="13" s="1"/>
  <c r="DZ83" i="13"/>
  <c r="DY83" i="13" s="1"/>
  <c r="DX83" i="13" s="1"/>
  <c r="DW83" i="13" s="1"/>
  <c r="DV83" i="13" s="1"/>
  <c r="CR83" i="13"/>
  <c r="CQ83" i="13" s="1"/>
  <c r="CP83" i="13" s="1"/>
  <c r="CO83" i="13" s="1"/>
  <c r="CN83" i="13" s="1"/>
  <c r="CM83" i="13"/>
  <c r="CL83" i="13" s="1"/>
  <c r="CK83" i="13" s="1"/>
  <c r="CJ83" i="13" s="1"/>
  <c r="CI83" i="13" s="1"/>
  <c r="DB83" i="13"/>
  <c r="DA83" i="13" s="1"/>
  <c r="CZ83" i="13" s="1"/>
  <c r="CY83" i="13" s="1"/>
  <c r="CX83" i="13" s="1"/>
  <c r="DU83" i="13"/>
  <c r="DT83" i="13" s="1"/>
  <c r="DS83" i="13" s="1"/>
  <c r="DR83" i="13" s="1"/>
  <c r="DQ83" i="13" s="1"/>
  <c r="DP83" i="13"/>
  <c r="DO83" i="13" s="1"/>
  <c r="DN83" i="13" s="1"/>
  <c r="DM83" i="13" s="1"/>
  <c r="DL83" i="13" s="1"/>
  <c r="CW206" i="13"/>
  <c r="CV206" i="13" s="1"/>
  <c r="CU206" i="13" s="1"/>
  <c r="CT206" i="13" s="1"/>
  <c r="CS206" i="13" s="1"/>
  <c r="DK206" i="13"/>
  <c r="DJ206" i="13" s="1"/>
  <c r="DI206" i="13" s="1"/>
  <c r="DH206" i="13" s="1"/>
  <c r="DG206" i="13" s="1"/>
  <c r="CM206" i="13"/>
  <c r="CL206" i="13" s="1"/>
  <c r="CK206" i="13" s="1"/>
  <c r="CJ206" i="13" s="1"/>
  <c r="CI206" i="13" s="1"/>
  <c r="DZ206" i="13"/>
  <c r="DY206" i="13" s="1"/>
  <c r="DX206" i="13" s="1"/>
  <c r="DW206" i="13" s="1"/>
  <c r="DV206" i="13" s="1"/>
  <c r="DP206" i="13"/>
  <c r="DO206" i="13" s="1"/>
  <c r="DN206" i="13" s="1"/>
  <c r="DM206" i="13" s="1"/>
  <c r="DL206" i="13" s="1"/>
  <c r="DB206" i="13"/>
  <c r="DA206" i="13" s="1"/>
  <c r="CZ206" i="13" s="1"/>
  <c r="CY206" i="13" s="1"/>
  <c r="CX206" i="13" s="1"/>
  <c r="CR206" i="13"/>
  <c r="CQ206" i="13" s="1"/>
  <c r="CP206" i="13" s="1"/>
  <c r="CO206" i="13" s="1"/>
  <c r="CN206" i="13" s="1"/>
  <c r="DU206" i="13"/>
  <c r="DT206" i="13" s="1"/>
  <c r="DS206" i="13" s="1"/>
  <c r="DR206" i="13" s="1"/>
  <c r="DQ206" i="13" s="1"/>
  <c r="DB209" i="13"/>
  <c r="DA209" i="13" s="1"/>
  <c r="CZ209" i="13" s="1"/>
  <c r="CY209" i="13" s="1"/>
  <c r="CX209" i="13" s="1"/>
  <c r="CM209" i="13"/>
  <c r="CL209" i="13" s="1"/>
  <c r="CK209" i="13" s="1"/>
  <c r="CJ209" i="13" s="1"/>
  <c r="CI209" i="13" s="1"/>
  <c r="DZ209" i="13"/>
  <c r="DY209" i="13" s="1"/>
  <c r="DX209" i="13" s="1"/>
  <c r="DW209" i="13" s="1"/>
  <c r="DV209" i="13" s="1"/>
  <c r="CW209" i="13"/>
  <c r="CV209" i="13" s="1"/>
  <c r="CU209" i="13" s="1"/>
  <c r="CT209" i="13" s="1"/>
  <c r="CS209" i="13" s="1"/>
  <c r="DU209" i="13"/>
  <c r="DT209" i="13" s="1"/>
  <c r="DS209" i="13" s="1"/>
  <c r="DR209" i="13" s="1"/>
  <c r="DQ209" i="13" s="1"/>
  <c r="DK209" i="13"/>
  <c r="DJ209" i="13" s="1"/>
  <c r="DI209" i="13" s="1"/>
  <c r="DH209" i="13" s="1"/>
  <c r="DG209" i="13" s="1"/>
  <c r="CR209" i="13"/>
  <c r="CQ209" i="13" s="1"/>
  <c r="CP209" i="13" s="1"/>
  <c r="CO209" i="13" s="1"/>
  <c r="CN209" i="13" s="1"/>
  <c r="DP209" i="13"/>
  <c r="DO209" i="13" s="1"/>
  <c r="DN209" i="13" s="1"/>
  <c r="DM209" i="13" s="1"/>
  <c r="DL209" i="13" s="1"/>
  <c r="DZ46" i="13"/>
  <c r="DY46" i="13" s="1"/>
  <c r="DX46" i="13" s="1"/>
  <c r="DW46" i="13" s="1"/>
  <c r="DV46" i="13" s="1"/>
  <c r="CR46" i="13"/>
  <c r="CQ46" i="13" s="1"/>
  <c r="CP46" i="13" s="1"/>
  <c r="CO46" i="13" s="1"/>
  <c r="CN46" i="13" s="1"/>
  <c r="CM46" i="13"/>
  <c r="CL46" i="13" s="1"/>
  <c r="CK46" i="13" s="1"/>
  <c r="CJ46" i="13" s="1"/>
  <c r="CI46" i="13" s="1"/>
  <c r="CW46" i="13"/>
  <c r="CV46" i="13" s="1"/>
  <c r="CU46" i="13" s="1"/>
  <c r="CT46" i="13" s="1"/>
  <c r="CS46" i="13" s="1"/>
  <c r="DB46" i="13"/>
  <c r="DA46" i="13" s="1"/>
  <c r="CZ46" i="13" s="1"/>
  <c r="CY46" i="13" s="1"/>
  <c r="CX46" i="13" s="1"/>
  <c r="DK46" i="13"/>
  <c r="DJ46" i="13" s="1"/>
  <c r="DI46" i="13" s="1"/>
  <c r="DH46" i="13" s="1"/>
  <c r="DG46" i="13" s="1"/>
  <c r="DP46" i="13"/>
  <c r="DO46" i="13" s="1"/>
  <c r="DN46" i="13" s="1"/>
  <c r="DM46" i="13" s="1"/>
  <c r="DL46" i="13" s="1"/>
  <c r="DU46" i="13"/>
  <c r="DT46" i="13" s="1"/>
  <c r="DS46" i="13" s="1"/>
  <c r="DR46" i="13" s="1"/>
  <c r="DQ46" i="13" s="1"/>
  <c r="NP144" i="13"/>
  <c r="AU5" i="13"/>
  <c r="AU6" i="13" s="1"/>
  <c r="CW99" i="13"/>
  <c r="CV99" i="13" s="1"/>
  <c r="CU99" i="13" s="1"/>
  <c r="CT99" i="13" s="1"/>
  <c r="CS99" i="13" s="1"/>
  <c r="DZ99" i="13"/>
  <c r="DY99" i="13" s="1"/>
  <c r="DX99" i="13" s="1"/>
  <c r="DW99" i="13" s="1"/>
  <c r="DV99" i="13" s="1"/>
  <c r="CR99" i="13"/>
  <c r="CQ99" i="13" s="1"/>
  <c r="CP99" i="13" s="1"/>
  <c r="CO99" i="13" s="1"/>
  <c r="CN99" i="13" s="1"/>
  <c r="CM99" i="13"/>
  <c r="CL99" i="13" s="1"/>
  <c r="CK99" i="13" s="1"/>
  <c r="CJ99" i="13" s="1"/>
  <c r="CI99" i="13" s="1"/>
  <c r="DB99" i="13"/>
  <c r="DA99" i="13" s="1"/>
  <c r="CZ99" i="13" s="1"/>
  <c r="CY99" i="13" s="1"/>
  <c r="CX99" i="13" s="1"/>
  <c r="DP99" i="13"/>
  <c r="DO99" i="13" s="1"/>
  <c r="DN99" i="13" s="1"/>
  <c r="DM99" i="13" s="1"/>
  <c r="DL99" i="13" s="1"/>
  <c r="DK99" i="13"/>
  <c r="DJ99" i="13" s="1"/>
  <c r="DI99" i="13" s="1"/>
  <c r="DH99" i="13" s="1"/>
  <c r="DG99" i="13" s="1"/>
  <c r="DU99" i="13"/>
  <c r="DT99" i="13" s="1"/>
  <c r="DS99" i="13" s="1"/>
  <c r="DR99" i="13" s="1"/>
  <c r="DQ99" i="13" s="1"/>
  <c r="CR62" i="13"/>
  <c r="CQ62" i="13" s="1"/>
  <c r="CP62" i="13" s="1"/>
  <c r="CO62" i="13" s="1"/>
  <c r="CN62" i="13" s="1"/>
  <c r="CM62" i="13"/>
  <c r="CL62" i="13" s="1"/>
  <c r="CK62" i="13" s="1"/>
  <c r="CJ62" i="13" s="1"/>
  <c r="CI62" i="13" s="1"/>
  <c r="DB62" i="13"/>
  <c r="DA62" i="13" s="1"/>
  <c r="CZ62" i="13" s="1"/>
  <c r="CY62" i="13" s="1"/>
  <c r="CX62" i="13" s="1"/>
  <c r="DK62" i="13"/>
  <c r="DJ62" i="13" s="1"/>
  <c r="DI62" i="13" s="1"/>
  <c r="DH62" i="13" s="1"/>
  <c r="DG62" i="13" s="1"/>
  <c r="DP62" i="13"/>
  <c r="DO62" i="13" s="1"/>
  <c r="DN62" i="13" s="1"/>
  <c r="DM62" i="13" s="1"/>
  <c r="DL62" i="13" s="1"/>
  <c r="DZ62" i="13"/>
  <c r="DY62" i="13" s="1"/>
  <c r="DX62" i="13" s="1"/>
  <c r="DW62" i="13" s="1"/>
  <c r="DV62" i="13" s="1"/>
  <c r="CW62" i="13"/>
  <c r="CV62" i="13" s="1"/>
  <c r="CU62" i="13" s="1"/>
  <c r="CT62" i="13" s="1"/>
  <c r="CS62" i="13" s="1"/>
  <c r="DU62" i="13"/>
  <c r="DT62" i="13" s="1"/>
  <c r="DS62" i="13" s="1"/>
  <c r="DR62" i="13" s="1"/>
  <c r="DQ62" i="13" s="1"/>
  <c r="DB86" i="13"/>
  <c r="DA86" i="13" s="1"/>
  <c r="CZ86" i="13" s="1"/>
  <c r="CY86" i="13" s="1"/>
  <c r="CX86" i="13" s="1"/>
  <c r="CW86" i="13"/>
  <c r="CV86" i="13" s="1"/>
  <c r="CU86" i="13" s="1"/>
  <c r="CT86" i="13" s="1"/>
  <c r="CS86" i="13" s="1"/>
  <c r="DZ86" i="13"/>
  <c r="DY86" i="13" s="1"/>
  <c r="DX86" i="13" s="1"/>
  <c r="DW86" i="13" s="1"/>
  <c r="DV86" i="13" s="1"/>
  <c r="CR86" i="13"/>
  <c r="CQ86" i="13" s="1"/>
  <c r="CP86" i="13" s="1"/>
  <c r="CO86" i="13" s="1"/>
  <c r="CN86" i="13" s="1"/>
  <c r="DP86" i="13"/>
  <c r="DO86" i="13" s="1"/>
  <c r="DN86" i="13" s="1"/>
  <c r="DM86" i="13" s="1"/>
  <c r="DL86" i="13" s="1"/>
  <c r="CM86" i="13"/>
  <c r="CL86" i="13" s="1"/>
  <c r="CK86" i="13" s="1"/>
  <c r="CJ86" i="13" s="1"/>
  <c r="CI86" i="13" s="1"/>
  <c r="DU86" i="13"/>
  <c r="DT86" i="13" s="1"/>
  <c r="DS86" i="13" s="1"/>
  <c r="DR86" i="13" s="1"/>
  <c r="DQ86" i="13" s="1"/>
  <c r="DK86" i="13"/>
  <c r="DJ86" i="13" s="1"/>
  <c r="DI86" i="13" s="1"/>
  <c r="DH86" i="13" s="1"/>
  <c r="DG86" i="13" s="1"/>
  <c r="DP150" i="13"/>
  <c r="DO150" i="13" s="1"/>
  <c r="DN150" i="13" s="1"/>
  <c r="DM150" i="13" s="1"/>
  <c r="DL150" i="13" s="1"/>
  <c r="DU150" i="13"/>
  <c r="DT150" i="13" s="1"/>
  <c r="DS150" i="13" s="1"/>
  <c r="DR150" i="13" s="1"/>
  <c r="DQ150" i="13" s="1"/>
  <c r="CM150" i="13"/>
  <c r="CL150" i="13" s="1"/>
  <c r="CK150" i="13" s="1"/>
  <c r="CJ150" i="13" s="1"/>
  <c r="CI150" i="13" s="1"/>
  <c r="CR150" i="13"/>
  <c r="CQ150" i="13" s="1"/>
  <c r="CP150" i="13" s="1"/>
  <c r="CO150" i="13" s="1"/>
  <c r="CN150" i="13" s="1"/>
  <c r="DB150" i="13"/>
  <c r="DA150" i="13" s="1"/>
  <c r="CZ150" i="13" s="1"/>
  <c r="CY150" i="13" s="1"/>
  <c r="CX150" i="13" s="1"/>
  <c r="DK150" i="13"/>
  <c r="DJ150" i="13" s="1"/>
  <c r="DI150" i="13" s="1"/>
  <c r="DH150" i="13" s="1"/>
  <c r="DG150" i="13" s="1"/>
  <c r="CW150" i="13"/>
  <c r="CV150" i="13" s="1"/>
  <c r="CU150" i="13" s="1"/>
  <c r="CT150" i="13" s="1"/>
  <c r="CS150" i="13" s="1"/>
  <c r="DZ150" i="13"/>
  <c r="DY150" i="13" s="1"/>
  <c r="DX150" i="13" s="1"/>
  <c r="DW150" i="13" s="1"/>
  <c r="DV150" i="13" s="1"/>
  <c r="DZ107" i="13"/>
  <c r="DY107" i="13" s="1"/>
  <c r="DX107" i="13" s="1"/>
  <c r="DW107" i="13" s="1"/>
  <c r="DV107" i="13" s="1"/>
  <c r="CR107" i="13"/>
  <c r="CQ107" i="13" s="1"/>
  <c r="CP107" i="13" s="1"/>
  <c r="CO107" i="13" s="1"/>
  <c r="CN107" i="13" s="1"/>
  <c r="DU107" i="13"/>
  <c r="DT107" i="13" s="1"/>
  <c r="DS107" i="13" s="1"/>
  <c r="DR107" i="13" s="1"/>
  <c r="DQ107" i="13" s="1"/>
  <c r="CW107" i="13"/>
  <c r="CV107" i="13" s="1"/>
  <c r="CU107" i="13" s="1"/>
  <c r="CT107" i="13" s="1"/>
  <c r="CS107" i="13" s="1"/>
  <c r="DP107" i="13"/>
  <c r="DO107" i="13" s="1"/>
  <c r="DN107" i="13" s="1"/>
  <c r="DM107" i="13" s="1"/>
  <c r="DL107" i="13" s="1"/>
  <c r="DB107" i="13"/>
  <c r="DA107" i="13" s="1"/>
  <c r="CZ107" i="13" s="1"/>
  <c r="CY107" i="13" s="1"/>
  <c r="CX107" i="13" s="1"/>
  <c r="DK107" i="13"/>
  <c r="DJ107" i="13" s="1"/>
  <c r="DI107" i="13" s="1"/>
  <c r="DH107" i="13" s="1"/>
  <c r="DG107" i="13" s="1"/>
  <c r="CM107" i="13"/>
  <c r="CL107" i="13" s="1"/>
  <c r="CK107" i="13" s="1"/>
  <c r="CJ107" i="13" s="1"/>
  <c r="CI107" i="13" s="1"/>
  <c r="CR170" i="13"/>
  <c r="CQ170" i="13" s="1"/>
  <c r="CP170" i="13" s="1"/>
  <c r="CO170" i="13" s="1"/>
  <c r="CN170" i="13" s="1"/>
  <c r="CM170" i="13"/>
  <c r="CL170" i="13" s="1"/>
  <c r="CK170" i="13" s="1"/>
  <c r="CJ170" i="13" s="1"/>
  <c r="CI170" i="13" s="1"/>
  <c r="DB170" i="13"/>
  <c r="DA170" i="13" s="1"/>
  <c r="CZ170" i="13" s="1"/>
  <c r="CY170" i="13" s="1"/>
  <c r="CX170" i="13" s="1"/>
  <c r="DK170" i="13"/>
  <c r="DJ170" i="13" s="1"/>
  <c r="DI170" i="13" s="1"/>
  <c r="DH170" i="13" s="1"/>
  <c r="DG170" i="13" s="1"/>
  <c r="DP170" i="13"/>
  <c r="DO170" i="13" s="1"/>
  <c r="DN170" i="13" s="1"/>
  <c r="DM170" i="13" s="1"/>
  <c r="DL170" i="13" s="1"/>
  <c r="CW170" i="13"/>
  <c r="CV170" i="13" s="1"/>
  <c r="CU170" i="13" s="1"/>
  <c r="CT170" i="13" s="1"/>
  <c r="CS170" i="13" s="1"/>
  <c r="DU170" i="13"/>
  <c r="DT170" i="13" s="1"/>
  <c r="DS170" i="13" s="1"/>
  <c r="DR170" i="13" s="1"/>
  <c r="DQ170" i="13" s="1"/>
  <c r="DZ170" i="13"/>
  <c r="DY170" i="13" s="1"/>
  <c r="DX170" i="13" s="1"/>
  <c r="DW170" i="13" s="1"/>
  <c r="DV170" i="13" s="1"/>
  <c r="DU166" i="13"/>
  <c r="DT166" i="13" s="1"/>
  <c r="DS166" i="13" s="1"/>
  <c r="DR166" i="13" s="1"/>
  <c r="DQ166" i="13" s="1"/>
  <c r="CR166" i="13"/>
  <c r="CQ166" i="13" s="1"/>
  <c r="CP166" i="13" s="1"/>
  <c r="CO166" i="13" s="1"/>
  <c r="CN166" i="13" s="1"/>
  <c r="CW166" i="13"/>
  <c r="CV166" i="13" s="1"/>
  <c r="CU166" i="13" s="1"/>
  <c r="CT166" i="13" s="1"/>
  <c r="CS166" i="13" s="1"/>
  <c r="DZ166" i="13"/>
  <c r="DY166" i="13" s="1"/>
  <c r="DX166" i="13" s="1"/>
  <c r="DW166" i="13" s="1"/>
  <c r="DV166" i="13" s="1"/>
  <c r="CM166" i="13"/>
  <c r="CL166" i="13" s="1"/>
  <c r="CK166" i="13" s="1"/>
  <c r="CJ166" i="13" s="1"/>
  <c r="CI166" i="13" s="1"/>
  <c r="DK166" i="13"/>
  <c r="DJ166" i="13" s="1"/>
  <c r="DI166" i="13" s="1"/>
  <c r="DH166" i="13" s="1"/>
  <c r="DG166" i="13" s="1"/>
  <c r="DP166" i="13"/>
  <c r="DO166" i="13" s="1"/>
  <c r="DN166" i="13" s="1"/>
  <c r="DM166" i="13" s="1"/>
  <c r="DL166" i="13" s="1"/>
  <c r="DB166" i="13"/>
  <c r="DA166" i="13" s="1"/>
  <c r="CZ166" i="13" s="1"/>
  <c r="CY166" i="13" s="1"/>
  <c r="CX166" i="13" s="1"/>
  <c r="DB117" i="13"/>
  <c r="DA117" i="13" s="1"/>
  <c r="CZ117" i="13" s="1"/>
  <c r="CY117" i="13" s="1"/>
  <c r="CX117" i="13" s="1"/>
  <c r="DP117" i="13"/>
  <c r="DO117" i="13" s="1"/>
  <c r="DN117" i="13" s="1"/>
  <c r="DM117" i="13" s="1"/>
  <c r="DL117" i="13" s="1"/>
  <c r="DZ117" i="13"/>
  <c r="DY117" i="13" s="1"/>
  <c r="DX117" i="13" s="1"/>
  <c r="DW117" i="13" s="1"/>
  <c r="DV117" i="13" s="1"/>
  <c r="CR117" i="13"/>
  <c r="CQ117" i="13" s="1"/>
  <c r="CP117" i="13" s="1"/>
  <c r="CO117" i="13" s="1"/>
  <c r="CN117" i="13" s="1"/>
  <c r="CM117" i="13"/>
  <c r="CL117" i="13" s="1"/>
  <c r="CK117" i="13" s="1"/>
  <c r="CJ117" i="13" s="1"/>
  <c r="CI117" i="13" s="1"/>
  <c r="DU117" i="13"/>
  <c r="DT117" i="13" s="1"/>
  <c r="DS117" i="13" s="1"/>
  <c r="DR117" i="13" s="1"/>
  <c r="DQ117" i="13" s="1"/>
  <c r="DK117" i="13"/>
  <c r="DJ117" i="13" s="1"/>
  <c r="DI117" i="13" s="1"/>
  <c r="DH117" i="13" s="1"/>
  <c r="DG117" i="13" s="1"/>
  <c r="CW117" i="13"/>
  <c r="CV117" i="13" s="1"/>
  <c r="CU117" i="13" s="1"/>
  <c r="CT117" i="13" s="1"/>
  <c r="CS117" i="13" s="1"/>
  <c r="DK146" i="13"/>
  <c r="DJ146" i="13" s="1"/>
  <c r="DI146" i="13" s="1"/>
  <c r="DH146" i="13" s="1"/>
  <c r="DG146" i="13" s="1"/>
  <c r="DZ146" i="13"/>
  <c r="DY146" i="13" s="1"/>
  <c r="DX146" i="13" s="1"/>
  <c r="DW146" i="13" s="1"/>
  <c r="DV146" i="13" s="1"/>
  <c r="DU146" i="13"/>
  <c r="DT146" i="13" s="1"/>
  <c r="DS146" i="13" s="1"/>
  <c r="DR146" i="13" s="1"/>
  <c r="DQ146" i="13" s="1"/>
  <c r="CR146" i="13"/>
  <c r="CQ146" i="13" s="1"/>
  <c r="CP146" i="13" s="1"/>
  <c r="CO146" i="13" s="1"/>
  <c r="CN146" i="13" s="1"/>
  <c r="CM146" i="13"/>
  <c r="CL146" i="13" s="1"/>
  <c r="CK146" i="13" s="1"/>
  <c r="CJ146" i="13" s="1"/>
  <c r="CI146" i="13" s="1"/>
  <c r="DB146" i="13"/>
  <c r="DA146" i="13" s="1"/>
  <c r="CZ146" i="13" s="1"/>
  <c r="CY146" i="13" s="1"/>
  <c r="CX146" i="13" s="1"/>
  <c r="DP146" i="13"/>
  <c r="DO146" i="13" s="1"/>
  <c r="DN146" i="13" s="1"/>
  <c r="DM146" i="13" s="1"/>
  <c r="DL146" i="13" s="1"/>
  <c r="CW146" i="13"/>
  <c r="CV146" i="13" s="1"/>
  <c r="CU146" i="13" s="1"/>
  <c r="CT146" i="13" s="1"/>
  <c r="CS146" i="13" s="1"/>
  <c r="CM134" i="13"/>
  <c r="CL134" i="13" s="1"/>
  <c r="CK134" i="13" s="1"/>
  <c r="CJ134" i="13" s="1"/>
  <c r="CI134" i="13" s="1"/>
  <c r="DB134" i="13"/>
  <c r="DA134" i="13" s="1"/>
  <c r="CZ134" i="13" s="1"/>
  <c r="CY134" i="13" s="1"/>
  <c r="CX134" i="13" s="1"/>
  <c r="DP134" i="13"/>
  <c r="DO134" i="13" s="1"/>
  <c r="DN134" i="13" s="1"/>
  <c r="DM134" i="13" s="1"/>
  <c r="DL134" i="13" s="1"/>
  <c r="CR134" i="13"/>
  <c r="CQ134" i="13" s="1"/>
  <c r="CP134" i="13" s="1"/>
  <c r="CO134" i="13" s="1"/>
  <c r="CN134" i="13" s="1"/>
  <c r="CW134" i="13"/>
  <c r="CV134" i="13" s="1"/>
  <c r="CU134" i="13" s="1"/>
  <c r="CT134" i="13" s="1"/>
  <c r="CS134" i="13" s="1"/>
  <c r="DK134" i="13"/>
  <c r="DJ134" i="13" s="1"/>
  <c r="DI134" i="13" s="1"/>
  <c r="DH134" i="13" s="1"/>
  <c r="DG134" i="13" s="1"/>
  <c r="DZ134" i="13"/>
  <c r="DY134" i="13" s="1"/>
  <c r="DX134" i="13" s="1"/>
  <c r="DW134" i="13" s="1"/>
  <c r="DV134" i="13" s="1"/>
  <c r="DU134" i="13"/>
  <c r="DT134" i="13" s="1"/>
  <c r="DS134" i="13" s="1"/>
  <c r="DR134" i="13" s="1"/>
  <c r="DQ134" i="13" s="1"/>
  <c r="NK104" i="13"/>
  <c r="HS104" i="13"/>
  <c r="AS104" i="13" s="1"/>
  <c r="AR104" i="13" s="1"/>
  <c r="AQ104" i="13" s="1"/>
  <c r="AP104" i="13" s="1"/>
  <c r="AO104" i="13" s="1"/>
  <c r="AL104" i="13" s="1"/>
  <c r="NY104" i="13"/>
  <c r="NS104" i="13"/>
  <c r="AT5" i="13"/>
  <c r="DK144" i="13"/>
  <c r="DJ144" i="13" s="1"/>
  <c r="DI144" i="13" s="1"/>
  <c r="DH144" i="13" s="1"/>
  <c r="DG144" i="13" s="1"/>
  <c r="CR144" i="13"/>
  <c r="CQ144" i="13" s="1"/>
  <c r="CP144" i="13" s="1"/>
  <c r="CO144" i="13" s="1"/>
  <c r="CN144" i="13" s="1"/>
  <c r="DB144" i="13"/>
  <c r="DA144" i="13" s="1"/>
  <c r="CZ144" i="13" s="1"/>
  <c r="CY144" i="13" s="1"/>
  <c r="CX144" i="13" s="1"/>
  <c r="CM144" i="13"/>
  <c r="CL144" i="13" s="1"/>
  <c r="CK144" i="13" s="1"/>
  <c r="CJ144" i="13" s="1"/>
  <c r="CI144" i="13" s="1"/>
  <c r="DP144" i="13"/>
  <c r="DO144" i="13" s="1"/>
  <c r="DN144" i="13" s="1"/>
  <c r="DM144" i="13" s="1"/>
  <c r="DL144" i="13" s="1"/>
  <c r="DZ144" i="13"/>
  <c r="DY144" i="13" s="1"/>
  <c r="DX144" i="13" s="1"/>
  <c r="DW144" i="13" s="1"/>
  <c r="DV144" i="13" s="1"/>
  <c r="DU144" i="13"/>
  <c r="DT144" i="13" s="1"/>
  <c r="DS144" i="13" s="1"/>
  <c r="DR144" i="13" s="1"/>
  <c r="DQ144" i="13" s="1"/>
  <c r="CW144" i="13"/>
  <c r="CV144" i="13" s="1"/>
  <c r="CU144" i="13" s="1"/>
  <c r="CT144" i="13" s="1"/>
  <c r="CS144" i="13" s="1"/>
  <c r="CM79" i="13"/>
  <c r="CL79" i="13" s="1"/>
  <c r="CK79" i="13" s="1"/>
  <c r="CJ79" i="13" s="1"/>
  <c r="CI79" i="13" s="1"/>
  <c r="CR79" i="13"/>
  <c r="CQ79" i="13" s="1"/>
  <c r="CP79" i="13" s="1"/>
  <c r="CO79" i="13" s="1"/>
  <c r="CN79" i="13" s="1"/>
  <c r="DB79" i="13"/>
  <c r="DA79" i="13" s="1"/>
  <c r="CZ79" i="13" s="1"/>
  <c r="CY79" i="13" s="1"/>
  <c r="CX79" i="13" s="1"/>
  <c r="DP79" i="13"/>
  <c r="DO79" i="13" s="1"/>
  <c r="DN79" i="13" s="1"/>
  <c r="DM79" i="13" s="1"/>
  <c r="DL79" i="13" s="1"/>
  <c r="CW79" i="13"/>
  <c r="CV79" i="13" s="1"/>
  <c r="CU79" i="13" s="1"/>
  <c r="CT79" i="13" s="1"/>
  <c r="CS79" i="13" s="1"/>
  <c r="DK79" i="13"/>
  <c r="DJ79" i="13" s="1"/>
  <c r="DI79" i="13" s="1"/>
  <c r="DH79" i="13" s="1"/>
  <c r="DG79" i="13" s="1"/>
  <c r="DZ79" i="13"/>
  <c r="DY79" i="13" s="1"/>
  <c r="DX79" i="13" s="1"/>
  <c r="DW79" i="13" s="1"/>
  <c r="DV79" i="13" s="1"/>
  <c r="DU79" i="13"/>
  <c r="DT79" i="13" s="1"/>
  <c r="DS79" i="13" s="1"/>
  <c r="DR79" i="13" s="1"/>
  <c r="DQ79" i="13" s="1"/>
  <c r="DZ44" i="13"/>
  <c r="DY44" i="13" s="1"/>
  <c r="DX44" i="13" s="1"/>
  <c r="DW44" i="13" s="1"/>
  <c r="DV44" i="13" s="1"/>
  <c r="DP44" i="13"/>
  <c r="DO44" i="13" s="1"/>
  <c r="DN44" i="13" s="1"/>
  <c r="DM44" i="13" s="1"/>
  <c r="DL44" i="13" s="1"/>
  <c r="DU44" i="13"/>
  <c r="DT44" i="13" s="1"/>
  <c r="DS44" i="13" s="1"/>
  <c r="DR44" i="13" s="1"/>
  <c r="DQ44" i="13" s="1"/>
  <c r="CR44" i="13"/>
  <c r="CQ44" i="13" s="1"/>
  <c r="CP44" i="13" s="1"/>
  <c r="CO44" i="13" s="1"/>
  <c r="CN44" i="13" s="1"/>
  <c r="DK44" i="13"/>
  <c r="DJ44" i="13" s="1"/>
  <c r="DI44" i="13" s="1"/>
  <c r="DH44" i="13" s="1"/>
  <c r="DG44" i="13" s="1"/>
  <c r="DB44" i="13"/>
  <c r="DA44" i="13" s="1"/>
  <c r="CZ44" i="13" s="1"/>
  <c r="CY44" i="13" s="1"/>
  <c r="CX44" i="13" s="1"/>
  <c r="CM44" i="13"/>
  <c r="CL44" i="13" s="1"/>
  <c r="CK44" i="13" s="1"/>
  <c r="CJ44" i="13" s="1"/>
  <c r="CI44" i="13" s="1"/>
  <c r="CW44" i="13"/>
  <c r="CV44" i="13" s="1"/>
  <c r="CU44" i="13" s="1"/>
  <c r="CT44" i="13" s="1"/>
  <c r="CS44" i="13" s="1"/>
  <c r="AT6" i="13" l="1"/>
  <c r="AV5" i="13"/>
  <c r="AD5" i="141"/>
  <c r="NL104" i="13"/>
  <c r="BF104" i="13"/>
  <c r="BE104" i="13" s="1"/>
  <c r="BD104" i="13" s="1"/>
  <c r="NX104" i="13"/>
  <c r="NW104" i="13"/>
  <c r="CJ104" i="13"/>
  <c r="CI104" i="13" s="1"/>
  <c r="CO104" i="13"/>
  <c r="CN104" i="13" s="1"/>
  <c r="DH104" i="13"/>
  <c r="DG104" i="13" s="1"/>
  <c r="DM104" i="13"/>
  <c r="DL104" i="13" s="1"/>
  <c r="AV6" i="13"/>
  <c r="BA104" i="13"/>
  <c r="AZ104" i="13" s="1"/>
  <c r="AY104" i="13" s="1"/>
</calcChain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/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<sst xmlns="http://schemas.openxmlformats.org/spreadsheetml/2006/main" count="3157" uniqueCount="951">
  <si>
    <t>原表</t>
  </si>
  <si>
    <t>规格</t>
  </si>
  <si>
    <t>丝根数</t>
  </si>
  <si>
    <t>丝的排列方式</t>
  </si>
  <si>
    <t>丝直径</t>
  </si>
  <si>
    <t>外径</t>
  </si>
  <si>
    <t>等效圆直径</t>
  </si>
  <si>
    <t>外径值</t>
  </si>
  <si>
    <t>外径算法</t>
  </si>
  <si>
    <t>倍数</t>
  </si>
  <si>
    <t>普通线</t>
  </si>
  <si>
    <t>1*D丝</t>
  </si>
  <si>
    <t>火</t>
  </si>
  <si>
    <t>火截面</t>
  </si>
  <si>
    <t>丝数</t>
  </si>
  <si>
    <t>0截面</t>
  </si>
  <si>
    <t>{1,2,3,4,5,6,7,10,14,19,24,30,37,48,61},{1,2,2.1547,2.4198125,2.7159,3,3,3.828,4.3739,4.8637,5.77,6.37,6.818626,7.8658,8.706}</t>
  </si>
  <si>
    <t>2*D丝</t>
  </si>
  <si>
    <t>2.1547*D丝</t>
  </si>
  <si>
    <t>2.4198125*D丝</t>
  </si>
  <si>
    <t>3*D丝</t>
  </si>
  <si>
    <t>1+6</t>
  </si>
  <si>
    <t>2+8</t>
  </si>
  <si>
    <t>3.828*D丝</t>
  </si>
  <si>
    <t>4+10</t>
  </si>
  <si>
    <t>4.3739*D丝</t>
  </si>
  <si>
    <t>1+6+12</t>
  </si>
  <si>
    <r>
      <rPr>
        <sz val="12"/>
        <rFont val="Times New Roman"/>
        <family val="1"/>
      </rPr>
      <t>4.8637*D</t>
    </r>
    <r>
      <rPr>
        <sz val="12"/>
        <rFont val="宋体"/>
        <family val="3"/>
        <charset val="134"/>
      </rPr>
      <t>丝</t>
    </r>
  </si>
  <si>
    <t>2+8+14</t>
  </si>
  <si>
    <r>
      <rPr>
        <sz val="12"/>
        <rFont val="Times New Roman"/>
        <family val="1"/>
      </rPr>
      <t>5.77*D</t>
    </r>
    <r>
      <rPr>
        <sz val="12"/>
        <rFont val="宋体"/>
        <family val="3"/>
        <charset val="134"/>
      </rPr>
      <t>丝</t>
    </r>
  </si>
  <si>
    <t>4+10+16</t>
  </si>
  <si>
    <r>
      <rPr>
        <sz val="12"/>
        <rFont val="Times New Roman"/>
        <family val="1"/>
      </rPr>
      <t>6.37*D</t>
    </r>
    <r>
      <rPr>
        <sz val="12"/>
        <rFont val="宋体"/>
        <family val="3"/>
        <charset val="134"/>
      </rPr>
      <t>丝</t>
    </r>
  </si>
  <si>
    <t>1+6+12+18</t>
  </si>
  <si>
    <r>
      <rPr>
        <sz val="12"/>
        <rFont val="Times New Roman"/>
        <family val="1"/>
      </rPr>
      <t>6.818626*D</t>
    </r>
    <r>
      <rPr>
        <sz val="12"/>
        <rFont val="宋体"/>
        <family val="3"/>
        <charset val="134"/>
      </rPr>
      <t>丝</t>
    </r>
  </si>
  <si>
    <t>3+9+15+21</t>
  </si>
  <si>
    <r>
      <rPr>
        <sz val="12"/>
        <rFont val="Times New Roman"/>
        <family val="1"/>
      </rPr>
      <t>7.8658*D</t>
    </r>
    <r>
      <rPr>
        <sz val="12"/>
        <rFont val="宋体"/>
        <family val="3"/>
        <charset val="134"/>
      </rPr>
      <t>丝</t>
    </r>
  </si>
  <si>
    <t>1+6+12+18+24</t>
  </si>
  <si>
    <r>
      <rPr>
        <sz val="12"/>
        <rFont val="Times New Roman"/>
        <family val="1"/>
      </rPr>
      <t>8.706*D</t>
    </r>
    <r>
      <rPr>
        <sz val="12"/>
        <rFont val="宋体"/>
        <family val="3"/>
        <charset val="134"/>
      </rPr>
      <t>丝</t>
    </r>
  </si>
  <si>
    <t>架空线</t>
  </si>
  <si>
    <t>概况</t>
  </si>
  <si>
    <t>铝+钢丝数</t>
  </si>
  <si>
    <t>丝总数</t>
  </si>
  <si>
    <t>丝总排列</t>
  </si>
  <si>
    <t>绞丝后外径</t>
  </si>
  <si>
    <t>铝</t>
  </si>
  <si>
    <t>钢</t>
  </si>
  <si>
    <t>截面（铝/钢）</t>
  </si>
  <si>
    <t>铝丝根数/直径</t>
  </si>
  <si>
    <t>钢丝根数/直径</t>
  </si>
  <si>
    <t>铝线截面实际值</t>
  </si>
  <si>
    <t>铝线截面</t>
  </si>
  <si>
    <t>铝丝排列</t>
  </si>
  <si>
    <t>铝丝数</t>
  </si>
  <si>
    <t>铝丝直径</t>
  </si>
  <si>
    <t>钢丝截面</t>
  </si>
  <si>
    <t>钢丝排列</t>
  </si>
  <si>
    <t>钢丝数</t>
  </si>
  <si>
    <t>钢丝直径</t>
  </si>
  <si>
    <t>实际计算面积</t>
  </si>
  <si>
    <t>10/2</t>
  </si>
  <si>
    <t>6*150</t>
  </si>
  <si>
    <t>1*150</t>
  </si>
  <si>
    <t>16/3</t>
  </si>
  <si>
    <t>6*185</t>
  </si>
  <si>
    <t>1*185</t>
  </si>
  <si>
    <t>25/4</t>
  </si>
  <si>
    <t>6*232</t>
  </si>
  <si>
    <t>1*232</t>
  </si>
  <si>
    <t>35/6</t>
  </si>
  <si>
    <t>6*272</t>
  </si>
  <si>
    <t>1*272</t>
  </si>
  <si>
    <t>50/8</t>
  </si>
  <si>
    <t>6*320</t>
  </si>
  <si>
    <t>1*320</t>
  </si>
  <si>
    <t>70/10</t>
  </si>
  <si>
    <t>6*380</t>
  </si>
  <si>
    <t>1*380</t>
  </si>
  <si>
    <t>95/15</t>
  </si>
  <si>
    <t>10+16*215</t>
  </si>
  <si>
    <t>1+6*167</t>
  </si>
  <si>
    <t>120/20</t>
  </si>
  <si>
    <t>10+16*238</t>
  </si>
  <si>
    <t>1+6*185</t>
  </si>
  <si>
    <t>150/20</t>
  </si>
  <si>
    <t>9+15*276</t>
  </si>
  <si>
    <t>185/25</t>
  </si>
  <si>
    <t>9+15*315</t>
  </si>
  <si>
    <t>1+6*210</t>
  </si>
  <si>
    <t>240/30</t>
  </si>
  <si>
    <t>9+15*360</t>
  </si>
  <si>
    <t>1+6*240</t>
  </si>
  <si>
    <t>300/40</t>
  </si>
  <si>
    <t>9+15*399</t>
  </si>
  <si>
    <t>1+6*266</t>
  </si>
  <si>
    <t>400/50</t>
  </si>
  <si>
    <t>12+18+24*307</t>
  </si>
  <si>
    <t>1+6*307</t>
  </si>
  <si>
    <t>500/</t>
  </si>
  <si>
    <t>EVALUATE</t>
  </si>
  <si>
    <t>1,7,10,14,19,24,30,37,48,61},{1,3,3.828,4.3739,4.8637,5.77,6.37,6.818626,7.8658,8.706</t>
  </si>
  <si>
    <t>{50,70,95,120,150,185,240,300},{10,14,19,24,30,37,48,61}</t>
  </si>
  <si>
    <t>国标面积对应的丝号：</t>
  </si>
  <si>
    <t>面积</t>
  </si>
  <si>
    <t>软丝丝号/bv</t>
  </si>
  <si>
    <t>0.3,0.5,0.75,1,1.5,2.5,4,6,10,16,25,35,50,70,95,120,150,185,240,300,400,500,600</t>
  </si>
  <si>
    <r>
      <rPr>
        <sz val="12"/>
        <rFont val="宋体"/>
        <family val="3"/>
        <charset val="134"/>
      </rPr>
      <t>62,80,98,113,138,178,225,276,133,170,210,250,250,250,250,250,250,250,250,250,285</t>
    </r>
    <r>
      <rPr>
        <sz val="12"/>
        <rFont val="宋体"/>
        <family val="3"/>
        <charset val="134"/>
      </rPr>
      <t>,315,355</t>
    </r>
  </si>
  <si>
    <t>泽 洋 电 缆 有 限 公 司</t>
  </si>
  <si>
    <t>标称截面(T)</t>
  </si>
  <si>
    <t>A-YJV</t>
  </si>
  <si>
    <t>A-WDZN</t>
  </si>
  <si>
    <t>A-WDZ</t>
  </si>
  <si>
    <t>A-NH</t>
  </si>
  <si>
    <t>A-KVVP</t>
  </si>
  <si>
    <t>A钢带</t>
  </si>
  <si>
    <t>B钢带</t>
  </si>
  <si>
    <t>G钢带</t>
  </si>
  <si>
    <t>S钢带</t>
  </si>
  <si>
    <t>YJV/YJLV</t>
  </si>
  <si>
    <t>YJV/YJLV/KVV</t>
  </si>
  <si>
    <t>YC</t>
  </si>
  <si>
    <t>BLV</t>
  </si>
  <si>
    <t>BV/BVR</t>
  </si>
  <si>
    <t>RVSP</t>
  </si>
  <si>
    <t>RVS</t>
  </si>
  <si>
    <t>YJV22/YJLV22
8.7/15</t>
  </si>
  <si>
    <t>BTTZ/BTTVZ/BTTRZ/BTTW</t>
  </si>
  <si>
    <t>DJYVP/DJYPVP/DJYPVRP</t>
  </si>
  <si>
    <t>2*10</t>
  </si>
  <si>
    <t>5*10</t>
  </si>
  <si>
    <t>1*10</t>
  </si>
  <si>
    <t>20*1.5</t>
  </si>
  <si>
    <t>5*1</t>
  </si>
  <si>
    <t>4*1</t>
  </si>
  <si>
    <t>3*1</t>
  </si>
  <si>
    <t>2*1</t>
  </si>
  <si>
    <t>RVV</t>
  </si>
  <si>
    <t>RVV/RVVP</t>
  </si>
  <si>
    <t>2*16</t>
  </si>
  <si>
    <t>5*16</t>
  </si>
  <si>
    <t>1*16</t>
  </si>
  <si>
    <t>24*1.5</t>
  </si>
  <si>
    <t>5*1.5</t>
  </si>
  <si>
    <t>4*1.5</t>
  </si>
  <si>
    <t>3*1.5</t>
  </si>
  <si>
    <t>2*1.5</t>
  </si>
  <si>
    <t>1*0.75</t>
  </si>
  <si>
    <t>2*0.5</t>
  </si>
  <si>
    <t>1*2*1</t>
  </si>
  <si>
    <t>2*25</t>
  </si>
  <si>
    <t>5*25</t>
  </si>
  <si>
    <t>1*25</t>
  </si>
  <si>
    <t>30*1.5</t>
  </si>
  <si>
    <t>5*2.5</t>
  </si>
  <si>
    <t>4*2.5</t>
  </si>
  <si>
    <t>3*2.5</t>
  </si>
  <si>
    <t>2*2.5</t>
  </si>
  <si>
    <t>\</t>
  </si>
  <si>
    <t>3*0.5</t>
  </si>
  <si>
    <t>4*0.5</t>
  </si>
  <si>
    <t>2*0.3</t>
  </si>
  <si>
    <t>2*0.75</t>
  </si>
  <si>
    <t>1*1</t>
  </si>
  <si>
    <t>3*25</t>
  </si>
  <si>
    <t>2*2*1</t>
  </si>
  <si>
    <t>2*35</t>
  </si>
  <si>
    <t>5*35</t>
  </si>
  <si>
    <t>1*35</t>
  </si>
  <si>
    <t>37*1.5</t>
  </si>
  <si>
    <t>5*4</t>
  </si>
  <si>
    <t>4*4</t>
  </si>
  <si>
    <t>3*4</t>
  </si>
  <si>
    <t>2*4</t>
  </si>
  <si>
    <t>5*0.5</t>
  </si>
  <si>
    <t>3*0.75</t>
  </si>
  <si>
    <t>4*0.75</t>
  </si>
  <si>
    <t>3*0.3</t>
  </si>
  <si>
    <t>1*1.5</t>
  </si>
  <si>
    <t>3*35</t>
  </si>
  <si>
    <t>3*2*1</t>
  </si>
  <si>
    <t>2*50</t>
  </si>
  <si>
    <t>5*50</t>
  </si>
  <si>
    <t>1*50</t>
  </si>
  <si>
    <t>6*2.5</t>
  </si>
  <si>
    <t>5*6</t>
  </si>
  <si>
    <t>4*6</t>
  </si>
  <si>
    <t>3*6</t>
  </si>
  <si>
    <t>2*6</t>
  </si>
  <si>
    <t>5*0.75</t>
  </si>
  <si>
    <t>4*0.3</t>
  </si>
  <si>
    <t>1*2.5</t>
  </si>
  <si>
    <t>3*50</t>
  </si>
  <si>
    <t>4*2*1</t>
  </si>
  <si>
    <t>2*70</t>
  </si>
  <si>
    <t>5*70</t>
  </si>
  <si>
    <t>1*70</t>
  </si>
  <si>
    <t>7*2.5</t>
  </si>
  <si>
    <t>4*10</t>
  </si>
  <si>
    <t>3*10</t>
  </si>
  <si>
    <t>5*0.3</t>
  </si>
  <si>
    <t>1*4</t>
  </si>
  <si>
    <t>3*70</t>
  </si>
  <si>
    <t>5*2*1</t>
  </si>
  <si>
    <t>2*95</t>
  </si>
  <si>
    <t>5*95</t>
  </si>
  <si>
    <t>1*95</t>
  </si>
  <si>
    <t>8*2.5</t>
  </si>
  <si>
    <t>4*16</t>
  </si>
  <si>
    <t>3*16</t>
  </si>
  <si>
    <t>6*0.3</t>
  </si>
  <si>
    <t>6*0.5</t>
  </si>
  <si>
    <t>6*0.75</t>
  </si>
  <si>
    <t>6*1</t>
  </si>
  <si>
    <t>1*6</t>
  </si>
  <si>
    <t>3*95</t>
  </si>
  <si>
    <t>6*2*1</t>
  </si>
  <si>
    <t>2*120</t>
  </si>
  <si>
    <t>5*120</t>
  </si>
  <si>
    <t>1*120</t>
  </si>
  <si>
    <t>10*2.5</t>
  </si>
  <si>
    <t>4*25</t>
  </si>
  <si>
    <t>7*0.3</t>
  </si>
  <si>
    <t>7*0.5</t>
  </si>
  <si>
    <t>7*0.75</t>
  </si>
  <si>
    <t>7*1</t>
  </si>
  <si>
    <t>3*120</t>
  </si>
  <si>
    <t>7*2*1</t>
  </si>
  <si>
    <t>2*150</t>
  </si>
  <si>
    <t>5*150</t>
  </si>
  <si>
    <t>12*2.5</t>
  </si>
  <si>
    <t>4*35</t>
  </si>
  <si>
    <t>8*0.3</t>
  </si>
  <si>
    <t>8*0.5</t>
  </si>
  <si>
    <t>8*0.75</t>
  </si>
  <si>
    <t>8*1</t>
  </si>
  <si>
    <t>3*150</t>
  </si>
  <si>
    <t>8*2*1</t>
  </si>
  <si>
    <t>14*2.5</t>
  </si>
  <si>
    <t>4*50</t>
  </si>
  <si>
    <t>10*0.3</t>
  </si>
  <si>
    <t>10*0.5</t>
  </si>
  <si>
    <t>10*0.75</t>
  </si>
  <si>
    <t>10*1</t>
  </si>
  <si>
    <t>3*185</t>
  </si>
  <si>
    <t>10*2*1</t>
  </si>
  <si>
    <t>1*240</t>
  </si>
  <si>
    <t>16*2.5</t>
  </si>
  <si>
    <t>4*70</t>
  </si>
  <si>
    <t>12*0.3</t>
  </si>
  <si>
    <t>12*0.5</t>
  </si>
  <si>
    <t>12*0.75</t>
  </si>
  <si>
    <t>12*1</t>
  </si>
  <si>
    <t>3*240</t>
  </si>
  <si>
    <t>12*2*1</t>
  </si>
  <si>
    <t>1*300</t>
  </si>
  <si>
    <t>19*2.5</t>
  </si>
  <si>
    <t>4*95</t>
  </si>
  <si>
    <t>14*0.3</t>
  </si>
  <si>
    <t>14*0.5</t>
  </si>
  <si>
    <t>14*0.75</t>
  </si>
  <si>
    <t>14*1</t>
  </si>
  <si>
    <t>3*300</t>
  </si>
  <si>
    <t>1*3*1</t>
  </si>
  <si>
    <t>1*400</t>
  </si>
  <si>
    <t>20*2.5</t>
  </si>
  <si>
    <t>YH(焊机线)</t>
  </si>
  <si>
    <t>16*0.3</t>
  </si>
  <si>
    <t>16*0.5</t>
  </si>
  <si>
    <t>16*0.75</t>
  </si>
  <si>
    <t>16*1</t>
  </si>
  <si>
    <t>3*400</t>
  </si>
  <si>
    <t>2*3*1</t>
  </si>
  <si>
    <t>1*500</t>
  </si>
  <si>
    <t>24*2.5</t>
  </si>
  <si>
    <t>19*0.3</t>
  </si>
  <si>
    <t>19*0.5</t>
  </si>
  <si>
    <t>19*0.75</t>
  </si>
  <si>
    <t>19*1</t>
  </si>
  <si>
    <t>3*500</t>
  </si>
  <si>
    <t>3*3*1</t>
  </si>
  <si>
    <t>1*630</t>
  </si>
  <si>
    <t>30*2.5</t>
  </si>
  <si>
    <t>4*1+1*0.75</t>
  </si>
  <si>
    <t>3*1+1*0.75</t>
  </si>
  <si>
    <t>3*1+2*0.75</t>
  </si>
  <si>
    <t>20*0.3</t>
  </si>
  <si>
    <t>20*0.5</t>
  </si>
  <si>
    <t>20*0.75</t>
  </si>
  <si>
    <t>20*1</t>
  </si>
  <si>
    <t>3*630</t>
  </si>
  <si>
    <t>4*3*1</t>
  </si>
  <si>
    <t>1*800</t>
  </si>
  <si>
    <t>37*2.5</t>
  </si>
  <si>
    <t>4*1.5+1*1</t>
  </si>
  <si>
    <t>3*1.5+1*1</t>
  </si>
  <si>
    <t>3*1.5+2*1</t>
  </si>
  <si>
    <t>24*0.3</t>
  </si>
  <si>
    <t>24*0.5</t>
  </si>
  <si>
    <t>24*0.75</t>
  </si>
  <si>
    <t>24*1</t>
  </si>
  <si>
    <t>3*10+1*6</t>
  </si>
  <si>
    <t>4*2.5+1*1.5</t>
  </si>
  <si>
    <t>3*2.5+1*1.5</t>
  </si>
  <si>
    <t>3*2.5+2*1.5</t>
  </si>
  <si>
    <t>30*0.3</t>
  </si>
  <si>
    <t>30*0.5</t>
  </si>
  <si>
    <t>30*0.75</t>
  </si>
  <si>
    <t>30*1</t>
  </si>
  <si>
    <t>4*120</t>
  </si>
  <si>
    <t>3*16+1*10</t>
  </si>
  <si>
    <t>4*4+1*2.5</t>
  </si>
  <si>
    <t>3*4+1*2.5</t>
  </si>
  <si>
    <t>3*4+2*2.5</t>
  </si>
  <si>
    <t>37*0.3</t>
  </si>
  <si>
    <t>37*0.5</t>
  </si>
  <si>
    <t>37*0.75</t>
  </si>
  <si>
    <t>37*1</t>
  </si>
  <si>
    <t>4*150</t>
  </si>
  <si>
    <t>3*25+1*16</t>
  </si>
  <si>
    <t>4*6+1*4</t>
  </si>
  <si>
    <t>3*6+1*4</t>
  </si>
  <si>
    <t>3*6+2*4</t>
  </si>
  <si>
    <t>2*185</t>
  </si>
  <si>
    <t>4*185</t>
  </si>
  <si>
    <t>3*35+1*16</t>
  </si>
  <si>
    <t>4*10+1*6</t>
  </si>
  <si>
    <t>3*10+2*6</t>
  </si>
  <si>
    <t>2*240</t>
  </si>
  <si>
    <t>4*240</t>
  </si>
  <si>
    <t>标称截面</t>
  </si>
  <si>
    <t>3*50+1*25</t>
  </si>
  <si>
    <t>4*16+1*6</t>
  </si>
  <si>
    <t>3*16+1*6</t>
  </si>
  <si>
    <t>3*16+2*6</t>
  </si>
  <si>
    <t>2*300</t>
  </si>
  <si>
    <t>4*300</t>
  </si>
  <si>
    <t>3*70+1*35</t>
  </si>
  <si>
    <t>4*25+1*10</t>
  </si>
  <si>
    <t>3*25+1*10</t>
  </si>
  <si>
    <t>3*25+2*10</t>
  </si>
  <si>
    <t>2*400</t>
  </si>
  <si>
    <t>4*400</t>
  </si>
  <si>
    <t>3*95+1*50</t>
  </si>
  <si>
    <t>4*35+1*10</t>
  </si>
  <si>
    <t>3*35+1*10</t>
  </si>
  <si>
    <t>3*35+2*10</t>
  </si>
  <si>
    <t>3*120+1*70</t>
  </si>
  <si>
    <t>4*50+1*16</t>
  </si>
  <si>
    <t>3*50+1*16</t>
  </si>
  <si>
    <t>3*50+2*16</t>
  </si>
  <si>
    <t>3*150+1*70</t>
  </si>
  <si>
    <t>4*70+1*25</t>
  </si>
  <si>
    <t>3*70+1*25</t>
  </si>
  <si>
    <t>3*70+2*25</t>
  </si>
  <si>
    <t>3*185+1*95</t>
  </si>
  <si>
    <t>4*95+1*35</t>
  </si>
  <si>
    <t>3*95+1*35</t>
  </si>
  <si>
    <t>3*95+2*35</t>
  </si>
  <si>
    <t>3*240+1*120</t>
  </si>
  <si>
    <t>4*120+1*50</t>
  </si>
  <si>
    <t>3*120+1*50</t>
  </si>
  <si>
    <t>3*120+2*50</t>
  </si>
  <si>
    <t>3*300+1*150</t>
  </si>
  <si>
    <t>6*1.5</t>
  </si>
  <si>
    <t>4*150+1*50</t>
  </si>
  <si>
    <t>3*150+1*50</t>
  </si>
  <si>
    <t>3*150+2*50</t>
  </si>
  <si>
    <t>6*4</t>
  </si>
  <si>
    <t>6*6</t>
  </si>
  <si>
    <t>3*400+1*185</t>
  </si>
  <si>
    <t>7*1.5</t>
  </si>
  <si>
    <t>4*185+1*70</t>
  </si>
  <si>
    <t>3*185+1*70</t>
  </si>
  <si>
    <t>3*185+2*70</t>
  </si>
  <si>
    <t>7*4</t>
  </si>
  <si>
    <t>7*6</t>
  </si>
  <si>
    <t>8*1.5</t>
  </si>
  <si>
    <t>4*240+1*95</t>
  </si>
  <si>
    <t>3*240+1*95</t>
  </si>
  <si>
    <t>3*240+2*95</t>
  </si>
  <si>
    <t>8*4</t>
  </si>
  <si>
    <t>8*6</t>
  </si>
  <si>
    <t>3*16+2*10</t>
  </si>
  <si>
    <t>4*16+1*10</t>
  </si>
  <si>
    <t>10*1.5</t>
  </si>
  <si>
    <t>10*4</t>
  </si>
  <si>
    <t>10*6</t>
  </si>
  <si>
    <t>3*25+2*16</t>
  </si>
  <si>
    <t>4*25+1*16</t>
  </si>
  <si>
    <t>12*1.5</t>
  </si>
  <si>
    <t>12*4</t>
  </si>
  <si>
    <t>12*6</t>
  </si>
  <si>
    <t>3*35+2*16</t>
  </si>
  <si>
    <t>4*35+1*16</t>
  </si>
  <si>
    <t>14*1.5</t>
  </si>
  <si>
    <t>14*4</t>
  </si>
  <si>
    <t>14*6</t>
  </si>
  <si>
    <t>3*50+2*25</t>
  </si>
  <si>
    <t>4*50+1*25</t>
  </si>
  <si>
    <t>16*1.5</t>
  </si>
  <si>
    <t>16*4</t>
  </si>
  <si>
    <t>16*6</t>
  </si>
  <si>
    <t>3*70+2*35</t>
  </si>
  <si>
    <t>4*70+1*35</t>
  </si>
  <si>
    <t>19*1.5</t>
  </si>
  <si>
    <t>19*4</t>
  </si>
  <si>
    <t>19*6</t>
  </si>
  <si>
    <t>3*95+2*50</t>
  </si>
  <si>
    <t>4*95+1*50</t>
  </si>
  <si>
    <t>20*4</t>
  </si>
  <si>
    <t>20*6</t>
  </si>
  <si>
    <t>3*120+2*70</t>
  </si>
  <si>
    <t>4*120+1*70</t>
  </si>
  <si>
    <t>24*4</t>
  </si>
  <si>
    <t>24*6</t>
  </si>
  <si>
    <t>3*150+2*70</t>
  </si>
  <si>
    <t>4*150+1*70</t>
  </si>
  <si>
    <t>30*4</t>
  </si>
  <si>
    <t>30*6</t>
  </si>
  <si>
    <t>3*185+2*95</t>
  </si>
  <si>
    <t>4*185+1*95</t>
  </si>
  <si>
    <t>37*4</t>
  </si>
  <si>
    <t>37*6</t>
  </si>
  <si>
    <t>3*240+2*120</t>
  </si>
  <si>
    <t>4*240+1*120</t>
  </si>
  <si>
    <t>3*300+2*150</t>
  </si>
  <si>
    <t>4*300+1*150</t>
  </si>
  <si>
    <t>注：以上报价均为不含税价。因铜铝价格不稳定，电话报价为准，欢迎致电询问。</t>
  </si>
  <si>
    <t>3*400+2*185</t>
  </si>
  <si>
    <t>4*400+1*185</t>
  </si>
  <si>
    <t>地址：合肥市国际五金机电商贸城三期B区27栋121号</t>
  </si>
  <si>
    <t xml:space="preserve">手机：184 0551 8866   184 0551 9966      </t>
  </si>
  <si>
    <t>以下名称和位置不能改动</t>
  </si>
  <si>
    <t>每次改变要把截图存相册</t>
  </si>
  <si>
    <t xml:space="preserve"> 原料价格 </t>
  </si>
  <si>
    <t>参数设定</t>
  </si>
  <si>
    <t>品名</t>
  </si>
  <si>
    <t>单价（元/kg）</t>
  </si>
  <si>
    <t>密度（g/cm3）</t>
  </si>
  <si>
    <t xml:space="preserve">(铜)TA标/TG标/TB标
</t>
  </si>
  <si>
    <t>（每米长度）铜长</t>
  </si>
  <si>
    <t>铜出厂利润</t>
  </si>
  <si>
    <t>铜合肥利润</t>
  </si>
  <si>
    <t>实际价+300元</t>
  </si>
  <si>
    <t>YJV/KVV/铜高压/BV/BVVB/</t>
  </si>
  <si>
    <t>导体</t>
  </si>
  <si>
    <t>铜价</t>
  </si>
  <si>
    <t>（厂利润）电费</t>
  </si>
  <si>
    <t>实际价+200元</t>
  </si>
  <si>
    <t>YJLV/铝高压/架空线/BLV//BLVVB</t>
  </si>
  <si>
    <t>铝价</t>
  </si>
  <si>
    <t>（合肥)费用</t>
  </si>
  <si>
    <t>铝出厂利润</t>
  </si>
  <si>
    <t>铝合肥利润</t>
  </si>
  <si>
    <t>BLV铝价</t>
  </si>
  <si>
    <t>LHJ</t>
  </si>
  <si>
    <t>铝合金价</t>
  </si>
  <si>
    <t>出厂运费(千克/元)</t>
  </si>
  <si>
    <t>仓库运费(千克/元)</t>
  </si>
  <si>
    <t>PV1-F1*4(0.3丝52根)</t>
  </si>
  <si>
    <t>镀锡铜</t>
  </si>
  <si>
    <t>橡套/RVV/RVVP/RVS</t>
  </si>
  <si>
    <t>铜价(软丝）</t>
  </si>
  <si>
    <t>弹性体
SC</t>
  </si>
  <si>
    <t>A-（每米长度）铜长</t>
  </si>
  <si>
    <t>实际价+2元</t>
  </si>
  <si>
    <t>YJV/KVV/YJLV/LHJ</t>
  </si>
  <si>
    <t>绝缘</t>
  </si>
  <si>
    <t>纯硅烷(一步法)</t>
  </si>
  <si>
    <t>KVV(1-6平方)</t>
  </si>
  <si>
    <t>纯硅烷(二步法)</t>
  </si>
  <si>
    <t>B-（每米长度）铜长</t>
  </si>
  <si>
    <t>低烟无卤无护套WDZ/WDZN/RVS/BV/BVR</t>
  </si>
  <si>
    <t>低烟无卤绝缘料（RVS+BV+BVR）</t>
  </si>
  <si>
    <t>聚氯乙烯</t>
  </si>
  <si>
    <t>弹性体-G</t>
  </si>
  <si>
    <t>A-每卷米数</t>
  </si>
  <si>
    <t>弹性体-B</t>
  </si>
  <si>
    <t>B-每卷米数</t>
  </si>
  <si>
    <t>(橡套)YC</t>
  </si>
  <si>
    <t>实际价+5元</t>
  </si>
  <si>
    <t>YJV/YJLV/LHJ/铜高压/铝高压(内外护套)/BV/BLV/RVS/BVVB/BLVVB</t>
  </si>
  <si>
    <t>护套</t>
  </si>
  <si>
    <t>ZA聚氯乙烯护套（一代）</t>
  </si>
  <si>
    <t>实际价+0.2元</t>
  </si>
  <si>
    <t>ZA硅烷护套-低烟无卤</t>
  </si>
  <si>
    <t>WDZ/WDZN</t>
  </si>
  <si>
    <t>聚氯乙烯（一代）</t>
  </si>
  <si>
    <t>橡套/YC/YZ/YH</t>
  </si>
  <si>
    <t>聚氯乙烯（二代）</t>
  </si>
  <si>
    <t>低烟无卤护套料</t>
  </si>
  <si>
    <t>橡胶-B</t>
  </si>
  <si>
    <t>橡胶-A</t>
  </si>
  <si>
    <t>(铜)高压</t>
  </si>
  <si>
    <t>YJV/KVV/YJLV/LHJ/RVV/RVVP</t>
  </si>
  <si>
    <t>WDZ/ZC/ZB</t>
  </si>
  <si>
    <t>填充物</t>
  </si>
  <si>
    <t>填充绳(无阻燃)</t>
  </si>
  <si>
    <t>WDZN/NH</t>
  </si>
  <si>
    <t>填充绳(阻燃)</t>
  </si>
  <si>
    <t>(铜)BV/BVR/BVVB</t>
  </si>
  <si>
    <t>石棉绳</t>
  </si>
  <si>
    <t>纤维绳</t>
  </si>
  <si>
    <t>铜高压/铝高压</t>
  </si>
  <si>
    <t>高压填充物</t>
  </si>
  <si>
    <t>包带</t>
  </si>
  <si>
    <t>云母带</t>
  </si>
  <si>
    <t>（每卷长度）铜长</t>
  </si>
  <si>
    <t>低压钢带铠装电缆</t>
  </si>
  <si>
    <t>无纺布</t>
  </si>
  <si>
    <t>NH</t>
  </si>
  <si>
    <t>铝箔</t>
  </si>
  <si>
    <t>(铜)RVV/RVVP/</t>
  </si>
  <si>
    <t>丙带</t>
  </si>
  <si>
    <t>耐火带</t>
  </si>
  <si>
    <t>PPD绕包带</t>
  </si>
  <si>
    <t>高、低压钢带铠装电缆</t>
  </si>
  <si>
    <t>锁带</t>
  </si>
  <si>
    <t>铜高压/铝高压(高压绝缘内屏)</t>
  </si>
  <si>
    <t>钢带</t>
  </si>
  <si>
    <t>RVS软线</t>
  </si>
  <si>
    <t>KVVP/RVVP</t>
  </si>
  <si>
    <t>磁性钢带</t>
  </si>
  <si>
    <t>铜高压/铝高压(高压绝缘外屏)</t>
  </si>
  <si>
    <t>导体屏蔽</t>
  </si>
  <si>
    <t>铜高压/铝高压（铜带）</t>
  </si>
  <si>
    <t>屏蔽</t>
  </si>
  <si>
    <t>架空</t>
  </si>
  <si>
    <t>绝缘屏蔽</t>
  </si>
  <si>
    <t>金属屏蔽</t>
  </si>
  <si>
    <t>钢丝</t>
  </si>
  <si>
    <t>计算机</t>
  </si>
  <si>
    <t>芯数</t>
  </si>
  <si>
    <t>绞合后外径比</t>
  </si>
  <si>
    <t>防火</t>
  </si>
  <si>
    <t>1、柔性外护套（一代）</t>
  </si>
  <si>
    <t>1、柔性外护套（二代）</t>
  </si>
  <si>
    <t>防火泥</t>
  </si>
  <si>
    <t>硅烷聚乙烯</t>
  </si>
  <si>
    <t>分色隔离层-硅烷聚乙烯绝缘</t>
  </si>
  <si>
    <t>(铝)LA标/LG标/LB标
LHJ</t>
  </si>
  <si>
    <t>（每米长度）铝长</t>
  </si>
  <si>
    <t>5、无卤填充条</t>
  </si>
  <si>
    <t>耐火布</t>
  </si>
  <si>
    <t>高阻燃带-耐火布</t>
  </si>
  <si>
    <t>低烟无卤阻燃护套</t>
  </si>
  <si>
    <t>无机纤维填充物</t>
  </si>
  <si>
    <t>(铝)高压</t>
  </si>
  <si>
    <t>氧化镁</t>
  </si>
  <si>
    <t>(架空)JK</t>
  </si>
  <si>
    <t>（每米长度）架空线长</t>
  </si>
  <si>
    <t>防火芯数</t>
  </si>
  <si>
    <t>无卤填充条直径比（绞合后内切圆直径比</t>
  </si>
  <si>
    <t>(铝)BLV/BLVVB</t>
  </si>
  <si>
    <t>各项系数</t>
  </si>
  <si>
    <t>π</t>
  </si>
  <si>
    <t>防火电缆</t>
  </si>
  <si>
    <t>π/4</t>
  </si>
  <si>
    <t>税率-铜</t>
  </si>
  <si>
    <t>税率-铝</t>
  </si>
  <si>
    <t>根据截面倒求丝号</t>
  </si>
  <si>
    <t>TA表的丝号</t>
  </si>
  <si>
    <t>根据前列丝号得平方数</t>
  </si>
  <si>
    <t>TA绞合系数</t>
  </si>
  <si>
    <t>TA重量（99.5/米）</t>
  </si>
  <si>
    <t>换算成1米的重量</t>
  </si>
  <si>
    <t>根据重量倒求丝号</t>
  </si>
  <si>
    <t>截面差</t>
  </si>
  <si>
    <t>根据截面求丝号</t>
  </si>
  <si>
    <t>根丝丝号和丝数 计算面积</t>
  </si>
  <si>
    <t>根据面积倒求丝号</t>
  </si>
  <si>
    <t>反算面积</t>
  </si>
  <si>
    <t>计算面积</t>
  </si>
  <si>
    <t>国标文件</t>
  </si>
  <si>
    <t>原表倍数</t>
  </si>
  <si>
    <t>1+7</t>
  </si>
  <si>
    <t>1+8</t>
  </si>
  <si>
    <t>2+9</t>
  </si>
  <si>
    <t>3+9</t>
  </si>
  <si>
    <t>4+9</t>
  </si>
  <si>
    <t>1+6+9</t>
  </si>
  <si>
    <t>1+6+13</t>
  </si>
  <si>
    <t>3+9+15</t>
  </si>
  <si>
    <t>合肥销售利润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</si>
  <si>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9芯及其以下+6平方及其以下，保留位数</t>
    </r>
  </si>
  <si>
    <r>
      <rPr>
        <sz val="12"/>
        <rFont val="宋体"/>
        <family val="3"/>
        <charset val="134"/>
      </rPr>
      <t>1芯</t>
    </r>
    <r>
      <rPr>
        <sz val="12"/>
        <rFont val="宋体"/>
        <family val="3"/>
        <charset val="134"/>
      </rPr>
      <t>+95平方以下保留位数</t>
    </r>
  </si>
  <si>
    <t>BV 火段数</t>
  </si>
  <si>
    <t>运费（元/公斤）</t>
  </si>
  <si>
    <t>手填部分</t>
  </si>
  <si>
    <t>V2  芯数</t>
  </si>
  <si>
    <t>YJV</t>
  </si>
  <si>
    <t>销售部分</t>
  </si>
  <si>
    <t>有+无云母带通用数据（自动计算部分）                                        有+无云母带通用数据（自动计算部分）</t>
  </si>
  <si>
    <t>无云母带                   无云母带                  无云母带                   无云母带                  无云母带                   无云母带                  无云母带                   无云母带                  无云母带                   无云母带                  无云母带                   无云母带                  无云母带                   无云母带</t>
  </si>
  <si>
    <r>
      <rPr>
        <b/>
        <sz val="12"/>
        <color rgb="FFFF0000"/>
        <rFont val="宋体"/>
        <family val="3"/>
        <charset val="134"/>
      </rPr>
      <t xml:space="preserve"> 有云母带                   有云母带                   有云母带                   有云母带                   </t>
    </r>
    <r>
      <rPr>
        <b/>
        <sz val="12"/>
        <color indexed="10"/>
        <rFont val="宋体"/>
        <family val="3"/>
        <charset val="134"/>
      </rPr>
      <t xml:space="preserve">有云母带                   有云母带                   有云母带                   有云母带                   有云母带                   有云母带                   有云母带                   有云母带                   有云母带                   有云母带                   有云母带                   有云母带                   </t>
    </r>
  </si>
  <si>
    <t xml:space="preserve">外径                              外径                              </t>
  </si>
  <si>
    <t>WDZ-YJV-出厂加价(低烟无卤)</t>
  </si>
  <si>
    <r>
      <rPr>
        <sz val="12"/>
        <rFont val="宋体"/>
        <family val="3"/>
        <charset val="134"/>
      </rPr>
      <t>B</t>
    </r>
    <r>
      <rPr>
        <sz val="12"/>
        <rFont val="宋体"/>
        <family val="3"/>
        <charset val="134"/>
      </rPr>
      <t>T  火线截面</t>
    </r>
  </si>
  <si>
    <t>s=pi*d*d/4</t>
  </si>
  <si>
    <t>d=s/pi*4</t>
  </si>
  <si>
    <t>NH-YJV-出厂加价(耐火)</t>
  </si>
  <si>
    <t>U4 火线截面</t>
  </si>
  <si>
    <t>NHYJV</t>
  </si>
  <si>
    <t>WDZN-YJV-出厂加价(低烟无卤+耐火)</t>
  </si>
  <si>
    <t>差额</t>
  </si>
  <si>
    <t>（有 + 无） 云 母 带 通 用   数   据</t>
  </si>
  <si>
    <t>无云母带</t>
  </si>
  <si>
    <t>有云母带</t>
  </si>
  <si>
    <t>导体成本</t>
  </si>
  <si>
    <t>自动计算部分（绝缘）</t>
  </si>
  <si>
    <t>自动计算部分（麻绳）（外径不变）</t>
  </si>
  <si>
    <r>
      <rPr>
        <b/>
        <sz val="12"/>
        <rFont val="宋体"/>
        <family val="3"/>
        <charset val="134"/>
      </rPr>
      <t>共用参数--自动计算部分--各种绕包布</t>
    </r>
    <r>
      <rPr>
        <b/>
        <sz val="12"/>
        <color indexed="10"/>
        <rFont val="宋体"/>
        <family val="3"/>
        <charset val="134"/>
      </rPr>
      <t>（外径加厚度*3 ）</t>
    </r>
  </si>
  <si>
    <t>自动计算部分（钢带）（一层时外径为：加厚度*3/2，二层时外径为加厚度*6/2）</t>
  </si>
  <si>
    <t>自动计算部分（屏蔽）（一层时外径为：加厚度*3/2，二层时外径为加厚度*6/2）</t>
  </si>
  <si>
    <t>ZA-自动计算部分（护套）</t>
  </si>
  <si>
    <t>无阻燃-------自动计算部分（护套）</t>
  </si>
  <si>
    <t>成本自动计算--纤维绳/石棉绳</t>
  </si>
  <si>
    <r>
      <rPr>
        <b/>
        <sz val="12"/>
        <rFont val="宋体"/>
        <family val="3"/>
        <charset val="134"/>
      </rPr>
      <t>自动计算部分--各种绕包布</t>
    </r>
    <r>
      <rPr>
        <b/>
        <sz val="12"/>
        <color indexed="10"/>
        <rFont val="宋体"/>
        <family val="3"/>
        <charset val="134"/>
      </rPr>
      <t>（外径加厚度*3 ）</t>
    </r>
  </si>
  <si>
    <t>自动计算部分（钢带）</t>
  </si>
  <si>
    <t>自动计算部分（屏蔽）</t>
  </si>
  <si>
    <t>自动计算部分（护套）</t>
  </si>
  <si>
    <t>共用部分</t>
  </si>
  <si>
    <t>有云母带（NH）</t>
  </si>
  <si>
    <t>无云母带--总金额</t>
  </si>
  <si>
    <t>有云母带--总金额</t>
  </si>
  <si>
    <t>火丝号
(单位：毫米/100)</t>
  </si>
  <si>
    <t>火线过模</t>
  </si>
  <si>
    <t>火线压型</t>
  </si>
  <si>
    <r>
      <rPr>
        <b/>
        <sz val="18"/>
        <rFont val="宋体"/>
        <family val="3"/>
        <charset val="134"/>
      </rPr>
      <t>o</t>
    </r>
    <r>
      <rPr>
        <b/>
        <sz val="12"/>
        <color indexed="0"/>
        <rFont val="宋体"/>
        <family val="3"/>
        <charset val="134"/>
      </rPr>
      <t>丝号</t>
    </r>
  </si>
  <si>
    <r>
      <rPr>
        <b/>
        <sz val="18"/>
        <rFont val="宋体"/>
        <family val="3"/>
        <charset val="134"/>
      </rPr>
      <t>o</t>
    </r>
    <r>
      <rPr>
        <b/>
        <sz val="12"/>
        <color indexed="0"/>
        <rFont val="宋体"/>
        <family val="3"/>
        <charset val="134"/>
      </rPr>
      <t>线过模</t>
    </r>
  </si>
  <si>
    <r>
      <rPr>
        <b/>
        <sz val="20"/>
        <rFont val="宋体"/>
        <family val="3"/>
        <charset val="134"/>
      </rPr>
      <t>o</t>
    </r>
    <r>
      <rPr>
        <b/>
        <sz val="12"/>
        <color indexed="0"/>
        <rFont val="宋体"/>
        <family val="3"/>
        <charset val="134"/>
      </rPr>
      <t>线压型</t>
    </r>
  </si>
  <si>
    <t>火线</t>
  </si>
  <si>
    <t>零线</t>
  </si>
  <si>
    <t>绕包带</t>
  </si>
  <si>
    <t>屏蔽(KVVP)</t>
  </si>
  <si>
    <t>护套厚度</t>
  </si>
  <si>
    <t>云母带厚度</t>
  </si>
  <si>
    <t>O线</t>
  </si>
  <si>
    <t>验证</t>
  </si>
  <si>
    <t>销售-聚氯乙烯(A-YJV)</t>
  </si>
  <si>
    <t>销售-（低烟无卤）(A-WDZ-YJY)</t>
  </si>
  <si>
    <t>销售-聚氯乙烯(A-NH-YJV)</t>
  </si>
  <si>
    <t>销售-（低烟无卤+耐火）(A-WDZN-YJY)</t>
  </si>
  <si>
    <t>火丝结构</t>
  </si>
  <si>
    <t>o丝结构</t>
  </si>
  <si>
    <t>火+0</t>
  </si>
  <si>
    <t>绝缘材质见K列</t>
  </si>
  <si>
    <t>绝缘使用重量</t>
  </si>
  <si>
    <t>绝缘金额</t>
  </si>
  <si>
    <t>（外径加厚度*3）</t>
  </si>
  <si>
    <t>包带使用重量</t>
  </si>
  <si>
    <t>包带金额</t>
  </si>
  <si>
    <t>无屏蔽</t>
  </si>
  <si>
    <t>有屏蔽</t>
  </si>
  <si>
    <r>
      <rPr>
        <b/>
        <sz val="12"/>
        <rFont val="宋体"/>
        <family val="3"/>
        <charset val="134"/>
      </rPr>
      <t xml:space="preserve">聚氯乙烯 </t>
    </r>
    <r>
      <rPr>
        <b/>
        <sz val="12"/>
        <color rgb="FFFF0000"/>
        <rFont val="宋体"/>
        <family val="3"/>
        <charset val="134"/>
      </rPr>
      <t>材质见AH列</t>
    </r>
  </si>
  <si>
    <r>
      <rPr>
        <b/>
        <sz val="12"/>
        <rFont val="宋体"/>
        <family val="3"/>
        <charset val="134"/>
      </rPr>
      <t>聚氯乙烯(带屏蔽)</t>
    </r>
    <r>
      <rPr>
        <b/>
        <sz val="12"/>
        <color rgb="FFFF0000"/>
        <rFont val="宋体"/>
        <family val="3"/>
        <charset val="134"/>
      </rPr>
      <t>材质见AH列</t>
    </r>
  </si>
  <si>
    <t>（直径*3）</t>
  </si>
  <si>
    <r>
      <rPr>
        <b/>
        <sz val="12"/>
        <color rgb="FFFF0000"/>
        <rFont val="宋体"/>
        <family val="3"/>
        <charset val="134"/>
      </rPr>
      <t>实际</t>
    </r>
    <r>
      <rPr>
        <b/>
        <sz val="12"/>
        <color indexed="0"/>
        <rFont val="宋体"/>
        <family val="3"/>
        <charset val="134"/>
      </rPr>
      <t>填充面积cm2</t>
    </r>
  </si>
  <si>
    <t>绳使用重量</t>
  </si>
  <si>
    <t>绳金额</t>
  </si>
  <si>
    <t>（一层时外径为：加厚度*1.5/2，二层时外径为加厚度*3/2）</t>
  </si>
  <si>
    <t>（一层时外径为：加厚度*3/2，二层时外径为加厚度*6/2）</t>
  </si>
  <si>
    <r>
      <rPr>
        <b/>
        <sz val="12"/>
        <rFont val="宋体"/>
        <family val="3"/>
        <charset val="134"/>
      </rPr>
      <t>聚氯乙烯-</t>
    </r>
    <r>
      <rPr>
        <b/>
        <sz val="12"/>
        <color rgb="FFFF0000"/>
        <rFont val="宋体"/>
        <family val="3"/>
        <charset val="134"/>
      </rPr>
      <t>材质见AH列</t>
    </r>
  </si>
  <si>
    <t>0线</t>
  </si>
  <si>
    <t>火过模后单根导体外径(绞丝后)（mm)</t>
  </si>
  <si>
    <r>
      <rPr>
        <b/>
        <sz val="11"/>
        <rFont val="宋体"/>
        <family val="3"/>
        <charset val="134"/>
      </rPr>
      <t>火</t>
    </r>
    <r>
      <rPr>
        <b/>
        <sz val="11"/>
        <color rgb="FFFF0000"/>
        <rFont val="宋体"/>
        <family val="3"/>
        <charset val="134"/>
      </rPr>
      <t>压型</t>
    </r>
    <r>
      <rPr>
        <b/>
        <sz val="11"/>
        <rFont val="宋体"/>
        <family val="3"/>
        <charset val="134"/>
      </rPr>
      <t>后单根导体外径(绞丝后)（mm)</t>
    </r>
  </si>
  <si>
    <t>0过模后单根导体外径(mm)</t>
  </si>
  <si>
    <t>0压型后单根导体外径(mm)</t>
  </si>
  <si>
    <t>火单根绝缘外径（mm）</t>
  </si>
  <si>
    <r>
      <rPr>
        <b/>
        <sz val="12"/>
        <color rgb="FFFF0000"/>
        <rFont val="宋体"/>
        <family val="3"/>
        <charset val="134"/>
      </rPr>
      <t>零</t>
    </r>
    <r>
      <rPr>
        <b/>
        <sz val="12"/>
        <rFont val="宋体"/>
        <family val="3"/>
        <charset val="134"/>
      </rPr>
      <t>单根绝缘外径（mm）</t>
    </r>
  </si>
  <si>
    <r>
      <rPr>
        <b/>
        <sz val="12"/>
        <rFont val="宋体"/>
        <family val="3"/>
        <charset val="134"/>
      </rPr>
      <t>火+0（</t>
    </r>
    <r>
      <rPr>
        <b/>
        <sz val="11"/>
        <color indexed="10"/>
        <rFont val="宋体"/>
        <family val="3"/>
        <charset val="134"/>
      </rPr>
      <t>绝缘）</t>
    </r>
    <r>
      <rPr>
        <b/>
        <sz val="11"/>
        <rFont val="宋体"/>
        <family val="3"/>
        <charset val="134"/>
      </rPr>
      <t>绞合后的外径（0也按火算）</t>
    </r>
  </si>
  <si>
    <t>填充绳后的外径-理论（mm）</t>
  </si>
  <si>
    <t>按照实际填充率的外径（mm）</t>
  </si>
  <si>
    <t>包带后的外径（mm）</t>
  </si>
  <si>
    <t>屏蔽后的外径</t>
  </si>
  <si>
    <t>钢带后的外径（mm）</t>
  </si>
  <si>
    <t>护套后的外径（mm）</t>
  </si>
  <si>
    <t>（带屏蔽）护套后的外径（mm</t>
  </si>
  <si>
    <r>
      <rPr>
        <b/>
        <sz val="12"/>
        <color rgb="FFFF0000"/>
        <rFont val="宋体"/>
        <family val="3"/>
        <charset val="134"/>
      </rPr>
      <t>火+</t>
    </r>
    <r>
      <rPr>
        <b/>
        <sz val="12"/>
        <rFont val="宋体"/>
        <family val="3"/>
        <charset val="134"/>
      </rPr>
      <t>云母带后外径</t>
    </r>
  </si>
  <si>
    <r>
      <rPr>
        <b/>
        <sz val="12"/>
        <color rgb="FFFF0000"/>
        <rFont val="宋体"/>
        <family val="3"/>
        <charset val="134"/>
      </rPr>
      <t>零+</t>
    </r>
    <r>
      <rPr>
        <b/>
        <sz val="12"/>
        <rFont val="宋体"/>
        <family val="3"/>
        <charset val="134"/>
      </rPr>
      <t>云母带后外径</t>
    </r>
  </si>
  <si>
    <r>
      <rPr>
        <b/>
        <sz val="12"/>
        <color rgb="FFFF0000"/>
        <rFont val="宋体"/>
        <family val="3"/>
        <charset val="134"/>
      </rPr>
      <t>火</t>
    </r>
    <r>
      <rPr>
        <b/>
        <sz val="12"/>
        <rFont val="宋体"/>
        <family val="3"/>
        <charset val="134"/>
      </rPr>
      <t>单根绝缘外径（mm）</t>
    </r>
  </si>
  <si>
    <r>
      <rPr>
        <b/>
        <sz val="12"/>
        <rFont val="宋体"/>
        <family val="3"/>
        <charset val="134"/>
      </rPr>
      <t>火+0</t>
    </r>
    <r>
      <rPr>
        <b/>
        <sz val="11"/>
        <color indexed="10"/>
        <rFont val="宋体"/>
        <family val="3"/>
        <charset val="134"/>
      </rPr>
      <t>绝缘</t>
    </r>
    <r>
      <rPr>
        <b/>
        <sz val="11"/>
        <rFont val="宋体"/>
        <family val="3"/>
        <charset val="134"/>
      </rPr>
      <t>绞合后的外径（0也按火算）</t>
    </r>
  </si>
  <si>
    <r>
      <rPr>
        <b/>
        <sz val="12"/>
        <rFont val="宋体"/>
        <family val="3"/>
        <charset val="134"/>
      </rPr>
      <t>填充绳后的外径-</t>
    </r>
    <r>
      <rPr>
        <b/>
        <sz val="12"/>
        <color rgb="FFFF0000"/>
        <rFont val="宋体"/>
        <family val="3"/>
        <charset val="134"/>
      </rPr>
      <t>理论</t>
    </r>
    <r>
      <rPr>
        <b/>
        <sz val="12"/>
        <rFont val="宋体"/>
        <family val="3"/>
        <charset val="134"/>
      </rPr>
      <t>（mm）</t>
    </r>
  </si>
  <si>
    <t>聚氯乙烯-</t>
  </si>
  <si>
    <t>低烟无卤</t>
  </si>
  <si>
    <t xml:space="preserve">低烟无卤
</t>
  </si>
  <si>
    <t>平方数</t>
  </si>
  <si>
    <t>加点</t>
  </si>
  <si>
    <t>绝缘厚度</t>
  </si>
  <si>
    <t>最大外径</t>
  </si>
  <si>
    <t>材质</t>
  </si>
  <si>
    <t>厚度</t>
  </si>
  <si>
    <t>重叠率</t>
  </si>
  <si>
    <t>网密度</t>
  </si>
  <si>
    <t>钢带种类</t>
  </si>
  <si>
    <t>层数</t>
  </si>
  <si>
    <t>火线绞合系数</t>
  </si>
  <si>
    <t>本表重量-单根火线</t>
  </si>
  <si>
    <t>本表丝号</t>
  </si>
  <si>
    <t>倒求截面</t>
  </si>
  <si>
    <t>倒求丝号+绞合</t>
  </si>
  <si>
    <t>O线绞合系数</t>
  </si>
  <si>
    <t>本表重量-单根零线</t>
  </si>
  <si>
    <t>导体重量</t>
  </si>
  <si>
    <t>金额</t>
  </si>
  <si>
    <t>火线截面提取</t>
  </si>
  <si>
    <t>护套材质（空白=聚氯乙烯（一代））</t>
  </si>
  <si>
    <t>售价-HY</t>
  </si>
  <si>
    <t>售价-BH</t>
  </si>
  <si>
    <t>出厂价-HY</t>
  </si>
  <si>
    <t>出厂价-BH</t>
  </si>
  <si>
    <t>成本</t>
  </si>
  <si>
    <t>带屏蔽售价-HY</t>
  </si>
  <si>
    <t>带屏蔽售价-BH</t>
  </si>
  <si>
    <t>带屏蔽出厂价HY</t>
  </si>
  <si>
    <t>带屏蔽出厂价BH</t>
  </si>
  <si>
    <t>带屏蔽的成本</t>
  </si>
  <si>
    <t>售价加价</t>
  </si>
  <si>
    <t>出厂价加价</t>
  </si>
  <si>
    <r>
      <rPr>
        <b/>
        <sz val="12"/>
        <color indexed="0"/>
        <rFont val="宋体"/>
        <family val="3"/>
        <charset val="134"/>
      </rPr>
      <t>带屏蔽出厂价B</t>
    </r>
    <r>
      <rPr>
        <b/>
        <sz val="12"/>
        <color indexed="0"/>
        <rFont val="宋体"/>
        <family val="3"/>
        <charset val="134"/>
      </rPr>
      <t>H</t>
    </r>
  </si>
  <si>
    <t>护套材质（空白=一代）</t>
  </si>
  <si>
    <t>填充绳</t>
  </si>
  <si>
    <t>总线型</t>
  </si>
  <si>
    <t>火线型</t>
  </si>
  <si>
    <t>火丝排列</t>
  </si>
  <si>
    <t>火段数</t>
  </si>
  <si>
    <t>火丝数</t>
  </si>
  <si>
    <t>火单根导体外径为丝外径的倍数</t>
  </si>
  <si>
    <t>过模后平均丝直径</t>
  </si>
  <si>
    <t>0线型</t>
  </si>
  <si>
    <t>0数字提取</t>
  </si>
  <si>
    <t>0丝排列</t>
  </si>
  <si>
    <t>0段数</t>
  </si>
  <si>
    <r>
      <rPr>
        <b/>
        <sz val="12"/>
        <rFont val="宋体"/>
        <family val="3"/>
        <charset val="134"/>
      </rPr>
      <t>o</t>
    </r>
    <r>
      <rPr>
        <b/>
        <sz val="12"/>
        <color indexed="0"/>
        <rFont val="宋体"/>
        <family val="3"/>
        <charset val="134"/>
      </rPr>
      <t>丝数</t>
    </r>
  </si>
  <si>
    <t>0单根导体外径为丝外径的倍数</t>
  </si>
  <si>
    <r>
      <rPr>
        <b/>
        <sz val="12"/>
        <color indexed="0"/>
        <rFont val="宋体"/>
        <family val="3"/>
        <charset val="134"/>
      </rPr>
      <t>过模后平均</t>
    </r>
    <r>
      <rPr>
        <b/>
        <sz val="16"/>
        <rFont val="宋体"/>
        <family val="3"/>
        <charset val="134"/>
      </rPr>
      <t>0</t>
    </r>
    <r>
      <rPr>
        <b/>
        <sz val="12"/>
        <color indexed="0"/>
        <rFont val="宋体"/>
        <family val="3"/>
        <charset val="134"/>
      </rPr>
      <t>丝直径</t>
    </r>
  </si>
  <si>
    <t>火+0段数</t>
  </si>
  <si>
    <t>火+0绞合后外径为火倍数</t>
  </si>
  <si>
    <t>铜重（kg/m）</t>
  </si>
  <si>
    <t>修正系数</t>
  </si>
  <si>
    <r>
      <rPr>
        <b/>
        <sz val="12"/>
        <color indexed="10"/>
        <rFont val="宋体"/>
        <family val="3"/>
        <charset val="134"/>
      </rPr>
      <t>导体使用</t>
    </r>
    <r>
      <rPr>
        <b/>
        <sz val="12"/>
        <color indexed="0"/>
        <rFont val="宋体"/>
        <family val="3"/>
        <charset val="134"/>
      </rPr>
      <t>重量（kg/m）</t>
    </r>
  </si>
  <si>
    <t>导体金额</t>
  </si>
  <si>
    <t>火线绝缘重量</t>
  </si>
  <si>
    <t>火线绝缘金额</t>
  </si>
  <si>
    <t>零线绝缘重量</t>
  </si>
  <si>
    <t>零线绝缘金额</t>
  </si>
  <si>
    <t>重量</t>
  </si>
  <si>
    <t>纯硅烷使用重量</t>
  </si>
  <si>
    <t>纯硅烷金额</t>
  </si>
  <si>
    <t>理论填充面积cm2</t>
  </si>
  <si>
    <t>实际填充率</t>
  </si>
  <si>
    <t>实际填充面积cm2</t>
  </si>
  <si>
    <t>重量(kg)</t>
  </si>
  <si>
    <t>填充绳(无阻燃)使用重量(kg)</t>
  </si>
  <si>
    <t>填充绳(无阻燃)使用金额</t>
  </si>
  <si>
    <t>无纺布使用重量</t>
  </si>
  <si>
    <t>无纺布金额</t>
  </si>
  <si>
    <t>重量（kg)</t>
  </si>
  <si>
    <r>
      <rPr>
        <b/>
        <sz val="12"/>
        <color indexed="0"/>
        <rFont val="宋体"/>
        <family val="3"/>
        <charset val="134"/>
      </rPr>
      <t>P</t>
    </r>
    <r>
      <rPr>
        <b/>
        <sz val="12"/>
        <color indexed="0"/>
        <rFont val="宋体"/>
        <family val="3"/>
        <charset val="134"/>
      </rPr>
      <t>P带</t>
    </r>
    <r>
      <rPr>
        <b/>
        <sz val="12"/>
        <color indexed="0"/>
        <rFont val="宋体"/>
        <family val="3"/>
        <charset val="134"/>
      </rPr>
      <t>使用重量</t>
    </r>
  </si>
  <si>
    <t>PP带金额</t>
  </si>
  <si>
    <t>丙带使用重量</t>
  </si>
  <si>
    <t>丙带金额</t>
  </si>
  <si>
    <t>锁带使用重量</t>
  </si>
  <si>
    <t>锁带金额</t>
  </si>
  <si>
    <t>钢带使用重量</t>
  </si>
  <si>
    <t>钢带保留小数</t>
  </si>
  <si>
    <t>钢带金额</t>
  </si>
  <si>
    <t>屏蔽使用重量</t>
  </si>
  <si>
    <t>屏蔽金额</t>
  </si>
  <si>
    <t>重量-无屏蔽（kg)</t>
  </si>
  <si>
    <t>护套使用重量</t>
  </si>
  <si>
    <t>护套金额</t>
  </si>
  <si>
    <t>重量-带屏蔽（kg)</t>
  </si>
  <si>
    <t>云母带使用重量</t>
  </si>
  <si>
    <t>云母带金额</t>
  </si>
  <si>
    <t>粗芯云母带重量</t>
  </si>
  <si>
    <t>粗芯云母带金额</t>
  </si>
  <si>
    <t>细芯云母带重量</t>
  </si>
  <si>
    <t>细芯云母带金额</t>
  </si>
  <si>
    <r>
      <rPr>
        <b/>
        <sz val="12"/>
        <color rgb="FFFF0000"/>
        <rFont val="宋体"/>
        <family val="3"/>
        <charset val="134"/>
      </rPr>
      <t>理论</t>
    </r>
    <r>
      <rPr>
        <b/>
        <sz val="12"/>
        <color indexed="0"/>
        <rFont val="宋体"/>
        <family val="3"/>
        <charset val="134"/>
      </rPr>
      <t>填充面积</t>
    </r>
    <r>
      <rPr>
        <b/>
        <sz val="12"/>
        <rFont val="宋体"/>
        <family val="3"/>
        <charset val="134"/>
      </rPr>
      <t>cm2</t>
    </r>
  </si>
  <si>
    <t>石棉绳使用重量(kg)</t>
  </si>
  <si>
    <t>石棉绳金额</t>
  </si>
  <si>
    <t>纤维绳使用重量(kg)</t>
  </si>
  <si>
    <t>纤维绳金额</t>
  </si>
  <si>
    <t>耐火带使用重量</t>
  </si>
  <si>
    <t>耐火带金额</t>
  </si>
  <si>
    <t>（无屏蔽）重量（kg)</t>
  </si>
  <si>
    <r>
      <rPr>
        <b/>
        <sz val="12"/>
        <rFont val="宋体"/>
        <family val="3"/>
        <charset val="134"/>
      </rPr>
      <t>不带屏蔽</t>
    </r>
    <r>
      <rPr>
        <sz val="12"/>
        <color indexed="0"/>
        <rFont val="宋体"/>
        <family val="3"/>
        <charset val="134"/>
      </rPr>
      <t>重量（kg)</t>
    </r>
  </si>
  <si>
    <t>带屏蔽-重量（kg)</t>
  </si>
  <si>
    <t>非紧压粗芯面积-含铜丝空隙(单根面积*根数)</t>
  </si>
  <si>
    <t>紧压粗芯面积-0空隙(单根面积*根数)</t>
  </si>
  <si>
    <t>紧压粗芯直径-0空隙(单根面积*根数)</t>
  </si>
  <si>
    <t>非紧压-0空隙的截面差（丝间总空隙）</t>
  </si>
  <si>
    <t>丝空率-实际核算时-丝间空隙率取值</t>
  </si>
  <si>
    <t>按照实际丝空率-计算导体面积</t>
  </si>
  <si>
    <t>按照实际丝空率的计算导体外径</t>
  </si>
  <si>
    <t>非紧压细芯面积</t>
  </si>
  <si>
    <t>紧压细芯面积-0空隙</t>
  </si>
  <si>
    <t>紧压细芯直径-0空隙</t>
  </si>
  <si>
    <t>非紧压-0空隙的截面差</t>
  </si>
  <si>
    <t>重量-无钢带</t>
  </si>
  <si>
    <t>金额-无钢带</t>
  </si>
  <si>
    <t>YJV22重量</t>
  </si>
  <si>
    <t>运费：元/米</t>
  </si>
  <si>
    <t>保留位数</t>
  </si>
  <si>
    <t>截面</t>
  </si>
  <si>
    <t>下丝丝号</t>
  </si>
  <si>
    <t>实际重量倒求丝号</t>
  </si>
  <si>
    <t>下丝计算面积</t>
  </si>
  <si>
    <t>实际重量倒求面积</t>
  </si>
  <si>
    <t>小河庄质诚线材</t>
  </si>
  <si>
    <t>平方差</t>
  </si>
  <si>
    <t>HY-A-YJV</t>
  </si>
  <si>
    <t>BH-A-YJV</t>
  </si>
  <si>
    <t>HY-AC-YJV</t>
  </si>
  <si>
    <t>BH-AC-YJV</t>
  </si>
  <si>
    <t>BH-AB-YJV</t>
  </si>
  <si>
    <t>HY-A-ZA-YJV</t>
  </si>
  <si>
    <t>BH-A-ZA-YJV</t>
  </si>
  <si>
    <t>HY-AC-ZA-YJV</t>
  </si>
  <si>
    <t>BH-AC-ZA-YJV</t>
  </si>
  <si>
    <t>BH-AB-ZA-YJV</t>
  </si>
  <si>
    <t>HY-A-KVVP</t>
  </si>
  <si>
    <t>BH-A-KVVP</t>
  </si>
  <si>
    <t>HY-AC-KVVP</t>
  </si>
  <si>
    <t>BH-AC-KVVP</t>
  </si>
  <si>
    <t>BH-AB-KVVP</t>
  </si>
  <si>
    <t>HY-A-ZA-KVVP</t>
  </si>
  <si>
    <t>BH-A-ZA-KVVP</t>
  </si>
  <si>
    <t>HY-AC-ZA-KVVP</t>
  </si>
  <si>
    <t>BH-AC-ZA-KVVP</t>
  </si>
  <si>
    <t>BH-AC-ZB-KVVP</t>
  </si>
  <si>
    <t>HY-A-WDZ-YJY</t>
  </si>
  <si>
    <r>
      <rPr>
        <b/>
        <sz val="9"/>
        <color rgb="FFFF0000"/>
        <rFont val="宋体"/>
        <family val="3"/>
        <charset val="134"/>
      </rPr>
      <t>BH</t>
    </r>
    <r>
      <rPr>
        <b/>
        <sz val="9"/>
        <color rgb="FF000000"/>
        <rFont val="宋体"/>
        <family val="3"/>
        <charset val="134"/>
      </rPr>
      <t>-A-WDZ-YJY</t>
    </r>
  </si>
  <si>
    <t>HY-AC-WDZ-YJY</t>
  </si>
  <si>
    <r>
      <rPr>
        <b/>
        <sz val="9"/>
        <color rgb="FFFF0000"/>
        <rFont val="宋体"/>
        <family val="3"/>
        <charset val="134"/>
      </rPr>
      <t>BH</t>
    </r>
    <r>
      <rPr>
        <b/>
        <sz val="9"/>
        <color rgb="FF000000"/>
        <rFont val="宋体"/>
        <family val="3"/>
        <charset val="134"/>
      </rPr>
      <t>-AC-WDZ-YJY</t>
    </r>
  </si>
  <si>
    <r>
      <rPr>
        <b/>
        <sz val="9"/>
        <color rgb="FFFF0000"/>
        <rFont val="宋体"/>
        <family val="3"/>
        <charset val="134"/>
      </rPr>
      <t>BH</t>
    </r>
    <r>
      <rPr>
        <b/>
        <sz val="9"/>
        <color rgb="FF000000"/>
        <rFont val="宋体"/>
        <family val="3"/>
        <charset val="134"/>
      </rPr>
      <t>-AB-WDZ-YJY</t>
    </r>
  </si>
  <si>
    <t>HY-A-WDZA-YJY</t>
  </si>
  <si>
    <r>
      <rPr>
        <b/>
        <sz val="10"/>
        <color rgb="FFFF0000"/>
        <rFont val="宋体"/>
        <family val="3"/>
        <charset val="134"/>
      </rPr>
      <t>BH</t>
    </r>
    <r>
      <rPr>
        <b/>
        <sz val="9"/>
        <color rgb="FF000000"/>
        <rFont val="宋体"/>
        <family val="3"/>
        <charset val="134"/>
      </rPr>
      <t>-A-WDZA-YJY</t>
    </r>
  </si>
  <si>
    <t>HY-AC-WDZA-YJY</t>
  </si>
  <si>
    <r>
      <rPr>
        <b/>
        <sz val="10"/>
        <color rgb="FFFF0000"/>
        <rFont val="宋体"/>
        <family val="3"/>
        <charset val="134"/>
      </rPr>
      <t>BH</t>
    </r>
    <r>
      <rPr>
        <b/>
        <sz val="9"/>
        <color rgb="FF000000"/>
        <rFont val="宋体"/>
        <family val="3"/>
        <charset val="134"/>
      </rPr>
      <t>-AC-WDZA-YJY</t>
    </r>
  </si>
  <si>
    <r>
      <rPr>
        <b/>
        <sz val="10"/>
        <color rgb="FFFF0000"/>
        <rFont val="宋体"/>
        <family val="3"/>
        <charset val="134"/>
      </rPr>
      <t>BH</t>
    </r>
    <r>
      <rPr>
        <b/>
        <sz val="9"/>
        <color rgb="FF000000"/>
        <rFont val="宋体"/>
        <family val="3"/>
        <charset val="134"/>
      </rPr>
      <t>-AB-WDZA-YJY</t>
    </r>
  </si>
  <si>
    <t>HY-A-WDZ-KVVP</t>
  </si>
  <si>
    <t>BH-A-WDZ-KVVP</t>
  </si>
  <si>
    <t>HY-AC-WDZ-KVVP</t>
  </si>
  <si>
    <t>BH-AC-WDZ-KVVP</t>
  </si>
  <si>
    <t>BH-AB-WDZ-KVVP</t>
  </si>
  <si>
    <t>HY-A-WDZA-KVVP</t>
  </si>
  <si>
    <t>BH-A-WDZA-KVVP</t>
  </si>
  <si>
    <t>HY-AC-WDZA-KVVP</t>
  </si>
  <si>
    <t>BH-AC-WDZA-KVVP</t>
  </si>
  <si>
    <t>BH-AB-WDZA-KVVP</t>
  </si>
  <si>
    <t>HY-A-NH-YJV</t>
  </si>
  <si>
    <t>BH-A-NH-YJV</t>
  </si>
  <si>
    <t>HY-AC-NH-YJV</t>
  </si>
  <si>
    <t>BH-AC-NH-YJV</t>
  </si>
  <si>
    <t>BH-AB-NH-YJV</t>
  </si>
  <si>
    <t>HY-A-ZA-NH-YJV</t>
  </si>
  <si>
    <t>BH-A-ZA-NH-YJV</t>
  </si>
  <si>
    <t>HY-AC-ZA-NH-YJV</t>
  </si>
  <si>
    <t>BH-AC-ZA-NH-YJV</t>
  </si>
  <si>
    <t>BH-AB-ZA-NH-YJV</t>
  </si>
  <si>
    <t>HY-A-NH-KVVP</t>
  </si>
  <si>
    <t>BH-A-NH-KVVP</t>
  </si>
  <si>
    <t>HY-AC-NH-KVVP</t>
  </si>
  <si>
    <t>BH-AC-NH-KVVP</t>
  </si>
  <si>
    <t>BH-AB-NH-KVVP</t>
  </si>
  <si>
    <t>HY-A-ZA-NH-KVVP</t>
  </si>
  <si>
    <t>BH-A-ZA-NH-KVVP</t>
  </si>
  <si>
    <t>HY-AC-ZA-NH-KVVP</t>
  </si>
  <si>
    <t>BH-AC-ZA-NH-KVVP</t>
  </si>
  <si>
    <t>BH-AB-ZA-NH-KVVP</t>
  </si>
  <si>
    <t>HY-A-WDZN-YJY</t>
  </si>
  <si>
    <t>BH-A-WDZN-YJY</t>
  </si>
  <si>
    <t>HY-AC-WDZN-YJY</t>
  </si>
  <si>
    <t>BH-AC-WDZN-YJY</t>
  </si>
  <si>
    <t>BH-AB-WDZN-YJY</t>
  </si>
  <si>
    <t>HY-A-WDZAN-YJY</t>
  </si>
  <si>
    <t>BH-A-WDZAN-YJY</t>
  </si>
  <si>
    <t>HY-AC-WDZAN-YJY</t>
  </si>
  <si>
    <t>BH-AC-WDZAN-YJY</t>
  </si>
  <si>
    <t>BH-AB-WDZAN-YJY</t>
  </si>
  <si>
    <t>HY-A-WDZN-KVVP</t>
  </si>
  <si>
    <t>BH-A-WDZN-KVVP</t>
  </si>
  <si>
    <t>HY-AC-WDZN-KVVP</t>
  </si>
  <si>
    <t>BH-AC-WDZN-KVVP</t>
  </si>
  <si>
    <t>BH-AB-WDZN-KVVP</t>
  </si>
  <si>
    <t>HY-A-WDZAN-KVVP</t>
  </si>
  <si>
    <t>BH-A-WDZAN-KVVP</t>
  </si>
  <si>
    <t>HY-AC-WDZAN-KVVP</t>
  </si>
  <si>
    <t>BH-AC-WDZAN-KVVP</t>
  </si>
  <si>
    <t>BH-AB-WDZAN-KVVP</t>
  </si>
  <si>
    <t>火线重量</t>
  </si>
  <si>
    <t>火线金额</t>
  </si>
  <si>
    <t>零线重量</t>
  </si>
  <si>
    <t>零线金额</t>
  </si>
  <si>
    <t>A-铜钢带重量</t>
  </si>
  <si>
    <t>A-铜钢带</t>
  </si>
  <si>
    <t>A-NH-铜钢带</t>
  </si>
  <si>
    <t>A-YJV导体外径</t>
  </si>
  <si>
    <t>A-YJV导体+绝缘外径</t>
  </si>
  <si>
    <t>A-YJV总外径</t>
  </si>
  <si>
    <t>A-YJV重量</t>
  </si>
  <si>
    <t>A-WDZ-YJY重量</t>
  </si>
  <si>
    <t>A-NH-YJV重量</t>
  </si>
  <si>
    <t>A-WDZN-YJY重量</t>
  </si>
  <si>
    <t>A-KVVP重量</t>
  </si>
  <si>
    <t>A-WDZ-KVVP重量</t>
  </si>
  <si>
    <t>A-NH-KVVP重量</t>
  </si>
  <si>
    <t>A-WDZN-KVVP重量</t>
  </si>
  <si>
    <t>SQRT根号倒求丝号</t>
  </si>
  <si>
    <t>1*0.3</t>
  </si>
  <si>
    <t>1*0.5</t>
  </si>
  <si>
    <t>线型(芯数)</t>
  </si>
  <si>
    <t>填充绳实际填充率</t>
  </si>
  <si>
    <t>3+1</t>
  </si>
  <si>
    <t>3+2</t>
  </si>
  <si>
    <t>4+1</t>
  </si>
  <si>
    <t>2*500</t>
  </si>
  <si>
    <t>2*630</t>
  </si>
  <si>
    <t>2*800</t>
  </si>
  <si>
    <t>3*800</t>
  </si>
  <si>
    <t>4*500</t>
  </si>
  <si>
    <t>4*630</t>
  </si>
  <si>
    <t>4*800</t>
  </si>
  <si>
    <t>5*185</t>
  </si>
  <si>
    <t>5*240</t>
  </si>
  <si>
    <t>5*300</t>
  </si>
  <si>
    <t>5*400</t>
  </si>
  <si>
    <t>5*500</t>
  </si>
  <si>
    <t>5*630</t>
  </si>
  <si>
    <t>5*800</t>
  </si>
  <si>
    <r>
      <rPr>
        <sz val="12"/>
        <rFont val="宋体"/>
        <family val="3"/>
        <charset val="134"/>
      </rPr>
      <t>3*</t>
    </r>
    <r>
      <rPr>
        <sz val="12"/>
        <rFont val="宋体"/>
        <family val="3"/>
        <charset val="134"/>
      </rPr>
      <t>5</t>
    </r>
    <r>
      <rPr>
        <sz val="12"/>
        <rFont val="宋体"/>
        <family val="3"/>
        <charset val="134"/>
      </rPr>
      <t>00+1*</t>
    </r>
    <r>
      <rPr>
        <sz val="12"/>
        <rFont val="宋体"/>
        <family val="3"/>
        <charset val="134"/>
      </rPr>
      <t>240</t>
    </r>
  </si>
  <si>
    <t>3*630+1*300</t>
  </si>
  <si>
    <t>3*800+1*400</t>
  </si>
  <si>
    <r>
      <rPr>
        <sz val="12"/>
        <rFont val="宋体"/>
        <family val="3"/>
        <charset val="134"/>
      </rPr>
      <t>3*5</t>
    </r>
    <r>
      <rPr>
        <sz val="12"/>
        <rFont val="宋体"/>
        <family val="3"/>
        <charset val="134"/>
      </rPr>
      <t>00+</t>
    </r>
    <r>
      <rPr>
        <sz val="12"/>
        <rFont val="宋体"/>
        <family val="3"/>
        <charset val="134"/>
      </rPr>
      <t>2</t>
    </r>
    <r>
      <rPr>
        <sz val="12"/>
        <rFont val="宋体"/>
        <family val="3"/>
        <charset val="134"/>
      </rPr>
      <t>*</t>
    </r>
    <r>
      <rPr>
        <sz val="12"/>
        <rFont val="宋体"/>
        <family val="3"/>
        <charset val="134"/>
      </rPr>
      <t>240</t>
    </r>
  </si>
  <si>
    <t>3*630+2*300</t>
  </si>
  <si>
    <t>3*800+2*400</t>
  </si>
  <si>
    <r>
      <rPr>
        <sz val="12"/>
        <rFont val="宋体"/>
        <family val="3"/>
        <charset val="134"/>
      </rPr>
      <t>4*5</t>
    </r>
    <r>
      <rPr>
        <sz val="12"/>
        <rFont val="宋体"/>
        <family val="3"/>
        <charset val="134"/>
      </rPr>
      <t>00+</t>
    </r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*</t>
    </r>
    <r>
      <rPr>
        <sz val="12"/>
        <rFont val="宋体"/>
        <family val="3"/>
        <charset val="134"/>
      </rPr>
      <t>240</t>
    </r>
  </si>
  <si>
    <t>4*630+1*300</t>
  </si>
  <si>
    <t>4*800+1*400</t>
  </si>
  <si>
    <t>27*1</t>
  </si>
  <si>
    <t>27*1.5</t>
  </si>
  <si>
    <t>27*2.5</t>
  </si>
  <si>
    <t>型号</t>
  </si>
  <si>
    <t>粗芯</t>
  </si>
  <si>
    <t>细芯</t>
  </si>
  <si>
    <t>粗+细</t>
  </si>
  <si>
    <t>丝空率</t>
  </si>
  <si>
    <t>导体合计重量</t>
  </si>
  <si>
    <t>导体合计金额</t>
  </si>
  <si>
    <t>3*50+1*25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</si>
</sst>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1" formatCode="_ * #,##0_ ;_ * \-#,##0_ ;_ * &quot;-&quot;_ ;_ @_ "/>
    <numFmt numFmtId="43" formatCode="_ * #,##0.00_ ;_ * \-#,##0.00_ ;_ * &quot;-&quot;??_ ;_ @_ "/>
    <numFmt numFmtId="178" formatCode="0.0_ "/>
    <numFmt numFmtId="179" formatCode="0.00000_ "/>
    <numFmt numFmtId="180" formatCode="_(&quot;$&quot;* #,##0_);_(&quot;$&quot;* \(#,##0\);_(&quot;$&quot;* &quot;-&quot;??_);_(@_)"/>
    <numFmt numFmtId="181" formatCode="_([$€-2]* #,##0.00_);_([$€-2]* \(#,##0.00\);_([$€-2]* &quot;-&quot;??_)"/>
    <numFmt numFmtId="182" formatCode="mmm\ dd\,\ yy"/>
    <numFmt numFmtId="183" formatCode="_(&quot;$&quot;* #,##0.0_);_(&quot;$&quot;* \(#,##0.0\);_(&quot;$&quot;* &quot;-&quot;??_);_(@_)"/>
    <numFmt numFmtId="184" formatCode="0.00_ "/>
    <numFmt numFmtId="185" formatCode="mm/dd/yy_)"/>
    <numFmt numFmtId="186" formatCode="0.00_);[Red]\(0.00\)"/>
    <numFmt numFmtId="187" formatCode="0.0%"/>
    <numFmt numFmtId="188" formatCode="0_ "/>
    <numFmt numFmtId="189" formatCode="0.00000000_ "/>
    <numFmt numFmtId="190" formatCode="0.000000000_ "/>
    <numFmt numFmtId="191" formatCode="0.0000000_ "/>
    <numFmt numFmtId="192" formatCode="0.000000_ "/>
    <numFmt numFmtId="193" formatCode="yyyy&quot;年&quot;m&quot;月&quot;d&quot;日&quot;;@"/>
    <numFmt numFmtId="194" formatCode="0_);[Red]\(0\)"/>
    <numFmt numFmtId="195" formatCode="yyyy/mm/dd"/>
    <numFmt numFmtId="196" formatCode="0.0_);[Red]\(0.0\)"/>
  </numFmts>
  <fonts count="84">
    <font>
      <sz val="12"/>
      <name val="宋体"/>
      <charset val="134"/>
    </font>
    <font>
      <sz val="14"/>
      <name val="宋体"/>
      <family val="3"/>
      <charset val="134"/>
    </font>
    <font>
      <sz val="12"/>
      <color indexed="0"/>
      <name val="宋体"/>
      <family val="3"/>
      <charset val="134"/>
    </font>
    <font>
      <b/>
      <sz val="14"/>
      <name val="宋体"/>
      <family val="3"/>
      <charset val="134"/>
    </font>
    <font>
      <b/>
      <sz val="12"/>
      <color indexed="8"/>
      <name val="宋体"/>
      <family val="3"/>
      <charset val="134"/>
    </font>
    <font>
      <b/>
      <sz val="12"/>
      <name val="宋体"/>
      <family val="3"/>
      <charset val="134"/>
    </font>
    <font>
      <b/>
      <sz val="11"/>
      <name val="宋体"/>
      <family val="3"/>
      <charset val="134"/>
    </font>
    <font>
      <b/>
      <sz val="12"/>
      <color indexed="0"/>
      <name val="宋体"/>
      <family val="3"/>
      <charset val="134"/>
    </font>
    <font>
      <b/>
      <sz val="9"/>
      <color indexed="0"/>
      <name val="宋体"/>
      <family val="3"/>
      <charset val="134"/>
    </font>
    <font>
      <sz val="9"/>
      <color indexed="0"/>
      <name val="宋体"/>
      <family val="3"/>
      <charset val="134"/>
    </font>
    <font>
      <sz val="11"/>
      <name val="宋体"/>
      <family val="3"/>
      <charset val="134"/>
    </font>
    <font>
      <b/>
      <sz val="14"/>
      <color indexed="0"/>
      <name val="宋体"/>
      <family val="3"/>
      <charset val="134"/>
    </font>
    <font>
      <b/>
      <sz val="9"/>
      <color indexed="8"/>
      <name val="宋体"/>
      <family val="3"/>
      <charset val="134"/>
    </font>
    <font>
      <sz val="12"/>
      <color indexed="8"/>
      <name val="宋体"/>
      <family val="3"/>
      <charset val="134"/>
    </font>
    <font>
      <sz val="14"/>
      <color indexed="0"/>
      <name val="宋体"/>
      <family val="3"/>
      <charset val="134"/>
    </font>
    <font>
      <b/>
      <sz val="10"/>
      <color indexed="0"/>
      <name val="宋体"/>
      <family val="3"/>
      <charset val="134"/>
    </font>
    <font>
      <b/>
      <sz val="10"/>
      <color rgb="FFFF0000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9"/>
      <color rgb="FFFF0000"/>
      <name val="宋体"/>
      <family val="3"/>
      <charset val="134"/>
    </font>
    <font>
      <sz val="9"/>
      <name val="宋体"/>
      <family val="3"/>
      <charset val="134"/>
    </font>
    <font>
      <b/>
      <sz val="12"/>
      <color theme="1"/>
      <name val="宋体"/>
      <family val="3"/>
      <charset val="134"/>
    </font>
    <font>
      <b/>
      <sz val="12"/>
      <color rgb="FFFF0000"/>
      <name val="宋体"/>
      <family val="3"/>
      <charset val="134"/>
    </font>
    <font>
      <b/>
      <sz val="9"/>
      <name val="宋体"/>
      <family val="3"/>
      <charset val="134"/>
    </font>
    <font>
      <b/>
      <sz val="12"/>
      <color rgb="FFFFFF00"/>
      <name val="宋体"/>
      <family val="3"/>
      <charset val="134"/>
    </font>
    <font>
      <sz val="10"/>
      <color theme="1"/>
      <name val="宋体"/>
      <family val="3"/>
      <charset val="134"/>
    </font>
    <font>
      <sz val="10"/>
      <color rgb="FFFFFF00"/>
      <name val="宋体"/>
      <family val="3"/>
      <charset val="134"/>
    </font>
    <font>
      <sz val="12"/>
      <color theme="1"/>
      <name val="宋体"/>
      <family val="3"/>
      <charset val="134"/>
    </font>
    <font>
      <sz val="12"/>
      <name val="Times New Roman"/>
      <family val="1"/>
    </font>
    <font>
      <b/>
      <sz val="22"/>
      <name val="宋体"/>
      <family val="3"/>
      <charset val="134"/>
      <scheme val="major"/>
    </font>
    <font>
      <sz val="10"/>
      <name val="宋体"/>
      <family val="3"/>
      <charset val="134"/>
    </font>
    <font>
      <b/>
      <sz val="22"/>
      <name val="宋体"/>
      <family val="3"/>
      <charset val="134"/>
    </font>
    <font>
      <b/>
      <sz val="10"/>
      <name val="宋体"/>
      <family val="3"/>
      <charset val="134"/>
    </font>
    <font>
      <sz val="12"/>
      <name val="宋体"/>
      <family val="3"/>
      <charset val="134"/>
      <scheme val="major"/>
    </font>
    <font>
      <sz val="12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8"/>
      <name val="宋体"/>
      <family val="3"/>
      <charset val="134"/>
    </font>
    <font>
      <sz val="14"/>
      <color rgb="FFFF0000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indexed="62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1"/>
      <color indexed="9"/>
      <name val="Tahoma"/>
      <family val="2"/>
    </font>
    <font>
      <sz val="11"/>
      <color indexed="8"/>
      <name val="Tahoma"/>
      <family val="2"/>
    </font>
    <font>
      <sz val="11"/>
      <color indexed="9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5"/>
      <color indexed="56"/>
      <name val="Tahoma"/>
      <family val="2"/>
    </font>
    <font>
      <b/>
      <sz val="13"/>
      <color indexed="56"/>
      <name val="宋体"/>
      <family val="3"/>
      <charset val="134"/>
    </font>
    <font>
      <b/>
      <sz val="13"/>
      <color indexed="56"/>
      <name val="Tahoma"/>
      <family val="2"/>
    </font>
    <font>
      <b/>
      <sz val="11"/>
      <color indexed="56"/>
      <name val="宋体"/>
      <family val="3"/>
      <charset val="134"/>
    </font>
    <font>
      <b/>
      <sz val="11"/>
      <color indexed="56"/>
      <name val="Tahoma"/>
      <family val="2"/>
    </font>
    <font>
      <b/>
      <sz val="18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20"/>
      <name val="Tahoma"/>
      <family val="2"/>
    </font>
    <font>
      <sz val="11"/>
      <color theme="1"/>
      <name val="Tahoma"/>
      <family val="2"/>
    </font>
    <font>
      <u/>
      <sz val="9.35"/>
      <color theme="10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17"/>
      <name val="Tahoma"/>
      <family val="2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b/>
      <sz val="11"/>
      <color indexed="8"/>
      <name val="Tahoma"/>
      <family val="2"/>
    </font>
    <font>
      <sz val="11"/>
      <color indexed="10"/>
      <name val="Tahoma"/>
      <family val="2"/>
    </font>
    <font>
      <sz val="11"/>
      <color indexed="60"/>
      <name val="Tahoma"/>
      <family val="2"/>
    </font>
    <font>
      <b/>
      <sz val="11"/>
      <color indexed="52"/>
      <name val="Tahoma"/>
      <family val="2"/>
    </font>
    <font>
      <sz val="10"/>
      <name val="Times New Roman"/>
      <family val="1"/>
    </font>
    <font>
      <b/>
      <sz val="11"/>
      <color indexed="9"/>
      <name val="Tahoma"/>
      <family val="2"/>
    </font>
    <font>
      <i/>
      <sz val="11"/>
      <color indexed="23"/>
      <name val="宋体"/>
      <family val="3"/>
      <charset val="134"/>
    </font>
    <font>
      <i/>
      <sz val="11"/>
      <color indexed="23"/>
      <name val="Tahoma"/>
      <family val="2"/>
    </font>
    <font>
      <sz val="11"/>
      <color indexed="10"/>
      <name val="宋体"/>
      <family val="3"/>
      <charset val="134"/>
    </font>
    <font>
      <sz val="11"/>
      <color indexed="52"/>
      <name val="Tahoma"/>
      <family val="2"/>
    </font>
    <font>
      <sz val="11"/>
      <name val="蹈框"/>
      <charset val="134"/>
    </font>
    <font>
      <b/>
      <sz val="11"/>
      <color indexed="63"/>
      <name val="Tahoma"/>
      <family val="2"/>
    </font>
    <font>
      <sz val="11"/>
      <color indexed="62"/>
      <name val="Tahoma"/>
      <family val="2"/>
    </font>
    <font>
      <sz val="12"/>
      <name val="바탕체"/>
      <charset val="134"/>
    </font>
    <font>
      <b/>
      <sz val="12"/>
      <color indexed="10"/>
      <name val="宋体"/>
      <family val="3"/>
      <charset val="134"/>
    </font>
    <font>
      <b/>
      <sz val="18"/>
      <name val="宋体"/>
      <family val="3"/>
      <charset val="134"/>
    </font>
    <font>
      <b/>
      <sz val="20"/>
      <name val="宋体"/>
      <family val="3"/>
      <charset val="134"/>
    </font>
    <font>
      <b/>
      <sz val="11"/>
      <color rgb="FFFF0000"/>
      <name val="宋体"/>
      <family val="3"/>
      <charset val="134"/>
    </font>
    <font>
      <b/>
      <sz val="11"/>
      <color indexed="10"/>
      <name val="宋体"/>
      <family val="3"/>
      <charset val="134"/>
    </font>
    <font>
      <b/>
      <sz val="16"/>
      <name val="宋体"/>
      <family val="3"/>
      <charset val="134"/>
    </font>
    <font>
      <b/>
      <sz val="9"/>
      <color rgb="FF000000"/>
      <name val="宋体"/>
      <family val="3"/>
      <charset val="134"/>
    </font>
    <font>
      <sz val="12"/>
      <name val="宋体"/>
      <family val="3"/>
      <charset val="134"/>
    </font>
  </fonts>
  <fills count="6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82299264503923"/>
        <bgColor indexed="64"/>
      </patternFill>
    </fill>
    <fill>
      <patternFill patternType="solid">
        <fgColor theme="6" tint="0.3966490676595355"/>
        <bgColor indexed="64"/>
      </patternFill>
    </fill>
    <fill>
      <patternFill patternType="solid">
        <fgColor theme="6" tint="0.39973143711661124"/>
        <bgColor indexed="64"/>
      </patternFill>
    </fill>
    <fill>
      <patternFill patternType="solid">
        <fgColor theme="0" tint="-0.14682454908902248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48728904080327"/>
        <bgColor indexed="64"/>
      </patternFill>
    </fill>
    <fill>
      <patternFill patternType="solid">
        <fgColor theme="3" tint="0.7998290963469344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CCC0DA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theme="6" tint="0.39979247413556324"/>
        <bgColor indexed="64"/>
      </patternFill>
    </fill>
    <fill>
      <patternFill patternType="solid">
        <fgColor theme="6" tint="0.39951780755027927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1483199560533463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39893795587023528"/>
        <bgColor indexed="64"/>
      </patternFill>
    </fill>
    <fill>
      <patternFill patternType="solid">
        <fgColor theme="3" tint="0.39844965971861934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theme="6" tint="0.39817499313333538"/>
        <bgColor indexed="64"/>
      </patternFill>
    </fill>
    <fill>
      <patternFill patternType="solid">
        <fgColor theme="6" tint="0.39811395611438338"/>
        <bgColor indexed="64"/>
      </patternFill>
    </fill>
    <fill>
      <patternFill patternType="solid">
        <fgColor theme="6" tint="0.3980529190954313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664906765953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3"/>
        <bgColor indexed="64"/>
      </patternFill>
    </fill>
  </fills>
  <borders count="7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ck">
        <color rgb="FFFF0000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rgb="FFFF0000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Dashed">
        <color rgb="FFFF0000"/>
      </right>
      <top/>
      <bottom style="thin">
        <color auto="1"/>
      </bottom>
      <diagonal/>
    </border>
    <border>
      <left/>
      <right style="mediumDashed">
        <color rgb="FFFF0000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ck">
        <color rgb="FFFF0000"/>
      </bottom>
      <diagonal/>
    </border>
    <border>
      <left style="thin">
        <color auto="1"/>
      </left>
      <right style="thin">
        <color auto="1"/>
      </right>
      <top/>
      <bottom style="thick">
        <color rgb="FFFF0000"/>
      </bottom>
      <diagonal/>
    </border>
    <border>
      <left style="thin">
        <color auto="1"/>
      </left>
      <right style="mediumDashed">
        <color rgb="FFFF0000"/>
      </right>
      <top/>
      <bottom style="thick">
        <color rgb="FFFF0000"/>
      </bottom>
      <diagonal/>
    </border>
    <border>
      <left style="thin">
        <color auto="1"/>
      </left>
      <right style="mediumDashed">
        <color rgb="FFFF0000"/>
      </right>
      <top/>
      <bottom/>
      <diagonal/>
    </border>
    <border>
      <left/>
      <right style="thin">
        <color auto="1"/>
      </right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/>
      <top/>
      <bottom style="thick">
        <color rgb="FFFF0000"/>
      </bottom>
      <diagonal/>
    </border>
    <border>
      <left style="mediumDashed">
        <color rgb="FFFF0000"/>
      </left>
      <right/>
      <top style="thin">
        <color auto="1"/>
      </top>
      <bottom style="thin">
        <color auto="1"/>
      </bottom>
      <diagonal/>
    </border>
    <border>
      <left style="mediumDashed">
        <color rgb="FFFF0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Dashed">
        <color rgb="FFFF0000"/>
      </right>
      <top style="thin">
        <color auto="1"/>
      </top>
      <bottom style="thick">
        <color rgb="FFFF0000"/>
      </bottom>
      <diagonal/>
    </border>
    <border>
      <left style="mediumDashed">
        <color rgb="FFFF0000"/>
      </left>
      <right style="thin">
        <color auto="1"/>
      </right>
      <top/>
      <bottom style="thick">
        <color rgb="FFFF0000"/>
      </bottom>
      <diagonal/>
    </border>
    <border>
      <left style="thin">
        <color auto="1"/>
      </left>
      <right style="thin">
        <color auto="1"/>
      </right>
      <top style="thick">
        <color rgb="FFFF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rgb="FFFF0000"/>
      </bottom>
      <diagonal/>
    </border>
    <border>
      <left/>
      <right style="thick">
        <color rgb="FFFF0000"/>
      </right>
      <top/>
      <bottom style="thin">
        <color auto="1"/>
      </bottom>
      <diagonal/>
    </border>
    <border>
      <left/>
      <right style="thick">
        <color rgb="FFFF0000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</borders>
  <cellStyleXfs count="55849">
    <xf numFmtId="0" fontId="0" fillId="0" borderId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2" fillId="44" borderId="0" applyNumberFormat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0" fillId="0" borderId="0">
      <alignment vertical="center"/>
    </xf>
    <xf numFmtId="0" fontId="83" fillId="0" borderId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0" borderId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0" borderId="0">
      <alignment vertical="center"/>
    </xf>
    <xf numFmtId="0" fontId="40" fillId="0" borderId="0">
      <alignment vertical="center"/>
    </xf>
    <xf numFmtId="0" fontId="39" fillId="41" borderId="67" applyNumberFormat="0" applyAlignment="0" applyProtection="0">
      <alignment vertical="center"/>
    </xf>
    <xf numFmtId="0" fontId="42" fillId="48" borderId="0" applyNumberFormat="0" applyBorder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0" fillId="0" borderId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9" borderId="0" applyNumberFormat="0" applyBorder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50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2" fillId="51" borderId="0" applyNumberFormat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5" fillId="52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2" fillId="47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5" fillId="42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5" fillId="44" borderId="0" applyNumberFormat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0" fillId="0" borderId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2" fillId="52" borderId="0" applyNumberFormat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2" fillId="49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0" borderId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2" fillId="48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0" borderId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5" fillId="48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2" fillId="50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51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7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2" fillId="53" borderId="0" applyNumberFormat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53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48" borderId="0" applyNumberFormat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2" fillId="51" borderId="0" applyNumberFormat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51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2" fillId="54" borderId="0" applyNumberFormat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5" fillId="54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6" fillId="55" borderId="0" applyNumberFormat="0" applyBorder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4" fillId="55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0" borderId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6" fillId="53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4" fillId="53" borderId="0" applyNumberFormat="0" applyBorder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6" fillId="56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4" fillId="56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6" fillId="57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6" fillId="58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4" fillId="58" borderId="0" applyNumberFormat="0" applyBorder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0" borderId="0">
      <alignment vertical="center"/>
    </xf>
    <xf numFmtId="0" fontId="83" fillId="0" borderId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7" fillId="0" borderId="71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0" borderId="0">
      <alignment vertical="center"/>
    </xf>
    <xf numFmtId="0" fontId="83" fillId="0" borderId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8" fillId="0" borderId="71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9" fillId="0" borderId="72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50" fillId="0" borderId="72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51" fillId="0" borderId="73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52" fillId="0" borderId="73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54" fillId="52" borderId="0" applyNumberFormat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55" fillId="52" borderId="0" applyNumberFormat="0" applyBorder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0" borderId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181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181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0" borderId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0" borderId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0" borderId="0">
      <alignment vertical="center"/>
    </xf>
    <xf numFmtId="0" fontId="83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0" borderId="0">
      <alignment vertical="center"/>
    </xf>
    <xf numFmtId="0" fontId="83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0" borderId="0">
      <alignment vertical="center"/>
    </xf>
    <xf numFmtId="0" fontId="83" fillId="0" borderId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83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0" fillId="0" borderId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0" fillId="0" borderId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0" fillId="0" borderId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0" borderId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0" fillId="0" borderId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7" fillId="41" borderId="65" applyNumberFormat="0" applyAlignment="0" applyProtection="0">
      <alignment vertical="center"/>
    </xf>
    <xf numFmtId="0" fontId="83" fillId="0" borderId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0" borderId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0" borderId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0" borderId="0">
      <alignment vertical="center"/>
    </xf>
    <xf numFmtId="0" fontId="40" fillId="0" borderId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0" borderId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4" fillId="59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0" borderId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0" borderId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0" borderId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0" borderId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0" borderId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0" borderId="0">
      <alignment vertical="center"/>
    </xf>
    <xf numFmtId="0" fontId="40" fillId="0" borderId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0" borderId="0">
      <alignment vertical="center"/>
    </xf>
    <xf numFmtId="0" fontId="40" fillId="0" borderId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0" borderId="0">
      <alignment vertical="center"/>
    </xf>
    <xf numFmtId="0" fontId="40" fillId="0" borderId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181" fontId="56" fillId="0" borderId="0"/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0" fillId="0" borderId="0">
      <alignment vertical="center"/>
    </xf>
    <xf numFmtId="0" fontId="83" fillId="0" borderId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181" fontId="40" fillId="0" borderId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181" fontId="56" fillId="0" borderId="0"/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0" borderId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0" borderId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0" borderId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0" borderId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0" borderId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0" borderId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9" fillId="41" borderId="67" applyNumberFormat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0" fillId="0" borderId="0">
      <alignment vertical="center"/>
    </xf>
    <xf numFmtId="0" fontId="83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0" fillId="0" borderId="0">
      <alignment vertical="center"/>
    </xf>
    <xf numFmtId="0" fontId="39" fillId="41" borderId="67" applyNumberFormat="0" applyAlignment="0" applyProtection="0">
      <alignment vertical="center"/>
    </xf>
    <xf numFmtId="0" fontId="83" fillId="0" borderId="0">
      <alignment vertical="center"/>
    </xf>
    <xf numFmtId="0" fontId="40" fillId="0" borderId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0" borderId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181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0" borderId="0">
      <alignment vertical="center"/>
    </xf>
    <xf numFmtId="0" fontId="40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0" borderId="0">
      <alignment vertical="center"/>
    </xf>
    <xf numFmtId="0" fontId="40" fillId="0" borderId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0" borderId="0">
      <alignment vertical="center"/>
    </xf>
    <xf numFmtId="0" fontId="83" fillId="0" borderId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0" borderId="0">
      <alignment vertical="center"/>
    </xf>
    <xf numFmtId="0" fontId="83" fillId="0" borderId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0" borderId="0">
      <alignment vertical="center"/>
    </xf>
    <xf numFmtId="0" fontId="83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181" fontId="40" fillId="0" borderId="0">
      <alignment vertical="center"/>
    </xf>
    <xf numFmtId="0" fontId="83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0" borderId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0" borderId="0">
      <alignment vertical="center"/>
    </xf>
    <xf numFmtId="0" fontId="40" fillId="0" borderId="0"/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0" borderId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0" borderId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181" fontId="57" fillId="0" borderId="0" applyNumberFormat="0" applyFill="0" applyBorder="0" applyAlignment="0" applyProtection="0">
      <alignment vertical="top"/>
      <protection locked="0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58" fillId="49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59" fillId="49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60" fillId="60" borderId="0" applyNumberFormat="0" applyBorder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61" fillId="0" borderId="74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62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41" fontId="83" fillId="0" borderId="0" applyFont="0" applyFill="0" applyBorder="0" applyAlignment="0" applyProtection="0"/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40" fontId="83" fillId="0" borderId="0" applyFont="0" applyFill="0" applyBorder="0" applyAlignment="0" applyProtection="0"/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41" fontId="83" fillId="0" borderId="0" applyFont="0" applyFill="0" applyBorder="0" applyAlignment="0" applyProtection="0"/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64" fillId="60" borderId="0" applyNumberFormat="0" applyBorder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65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4" fillId="61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4" fillId="62" borderId="0" applyNumberFormat="0" applyBorder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8" fillId="0" borderId="66" applyNumberFormat="0" applyFill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43" fontId="83" fillId="0" borderId="0" applyFont="0" applyFill="0" applyBorder="0" applyAlignment="0" applyProtection="0"/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66" fillId="0" borderId="0"/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6" fillId="57" borderId="0" applyNumberFormat="0" applyBorder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6" fillId="63" borderId="0" applyNumberFormat="0" applyBorder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6" fillId="62" borderId="0" applyNumberFormat="0" applyBorder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180" fontId="83" fillId="0" borderId="0" applyFont="0" applyFill="0" applyBorder="0" applyAlignment="0" applyProtection="0"/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9" fillId="41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6" fillId="56" borderId="0" applyNumberFormat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4" fillId="56" borderId="0" applyNumberFormat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4" fillId="57" borderId="0" applyNumberFormat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4" fillId="63" borderId="0" applyNumberFormat="0" applyBorder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43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67" fillId="45" borderId="69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74" applyNumberFormat="0" applyFill="0" applyAlignment="0" applyProtection="0">
      <alignment vertical="center"/>
    </xf>
    <xf numFmtId="182" fontId="83" fillId="0" borderId="0" applyFont="0" applyFill="0" applyBorder="0" applyAlignment="0" applyProtection="0"/>
    <xf numFmtId="0" fontId="83" fillId="43" borderId="68" applyNumberFormat="0" applyFont="0" applyAlignment="0" applyProtection="0">
      <alignment vertical="center"/>
    </xf>
    <xf numFmtId="183" fontId="83" fillId="0" borderId="0" applyFont="0" applyFill="0" applyBorder="0" applyAlignment="0" applyProtection="0"/>
    <xf numFmtId="0" fontId="41" fillId="42" borderId="67" applyNumberFormat="0" applyAlignment="0" applyProtection="0">
      <alignment vertical="center"/>
    </xf>
    <xf numFmtId="185" fontId="83" fillId="0" borderId="0" applyFont="0" applyFill="0" applyBorder="0" applyAlignment="0" applyProtection="0"/>
    <xf numFmtId="0" fontId="41" fillId="42" borderId="67" applyNumberFormat="0" applyAlignment="0" applyProtection="0">
      <alignment vertical="center"/>
    </xf>
    <xf numFmtId="43" fontId="83" fillId="0" borderId="0" applyFont="0" applyFill="0" applyBorder="0" applyAlignment="0" applyProtection="0"/>
    <xf numFmtId="0" fontId="37" fillId="41" borderId="65" applyNumberFormat="0" applyAlignment="0" applyProtection="0">
      <alignment vertical="center"/>
    </xf>
    <xf numFmtId="0" fontId="72" fillId="0" borderId="0"/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37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73" fillId="41" borderId="65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41" fillId="42" borderId="67" applyNumberFormat="0" applyAlignment="0" applyProtection="0">
      <alignment vertical="center"/>
    </xf>
    <xf numFmtId="0" fontId="74" fillId="42" borderId="67" applyNumberForma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40" fillId="46" borderId="70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0" fontId="83" fillId="43" borderId="68" applyNumberFormat="0" applyFont="0" applyAlignment="0" applyProtection="0">
      <alignment vertical="center"/>
    </xf>
    <xf numFmtId="38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75" fillId="0" borderId="0"/>
  </cellStyleXfs>
  <cellXfs count="969">
    <xf numFmtId="0" fontId="0" fillId="0" borderId="0" xfId="0">
      <alignment vertical="center"/>
    </xf>
    <xf numFmtId="1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1" xfId="0" applyNumberFormat="1" applyFill="1" applyBorder="1">
      <alignment vertical="center"/>
    </xf>
    <xf numFmtId="0" fontId="0" fillId="4" borderId="1" xfId="0" applyFill="1" applyBorder="1">
      <alignment vertical="center"/>
    </xf>
    <xf numFmtId="0" fontId="0" fillId="4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 shrinkToFit="1"/>
    </xf>
    <xf numFmtId="0" fontId="1" fillId="0" borderId="0" xfId="0" applyFont="1" applyAlignment="1">
      <alignment vertical="center" shrinkToFit="1"/>
    </xf>
    <xf numFmtId="184" fontId="0" fillId="0" borderId="0" xfId="0" applyNumberFormat="1">
      <alignment vertical="center"/>
    </xf>
    <xf numFmtId="186" fontId="0" fillId="0" borderId="0" xfId="0" applyNumberFormat="1">
      <alignment vertical="center"/>
    </xf>
    <xf numFmtId="0" fontId="0" fillId="5" borderId="1" xfId="0" applyFill="1" applyBorder="1" applyAlignment="1">
      <alignment horizontal="left" vertical="center" wrapText="1"/>
    </xf>
    <xf numFmtId="10" fontId="2" fillId="6" borderId="1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left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87" fontId="2" fillId="6" borderId="1" xfId="0" applyNumberFormat="1" applyFont="1" applyFill="1" applyBorder="1" applyAlignment="1">
      <alignment horizontal="left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4" fillId="5" borderId="3" xfId="0" applyFont="1" applyFill="1" applyBorder="1" applyAlignment="1">
      <alignment horizontal="left" vertical="center" wrapText="1"/>
    </xf>
    <xf numFmtId="0" fontId="0" fillId="6" borderId="3" xfId="0" applyFill="1" applyBorder="1" applyAlignment="1">
      <alignment horizontal="left" vertical="center" wrapText="1"/>
    </xf>
    <xf numFmtId="0" fontId="0" fillId="6" borderId="3" xfId="0" applyFill="1" applyBorder="1" applyAlignment="1">
      <alignment vertical="center" wrapText="1"/>
    </xf>
    <xf numFmtId="0" fontId="0" fillId="6" borderId="6" xfId="0" applyFill="1" applyBorder="1" applyAlignment="1">
      <alignment vertical="center" wrapText="1"/>
    </xf>
    <xf numFmtId="9" fontId="2" fillId="6" borderId="3" xfId="0" applyNumberFormat="1" applyFont="1" applyFill="1" applyBorder="1" applyAlignment="1">
      <alignment horizontal="left" vertical="center" wrapText="1"/>
    </xf>
    <xf numFmtId="0" fontId="4" fillId="6" borderId="3" xfId="0" applyFont="1" applyFill="1" applyBorder="1" applyAlignment="1">
      <alignment horizontal="left" vertical="center" wrapText="1"/>
    </xf>
    <xf numFmtId="10" fontId="4" fillId="6" borderId="3" xfId="0" applyNumberFormat="1" applyFont="1" applyFill="1" applyBorder="1" applyAlignment="1">
      <alignment horizontal="left" vertical="center" wrapText="1"/>
    </xf>
    <xf numFmtId="0" fontId="4" fillId="6" borderId="3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6" fillId="6" borderId="8" xfId="0" applyFont="1" applyFill="1" applyBorder="1" applyAlignment="1">
      <alignment horizontal="left" vertical="center" wrapText="1"/>
    </xf>
    <xf numFmtId="10" fontId="6" fillId="6" borderId="8" xfId="0" applyNumberFormat="1" applyFont="1" applyFill="1" applyBorder="1" applyAlignment="1">
      <alignment horizontal="left" vertical="center" wrapText="1"/>
    </xf>
    <xf numFmtId="0" fontId="6" fillId="6" borderId="5" xfId="0" applyFont="1" applyFill="1" applyBorder="1" applyAlignment="1">
      <alignment vertical="center" wrapText="1"/>
    </xf>
    <xf numFmtId="0" fontId="6" fillId="0" borderId="9" xfId="0" applyFont="1" applyBorder="1" applyAlignment="1">
      <alignment vertical="center" wrapText="1"/>
    </xf>
    <xf numFmtId="0" fontId="6" fillId="6" borderId="1" xfId="0" applyFont="1" applyFill="1" applyBorder="1" applyAlignment="1">
      <alignment horizontal="center" vertical="center" wrapText="1"/>
    </xf>
    <xf numFmtId="10" fontId="6" fillId="6" borderId="1" xfId="0" applyNumberFormat="1" applyFont="1" applyFill="1" applyBorder="1" applyAlignment="1">
      <alignment horizontal="left" vertical="center" wrapText="1"/>
    </xf>
    <xf numFmtId="0" fontId="6" fillId="6" borderId="6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8" fillId="6" borderId="6" xfId="0" applyFont="1" applyFill="1" applyBorder="1" applyAlignment="1">
      <alignment horizontal="left" vertical="center" wrapText="1"/>
    </xf>
    <xf numFmtId="10" fontId="8" fillId="6" borderId="6" xfId="0" applyNumberFormat="1" applyFont="1" applyFill="1" applyBorder="1" applyAlignment="1">
      <alignment horizontal="left" vertical="center" wrapText="1"/>
    </xf>
    <xf numFmtId="0" fontId="9" fillId="0" borderId="6" xfId="0" applyFont="1" applyBorder="1" applyAlignment="1">
      <alignment horizontal="left" vertical="center" wrapText="1"/>
    </xf>
    <xf numFmtId="0" fontId="8" fillId="0" borderId="6" xfId="0" applyFont="1" applyBorder="1" applyAlignment="1">
      <alignment horizontal="left" vertical="center" wrapText="1"/>
    </xf>
    <xf numFmtId="0" fontId="0" fillId="6" borderId="1" xfId="0" applyFill="1" applyBorder="1" applyAlignment="1">
      <alignment horizontal="left" vertical="center" wrapText="1"/>
    </xf>
    <xf numFmtId="10" fontId="0" fillId="6" borderId="1" xfId="0" applyNumberFormat="1" applyFill="1" applyBorder="1" applyAlignment="1">
      <alignment horizontal="left" vertical="center" wrapText="1"/>
    </xf>
    <xf numFmtId="0" fontId="0" fillId="6" borderId="6" xfId="0" applyFill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0" fillId="8" borderId="1" xfId="0" applyFill="1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2" fillId="5" borderId="6" xfId="0" applyFont="1" applyFill="1" applyBorder="1" applyAlignment="1">
      <alignment horizontal="left" vertical="center" wrapText="1"/>
    </xf>
    <xf numFmtId="0" fontId="0" fillId="5" borderId="8" xfId="0" applyFill="1" applyBorder="1" applyAlignment="1">
      <alignment horizontal="left" vertical="center" wrapText="1"/>
    </xf>
    <xf numFmtId="0" fontId="7" fillId="5" borderId="6" xfId="0" applyFont="1" applyFill="1" applyBorder="1" applyAlignment="1">
      <alignment horizontal="left" vertical="center" wrapText="1"/>
    </xf>
    <xf numFmtId="0" fontId="0" fillId="9" borderId="1" xfId="0" applyFill="1" applyBorder="1" applyAlignment="1">
      <alignment horizontal="left" vertical="center" wrapText="1"/>
    </xf>
    <xf numFmtId="0" fontId="2" fillId="5" borderId="1" xfId="0" applyFont="1" applyFill="1" applyBorder="1" applyAlignment="1">
      <alignment horizontal="left" vertical="center" wrapText="1"/>
    </xf>
    <xf numFmtId="0" fontId="0" fillId="10" borderId="1" xfId="0" applyFill="1" applyBorder="1" applyAlignment="1">
      <alignment horizontal="left" vertical="center" wrapText="1"/>
    </xf>
    <xf numFmtId="0" fontId="0" fillId="5" borderId="2" xfId="0" applyFill="1" applyBorder="1" applyAlignment="1">
      <alignment horizontal="left"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center"/>
    </xf>
    <xf numFmtId="0" fontId="0" fillId="0" borderId="6" xfId="0" applyBorder="1">
      <alignment vertical="center"/>
    </xf>
    <xf numFmtId="0" fontId="83" fillId="5" borderId="1" xfId="208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10" fontId="0" fillId="0" borderId="1" xfId="0" applyNumberFormat="1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10" fontId="10" fillId="0" borderId="1" xfId="0" applyNumberFormat="1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0" fontId="0" fillId="3" borderId="1" xfId="0" applyNumberFormat="1" applyFill="1" applyBorder="1" applyAlignment="1">
      <alignment horizontal="left" vertical="center" wrapText="1"/>
    </xf>
    <xf numFmtId="0" fontId="0" fillId="3" borderId="6" xfId="0" applyFill="1" applyBorder="1">
      <alignment vertical="center"/>
    </xf>
    <xf numFmtId="0" fontId="2" fillId="3" borderId="6" xfId="0" applyFont="1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 wrapText="1"/>
    </xf>
    <xf numFmtId="0" fontId="83" fillId="3" borderId="1" xfId="2081" applyFill="1" applyBorder="1" applyAlignment="1">
      <alignment horizontal="left" vertical="center" wrapText="1"/>
    </xf>
    <xf numFmtId="10" fontId="0" fillId="0" borderId="1" xfId="0" applyNumberFormat="1" applyBorder="1" applyAlignment="1">
      <alignment horizontal="left" vertical="center"/>
    </xf>
    <xf numFmtId="0" fontId="3" fillId="0" borderId="2" xfId="0" applyFont="1" applyBorder="1" applyAlignment="1">
      <alignment horizontal="center" vertical="center" shrinkToFit="1"/>
    </xf>
    <xf numFmtId="10" fontId="0" fillId="0" borderId="1" xfId="0" applyNumberFormat="1" applyBorder="1">
      <alignment vertical="center"/>
    </xf>
    <xf numFmtId="10" fontId="4" fillId="0" borderId="1" xfId="0" applyNumberFormat="1" applyFont="1" applyBorder="1" applyAlignment="1">
      <alignment vertical="center" wrapText="1"/>
    </xf>
    <xf numFmtId="10" fontId="4" fillId="0" borderId="7" xfId="0" applyNumberFormat="1" applyFont="1" applyBorder="1" applyAlignment="1">
      <alignment vertical="center" wrapText="1"/>
    </xf>
    <xf numFmtId="0" fontId="5" fillId="0" borderId="5" xfId="0" applyFont="1" applyBorder="1" applyAlignment="1">
      <alignment horizontal="center" vertical="center" shrinkToFit="1"/>
    </xf>
    <xf numFmtId="10" fontId="5" fillId="0" borderId="2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shrinkToFit="1"/>
    </xf>
    <xf numFmtId="0" fontId="0" fillId="5" borderId="4" xfId="0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shrinkToFit="1"/>
    </xf>
    <xf numFmtId="0" fontId="2" fillId="5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10" fontId="6" fillId="7" borderId="1" xfId="0" applyNumberFormat="1" applyFont="1" applyFill="1" applyBorder="1" applyAlignment="1">
      <alignment vertical="center" wrapText="1"/>
    </xf>
    <xf numFmtId="0" fontId="9" fillId="0" borderId="6" xfId="0" applyFont="1" applyBorder="1" applyAlignment="1">
      <alignment horizontal="left" vertical="center" shrinkToFit="1"/>
    </xf>
    <xf numFmtId="0" fontId="9" fillId="5" borderId="6" xfId="0" applyFont="1" applyFill="1" applyBorder="1" applyAlignment="1">
      <alignment horizontal="left" vertical="center" wrapText="1"/>
    </xf>
    <xf numFmtId="10" fontId="8" fillId="0" borderId="6" xfId="0" applyNumberFormat="1" applyFont="1" applyBorder="1" applyAlignment="1">
      <alignment vertical="center" wrapText="1"/>
    </xf>
    <xf numFmtId="0" fontId="2" fillId="0" borderId="6" xfId="0" applyFont="1" applyBorder="1" applyAlignment="1">
      <alignment horizontal="left" vertical="center" shrinkToFit="1"/>
    </xf>
    <xf numFmtId="178" fontId="2" fillId="5" borderId="6" xfId="0" applyNumberFormat="1" applyFont="1" applyFill="1" applyBorder="1" applyAlignment="1">
      <alignment horizontal="left" vertical="center" wrapText="1"/>
    </xf>
    <xf numFmtId="10" fontId="0" fillId="0" borderId="1" xfId="0" applyNumberFormat="1" applyBorder="1" applyAlignment="1">
      <alignment vertical="center" wrapText="1"/>
    </xf>
    <xf numFmtId="0" fontId="2" fillId="5" borderId="6" xfId="0" applyFont="1" applyFill="1" applyBorder="1" applyAlignment="1">
      <alignment horizontal="left" vertical="center" shrinkToFit="1"/>
    </xf>
    <xf numFmtId="10" fontId="0" fillId="5" borderId="1" xfId="0" applyNumberFormat="1" applyFill="1" applyBorder="1" applyAlignment="1">
      <alignment vertical="center" wrapText="1"/>
    </xf>
    <xf numFmtId="0" fontId="2" fillId="0" borderId="1" xfId="0" applyFont="1" applyBorder="1" applyAlignment="1">
      <alignment horizontal="left" vertical="center" wrapText="1"/>
    </xf>
    <xf numFmtId="178" fontId="2" fillId="0" borderId="6" xfId="0" applyNumberFormat="1" applyFont="1" applyBorder="1" applyAlignment="1">
      <alignment horizontal="left" vertical="center" wrapText="1"/>
    </xf>
    <xf numFmtId="0" fontId="2" fillId="12" borderId="6" xfId="0" applyFont="1" applyFill="1" applyBorder="1" applyAlignment="1">
      <alignment horizontal="left" vertical="center" wrapText="1"/>
    </xf>
    <xf numFmtId="49" fontId="2" fillId="0" borderId="6" xfId="0" applyNumberFormat="1" applyFont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3" borderId="6" xfId="0" applyFont="1" applyFill="1" applyBorder="1" applyAlignment="1">
      <alignment horizontal="left" vertical="center" shrinkToFit="1"/>
    </xf>
    <xf numFmtId="178" fontId="2" fillId="3" borderId="6" xfId="0" applyNumberFormat="1" applyFont="1" applyFill="1" applyBorder="1" applyAlignment="1">
      <alignment horizontal="left" vertical="center" wrapText="1"/>
    </xf>
    <xf numFmtId="10" fontId="3" fillId="0" borderId="2" xfId="0" applyNumberFormat="1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10" fontId="5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10" fontId="5" fillId="0" borderId="5" xfId="0" applyNumberFormat="1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shrinkToFit="1"/>
    </xf>
    <xf numFmtId="0" fontId="4" fillId="13" borderId="8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0" fontId="7" fillId="0" borderId="1" xfId="0" applyNumberFormat="1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shrinkToFit="1"/>
    </xf>
    <xf numFmtId="0" fontId="4" fillId="0" borderId="6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10" fontId="6" fillId="7" borderId="6" xfId="0" applyNumberFormat="1" applyFont="1" applyFill="1" applyBorder="1" applyAlignment="1">
      <alignment vertical="center" wrapText="1"/>
    </xf>
    <xf numFmtId="0" fontId="12" fillId="0" borderId="6" xfId="0" applyFont="1" applyBorder="1" applyAlignment="1">
      <alignment horizontal="left" vertical="center" wrapText="1"/>
    </xf>
    <xf numFmtId="10" fontId="8" fillId="0" borderId="6" xfId="0" applyNumberFormat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center" shrinkToFit="1"/>
    </xf>
    <xf numFmtId="0" fontId="8" fillId="0" borderId="4" xfId="0" applyFont="1" applyBorder="1" applyAlignment="1">
      <alignment horizontal="left" vertical="center" wrapText="1"/>
    </xf>
    <xf numFmtId="0" fontId="13" fillId="12" borderId="6" xfId="0" applyFont="1" applyFill="1" applyBorder="1" applyAlignment="1">
      <alignment horizontal="left" vertical="center" wrapText="1"/>
    </xf>
    <xf numFmtId="10" fontId="2" fillId="0" borderId="6" xfId="0" applyNumberFormat="1" applyFont="1" applyBorder="1" applyAlignment="1">
      <alignment horizontal="left" vertical="center" wrapText="1"/>
    </xf>
    <xf numFmtId="0" fontId="14" fillId="0" borderId="6" xfId="0" applyFont="1" applyBorder="1" applyAlignment="1">
      <alignment horizontal="left" vertical="center" shrinkToFit="1"/>
    </xf>
    <xf numFmtId="0" fontId="13" fillId="0" borderId="6" xfId="0" applyFont="1" applyBorder="1" applyAlignment="1">
      <alignment horizontal="left" vertical="center" wrapText="1"/>
    </xf>
    <xf numFmtId="0" fontId="2" fillId="12" borderId="4" xfId="0" applyFont="1" applyFill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13" fillId="5" borderId="6" xfId="0" applyFont="1" applyFill="1" applyBorder="1" applyAlignment="1">
      <alignment horizontal="left" vertical="center" wrapText="1"/>
    </xf>
    <xf numFmtId="10" fontId="2" fillId="5" borderId="6" xfId="0" applyNumberFormat="1" applyFont="1" applyFill="1" applyBorder="1" applyAlignment="1">
      <alignment horizontal="left" vertical="center" wrapText="1"/>
    </xf>
    <xf numFmtId="0" fontId="14" fillId="5" borderId="6" xfId="0" applyFont="1" applyFill="1" applyBorder="1" applyAlignment="1">
      <alignment horizontal="left" vertical="center" shrinkToFit="1"/>
    </xf>
    <xf numFmtId="0" fontId="2" fillId="5" borderId="4" xfId="0" applyFont="1" applyFill="1" applyBorder="1" applyAlignment="1">
      <alignment horizontal="left" vertical="center" wrapText="1"/>
    </xf>
    <xf numFmtId="10" fontId="2" fillId="0" borderId="1" xfId="0" applyNumberFormat="1" applyFont="1" applyBorder="1" applyAlignment="1">
      <alignment horizontal="left" vertical="center" wrapText="1"/>
    </xf>
    <xf numFmtId="178" fontId="2" fillId="0" borderId="1" xfId="0" applyNumberFormat="1" applyFont="1" applyBorder="1" applyAlignment="1">
      <alignment horizontal="left" vertical="center" wrapText="1"/>
    </xf>
    <xf numFmtId="0" fontId="14" fillId="0" borderId="1" xfId="0" applyFont="1" applyBorder="1" applyAlignment="1">
      <alignment horizontal="left" vertical="center" shrinkToFit="1"/>
    </xf>
    <xf numFmtId="10" fontId="2" fillId="5" borderId="1" xfId="0" applyNumberFormat="1" applyFont="1" applyFill="1" applyBorder="1" applyAlignment="1">
      <alignment horizontal="left" vertical="center" wrapText="1"/>
    </xf>
    <xf numFmtId="0" fontId="14" fillId="5" borderId="1" xfId="0" applyFont="1" applyFill="1" applyBorder="1" applyAlignment="1">
      <alignment horizontal="left" vertical="center" shrinkToFit="1"/>
    </xf>
    <xf numFmtId="178" fontId="2" fillId="5" borderId="1" xfId="0" applyNumberFormat="1" applyFont="1" applyFill="1" applyBorder="1" applyAlignment="1">
      <alignment horizontal="left" vertical="center" wrapText="1"/>
    </xf>
    <xf numFmtId="0" fontId="13" fillId="3" borderId="6" xfId="0" applyFont="1" applyFill="1" applyBorder="1" applyAlignment="1">
      <alignment horizontal="left" vertical="center" wrapText="1"/>
    </xf>
    <xf numFmtId="0" fontId="14" fillId="3" borderId="1" xfId="0" applyFont="1" applyFill="1" applyBorder="1" applyAlignment="1">
      <alignment horizontal="left" vertical="center" shrinkToFit="1"/>
    </xf>
    <xf numFmtId="10" fontId="2" fillId="3" borderId="1" xfId="0" applyNumberFormat="1" applyFont="1" applyFill="1" applyBorder="1" applyAlignment="1">
      <alignment horizontal="left" vertical="center" wrapText="1"/>
    </xf>
    <xf numFmtId="178" fontId="2" fillId="3" borderId="1" xfId="0" applyNumberFormat="1" applyFont="1" applyFill="1" applyBorder="1" applyAlignment="1">
      <alignment horizontal="left" vertical="center" wrapText="1"/>
    </xf>
    <xf numFmtId="0" fontId="2" fillId="3" borderId="4" xfId="0" applyFont="1" applyFill="1" applyBorder="1" applyAlignment="1">
      <alignment horizontal="left" vertical="center" wrapText="1"/>
    </xf>
    <xf numFmtId="10" fontId="0" fillId="5" borderId="1" xfId="0" applyNumberFormat="1" applyFill="1" applyBorder="1" applyAlignment="1">
      <alignment horizontal="left" vertical="center" wrapText="1"/>
    </xf>
    <xf numFmtId="0" fontId="0" fillId="0" borderId="2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10" fontId="4" fillId="0" borderId="8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2" xfId="0" applyFont="1" applyBorder="1" applyAlignment="1">
      <alignment horizontal="center" vertical="center" wrapText="1"/>
    </xf>
    <xf numFmtId="10" fontId="4" fillId="0" borderId="2" xfId="0" applyNumberFormat="1" applyFont="1" applyBorder="1" applyAlignment="1">
      <alignment horizontal="center" vertical="center" wrapText="1"/>
    </xf>
    <xf numFmtId="0" fontId="4" fillId="0" borderId="7" xfId="0" applyFont="1" applyBorder="1" applyAlignment="1">
      <alignment vertical="center" wrapText="1"/>
    </xf>
    <xf numFmtId="0" fontId="4" fillId="0" borderId="7" xfId="0" applyFont="1" applyBorder="1" applyAlignment="1">
      <alignment horizontal="center" vertical="center" wrapText="1"/>
    </xf>
    <xf numFmtId="0" fontId="4" fillId="13" borderId="2" xfId="0" applyFont="1" applyFill="1" applyBorder="1" applyAlignment="1">
      <alignment horizontal="center" vertical="center" wrapText="1"/>
    </xf>
    <xf numFmtId="10" fontId="4" fillId="13" borderId="2" xfId="0" applyNumberFormat="1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vertical="center" wrapText="1"/>
    </xf>
    <xf numFmtId="0" fontId="10" fillId="14" borderId="1" xfId="0" applyFont="1" applyFill="1" applyBorder="1" applyAlignment="1">
      <alignment vertical="center" wrapText="1"/>
    </xf>
    <xf numFmtId="0" fontId="6" fillId="11" borderId="1" xfId="0" applyFont="1" applyFill="1" applyBorder="1" applyAlignment="1">
      <alignment horizontal="center" vertical="center" wrapText="1"/>
    </xf>
    <xf numFmtId="10" fontId="8" fillId="0" borderId="4" xfId="0" applyNumberFormat="1" applyFont="1" applyBorder="1" applyAlignment="1">
      <alignment horizontal="left" vertical="center" wrapText="1"/>
    </xf>
    <xf numFmtId="0" fontId="8" fillId="0" borderId="6" xfId="0" applyFont="1" applyBorder="1" applyAlignment="1">
      <alignment vertical="center" wrapText="1"/>
    </xf>
    <xf numFmtId="10" fontId="2" fillId="12" borderId="4" xfId="0" applyNumberFormat="1" applyFont="1" applyFill="1" applyBorder="1" applyAlignment="1">
      <alignment horizontal="left" vertical="center" wrapText="1"/>
    </xf>
    <xf numFmtId="10" fontId="2" fillId="0" borderId="4" xfId="0" applyNumberFormat="1" applyFont="1" applyBorder="1" applyAlignment="1">
      <alignment horizontal="left" vertical="center" wrapText="1"/>
    </xf>
    <xf numFmtId="10" fontId="2" fillId="5" borderId="4" xfId="0" applyNumberFormat="1" applyFont="1" applyFill="1" applyBorder="1" applyAlignment="1">
      <alignment horizontal="left" vertical="center" wrapText="1"/>
    </xf>
    <xf numFmtId="0" fontId="0" fillId="5" borderId="1" xfId="0" applyFill="1" applyBorder="1" applyAlignment="1">
      <alignment vertical="center" wrapText="1"/>
    </xf>
    <xf numFmtId="10" fontId="2" fillId="3" borderId="4" xfId="0" applyNumberFormat="1" applyFont="1" applyFill="1" applyBorder="1" applyAlignment="1">
      <alignment horizontal="left" vertical="center" wrapText="1"/>
    </xf>
    <xf numFmtId="0" fontId="0" fillId="3" borderId="1" xfId="0" applyFill="1" applyBorder="1" applyAlignment="1">
      <alignment vertical="center" wrapText="1"/>
    </xf>
    <xf numFmtId="0" fontId="0" fillId="0" borderId="1" xfId="0" applyBorder="1" applyAlignment="1">
      <alignment vertical="center" shrinkToFit="1"/>
    </xf>
    <xf numFmtId="0" fontId="5" fillId="0" borderId="1" xfId="0" applyFont="1" applyBorder="1" applyAlignment="1">
      <alignment horizontal="center" vertical="center" shrinkToFit="1"/>
    </xf>
    <xf numFmtId="0" fontId="5" fillId="0" borderId="1" xfId="0" applyFont="1" applyBorder="1" applyAlignment="1">
      <alignment vertical="center" wrapText="1"/>
    </xf>
    <xf numFmtId="0" fontId="4" fillId="0" borderId="1" xfId="0" applyFont="1" applyBorder="1" applyAlignment="1">
      <alignment vertical="center" shrinkToFit="1"/>
    </xf>
    <xf numFmtId="0" fontId="4" fillId="0" borderId="7" xfId="0" applyFont="1" applyBorder="1" applyAlignment="1">
      <alignment horizontal="center" vertical="center" shrinkToFit="1"/>
    </xf>
    <xf numFmtId="0" fontId="6" fillId="3" borderId="8" xfId="0" applyFont="1" applyFill="1" applyBorder="1" applyAlignment="1">
      <alignment horizontal="center" vertical="center" wrapText="1"/>
    </xf>
    <xf numFmtId="0" fontId="6" fillId="0" borderId="14" xfId="0" applyFont="1" applyBorder="1" applyAlignment="1">
      <alignment vertical="center" wrapText="1"/>
    </xf>
    <xf numFmtId="0" fontId="4" fillId="0" borderId="8" xfId="0" applyFont="1" applyBorder="1" applyAlignment="1">
      <alignment vertical="center" wrapText="1"/>
    </xf>
    <xf numFmtId="0" fontId="4" fillId="0" borderId="9" xfId="0" applyFont="1" applyBorder="1" applyAlignment="1">
      <alignment horizontal="center" vertical="center" wrapText="1"/>
    </xf>
    <xf numFmtId="0" fontId="6" fillId="15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 shrinkToFit="1"/>
    </xf>
    <xf numFmtId="0" fontId="8" fillId="0" borderId="10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shrinkToFit="1"/>
    </xf>
    <xf numFmtId="0" fontId="2" fillId="9" borderId="1" xfId="0" applyFont="1" applyFill="1" applyBorder="1" applyAlignment="1">
      <alignment horizontal="left" vertical="center" wrapText="1"/>
    </xf>
    <xf numFmtId="0" fontId="2" fillId="9" borderId="6" xfId="0" applyFont="1" applyFill="1" applyBorder="1" applyAlignment="1">
      <alignment horizontal="left" vertical="center" wrapText="1"/>
    </xf>
    <xf numFmtId="0" fontId="13" fillId="0" borderId="1" xfId="0" applyFont="1" applyBorder="1" applyAlignment="1">
      <alignment horizontal="center" vertical="center" wrapText="1"/>
    </xf>
    <xf numFmtId="0" fontId="7" fillId="16" borderId="1" xfId="0" applyFont="1" applyFill="1" applyBorder="1" applyAlignment="1">
      <alignment horizontal="center" vertical="center" wrapText="1"/>
    </xf>
    <xf numFmtId="0" fontId="15" fillId="0" borderId="6" xfId="0" applyFont="1" applyBorder="1" applyAlignment="1">
      <alignment horizontal="left" vertical="center" wrapText="1"/>
    </xf>
    <xf numFmtId="0" fontId="16" fillId="0" borderId="6" xfId="0" applyFont="1" applyBorder="1" applyAlignment="1">
      <alignment horizontal="left" vertical="center" wrapText="1"/>
    </xf>
    <xf numFmtId="0" fontId="15" fillId="16" borderId="6" xfId="0" applyFont="1" applyFill="1" applyBorder="1" applyAlignment="1">
      <alignment horizontal="left" vertical="center" wrapText="1"/>
    </xf>
    <xf numFmtId="0" fontId="16" fillId="16" borderId="6" xfId="0" applyFont="1" applyFill="1" applyBorder="1" applyAlignment="1">
      <alignment horizontal="left" vertical="center" wrapText="1"/>
    </xf>
    <xf numFmtId="0" fontId="13" fillId="17" borderId="6" xfId="0" applyFont="1" applyFill="1" applyBorder="1" applyAlignment="1">
      <alignment horizontal="left" vertical="center" wrapText="1"/>
    </xf>
    <xf numFmtId="0" fontId="0" fillId="9" borderId="6" xfId="0" applyFill="1" applyBorder="1" applyAlignment="1">
      <alignment horizontal="left" vertical="center" wrapText="1"/>
    </xf>
    <xf numFmtId="0" fontId="0" fillId="5" borderId="6" xfId="0" applyFill="1" applyBorder="1" applyAlignment="1">
      <alignment horizontal="left" vertical="center" wrapText="1"/>
    </xf>
    <xf numFmtId="0" fontId="0" fillId="3" borderId="6" xfId="0" applyFill="1" applyBorder="1" applyAlignment="1">
      <alignment horizontal="left" vertical="center" wrapText="1"/>
    </xf>
    <xf numFmtId="0" fontId="13" fillId="0" borderId="1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9" fontId="0" fillId="0" borderId="15" xfId="0" applyNumberFormat="1" applyBorder="1" applyAlignment="1">
      <alignment horizontal="center" vertical="center" wrapText="1"/>
    </xf>
    <xf numFmtId="9" fontId="3" fillId="0" borderId="2" xfId="0" applyNumberFormat="1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9" fontId="7" fillId="0" borderId="1" xfId="0" applyNumberFormat="1" applyFont="1" applyBorder="1" applyAlignment="1">
      <alignment horizontal="center" vertical="center" wrapText="1"/>
    </xf>
    <xf numFmtId="9" fontId="8" fillId="0" borderId="6" xfId="0" applyNumberFormat="1" applyFont="1" applyBorder="1" applyAlignment="1">
      <alignment horizontal="left" vertical="center" wrapText="1"/>
    </xf>
    <xf numFmtId="187" fontId="2" fillId="0" borderId="1" xfId="0" applyNumberFormat="1" applyFont="1" applyBorder="1" applyAlignment="1">
      <alignment horizontal="left" vertical="center" wrapText="1"/>
    </xf>
    <xf numFmtId="187" fontId="2" fillId="5" borderId="1" xfId="0" applyNumberFormat="1" applyFont="1" applyFill="1" applyBorder="1" applyAlignment="1">
      <alignment horizontal="left" vertical="center" wrapText="1"/>
    </xf>
    <xf numFmtId="189" fontId="0" fillId="9" borderId="6" xfId="0" applyNumberFormat="1" applyFill="1" applyBorder="1" applyAlignment="1">
      <alignment horizontal="left" vertical="center" wrapText="1"/>
    </xf>
    <xf numFmtId="187" fontId="17" fillId="0" borderId="6" xfId="0" applyNumberFormat="1" applyFont="1" applyBorder="1" applyAlignment="1">
      <alignment horizontal="left" vertical="center" wrapText="1"/>
    </xf>
    <xf numFmtId="187" fontId="0" fillId="0" borderId="6" xfId="0" applyNumberFormat="1" applyBorder="1" applyAlignment="1">
      <alignment horizontal="left" vertical="center" wrapText="1"/>
    </xf>
    <xf numFmtId="187" fontId="2" fillId="0" borderId="6" xfId="0" applyNumberFormat="1" applyFont="1" applyBorder="1" applyAlignment="1">
      <alignment horizontal="left" vertical="center" wrapText="1"/>
    </xf>
    <xf numFmtId="187" fontId="2" fillId="3" borderId="6" xfId="0" applyNumberFormat="1" applyFont="1" applyFill="1" applyBorder="1" applyAlignment="1">
      <alignment horizontal="left" vertical="center" wrapText="1"/>
    </xf>
    <xf numFmtId="187" fontId="2" fillId="3" borderId="1" xfId="0" applyNumberFormat="1" applyFont="1" applyFill="1" applyBorder="1" applyAlignment="1">
      <alignment horizontal="left" vertical="center" wrapText="1"/>
    </xf>
    <xf numFmtId="0" fontId="18" fillId="0" borderId="6" xfId="0" applyFont="1" applyBorder="1" applyAlignment="1">
      <alignment horizontal="left" vertical="center" wrapText="1"/>
    </xf>
    <xf numFmtId="0" fontId="18" fillId="3" borderId="6" xfId="0" applyFont="1" applyFill="1" applyBorder="1" applyAlignment="1">
      <alignment horizontal="left" vertical="center" wrapText="1"/>
    </xf>
    <xf numFmtId="0" fontId="0" fillId="18" borderId="15" xfId="0" applyFill="1" applyBorder="1" applyAlignment="1">
      <alignment horizontal="center" vertical="center" wrapText="1"/>
    </xf>
    <xf numFmtId="9" fontId="0" fillId="18" borderId="15" xfId="0" applyNumberFormat="1" applyFill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13" borderId="9" xfId="0" applyFont="1" applyFill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187" fontId="2" fillId="5" borderId="6" xfId="0" applyNumberFormat="1" applyFont="1" applyFill="1" applyBorder="1" applyAlignment="1">
      <alignment horizontal="left" vertical="center" wrapText="1"/>
    </xf>
    <xf numFmtId="0" fontId="19" fillId="0" borderId="6" xfId="0" applyFont="1" applyBorder="1" applyAlignment="1">
      <alignment horizontal="left" vertical="center" wrapText="1"/>
    </xf>
    <xf numFmtId="0" fontId="8" fillId="16" borderId="6" xfId="0" applyFont="1" applyFill="1" applyBorder="1" applyAlignment="1">
      <alignment horizontal="left" vertical="center" wrapText="1"/>
    </xf>
    <xf numFmtId="0" fontId="18" fillId="16" borderId="6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5" fillId="0" borderId="3" xfId="0" applyFont="1" applyBorder="1" applyAlignment="1">
      <alignment vertical="center" wrapText="1"/>
    </xf>
    <xf numFmtId="0" fontId="5" fillId="0" borderId="0" xfId="0" applyFont="1" applyAlignment="1">
      <alignment vertical="center" wrapText="1"/>
    </xf>
    <xf numFmtId="0" fontId="4" fillId="13" borderId="14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7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left" vertical="center" wrapText="1"/>
    </xf>
    <xf numFmtId="0" fontId="2" fillId="9" borderId="16" xfId="0" applyFont="1" applyFill="1" applyBorder="1" applyAlignment="1">
      <alignment horizontal="left" vertical="center" wrapText="1"/>
    </xf>
    <xf numFmtId="0" fontId="2" fillId="5" borderId="16" xfId="0" applyFont="1" applyFill="1" applyBorder="1" applyAlignment="1">
      <alignment horizontal="left" vertical="center" wrapText="1"/>
    </xf>
    <xf numFmtId="0" fontId="2" fillId="3" borderId="16" xfId="0" applyFont="1" applyFill="1" applyBorder="1" applyAlignment="1">
      <alignment horizontal="left" vertical="center" wrapText="1"/>
    </xf>
    <xf numFmtId="190" fontId="2" fillId="9" borderId="6" xfId="0" applyNumberFormat="1" applyFont="1" applyFill="1" applyBorder="1" applyAlignment="1">
      <alignment horizontal="left" vertical="center" wrapText="1"/>
    </xf>
    <xf numFmtId="190" fontId="2" fillId="5" borderId="6" xfId="0" applyNumberFormat="1" applyFont="1" applyFill="1" applyBorder="1" applyAlignment="1">
      <alignment horizontal="left" vertical="center" wrapText="1"/>
    </xf>
    <xf numFmtId="190" fontId="2" fillId="3" borderId="6" xfId="0" applyNumberFormat="1" applyFont="1" applyFill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7" fillId="0" borderId="10" xfId="0" applyFont="1" applyBorder="1" applyAlignment="1">
      <alignment horizontal="left" vertical="center" wrapText="1"/>
    </xf>
    <xf numFmtId="0" fontId="2" fillId="14" borderId="6" xfId="0" applyFont="1" applyFill="1" applyBorder="1" applyAlignment="1">
      <alignment horizontal="left" vertical="center" wrapText="1"/>
    </xf>
    <xf numFmtId="0" fontId="2" fillId="14" borderId="17" xfId="0" applyFont="1" applyFill="1" applyBorder="1" applyAlignment="1">
      <alignment horizontal="left" vertical="center" wrapText="1"/>
    </xf>
    <xf numFmtId="0" fontId="2" fillId="5" borderId="17" xfId="0" applyFont="1" applyFill="1" applyBorder="1" applyAlignment="1">
      <alignment horizontal="left" vertical="center" wrapText="1"/>
    </xf>
    <xf numFmtId="0" fontId="2" fillId="3" borderId="17" xfId="0" applyFont="1" applyFill="1" applyBorder="1" applyAlignment="1">
      <alignment horizontal="left" vertical="center" wrapText="1"/>
    </xf>
    <xf numFmtId="0" fontId="5" fillId="0" borderId="12" xfId="0" applyFont="1" applyBorder="1" applyAlignment="1">
      <alignment vertical="center" wrapText="1"/>
    </xf>
    <xf numFmtId="0" fontId="7" fillId="0" borderId="9" xfId="0" applyFont="1" applyBorder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left" vertical="center" wrapText="1"/>
    </xf>
    <xf numFmtId="0" fontId="9" fillId="0" borderId="13" xfId="0" applyFont="1" applyBorder="1" applyAlignment="1">
      <alignment horizontal="left" vertical="center" wrapText="1"/>
    </xf>
    <xf numFmtId="0" fontId="2" fillId="19" borderId="6" xfId="0" applyFont="1" applyFill="1" applyBorder="1" applyAlignment="1">
      <alignment horizontal="left" vertical="center" wrapText="1"/>
    </xf>
    <xf numFmtId="0" fontId="2" fillId="19" borderId="17" xfId="0" applyFont="1" applyFill="1" applyBorder="1" applyAlignment="1">
      <alignment horizontal="left" vertical="center" wrapText="1"/>
    </xf>
    <xf numFmtId="0" fontId="2" fillId="9" borderId="17" xfId="0" applyFont="1" applyFill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5" borderId="5" xfId="0" applyFont="1" applyFill="1" applyBorder="1" applyAlignment="1">
      <alignment horizontal="left" vertical="center" wrapText="1"/>
    </xf>
    <xf numFmtId="0" fontId="2" fillId="3" borderId="5" xfId="0" applyFont="1" applyFill="1" applyBorder="1" applyAlignment="1">
      <alignment horizontal="left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2" fillId="9" borderId="24" xfId="0" applyFont="1" applyFill="1" applyBorder="1" applyAlignment="1">
      <alignment horizontal="left" vertical="center" wrapText="1"/>
    </xf>
    <xf numFmtId="0" fontId="2" fillId="5" borderId="24" xfId="0" applyFont="1" applyFill="1" applyBorder="1" applyAlignment="1">
      <alignment horizontal="left" vertical="center" wrapText="1"/>
    </xf>
    <xf numFmtId="0" fontId="2" fillId="3" borderId="24" xfId="0" applyFont="1" applyFill="1" applyBorder="1" applyAlignment="1">
      <alignment horizontal="left" vertical="center" wrapText="1"/>
    </xf>
    <xf numFmtId="184" fontId="0" fillId="0" borderId="15" xfId="0" applyNumberFormat="1" applyBorder="1" applyAlignment="1">
      <alignment horizontal="center" vertical="center" wrapText="1"/>
    </xf>
    <xf numFmtId="10" fontId="0" fillId="0" borderId="15" xfId="0" applyNumberFormat="1" applyBorder="1" applyAlignment="1">
      <alignment horizontal="center" vertical="center" wrapText="1"/>
    </xf>
    <xf numFmtId="186" fontId="0" fillId="0" borderId="15" xfId="0" applyNumberFormat="1" applyBorder="1" applyAlignment="1">
      <alignment horizontal="center" vertical="center" wrapText="1"/>
    </xf>
    <xf numFmtId="184" fontId="5" fillId="0" borderId="0" xfId="0" applyNumberFormat="1" applyFont="1" applyAlignment="1">
      <alignment horizontal="center" vertical="center" wrapText="1"/>
    </xf>
    <xf numFmtId="186" fontId="5" fillId="0" borderId="0" xfId="0" applyNumberFormat="1" applyFont="1" applyAlignment="1">
      <alignment horizontal="center" vertical="center" wrapText="1"/>
    </xf>
    <xf numFmtId="184" fontId="13" fillId="0" borderId="5" xfId="0" applyNumberFormat="1" applyFont="1" applyBorder="1" applyAlignment="1">
      <alignment horizontal="center" vertical="center" wrapText="1"/>
    </xf>
    <xf numFmtId="10" fontId="13" fillId="0" borderId="5" xfId="0" applyNumberFormat="1" applyFont="1" applyBorder="1" applyAlignment="1">
      <alignment horizontal="center" vertical="center" wrapText="1"/>
    </xf>
    <xf numFmtId="184" fontId="0" fillId="0" borderId="2" xfId="0" applyNumberFormat="1" applyBorder="1" applyAlignment="1">
      <alignment horizontal="center" vertical="center" wrapText="1"/>
    </xf>
    <xf numFmtId="10" fontId="0" fillId="0" borderId="2" xfId="0" applyNumberForma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84" fontId="21" fillId="3" borderId="1" xfId="0" applyNumberFormat="1" applyFont="1" applyFill="1" applyBorder="1" applyAlignment="1">
      <alignment horizontal="center" vertical="center" wrapText="1"/>
    </xf>
    <xf numFmtId="10" fontId="21" fillId="0" borderId="1" xfId="0" applyNumberFormat="1" applyFont="1" applyBorder="1" applyAlignment="1">
      <alignment horizontal="center" vertical="center" wrapText="1"/>
    </xf>
    <xf numFmtId="186" fontId="21" fillId="0" borderId="1" xfId="0" applyNumberFormat="1" applyFont="1" applyBorder="1" applyAlignment="1">
      <alignment horizontal="center" vertical="center" wrapText="1"/>
    </xf>
    <xf numFmtId="0" fontId="19" fillId="0" borderId="13" xfId="0" applyFont="1" applyBorder="1" applyAlignment="1">
      <alignment horizontal="left" vertical="center" wrapText="1"/>
    </xf>
    <xf numFmtId="0" fontId="19" fillId="0" borderId="4" xfId="0" applyFont="1" applyBorder="1" applyAlignment="1">
      <alignment horizontal="left" vertical="center" wrapText="1"/>
    </xf>
    <xf numFmtId="184" fontId="22" fillId="3" borderId="5" xfId="0" applyNumberFormat="1" applyFont="1" applyFill="1" applyBorder="1" applyAlignment="1">
      <alignment horizontal="left" vertical="center" wrapText="1"/>
    </xf>
    <xf numFmtId="10" fontId="8" fillId="3" borderId="4" xfId="0" applyNumberFormat="1" applyFont="1" applyFill="1" applyBorder="1" applyAlignment="1">
      <alignment horizontal="left" vertical="center" wrapText="1"/>
    </xf>
    <xf numFmtId="0" fontId="2" fillId="9" borderId="13" xfId="0" applyFont="1" applyFill="1" applyBorder="1" applyAlignment="1">
      <alignment horizontal="left" vertical="center" wrapText="1"/>
    </xf>
    <xf numFmtId="184" fontId="2" fillId="3" borderId="5" xfId="0" applyNumberFormat="1" applyFont="1" applyFill="1" applyBorder="1" applyAlignment="1">
      <alignment horizontal="left" vertical="center" wrapText="1"/>
    </xf>
    <xf numFmtId="10" fontId="2" fillId="3" borderId="5" xfId="0" applyNumberFormat="1" applyFont="1" applyFill="1" applyBorder="1" applyAlignment="1">
      <alignment horizontal="left" vertical="center" wrapText="1"/>
    </xf>
    <xf numFmtId="186" fontId="2" fillId="9" borderId="24" xfId="0" applyNumberFormat="1" applyFont="1" applyFill="1" applyBorder="1" applyAlignment="1">
      <alignment horizontal="left" vertical="center" wrapText="1"/>
    </xf>
    <xf numFmtId="0" fontId="2" fillId="5" borderId="13" xfId="0" applyFont="1" applyFill="1" applyBorder="1" applyAlignment="1">
      <alignment horizontal="left" vertical="center" wrapText="1"/>
    </xf>
    <xf numFmtId="184" fontId="2" fillId="5" borderId="5" xfId="0" applyNumberFormat="1" applyFont="1" applyFill="1" applyBorder="1" applyAlignment="1">
      <alignment horizontal="left" vertical="center" wrapText="1"/>
    </xf>
    <xf numFmtId="10" fontId="2" fillId="5" borderId="5" xfId="0" applyNumberFormat="1" applyFont="1" applyFill="1" applyBorder="1" applyAlignment="1">
      <alignment horizontal="left" vertical="center" wrapText="1"/>
    </xf>
    <xf numFmtId="0" fontId="2" fillId="3" borderId="13" xfId="0" applyFont="1" applyFill="1" applyBorder="1" applyAlignment="1">
      <alignment horizontal="left" vertical="center" wrapText="1"/>
    </xf>
    <xf numFmtId="186" fontId="2" fillId="3" borderId="24" xfId="0" applyNumberFormat="1" applyFont="1" applyFill="1" applyBorder="1" applyAlignment="1">
      <alignment horizontal="left" vertical="center" wrapText="1"/>
    </xf>
    <xf numFmtId="186" fontId="5" fillId="0" borderId="14" xfId="0" applyNumberFormat="1" applyFont="1" applyBorder="1" applyAlignment="1">
      <alignment horizontal="center" vertical="center" wrapText="1"/>
    </xf>
    <xf numFmtId="186" fontId="7" fillId="0" borderId="1" xfId="0" applyNumberFormat="1" applyFont="1" applyBorder="1" applyAlignment="1">
      <alignment horizontal="center" vertical="center" wrapText="1"/>
    </xf>
    <xf numFmtId="186" fontId="7" fillId="0" borderId="26" xfId="0" applyNumberFormat="1" applyFont="1" applyBorder="1" applyAlignment="1">
      <alignment horizontal="center" vertical="center" wrapText="1"/>
    </xf>
    <xf numFmtId="186" fontId="7" fillId="0" borderId="27" xfId="0" applyNumberFormat="1" applyFont="1" applyBorder="1" applyAlignment="1">
      <alignment horizontal="center" vertical="center" wrapText="1"/>
    </xf>
    <xf numFmtId="186" fontId="7" fillId="0" borderId="28" xfId="0" applyNumberFormat="1" applyFont="1" applyBorder="1" applyAlignment="1">
      <alignment horizontal="center" vertical="center" wrapText="1"/>
    </xf>
    <xf numFmtId="186" fontId="8" fillId="0" borderId="13" xfId="0" applyNumberFormat="1" applyFont="1" applyBorder="1" applyAlignment="1">
      <alignment horizontal="left" vertical="center" wrapText="1"/>
    </xf>
    <xf numFmtId="186" fontId="8" fillId="0" borderId="6" xfId="0" applyNumberFormat="1" applyFont="1" applyBorder="1" applyAlignment="1">
      <alignment horizontal="left" vertical="center" wrapText="1"/>
    </xf>
    <xf numFmtId="186" fontId="8" fillId="0" borderId="4" xfId="0" applyNumberFormat="1" applyFont="1" applyBorder="1" applyAlignment="1">
      <alignment horizontal="left" vertical="center" wrapText="1"/>
    </xf>
    <xf numFmtId="186" fontId="8" fillId="0" borderId="12" xfId="0" applyNumberFormat="1" applyFont="1" applyBorder="1" applyAlignment="1">
      <alignment horizontal="left" vertical="center" wrapText="1"/>
    </xf>
    <xf numFmtId="186" fontId="8" fillId="0" borderId="10" xfId="0" applyNumberFormat="1" applyFont="1" applyBorder="1" applyAlignment="1">
      <alignment horizontal="left" vertical="center" wrapText="1"/>
    </xf>
    <xf numFmtId="186" fontId="8" fillId="0" borderId="29" xfId="0" applyNumberFormat="1" applyFont="1" applyBorder="1" applyAlignment="1">
      <alignment horizontal="left" vertical="center" wrapText="1"/>
    </xf>
    <xf numFmtId="186" fontId="2" fillId="9" borderId="13" xfId="0" applyNumberFormat="1" applyFont="1" applyFill="1" applyBorder="1" applyAlignment="1">
      <alignment horizontal="left" vertical="center" wrapText="1"/>
    </xf>
    <xf numFmtId="186" fontId="2" fillId="0" borderId="1" xfId="0" applyNumberFormat="1" applyFont="1" applyBorder="1" applyAlignment="1">
      <alignment horizontal="left" vertical="center" wrapText="1"/>
    </xf>
    <xf numFmtId="186" fontId="2" fillId="9" borderId="6" xfId="0" applyNumberFormat="1" applyFont="1" applyFill="1" applyBorder="1" applyAlignment="1">
      <alignment horizontal="left" vertical="center" wrapText="1"/>
    </xf>
    <xf numFmtId="186" fontId="2" fillId="5" borderId="13" xfId="0" applyNumberFormat="1" applyFont="1" applyFill="1" applyBorder="1" applyAlignment="1">
      <alignment horizontal="left" vertical="center" wrapText="1"/>
    </xf>
    <xf numFmtId="186" fontId="2" fillId="5" borderId="1" xfId="0" applyNumberFormat="1" applyFont="1" applyFill="1" applyBorder="1" applyAlignment="1">
      <alignment horizontal="left" vertical="center" wrapText="1"/>
    </xf>
    <xf numFmtId="186" fontId="2" fillId="5" borderId="6" xfId="0" applyNumberFormat="1" applyFont="1" applyFill="1" applyBorder="1" applyAlignment="1">
      <alignment horizontal="left" vertical="center" wrapText="1"/>
    </xf>
    <xf numFmtId="186" fontId="2" fillId="5" borderId="24" xfId="0" applyNumberFormat="1" applyFont="1" applyFill="1" applyBorder="1" applyAlignment="1">
      <alignment horizontal="left" vertical="center" wrapText="1"/>
    </xf>
    <xf numFmtId="186" fontId="2" fillId="3" borderId="13" xfId="0" applyNumberFormat="1" applyFont="1" applyFill="1" applyBorder="1" applyAlignment="1">
      <alignment horizontal="left" vertical="center" wrapText="1"/>
    </xf>
    <xf numFmtId="186" fontId="2" fillId="3" borderId="1" xfId="0" applyNumberFormat="1" applyFont="1" applyFill="1" applyBorder="1" applyAlignment="1">
      <alignment horizontal="left" vertical="center" wrapText="1"/>
    </xf>
    <xf numFmtId="186" fontId="2" fillId="3" borderId="6" xfId="0" applyNumberFormat="1" applyFont="1" applyFill="1" applyBorder="1" applyAlignment="1">
      <alignment horizontal="left" vertical="center" wrapText="1"/>
    </xf>
    <xf numFmtId="186" fontId="0" fillId="0" borderId="1" xfId="0" applyNumberFormat="1" applyBorder="1" applyAlignment="1">
      <alignment horizontal="center" vertical="center" wrapText="1"/>
    </xf>
    <xf numFmtId="186" fontId="5" fillId="0" borderId="12" xfId="0" applyNumberFormat="1" applyFont="1" applyBorder="1" applyAlignment="1">
      <alignment horizontal="center" vertical="center" wrapText="1"/>
    </xf>
    <xf numFmtId="186" fontId="22" fillId="0" borderId="0" xfId="0" applyNumberFormat="1" applyFont="1" applyAlignment="1">
      <alignment horizontal="left" vertical="center" wrapText="1"/>
    </xf>
    <xf numFmtId="186" fontId="2" fillId="9" borderId="16" xfId="0" applyNumberFormat="1" applyFont="1" applyFill="1" applyBorder="1" applyAlignment="1">
      <alignment horizontal="left" vertical="center" wrapText="1"/>
    </xf>
    <xf numFmtId="186" fontId="2" fillId="5" borderId="16" xfId="0" applyNumberFormat="1" applyFont="1" applyFill="1" applyBorder="1" applyAlignment="1">
      <alignment horizontal="left" vertical="center" wrapText="1"/>
    </xf>
    <xf numFmtId="186" fontId="2" fillId="3" borderId="16" xfId="0" applyNumberFormat="1" applyFont="1" applyFill="1" applyBorder="1" applyAlignment="1">
      <alignment horizontal="left" vertical="center" wrapText="1"/>
    </xf>
    <xf numFmtId="186" fontId="7" fillId="20" borderId="1" xfId="0" applyNumberFormat="1" applyFont="1" applyFill="1" applyBorder="1" applyAlignment="1">
      <alignment horizontal="center" vertical="center" wrapText="1"/>
    </xf>
    <xf numFmtId="186" fontId="21" fillId="20" borderId="1" xfId="0" applyNumberFormat="1" applyFont="1" applyFill="1" applyBorder="1" applyAlignment="1">
      <alignment vertical="center" wrapText="1"/>
    </xf>
    <xf numFmtId="186" fontId="5" fillId="20" borderId="14" xfId="0" applyNumberFormat="1" applyFont="1" applyFill="1" applyBorder="1" applyAlignment="1">
      <alignment vertical="center" wrapText="1"/>
    </xf>
    <xf numFmtId="186" fontId="21" fillId="20" borderId="1" xfId="0" applyNumberFormat="1" applyFont="1" applyFill="1" applyBorder="1" applyAlignment="1">
      <alignment horizontal="center" vertical="center" wrapText="1"/>
    </xf>
    <xf numFmtId="186" fontId="2" fillId="0" borderId="6" xfId="0" applyNumberFormat="1" applyFont="1" applyBorder="1" applyAlignment="1">
      <alignment horizontal="left" vertical="center" wrapText="1"/>
    </xf>
    <xf numFmtId="186" fontId="7" fillId="14" borderId="1" xfId="0" applyNumberFormat="1" applyFont="1" applyFill="1" applyBorder="1" applyAlignment="1">
      <alignment horizontal="center" vertical="center" wrapText="1"/>
    </xf>
    <xf numFmtId="186" fontId="5" fillId="0" borderId="8" xfId="0" applyNumberFormat="1" applyFont="1" applyBorder="1" applyAlignment="1">
      <alignment horizontal="center" vertical="center"/>
    </xf>
    <xf numFmtId="186" fontId="5" fillId="14" borderId="14" xfId="0" applyNumberFormat="1" applyFont="1" applyFill="1" applyBorder="1" applyAlignment="1">
      <alignment vertical="center" wrapText="1"/>
    </xf>
    <xf numFmtId="186" fontId="21" fillId="14" borderId="1" xfId="0" applyNumberFormat="1" applyFont="1" applyFill="1" applyBorder="1" applyAlignment="1">
      <alignment horizontal="center" vertical="center" wrapText="1"/>
    </xf>
    <xf numFmtId="186" fontId="7" fillId="0" borderId="12" xfId="0" applyNumberFormat="1" applyFont="1" applyBorder="1" applyAlignment="1">
      <alignment horizontal="center" vertical="center" wrapText="1"/>
    </xf>
    <xf numFmtId="186" fontId="2" fillId="0" borderId="13" xfId="0" applyNumberFormat="1" applyFont="1" applyBorder="1" applyAlignment="1">
      <alignment horizontal="left" vertical="center" wrapText="1"/>
    </xf>
    <xf numFmtId="0" fontId="21" fillId="0" borderId="5" xfId="0" applyFont="1" applyBorder="1" applyAlignment="1">
      <alignment horizontal="center" vertical="center" wrapText="1"/>
    </xf>
    <xf numFmtId="186" fontId="21" fillId="0" borderId="4" xfId="0" applyNumberFormat="1" applyFont="1" applyBorder="1" applyAlignment="1">
      <alignment horizontal="center" vertical="center" wrapText="1"/>
    </xf>
    <xf numFmtId="186" fontId="21" fillId="0" borderId="5" xfId="0" applyNumberFormat="1" applyFont="1" applyBorder="1" applyAlignment="1">
      <alignment horizontal="center" vertical="center" wrapText="1"/>
    </xf>
    <xf numFmtId="186" fontId="4" fillId="0" borderId="8" xfId="0" applyNumberFormat="1" applyFont="1" applyBorder="1" applyAlignment="1">
      <alignment horizontal="center" vertical="center" wrapText="1"/>
    </xf>
    <xf numFmtId="186" fontId="7" fillId="3" borderId="1" xfId="0" applyNumberFormat="1" applyFont="1" applyFill="1" applyBorder="1" applyAlignment="1">
      <alignment horizontal="center" vertical="center" wrapText="1"/>
    </xf>
    <xf numFmtId="186" fontId="5" fillId="0" borderId="15" xfId="0" applyNumberFormat="1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186" fontId="22" fillId="0" borderId="13" xfId="0" applyNumberFormat="1" applyFont="1" applyBorder="1" applyAlignment="1">
      <alignment horizontal="left" vertical="center" wrapText="1"/>
    </xf>
    <xf numFmtId="186" fontId="22" fillId="3" borderId="5" xfId="0" applyNumberFormat="1" applyFont="1" applyFill="1" applyBorder="1" applyAlignment="1">
      <alignment horizontal="left" vertical="center" wrapText="1"/>
    </xf>
    <xf numFmtId="186" fontId="2" fillId="3" borderId="5" xfId="0" applyNumberFormat="1" applyFont="1" applyFill="1" applyBorder="1" applyAlignment="1">
      <alignment horizontal="left" vertical="center" wrapText="1"/>
    </xf>
    <xf numFmtId="186" fontId="2" fillId="5" borderId="5" xfId="0" applyNumberFormat="1" applyFont="1" applyFill="1" applyBorder="1" applyAlignment="1">
      <alignment horizontal="left" vertical="center" wrapText="1"/>
    </xf>
    <xf numFmtId="0" fontId="21" fillId="0" borderId="0" xfId="0" applyFont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8" fillId="0" borderId="29" xfId="0" applyFont="1" applyBorder="1" applyAlignment="1">
      <alignment horizontal="left" vertical="center" wrapText="1"/>
    </xf>
    <xf numFmtId="0" fontId="22" fillId="0" borderId="12" xfId="0" applyFont="1" applyBorder="1" applyAlignment="1">
      <alignment horizontal="left" vertical="center" wrapText="1"/>
    </xf>
    <xf numFmtId="0" fontId="22" fillId="0" borderId="10" xfId="0" applyFont="1" applyBorder="1" applyAlignment="1">
      <alignment horizontal="left" vertical="center" wrapText="1"/>
    </xf>
    <xf numFmtId="0" fontId="22" fillId="0" borderId="0" xfId="0" applyFont="1" applyAlignment="1">
      <alignment horizontal="left" vertical="center" wrapText="1"/>
    </xf>
    <xf numFmtId="0" fontId="8" fillId="0" borderId="13" xfId="0" applyFont="1" applyBorder="1" applyAlignment="1">
      <alignment horizontal="left" vertical="center" wrapText="1"/>
    </xf>
    <xf numFmtId="0" fontId="7" fillId="20" borderId="1" xfId="0" applyFont="1" applyFill="1" applyBorder="1" applyAlignment="1">
      <alignment horizontal="center" vertical="center" wrapText="1"/>
    </xf>
    <xf numFmtId="0" fontId="21" fillId="20" borderId="1" xfId="0" applyFont="1" applyFill="1" applyBorder="1" applyAlignment="1">
      <alignment vertical="center" wrapText="1"/>
    </xf>
    <xf numFmtId="0" fontId="20" fillId="20" borderId="1" xfId="0" applyFont="1" applyFill="1" applyBorder="1" applyAlignment="1">
      <alignment horizontal="center" vertical="center" wrapText="1"/>
    </xf>
    <xf numFmtId="0" fontId="2" fillId="20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5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21" fillId="0" borderId="13" xfId="0" applyFont="1" applyBorder="1" applyAlignment="1">
      <alignment horizontal="center" vertical="center" wrapText="1"/>
    </xf>
    <xf numFmtId="0" fontId="5" fillId="20" borderId="14" xfId="0" applyFont="1" applyFill="1" applyBorder="1" applyAlignment="1">
      <alignment vertical="center" wrapText="1"/>
    </xf>
    <xf numFmtId="0" fontId="17" fillId="20" borderId="1" xfId="0" applyFont="1" applyFill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0" fillId="14" borderId="14" xfId="0" applyFill="1" applyBorder="1" applyAlignment="1">
      <alignment vertical="center" wrapText="1"/>
    </xf>
    <xf numFmtId="0" fontId="0" fillId="21" borderId="0" xfId="0" applyFill="1" applyAlignment="1">
      <alignment horizontal="center" vertical="center"/>
    </xf>
    <xf numFmtId="0" fontId="17" fillId="14" borderId="1" xfId="0" applyFont="1" applyFill="1" applyBorder="1" applyAlignment="1">
      <alignment horizontal="center" vertical="center" wrapText="1"/>
    </xf>
    <xf numFmtId="0" fontId="0" fillId="21" borderId="0" xfId="0" applyFill="1" applyAlignment="1">
      <alignment vertical="center" wrapText="1"/>
    </xf>
    <xf numFmtId="0" fontId="12" fillId="0" borderId="0" xfId="0" applyFont="1" applyAlignment="1">
      <alignment horizontal="left" vertical="center" wrapText="1"/>
    </xf>
    <xf numFmtId="0" fontId="4" fillId="5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10" fontId="0" fillId="21" borderId="0" xfId="0" applyNumberFormat="1" applyFill="1">
      <alignment vertical="center"/>
    </xf>
    <xf numFmtId="10" fontId="0" fillId="23" borderId="0" xfId="0" applyNumberFormat="1" applyFill="1" applyAlignment="1">
      <alignment vertical="center" wrapText="1"/>
    </xf>
    <xf numFmtId="0" fontId="0" fillId="23" borderId="0" xfId="0" applyFill="1" applyAlignment="1">
      <alignment vertical="center" wrapText="1"/>
    </xf>
    <xf numFmtId="0" fontId="0" fillId="22" borderId="0" xfId="0" applyFill="1" applyAlignment="1">
      <alignment vertical="center" wrapText="1"/>
    </xf>
    <xf numFmtId="10" fontId="12" fillId="23" borderId="0" xfId="0" applyNumberFormat="1" applyFont="1" applyFill="1" applyAlignment="1">
      <alignment horizontal="left" vertical="center" wrapText="1"/>
    </xf>
    <xf numFmtId="0" fontId="12" fillId="23" borderId="0" xfId="0" applyFont="1" applyFill="1" applyAlignment="1">
      <alignment horizontal="left" vertical="center" wrapText="1"/>
    </xf>
    <xf numFmtId="10" fontId="4" fillId="23" borderId="0" xfId="0" applyNumberFormat="1" applyFont="1" applyFill="1" applyAlignment="1">
      <alignment horizontal="center" vertical="center" wrapText="1"/>
    </xf>
    <xf numFmtId="0" fontId="4" fillId="23" borderId="0" xfId="0" applyFont="1" applyFill="1" applyAlignment="1">
      <alignment horizontal="center" vertical="center" wrapText="1"/>
    </xf>
    <xf numFmtId="10" fontId="0" fillId="24" borderId="0" xfId="0" applyNumberFormat="1" applyFill="1">
      <alignment vertical="center"/>
    </xf>
    <xf numFmtId="0" fontId="0" fillId="22" borderId="12" xfId="0" applyFill="1" applyBorder="1" applyAlignment="1">
      <alignment horizontal="center" vertical="center"/>
    </xf>
    <xf numFmtId="10" fontId="4" fillId="5" borderId="0" xfId="0" applyNumberFormat="1" applyFont="1" applyFill="1" applyAlignment="1">
      <alignment horizontal="center" vertical="center" wrapText="1"/>
    </xf>
    <xf numFmtId="10" fontId="4" fillId="3" borderId="0" xfId="0" applyNumberFormat="1" applyFont="1" applyFill="1" applyAlignment="1">
      <alignment horizontal="center" vertical="center" wrapText="1"/>
    </xf>
    <xf numFmtId="0" fontId="2" fillId="9" borderId="39" xfId="0" applyFont="1" applyFill="1" applyBorder="1" applyAlignment="1">
      <alignment horizontal="left" vertical="center" wrapText="1"/>
    </xf>
    <xf numFmtId="0" fontId="2" fillId="5" borderId="39" xfId="0" applyFont="1" applyFill="1" applyBorder="1" applyAlignment="1">
      <alignment horizontal="left" vertical="center" wrapText="1"/>
    </xf>
    <xf numFmtId="0" fontId="2" fillId="3" borderId="39" xfId="0" applyFont="1" applyFill="1" applyBorder="1" applyAlignment="1">
      <alignment horizontal="left" vertical="center" wrapText="1"/>
    </xf>
    <xf numFmtId="0" fontId="22" fillId="3" borderId="0" xfId="0" applyFont="1" applyFill="1" applyAlignment="1">
      <alignment horizontal="left" vertical="center" wrapText="1"/>
    </xf>
    <xf numFmtId="0" fontId="2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center" wrapText="1"/>
    </xf>
    <xf numFmtId="0" fontId="2" fillId="9" borderId="40" xfId="0" applyFont="1" applyFill="1" applyBorder="1" applyAlignment="1">
      <alignment horizontal="left" vertical="center" wrapText="1"/>
    </xf>
    <xf numFmtId="0" fontId="2" fillId="9" borderId="4" xfId="0" applyFont="1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left" vertical="center" wrapText="1"/>
    </xf>
    <xf numFmtId="0" fontId="2" fillId="3" borderId="40" xfId="0" applyFont="1" applyFill="1" applyBorder="1" applyAlignment="1">
      <alignment horizontal="left" vertical="center" wrapText="1"/>
    </xf>
    <xf numFmtId="0" fontId="4" fillId="3" borderId="1" xfId="0" applyFont="1" applyFill="1" applyBorder="1" applyAlignment="1">
      <alignment horizontal="left" vertical="center" wrapText="1"/>
    </xf>
    <xf numFmtId="0" fontId="18" fillId="0" borderId="1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9" fillId="0" borderId="0" xfId="0" applyFont="1">
      <alignment vertical="center"/>
    </xf>
    <xf numFmtId="191" fontId="0" fillId="0" borderId="1" xfId="0" applyNumberFormat="1" applyBorder="1" applyAlignment="1">
      <alignment horizontal="left" vertical="center"/>
    </xf>
    <xf numFmtId="179" fontId="0" fillId="0" borderId="1" xfId="0" applyNumberFormat="1" applyBorder="1" applyAlignment="1">
      <alignment horizontal="left" vertical="center"/>
    </xf>
    <xf numFmtId="179" fontId="0" fillId="0" borderId="14" xfId="0" applyNumberFormat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0" fontId="0" fillId="25" borderId="1" xfId="0" applyFill="1" applyBorder="1" applyAlignment="1">
      <alignment horizontal="left" vertical="center" wrapText="1"/>
    </xf>
    <xf numFmtId="0" fontId="0" fillId="5" borderId="1" xfId="0" applyFill="1" applyBorder="1">
      <alignment vertical="center"/>
    </xf>
    <xf numFmtId="0" fontId="0" fillId="5" borderId="6" xfId="0" applyFill="1" applyBorder="1">
      <alignment vertical="center"/>
    </xf>
    <xf numFmtId="187" fontId="17" fillId="3" borderId="6" xfId="0" applyNumberFormat="1" applyFont="1" applyFill="1" applyBorder="1" applyAlignment="1">
      <alignment horizontal="left" vertical="center" wrapText="1"/>
    </xf>
    <xf numFmtId="0" fontId="2" fillId="5" borderId="40" xfId="0" applyFont="1" applyFill="1" applyBorder="1" applyAlignment="1">
      <alignment horizontal="left" vertical="center" wrapText="1"/>
    </xf>
    <xf numFmtId="0" fontId="0" fillId="26" borderId="1" xfId="0" applyFill="1" applyBorder="1" applyAlignment="1">
      <alignment horizontal="left" vertical="center" wrapText="1"/>
    </xf>
    <xf numFmtId="0" fontId="83" fillId="5" borderId="1" xfId="1212" applyFill="1" applyBorder="1" applyAlignment="1">
      <alignment horizontal="left" vertical="center" wrapText="1"/>
    </xf>
    <xf numFmtId="10" fontId="13" fillId="0" borderId="6" xfId="0" applyNumberFormat="1" applyFont="1" applyBorder="1" applyAlignment="1">
      <alignment horizontal="left" vertical="center" wrapText="1"/>
    </xf>
    <xf numFmtId="178" fontId="2" fillId="12" borderId="1" xfId="0" applyNumberFormat="1" applyFont="1" applyFill="1" applyBorder="1" applyAlignment="1">
      <alignment horizontal="left" vertical="center" wrapText="1"/>
    </xf>
    <xf numFmtId="192" fontId="0" fillId="9" borderId="6" xfId="0" applyNumberFormat="1" applyFill="1" applyBorder="1" applyAlignment="1">
      <alignment horizontal="left" vertical="center" wrapText="1"/>
    </xf>
    <xf numFmtId="191" fontId="13" fillId="17" borderId="6" xfId="0" applyNumberFormat="1" applyFont="1" applyFill="1" applyBorder="1" applyAlignment="1">
      <alignment horizontal="left" vertical="center" wrapText="1"/>
    </xf>
    <xf numFmtId="191" fontId="0" fillId="9" borderId="6" xfId="0" applyNumberFormat="1" applyFill="1" applyBorder="1" applyAlignment="1">
      <alignment horizontal="left" vertical="center" wrapText="1"/>
    </xf>
    <xf numFmtId="187" fontId="2" fillId="12" borderId="1" xfId="0" applyNumberFormat="1" applyFont="1" applyFill="1" applyBorder="1" applyAlignment="1">
      <alignment horizontal="left" vertical="center" wrapText="1"/>
    </xf>
    <xf numFmtId="0" fontId="2" fillId="0" borderId="16" xfId="0" applyFont="1" applyBorder="1" applyAlignment="1">
      <alignment horizontal="left" vertical="center" wrapText="1"/>
    </xf>
    <xf numFmtId="10" fontId="13" fillId="5" borderId="6" xfId="0" applyNumberFormat="1" applyFont="1" applyFill="1" applyBorder="1" applyAlignment="1">
      <alignment horizontal="left" vertical="center" wrapText="1"/>
    </xf>
    <xf numFmtId="187" fontId="17" fillId="5" borderId="6" xfId="0" applyNumberFormat="1" applyFont="1" applyFill="1" applyBorder="1" applyAlignment="1">
      <alignment horizontal="left" vertical="center" wrapText="1"/>
    </xf>
    <xf numFmtId="0" fontId="23" fillId="27" borderId="0" xfId="0" applyFont="1" applyFill="1" applyAlignment="1">
      <alignment horizontal="center" vertical="center"/>
    </xf>
    <xf numFmtId="0" fontId="0" fillId="0" borderId="0" xfId="0" applyProtection="1">
      <alignment vertical="center"/>
      <protection locked="0"/>
    </xf>
    <xf numFmtId="0" fontId="24" fillId="0" borderId="0" xfId="0" applyFont="1" applyAlignment="1">
      <alignment horizontal="center" vertical="center" wrapText="1"/>
    </xf>
    <xf numFmtId="0" fontId="25" fillId="27" borderId="0" xfId="0" applyFont="1" applyFill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 wrapText="1" shrinkToFit="1"/>
    </xf>
    <xf numFmtId="0" fontId="26" fillId="0" borderId="1" xfId="0" applyFont="1" applyBorder="1" applyAlignment="1">
      <alignment horizontal="left" vertical="center" wrapText="1" shrinkToFit="1"/>
    </xf>
    <xf numFmtId="0" fontId="20" fillId="0" borderId="43" xfId="0" applyFont="1" applyBorder="1" applyAlignment="1">
      <alignment horizontal="left" vertical="center" wrapText="1" shrinkToFit="1"/>
    </xf>
    <xf numFmtId="0" fontId="20" fillId="0" borderId="44" xfId="0" applyFont="1" applyBorder="1" applyAlignment="1">
      <alignment horizontal="left" vertical="center" wrapText="1" shrinkToFit="1"/>
    </xf>
    <xf numFmtId="0" fontId="20" fillId="0" borderId="45" xfId="0" applyFont="1" applyBorder="1" applyAlignment="1">
      <alignment horizontal="left" vertical="center" wrapText="1" shrinkToFit="1"/>
    </xf>
    <xf numFmtId="0" fontId="26" fillId="0" borderId="0" xfId="0" applyFont="1" applyAlignment="1">
      <alignment horizontal="left" vertical="center" wrapText="1" shrinkToFit="1"/>
    </xf>
    <xf numFmtId="0" fontId="26" fillId="0" borderId="14" xfId="0" applyFont="1" applyBorder="1" applyAlignment="1">
      <alignment horizontal="left" vertical="center" wrapText="1" shrinkToFit="1"/>
    </xf>
    <xf numFmtId="0" fontId="26" fillId="9" borderId="1" xfId="0" applyFont="1" applyFill="1" applyBorder="1" applyAlignment="1" applyProtection="1">
      <alignment horizontal="left" vertical="center" wrapText="1" shrinkToFit="1"/>
      <protection locked="0"/>
    </xf>
    <xf numFmtId="0" fontId="26" fillId="28" borderId="1" xfId="0" applyFont="1" applyFill="1" applyBorder="1" applyAlignment="1">
      <alignment horizontal="left" vertical="center" wrapText="1" shrinkToFit="1"/>
    </xf>
    <xf numFmtId="0" fontId="26" fillId="0" borderId="8" xfId="0" applyFont="1" applyBorder="1" applyAlignment="1">
      <alignment horizontal="left" vertical="center" wrapText="1" shrinkToFit="1"/>
    </xf>
    <xf numFmtId="0" fontId="0" fillId="5" borderId="3" xfId="0" applyFill="1" applyBorder="1" applyAlignment="1">
      <alignment vertical="center" wrapText="1"/>
    </xf>
    <xf numFmtId="0" fontId="26" fillId="28" borderId="1" xfId="0" applyFont="1" applyFill="1" applyBorder="1" applyAlignment="1" applyProtection="1">
      <alignment horizontal="left" vertical="center" wrapText="1" shrinkToFit="1"/>
      <protection locked="0"/>
    </xf>
    <xf numFmtId="0" fontId="26" fillId="0" borderId="2" xfId="0" applyFont="1" applyBorder="1" applyAlignment="1">
      <alignment horizontal="left" vertical="center" wrapText="1" shrinkToFit="1"/>
    </xf>
    <xf numFmtId="0" fontId="26" fillId="9" borderId="1" xfId="0" applyFont="1" applyFill="1" applyBorder="1" applyAlignment="1">
      <alignment horizontal="left" vertical="center" wrapText="1" shrinkToFit="1"/>
    </xf>
    <xf numFmtId="0" fontId="26" fillId="5" borderId="1" xfId="0" applyFont="1" applyFill="1" applyBorder="1" applyAlignment="1">
      <alignment horizontal="left" vertical="center" wrapText="1" shrinkToFit="1"/>
    </xf>
    <xf numFmtId="0" fontId="0" fillId="0" borderId="1" xfId="0" applyBorder="1" applyAlignment="1">
      <alignment horizontal="left" vertical="center" wrapText="1" shrinkToFit="1"/>
    </xf>
    <xf numFmtId="0" fontId="0" fillId="28" borderId="1" xfId="0" applyFill="1" applyBorder="1" applyAlignment="1">
      <alignment horizontal="left" vertical="center" wrapText="1" shrinkToFit="1"/>
    </xf>
    <xf numFmtId="0" fontId="26" fillId="5" borderId="14" xfId="0" applyFont="1" applyFill="1" applyBorder="1" applyAlignment="1">
      <alignment horizontal="left" vertical="center" wrapText="1" shrinkToFit="1"/>
    </xf>
    <xf numFmtId="0" fontId="26" fillId="0" borderId="9" xfId="0" applyFont="1" applyBorder="1" applyAlignment="1">
      <alignment horizontal="left" vertical="center" wrapText="1" shrinkToFit="1"/>
    </xf>
    <xf numFmtId="0" fontId="0" fillId="0" borderId="10" xfId="0" applyBorder="1" applyAlignment="1">
      <alignment horizontal="left" vertical="center" wrapText="1" shrinkToFit="1"/>
    </xf>
    <xf numFmtId="0" fontId="26" fillId="0" borderId="12" xfId="0" applyFont="1" applyBorder="1" applyAlignment="1">
      <alignment horizontal="left" vertical="center" wrapText="1" shrinkToFit="1"/>
    </xf>
    <xf numFmtId="0" fontId="26" fillId="0" borderId="5" xfId="0" applyFont="1" applyBorder="1" applyAlignment="1">
      <alignment horizontal="left" vertical="center" wrapText="1" shrinkToFit="1"/>
    </xf>
    <xf numFmtId="0" fontId="26" fillId="29" borderId="14" xfId="0" applyFont="1" applyFill="1" applyBorder="1" applyAlignment="1">
      <alignment horizontal="left" vertical="center" wrapText="1" shrinkToFit="1"/>
    </xf>
    <xf numFmtId="0" fontId="26" fillId="29" borderId="1" xfId="0" applyFont="1" applyFill="1" applyBorder="1" applyAlignment="1">
      <alignment horizontal="left" vertical="center" wrapText="1" shrinkToFit="1"/>
    </xf>
    <xf numFmtId="0" fontId="0" fillId="3" borderId="14" xfId="0" applyFill="1" applyBorder="1" applyAlignment="1">
      <alignment vertical="center" wrapText="1"/>
    </xf>
    <xf numFmtId="0" fontId="0" fillId="30" borderId="14" xfId="0" applyFill="1" applyBorder="1" applyAlignment="1">
      <alignment vertical="center" wrapText="1"/>
    </xf>
    <xf numFmtId="0" fontId="26" fillId="30" borderId="1" xfId="0" applyFont="1" applyFill="1" applyBorder="1" applyAlignment="1">
      <alignment horizontal="left" vertical="center" wrapText="1" shrinkToFit="1"/>
    </xf>
    <xf numFmtId="0" fontId="0" fillId="30" borderId="1" xfId="0" applyFill="1" applyBorder="1" applyAlignment="1">
      <alignment horizontal="left" vertical="center" wrapText="1"/>
    </xf>
    <xf numFmtId="0" fontId="26" fillId="30" borderId="14" xfId="0" applyFont="1" applyFill="1" applyBorder="1" applyAlignment="1">
      <alignment horizontal="left" vertical="center" wrapText="1" shrinkToFit="1"/>
    </xf>
    <xf numFmtId="0" fontId="26" fillId="3" borderId="14" xfId="0" applyFont="1" applyFill="1" applyBorder="1" applyAlignment="1">
      <alignment horizontal="left" vertical="center" wrapText="1" shrinkToFit="1"/>
    </xf>
    <xf numFmtId="0" fontId="0" fillId="0" borderId="14" xfId="0" applyBorder="1" applyAlignment="1">
      <alignment vertical="center" wrapText="1"/>
    </xf>
    <xf numFmtId="193" fontId="24" fillId="0" borderId="0" xfId="0" applyNumberFormat="1" applyFont="1" applyAlignment="1">
      <alignment horizontal="center" vertical="center" wrapText="1"/>
    </xf>
    <xf numFmtId="0" fontId="20" fillId="31" borderId="0" xfId="0" applyFont="1" applyFill="1" applyAlignment="1">
      <alignment horizontal="left" vertical="center" wrapText="1"/>
    </xf>
    <xf numFmtId="0" fontId="0" fillId="32" borderId="0" xfId="0" applyFill="1" applyAlignment="1">
      <alignment horizontal="left" vertical="center" wrapText="1"/>
    </xf>
    <xf numFmtId="10" fontId="26" fillId="0" borderId="1" xfId="0" applyNumberFormat="1" applyFont="1" applyBorder="1" applyAlignment="1">
      <alignment horizontal="left" vertical="center" wrapText="1" shrinkToFit="1"/>
    </xf>
    <xf numFmtId="10" fontId="0" fillId="31" borderId="0" xfId="0" applyNumberFormat="1" applyFill="1" applyAlignment="1">
      <alignment horizontal="left" vertical="center" wrapText="1"/>
    </xf>
    <xf numFmtId="10" fontId="17" fillId="32" borderId="0" xfId="0" applyNumberFormat="1" applyFont="1" applyFill="1" applyAlignment="1">
      <alignment horizontal="left" vertical="center" wrapText="1"/>
    </xf>
    <xf numFmtId="10" fontId="26" fillId="33" borderId="0" xfId="0" applyNumberFormat="1" applyFont="1" applyFill="1" applyAlignment="1">
      <alignment horizontal="left" vertical="center" wrapText="1"/>
    </xf>
    <xf numFmtId="10" fontId="26" fillId="0" borderId="8" xfId="0" applyNumberFormat="1" applyFont="1" applyBorder="1" applyAlignment="1">
      <alignment horizontal="left" vertical="center" wrapText="1" shrinkToFit="1"/>
    </xf>
    <xf numFmtId="10" fontId="0" fillId="0" borderId="0" xfId="0" applyNumberFormat="1" applyAlignment="1">
      <alignment vertical="center" wrapText="1"/>
    </xf>
    <xf numFmtId="10" fontId="26" fillId="31" borderId="0" xfId="0" applyNumberFormat="1" applyFont="1" applyFill="1" applyAlignment="1">
      <alignment horizontal="left" vertical="center" wrapText="1"/>
    </xf>
    <xf numFmtId="0" fontId="26" fillId="31" borderId="0" xfId="0" applyFont="1" applyFill="1" applyAlignment="1">
      <alignment horizontal="left" vertical="center" wrapText="1"/>
    </xf>
    <xf numFmtId="0" fontId="26" fillId="33" borderId="0" xfId="0" applyFont="1" applyFill="1" applyAlignment="1">
      <alignment horizontal="left" vertical="center" wrapText="1"/>
    </xf>
    <xf numFmtId="0" fontId="26" fillId="0" borderId="0" xfId="0" applyFont="1" applyAlignment="1">
      <alignment vertical="center" wrapText="1"/>
    </xf>
    <xf numFmtId="0" fontId="26" fillId="3" borderId="1" xfId="0" applyFont="1" applyFill="1" applyBorder="1" applyAlignment="1">
      <alignment horizontal="left" vertical="center" wrapText="1" shrinkToFit="1"/>
    </xf>
    <xf numFmtId="10" fontId="17" fillId="0" borderId="1" xfId="0" applyNumberFormat="1" applyFont="1" applyBorder="1" applyAlignment="1">
      <alignment horizontal="left" vertical="center" wrapText="1" shrinkToFit="1"/>
    </xf>
    <xf numFmtId="0" fontId="26" fillId="0" borderId="43" xfId="0" applyFont="1" applyBorder="1" applyAlignment="1">
      <alignment horizontal="left" vertical="center" wrapText="1" shrinkToFit="1"/>
    </xf>
    <xf numFmtId="0" fontId="26" fillId="0" borderId="45" xfId="0" applyFont="1" applyBorder="1" applyAlignment="1">
      <alignment horizontal="left" vertical="center" wrapText="1" shrinkToFit="1"/>
    </xf>
    <xf numFmtId="0" fontId="26" fillId="3" borderId="52" xfId="0" applyFont="1" applyFill="1" applyBorder="1" applyAlignment="1">
      <alignment horizontal="left" vertical="center" wrapText="1" shrinkToFit="1"/>
    </xf>
    <xf numFmtId="0" fontId="26" fillId="3" borderId="23" xfId="0" applyFont="1" applyFill="1" applyBorder="1" applyAlignment="1">
      <alignment horizontal="left" vertical="center" wrapText="1" shrinkToFit="1"/>
    </xf>
    <xf numFmtId="0" fontId="26" fillId="0" borderId="44" xfId="0" applyFont="1" applyBorder="1" applyAlignment="1">
      <alignment horizontal="left" vertical="center" wrapText="1" shrinkToFit="1"/>
    </xf>
    <xf numFmtId="10" fontId="26" fillId="0" borderId="53" xfId="0" applyNumberFormat="1" applyFont="1" applyBorder="1" applyAlignment="1">
      <alignment horizontal="left" vertical="center" wrapText="1" shrinkToFit="1"/>
    </xf>
    <xf numFmtId="10" fontId="26" fillId="34" borderId="1" xfId="0" applyNumberFormat="1" applyFont="1" applyFill="1" applyBorder="1" applyAlignment="1">
      <alignment horizontal="left" vertical="center" wrapText="1" shrinkToFit="1"/>
    </xf>
    <xf numFmtId="0" fontId="26" fillId="0" borderId="12" xfId="0" applyFont="1" applyBorder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0" fontId="83" fillId="3" borderId="1" xfId="1212" applyFill="1" applyBorder="1" applyAlignment="1" applyProtection="1">
      <alignment horizontal="left" vertical="center" wrapText="1" shrinkToFit="1"/>
      <protection locked="0"/>
    </xf>
    <xf numFmtId="0" fontId="0" fillId="0" borderId="1" xfId="0" applyBorder="1" applyAlignment="1" applyProtection="1">
      <alignment horizontal="left" vertical="center" wrapText="1" shrinkToFit="1"/>
      <protection locked="0"/>
    </xf>
    <xf numFmtId="0" fontId="83" fillId="0" borderId="1" xfId="1212" applyBorder="1" applyAlignment="1" applyProtection="1">
      <alignment horizontal="left" vertical="center" wrapText="1" shrinkToFit="1"/>
      <protection locked="0"/>
    </xf>
    <xf numFmtId="0" fontId="83" fillId="0" borderId="0" xfId="1212" applyAlignment="1" applyProtection="1">
      <alignment horizontal="center" vertical="center" wrapText="1" shrinkToFit="1"/>
      <protection locked="0"/>
    </xf>
    <xf numFmtId="0" fontId="17" fillId="0" borderId="0" xfId="0" applyFont="1" applyAlignment="1">
      <alignment horizontal="center" vertical="center" wrapText="1"/>
    </xf>
    <xf numFmtId="0" fontId="83" fillId="3" borderId="1" xfId="1212" applyFill="1" applyBorder="1" applyAlignment="1">
      <alignment horizontal="left" vertical="center" wrapText="1" shrinkToFit="1"/>
    </xf>
    <xf numFmtId="194" fontId="27" fillId="0" borderId="1" xfId="0" applyNumberFormat="1" applyFont="1" applyBorder="1" applyAlignment="1">
      <alignment horizontal="left" vertical="center" wrapText="1" shrinkToFit="1"/>
    </xf>
    <xf numFmtId="0" fontId="0" fillId="28" borderId="1" xfId="0" applyFill="1" applyBorder="1" applyAlignment="1" applyProtection="1">
      <alignment horizontal="left" vertical="center" wrapText="1" shrinkToFit="1"/>
      <protection locked="0"/>
    </xf>
    <xf numFmtId="10" fontId="0" fillId="0" borderId="0" xfId="0" applyNumberFormat="1" applyAlignment="1">
      <alignment horizontal="center" vertical="center" wrapText="1"/>
    </xf>
    <xf numFmtId="0" fontId="0" fillId="3" borderId="1" xfId="0" applyFill="1" applyBorder="1" applyAlignment="1">
      <alignment horizontal="left" vertical="center" wrapText="1" shrinkToFit="1"/>
    </xf>
    <xf numFmtId="0" fontId="0" fillId="35" borderId="1" xfId="0" applyFill="1" applyBorder="1" applyAlignment="1" applyProtection="1">
      <alignment horizontal="left" vertical="center" wrapText="1" shrinkToFit="1"/>
      <protection locked="0"/>
    </xf>
    <xf numFmtId="0" fontId="0" fillId="3" borderId="15" xfId="0" applyFill="1" applyBorder="1" applyAlignment="1">
      <alignment horizontal="left" vertical="center" wrapText="1" shrinkToFit="1"/>
    </xf>
    <xf numFmtId="194" fontId="27" fillId="0" borderId="14" xfId="0" applyNumberFormat="1" applyFont="1" applyBorder="1" applyAlignment="1">
      <alignment horizontal="left" vertical="center" wrapText="1" shrinkToFit="1"/>
    </xf>
    <xf numFmtId="0" fontId="13" fillId="3" borderId="1" xfId="0" applyFont="1" applyFill="1" applyBorder="1" applyAlignment="1">
      <alignment horizontal="left" vertical="center" wrapText="1"/>
    </xf>
    <xf numFmtId="0" fontId="13" fillId="0" borderId="12" xfId="0" applyFont="1" applyBorder="1" applyAlignment="1">
      <alignment horizontal="left" vertical="center" wrapText="1"/>
    </xf>
    <xf numFmtId="194" fontId="27" fillId="0" borderId="0" xfId="0" applyNumberFormat="1" applyFont="1" applyAlignment="1">
      <alignment horizontal="left" vertical="center" wrapText="1" shrinkToFit="1"/>
    </xf>
    <xf numFmtId="0" fontId="83" fillId="3" borderId="0" xfId="1212" applyFill="1" applyAlignment="1" applyProtection="1">
      <alignment horizontal="center" vertical="center" wrapText="1"/>
      <protection locked="0"/>
    </xf>
    <xf numFmtId="0" fontId="83" fillId="0" borderId="0" xfId="1212" applyAlignment="1" applyProtection="1">
      <alignment horizontal="center" vertical="center" wrapText="1"/>
      <protection locked="0"/>
    </xf>
    <xf numFmtId="0" fontId="83" fillId="3" borderId="0" xfId="1212" applyFill="1" applyAlignment="1">
      <alignment horizontal="left" vertical="center"/>
    </xf>
    <xf numFmtId="0" fontId="0" fillId="3" borderId="0" xfId="0" applyFill="1" applyAlignment="1" applyProtection="1">
      <alignment horizontal="center" vertical="center" wrapText="1"/>
      <protection locked="0"/>
    </xf>
    <xf numFmtId="0" fontId="83" fillId="0" borderId="0" xfId="1212" applyAlignment="1">
      <alignment horizontal="center" vertical="center"/>
    </xf>
    <xf numFmtId="10" fontId="26" fillId="0" borderId="0" xfId="0" applyNumberFormat="1" applyFont="1" applyAlignment="1">
      <alignment horizontal="left" vertical="center" wrapText="1" shrinkToFit="1"/>
    </xf>
    <xf numFmtId="10" fontId="26" fillId="0" borderId="0" xfId="0" applyNumberFormat="1" applyFont="1" applyAlignment="1">
      <alignment vertical="center" wrapText="1"/>
    </xf>
    <xf numFmtId="0" fontId="13" fillId="0" borderId="0" xfId="0" applyFont="1" applyAlignment="1">
      <alignment vertical="center" wrapText="1"/>
    </xf>
    <xf numFmtId="0" fontId="27" fillId="0" borderId="1" xfId="0" applyFont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10" fontId="0" fillId="5" borderId="0" xfId="0" applyNumberFormat="1" applyFill="1" applyAlignment="1" applyProtection="1">
      <alignment horizontal="left" vertical="center"/>
      <protection locked="0"/>
    </xf>
    <xf numFmtId="0" fontId="0" fillId="5" borderId="0" xfId="0" applyFill="1" applyProtection="1">
      <alignment vertical="center"/>
      <protection locked="0"/>
    </xf>
    <xf numFmtId="0" fontId="28" fillId="0" borderId="0" xfId="0" applyFont="1">
      <alignment vertical="center"/>
    </xf>
    <xf numFmtId="0" fontId="28" fillId="5" borderId="0" xfId="0" applyFont="1" applyFill="1" applyAlignment="1">
      <alignment horizontal="center" vertical="center" wrapText="1"/>
    </xf>
    <xf numFmtId="195" fontId="0" fillId="5" borderId="0" xfId="0" applyNumberFormat="1" applyFill="1" applyAlignment="1">
      <alignment horizontal="left" vertical="center" wrapText="1"/>
    </xf>
    <xf numFmtId="195" fontId="0" fillId="5" borderId="0" xfId="0" applyNumberFormat="1" applyFill="1">
      <alignment vertical="center"/>
    </xf>
    <xf numFmtId="0" fontId="29" fillId="5" borderId="1" xfId="0" applyFont="1" applyFill="1" applyBorder="1" applyAlignment="1">
      <alignment horizontal="center" vertical="center" wrapText="1"/>
    </xf>
    <xf numFmtId="0" fontId="83" fillId="36" borderId="1" xfId="664" applyFill="1" applyBorder="1" applyAlignment="1">
      <alignment horizontal="left" vertical="center" wrapText="1"/>
    </xf>
    <xf numFmtId="0" fontId="83" fillId="5" borderId="1" xfId="664" applyFill="1" applyBorder="1" applyAlignment="1">
      <alignment horizontal="left" vertical="center" wrapText="1"/>
    </xf>
    <xf numFmtId="0" fontId="83" fillId="36" borderId="6" xfId="664" applyFill="1" applyBorder="1" applyAlignment="1">
      <alignment horizontal="left" vertical="center" wrapText="1"/>
    </xf>
    <xf numFmtId="0" fontId="83" fillId="36" borderId="15" xfId="664" applyFill="1" applyBorder="1" applyAlignment="1">
      <alignment horizontal="left" vertical="center" wrapText="1"/>
    </xf>
    <xf numFmtId="0" fontId="83" fillId="5" borderId="15" xfId="664" applyFill="1" applyBorder="1" applyAlignment="1">
      <alignment horizontal="left" vertical="center" wrapText="1"/>
    </xf>
    <xf numFmtId="0" fontId="83" fillId="36" borderId="54" xfId="664" applyFill="1" applyBorder="1" applyAlignment="1">
      <alignment horizontal="left" vertical="center" wrapText="1"/>
    </xf>
    <xf numFmtId="0" fontId="83" fillId="5" borderId="55" xfId="664" applyFill="1" applyBorder="1" applyAlignment="1">
      <alignment horizontal="left" vertical="center" wrapText="1"/>
    </xf>
    <xf numFmtId="0" fontId="83" fillId="5" borderId="6" xfId="664" applyFill="1" applyBorder="1" applyAlignment="1">
      <alignment horizontal="left" vertical="center" wrapText="1"/>
    </xf>
    <xf numFmtId="0" fontId="83" fillId="36" borderId="55" xfId="664" applyFill="1" applyBorder="1" applyAlignment="1">
      <alignment horizontal="left" vertical="center" wrapText="1"/>
    </xf>
    <xf numFmtId="0" fontId="83" fillId="37" borderId="1" xfId="664" applyFill="1" applyBorder="1" applyAlignment="1">
      <alignment horizontal="left" vertical="center" wrapText="1"/>
    </xf>
    <xf numFmtId="0" fontId="83" fillId="37" borderId="15" xfId="664" applyFill="1" applyBorder="1" applyAlignment="1">
      <alignment horizontal="left" vertical="center" wrapText="1"/>
    </xf>
    <xf numFmtId="0" fontId="83" fillId="37" borderId="54" xfId="664" applyFill="1" applyBorder="1" applyAlignment="1">
      <alignment horizontal="left" vertical="center" wrapText="1"/>
    </xf>
    <xf numFmtId="0" fontId="83" fillId="38" borderId="1" xfId="664" applyFill="1" applyBorder="1" applyAlignment="1">
      <alignment horizontal="left" vertical="center" wrapText="1"/>
    </xf>
    <xf numFmtId="0" fontId="0" fillId="5" borderId="2" xfId="0" applyFill="1" applyBorder="1">
      <alignment vertical="center"/>
    </xf>
    <xf numFmtId="0" fontId="0" fillId="5" borderId="2" xfId="0" applyFill="1" applyBorder="1" applyAlignment="1">
      <alignment vertical="center" wrapText="1"/>
    </xf>
    <xf numFmtId="0" fontId="0" fillId="5" borderId="0" xfId="0" applyFill="1" applyAlignment="1">
      <alignment vertical="center" wrapText="1"/>
    </xf>
    <xf numFmtId="195" fontId="0" fillId="0" borderId="0" xfId="0" applyNumberFormat="1">
      <alignment vertical="center"/>
    </xf>
    <xf numFmtId="0" fontId="29" fillId="5" borderId="56" xfId="0" applyFont="1" applyFill="1" applyBorder="1" applyAlignment="1">
      <alignment horizontal="center" vertical="center" wrapText="1"/>
    </xf>
    <xf numFmtId="0" fontId="83" fillId="36" borderId="56" xfId="664" applyFill="1" applyBorder="1" applyAlignment="1">
      <alignment horizontal="left" vertical="center" wrapText="1"/>
    </xf>
    <xf numFmtId="0" fontId="83" fillId="5" borderId="56" xfId="664" applyFill="1" applyBorder="1" applyAlignment="1">
      <alignment horizontal="left" vertical="center" wrapText="1"/>
    </xf>
    <xf numFmtId="0" fontId="83" fillId="36" borderId="57" xfId="664" applyFill="1" applyBorder="1" applyAlignment="1">
      <alignment horizontal="left" vertical="center" wrapText="1"/>
    </xf>
    <xf numFmtId="0" fontId="83" fillId="5" borderId="58" xfId="664" applyFill="1" applyBorder="1" applyAlignment="1">
      <alignment horizontal="left" vertical="center" wrapText="1"/>
    </xf>
    <xf numFmtId="0" fontId="83" fillId="36" borderId="58" xfId="664" applyFill="1" applyBorder="1" applyAlignment="1">
      <alignment horizontal="left" vertical="center" wrapText="1"/>
    </xf>
    <xf numFmtId="0" fontId="83" fillId="5" borderId="59" xfId="664" applyFill="1" applyBorder="1" applyAlignment="1">
      <alignment horizontal="left" vertical="center" wrapText="1"/>
    </xf>
    <xf numFmtId="0" fontId="0" fillId="5" borderId="56" xfId="0" applyFill="1" applyBorder="1">
      <alignment vertical="center"/>
    </xf>
    <xf numFmtId="0" fontId="0" fillId="36" borderId="56" xfId="0" applyFill="1" applyBorder="1">
      <alignment vertical="center"/>
    </xf>
    <xf numFmtId="0" fontId="83" fillId="36" borderId="59" xfId="664" applyFill="1" applyBorder="1" applyAlignment="1">
      <alignment horizontal="left" vertical="center" wrapText="1"/>
    </xf>
    <xf numFmtId="0" fontId="83" fillId="5" borderId="57" xfId="664" applyFill="1" applyBorder="1" applyAlignment="1">
      <alignment horizontal="left" vertical="center" wrapText="1"/>
    </xf>
    <xf numFmtId="0" fontId="83" fillId="37" borderId="56" xfId="664" applyFill="1" applyBorder="1" applyAlignment="1">
      <alignment horizontal="left" vertical="center" wrapText="1"/>
    </xf>
    <xf numFmtId="0" fontId="26" fillId="37" borderId="58" xfId="664" applyFont="1" applyFill="1" applyBorder="1" applyAlignment="1">
      <alignment horizontal="left" vertical="center" wrapText="1"/>
    </xf>
    <xf numFmtId="0" fontId="26" fillId="5" borderId="58" xfId="664" applyFont="1" applyFill="1" applyBorder="1" applyAlignment="1">
      <alignment horizontal="left" vertical="center" wrapText="1"/>
    </xf>
    <xf numFmtId="0" fontId="83" fillId="37" borderId="58" xfId="664" applyFill="1" applyBorder="1" applyAlignment="1">
      <alignment horizontal="left" vertical="center" wrapText="1"/>
    </xf>
    <xf numFmtId="0" fontId="83" fillId="38" borderId="56" xfId="664" applyFill="1" applyBorder="1" applyAlignment="1">
      <alignment horizontal="left" vertical="center" wrapText="1"/>
    </xf>
    <xf numFmtId="0" fontId="28" fillId="5" borderId="0" xfId="0" applyFont="1" applyFill="1" applyAlignment="1">
      <alignment vertical="center" wrapText="1"/>
    </xf>
    <xf numFmtId="195" fontId="0" fillId="5" borderId="0" xfId="0" applyNumberFormat="1" applyFill="1" applyAlignment="1">
      <alignment vertical="center" wrapText="1"/>
    </xf>
    <xf numFmtId="0" fontId="29" fillId="5" borderId="10" xfId="0" applyFont="1" applyFill="1" applyBorder="1" applyAlignment="1">
      <alignment horizontal="center" vertical="center" wrapText="1"/>
    </xf>
    <xf numFmtId="0" fontId="83" fillId="36" borderId="10" xfId="664" applyFill="1" applyBorder="1" applyAlignment="1">
      <alignment horizontal="left" vertical="center" wrapText="1"/>
    </xf>
    <xf numFmtId="0" fontId="83" fillId="36" borderId="1" xfId="960" applyFill="1" applyBorder="1" applyAlignment="1">
      <alignment horizontal="left" vertical="center" wrapText="1"/>
    </xf>
    <xf numFmtId="0" fontId="83" fillId="5" borderId="10" xfId="664" applyFill="1" applyBorder="1" applyAlignment="1">
      <alignment horizontal="left" vertical="center" wrapText="1"/>
    </xf>
    <xf numFmtId="0" fontId="83" fillId="5" borderId="1" xfId="960" applyFill="1" applyBorder="1" applyAlignment="1">
      <alignment horizontal="left" vertical="center" wrapText="1"/>
    </xf>
    <xf numFmtId="0" fontId="83" fillId="36" borderId="6" xfId="960" applyFill="1" applyBorder="1" applyAlignment="1">
      <alignment horizontal="left" vertical="center" wrapText="1"/>
    </xf>
    <xf numFmtId="0" fontId="83" fillId="36" borderId="15" xfId="960" applyFill="1" applyBorder="1" applyAlignment="1">
      <alignment horizontal="left" vertical="center" wrapText="1"/>
    </xf>
    <xf numFmtId="0" fontId="83" fillId="5" borderId="15" xfId="2262" applyFill="1" applyBorder="1" applyAlignment="1">
      <alignment horizontal="left" vertical="center" wrapText="1"/>
    </xf>
    <xf numFmtId="0" fontId="83" fillId="5" borderId="15" xfId="960" applyFill="1" applyBorder="1" applyAlignment="1">
      <alignment horizontal="left" vertical="center" wrapText="1"/>
    </xf>
    <xf numFmtId="0" fontId="83" fillId="36" borderId="1" xfId="2262" applyFill="1" applyBorder="1" applyAlignment="1">
      <alignment horizontal="left" vertical="center" wrapText="1"/>
    </xf>
    <xf numFmtId="0" fontId="83" fillId="5" borderId="6" xfId="960" applyFill="1" applyBorder="1" applyAlignment="1">
      <alignment horizontal="left" vertical="center" wrapText="1"/>
    </xf>
    <xf numFmtId="0" fontId="0" fillId="36" borderId="1" xfId="0" applyFill="1" applyBorder="1">
      <alignment vertical="center"/>
    </xf>
    <xf numFmtId="0" fontId="83" fillId="37" borderId="10" xfId="664" applyFill="1" applyBorder="1" applyAlignment="1">
      <alignment horizontal="left" vertical="center" wrapText="1"/>
    </xf>
    <xf numFmtId="0" fontId="83" fillId="37" borderId="1" xfId="960" applyFill="1" applyBorder="1" applyAlignment="1">
      <alignment horizontal="left" vertical="center" wrapText="1"/>
    </xf>
    <xf numFmtId="0" fontId="83" fillId="5" borderId="1" xfId="2262" applyFill="1" applyBorder="1" applyAlignment="1">
      <alignment horizontal="left" vertical="center" wrapText="1"/>
    </xf>
    <xf numFmtId="0" fontId="0" fillId="5" borderId="10" xfId="0" applyFill="1" applyBorder="1">
      <alignment vertical="center"/>
    </xf>
    <xf numFmtId="0" fontId="0" fillId="37" borderId="10" xfId="0" applyFill="1" applyBorder="1">
      <alignment vertical="center"/>
    </xf>
    <xf numFmtId="0" fontId="0" fillId="37" borderId="0" xfId="0" applyFill="1">
      <alignment vertical="center"/>
    </xf>
    <xf numFmtId="0" fontId="0" fillId="5" borderId="0" xfId="0" applyFill="1" applyAlignment="1">
      <alignment horizontal="left" vertical="center" wrapText="1"/>
    </xf>
    <xf numFmtId="195" fontId="0" fillId="5" borderId="0" xfId="0" applyNumberFormat="1" applyFill="1" applyAlignment="1">
      <alignment horizontal="right" vertical="center" wrapText="1"/>
    </xf>
    <xf numFmtId="0" fontId="83" fillId="36" borderId="60" xfId="664" applyFill="1" applyBorder="1" applyAlignment="1">
      <alignment horizontal="left" vertical="center" wrapText="1"/>
    </xf>
    <xf numFmtId="0" fontId="83" fillId="5" borderId="56" xfId="2262" applyFill="1" applyBorder="1" applyAlignment="1">
      <alignment horizontal="left" vertical="center" wrapText="1"/>
    </xf>
    <xf numFmtId="0" fontId="83" fillId="36" borderId="56" xfId="960" applyFill="1" applyBorder="1" applyAlignment="1">
      <alignment horizontal="left" vertical="center" wrapText="1"/>
    </xf>
    <xf numFmtId="0" fontId="83" fillId="5" borderId="56" xfId="960" applyFill="1" applyBorder="1" applyAlignment="1">
      <alignment horizontal="left" vertical="center" wrapText="1"/>
    </xf>
    <xf numFmtId="0" fontId="83" fillId="36" borderId="56" xfId="1940" applyFill="1" applyBorder="1" applyAlignment="1">
      <alignment horizontal="left" vertical="center" wrapText="1"/>
    </xf>
    <xf numFmtId="0" fontId="83" fillId="5" borderId="56" xfId="1940" applyFill="1" applyBorder="1" applyAlignment="1">
      <alignment horizontal="left" vertical="center" wrapText="1"/>
    </xf>
    <xf numFmtId="0" fontId="83" fillId="5" borderId="9" xfId="664" applyFill="1" applyBorder="1" applyAlignment="1">
      <alignment horizontal="left" vertical="center" wrapText="1"/>
    </xf>
    <xf numFmtId="0" fontId="83" fillId="36" borderId="9" xfId="664" applyFill="1" applyBorder="1" applyAlignment="1">
      <alignment horizontal="left" vertical="center" wrapText="1"/>
    </xf>
    <xf numFmtId="0" fontId="83" fillId="37" borderId="9" xfId="664" applyFill="1" applyBorder="1" applyAlignment="1">
      <alignment horizontal="left" vertical="center" wrapText="1"/>
    </xf>
    <xf numFmtId="0" fontId="83" fillId="37" borderId="56" xfId="960" applyFill="1" applyBorder="1" applyAlignment="1">
      <alignment horizontal="left" vertical="center" wrapText="1"/>
    </xf>
    <xf numFmtId="0" fontId="83" fillId="37" borderId="56" xfId="1940" applyFill="1" applyBorder="1" applyAlignment="1">
      <alignment horizontal="left" vertical="center" wrapText="1"/>
    </xf>
    <xf numFmtId="0" fontId="0" fillId="37" borderId="56" xfId="0" applyFill="1" applyBorder="1">
      <alignment vertical="center"/>
    </xf>
    <xf numFmtId="0" fontId="0" fillId="28" borderId="56" xfId="0" applyFill="1" applyBorder="1" applyAlignment="1">
      <alignment horizontal="left" vertical="center" wrapText="1"/>
    </xf>
    <xf numFmtId="0" fontId="83" fillId="28" borderId="1" xfId="664" applyFill="1" applyBorder="1" applyAlignment="1">
      <alignment horizontal="left" vertical="center" wrapText="1"/>
    </xf>
    <xf numFmtId="0" fontId="83" fillId="28" borderId="56" xfId="960" applyFill="1" applyBorder="1" applyAlignment="1">
      <alignment horizontal="left" vertical="center" wrapText="1"/>
    </xf>
    <xf numFmtId="195" fontId="26" fillId="12" borderId="0" xfId="0" applyNumberFormat="1" applyFont="1" applyFill="1" applyProtection="1">
      <alignment vertical="center"/>
      <protection locked="0"/>
    </xf>
    <xf numFmtId="0" fontId="29" fillId="5" borderId="0" xfId="0" applyFont="1" applyFill="1" applyAlignment="1">
      <alignment horizontal="center" vertical="center" wrapText="1"/>
    </xf>
    <xf numFmtId="0" fontId="83" fillId="36" borderId="0" xfId="664" applyFill="1" applyAlignment="1">
      <alignment horizontal="left" vertical="center" wrapText="1"/>
    </xf>
    <xf numFmtId="0" fontId="83" fillId="5" borderId="0" xfId="664" applyFill="1" applyAlignment="1">
      <alignment horizontal="left" vertical="center" wrapText="1"/>
    </xf>
    <xf numFmtId="0" fontId="0" fillId="5" borderId="56" xfId="0" applyFill="1" applyBorder="1" applyAlignment="1">
      <alignment horizontal="left" vertical="center"/>
    </xf>
    <xf numFmtId="0" fontId="0" fillId="36" borderId="56" xfId="0" applyFill="1" applyBorder="1" applyAlignment="1">
      <alignment horizontal="left" vertical="center"/>
    </xf>
    <xf numFmtId="0" fontId="0" fillId="36" borderId="1" xfId="0" applyFill="1" applyBorder="1" applyAlignment="1">
      <alignment horizontal="left" vertical="center"/>
    </xf>
    <xf numFmtId="0" fontId="83" fillId="5" borderId="54" xfId="664" applyFill="1" applyBorder="1" applyAlignment="1">
      <alignment horizontal="left" vertical="center" wrapText="1"/>
    </xf>
    <xf numFmtId="0" fontId="0" fillId="5" borderId="61" xfId="0" applyFill="1" applyBorder="1" applyAlignment="1">
      <alignment horizontal="left" vertical="center"/>
    </xf>
    <xf numFmtId="0" fontId="83" fillId="37" borderId="0" xfId="664" applyFill="1" applyAlignment="1">
      <alignment horizontal="left" vertical="center" wrapText="1"/>
    </xf>
    <xf numFmtId="0" fontId="83" fillId="5" borderId="1" xfId="960" applyFill="1" applyBorder="1" applyAlignment="1" applyProtection="1">
      <alignment horizontal="left" vertical="center" wrapText="1"/>
      <protection locked="0"/>
    </xf>
    <xf numFmtId="0" fontId="83" fillId="37" borderId="61" xfId="664" applyFill="1" applyBorder="1" applyAlignment="1">
      <alignment horizontal="left" vertical="center" wrapText="1"/>
    </xf>
    <xf numFmtId="0" fontId="0" fillId="37" borderId="1" xfId="0" applyFill="1" applyBorder="1">
      <alignment vertical="center"/>
    </xf>
    <xf numFmtId="0" fontId="0" fillId="28" borderId="1" xfId="0" applyFill="1" applyBorder="1" applyAlignment="1">
      <alignment horizontal="left" vertical="center"/>
    </xf>
    <xf numFmtId="0" fontId="83" fillId="38" borderId="1" xfId="960" applyFill="1" applyBorder="1" applyAlignment="1">
      <alignment horizontal="left" vertical="center" wrapText="1"/>
    </xf>
    <xf numFmtId="0" fontId="83" fillId="5" borderId="2" xfId="664" applyFill="1" applyBorder="1" applyAlignment="1">
      <alignment horizontal="left" vertical="center" wrapText="1"/>
    </xf>
    <xf numFmtId="0" fontId="0" fillId="37" borderId="0" xfId="0" applyFill="1" applyAlignment="1">
      <alignment horizontal="left" vertical="center" wrapText="1"/>
    </xf>
    <xf numFmtId="0" fontId="83" fillId="37" borderId="6" xfId="664" applyFill="1" applyBorder="1" applyAlignment="1">
      <alignment horizontal="left" vertical="center" wrapText="1"/>
    </xf>
    <xf numFmtId="0" fontId="83" fillId="38" borderId="57" xfId="664" applyFill="1" applyBorder="1" applyAlignment="1">
      <alignment horizontal="left" vertical="center" wrapText="1"/>
    </xf>
    <xf numFmtId="0" fontId="29" fillId="5" borderId="1" xfId="2274" applyFont="1" applyFill="1" applyBorder="1" applyAlignment="1">
      <alignment horizontal="center" vertical="center" wrapText="1"/>
    </xf>
    <xf numFmtId="0" fontId="83" fillId="36" borderId="1" xfId="2274" applyFill="1" applyBorder="1" applyAlignment="1">
      <alignment horizontal="left" vertical="center" wrapText="1"/>
    </xf>
    <xf numFmtId="0" fontId="83" fillId="36" borderId="56" xfId="2274" applyFill="1" applyBorder="1" applyAlignment="1">
      <alignment horizontal="left" vertical="center" wrapText="1"/>
    </xf>
    <xf numFmtId="0" fontId="83" fillId="5" borderId="1" xfId="2274" applyFill="1" applyBorder="1" applyAlignment="1">
      <alignment horizontal="left" vertical="center" wrapText="1"/>
    </xf>
    <xf numFmtId="0" fontId="83" fillId="5" borderId="56" xfId="2274" applyFill="1" applyBorder="1" applyAlignment="1">
      <alignment horizontal="left" vertical="center" wrapText="1"/>
    </xf>
    <xf numFmtId="0" fontId="0" fillId="36" borderId="1" xfId="0" applyFill="1" applyBorder="1" applyAlignment="1">
      <alignment horizontal="center" vertical="center" wrapText="1"/>
    </xf>
    <xf numFmtId="0" fontId="0" fillId="36" borderId="56" xfId="0" applyFill="1" applyBorder="1" applyAlignment="1">
      <alignment horizontal="left" vertical="center" wrapText="1"/>
    </xf>
    <xf numFmtId="0" fontId="0" fillId="5" borderId="56" xfId="0" applyFill="1" applyBorder="1" applyAlignment="1">
      <alignment horizontal="left" vertical="center" wrapText="1"/>
    </xf>
    <xf numFmtId="0" fontId="0" fillId="36" borderId="1" xfId="0" applyFill="1" applyBorder="1" applyAlignment="1">
      <alignment horizontal="left" vertical="center" wrapText="1"/>
    </xf>
    <xf numFmtId="0" fontId="83" fillId="5" borderId="15" xfId="2274" applyFill="1" applyBorder="1" applyAlignment="1">
      <alignment horizontal="left" vertical="center" wrapText="1"/>
    </xf>
    <xf numFmtId="0" fontId="83" fillId="5" borderId="58" xfId="2274" applyFill="1" applyBorder="1" applyAlignment="1">
      <alignment horizontal="left" vertical="center" wrapText="1"/>
    </xf>
    <xf numFmtId="0" fontId="0" fillId="36" borderId="0" xfId="0" applyFill="1">
      <alignment vertical="center"/>
    </xf>
    <xf numFmtId="0" fontId="0" fillId="36" borderId="1" xfId="0" applyFill="1" applyBorder="1" applyAlignment="1">
      <alignment horizontal="center" vertical="center"/>
    </xf>
    <xf numFmtId="0" fontId="13" fillId="36" borderId="56" xfId="0" applyFont="1" applyFill="1" applyBorder="1" applyAlignment="1">
      <alignment horizontal="left" vertical="center" wrapText="1"/>
    </xf>
    <xf numFmtId="0" fontId="13" fillId="5" borderId="1" xfId="0" applyFont="1" applyFill="1" applyBorder="1" applyAlignment="1">
      <alignment horizontal="left" vertical="center" wrapText="1"/>
    </xf>
    <xf numFmtId="0" fontId="13" fillId="5" borderId="56" xfId="0" applyFont="1" applyFill="1" applyBorder="1" applyAlignment="1">
      <alignment horizontal="left" vertical="center" wrapText="1"/>
    </xf>
    <xf numFmtId="0" fontId="13" fillId="36" borderId="1" xfId="0" applyFont="1" applyFill="1" applyBorder="1" applyAlignment="1">
      <alignment horizontal="left" vertical="center" wrapText="1"/>
    </xf>
    <xf numFmtId="0" fontId="13" fillId="37" borderId="1" xfId="0" applyFont="1" applyFill="1" applyBorder="1" applyAlignment="1">
      <alignment horizontal="left" vertical="center" wrapText="1"/>
    </xf>
    <xf numFmtId="0" fontId="13" fillId="37" borderId="56" xfId="0" applyFont="1" applyFill="1" applyBorder="1" applyAlignment="1">
      <alignment horizontal="left" vertical="center" wrapText="1"/>
    </xf>
    <xf numFmtId="0" fontId="0" fillId="37" borderId="1" xfId="0" applyFill="1" applyBorder="1" applyAlignment="1">
      <alignment horizontal="left" vertical="center" wrapText="1"/>
    </xf>
    <xf numFmtId="0" fontId="0" fillId="37" borderId="56" xfId="0" applyFill="1" applyBorder="1" applyAlignment="1">
      <alignment horizontal="left" vertical="center" wrapText="1"/>
    </xf>
    <xf numFmtId="0" fontId="83" fillId="37" borderId="1" xfId="2274" applyFill="1" applyBorder="1" applyAlignment="1">
      <alignment horizontal="left" vertical="center" wrapText="1"/>
    </xf>
    <xf numFmtId="0" fontId="83" fillId="5" borderId="54" xfId="2274" applyFill="1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83" fillId="0" borderId="0" xfId="664" applyAlignment="1">
      <alignment horizontal="left" vertical="center" wrapText="1"/>
    </xf>
    <xf numFmtId="0" fontId="83" fillId="37" borderId="6" xfId="2274" applyFill="1" applyBorder="1" applyAlignment="1">
      <alignment vertical="center" wrapText="1"/>
    </xf>
    <xf numFmtId="0" fontId="83" fillId="5" borderId="1" xfId="2274" applyFill="1" applyBorder="1" applyAlignment="1">
      <alignment vertical="center" wrapText="1"/>
    </xf>
    <xf numFmtId="0" fontId="83" fillId="37" borderId="1" xfId="2274" applyFill="1" applyBorder="1" applyAlignment="1">
      <alignment vertical="center" wrapText="1"/>
    </xf>
    <xf numFmtId="0" fontId="13" fillId="5" borderId="58" xfId="0" applyFont="1" applyFill="1" applyBorder="1" applyAlignment="1">
      <alignment horizontal="left" vertical="center" wrapText="1"/>
    </xf>
    <xf numFmtId="0" fontId="0" fillId="37" borderId="59" xfId="0" applyFill="1" applyBorder="1" applyAlignment="1">
      <alignment horizontal="center" vertical="center"/>
    </xf>
    <xf numFmtId="0" fontId="0" fillId="37" borderId="59" xfId="0" applyFill="1" applyBorder="1" applyAlignment="1">
      <alignment horizontal="center" vertical="center" wrapText="1"/>
    </xf>
    <xf numFmtId="0" fontId="0" fillId="38" borderId="0" xfId="0" applyFill="1">
      <alignment vertical="center"/>
    </xf>
    <xf numFmtId="0" fontId="0" fillId="38" borderId="1" xfId="0" applyFill="1" applyBorder="1">
      <alignment vertical="center"/>
    </xf>
    <xf numFmtId="0" fontId="0" fillId="38" borderId="56" xfId="0" applyFill="1" applyBorder="1">
      <alignment vertical="center"/>
    </xf>
    <xf numFmtId="0" fontId="0" fillId="38" borderId="56" xfId="0" applyFill="1" applyBorder="1" applyAlignment="1">
      <alignment horizontal="left" vertical="center" wrapText="1"/>
    </xf>
    <xf numFmtId="0" fontId="0" fillId="5" borderId="0" xfId="0" applyFill="1" applyAlignment="1">
      <alignment horizontal="left" vertical="center"/>
    </xf>
    <xf numFmtId="0" fontId="28" fillId="0" borderId="0" xfId="0" applyFont="1" applyAlignment="1">
      <alignment horizontal="center" vertical="center" wrapText="1"/>
    </xf>
    <xf numFmtId="195" fontId="30" fillId="0" borderId="0" xfId="0" applyNumberFormat="1" applyFont="1" applyAlignment="1">
      <alignment horizontal="center" vertical="center" wrapText="1"/>
    </xf>
    <xf numFmtId="0" fontId="31" fillId="5" borderId="0" xfId="0" applyFont="1" applyFill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5" fillId="36" borderId="12" xfId="0" applyFont="1" applyFill="1" applyBorder="1" applyAlignment="1">
      <alignment horizontal="center" vertical="center" wrapText="1"/>
    </xf>
    <xf numFmtId="0" fontId="0" fillId="0" borderId="12" xfId="0" applyBorder="1">
      <alignment vertical="center"/>
    </xf>
    <xf numFmtId="0" fontId="5" fillId="5" borderId="5" xfId="0" applyFont="1" applyFill="1" applyBorder="1" applyAlignment="1">
      <alignment horizontal="center" vertical="center" wrapText="1"/>
    </xf>
    <xf numFmtId="0" fontId="5" fillId="36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0" fontId="0" fillId="5" borderId="15" xfId="0" applyFill="1" applyBorder="1" applyAlignment="1">
      <alignment horizontal="left" vertical="center" wrapText="1"/>
    </xf>
    <xf numFmtId="0" fontId="0" fillId="5" borderId="58" xfId="0" applyFill="1" applyBorder="1" applyAlignment="1">
      <alignment horizontal="left" vertical="center" wrapText="1"/>
    </xf>
    <xf numFmtId="0" fontId="5" fillId="37" borderId="0" xfId="0" applyFont="1" applyFill="1" applyAlignment="1">
      <alignment horizontal="center" vertical="center" wrapText="1"/>
    </xf>
    <xf numFmtId="0" fontId="0" fillId="37" borderId="1" xfId="0" applyFill="1" applyBorder="1" applyAlignment="1">
      <alignment vertical="center" wrapText="1"/>
    </xf>
    <xf numFmtId="0" fontId="0" fillId="37" borderId="56" xfId="0" applyFill="1" applyBorder="1" applyAlignment="1">
      <alignment vertical="center" wrapText="1"/>
    </xf>
    <xf numFmtId="0" fontId="0" fillId="37" borderId="14" xfId="0" applyFill="1" applyBorder="1" applyAlignment="1">
      <alignment vertical="center" wrapText="1"/>
    </xf>
    <xf numFmtId="0" fontId="5" fillId="5" borderId="8" xfId="0" applyFont="1" applyFill="1" applyBorder="1" applyAlignment="1">
      <alignment horizontal="center" vertical="center" wrapText="1"/>
    </xf>
    <xf numFmtId="0" fontId="0" fillId="5" borderId="56" xfId="0" applyFill="1" applyBorder="1" applyAlignment="1">
      <alignment vertical="center" wrapText="1"/>
    </xf>
    <xf numFmtId="0" fontId="0" fillId="5" borderId="14" xfId="0" applyFill="1" applyBorder="1" applyAlignment="1">
      <alignment vertical="center" wrapText="1"/>
    </xf>
    <xf numFmtId="0" fontId="0" fillId="0" borderId="14" xfId="0" applyBorder="1">
      <alignment vertical="center"/>
    </xf>
    <xf numFmtId="0" fontId="5" fillId="37" borderId="14" xfId="0" applyFont="1" applyFill="1" applyBorder="1" applyAlignment="1">
      <alignment horizontal="center" vertical="center" wrapText="1"/>
    </xf>
    <xf numFmtId="0" fontId="5" fillId="37" borderId="5" xfId="0" applyFont="1" applyFill="1" applyBorder="1" applyAlignment="1">
      <alignment horizontal="center" vertical="center" wrapText="1"/>
    </xf>
    <xf numFmtId="0" fontId="0" fillId="37" borderId="54" xfId="0" applyFill="1" applyBorder="1" applyAlignment="1">
      <alignment vertical="center" wrapText="1"/>
    </xf>
    <xf numFmtId="0" fontId="0" fillId="37" borderId="61" xfId="0" applyFill="1" applyBorder="1" applyAlignment="1">
      <alignment vertical="center" wrapText="1"/>
    </xf>
    <xf numFmtId="0" fontId="0" fillId="5" borderId="55" xfId="0" applyFill="1" applyBorder="1" applyAlignment="1">
      <alignment vertical="center" wrapText="1"/>
    </xf>
    <xf numFmtId="0" fontId="0" fillId="5" borderId="59" xfId="0" applyFill="1" applyBorder="1" applyAlignment="1">
      <alignment vertical="center" wrapText="1"/>
    </xf>
    <xf numFmtId="0" fontId="0" fillId="38" borderId="1" xfId="0" applyFill="1" applyBorder="1" applyAlignment="1">
      <alignment vertical="center" wrapText="1"/>
    </xf>
    <xf numFmtId="0" fontId="0" fillId="38" borderId="56" xfId="0" applyFill="1" applyBorder="1" applyAlignment="1">
      <alignment vertical="center" wrapText="1"/>
    </xf>
    <xf numFmtId="0" fontId="5" fillId="5" borderId="14" xfId="0" applyFont="1" applyFill="1" applyBorder="1" applyAlignment="1">
      <alignment horizontal="center" vertical="center" wrapText="1"/>
    </xf>
    <xf numFmtId="0" fontId="5" fillId="38" borderId="0" xfId="0" applyFont="1" applyFill="1" applyAlignment="1">
      <alignment horizontal="center" vertical="center" wrapText="1"/>
    </xf>
    <xf numFmtId="195" fontId="0" fillId="0" borderId="0" xfId="0" applyNumberFormat="1" applyAlignment="1">
      <alignment horizontal="right" vertical="center" wrapText="1"/>
    </xf>
    <xf numFmtId="0" fontId="29" fillId="0" borderId="0" xfId="2274" applyFont="1" applyAlignment="1">
      <alignment horizontal="center" vertical="center" wrapText="1"/>
    </xf>
    <xf numFmtId="0" fontId="0" fillId="36" borderId="12" xfId="0" applyFill="1" applyBorder="1">
      <alignment vertical="center"/>
    </xf>
    <xf numFmtId="0" fontId="0" fillId="5" borderId="12" xfId="0" applyFill="1" applyBorder="1">
      <alignment vertical="center"/>
    </xf>
    <xf numFmtId="0" fontId="0" fillId="37" borderId="12" xfId="0" applyFill="1" applyBorder="1">
      <alignment vertical="center"/>
    </xf>
    <xf numFmtId="0" fontId="0" fillId="37" borderId="1" xfId="0" applyFill="1" applyBorder="1" applyAlignment="1">
      <alignment horizontal="left" vertical="center"/>
    </xf>
    <xf numFmtId="0" fontId="0" fillId="37" borderId="56" xfId="0" applyFill="1" applyBorder="1" applyAlignment="1">
      <alignment horizontal="center" vertical="center" wrapText="1"/>
    </xf>
    <xf numFmtId="0" fontId="0" fillId="37" borderId="1" xfId="0" applyFill="1" applyBorder="1" applyAlignment="1">
      <alignment horizontal="center" vertical="center" wrapText="1"/>
    </xf>
    <xf numFmtId="0" fontId="83" fillId="5" borderId="14" xfId="664" applyFill="1" applyBorder="1" applyAlignment="1">
      <alignment horizontal="left" vertical="center" wrapText="1"/>
    </xf>
    <xf numFmtId="0" fontId="83" fillId="37" borderId="14" xfId="664" applyFill="1" applyBorder="1" applyAlignment="1">
      <alignment horizontal="left" vertical="center" wrapText="1"/>
    </xf>
    <xf numFmtId="0" fontId="0" fillId="37" borderId="54" xfId="0" applyFill="1" applyBorder="1" applyAlignment="1">
      <alignment horizontal="left" vertical="center" wrapText="1"/>
    </xf>
    <xf numFmtId="0" fontId="0" fillId="37" borderId="61" xfId="0" applyFill="1" applyBorder="1" applyAlignment="1">
      <alignment horizontal="left" vertical="center" wrapText="1"/>
    </xf>
    <xf numFmtId="0" fontId="0" fillId="5" borderId="57" xfId="0" applyFill="1" applyBorder="1" applyAlignment="1">
      <alignment horizontal="left" vertical="center" wrapText="1"/>
    </xf>
    <xf numFmtId="0" fontId="0" fillId="38" borderId="1" xfId="0" applyFill="1" applyBorder="1" applyAlignment="1">
      <alignment horizontal="left" vertical="center" wrapText="1"/>
    </xf>
    <xf numFmtId="0" fontId="83" fillId="38" borderId="14" xfId="664" applyFill="1" applyBorder="1" applyAlignment="1">
      <alignment horizontal="left" vertical="center" wrapText="1"/>
    </xf>
    <xf numFmtId="0" fontId="0" fillId="38" borderId="12" xfId="0" applyFill="1" applyBorder="1">
      <alignment vertical="center"/>
    </xf>
    <xf numFmtId="0" fontId="32" fillId="0" borderId="0" xfId="0" applyFont="1">
      <alignment vertical="center"/>
    </xf>
    <xf numFmtId="0" fontId="29" fillId="5" borderId="0" xfId="2274" applyFont="1" applyFill="1" applyAlignment="1">
      <alignment horizontal="center" vertical="center" wrapText="1"/>
    </xf>
    <xf numFmtId="0" fontId="29" fillId="5" borderId="12" xfId="2274" applyFont="1" applyFill="1" applyBorder="1" applyAlignment="1">
      <alignment horizontal="center" vertical="center" wrapText="1"/>
    </xf>
    <xf numFmtId="0" fontId="0" fillId="36" borderId="0" xfId="0" applyFill="1" applyAlignment="1">
      <alignment horizontal="center" vertical="center" wrapText="1"/>
    </xf>
    <xf numFmtId="0" fontId="83" fillId="36" borderId="12" xfId="664" applyFill="1" applyBorder="1" applyAlignment="1">
      <alignment horizontal="left" vertical="center" wrapText="1"/>
    </xf>
    <xf numFmtId="0" fontId="0" fillId="5" borderId="12" xfId="0" applyFill="1" applyBorder="1" applyAlignment="1">
      <alignment horizontal="center" vertical="center"/>
    </xf>
    <xf numFmtId="0" fontId="83" fillId="5" borderId="12" xfId="664" applyFill="1" applyBorder="1" applyAlignment="1">
      <alignment horizontal="left" vertical="center" wrapText="1"/>
    </xf>
    <xf numFmtId="0" fontId="0" fillId="36" borderId="1" xfId="0" applyFill="1" applyBorder="1" applyAlignment="1">
      <alignment vertical="center" wrapText="1"/>
    </xf>
    <xf numFmtId="0" fontId="0" fillId="36" borderId="56" xfId="0" applyFill="1" applyBorder="1" applyAlignment="1">
      <alignment vertical="center" wrapText="1"/>
    </xf>
    <xf numFmtId="0" fontId="0" fillId="36" borderId="12" xfId="0" applyFill="1" applyBorder="1" applyAlignment="1">
      <alignment horizontal="center" vertical="center" wrapText="1"/>
    </xf>
    <xf numFmtId="0" fontId="0" fillId="5" borderId="12" xfId="0" applyFill="1" applyBorder="1" applyAlignment="1">
      <alignment horizontal="center" vertical="center" wrapText="1"/>
    </xf>
    <xf numFmtId="0" fontId="0" fillId="36" borderId="15" xfId="0" applyFill="1" applyBorder="1" applyAlignment="1">
      <alignment horizontal="left" vertical="center" wrapText="1"/>
    </xf>
    <xf numFmtId="0" fontId="83" fillId="5" borderId="12" xfId="664" applyFill="1" applyBorder="1" applyAlignment="1">
      <alignment horizontal="center" vertical="center" wrapText="1"/>
    </xf>
    <xf numFmtId="0" fontId="0" fillId="5" borderId="55" xfId="0" applyFill="1" applyBorder="1" applyAlignment="1">
      <alignment horizontal="left" vertical="center" wrapText="1"/>
    </xf>
    <xf numFmtId="0" fontId="0" fillId="5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178" fontId="0" fillId="5" borderId="56" xfId="0" applyNumberFormat="1" applyFill="1" applyBorder="1" applyAlignment="1">
      <alignment vertical="center" wrapText="1"/>
    </xf>
    <xf numFmtId="178" fontId="0" fillId="36" borderId="56" xfId="0" applyNumberFormat="1" applyFill="1" applyBorder="1" applyAlignment="1">
      <alignment vertical="center" wrapText="1"/>
    </xf>
    <xf numFmtId="0" fontId="0" fillId="36" borderId="54" xfId="0" applyFill="1" applyBorder="1" applyAlignment="1">
      <alignment horizontal="left" vertical="center" wrapText="1"/>
    </xf>
    <xf numFmtId="188" fontId="0" fillId="5" borderId="56" xfId="0" applyNumberFormat="1" applyFill="1" applyBorder="1" applyAlignment="1">
      <alignment vertical="center" wrapText="1"/>
    </xf>
    <xf numFmtId="188" fontId="0" fillId="36" borderId="56" xfId="0" applyNumberFormat="1" applyFill="1" applyBorder="1" applyAlignment="1">
      <alignment vertical="center" wrapText="1"/>
    </xf>
    <xf numFmtId="0" fontId="0" fillId="5" borderId="15" xfId="0" applyFill="1" applyBorder="1" applyAlignment="1">
      <alignment vertical="center" wrapText="1"/>
    </xf>
    <xf numFmtId="0" fontId="0" fillId="36" borderId="0" xfId="0" applyFill="1" applyAlignment="1">
      <alignment horizontal="left" vertical="center" wrapText="1"/>
    </xf>
    <xf numFmtId="188" fontId="0" fillId="37" borderId="56" xfId="0" applyNumberFormat="1" applyFill="1" applyBorder="1" applyAlignment="1">
      <alignment vertical="center" wrapText="1"/>
    </xf>
    <xf numFmtId="188" fontId="0" fillId="5" borderId="58" xfId="0" applyNumberFormat="1" applyFill="1" applyBorder="1" applyAlignment="1">
      <alignment vertical="center" wrapText="1"/>
    </xf>
    <xf numFmtId="0" fontId="0" fillId="37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37" borderId="0" xfId="0" applyFill="1" applyAlignment="1">
      <alignment horizontal="center" vertical="center"/>
    </xf>
    <xf numFmtId="0" fontId="0" fillId="37" borderId="0" xfId="0" applyFill="1" applyAlignment="1">
      <alignment horizontal="left" vertical="center"/>
    </xf>
    <xf numFmtId="0" fontId="0" fillId="37" borderId="55" xfId="0" applyFill="1" applyBorder="1" applyAlignment="1">
      <alignment horizontal="left" vertical="center" wrapText="1"/>
    </xf>
    <xf numFmtId="0" fontId="0" fillId="5" borderId="0" xfId="0" applyFill="1" applyAlignment="1">
      <alignment horizontal="center" vertical="center"/>
    </xf>
    <xf numFmtId="0" fontId="0" fillId="38" borderId="0" xfId="0" applyFill="1" applyAlignment="1">
      <alignment horizontal="left" vertical="center" wrapText="1"/>
    </xf>
    <xf numFmtId="0" fontId="0" fillId="38" borderId="0" xfId="0" applyFill="1" applyAlignment="1">
      <alignment horizontal="center" vertical="center"/>
    </xf>
    <xf numFmtId="0" fontId="0" fillId="38" borderId="54" xfId="0" applyFill="1" applyBorder="1" applyAlignment="1">
      <alignment horizontal="left" vertical="center" wrapText="1"/>
    </xf>
    <xf numFmtId="58" fontId="29" fillId="5" borderId="0" xfId="0" applyNumberFormat="1" applyFont="1" applyFill="1" applyAlignment="1">
      <alignment horizontal="left" vertical="center" wrapText="1"/>
    </xf>
    <xf numFmtId="0" fontId="33" fillId="36" borderId="0" xfId="2047" applyFont="1" applyFill="1" applyAlignment="1">
      <alignment horizontal="center" vertical="center"/>
    </xf>
    <xf numFmtId="0" fontId="34" fillId="5" borderId="0" xfId="2047" applyFont="1" applyFill="1" applyAlignment="1">
      <alignment horizontal="left" vertical="center"/>
    </xf>
    <xf numFmtId="0" fontId="83" fillId="5" borderId="1" xfId="2027" applyFill="1" applyBorder="1" applyAlignment="1">
      <alignment horizontal="left" vertical="center" wrapText="1"/>
    </xf>
    <xf numFmtId="0" fontId="34" fillId="36" borderId="0" xfId="2047" applyFont="1" applyFill="1" applyAlignment="1">
      <alignment horizontal="left" vertical="center"/>
    </xf>
    <xf numFmtId="0" fontId="83" fillId="36" borderId="1" xfId="2027" applyFill="1" applyBorder="1" applyAlignment="1">
      <alignment horizontal="left" vertical="center" wrapText="1"/>
    </xf>
    <xf numFmtId="0" fontId="83" fillId="36" borderId="15" xfId="2027" applyFill="1" applyBorder="1" applyAlignment="1">
      <alignment horizontal="left" vertical="center" wrapText="1"/>
    </xf>
    <xf numFmtId="0" fontId="83" fillId="5" borderId="55" xfId="2027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34" fillId="37" borderId="0" xfId="2047" applyFont="1" applyFill="1" applyAlignment="1">
      <alignment horizontal="left" vertical="center"/>
    </xf>
    <xf numFmtId="0" fontId="83" fillId="37" borderId="1" xfId="2027" applyFill="1" applyBorder="1" applyAlignment="1">
      <alignment horizontal="left" vertical="center" wrapText="1"/>
    </xf>
    <xf numFmtId="0" fontId="34" fillId="37" borderId="0" xfId="2047" applyFont="1" applyFill="1" applyAlignment="1">
      <alignment horizontal="center" vertical="center"/>
    </xf>
    <xf numFmtId="0" fontId="83" fillId="37" borderId="54" xfId="2027" applyFill="1" applyBorder="1" applyAlignment="1">
      <alignment horizontal="left" vertical="center" wrapText="1"/>
    </xf>
    <xf numFmtId="0" fontId="83" fillId="5" borderId="6" xfId="2027" applyFill="1" applyBorder="1" applyAlignment="1">
      <alignment horizontal="left" vertical="center" wrapText="1"/>
    </xf>
    <xf numFmtId="0" fontId="34" fillId="38" borderId="0" xfId="2047" applyFont="1" applyFill="1" applyAlignment="1">
      <alignment horizontal="left" vertical="center"/>
    </xf>
    <xf numFmtId="0" fontId="83" fillId="38" borderId="1" xfId="2027" applyFill="1" applyBorder="1" applyAlignment="1">
      <alignment horizontal="left" vertical="center" wrapText="1"/>
    </xf>
    <xf numFmtId="0" fontId="0" fillId="0" borderId="0" xfId="0" applyAlignment="1" applyProtection="1">
      <alignment horizontal="center" vertical="center" wrapText="1"/>
      <protection locked="0"/>
    </xf>
    <xf numFmtId="0" fontId="0" fillId="0" borderId="1" xfId="0" applyBorder="1" applyAlignment="1" applyProtection="1">
      <alignment vertical="center" wrapText="1"/>
      <protection locked="0"/>
    </xf>
    <xf numFmtId="194" fontId="0" fillId="0" borderId="1" xfId="0" applyNumberFormat="1" applyBorder="1" applyAlignment="1" applyProtection="1">
      <alignment horizontal="center" vertical="center" wrapText="1"/>
      <protection locked="0"/>
    </xf>
    <xf numFmtId="186" fontId="0" fillId="0" borderId="1" xfId="0" applyNumberFormat="1" applyBorder="1" applyAlignment="1" applyProtection="1">
      <alignment horizontal="center" vertical="center" wrapText="1"/>
      <protection locked="0"/>
    </xf>
    <xf numFmtId="194" fontId="27" fillId="0" borderId="1" xfId="0" applyNumberFormat="1" applyFont="1" applyBorder="1" applyAlignment="1">
      <alignment horizontal="center" vertical="center" wrapText="1"/>
    </xf>
    <xf numFmtId="186" fontId="27" fillId="0" borderId="1" xfId="0" applyNumberFormat="1" applyFont="1" applyBorder="1" applyAlignment="1">
      <alignment horizontal="center" vertical="center" wrapText="1"/>
    </xf>
    <xf numFmtId="196" fontId="27" fillId="0" borderId="1" xfId="0" applyNumberFormat="1" applyFont="1" applyBorder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194" fontId="27" fillId="0" borderId="0" xfId="0" applyNumberFormat="1" applyFont="1" applyAlignment="1">
      <alignment horizontal="center" vertical="center" wrapText="1"/>
    </xf>
    <xf numFmtId="186" fontId="27" fillId="0" borderId="0" xfId="0" applyNumberFormat="1" applyFont="1" applyAlignment="1">
      <alignment horizontal="center" vertical="center" wrapText="1"/>
    </xf>
    <xf numFmtId="196" fontId="27" fillId="0" borderId="0" xfId="0" applyNumberFormat="1" applyFont="1" applyAlignment="1">
      <alignment horizontal="center" vertical="center" wrapText="1"/>
    </xf>
    <xf numFmtId="0" fontId="35" fillId="0" borderId="0" xfId="0" applyFont="1" applyAlignment="1">
      <alignment vertical="center" wrapText="1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15" xfId="0" applyBorder="1" applyAlignment="1" applyProtection="1">
      <alignment vertical="center" wrapText="1"/>
      <protection locked="0"/>
    </xf>
    <xf numFmtId="49" fontId="0" fillId="0" borderId="1" xfId="0" applyNumberFormat="1" applyBorder="1">
      <alignment vertical="center"/>
    </xf>
    <xf numFmtId="0" fontId="17" fillId="0" borderId="1" xfId="0" applyFont="1" applyBorder="1" applyAlignment="1" applyProtection="1">
      <alignment vertical="center" wrapText="1"/>
      <protection locked="0"/>
    </xf>
    <xf numFmtId="0" fontId="1" fillId="0" borderId="1" xfId="0" applyFont="1" applyBorder="1" applyAlignment="1" applyProtection="1">
      <alignment vertical="center" wrapText="1"/>
      <protection locked="0"/>
    </xf>
    <xf numFmtId="49" fontId="0" fillId="0" borderId="0" xfId="0" applyNumberFormat="1">
      <alignment vertical="center"/>
    </xf>
    <xf numFmtId="0" fontId="0" fillId="0" borderId="0" xfId="0" applyAlignment="1" applyProtection="1">
      <alignment vertical="center" wrapText="1"/>
      <protection locked="0"/>
    </xf>
    <xf numFmtId="0" fontId="83" fillId="0" borderId="0" xfId="1212" applyAlignment="1" applyProtection="1">
      <alignment vertical="center" wrapText="1"/>
      <protection locked="0"/>
    </xf>
    <xf numFmtId="0" fontId="83" fillId="0" borderId="0" xfId="1212">
      <alignment vertical="center"/>
    </xf>
    <xf numFmtId="49" fontId="83" fillId="0" borderId="0" xfId="1212" applyNumberFormat="1" applyAlignment="1" applyProtection="1">
      <alignment vertical="center" wrapText="1"/>
      <protection locked="0"/>
    </xf>
    <xf numFmtId="0" fontId="0" fillId="0" borderId="1" xfId="0" applyBorder="1" applyAlignment="1" applyProtection="1">
      <alignment horizontal="center" vertical="center" wrapText="1"/>
      <protection locked="0"/>
    </xf>
    <xf numFmtId="0" fontId="0" fillId="39" borderId="5" xfId="0" applyFill="1" applyBorder="1" applyAlignment="1" applyProtection="1">
      <alignment horizontal="center" vertical="center" wrapText="1"/>
      <protection locked="0"/>
    </xf>
    <xf numFmtId="0" fontId="0" fillId="39" borderId="9" xfId="0" applyFill="1" applyBorder="1" applyAlignment="1" applyProtection="1">
      <alignment horizontal="center" vertical="center" wrapText="1"/>
      <protection locked="0"/>
    </xf>
    <xf numFmtId="0" fontId="0" fillId="39" borderId="14" xfId="0" applyFill="1" applyBorder="1" applyAlignment="1" applyProtection="1">
      <alignment horizontal="center" vertical="center" wrapText="1"/>
      <protection locked="0"/>
    </xf>
    <xf numFmtId="0" fontId="0" fillId="39" borderId="8" xfId="0" applyFill="1" applyBorder="1" applyAlignment="1" applyProtection="1">
      <alignment horizontal="center" vertical="center" wrapText="1"/>
      <protection locked="0"/>
    </xf>
    <xf numFmtId="0" fontId="27" fillId="0" borderId="1" xfId="0" applyFont="1" applyBorder="1" applyAlignment="1" applyProtection="1">
      <alignment horizontal="center" vertical="center" wrapText="1"/>
      <protection locked="0"/>
    </xf>
    <xf numFmtId="0" fontId="27" fillId="0" borderId="0" xfId="0" applyFont="1" applyAlignment="1" applyProtection="1">
      <alignment horizontal="center" vertical="center" wrapText="1"/>
      <protection locked="0"/>
    </xf>
    <xf numFmtId="0" fontId="0" fillId="39" borderId="1" xfId="0" applyFill="1" applyBorder="1" applyAlignment="1" applyProtection="1">
      <alignment vertical="center" wrapText="1"/>
      <protection locked="0"/>
    </xf>
    <xf numFmtId="0" fontId="17" fillId="39" borderId="1" xfId="0" applyFont="1" applyFill="1" applyBorder="1" applyAlignment="1" applyProtection="1">
      <alignment vertical="center" wrapText="1"/>
      <protection locked="0"/>
    </xf>
    <xf numFmtId="0" fontId="0" fillId="28" borderId="1" xfId="0" applyFill="1" applyBorder="1" applyAlignment="1" applyProtection="1">
      <alignment vertical="center" wrapText="1"/>
      <protection locked="0"/>
    </xf>
    <xf numFmtId="0" fontId="1" fillId="28" borderId="1" xfId="0" applyFont="1" applyFill="1" applyBorder="1" applyAlignment="1" applyProtection="1">
      <alignment vertical="center" wrapText="1"/>
      <protection locked="0"/>
    </xf>
    <xf numFmtId="0" fontId="0" fillId="28" borderId="9" xfId="0" applyFill="1" applyBorder="1" applyAlignment="1" applyProtection="1">
      <alignment vertical="center" wrapText="1"/>
      <protection locked="0"/>
    </xf>
    <xf numFmtId="0" fontId="36" fillId="0" borderId="1" xfId="0" applyFont="1" applyBorder="1" applyAlignment="1" applyProtection="1">
      <alignment vertical="center" wrapText="1"/>
      <protection locked="0"/>
    </xf>
    <xf numFmtId="188" fontId="1" fillId="28" borderId="1" xfId="0" applyNumberFormat="1" applyFont="1" applyFill="1" applyBorder="1" applyAlignment="1" applyProtection="1">
      <alignment vertical="center" wrapText="1"/>
      <protection locked="0"/>
    </xf>
    <xf numFmtId="0" fontId="36" fillId="28" borderId="9" xfId="0" applyFont="1" applyFill="1" applyBorder="1" applyAlignment="1" applyProtection="1">
      <alignment vertical="center" wrapText="1"/>
      <protection locked="0"/>
    </xf>
    <xf numFmtId="188" fontId="0" fillId="9" borderId="1" xfId="0" applyNumberFormat="1" applyFill="1" applyBorder="1" applyAlignment="1" applyProtection="1">
      <alignment vertical="center" wrapText="1"/>
      <protection locked="0"/>
    </xf>
    <xf numFmtId="0" fontId="0" fillId="9" borderId="1" xfId="0" applyFill="1" applyBorder="1" applyAlignment="1" applyProtection="1">
      <alignment vertical="center" wrapText="1"/>
      <protection locked="0"/>
    </xf>
    <xf numFmtId="0" fontId="0" fillId="40" borderId="1" xfId="0" applyFill="1" applyBorder="1" applyAlignment="1" applyProtection="1">
      <alignment vertical="center" wrapText="1"/>
      <protection locked="0"/>
    </xf>
    <xf numFmtId="0" fontId="0" fillId="0" borderId="0" xfId="0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8" xfId="0" applyBorder="1">
      <alignment vertical="center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14" xfId="0" applyBorder="1" applyAlignment="1" applyProtection="1">
      <alignment horizontal="center" vertical="center" wrapText="1"/>
      <protection locked="0"/>
    </xf>
    <xf numFmtId="0" fontId="0" fillId="28" borderId="9" xfId="0" applyFill="1" applyBorder="1" applyAlignment="1" applyProtection="1">
      <alignment horizontal="center" vertical="center" wrapText="1"/>
      <protection locked="0"/>
    </xf>
    <xf numFmtId="0" fontId="0" fillId="28" borderId="8" xfId="0" applyFill="1" applyBorder="1" applyAlignment="1" applyProtection="1">
      <alignment horizontal="center" vertical="center" wrapText="1"/>
      <protection locked="0"/>
    </xf>
    <xf numFmtId="0" fontId="0" fillId="9" borderId="1" xfId="0" applyFill="1" applyBorder="1" applyAlignment="1" applyProtection="1">
      <alignment horizontal="center" vertical="center" wrapText="1"/>
      <protection locked="0"/>
    </xf>
    <xf numFmtId="0" fontId="0" fillId="40" borderId="1" xfId="0" applyFill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 wrapText="1"/>
    </xf>
    <xf numFmtId="0" fontId="28" fillId="5" borderId="0" xfId="0" applyFont="1" applyFill="1" applyAlignment="1">
      <alignment horizontal="center" vertical="center" wrapText="1"/>
    </xf>
    <xf numFmtId="0" fontId="28" fillId="0" borderId="0" xfId="0" applyFont="1">
      <alignment vertical="center"/>
    </xf>
    <xf numFmtId="195" fontId="0" fillId="5" borderId="0" xfId="0" applyNumberFormat="1" applyFill="1">
      <alignment vertical="center"/>
    </xf>
    <xf numFmtId="195" fontId="0" fillId="0" borderId="0" xfId="0" applyNumberFormat="1">
      <alignment vertical="center"/>
    </xf>
    <xf numFmtId="195" fontId="0" fillId="5" borderId="0" xfId="0" applyNumberFormat="1" applyFill="1" applyAlignment="1">
      <alignment horizontal="left" vertical="center" wrapText="1"/>
    </xf>
    <xf numFmtId="195" fontId="0" fillId="5" borderId="0" xfId="0" applyNumberFormat="1" applyFill="1" applyAlignment="1">
      <alignment vertical="center" wrapText="1"/>
    </xf>
    <xf numFmtId="195" fontId="0" fillId="5" borderId="0" xfId="0" applyNumberFormat="1" applyFill="1" applyAlignment="1">
      <alignment horizontal="right" vertical="center" wrapText="1"/>
    </xf>
    <xf numFmtId="0" fontId="29" fillId="5" borderId="9" xfId="0" applyFont="1" applyFill="1" applyBorder="1" applyAlignment="1">
      <alignment horizontal="center" vertical="center"/>
    </xf>
    <xf numFmtId="0" fontId="29" fillId="5" borderId="8" xfId="0" applyFont="1" applyFill="1" applyBorder="1" applyAlignment="1">
      <alignment horizontal="center" vertical="center"/>
    </xf>
    <xf numFmtId="0" fontId="0" fillId="5" borderId="0" xfId="0" applyFill="1" applyAlignment="1">
      <alignment horizontal="left" vertical="center" wrapText="1"/>
    </xf>
    <xf numFmtId="0" fontId="0" fillId="5" borderId="0" xfId="0" applyFill="1" applyAlignment="1">
      <alignment vertical="center" wrapText="1"/>
    </xf>
    <xf numFmtId="0" fontId="0" fillId="0" borderId="0" xfId="0">
      <alignment vertical="center"/>
    </xf>
    <xf numFmtId="0" fontId="0" fillId="5" borderId="2" xfId="0" applyFill="1" applyBorder="1">
      <alignment vertical="center"/>
    </xf>
    <xf numFmtId="0" fontId="0" fillId="5" borderId="2" xfId="0" applyFill="1" applyBorder="1" applyAlignment="1">
      <alignment vertical="center" wrapText="1"/>
    </xf>
    <xf numFmtId="0" fontId="0" fillId="5" borderId="0" xfId="0" applyFill="1">
      <alignment vertical="center"/>
    </xf>
    <xf numFmtId="0" fontId="29" fillId="36" borderId="55" xfId="0" applyFont="1" applyFill="1" applyBorder="1" applyAlignment="1">
      <alignment horizontal="center" vertical="center" wrapText="1"/>
    </xf>
    <xf numFmtId="0" fontId="29" fillId="5" borderId="1" xfId="0" applyFont="1" applyFill="1" applyBorder="1" applyAlignment="1">
      <alignment horizontal="center" vertical="center" wrapText="1"/>
    </xf>
    <xf numFmtId="0" fontId="29" fillId="36" borderId="62" xfId="0" applyFont="1" applyFill="1" applyBorder="1" applyAlignment="1">
      <alignment horizontal="center" vertical="center" wrapText="1"/>
    </xf>
    <xf numFmtId="0" fontId="29" fillId="5" borderId="63" xfId="0" applyFont="1" applyFill="1" applyBorder="1" applyAlignment="1">
      <alignment horizontal="center" vertical="center" wrapText="1"/>
    </xf>
    <xf numFmtId="0" fontId="0" fillId="36" borderId="15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0" fillId="36" borderId="1" xfId="0" applyFill="1" applyBorder="1" applyAlignment="1">
      <alignment horizontal="center" vertical="center" wrapText="1"/>
    </xf>
    <xf numFmtId="0" fontId="0" fillId="37" borderId="64" xfId="0" applyFill="1" applyBorder="1" applyAlignment="1">
      <alignment horizontal="center" vertical="center" wrapText="1"/>
    </xf>
    <xf numFmtId="0" fontId="29" fillId="5" borderId="15" xfId="0" applyFont="1" applyFill="1" applyBorder="1" applyAlignment="1">
      <alignment horizontal="center" vertical="center" wrapText="1"/>
    </xf>
    <xf numFmtId="0" fontId="0" fillId="36" borderId="6" xfId="0" applyFill="1" applyBorder="1" applyAlignment="1">
      <alignment horizontal="center" vertical="center" wrapText="1"/>
    </xf>
    <xf numFmtId="0" fontId="0" fillId="37" borderId="59" xfId="0" applyFill="1" applyBorder="1" applyAlignment="1">
      <alignment horizontal="center" vertical="center" wrapText="1"/>
    </xf>
    <xf numFmtId="0" fontId="0" fillId="5" borderId="56" xfId="0" applyFill="1" applyBorder="1" applyAlignment="1">
      <alignment horizontal="center" vertical="center" wrapText="1"/>
    </xf>
    <xf numFmtId="0" fontId="0" fillId="36" borderId="10" xfId="0" applyFill="1" applyBorder="1" applyAlignment="1">
      <alignment horizontal="center" vertical="center" wrapText="1"/>
    </xf>
    <xf numFmtId="0" fontId="0" fillId="5" borderId="55" xfId="0" applyFill="1" applyBorder="1" applyAlignment="1">
      <alignment horizontal="center" vertical="center" wrapText="1"/>
    </xf>
    <xf numFmtId="0" fontId="0" fillId="37" borderId="1" xfId="0" applyFill="1" applyBorder="1" applyAlignment="1">
      <alignment horizontal="center" vertical="center" wrapText="1"/>
    </xf>
    <xf numFmtId="0" fontId="0" fillId="36" borderId="1" xfId="0" applyFill="1" applyBorder="1" applyAlignment="1">
      <alignment vertical="center" wrapText="1"/>
    </xf>
    <xf numFmtId="0" fontId="83" fillId="5" borderId="64" xfId="1212" applyFill="1" applyBorder="1" applyAlignment="1">
      <alignment horizontal="center" vertical="center" wrapText="1"/>
    </xf>
    <xf numFmtId="0" fontId="83" fillId="36" borderId="6" xfId="1212" applyFill="1" applyBorder="1" applyAlignment="1">
      <alignment horizontal="center" vertical="center" wrapText="1"/>
    </xf>
    <xf numFmtId="0" fontId="29" fillId="5" borderId="6" xfId="0" applyFont="1" applyFill="1" applyBorder="1" applyAlignment="1">
      <alignment horizontal="center" vertical="center" wrapText="1"/>
    </xf>
    <xf numFmtId="0" fontId="29" fillId="5" borderId="15" xfId="2027" applyFont="1" applyFill="1" applyBorder="1" applyAlignment="1">
      <alignment horizontal="center" vertical="center" wrapText="1"/>
    </xf>
    <xf numFmtId="0" fontId="83" fillId="36" borderId="6" xfId="2027" applyFill="1" applyBorder="1" applyAlignment="1">
      <alignment horizontal="center" vertical="center" wrapText="1"/>
    </xf>
    <xf numFmtId="0" fontId="26" fillId="0" borderId="41" xfId="0" applyFont="1" applyBorder="1" applyAlignment="1">
      <alignment horizontal="center" vertical="center" wrapText="1"/>
    </xf>
    <xf numFmtId="0" fontId="26" fillId="0" borderId="42" xfId="0" applyFont="1" applyBorder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26" fillId="0" borderId="12" xfId="0" applyFont="1" applyBorder="1" applyAlignment="1">
      <alignment horizontal="center" vertical="center" wrapText="1"/>
    </xf>
    <xf numFmtId="0" fontId="26" fillId="0" borderId="15" xfId="0" applyFont="1" applyBorder="1" applyAlignment="1">
      <alignment horizontal="left" vertical="center" wrapText="1" shrinkToFit="1"/>
    </xf>
    <xf numFmtId="0" fontId="26" fillId="0" borderId="10" xfId="0" applyFont="1" applyBorder="1" applyAlignment="1">
      <alignment horizontal="left" vertical="center" wrapText="1" shrinkToFit="1"/>
    </xf>
    <xf numFmtId="0" fontId="26" fillId="0" borderId="6" xfId="0" applyFont="1" applyBorder="1" applyAlignment="1">
      <alignment horizontal="left" vertical="center" wrapText="1" shrinkToFit="1"/>
    </xf>
    <xf numFmtId="0" fontId="26" fillId="0" borderId="10" xfId="0" applyFont="1" applyBorder="1" applyAlignment="1">
      <alignment horizontal="center" vertical="center" wrapText="1" shrinkToFit="1"/>
    </xf>
    <xf numFmtId="0" fontId="26" fillId="5" borderId="15" xfId="0" applyFont="1" applyFill="1" applyBorder="1" applyAlignment="1">
      <alignment horizontal="left" vertical="center" wrapText="1" shrinkToFit="1"/>
    </xf>
    <xf numFmtId="0" fontId="26" fillId="5" borderId="10" xfId="0" applyFont="1" applyFill="1" applyBorder="1" applyAlignment="1">
      <alignment horizontal="left" vertical="center" wrapText="1" shrinkToFit="1"/>
    </xf>
    <xf numFmtId="0" fontId="26" fillId="5" borderId="6" xfId="0" applyFont="1" applyFill="1" applyBorder="1" applyAlignment="1">
      <alignment horizontal="left" vertical="center" wrapText="1" shrinkToFit="1"/>
    </xf>
    <xf numFmtId="0" fontId="26" fillId="0" borderId="2" xfId="0" applyFont="1" applyBorder="1" applyAlignment="1">
      <alignment horizontal="left" vertical="center" wrapText="1" shrinkToFit="1"/>
    </xf>
    <xf numFmtId="0" fontId="26" fillId="0" borderId="0" xfId="0" applyFont="1" applyAlignment="1">
      <alignment horizontal="left" vertical="center" wrapText="1" shrinkToFit="1"/>
    </xf>
    <xf numFmtId="0" fontId="26" fillId="0" borderId="2" xfId="0" applyFont="1" applyBorder="1" applyAlignment="1">
      <alignment horizontal="center" vertical="center" wrapText="1" shrinkToFit="1"/>
    </xf>
    <xf numFmtId="0" fontId="26" fillId="0" borderId="0" xfId="0" applyFont="1" applyAlignment="1">
      <alignment horizontal="center" vertical="center" wrapText="1" shrinkToFit="1"/>
    </xf>
    <xf numFmtId="0" fontId="26" fillId="0" borderId="1" xfId="0" applyFont="1" applyBorder="1" applyAlignment="1">
      <alignment horizontal="left" vertical="center" wrapText="1" shrinkToFit="1"/>
    </xf>
    <xf numFmtId="0" fontId="26" fillId="0" borderId="46" xfId="0" applyFont="1" applyBorder="1" applyAlignment="1">
      <alignment horizontal="left" vertical="center" wrapText="1" shrinkToFit="1"/>
    </xf>
    <xf numFmtId="0" fontId="26" fillId="0" borderId="47" xfId="0" applyFont="1" applyBorder="1" applyAlignment="1">
      <alignment horizontal="left" vertical="center" wrapText="1" shrinkToFit="1"/>
    </xf>
    <xf numFmtId="0" fontId="26" fillId="0" borderId="48" xfId="0" applyFont="1" applyBorder="1" applyAlignment="1">
      <alignment horizontal="left" vertical="center" wrapText="1" shrinkToFit="1"/>
    </xf>
    <xf numFmtId="0" fontId="26" fillId="0" borderId="49" xfId="0" applyFont="1" applyBorder="1" applyAlignment="1">
      <alignment horizontal="left" vertical="center" wrapText="1" shrinkToFit="1"/>
    </xf>
    <xf numFmtId="0" fontId="26" fillId="0" borderId="50" xfId="0" applyFont="1" applyBorder="1" applyAlignment="1">
      <alignment horizontal="left" vertical="center" wrapText="1" shrinkToFit="1"/>
    </xf>
    <xf numFmtId="0" fontId="26" fillId="0" borderId="51" xfId="0" applyFont="1" applyBorder="1" applyAlignment="1">
      <alignment horizontal="left" vertical="center" wrapText="1" shrinkToFit="1"/>
    </xf>
    <xf numFmtId="0" fontId="0" fillId="6" borderId="1" xfId="0" applyFill="1" applyBorder="1" applyAlignment="1">
      <alignment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 wrapText="1"/>
    </xf>
    <xf numFmtId="0" fontId="21" fillId="0" borderId="5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0" fontId="5" fillId="0" borderId="2" xfId="0" applyNumberFormat="1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186" fontId="20" fillId="0" borderId="4" xfId="0" applyNumberFormat="1" applyFont="1" applyBorder="1" applyAlignment="1">
      <alignment horizontal="center" vertical="center" wrapText="1"/>
    </xf>
    <xf numFmtId="186" fontId="20" fillId="0" borderId="5" xfId="0" applyNumberFormat="1" applyFont="1" applyBorder="1" applyAlignment="1">
      <alignment horizontal="center" vertical="center" wrapText="1"/>
    </xf>
    <xf numFmtId="186" fontId="20" fillId="0" borderId="13" xfId="0" applyNumberFormat="1" applyFont="1" applyBorder="1" applyAlignment="1">
      <alignment horizontal="center" vertical="center" wrapText="1"/>
    </xf>
    <xf numFmtId="186" fontId="5" fillId="0" borderId="3" xfId="0" applyNumberFormat="1" applyFont="1" applyBorder="1" applyAlignment="1">
      <alignment horizontal="center" vertical="center" wrapText="1"/>
    </xf>
    <xf numFmtId="186" fontId="5" fillId="0" borderId="0" xfId="0" applyNumberFormat="1" applyFont="1" applyAlignment="1">
      <alignment horizontal="center" vertical="center" wrapText="1"/>
    </xf>
    <xf numFmtId="186" fontId="5" fillId="0" borderId="12" xfId="0" applyNumberFormat="1" applyFont="1" applyBorder="1" applyAlignment="1">
      <alignment horizontal="center" vertical="center" wrapText="1"/>
    </xf>
    <xf numFmtId="186" fontId="5" fillId="0" borderId="9" xfId="0" applyNumberFormat="1" applyFont="1" applyBorder="1" applyAlignment="1">
      <alignment horizontal="center" vertical="center" wrapText="1"/>
    </xf>
    <xf numFmtId="186" fontId="5" fillId="0" borderId="8" xfId="0" applyNumberFormat="1" applyFont="1" applyBorder="1" applyAlignment="1">
      <alignment horizontal="center" vertical="center" wrapText="1"/>
    </xf>
    <xf numFmtId="186" fontId="5" fillId="0" borderId="14" xfId="0" applyNumberFormat="1" applyFont="1" applyBorder="1" applyAlignment="1">
      <alignment horizontal="center" vertical="center" wrapText="1"/>
    </xf>
    <xf numFmtId="186" fontId="5" fillId="20" borderId="9" xfId="0" applyNumberFormat="1" applyFont="1" applyFill="1" applyBorder="1" applyAlignment="1">
      <alignment horizontal="center" vertical="center"/>
    </xf>
    <xf numFmtId="186" fontId="5" fillId="20" borderId="8" xfId="0" applyNumberFormat="1" applyFont="1" applyFill="1" applyBorder="1" applyAlignment="1">
      <alignment horizontal="center" vertical="center"/>
    </xf>
    <xf numFmtId="186" fontId="5" fillId="14" borderId="9" xfId="0" applyNumberFormat="1" applyFont="1" applyFill="1" applyBorder="1" applyAlignment="1">
      <alignment horizontal="center" vertical="center"/>
    </xf>
    <xf numFmtId="186" fontId="5" fillId="14" borderId="8" xfId="0" applyNumberFormat="1" applyFont="1" applyFill="1" applyBorder="1" applyAlignment="1">
      <alignment horizontal="center" vertical="center"/>
    </xf>
    <xf numFmtId="186" fontId="4" fillId="0" borderId="9" xfId="0" applyNumberFormat="1" applyFont="1" applyBorder="1" applyAlignment="1">
      <alignment horizontal="center" vertical="center" wrapText="1"/>
    </xf>
    <xf numFmtId="186" fontId="4" fillId="0" borderId="8" xfId="0" applyNumberFormat="1" applyFont="1" applyBorder="1" applyAlignment="1">
      <alignment horizontal="center" vertical="center" wrapText="1"/>
    </xf>
    <xf numFmtId="186" fontId="4" fillId="0" borderId="14" xfId="0" applyNumberFormat="1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20" borderId="9" xfId="0" applyFont="1" applyFill="1" applyBorder="1" applyAlignment="1">
      <alignment horizontal="center" vertical="center"/>
    </xf>
    <xf numFmtId="0" fontId="5" fillId="20" borderId="8" xfId="0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10" fontId="0" fillId="0" borderId="5" xfId="0" applyNumberForma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0" fontId="5" fillId="0" borderId="13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6" fillId="7" borderId="8" xfId="0" applyFont="1" applyFill="1" applyBorder="1" applyAlignment="1">
      <alignment horizontal="center" vertical="center" wrapText="1"/>
    </xf>
    <xf numFmtId="0" fontId="3" fillId="11" borderId="8" xfId="0" applyFont="1" applyFill="1" applyBorder="1" applyAlignment="1">
      <alignment horizontal="center" vertical="center" wrapText="1"/>
    </xf>
    <xf numFmtId="0" fontId="6" fillId="11" borderId="8" xfId="0" applyFont="1" applyFill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186" fontId="5" fillId="0" borderId="25" xfId="0" applyNumberFormat="1" applyFont="1" applyBorder="1" applyAlignment="1">
      <alignment horizontal="center" vertical="center" wrapText="1"/>
    </xf>
    <xf numFmtId="186" fontId="5" fillId="20" borderId="9" xfId="0" applyNumberFormat="1" applyFont="1" applyFill="1" applyBorder="1" applyAlignment="1">
      <alignment horizontal="center" vertical="center" wrapText="1"/>
    </xf>
    <xf numFmtId="186" fontId="5" fillId="20" borderId="8" xfId="0" applyNumberFormat="1" applyFont="1" applyFill="1" applyBorder="1" applyAlignment="1">
      <alignment horizontal="center" vertical="center" wrapText="1"/>
    </xf>
    <xf numFmtId="186" fontId="5" fillId="20" borderId="14" xfId="0" applyNumberFormat="1" applyFont="1" applyFill="1" applyBorder="1" applyAlignment="1">
      <alignment horizontal="center" vertical="center" wrapText="1"/>
    </xf>
    <xf numFmtId="186" fontId="5" fillId="0" borderId="1" xfId="0" applyNumberFormat="1" applyFont="1" applyBorder="1" applyAlignment="1">
      <alignment horizontal="center" vertical="center" wrapText="1"/>
    </xf>
    <xf numFmtId="186" fontId="5" fillId="14" borderId="9" xfId="0" applyNumberFormat="1" applyFont="1" applyFill="1" applyBorder="1" applyAlignment="1">
      <alignment horizontal="center" vertical="center" wrapText="1"/>
    </xf>
    <xf numFmtId="186" fontId="5" fillId="14" borderId="8" xfId="0" applyNumberFormat="1" applyFont="1" applyFill="1" applyBorder="1" applyAlignment="1">
      <alignment horizontal="center" vertical="center" wrapText="1"/>
    </xf>
    <xf numFmtId="0" fontId="5" fillId="0" borderId="25" xfId="0" applyFont="1" applyBorder="1" applyAlignment="1">
      <alignment horizontal="center" vertical="center" wrapText="1"/>
    </xf>
    <xf numFmtId="0" fontId="5" fillId="0" borderId="33" xfId="0" applyFont="1" applyBorder="1" applyAlignment="1">
      <alignment horizontal="center" vertical="center" wrapText="1"/>
    </xf>
    <xf numFmtId="0" fontId="5" fillId="20" borderId="9" xfId="0" applyFont="1" applyFill="1" applyBorder="1" applyAlignment="1">
      <alignment horizontal="center" vertical="center" wrapText="1"/>
    </xf>
    <xf numFmtId="0" fontId="5" fillId="20" borderId="8" xfId="0" applyFont="1" applyFill="1" applyBorder="1" applyAlignment="1">
      <alignment horizontal="center" vertical="center" wrapText="1"/>
    </xf>
    <xf numFmtId="0" fontId="5" fillId="20" borderId="14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0" fillId="14" borderId="9" xfId="0" applyFill="1" applyBorder="1" applyAlignment="1">
      <alignment horizontal="center" vertical="center" wrapText="1"/>
    </xf>
    <xf numFmtId="0" fontId="0" fillId="14" borderId="8" xfId="0" applyFill="1" applyBorder="1" applyAlignment="1">
      <alignment horizontal="center" vertical="center" wrapText="1"/>
    </xf>
    <xf numFmtId="0" fontId="0" fillId="21" borderId="3" xfId="0" applyFill="1" applyBorder="1" applyAlignment="1">
      <alignment horizontal="center" vertical="center"/>
    </xf>
    <xf numFmtId="0" fontId="0" fillId="21" borderId="0" xfId="0" applyFill="1" applyAlignment="1">
      <alignment horizontal="center" vertical="center"/>
    </xf>
    <xf numFmtId="0" fontId="0" fillId="21" borderId="12" xfId="0" applyFill="1" applyBorder="1" applyAlignment="1">
      <alignment horizontal="center" vertical="center"/>
    </xf>
    <xf numFmtId="0" fontId="0" fillId="22" borderId="3" xfId="0" applyFill="1" applyBorder="1" applyAlignment="1">
      <alignment horizontal="center" vertical="center"/>
    </xf>
    <xf numFmtId="0" fontId="0" fillId="22" borderId="0" xfId="0" applyFill="1" applyAlignment="1">
      <alignment horizontal="center" vertical="center"/>
    </xf>
    <xf numFmtId="0" fontId="0" fillId="22" borderId="12" xfId="0" applyFill="1" applyBorder="1" applyAlignment="1">
      <alignment horizontal="center" vertical="center"/>
    </xf>
    <xf numFmtId="0" fontId="7" fillId="7" borderId="10" xfId="0" applyFont="1" applyFill="1" applyBorder="1" applyAlignment="1">
      <alignment horizontal="center" vertical="center" wrapText="1"/>
    </xf>
    <xf numFmtId="0" fontId="7" fillId="7" borderId="6" xfId="0" applyFont="1" applyFill="1" applyBorder="1" applyAlignment="1">
      <alignment horizontal="center" vertical="center" wrapText="1"/>
    </xf>
    <xf numFmtId="0" fontId="7" fillId="11" borderId="10" xfId="0" applyFont="1" applyFill="1" applyBorder="1" applyAlignment="1">
      <alignment horizontal="center" vertical="center" wrapText="1"/>
    </xf>
    <xf numFmtId="0" fontId="7" fillId="11" borderId="6" xfId="0" applyFont="1" applyFill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186" fontId="5" fillId="0" borderId="30" xfId="0" applyNumberFormat="1" applyFont="1" applyBorder="1" applyAlignment="1">
      <alignment horizontal="center" vertical="center" wrapText="1"/>
    </xf>
    <xf numFmtId="186" fontId="5" fillId="0" borderId="26" xfId="0" applyNumberFormat="1" applyFont="1" applyBorder="1" applyAlignment="1">
      <alignment horizontal="center" vertical="center" wrapText="1"/>
    </xf>
    <xf numFmtId="186" fontId="5" fillId="0" borderId="31" xfId="0" applyNumberFormat="1" applyFont="1" applyBorder="1" applyAlignment="1">
      <alignment horizontal="center" vertical="center" wrapText="1"/>
    </xf>
    <xf numFmtId="186" fontId="5" fillId="0" borderId="32" xfId="0" applyNumberFormat="1" applyFont="1" applyBorder="1" applyAlignment="1">
      <alignment horizontal="center" vertical="center" wrapText="1"/>
    </xf>
    <xf numFmtId="186" fontId="5" fillId="0" borderId="15" xfId="0" applyNumberFormat="1" applyFont="1" applyBorder="1" applyAlignment="1">
      <alignment horizontal="center" vertical="center" wrapText="1"/>
    </xf>
    <xf numFmtId="186" fontId="5" fillId="0" borderId="6" xfId="0" applyNumberFormat="1" applyFont="1" applyBorder="1" applyAlignment="1">
      <alignment horizontal="center" vertical="center" wrapText="1"/>
    </xf>
    <xf numFmtId="186" fontId="7" fillId="0" borderId="15" xfId="0" applyNumberFormat="1" applyFont="1" applyBorder="1" applyAlignment="1">
      <alignment horizontal="center" vertical="center" wrapText="1"/>
    </xf>
    <xf numFmtId="186" fontId="7" fillId="0" borderId="6" xfId="0" applyNumberFormat="1" applyFont="1" applyBorder="1" applyAlignment="1">
      <alignment horizontal="center" vertical="center" wrapText="1"/>
    </xf>
    <xf numFmtId="0" fontId="5" fillId="0" borderId="34" xfId="0" applyFont="1" applyBorder="1" applyAlignment="1">
      <alignment horizontal="center" vertical="center" wrapText="1"/>
    </xf>
    <xf numFmtId="0" fontId="5" fillId="0" borderId="36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27" xfId="0" applyFont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 wrapText="1"/>
    </xf>
    <xf numFmtId="0" fontId="5" fillId="0" borderId="3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7" fillId="0" borderId="38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21" fillId="3" borderId="12" xfId="0" applyFont="1" applyFill="1" applyBorder="1" applyAlignment="1">
      <alignment horizontal="center" vertical="center" wrapText="1"/>
    </xf>
    <xf numFmtId="0" fontId="21" fillId="3" borderId="26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10" fontId="0" fillId="2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0" fontId="0" fillId="3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4" borderId="0" xfId="0" applyFill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83" fillId="0" borderId="0" xfId="0" applyFont="1">
      <alignment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horizontal="left" vertical="center"/>
    </xf>
    <xf numFmtId="10" fontId="0" fillId="3" borderId="1" xfId="0" applyNumberFormat="1" applyFill="1" applyBorder="1" applyAlignment="1">
      <alignment vertical="center" wrapText="1"/>
    </xf>
  </cellXfs>
  <cellStyles count="55849">
    <cellStyle name="20% - 强调文字颜色 1 2" xfId="19" xr:uid="{00000000-0005-0000-0000-000015000000}"/>
    <cellStyle name="20% - 强调文字颜色 1 3" xfId="613" xr:uid="{00000000-0005-0000-0000-000095020000}"/>
    <cellStyle name="20% - 强调文字颜色 2 2" xfId="648" xr:uid="{00000000-0005-0000-0000-0000B8020000}"/>
    <cellStyle name="20% - 强调文字颜色 2 3" xfId="576" xr:uid="{00000000-0005-0000-0000-000070020000}"/>
    <cellStyle name="20% - 强调文字颜色 3 2" xfId="659" xr:uid="{00000000-0005-0000-0000-0000C3020000}"/>
    <cellStyle name="20% - 强调文字颜色 3 3" xfId="313" xr:uid="{00000000-0005-0000-0000-000058010000}"/>
    <cellStyle name="20% - 强调文字颜色 4 2" xfId="674" xr:uid="{00000000-0005-0000-0000-0000D2020000}"/>
    <cellStyle name="20% - 强调文字颜色 4 3" xfId="700" xr:uid="{00000000-0005-0000-0000-0000EC020000}"/>
    <cellStyle name="20% - 强调文字颜色 5 2" xfId="730" xr:uid="{00000000-0005-0000-0000-00000A030000}"/>
    <cellStyle name="20% - 强调文字颜色 5 3" xfId="547" xr:uid="{00000000-0005-0000-0000-000053020000}"/>
    <cellStyle name="20% - 强调文字颜色 6 2" xfId="749" xr:uid="{00000000-0005-0000-0000-00001D030000}"/>
    <cellStyle name="20% - 强调文字颜色 6 3" xfId="602" xr:uid="{00000000-0005-0000-0000-00008A020000}"/>
    <cellStyle name="40% - 强调文字颜色 1 2" xfId="561" xr:uid="{00000000-0005-0000-0000-000061020000}"/>
    <cellStyle name="40% - 强调文字颜色 1 3" xfId="774" xr:uid="{00000000-0005-0000-0000-000036030000}"/>
    <cellStyle name="40% - 强调文字颜色 2 2" xfId="580" xr:uid="{00000000-0005-0000-0000-000074020000}"/>
    <cellStyle name="40% - 强调文字颜色 2 3" xfId="801" xr:uid="{00000000-0005-0000-0000-000051030000}"/>
    <cellStyle name="40% - 强调文字颜色 3 2" xfId="812" xr:uid="{00000000-0005-0000-0000-00005C030000}"/>
    <cellStyle name="40% - 强调文字颜色 3 3" xfId="840" xr:uid="{00000000-0005-0000-0000-000078030000}"/>
    <cellStyle name="40% - 强调文字颜色 4 2" xfId="258" xr:uid="{00000000-0005-0000-0000-00001B010000}"/>
    <cellStyle name="40% - 强调文字颜色 4 3" xfId="856" xr:uid="{00000000-0005-0000-0000-000088030000}"/>
    <cellStyle name="40% - 强调文字颜色 5 2" xfId="864" xr:uid="{00000000-0005-0000-0000-000090030000}"/>
    <cellStyle name="40% - 强调文字颜色 5 3" xfId="882" xr:uid="{00000000-0005-0000-0000-0000A2030000}"/>
    <cellStyle name="40% - 强调文字颜色 6 2" xfId="904" xr:uid="{00000000-0005-0000-0000-0000B8030000}"/>
    <cellStyle name="40% - 强调文字颜色 6 3" xfId="912" xr:uid="{00000000-0005-0000-0000-0000C0030000}"/>
    <cellStyle name="60% - 强调文字颜色 1 2" xfId="935" xr:uid="{00000000-0005-0000-0000-0000D7030000}"/>
    <cellStyle name="60% - 强调文字颜色 1 3" xfId="948" xr:uid="{00000000-0005-0000-0000-0000E4030000}"/>
    <cellStyle name="60% - 强调文字颜色 2 2" xfId="963" xr:uid="{00000000-0005-0000-0000-0000F3030000}"/>
    <cellStyle name="60% - 强调文字颜色 2 3" xfId="158" xr:uid="{00000000-0005-0000-0000-0000AB000000}"/>
    <cellStyle name="60% - 强调文字颜色 3 2" xfId="974" xr:uid="{00000000-0005-0000-0000-0000FE030000}"/>
    <cellStyle name="60% - 强调文字颜色 3 3" xfId="981" xr:uid="{00000000-0005-0000-0000-000005040000}"/>
    <cellStyle name="60% - 强调文字颜色 4 2" xfId="987" xr:uid="{00000000-0005-0000-0000-00000B040000}"/>
    <cellStyle name="60% - 强调文字颜色 4 3" xfId="992" xr:uid="{00000000-0005-0000-0000-000010040000}"/>
    <cellStyle name="60% - 强调文字颜色 5 2" xfId="1005" xr:uid="{00000000-0005-0000-0000-00001D040000}"/>
    <cellStyle name="60% - 强调文字颜色 5 3" xfId="1030" xr:uid="{00000000-0005-0000-0000-000036040000}"/>
    <cellStyle name="60% - 强调文字颜色 6 2" xfId="1036" xr:uid="{00000000-0005-0000-0000-00003C040000}"/>
    <cellStyle name="60% - 强调文字颜色 6 3" xfId="1057" xr:uid="{00000000-0005-0000-0000-000051040000}"/>
    <cellStyle name="标题 1 2" xfId="1080" xr:uid="{00000000-0005-0000-0000-000068040000}"/>
    <cellStyle name="标题 1 3" xfId="1100" xr:uid="{00000000-0005-0000-0000-00007C040000}"/>
    <cellStyle name="标题 2 2" xfId="1110" xr:uid="{00000000-0005-0000-0000-000086040000}"/>
    <cellStyle name="标题 2 3" xfId="1122" xr:uid="{00000000-0005-0000-0000-000092040000}"/>
    <cellStyle name="标题 3 2" xfId="1135" xr:uid="{00000000-0005-0000-0000-00009F040000}"/>
    <cellStyle name="标题 3 3" xfId="1153" xr:uid="{00000000-0005-0000-0000-0000B1040000}"/>
    <cellStyle name="标题 4 2" xfId="1159" xr:uid="{00000000-0005-0000-0000-0000B7040000}"/>
    <cellStyle name="标题 4 3" xfId="1162" xr:uid="{00000000-0005-0000-0000-0000BA040000}"/>
    <cellStyle name="标题 5" xfId="1172" xr:uid="{00000000-0005-0000-0000-0000C4040000}"/>
    <cellStyle name="标题 6" xfId="1188" xr:uid="{00000000-0005-0000-0000-0000D4040000}"/>
    <cellStyle name="差 2" xfId="1200" xr:uid="{00000000-0005-0000-0000-0000E0040000}"/>
    <cellStyle name="差 3" xfId="1209" xr:uid="{00000000-0005-0000-0000-0000E9040000}"/>
    <cellStyle name="常规" xfId="0" builtinId="0"/>
    <cellStyle name="常规 10" xfId="1212" xr:uid="{00000000-0005-0000-0000-0000EC040000}"/>
    <cellStyle name="常规 10 2" xfId="1223" xr:uid="{00000000-0005-0000-0000-0000F7040000}"/>
    <cellStyle name="常规 10 2 2" xfId="1263" xr:uid="{00000000-0005-0000-0000-00001F050000}"/>
    <cellStyle name="常规 11" xfId="1285" xr:uid="{00000000-0005-0000-0000-000035050000}"/>
    <cellStyle name="常规 12" xfId="1298" xr:uid="{00000000-0005-0000-0000-000042050000}"/>
    <cellStyle name="常规 13" xfId="1314" xr:uid="{00000000-0005-0000-0000-000052050000}"/>
    <cellStyle name="常规 14" xfId="1333" xr:uid="{00000000-0005-0000-0000-000065050000}"/>
    <cellStyle name="常规 15" xfId="1341" xr:uid="{00000000-0005-0000-0000-00006D050000}"/>
    <cellStyle name="常规 16" xfId="1357" xr:uid="{00000000-0005-0000-0000-00007D050000}"/>
    <cellStyle name="常规 17" xfId="1374" xr:uid="{00000000-0005-0000-0000-00008E050000}"/>
    <cellStyle name="常规 18" xfId="1385" xr:uid="{00000000-0005-0000-0000-000099050000}"/>
    <cellStyle name="常规 18 10" xfId="1394" xr:uid="{00000000-0005-0000-0000-0000A2050000}"/>
    <cellStyle name="常规 18 2" xfId="1399" xr:uid="{00000000-0005-0000-0000-0000A7050000}"/>
    <cellStyle name="常规 18 2 2" xfId="1417" xr:uid="{00000000-0005-0000-0000-0000B9050000}"/>
    <cellStyle name="常规 18 2 2 2" xfId="1433" xr:uid="{00000000-0005-0000-0000-0000C9050000}"/>
    <cellStyle name="常规 18 2 3" xfId="1445" xr:uid="{00000000-0005-0000-0000-0000D5050000}"/>
    <cellStyle name="常规 18 2 3 2" xfId="1457" xr:uid="{00000000-0005-0000-0000-0000E1050000}"/>
    <cellStyle name="常规 18 2 4" xfId="1473" xr:uid="{00000000-0005-0000-0000-0000F1050000}"/>
    <cellStyle name="常规 18 2 5" xfId="1476" xr:uid="{00000000-0005-0000-0000-0000F4050000}"/>
    <cellStyle name="常规 18 2 6" xfId="1521" xr:uid="{00000000-0005-0000-0000-000021060000}"/>
    <cellStyle name="常规 18 2 7" xfId="1539" xr:uid="{00000000-0005-0000-0000-000033060000}"/>
    <cellStyle name="常规 18 3" xfId="1553" xr:uid="{00000000-0005-0000-0000-000041060000}"/>
    <cellStyle name="常规 18 4" xfId="1567" xr:uid="{00000000-0005-0000-0000-00004F060000}"/>
    <cellStyle name="常规 18 4 2" xfId="619" xr:uid="{00000000-0005-0000-0000-00009B020000}"/>
    <cellStyle name="常规 18 4 2 2" xfId="262" xr:uid="{00000000-0005-0000-0000-000020010000}"/>
    <cellStyle name="常规 18 4 3" xfId="624" xr:uid="{00000000-0005-0000-0000-0000A0020000}"/>
    <cellStyle name="常规 18 5" xfId="1581" xr:uid="{00000000-0005-0000-0000-00005D060000}"/>
    <cellStyle name="常规 18 5 2" xfId="1594" xr:uid="{00000000-0005-0000-0000-00006A060000}"/>
    <cellStyle name="常规 18 6" xfId="1608" xr:uid="{00000000-0005-0000-0000-000078060000}"/>
    <cellStyle name="常规 18 6 2" xfId="1612" xr:uid="{00000000-0005-0000-0000-00007C060000}"/>
    <cellStyle name="常规 18 7" xfId="1618" xr:uid="{00000000-0005-0000-0000-000082060000}"/>
    <cellStyle name="常规 18 8" xfId="1630" xr:uid="{00000000-0005-0000-0000-00008E060000}"/>
    <cellStyle name="常规 18 9" xfId="1639" xr:uid="{00000000-0005-0000-0000-000097060000}"/>
    <cellStyle name="常规 19" xfId="1653" xr:uid="{00000000-0005-0000-0000-0000A5060000}"/>
    <cellStyle name="常规 2" xfId="1661" xr:uid="{00000000-0005-0000-0000-0000AD060000}"/>
    <cellStyle name="常规 2 10" xfId="1682" xr:uid="{00000000-0005-0000-0000-0000C2060000}"/>
    <cellStyle name="常规 2 11" xfId="1702" xr:uid="{00000000-0005-0000-0000-0000D6060000}"/>
    <cellStyle name="常规 2 12" xfId="1721" xr:uid="{00000000-0005-0000-0000-0000E9060000}"/>
    <cellStyle name="常规 2 13" xfId="1750" xr:uid="{00000000-0005-0000-0000-000006070000}"/>
    <cellStyle name="常规 2 14" xfId="1789" xr:uid="{00000000-0005-0000-0000-00002D070000}"/>
    <cellStyle name="常规 2 15" xfId="1814" xr:uid="{00000000-0005-0000-0000-000046070000}"/>
    <cellStyle name="常规 2 16" xfId="1614" xr:uid="{00000000-0005-0000-0000-00007E060000}"/>
    <cellStyle name="常规 2 17" xfId="1820" xr:uid="{00000000-0005-0000-0000-00004C070000}"/>
    <cellStyle name="常规 2 18" xfId="1829" xr:uid="{00000000-0005-0000-0000-000055070000}"/>
    <cellStyle name="常规 2 19" xfId="1834" xr:uid="{00000000-0005-0000-0000-00005A070000}"/>
    <cellStyle name="常规 2 2" xfId="1852" xr:uid="{00000000-0005-0000-0000-00006C070000}"/>
    <cellStyle name="常规 2 2 2" xfId="1882" xr:uid="{00000000-0005-0000-0000-00008A070000}"/>
    <cellStyle name="常规 2 20" xfId="1815" xr:uid="{00000000-0005-0000-0000-000047070000}"/>
    <cellStyle name="常规 2 21" xfId="1615" xr:uid="{00000000-0005-0000-0000-00007F060000}"/>
    <cellStyle name="常规 2 22" xfId="1821" xr:uid="{00000000-0005-0000-0000-00004D070000}"/>
    <cellStyle name="常规 2 22 2" xfId="1839" xr:uid="{00000000-0005-0000-0000-00005F070000}"/>
    <cellStyle name="常规 2 23" xfId="1830" xr:uid="{00000000-0005-0000-0000-000056070000}"/>
    <cellStyle name="常规 2 24" xfId="1835" xr:uid="{00000000-0005-0000-0000-00005B070000}"/>
    <cellStyle name="常规 2 25" xfId="1904" xr:uid="{00000000-0005-0000-0000-0000A0070000}"/>
    <cellStyle name="常规 2 26" xfId="64" xr:uid="{00000000-0005-0000-0000-000045000000}"/>
    <cellStyle name="常规 2 27" xfId="1910" xr:uid="{00000000-0005-0000-0000-0000A6070000}"/>
    <cellStyle name="常规 2 28" xfId="710" xr:uid="{00000000-0005-0000-0000-0000F6020000}"/>
    <cellStyle name="常规 2 29" xfId="556" xr:uid="{00000000-0005-0000-0000-00005C020000}"/>
    <cellStyle name="常规 2 3" xfId="1919" xr:uid="{00000000-0005-0000-0000-0000AF070000}"/>
    <cellStyle name="常规 2 30" xfId="1905" xr:uid="{00000000-0005-0000-0000-0000A1070000}"/>
    <cellStyle name="常规 2 4" xfId="1940" xr:uid="{00000000-0005-0000-0000-0000C4070000}"/>
    <cellStyle name="常规 2 5" xfId="1955" xr:uid="{00000000-0005-0000-0000-0000D3070000}"/>
    <cellStyle name="常规 2 6" xfId="1966" xr:uid="{00000000-0005-0000-0000-0000DE070000}"/>
    <cellStyle name="常规 2 7" xfId="1271" xr:uid="{00000000-0005-0000-0000-000027050000}"/>
    <cellStyle name="常规 2 8" xfId="1972" xr:uid="{00000000-0005-0000-0000-0000E4070000}"/>
    <cellStyle name="常规 2 9" xfId="1987" xr:uid="{00000000-0005-0000-0000-0000F3070000}"/>
    <cellStyle name="常规 20" xfId="1342" xr:uid="{00000000-0005-0000-0000-00006E050000}"/>
    <cellStyle name="常规 21" xfId="1358" xr:uid="{00000000-0005-0000-0000-00007E050000}"/>
    <cellStyle name="常规 22" xfId="1375" xr:uid="{00000000-0005-0000-0000-00008F050000}"/>
    <cellStyle name="常规 23" xfId="1386" xr:uid="{00000000-0005-0000-0000-00009A050000}"/>
    <cellStyle name="常规 24" xfId="1654" xr:uid="{00000000-0005-0000-0000-0000A6060000}"/>
    <cellStyle name="常规 24 2" xfId="2001" xr:uid="{00000000-0005-0000-0000-000001080000}"/>
    <cellStyle name="常规 24 2 2" xfId="2014" xr:uid="{00000000-0005-0000-0000-00000E080000}"/>
    <cellStyle name="常规 24 3" xfId="1401" xr:uid="{00000000-0005-0000-0000-0000A9050000}"/>
    <cellStyle name="常规 24 3 2" xfId="1426" xr:uid="{00000000-0005-0000-0000-0000C2050000}"/>
    <cellStyle name="常规 24 4" xfId="1437" xr:uid="{00000000-0005-0000-0000-0000CD050000}"/>
    <cellStyle name="常规 24 5" xfId="1463" xr:uid="{00000000-0005-0000-0000-0000E7050000}"/>
    <cellStyle name="常规 24 6" xfId="1501" xr:uid="{00000000-0005-0000-0000-00000D060000}"/>
    <cellStyle name="常规 24 7" xfId="1503" xr:uid="{00000000-0005-0000-0000-00000F060000}"/>
    <cellStyle name="常规 25" xfId="2017" xr:uid="{00000000-0005-0000-0000-000011080000}"/>
    <cellStyle name="常规 26" xfId="255" xr:uid="{00000000-0005-0000-0000-000018010000}"/>
    <cellStyle name="常规 27" xfId="2027" xr:uid="{00000000-0005-0000-0000-00001B080000}"/>
    <cellStyle name="常规 28" xfId="2047" xr:uid="{00000000-0005-0000-0000-00002F080000}"/>
    <cellStyle name="常规 28 2" xfId="1801" xr:uid="{00000000-0005-0000-0000-000039070000}"/>
    <cellStyle name="常规 28 2 2" xfId="2079" xr:uid="{00000000-0005-0000-0000-00004F080000}"/>
    <cellStyle name="常规 29" xfId="2082" xr:uid="{00000000-0005-0000-0000-000052080000}"/>
    <cellStyle name="常规 3" xfId="664" xr:uid="{00000000-0005-0000-0000-0000C8020000}"/>
    <cellStyle name="常规 30" xfId="2016" xr:uid="{00000000-0005-0000-0000-000010080000}"/>
    <cellStyle name="常规 31" xfId="256" xr:uid="{00000000-0005-0000-0000-000019010000}"/>
    <cellStyle name="常规 32" xfId="2026" xr:uid="{00000000-0005-0000-0000-00001A080000}"/>
    <cellStyle name="常规 33" xfId="2046" xr:uid="{00000000-0005-0000-0000-00002E080000}"/>
    <cellStyle name="常规 34" xfId="2081" xr:uid="{00000000-0005-0000-0000-000051080000}"/>
    <cellStyle name="常规 35" xfId="2093" xr:uid="{00000000-0005-0000-0000-00005D080000}"/>
    <cellStyle name="常规 35 2" xfId="2113" xr:uid="{00000000-0005-0000-0000-000071080000}"/>
    <cellStyle name="常规 36" xfId="2121" xr:uid="{00000000-0005-0000-0000-000079080000}"/>
    <cellStyle name="常规 37" xfId="1862" xr:uid="{00000000-0005-0000-0000-000076070000}"/>
    <cellStyle name="常规 38" xfId="2134" xr:uid="{00000000-0005-0000-0000-000086080000}"/>
    <cellStyle name="常规 39" xfId="29" xr:uid="{00000000-0005-0000-0000-000021000000}"/>
    <cellStyle name="常规 4" xfId="687" xr:uid="{00000000-0005-0000-0000-0000DF020000}"/>
    <cellStyle name="常规 40" xfId="2092" xr:uid="{00000000-0005-0000-0000-00005C080000}"/>
    <cellStyle name="常规 41" xfId="2120" xr:uid="{00000000-0005-0000-0000-000078080000}"/>
    <cellStyle name="常规 42" xfId="1863" xr:uid="{00000000-0005-0000-0000-000077070000}"/>
    <cellStyle name="常规 43" xfId="2133" xr:uid="{00000000-0005-0000-0000-000085080000}"/>
    <cellStyle name="常规 44" xfId="30" xr:uid="{00000000-0005-0000-0000-000022000000}"/>
    <cellStyle name="常规 45" xfId="2138" xr:uid="{00000000-0005-0000-0000-00008A080000}"/>
    <cellStyle name="常规 46" xfId="1062" xr:uid="{00000000-0005-0000-0000-000056040000}"/>
    <cellStyle name="常规 47" xfId="1085" xr:uid="{00000000-0005-0000-0000-00006D040000}"/>
    <cellStyle name="常规 48" xfId="2162" xr:uid="{00000000-0005-0000-0000-0000A2080000}"/>
    <cellStyle name="常规 49" xfId="2184" xr:uid="{00000000-0005-0000-0000-0000B8080000}"/>
    <cellStyle name="常规 5" xfId="960" xr:uid="{00000000-0005-0000-0000-0000F0030000}"/>
    <cellStyle name="常规 50" xfId="2137" xr:uid="{00000000-0005-0000-0000-000089080000}"/>
    <cellStyle name="常规 51" xfId="1063" xr:uid="{00000000-0005-0000-0000-000057040000}"/>
    <cellStyle name="常规 52" xfId="1086" xr:uid="{00000000-0005-0000-0000-00006E040000}"/>
    <cellStyle name="常规 53" xfId="2161" xr:uid="{00000000-0005-0000-0000-0000A1080000}"/>
    <cellStyle name="常规 54" xfId="2183" xr:uid="{00000000-0005-0000-0000-0000B7080000}"/>
    <cellStyle name="常规 55" xfId="2194" xr:uid="{00000000-0005-0000-0000-0000C2080000}"/>
    <cellStyle name="常规 56" xfId="2206" xr:uid="{00000000-0005-0000-0000-0000CE080000}"/>
    <cellStyle name="常规 57" xfId="2212" xr:uid="{00000000-0005-0000-0000-0000D4080000}"/>
    <cellStyle name="常规 58" xfId="2213" xr:uid="{00000000-0005-0000-0000-0000D5080000}"/>
    <cellStyle name="常规 59" xfId="2220" xr:uid="{00000000-0005-0000-0000-0000DC080000}"/>
    <cellStyle name="常规 6" xfId="161" xr:uid="{00000000-0005-0000-0000-0000AE000000}"/>
    <cellStyle name="常规 60" xfId="2193" xr:uid="{00000000-0005-0000-0000-0000C1080000}"/>
    <cellStyle name="常规 7" xfId="2250" xr:uid="{00000000-0005-0000-0000-0000FA080000}"/>
    <cellStyle name="常规 8" xfId="2262" xr:uid="{00000000-0005-0000-0000-000006090000}"/>
    <cellStyle name="常规 9" xfId="2274" xr:uid="{00000000-0005-0000-0000-000012090000}"/>
    <cellStyle name="超链接 2" xfId="2292" xr:uid="{00000000-0005-0000-0000-000024090000}"/>
    <cellStyle name="好 2" xfId="2307" xr:uid="{00000000-0005-0000-0000-000033090000}"/>
    <cellStyle name="好 3" xfId="2316" xr:uid="{00000000-0005-0000-0000-00003C090000}"/>
    <cellStyle name="汇总 2" xfId="2327" xr:uid="{00000000-0005-0000-0000-000047090000}"/>
    <cellStyle name="汇总 2 10" xfId="2332" xr:uid="{00000000-0005-0000-0000-00004C090000}"/>
    <cellStyle name="汇总 2 10 10" xfId="2348" xr:uid="{00000000-0005-0000-0000-00005C090000}"/>
    <cellStyle name="汇总 2 10 10 10" xfId="2356" xr:uid="{00000000-0005-0000-0000-000064090000}"/>
    <cellStyle name="汇总 2 10 10 10 2" xfId="2040" xr:uid="{00000000-0005-0000-0000-000028080000}"/>
    <cellStyle name="汇总 2 10 10 11" xfId="2363" xr:uid="{00000000-0005-0000-0000-00006B090000}"/>
    <cellStyle name="汇总 2 10 10 11 2" xfId="2377" xr:uid="{00000000-0005-0000-0000-000079090000}"/>
    <cellStyle name="汇总 2 10 10 12" xfId="2383" xr:uid="{00000000-0005-0000-0000-00007F090000}"/>
    <cellStyle name="汇总 2 10 10 12 2" xfId="2391" xr:uid="{00000000-0005-0000-0000-000087090000}"/>
    <cellStyle name="汇总 2 10 10 13" xfId="2395" xr:uid="{00000000-0005-0000-0000-00008B090000}"/>
    <cellStyle name="汇总 2 10 10 14" xfId="2404" xr:uid="{00000000-0005-0000-0000-000094090000}"/>
    <cellStyle name="汇总 2 10 10 15" xfId="2408" xr:uid="{00000000-0005-0000-0000-000098090000}"/>
    <cellStyle name="汇总 2 10 10 16" xfId="2417" xr:uid="{00000000-0005-0000-0000-0000A1090000}"/>
    <cellStyle name="汇总 2 10 10 2" xfId="1177" xr:uid="{00000000-0005-0000-0000-0000C9040000}"/>
    <cellStyle name="汇总 2 10 10 2 2" xfId="2423" xr:uid="{00000000-0005-0000-0000-0000A7090000}"/>
    <cellStyle name="汇总 2 10 10 2 2 2" xfId="2431" xr:uid="{00000000-0005-0000-0000-0000AF090000}"/>
    <cellStyle name="汇总 2 10 10 2 3" xfId="2434" xr:uid="{00000000-0005-0000-0000-0000B2090000}"/>
    <cellStyle name="汇总 2 10 10 2 3 2" xfId="432" xr:uid="{00000000-0005-0000-0000-0000D9010000}"/>
    <cellStyle name="汇总 2 10 10 2 4" xfId="375" xr:uid="{00000000-0005-0000-0000-00009B010000}"/>
    <cellStyle name="汇总 2 10 10 2 4 2" xfId="565" xr:uid="{00000000-0005-0000-0000-000065020000}"/>
    <cellStyle name="汇总 2 10 10 2 5" xfId="404" xr:uid="{00000000-0005-0000-0000-0000BA010000}"/>
    <cellStyle name="汇总 2 10 10 2 5 2" xfId="586" xr:uid="{00000000-0005-0000-0000-00007A020000}"/>
    <cellStyle name="汇总 2 10 10 2 6" xfId="77" xr:uid="{00000000-0005-0000-0000-000053000000}"/>
    <cellStyle name="汇总 2 10 10 2 7" xfId="437" xr:uid="{00000000-0005-0000-0000-0000DE010000}"/>
    <cellStyle name="汇总 2 10 10 2 8" xfId="489" xr:uid="{00000000-0005-0000-0000-000015020000}"/>
    <cellStyle name="汇总 2 10 10 2 9" xfId="529" xr:uid="{00000000-0005-0000-0000-000040020000}"/>
    <cellStyle name="汇总 2 10 10 3" xfId="1189" xr:uid="{00000000-0005-0000-0000-0000D5040000}"/>
    <cellStyle name="汇总 2 10 10 3 2" xfId="2440" xr:uid="{00000000-0005-0000-0000-0000B8090000}"/>
    <cellStyle name="汇总 2 10 10 3 2 2" xfId="2443" xr:uid="{00000000-0005-0000-0000-0000BB090000}"/>
    <cellStyle name="汇总 2 10 10 3 3" xfId="2444" xr:uid="{00000000-0005-0000-0000-0000BC090000}"/>
    <cellStyle name="汇总 2 10 10 3 3 2" xfId="2445" xr:uid="{00000000-0005-0000-0000-0000BD090000}"/>
    <cellStyle name="汇总 2 10 10 3 4" xfId="2447" xr:uid="{00000000-0005-0000-0000-0000BF090000}"/>
    <cellStyle name="汇总 2 10 10 3 4 2" xfId="2457" xr:uid="{00000000-0005-0000-0000-0000C9090000}"/>
    <cellStyle name="汇总 2 10 10 3 5" xfId="2467" xr:uid="{00000000-0005-0000-0000-0000D3090000}"/>
    <cellStyle name="汇总 2 10 10 3 5 2" xfId="2406" xr:uid="{00000000-0005-0000-0000-000096090000}"/>
    <cellStyle name="汇总 2 10 10 3 6" xfId="2473" xr:uid="{00000000-0005-0000-0000-0000D9090000}"/>
    <cellStyle name="汇总 2 10 10 4" xfId="2479" xr:uid="{00000000-0005-0000-0000-0000DF090000}"/>
    <cellStyle name="汇总 2 10 10 4 2" xfId="1701" xr:uid="{00000000-0005-0000-0000-0000D5060000}"/>
    <cellStyle name="汇总 2 10 10 4 2 2" xfId="2239" xr:uid="{00000000-0005-0000-0000-0000EF080000}"/>
    <cellStyle name="汇总 2 10 10 4 3" xfId="1719" xr:uid="{00000000-0005-0000-0000-0000E7060000}"/>
    <cellStyle name="汇总 2 10 10 4 3 2" xfId="1601" xr:uid="{00000000-0005-0000-0000-000071060000}"/>
    <cellStyle name="汇总 2 10 10 4 4" xfId="1745" xr:uid="{00000000-0005-0000-0000-000001070000}"/>
    <cellStyle name="汇总 2 10 10 4 4 2" xfId="1494" xr:uid="{00000000-0005-0000-0000-000006060000}"/>
    <cellStyle name="汇总 2 10 10 4 5" xfId="1775" xr:uid="{00000000-0005-0000-0000-00001F070000}"/>
    <cellStyle name="汇总 2 10 10 4 5 2" xfId="2493" xr:uid="{00000000-0005-0000-0000-0000ED090000}"/>
    <cellStyle name="汇总 2 10 10 4 6" xfId="1806" xr:uid="{00000000-0005-0000-0000-00003E070000}"/>
    <cellStyle name="汇总 2 10 10 5" xfId="1246" xr:uid="{00000000-0005-0000-0000-00000E050000}"/>
    <cellStyle name="汇总 2 10 10 5 2" xfId="1279" xr:uid="{00000000-0005-0000-0000-00002F050000}"/>
    <cellStyle name="汇总 2 10 10 5 2 2" xfId="2503" xr:uid="{00000000-0005-0000-0000-0000F7090000}"/>
    <cellStyle name="汇总 2 10 10 5 3" xfId="1978" xr:uid="{00000000-0005-0000-0000-0000EA070000}"/>
    <cellStyle name="汇总 2 10 10 5 3 2" xfId="2516" xr:uid="{00000000-0005-0000-0000-0000040A0000}"/>
    <cellStyle name="汇总 2 10 10 5 4" xfId="1984" xr:uid="{00000000-0005-0000-0000-0000F0070000}"/>
    <cellStyle name="汇总 2 10 10 5 4 2" xfId="1921" xr:uid="{00000000-0005-0000-0000-0000B1070000}"/>
    <cellStyle name="汇总 2 10 10 5 5" xfId="2526" xr:uid="{00000000-0005-0000-0000-00000E0A0000}"/>
    <cellStyle name="汇总 2 10 10 5 5 2" xfId="2534" xr:uid="{00000000-0005-0000-0000-0000160A0000}"/>
    <cellStyle name="汇总 2 10 10 5 6" xfId="2547" xr:uid="{00000000-0005-0000-0000-0000230A0000}"/>
    <cellStyle name="汇总 2 10 10 6" xfId="2552" xr:uid="{00000000-0005-0000-0000-0000280A0000}"/>
    <cellStyle name="汇总 2 10 10 6 2" xfId="2561" xr:uid="{00000000-0005-0000-0000-0000310A0000}"/>
    <cellStyle name="汇总 2 10 10 6 2 2" xfId="2581" xr:uid="{00000000-0005-0000-0000-0000450A0000}"/>
    <cellStyle name="汇总 2 10 10 6 3" xfId="2588" xr:uid="{00000000-0005-0000-0000-00004C0A0000}"/>
    <cellStyle name="汇总 2 10 10 6 3 2" xfId="420" xr:uid="{00000000-0005-0000-0000-0000CC010000}"/>
    <cellStyle name="汇总 2 10 10 6 4" xfId="2596" xr:uid="{00000000-0005-0000-0000-0000540A0000}"/>
    <cellStyle name="汇总 2 10 10 6 4 2" xfId="2608" xr:uid="{00000000-0005-0000-0000-0000600A0000}"/>
    <cellStyle name="汇总 2 10 10 6 5" xfId="2623" xr:uid="{00000000-0005-0000-0000-00006F0A0000}"/>
    <cellStyle name="汇总 2 10 10 6 5 2" xfId="2641" xr:uid="{00000000-0005-0000-0000-0000810A0000}"/>
    <cellStyle name="汇总 2 10 10 6 6" xfId="2106" xr:uid="{00000000-0005-0000-0000-00006A080000}"/>
    <cellStyle name="汇总 2 10 10 7" xfId="2644" xr:uid="{00000000-0005-0000-0000-0000840A0000}"/>
    <cellStyle name="汇总 2 10 10 7 2" xfId="2648" xr:uid="{00000000-0005-0000-0000-0000880A0000}"/>
    <cellStyle name="汇总 2 10 10 7 2 2" xfId="2668" xr:uid="{00000000-0005-0000-0000-00009C0A0000}"/>
    <cellStyle name="汇总 2 10 10 7 3" xfId="2675" xr:uid="{00000000-0005-0000-0000-0000A30A0000}"/>
    <cellStyle name="汇总 2 10 10 7 3 2" xfId="2690" xr:uid="{00000000-0005-0000-0000-0000B20A0000}"/>
    <cellStyle name="汇总 2 10 10 7 4" xfId="2698" xr:uid="{00000000-0005-0000-0000-0000BA0A0000}"/>
    <cellStyle name="汇总 2 10 10 7 4 2" xfId="2712" xr:uid="{00000000-0005-0000-0000-0000C80A0000}"/>
    <cellStyle name="汇总 2 10 10 7 5" xfId="2720" xr:uid="{00000000-0005-0000-0000-0000D00A0000}"/>
    <cellStyle name="汇总 2 10 10 7 5 2" xfId="2736" xr:uid="{00000000-0005-0000-0000-0000E00A0000}"/>
    <cellStyle name="汇总 2 10 10 7 6" xfId="2739" xr:uid="{00000000-0005-0000-0000-0000E30A0000}"/>
    <cellStyle name="汇总 2 10 10 8" xfId="570" xr:uid="{00000000-0005-0000-0000-00006A020000}"/>
    <cellStyle name="汇总 2 10 10 8 2" xfId="2742" xr:uid="{00000000-0005-0000-0000-0000E60A0000}"/>
    <cellStyle name="汇总 2 10 10 8 2 2" xfId="2762" xr:uid="{00000000-0005-0000-0000-0000FA0A0000}"/>
    <cellStyle name="汇总 2 10 10 8 3" xfId="2773" xr:uid="{00000000-0005-0000-0000-0000050B0000}"/>
    <cellStyle name="汇总 2 10 10 8 3 2" xfId="2780" xr:uid="{00000000-0005-0000-0000-00000C0B0000}"/>
    <cellStyle name="汇总 2 10 10 8 4" xfId="2786" xr:uid="{00000000-0005-0000-0000-0000120B0000}"/>
    <cellStyle name="汇总 2 10 10 8 4 2" xfId="42" xr:uid="{00000000-0005-0000-0000-00002E000000}"/>
    <cellStyle name="汇总 2 10 10 8 5" xfId="2794" xr:uid="{00000000-0005-0000-0000-00001A0B0000}"/>
    <cellStyle name="汇总 2 10 10 9" xfId="762" xr:uid="{00000000-0005-0000-0000-00002A030000}"/>
    <cellStyle name="汇总 2 10 10 9 2" xfId="2796" xr:uid="{00000000-0005-0000-0000-00001C0B0000}"/>
    <cellStyle name="汇总 2 10 11" xfId="577" xr:uid="{00000000-0005-0000-0000-000071020000}"/>
    <cellStyle name="汇总 2 10 11 10" xfId="2824" xr:uid="{00000000-0005-0000-0000-0000380B0000}"/>
    <cellStyle name="汇总 2 10 11 10 2" xfId="2830" xr:uid="{00000000-0005-0000-0000-00003E0B0000}"/>
    <cellStyle name="汇总 2 10 11 11" xfId="2837" xr:uid="{00000000-0005-0000-0000-0000450B0000}"/>
    <cellStyle name="汇总 2 10 11 11 2" xfId="2843" xr:uid="{00000000-0005-0000-0000-00004B0B0000}"/>
    <cellStyle name="汇总 2 10 11 12" xfId="2846" xr:uid="{00000000-0005-0000-0000-00004E0B0000}"/>
    <cellStyle name="汇总 2 10 11 12 2" xfId="2854" xr:uid="{00000000-0005-0000-0000-0000560B0000}"/>
    <cellStyle name="汇总 2 10 11 13" xfId="2876" xr:uid="{00000000-0005-0000-0000-00006C0B0000}"/>
    <cellStyle name="汇总 2 10 11 14" xfId="2860" xr:uid="{00000000-0005-0000-0000-00005C0B0000}"/>
    <cellStyle name="汇总 2 10 11 15" xfId="2888" xr:uid="{00000000-0005-0000-0000-0000780B0000}"/>
    <cellStyle name="汇总 2 10 11 16" xfId="2893" xr:uid="{00000000-0005-0000-0000-00007D0B0000}"/>
    <cellStyle name="汇总 2 10 11 2" xfId="2904" xr:uid="{00000000-0005-0000-0000-0000880B0000}"/>
    <cellStyle name="汇总 2 10 11 2 2" xfId="2915" xr:uid="{00000000-0005-0000-0000-0000930B0000}"/>
    <cellStyle name="汇总 2 10 11 2 2 2" xfId="2923" xr:uid="{00000000-0005-0000-0000-00009B0B0000}"/>
    <cellStyle name="汇总 2 10 11 2 3" xfId="996" xr:uid="{00000000-0005-0000-0000-000014040000}"/>
    <cellStyle name="汇总 2 10 11 2 3 2" xfId="2925" xr:uid="{00000000-0005-0000-0000-00009D0B0000}"/>
    <cellStyle name="汇总 2 10 11 2 4" xfId="1025" xr:uid="{00000000-0005-0000-0000-000031040000}"/>
    <cellStyle name="汇总 2 10 11 2 4 2" xfId="2931" xr:uid="{00000000-0005-0000-0000-0000A30B0000}"/>
    <cellStyle name="汇总 2 10 11 2 5" xfId="2935" xr:uid="{00000000-0005-0000-0000-0000A70B0000}"/>
    <cellStyle name="汇总 2 10 11 2 5 2" xfId="140" xr:uid="{00000000-0005-0000-0000-000097000000}"/>
    <cellStyle name="汇总 2 10 11 2 6" xfId="2941" xr:uid="{00000000-0005-0000-0000-0000AD0B0000}"/>
    <cellStyle name="汇总 2 10 11 3" xfId="2951" xr:uid="{00000000-0005-0000-0000-0000B70B0000}"/>
    <cellStyle name="汇总 2 10 11 3 2" xfId="2960" xr:uid="{00000000-0005-0000-0000-0000C00B0000}"/>
    <cellStyle name="汇总 2 10 11 3 2 2" xfId="67" xr:uid="{00000000-0005-0000-0000-000048000000}"/>
    <cellStyle name="汇总 2 10 11 3 3" xfId="1031" xr:uid="{00000000-0005-0000-0000-000037040000}"/>
    <cellStyle name="汇总 2 10 11 3 3 2" xfId="2967" xr:uid="{00000000-0005-0000-0000-0000C70B0000}"/>
    <cellStyle name="汇总 2 10 11 3 4" xfId="1054" xr:uid="{00000000-0005-0000-0000-00004E040000}"/>
    <cellStyle name="汇总 2 10 11 3 4 2" xfId="126" xr:uid="{00000000-0005-0000-0000-000088000000}"/>
    <cellStyle name="汇总 2 10 11 3 5" xfId="2972" xr:uid="{00000000-0005-0000-0000-0000CC0B0000}"/>
    <cellStyle name="汇总 2 10 11 3 5 2" xfId="2984" xr:uid="{00000000-0005-0000-0000-0000D80B0000}"/>
    <cellStyle name="汇总 2 10 11 3 6" xfId="2986" xr:uid="{00000000-0005-0000-0000-0000DA0B0000}"/>
    <cellStyle name="汇总 2 10 11 4" xfId="2993" xr:uid="{00000000-0005-0000-0000-0000E10B0000}"/>
    <cellStyle name="汇总 2 10 11 4 2" xfId="3016" xr:uid="{00000000-0005-0000-0000-0000F80B0000}"/>
    <cellStyle name="汇总 2 10 11 4 2 2" xfId="199" xr:uid="{00000000-0005-0000-0000-0000D7000000}"/>
    <cellStyle name="汇总 2 10 11 4 3" xfId="3031" xr:uid="{00000000-0005-0000-0000-0000070C0000}"/>
    <cellStyle name="汇总 2 10 11 4 3 2" xfId="3035" xr:uid="{00000000-0005-0000-0000-00000B0C0000}"/>
    <cellStyle name="汇总 2 10 11 4 4" xfId="3045" xr:uid="{00000000-0005-0000-0000-0000150C0000}"/>
    <cellStyle name="汇总 2 10 11 4 4 2" xfId="3064" xr:uid="{00000000-0005-0000-0000-0000280C0000}"/>
    <cellStyle name="汇总 2 10 11 4 5" xfId="3066" xr:uid="{00000000-0005-0000-0000-00002A0C0000}"/>
    <cellStyle name="汇总 2 10 11 4 5 2" xfId="3077" xr:uid="{00000000-0005-0000-0000-0000350C0000}"/>
    <cellStyle name="汇总 2 10 11 4 6" xfId="3079" xr:uid="{00000000-0005-0000-0000-0000370C0000}"/>
    <cellStyle name="汇总 2 10 11 5" xfId="3095" xr:uid="{00000000-0005-0000-0000-0000470C0000}"/>
    <cellStyle name="汇总 2 10 11 5 2" xfId="3101" xr:uid="{00000000-0005-0000-0000-00004D0C0000}"/>
    <cellStyle name="汇总 2 10 11 5 2 2" xfId="3110" xr:uid="{00000000-0005-0000-0000-0000560C0000}"/>
    <cellStyle name="汇总 2 10 11 5 3" xfId="3118" xr:uid="{00000000-0005-0000-0000-00005E0C0000}"/>
    <cellStyle name="汇总 2 10 11 5 3 2" xfId="3126" xr:uid="{00000000-0005-0000-0000-0000660C0000}"/>
    <cellStyle name="汇总 2 10 11 5 4" xfId="3131" xr:uid="{00000000-0005-0000-0000-00006B0C0000}"/>
    <cellStyle name="汇总 2 10 11 5 4 2" xfId="3138" xr:uid="{00000000-0005-0000-0000-0000720C0000}"/>
    <cellStyle name="汇总 2 10 11 5 5" xfId="3145" xr:uid="{00000000-0005-0000-0000-0000790C0000}"/>
    <cellStyle name="汇总 2 10 11 5 5 2" xfId="3153" xr:uid="{00000000-0005-0000-0000-0000810C0000}"/>
    <cellStyle name="汇总 2 10 11 5 6" xfId="3157" xr:uid="{00000000-0005-0000-0000-0000850C0000}"/>
    <cellStyle name="汇总 2 10 11 6" xfId="3161" xr:uid="{00000000-0005-0000-0000-0000890C0000}"/>
    <cellStyle name="汇总 2 10 11 6 2" xfId="3176" xr:uid="{00000000-0005-0000-0000-0000980C0000}"/>
    <cellStyle name="汇总 2 10 11 6 2 2" xfId="1390" xr:uid="{00000000-0005-0000-0000-00009E050000}"/>
    <cellStyle name="汇总 2 10 11 6 3" xfId="3183" xr:uid="{00000000-0005-0000-0000-00009F0C0000}"/>
    <cellStyle name="汇总 2 10 11 6 3 2" xfId="3194" xr:uid="{00000000-0005-0000-0000-0000AA0C0000}"/>
    <cellStyle name="汇总 2 10 11 6 4" xfId="3198" xr:uid="{00000000-0005-0000-0000-0000AE0C0000}"/>
    <cellStyle name="汇总 2 10 11 6 4 2" xfId="3202" xr:uid="{00000000-0005-0000-0000-0000B20C0000}"/>
    <cellStyle name="汇总 2 10 11 6 5" xfId="341" xr:uid="{00000000-0005-0000-0000-000077010000}"/>
    <cellStyle name="汇总 2 10 11 6 5 2" xfId="12" xr:uid="{00000000-0005-0000-0000-00000E000000}"/>
    <cellStyle name="汇总 2 10 11 6 6" xfId="386" xr:uid="{00000000-0005-0000-0000-0000A7010000}"/>
    <cellStyle name="汇总 2 10 11 7" xfId="2335" xr:uid="{00000000-0005-0000-0000-00004F090000}"/>
    <cellStyle name="汇总 2 10 11 7 2" xfId="1171" xr:uid="{00000000-0005-0000-0000-0000C3040000}"/>
    <cellStyle name="汇总 2 10 11 7 2 2" xfId="2418" xr:uid="{00000000-0005-0000-0000-0000A2090000}"/>
    <cellStyle name="汇总 2 10 11 7 3" xfId="1182" xr:uid="{00000000-0005-0000-0000-0000CE040000}"/>
    <cellStyle name="汇总 2 10 11 7 3 2" xfId="2438" xr:uid="{00000000-0005-0000-0000-0000B6090000}"/>
    <cellStyle name="汇总 2 10 11 7 4" xfId="2475" xr:uid="{00000000-0005-0000-0000-0000DB090000}"/>
    <cellStyle name="汇总 2 10 11 7 4 2" xfId="1708" xr:uid="{00000000-0005-0000-0000-0000DC060000}"/>
    <cellStyle name="汇总 2 10 11 7 5" xfId="1238" xr:uid="{00000000-0005-0000-0000-000006050000}"/>
    <cellStyle name="汇总 2 10 11 7 5 2" xfId="1266" xr:uid="{00000000-0005-0000-0000-000022050000}"/>
    <cellStyle name="汇总 2 10 11 7 6" xfId="2549" xr:uid="{00000000-0005-0000-0000-0000250A0000}"/>
    <cellStyle name="汇总 2 10 11 8" xfId="591" xr:uid="{00000000-0005-0000-0000-00007F020000}"/>
    <cellStyle name="汇总 2 10 11 8 2" xfId="2894" xr:uid="{00000000-0005-0000-0000-00007E0B0000}"/>
    <cellStyle name="汇总 2 10 11 8 2 2" xfId="2909" xr:uid="{00000000-0005-0000-0000-00008D0B0000}"/>
    <cellStyle name="汇总 2 10 11 8 3" xfId="2945" xr:uid="{00000000-0005-0000-0000-0000B10B0000}"/>
    <cellStyle name="汇总 2 10 11 8 3 2" xfId="2958" xr:uid="{00000000-0005-0000-0000-0000BE0B0000}"/>
    <cellStyle name="汇总 2 10 11 8 4" xfId="2987" xr:uid="{00000000-0005-0000-0000-0000DB0B0000}"/>
    <cellStyle name="汇总 2 10 11 8 4 2" xfId="3003" xr:uid="{00000000-0005-0000-0000-0000EB0B0000}"/>
    <cellStyle name="汇总 2 10 11 8 5" xfId="3086" xr:uid="{00000000-0005-0000-0000-00003E0C0000}"/>
    <cellStyle name="汇总 2 10 11 9" xfId="786" xr:uid="{00000000-0005-0000-0000-000042030000}"/>
    <cellStyle name="汇总 2 10 11 9 2" xfId="3234" xr:uid="{00000000-0005-0000-0000-0000D20C0000}"/>
    <cellStyle name="汇总 2 10 12" xfId="779" xr:uid="{00000000-0005-0000-0000-00003B030000}"/>
    <cellStyle name="汇总 2 10 12 2" xfId="3214" xr:uid="{00000000-0005-0000-0000-0000BE0C0000}"/>
    <cellStyle name="汇总 2 10 12 2 2" xfId="3253" xr:uid="{00000000-0005-0000-0000-0000E50C0000}"/>
    <cellStyle name="汇总 2 10 12 3" xfId="3259" xr:uid="{00000000-0005-0000-0000-0000EB0C0000}"/>
    <cellStyle name="汇总 2 10 12 3 2" xfId="3262" xr:uid="{00000000-0005-0000-0000-0000EE0C0000}"/>
    <cellStyle name="汇总 2 10 12 4" xfId="3265" xr:uid="{00000000-0005-0000-0000-0000F10C0000}"/>
    <cellStyle name="汇总 2 10 12 4 2" xfId="3272" xr:uid="{00000000-0005-0000-0000-0000F80C0000}"/>
    <cellStyle name="汇总 2 10 12 5" xfId="3286" xr:uid="{00000000-0005-0000-0000-0000060D0000}"/>
    <cellStyle name="汇总 2 10 12 5 2" xfId="176" xr:uid="{00000000-0005-0000-0000-0000BE000000}"/>
    <cellStyle name="汇总 2 10 12 6" xfId="3294" xr:uid="{00000000-0005-0000-0000-00000E0D0000}"/>
    <cellStyle name="汇总 2 10 12 7" xfId="3307" xr:uid="{00000000-0005-0000-0000-00001B0D0000}"/>
    <cellStyle name="汇总 2 10 12 8" xfId="802" xr:uid="{00000000-0005-0000-0000-000052030000}"/>
    <cellStyle name="汇总 2 10 12 9" xfId="823" xr:uid="{00000000-0005-0000-0000-000067030000}"/>
    <cellStyle name="汇总 2 10 13" xfId="3323" xr:uid="{00000000-0005-0000-0000-00002B0D0000}"/>
    <cellStyle name="汇总 2 10 13 2" xfId="3336" xr:uid="{00000000-0005-0000-0000-0000380D0000}"/>
    <cellStyle name="汇总 2 10 13 2 2" xfId="299" xr:uid="{00000000-0005-0000-0000-00004A010000}"/>
    <cellStyle name="汇总 2 10 13 3" xfId="3339" xr:uid="{00000000-0005-0000-0000-00003B0D0000}"/>
    <cellStyle name="汇总 2 10 13 3 2" xfId="3345" xr:uid="{00000000-0005-0000-0000-0000410D0000}"/>
    <cellStyle name="汇总 2 10 13 4" xfId="3348" xr:uid="{00000000-0005-0000-0000-0000440D0000}"/>
    <cellStyle name="汇总 2 10 13 4 2" xfId="3358" xr:uid="{00000000-0005-0000-0000-00004E0D0000}"/>
    <cellStyle name="汇总 2 10 13 5" xfId="3369" xr:uid="{00000000-0005-0000-0000-0000590D0000}"/>
    <cellStyle name="汇总 2 10 13 5 2" xfId="2171" xr:uid="{00000000-0005-0000-0000-0000AB080000}"/>
    <cellStyle name="汇总 2 10 13 6" xfId="3373" xr:uid="{00000000-0005-0000-0000-00005D0D0000}"/>
    <cellStyle name="汇总 2 10 14" xfId="2684" xr:uid="{00000000-0005-0000-0000-0000AC0A0000}"/>
    <cellStyle name="汇总 2 10 14 2" xfId="3383" xr:uid="{00000000-0005-0000-0000-0000670D0000}"/>
    <cellStyle name="汇总 2 10 14 2 2" xfId="91" xr:uid="{00000000-0005-0000-0000-000062000000}"/>
    <cellStyle name="汇总 2 10 14 3" xfId="307" xr:uid="{00000000-0005-0000-0000-000052010000}"/>
    <cellStyle name="汇总 2 10 14 3 2" xfId="2300" xr:uid="{00000000-0005-0000-0000-00002C090000}"/>
    <cellStyle name="汇总 2 10 14 4" xfId="3388" xr:uid="{00000000-0005-0000-0000-00006C0D0000}"/>
    <cellStyle name="汇总 2 10 14 4 2" xfId="2817" xr:uid="{00000000-0005-0000-0000-0000310B0000}"/>
    <cellStyle name="汇总 2 10 14 5" xfId="3399" xr:uid="{00000000-0005-0000-0000-0000770D0000}"/>
    <cellStyle name="汇总 2 10 14 5 2" xfId="941" xr:uid="{00000000-0005-0000-0000-0000DD030000}"/>
    <cellStyle name="汇总 2 10 14 6" xfId="3403" xr:uid="{00000000-0005-0000-0000-00007B0D0000}"/>
    <cellStyle name="汇总 2 10 15" xfId="3416" xr:uid="{00000000-0005-0000-0000-0000880D0000}"/>
    <cellStyle name="汇总 2 10 15 2" xfId="3426" xr:uid="{00000000-0005-0000-0000-0000920D0000}"/>
    <cellStyle name="汇总 2 10 15 2 2" xfId="1759" xr:uid="{00000000-0005-0000-0000-00000F070000}"/>
    <cellStyle name="汇总 2 10 15 3" xfId="3342" xr:uid="{00000000-0005-0000-0000-00003E0D0000}"/>
    <cellStyle name="汇总 2 10 15 3 2" xfId="2530" xr:uid="{00000000-0005-0000-0000-0000120A0000}"/>
    <cellStyle name="汇总 2 10 15 4" xfId="3431" xr:uid="{00000000-0005-0000-0000-0000970D0000}"/>
    <cellStyle name="汇总 2 10 15 4 2" xfId="2626" xr:uid="{00000000-0005-0000-0000-0000720A0000}"/>
    <cellStyle name="汇总 2 10 15 5" xfId="3438" xr:uid="{00000000-0005-0000-0000-00009E0D0000}"/>
    <cellStyle name="汇总 2 10 15 5 2" xfId="2722" xr:uid="{00000000-0005-0000-0000-0000D20A0000}"/>
    <cellStyle name="汇总 2 10 15 6" xfId="3441" xr:uid="{00000000-0005-0000-0000-0000A10D0000}"/>
    <cellStyle name="汇总 2 10 16" xfId="3462" xr:uid="{00000000-0005-0000-0000-0000B60D0000}"/>
    <cellStyle name="汇总 2 10 16 2" xfId="3468" xr:uid="{00000000-0005-0000-0000-0000BC0D0000}"/>
    <cellStyle name="汇总 2 10 16 2 2" xfId="3075" xr:uid="{00000000-0005-0000-0000-0000330C0000}"/>
    <cellStyle name="汇总 2 10 16 3" xfId="3356" xr:uid="{00000000-0005-0000-0000-00004C0D0000}"/>
    <cellStyle name="汇总 2 10 16 3 2" xfId="3146" xr:uid="{00000000-0005-0000-0000-00007A0C0000}"/>
    <cellStyle name="汇总 2 10 16 4" xfId="3478" xr:uid="{00000000-0005-0000-0000-0000C60D0000}"/>
    <cellStyle name="汇总 2 10 16 4 2" xfId="359" xr:uid="{00000000-0005-0000-0000-000089010000}"/>
    <cellStyle name="汇总 2 10 16 5" xfId="1220" xr:uid="{00000000-0005-0000-0000-0000F4040000}"/>
    <cellStyle name="汇总 2 10 16 5 2" xfId="1237" xr:uid="{00000000-0005-0000-0000-000005050000}"/>
    <cellStyle name="汇总 2 10 16 6" xfId="1297" xr:uid="{00000000-0005-0000-0000-000041050000}"/>
    <cellStyle name="汇总 2 10 17" xfId="3487" xr:uid="{00000000-0005-0000-0000-0000CF0D0000}"/>
    <cellStyle name="汇总 2 10 17 2" xfId="1092" xr:uid="{00000000-0005-0000-0000-000074040000}"/>
    <cellStyle name="汇总 2 10 17 2 2" xfId="3490" xr:uid="{00000000-0005-0000-0000-0000D20D0000}"/>
    <cellStyle name="汇总 2 10 17 3" xfId="2150" xr:uid="{00000000-0005-0000-0000-000096080000}"/>
    <cellStyle name="汇总 2 10 17 3 2" xfId="646" xr:uid="{00000000-0005-0000-0000-0000B6020000}"/>
    <cellStyle name="汇总 2 10 17 4" xfId="2177" xr:uid="{00000000-0005-0000-0000-0000B1080000}"/>
    <cellStyle name="汇总 2 10 17 4 2" xfId="216" xr:uid="{00000000-0005-0000-0000-0000EA000000}"/>
    <cellStyle name="汇总 2 10 17 5" xfId="2187" xr:uid="{00000000-0005-0000-0000-0000BB080000}"/>
    <cellStyle name="汇总 2 10 17 5 2" xfId="3496" xr:uid="{00000000-0005-0000-0000-0000D80D0000}"/>
    <cellStyle name="汇总 2 10 17 6" xfId="2204" xr:uid="{00000000-0005-0000-0000-0000CC080000}"/>
    <cellStyle name="汇总 2 10 18" xfId="3270" xr:uid="{00000000-0005-0000-0000-0000F60C0000}"/>
    <cellStyle name="汇总 2 10 18 2" xfId="1114" xr:uid="{00000000-0005-0000-0000-00008A040000}"/>
    <cellStyle name="汇总 2 10 18 2 2" xfId="1281" xr:uid="{00000000-0005-0000-0000-000031050000}"/>
    <cellStyle name="汇总 2 10 18 3" xfId="3505" xr:uid="{00000000-0005-0000-0000-0000E10D0000}"/>
    <cellStyle name="汇总 2 10 18 3 2" xfId="2200" xr:uid="{00000000-0005-0000-0000-0000C8080000}"/>
    <cellStyle name="汇总 2 10 18 4" xfId="3509" xr:uid="{00000000-0005-0000-0000-0000E50D0000}"/>
    <cellStyle name="汇总 2 10 18 4 2" xfId="1558" xr:uid="{00000000-0005-0000-0000-000046060000}"/>
    <cellStyle name="汇总 2 10 18 5" xfId="1395" xr:uid="{00000000-0005-0000-0000-0000A3050000}"/>
    <cellStyle name="汇总 2 10 18 5 2" xfId="1412" xr:uid="{00000000-0005-0000-0000-0000B4050000}"/>
    <cellStyle name="汇总 2 10 18 6" xfId="1542" xr:uid="{00000000-0005-0000-0000-000036060000}"/>
    <cellStyle name="汇总 2 10 19" xfId="3514" xr:uid="{00000000-0005-0000-0000-0000EA0D0000}"/>
    <cellStyle name="汇总 2 10 19 2" xfId="1143" xr:uid="{00000000-0005-0000-0000-0000A7040000}"/>
    <cellStyle name="汇总 2 10 19 2 2" xfId="2881" xr:uid="{00000000-0005-0000-0000-0000710B0000}"/>
    <cellStyle name="汇总 2 10 19 3" xfId="3524" xr:uid="{00000000-0005-0000-0000-0000F40D0000}"/>
    <cellStyle name="汇总 2 10 19 3 2" xfId="3529" xr:uid="{00000000-0005-0000-0000-0000F90D0000}"/>
    <cellStyle name="汇总 2 10 19 4" xfId="3536" xr:uid="{00000000-0005-0000-0000-0000000E0000}"/>
    <cellStyle name="汇总 2 10 19 4 2" xfId="2268" xr:uid="{00000000-0005-0000-0000-00000C090000}"/>
    <cellStyle name="汇总 2 10 19 5" xfId="1994" xr:uid="{00000000-0005-0000-0000-0000FA070000}"/>
    <cellStyle name="汇总 2 10 2" xfId="3551" xr:uid="{00000000-0005-0000-0000-00000F0E0000}"/>
    <cellStyle name="汇总 2 10 2 10" xfId="2515" xr:uid="{00000000-0005-0000-0000-0000030A0000}"/>
    <cellStyle name="汇总 2 10 2 10 2" xfId="854" xr:uid="{00000000-0005-0000-0000-000086030000}"/>
    <cellStyle name="汇总 2 10 2 11" xfId="3561" xr:uid="{00000000-0005-0000-0000-0000190E0000}"/>
    <cellStyle name="汇总 2 10 2 11 2" xfId="885" xr:uid="{00000000-0005-0000-0000-0000A5030000}"/>
    <cellStyle name="汇总 2 10 2 12" xfId="3573" xr:uid="{00000000-0005-0000-0000-0000250E0000}"/>
    <cellStyle name="汇总 2 10 2 12 2" xfId="918" xr:uid="{00000000-0005-0000-0000-0000C6030000}"/>
    <cellStyle name="汇总 2 10 2 13" xfId="1669" xr:uid="{00000000-0005-0000-0000-0000B5060000}"/>
    <cellStyle name="汇总 2 10 2 14" xfId="1692" xr:uid="{00000000-0005-0000-0000-0000CC060000}"/>
    <cellStyle name="汇总 2 10 2 15" xfId="1716" xr:uid="{00000000-0005-0000-0000-0000E4060000}"/>
    <cellStyle name="汇总 2 10 2 16" xfId="1730" xr:uid="{00000000-0005-0000-0000-0000F2060000}"/>
    <cellStyle name="汇总 2 10 2 2" xfId="3603" xr:uid="{00000000-0005-0000-0000-0000430E0000}"/>
    <cellStyle name="汇总 2 10 2 2 2" xfId="1303" xr:uid="{00000000-0005-0000-0000-000047050000}"/>
    <cellStyle name="汇总 2 10 2 2 2 2" xfId="3281" xr:uid="{00000000-0005-0000-0000-0000010D0000}"/>
    <cellStyle name="汇总 2 10 2 2 3" xfId="1310" xr:uid="{00000000-0005-0000-0000-00004E050000}"/>
    <cellStyle name="汇总 2 10 2 2 3 2" xfId="3364" xr:uid="{00000000-0005-0000-0000-0000540D0000}"/>
    <cellStyle name="汇总 2 10 2 2 4" xfId="1331" xr:uid="{00000000-0005-0000-0000-000063050000}"/>
    <cellStyle name="汇总 2 10 2 2 4 2" xfId="3393" xr:uid="{00000000-0005-0000-0000-0000710D0000}"/>
    <cellStyle name="汇总 2 10 2 2 5" xfId="1339" xr:uid="{00000000-0005-0000-0000-00006B050000}"/>
    <cellStyle name="汇总 2 10 2 2 5 2" xfId="3434" xr:uid="{00000000-0005-0000-0000-00009A0D0000}"/>
    <cellStyle name="汇总 2 10 2 2 6" xfId="1348" xr:uid="{00000000-0005-0000-0000-000074050000}"/>
    <cellStyle name="汇总 2 10 2 2 7" xfId="1373" xr:uid="{00000000-0005-0000-0000-00008D050000}"/>
    <cellStyle name="汇总 2 10 2 2 8" xfId="1383" xr:uid="{00000000-0005-0000-0000-000097050000}"/>
    <cellStyle name="汇总 2 10 2 2 9" xfId="1658" xr:uid="{00000000-0005-0000-0000-0000AA060000}"/>
    <cellStyle name="汇总 2 10 2 3" xfId="3611" xr:uid="{00000000-0005-0000-0000-00004B0E0000}"/>
    <cellStyle name="汇总 2 10 2 3 2" xfId="2209" xr:uid="{00000000-0005-0000-0000-0000D1080000}"/>
    <cellStyle name="汇总 2 10 2 3 2 2" xfId="2065" xr:uid="{00000000-0005-0000-0000-000041080000}"/>
    <cellStyle name="汇总 2 10 2 3 3" xfId="2217" xr:uid="{00000000-0005-0000-0000-0000D9080000}"/>
    <cellStyle name="汇总 2 10 2 3 3 2" xfId="3619" xr:uid="{00000000-0005-0000-0000-0000530E0000}"/>
    <cellStyle name="汇总 2 10 2 3 4" xfId="2222" xr:uid="{00000000-0005-0000-0000-0000DE080000}"/>
    <cellStyle name="汇总 2 10 2 3 4 2" xfId="3631" xr:uid="{00000000-0005-0000-0000-00005F0E0000}"/>
    <cellStyle name="汇总 2 10 2 3 5" xfId="3539" xr:uid="{00000000-0005-0000-0000-0000030E0000}"/>
    <cellStyle name="汇总 2 10 2 3 5 2" xfId="3597" xr:uid="{00000000-0005-0000-0000-00003D0E0000}"/>
    <cellStyle name="汇总 2 10 2 3 6" xfId="3641" xr:uid="{00000000-0005-0000-0000-0000690E0000}"/>
    <cellStyle name="汇总 2 10 2 4" xfId="2839" xr:uid="{00000000-0005-0000-0000-0000470B0000}"/>
    <cellStyle name="汇总 2 10 2 4 2" xfId="1564" xr:uid="{00000000-0005-0000-0000-00004C060000}"/>
    <cellStyle name="汇总 2 10 2 4 2 2" xfId="458" xr:uid="{00000000-0005-0000-0000-0000F4010000}"/>
    <cellStyle name="汇总 2 10 2 4 3" xfId="1572" xr:uid="{00000000-0005-0000-0000-000054060000}"/>
    <cellStyle name="汇总 2 10 2 4 3 2" xfId="1586" xr:uid="{00000000-0005-0000-0000-000062060000}"/>
    <cellStyle name="汇总 2 10 2 4 4" xfId="1599" xr:uid="{00000000-0005-0000-0000-00006F060000}"/>
    <cellStyle name="汇总 2 10 2 4 4 2" xfId="3657" xr:uid="{00000000-0005-0000-0000-0000790E0000}"/>
    <cellStyle name="汇总 2 10 2 4 5" xfId="3665" xr:uid="{00000000-0005-0000-0000-0000810E0000}"/>
    <cellStyle name="汇总 2 10 2 4 5 2" xfId="3678" xr:uid="{00000000-0005-0000-0000-00008E0E0000}"/>
    <cellStyle name="汇总 2 10 2 4 6" xfId="3692" xr:uid="{00000000-0005-0000-0000-00009C0E0000}"/>
    <cellStyle name="汇总 2 10 2 5" xfId="3695" xr:uid="{00000000-0005-0000-0000-00009F0E0000}"/>
    <cellStyle name="汇总 2 10 2 5 2" xfId="1442" xr:uid="{00000000-0005-0000-0000-0000D2050000}"/>
    <cellStyle name="汇总 2 10 2 5 2 2" xfId="1449" xr:uid="{00000000-0005-0000-0000-0000D9050000}"/>
    <cellStyle name="汇总 2 10 2 5 3" xfId="1468" xr:uid="{00000000-0005-0000-0000-0000EC050000}"/>
    <cellStyle name="汇总 2 10 2 5 3 2" xfId="3698" xr:uid="{00000000-0005-0000-0000-0000A20E0000}"/>
    <cellStyle name="汇总 2 10 2 5 4" xfId="1479" xr:uid="{00000000-0005-0000-0000-0000F7050000}"/>
    <cellStyle name="汇总 2 10 2 5 4 2" xfId="3707" xr:uid="{00000000-0005-0000-0000-0000AB0E0000}"/>
    <cellStyle name="汇总 2 10 2 5 5" xfId="1516" xr:uid="{00000000-0005-0000-0000-00001C060000}"/>
    <cellStyle name="汇总 2 10 2 5 5 2" xfId="3721" xr:uid="{00000000-0005-0000-0000-0000B90E0000}"/>
    <cellStyle name="汇总 2 10 2 5 6" xfId="1535" xr:uid="{00000000-0005-0000-0000-00002F060000}"/>
    <cellStyle name="汇总 2 10 2 6" xfId="3729" xr:uid="{00000000-0005-0000-0000-0000C10E0000}"/>
    <cellStyle name="汇总 2 10 2 6 2" xfId="3740" xr:uid="{00000000-0005-0000-0000-0000CC0E0000}"/>
    <cellStyle name="汇总 2 10 2 6 2 2" xfId="3745" xr:uid="{00000000-0005-0000-0000-0000D10E0000}"/>
    <cellStyle name="汇总 2 10 2 6 3" xfId="3752" xr:uid="{00000000-0005-0000-0000-0000D80E0000}"/>
    <cellStyle name="汇总 2 10 2 6 3 2" xfId="3758" xr:uid="{00000000-0005-0000-0000-0000DE0E0000}"/>
    <cellStyle name="汇总 2 10 2 6 4" xfId="2485" xr:uid="{00000000-0005-0000-0000-0000E5090000}"/>
    <cellStyle name="汇总 2 10 2 6 4 2" xfId="3762" xr:uid="{00000000-0005-0000-0000-0000E20E0000}"/>
    <cellStyle name="汇总 2 10 2 6 5" xfId="3776" xr:uid="{00000000-0005-0000-0000-0000F00E0000}"/>
    <cellStyle name="汇总 2 10 2 6 5 2" xfId="3787" xr:uid="{00000000-0005-0000-0000-0000FB0E0000}"/>
    <cellStyle name="汇总 2 10 2 6 6" xfId="3800" xr:uid="{00000000-0005-0000-0000-0000080F0000}"/>
    <cellStyle name="汇总 2 10 2 7" xfId="3811" xr:uid="{00000000-0005-0000-0000-0000130F0000}"/>
    <cellStyle name="汇总 2 10 2 7 2" xfId="627" xr:uid="{00000000-0005-0000-0000-0000A3020000}"/>
    <cellStyle name="汇总 2 10 2 7 2 2" xfId="3815" xr:uid="{00000000-0005-0000-0000-0000170F0000}"/>
    <cellStyle name="汇总 2 10 2 7 3" xfId="3820" xr:uid="{00000000-0005-0000-0000-00001C0F0000}"/>
    <cellStyle name="汇总 2 10 2 7 3 2" xfId="3826" xr:uid="{00000000-0005-0000-0000-0000220F0000}"/>
    <cellStyle name="汇总 2 10 2 7 4" xfId="2069" xr:uid="{00000000-0005-0000-0000-000045080000}"/>
    <cellStyle name="汇总 2 10 2 7 4 2" xfId="3833" xr:uid="{00000000-0005-0000-0000-0000290F0000}"/>
    <cellStyle name="汇总 2 10 2 7 5" xfId="3846" xr:uid="{00000000-0005-0000-0000-0000360F0000}"/>
    <cellStyle name="汇总 2 10 2 7 5 2" xfId="3855" xr:uid="{00000000-0005-0000-0000-00003F0F0000}"/>
    <cellStyle name="汇总 2 10 2 7 6" xfId="3882" xr:uid="{00000000-0005-0000-0000-00005A0F0000}"/>
    <cellStyle name="汇总 2 10 2 8" xfId="3889" xr:uid="{00000000-0005-0000-0000-0000610F0000}"/>
    <cellStyle name="汇总 2 10 2 8 2" xfId="3898" xr:uid="{00000000-0005-0000-0000-00006A0F0000}"/>
    <cellStyle name="汇总 2 10 2 8 2 2" xfId="3901" xr:uid="{00000000-0005-0000-0000-00006D0F0000}"/>
    <cellStyle name="汇总 2 10 2 8 3" xfId="3903" xr:uid="{00000000-0005-0000-0000-00006F0F0000}"/>
    <cellStyle name="汇总 2 10 2 8 3 2" xfId="3906" xr:uid="{00000000-0005-0000-0000-0000720F0000}"/>
    <cellStyle name="汇总 2 10 2 8 4" xfId="3908" xr:uid="{00000000-0005-0000-0000-0000740F0000}"/>
    <cellStyle name="汇总 2 10 2 8 4 2" xfId="2883" xr:uid="{00000000-0005-0000-0000-0000730B0000}"/>
    <cellStyle name="汇总 2 10 2 8 5" xfId="3918" xr:uid="{00000000-0005-0000-0000-00007E0F0000}"/>
    <cellStyle name="汇总 2 10 2 9" xfId="3936" xr:uid="{00000000-0005-0000-0000-0000900F0000}"/>
    <cellStyle name="汇总 2 10 2 9 2" xfId="1818" xr:uid="{00000000-0005-0000-0000-00004A070000}"/>
    <cellStyle name="汇总 2 10 20" xfId="3417" xr:uid="{00000000-0005-0000-0000-0000890D0000}"/>
    <cellStyle name="汇总 2 10 20 2" xfId="3427" xr:uid="{00000000-0005-0000-0000-0000930D0000}"/>
    <cellStyle name="汇总 2 10 21" xfId="3463" xr:uid="{00000000-0005-0000-0000-0000B70D0000}"/>
    <cellStyle name="汇总 2 10 21 2" xfId="3469" xr:uid="{00000000-0005-0000-0000-0000BD0D0000}"/>
    <cellStyle name="汇总 2 10 22" xfId="3488" xr:uid="{00000000-0005-0000-0000-0000D00D0000}"/>
    <cellStyle name="汇总 2 10 22 2" xfId="1091" xr:uid="{00000000-0005-0000-0000-000073040000}"/>
    <cellStyle name="汇总 2 10 23" xfId="3271" xr:uid="{00000000-0005-0000-0000-0000F70C0000}"/>
    <cellStyle name="汇总 2 10 23 2" xfId="1113" xr:uid="{00000000-0005-0000-0000-000089040000}"/>
    <cellStyle name="汇总 2 10 24" xfId="3515" xr:uid="{00000000-0005-0000-0000-0000EB0D0000}"/>
    <cellStyle name="汇总 2 10 25" xfId="2317" xr:uid="{00000000-0005-0000-0000-00003D090000}"/>
    <cellStyle name="汇总 2 10 26" xfId="3940" xr:uid="{00000000-0005-0000-0000-0000940F0000}"/>
    <cellStyle name="汇总 2 10 27" xfId="3941" xr:uid="{00000000-0005-0000-0000-0000950F0000}"/>
    <cellStyle name="汇总 2 10 3" xfId="3951" xr:uid="{00000000-0005-0000-0000-00009F0F0000}"/>
    <cellStyle name="汇总 2 10 3 10" xfId="3959" xr:uid="{00000000-0005-0000-0000-0000A70F0000}"/>
    <cellStyle name="汇总 2 10 3 10 2" xfId="3962" xr:uid="{00000000-0005-0000-0000-0000AA0F0000}"/>
    <cellStyle name="汇总 2 10 3 11" xfId="3973" xr:uid="{00000000-0005-0000-0000-0000B50F0000}"/>
    <cellStyle name="汇总 2 10 3 11 2" xfId="1359" xr:uid="{00000000-0005-0000-0000-00007F050000}"/>
    <cellStyle name="汇总 2 10 3 12" xfId="187" xr:uid="{00000000-0005-0000-0000-0000CA000000}"/>
    <cellStyle name="汇总 2 10 3 12 2" xfId="3987" xr:uid="{00000000-0005-0000-0000-0000C30F0000}"/>
    <cellStyle name="汇总 2 10 3 13" xfId="3992" xr:uid="{00000000-0005-0000-0000-0000C80F0000}"/>
    <cellStyle name="汇总 2 10 3 14" xfId="2813" xr:uid="{00000000-0005-0000-0000-00002D0B0000}"/>
    <cellStyle name="汇总 2 10 3 15" xfId="4004" xr:uid="{00000000-0005-0000-0000-0000D40F0000}"/>
    <cellStyle name="汇总 2 10 3 16" xfId="4010" xr:uid="{00000000-0005-0000-0000-0000DA0F0000}"/>
    <cellStyle name="汇总 2 10 3 2" xfId="4014" xr:uid="{00000000-0005-0000-0000-0000DE0F0000}"/>
    <cellStyle name="汇总 2 10 3 2 2" xfId="4028" xr:uid="{00000000-0005-0000-0000-0000EC0F0000}"/>
    <cellStyle name="汇总 2 10 3 2 2 2" xfId="4036" xr:uid="{00000000-0005-0000-0000-0000F40F0000}"/>
    <cellStyle name="汇总 2 10 3 2 3" xfId="4054" xr:uid="{00000000-0005-0000-0000-000006100000}"/>
    <cellStyle name="汇总 2 10 3 2 3 2" xfId="4058" xr:uid="{00000000-0005-0000-0000-00000A100000}"/>
    <cellStyle name="汇总 2 10 3 2 4" xfId="4071" xr:uid="{00000000-0005-0000-0000-000017100000}"/>
    <cellStyle name="汇总 2 10 3 2 4 2" xfId="4087" xr:uid="{00000000-0005-0000-0000-000027100000}"/>
    <cellStyle name="汇总 2 10 3 2 5" xfId="4103" xr:uid="{00000000-0005-0000-0000-000037100000}"/>
    <cellStyle name="汇总 2 10 3 2 5 2" xfId="4105" xr:uid="{00000000-0005-0000-0000-000039100000}"/>
    <cellStyle name="汇总 2 10 3 2 6" xfId="4122" xr:uid="{00000000-0005-0000-0000-00004A100000}"/>
    <cellStyle name="汇总 2 10 3 2 7" xfId="4137" xr:uid="{00000000-0005-0000-0000-000059100000}"/>
    <cellStyle name="汇总 2 10 3 2 8" xfId="2427" xr:uid="{00000000-0005-0000-0000-0000AB090000}"/>
    <cellStyle name="汇总 2 10 3 2 9" xfId="2437" xr:uid="{00000000-0005-0000-0000-0000B5090000}"/>
    <cellStyle name="汇总 2 10 3 3" xfId="4146" xr:uid="{00000000-0005-0000-0000-000062100000}"/>
    <cellStyle name="汇总 2 10 3 3 2" xfId="4156" xr:uid="{00000000-0005-0000-0000-00006C100000}"/>
    <cellStyle name="汇总 2 10 3 3 2 2" xfId="284" xr:uid="{00000000-0005-0000-0000-000038010000}"/>
    <cellStyle name="汇总 2 10 3 3 3" xfId="4164" xr:uid="{00000000-0005-0000-0000-000074100000}"/>
    <cellStyle name="汇总 2 10 3 3 3 2" xfId="4179" xr:uid="{00000000-0005-0000-0000-000083100000}"/>
    <cellStyle name="汇总 2 10 3 3 4" xfId="2496" xr:uid="{00000000-0005-0000-0000-0000F0090000}"/>
    <cellStyle name="汇总 2 10 3 3 4 2" xfId="4196" xr:uid="{00000000-0005-0000-0000-000094100000}"/>
    <cellStyle name="汇总 2 10 3 3 5" xfId="4204" xr:uid="{00000000-0005-0000-0000-00009C100000}"/>
    <cellStyle name="汇总 2 10 3 3 5 2" xfId="4222" xr:uid="{00000000-0005-0000-0000-0000AE100000}"/>
    <cellStyle name="汇总 2 10 3 3 6" xfId="4226" xr:uid="{00000000-0005-0000-0000-0000B2100000}"/>
    <cellStyle name="汇总 2 10 3 4" xfId="4023" xr:uid="{00000000-0005-0000-0000-0000E70F0000}"/>
    <cellStyle name="汇总 2 10 3 4 2" xfId="4045" xr:uid="{00000000-0005-0000-0000-0000FD0F0000}"/>
    <cellStyle name="汇总 2 10 3 4 2 2" xfId="782" xr:uid="{00000000-0005-0000-0000-00003E030000}"/>
    <cellStyle name="汇总 2 10 3 4 3" xfId="4238" xr:uid="{00000000-0005-0000-0000-0000BE100000}"/>
    <cellStyle name="汇总 2 10 3 4 3 2" xfId="820" xr:uid="{00000000-0005-0000-0000-000064030000}"/>
    <cellStyle name="汇总 2 10 3 4 4" xfId="2522" xr:uid="{00000000-0005-0000-0000-00000A0A0000}"/>
    <cellStyle name="汇总 2 10 3 4 4 2" xfId="848" xr:uid="{00000000-0005-0000-0000-000080030000}"/>
    <cellStyle name="汇总 2 10 3 4 5" xfId="3569" xr:uid="{00000000-0005-0000-0000-0000210E0000}"/>
    <cellStyle name="汇总 2 10 3 4 5 2" xfId="878" xr:uid="{00000000-0005-0000-0000-00009E030000}"/>
    <cellStyle name="汇总 2 10 3 4 6" xfId="3588" xr:uid="{00000000-0005-0000-0000-0000340E0000}"/>
    <cellStyle name="汇总 2 10 3 5" xfId="4052" xr:uid="{00000000-0005-0000-0000-000004100000}"/>
    <cellStyle name="汇总 2 10 3 5 2" xfId="4068" xr:uid="{00000000-0005-0000-0000-000014100000}"/>
    <cellStyle name="汇总 2 10 3 5 2 2" xfId="4249" xr:uid="{00000000-0005-0000-0000-0000C9100000}"/>
    <cellStyle name="汇总 2 10 3 5 3" xfId="1854" xr:uid="{00000000-0005-0000-0000-00006E070000}"/>
    <cellStyle name="汇总 2 10 3 5 3 2" xfId="1885" xr:uid="{00000000-0005-0000-0000-00008D070000}"/>
    <cellStyle name="汇总 2 10 3 5 4" xfId="1929" xr:uid="{00000000-0005-0000-0000-0000B9070000}"/>
    <cellStyle name="汇总 2 10 3 5 4 2" xfId="4257" xr:uid="{00000000-0005-0000-0000-0000D1100000}"/>
    <cellStyle name="汇总 2 10 3 5 5" xfId="1945" xr:uid="{00000000-0005-0000-0000-0000C9070000}"/>
    <cellStyle name="汇总 2 10 3 5 5 2" xfId="4268" xr:uid="{00000000-0005-0000-0000-0000DC100000}"/>
    <cellStyle name="汇总 2 10 3 5 6" xfId="1958" xr:uid="{00000000-0005-0000-0000-0000D6070000}"/>
    <cellStyle name="汇总 2 10 3 6" xfId="4084" xr:uid="{00000000-0005-0000-0000-000024100000}"/>
    <cellStyle name="汇总 2 10 3 6 2" xfId="4098" xr:uid="{00000000-0005-0000-0000-000032100000}"/>
    <cellStyle name="汇总 2 10 3 6 2 2" xfId="3773" xr:uid="{00000000-0005-0000-0000-0000ED0E0000}"/>
    <cellStyle name="汇总 2 10 3 6 3" xfId="4280" xr:uid="{00000000-0005-0000-0000-0000E8100000}"/>
    <cellStyle name="汇总 2 10 3 6 3 2" xfId="3844" xr:uid="{00000000-0005-0000-0000-0000340F0000}"/>
    <cellStyle name="汇总 2 10 3 6 4" xfId="2541" xr:uid="{00000000-0005-0000-0000-00001D0A0000}"/>
    <cellStyle name="汇总 2 10 3 6 4 2" xfId="3916" xr:uid="{00000000-0005-0000-0000-00007C0F0000}"/>
    <cellStyle name="汇总 2 10 3 6 5" xfId="4292" xr:uid="{00000000-0005-0000-0000-0000F4100000}"/>
    <cellStyle name="汇总 2 10 3 6 5 2" xfId="1894" xr:uid="{00000000-0005-0000-0000-000096070000}"/>
    <cellStyle name="汇总 2 10 3 6 6" xfId="4305" xr:uid="{00000000-0005-0000-0000-000001110000}"/>
    <cellStyle name="汇总 2 10 3 7" xfId="4101" xr:uid="{00000000-0005-0000-0000-000035100000}"/>
    <cellStyle name="汇总 2 10 3 7 2" xfId="4117" xr:uid="{00000000-0005-0000-0000-000045100000}"/>
    <cellStyle name="汇总 2 10 3 7 2 2" xfId="4298" xr:uid="{00000000-0005-0000-0000-0000FA100000}"/>
    <cellStyle name="汇总 2 10 3 7 3" xfId="4317" xr:uid="{00000000-0005-0000-0000-00000D110000}"/>
    <cellStyle name="汇总 2 10 3 7 3 2" xfId="4321" xr:uid="{00000000-0005-0000-0000-000011110000}"/>
    <cellStyle name="汇总 2 10 3 7 4" xfId="4326" xr:uid="{00000000-0005-0000-0000-000016110000}"/>
    <cellStyle name="汇总 2 10 3 7 4 2" xfId="4328" xr:uid="{00000000-0005-0000-0000-000018110000}"/>
    <cellStyle name="汇总 2 10 3 7 5" xfId="4320" xr:uid="{00000000-0005-0000-0000-000010110000}"/>
    <cellStyle name="汇总 2 10 3 7 5 2" xfId="3963" xr:uid="{00000000-0005-0000-0000-0000AB0F0000}"/>
    <cellStyle name="汇总 2 10 3 7 6" xfId="4336" xr:uid="{00000000-0005-0000-0000-000020110000}"/>
    <cellStyle name="汇总 2 10 3 8" xfId="4120" xr:uid="{00000000-0005-0000-0000-000048100000}"/>
    <cellStyle name="汇总 2 10 3 8 2" xfId="4344" xr:uid="{00000000-0005-0000-0000-000028110000}"/>
    <cellStyle name="汇总 2 10 3 8 2 2" xfId="4347" xr:uid="{00000000-0005-0000-0000-00002B110000}"/>
    <cellStyle name="汇总 2 10 3 8 3" xfId="4349" xr:uid="{00000000-0005-0000-0000-00002D110000}"/>
    <cellStyle name="汇总 2 10 3 8 3 2" xfId="4352" xr:uid="{00000000-0005-0000-0000-000030110000}"/>
    <cellStyle name="汇总 2 10 3 8 4" xfId="4355" xr:uid="{00000000-0005-0000-0000-000033110000}"/>
    <cellStyle name="汇总 2 10 3 8 4 2" xfId="4358" xr:uid="{00000000-0005-0000-0000-000036110000}"/>
    <cellStyle name="汇总 2 10 3 8 5" xfId="4327" xr:uid="{00000000-0005-0000-0000-000017110000}"/>
    <cellStyle name="汇总 2 10 3 9" xfId="4136" xr:uid="{00000000-0005-0000-0000-000058100000}"/>
    <cellStyle name="汇总 2 10 3 9 2" xfId="4360" xr:uid="{00000000-0005-0000-0000-000038110000}"/>
    <cellStyle name="汇总 2 10 4" xfId="4363" xr:uid="{00000000-0005-0000-0000-00003B110000}"/>
    <cellStyle name="汇总 2 10 4 10" xfId="4377" xr:uid="{00000000-0005-0000-0000-000049110000}"/>
    <cellStyle name="汇总 2 10 4 10 2" xfId="4385" xr:uid="{00000000-0005-0000-0000-000051110000}"/>
    <cellStyle name="汇总 2 10 4 11" xfId="2703" xr:uid="{00000000-0005-0000-0000-0000BF0A0000}"/>
    <cellStyle name="汇总 2 10 4 11 2" xfId="4398" xr:uid="{00000000-0005-0000-0000-00005E110000}"/>
    <cellStyle name="汇总 2 10 4 12" xfId="4403" xr:uid="{00000000-0005-0000-0000-000063110000}"/>
    <cellStyle name="汇总 2 10 4 12 2" xfId="4408" xr:uid="{00000000-0005-0000-0000-000068110000}"/>
    <cellStyle name="汇总 2 10 4 13" xfId="4414" xr:uid="{00000000-0005-0000-0000-00006E110000}"/>
    <cellStyle name="汇总 2 10 4 14" xfId="4416" xr:uid="{00000000-0005-0000-0000-000070110000}"/>
    <cellStyle name="汇总 2 10 4 15" xfId="180" xr:uid="{00000000-0005-0000-0000-0000C2000000}"/>
    <cellStyle name="汇总 2 10 4 16" xfId="4419" xr:uid="{00000000-0005-0000-0000-000073110000}"/>
    <cellStyle name="汇总 2 10 4 2" xfId="4428" xr:uid="{00000000-0005-0000-0000-00007C110000}"/>
    <cellStyle name="汇总 2 10 4 2 2" xfId="4434" xr:uid="{00000000-0005-0000-0000-000082110000}"/>
    <cellStyle name="汇总 2 10 4 2 2 2" xfId="4439" xr:uid="{00000000-0005-0000-0000-000087110000}"/>
    <cellStyle name="汇总 2 10 4 2 3" xfId="4448" xr:uid="{00000000-0005-0000-0000-000090110000}"/>
    <cellStyle name="汇总 2 10 4 2 3 2" xfId="4452" xr:uid="{00000000-0005-0000-0000-000094110000}"/>
    <cellStyle name="汇总 2 10 4 2 4" xfId="4458" xr:uid="{00000000-0005-0000-0000-00009A110000}"/>
    <cellStyle name="汇总 2 10 4 2 4 2" xfId="4465" xr:uid="{00000000-0005-0000-0000-0000A1110000}"/>
    <cellStyle name="汇总 2 10 4 2 5" xfId="4468" xr:uid="{00000000-0005-0000-0000-0000A4110000}"/>
    <cellStyle name="汇总 2 10 4 2 5 2" xfId="4471" xr:uid="{00000000-0005-0000-0000-0000A7110000}"/>
    <cellStyle name="汇总 2 10 4 2 6" xfId="4475" xr:uid="{00000000-0005-0000-0000-0000AB110000}"/>
    <cellStyle name="汇总 2 10 4 2 7" xfId="4488" xr:uid="{00000000-0005-0000-0000-0000B8110000}"/>
    <cellStyle name="汇总 2 10 4 2 8" xfId="2918" xr:uid="{00000000-0005-0000-0000-0000960B0000}"/>
    <cellStyle name="汇总 2 10 4 2 9" xfId="993" xr:uid="{00000000-0005-0000-0000-000011040000}"/>
    <cellStyle name="汇总 2 10 4 3" xfId="4504" xr:uid="{00000000-0005-0000-0000-0000C8110000}"/>
    <cellStyle name="汇总 2 10 4 3 2" xfId="4513" xr:uid="{00000000-0005-0000-0000-0000D1110000}"/>
    <cellStyle name="汇总 2 10 4 3 2 2" xfId="3944" xr:uid="{00000000-0005-0000-0000-0000980F0000}"/>
    <cellStyle name="汇总 2 10 4 3 3" xfId="4519" xr:uid="{00000000-0005-0000-0000-0000D7110000}"/>
    <cellStyle name="汇总 2 10 4 3 3 2" xfId="1629" xr:uid="{00000000-0005-0000-0000-00008D060000}"/>
    <cellStyle name="汇总 2 10 4 3 4" xfId="2571" xr:uid="{00000000-0005-0000-0000-00003B0A0000}"/>
    <cellStyle name="汇总 2 10 4 3 4 2" xfId="4523" xr:uid="{00000000-0005-0000-0000-0000DB110000}"/>
    <cellStyle name="汇总 2 10 4 3 5" xfId="4527" xr:uid="{00000000-0005-0000-0000-0000DF110000}"/>
    <cellStyle name="汇总 2 10 4 3 5 2" xfId="4529" xr:uid="{00000000-0005-0000-0000-0000E1110000}"/>
    <cellStyle name="汇总 2 10 4 3 6" xfId="4532" xr:uid="{00000000-0005-0000-0000-0000E4110000}"/>
    <cellStyle name="汇总 2 10 4 4" xfId="4151" xr:uid="{00000000-0005-0000-0000-000067100000}"/>
    <cellStyle name="汇总 2 10 4 4 2" xfId="280" xr:uid="{00000000-0005-0000-0000-000034010000}"/>
    <cellStyle name="汇总 2 10 4 4 2 2" xfId="4540" xr:uid="{00000000-0005-0000-0000-0000EC110000}"/>
    <cellStyle name="汇总 2 10 4 4 3" xfId="412" xr:uid="{00000000-0005-0000-0000-0000C3010000}"/>
    <cellStyle name="汇总 2 10 4 4 3 2" xfId="4544" xr:uid="{00000000-0005-0000-0000-0000F0110000}"/>
    <cellStyle name="汇总 2 10 4 4 4" xfId="415" xr:uid="{00000000-0005-0000-0000-0000C7010000}"/>
    <cellStyle name="汇总 2 10 4 4 4 2" xfId="4557" xr:uid="{00000000-0005-0000-0000-0000FD110000}"/>
    <cellStyle name="汇总 2 10 4 4 5" xfId="464" xr:uid="{00000000-0005-0000-0000-0000FB010000}"/>
    <cellStyle name="汇总 2 10 4 4 5 2" xfId="4580" xr:uid="{00000000-0005-0000-0000-000014120000}"/>
    <cellStyle name="汇总 2 10 4 4 6" xfId="511" xr:uid="{00000000-0005-0000-0000-00002D020000}"/>
    <cellStyle name="汇总 2 10 4 5" xfId="4159" xr:uid="{00000000-0005-0000-0000-00006F100000}"/>
    <cellStyle name="汇总 2 10 4 5 2" xfId="4172" xr:uid="{00000000-0005-0000-0000-00007C100000}"/>
    <cellStyle name="汇总 2 10 4 5 2 2" xfId="4589" xr:uid="{00000000-0005-0000-0000-00001D120000}"/>
    <cellStyle name="汇总 2 10 4 5 3" xfId="4596" xr:uid="{00000000-0005-0000-0000-000024120000}"/>
    <cellStyle name="汇总 2 10 4 5 3 2" xfId="4601" xr:uid="{00000000-0005-0000-0000-000029120000}"/>
    <cellStyle name="汇总 2 10 4 5 4" xfId="2599" xr:uid="{00000000-0005-0000-0000-0000570A0000}"/>
    <cellStyle name="汇总 2 10 4 5 4 2" xfId="4605" xr:uid="{00000000-0005-0000-0000-00002D120000}"/>
    <cellStyle name="汇总 2 10 4 5 5" xfId="4608" xr:uid="{00000000-0005-0000-0000-000030120000}"/>
    <cellStyle name="汇总 2 10 4 5 5 2" xfId="4609" xr:uid="{00000000-0005-0000-0000-000031120000}"/>
    <cellStyle name="汇总 2 10 4 5 6" xfId="6" xr:uid="{00000000-0005-0000-0000-000007000000}"/>
    <cellStyle name="汇总 2 10 4 6" xfId="2508" xr:uid="{00000000-0005-0000-0000-0000FC090000}"/>
    <cellStyle name="汇总 2 10 4 6 2" xfId="4186" xr:uid="{00000000-0005-0000-0000-00008A100000}"/>
    <cellStyle name="汇总 2 10 4 6 2 2" xfId="4614" xr:uid="{00000000-0005-0000-0000-000036120000}"/>
    <cellStyle name="汇总 2 10 4 6 3" xfId="4621" xr:uid="{00000000-0005-0000-0000-00003D120000}"/>
    <cellStyle name="汇总 2 10 4 6 3 2" xfId="3454" xr:uid="{00000000-0005-0000-0000-0000AE0D0000}"/>
    <cellStyle name="汇总 2 10 4 6 4" xfId="2632" xr:uid="{00000000-0005-0000-0000-0000780A0000}"/>
    <cellStyle name="汇总 2 10 4 6 4 2" xfId="4627" xr:uid="{00000000-0005-0000-0000-000043120000}"/>
    <cellStyle name="汇总 2 10 4 6 5" xfId="4348" xr:uid="{00000000-0005-0000-0000-00002C110000}"/>
    <cellStyle name="汇总 2 10 4 6 5 2" xfId="4628" xr:uid="{00000000-0005-0000-0000-000044120000}"/>
    <cellStyle name="汇总 2 10 4 6 6" xfId="4629" xr:uid="{00000000-0005-0000-0000-000045120000}"/>
    <cellStyle name="汇总 2 10 4 7" xfId="4200" xr:uid="{00000000-0005-0000-0000-000098100000}"/>
    <cellStyle name="汇总 2 10 4 7 2" xfId="4210" xr:uid="{00000000-0005-0000-0000-0000A2100000}"/>
    <cellStyle name="汇总 2 10 4 7 2 2" xfId="4634" xr:uid="{00000000-0005-0000-0000-00004A120000}"/>
    <cellStyle name="汇总 2 10 4 7 3" xfId="4639" xr:uid="{00000000-0005-0000-0000-00004F120000}"/>
    <cellStyle name="汇总 2 10 4 7 3 2" xfId="4647" xr:uid="{00000000-0005-0000-0000-000057120000}"/>
    <cellStyle name="汇总 2 10 4 7 4" xfId="4653" xr:uid="{00000000-0005-0000-0000-00005D120000}"/>
    <cellStyle name="汇总 2 10 4 7 4 2" xfId="1060" xr:uid="{00000000-0005-0000-0000-000054040000}"/>
    <cellStyle name="汇总 2 10 4 7 5" xfId="4353" xr:uid="{00000000-0005-0000-0000-000031110000}"/>
    <cellStyle name="汇总 2 10 4 7 5 2" xfId="4655" xr:uid="{00000000-0005-0000-0000-00005F120000}"/>
    <cellStyle name="汇总 2 10 4 7 6" xfId="4663" xr:uid="{00000000-0005-0000-0000-000067120000}"/>
    <cellStyle name="汇总 2 10 4 8" xfId="4224" xr:uid="{00000000-0005-0000-0000-0000B0100000}"/>
    <cellStyle name="汇总 2 10 4 8 2" xfId="4665" xr:uid="{00000000-0005-0000-0000-000069120000}"/>
    <cellStyle name="汇总 2 10 4 8 2 2" xfId="4670" xr:uid="{00000000-0005-0000-0000-00006E120000}"/>
    <cellStyle name="汇总 2 10 4 8 3" xfId="4674" xr:uid="{00000000-0005-0000-0000-000072120000}"/>
    <cellStyle name="汇总 2 10 4 8 3 2" xfId="4681" xr:uid="{00000000-0005-0000-0000-000079120000}"/>
    <cellStyle name="汇总 2 10 4 8 4" xfId="4684" xr:uid="{00000000-0005-0000-0000-00007C120000}"/>
    <cellStyle name="汇总 2 10 4 8 4 2" xfId="330" xr:uid="{00000000-0005-0000-0000-00006A010000}"/>
    <cellStyle name="汇总 2 10 4 8 5" xfId="4359" xr:uid="{00000000-0005-0000-0000-000037110000}"/>
    <cellStyle name="汇总 2 10 4 9" xfId="4688" xr:uid="{00000000-0005-0000-0000-000080120000}"/>
    <cellStyle name="汇总 2 10 4 9 2" xfId="4690" xr:uid="{00000000-0005-0000-0000-000082120000}"/>
    <cellStyle name="汇总 2 10 5" xfId="3189" xr:uid="{00000000-0005-0000-0000-0000A50C0000}"/>
    <cellStyle name="汇总 2 10 5 10" xfId="3547" xr:uid="{00000000-0005-0000-0000-00000B0E0000}"/>
    <cellStyle name="汇总 2 10 5 10 2" xfId="3590" xr:uid="{00000000-0005-0000-0000-0000360E0000}"/>
    <cellStyle name="汇总 2 10 5 11" xfId="3644" xr:uid="{00000000-0005-0000-0000-00006C0E0000}"/>
    <cellStyle name="汇总 2 10 5 11 2" xfId="2848" xr:uid="{00000000-0005-0000-0000-0000500B0000}"/>
    <cellStyle name="汇总 2 10 5 12" xfId="3975" xr:uid="{00000000-0005-0000-0000-0000B70F0000}"/>
    <cellStyle name="汇总 2 10 5 12 2" xfId="4692" xr:uid="{00000000-0005-0000-0000-000084120000}"/>
    <cellStyle name="汇总 2 10 5 13" xfId="4701" xr:uid="{00000000-0005-0000-0000-00008D120000}"/>
    <cellStyle name="汇总 2 10 5 14" xfId="4713" xr:uid="{00000000-0005-0000-0000-000099120000}"/>
    <cellStyle name="汇总 2 10 5 15" xfId="4387" xr:uid="{00000000-0005-0000-0000-000053110000}"/>
    <cellStyle name="汇总 2 10 5 16" xfId="4727" xr:uid="{00000000-0005-0000-0000-0000A7120000}"/>
    <cellStyle name="汇总 2 10 5 2" xfId="2256" xr:uid="{00000000-0005-0000-0000-000000090000}"/>
    <cellStyle name="汇总 2 10 5 2 2" xfId="338" xr:uid="{00000000-0005-0000-0000-000073010000}"/>
    <cellStyle name="汇总 2 10 5 2 2 2" xfId="723" xr:uid="{00000000-0005-0000-0000-000003030000}"/>
    <cellStyle name="汇总 2 10 5 2 3" xfId="271" xr:uid="{00000000-0005-0000-0000-00002A010000}"/>
    <cellStyle name="汇总 2 10 5 2 3 2" xfId="737" xr:uid="{00000000-0005-0000-0000-000011030000}"/>
    <cellStyle name="汇总 2 10 5 2 4" xfId="4735" xr:uid="{00000000-0005-0000-0000-0000AF120000}"/>
    <cellStyle name="汇总 2 10 5 2 4 2" xfId="4483" xr:uid="{00000000-0005-0000-0000-0000B3110000}"/>
    <cellStyle name="汇总 2 10 5 2 5" xfId="4740" xr:uid="{00000000-0005-0000-0000-0000B4120000}"/>
    <cellStyle name="汇总 2 10 5 2 5 2" xfId="4744" xr:uid="{00000000-0005-0000-0000-0000B8120000}"/>
    <cellStyle name="汇总 2 10 5 2 6" xfId="4748" xr:uid="{00000000-0005-0000-0000-0000BC120000}"/>
    <cellStyle name="汇总 2 10 5 2 7" xfId="4766" xr:uid="{00000000-0005-0000-0000-0000CE120000}"/>
    <cellStyle name="汇总 2 10 5 2 8" xfId="3255" xr:uid="{00000000-0005-0000-0000-0000E70C0000}"/>
    <cellStyle name="汇总 2 10 5 2 9" xfId="4767" xr:uid="{00000000-0005-0000-0000-0000CF120000}"/>
    <cellStyle name="汇总 2 10 5 3" xfId="2280" xr:uid="{00000000-0005-0000-0000-000018090000}"/>
    <cellStyle name="汇总 2 10 5 3 2" xfId="765" xr:uid="{00000000-0005-0000-0000-00002D030000}"/>
    <cellStyle name="汇总 2 10 5 3 2 2" xfId="2805" xr:uid="{00000000-0005-0000-0000-0000250B0000}"/>
    <cellStyle name="汇总 2 10 5 3 3" xfId="4777" xr:uid="{00000000-0005-0000-0000-0000D9120000}"/>
    <cellStyle name="汇总 2 10 5 3 3 2" xfId="4782" xr:uid="{00000000-0005-0000-0000-0000DE120000}"/>
    <cellStyle name="汇总 2 10 5 3 4" xfId="2664" xr:uid="{00000000-0005-0000-0000-0000980A0000}"/>
    <cellStyle name="汇总 2 10 5 3 4 2" xfId="4765" xr:uid="{00000000-0005-0000-0000-0000CD120000}"/>
    <cellStyle name="汇总 2 10 5 3 5" xfId="4786" xr:uid="{00000000-0005-0000-0000-0000E2120000}"/>
    <cellStyle name="汇总 2 10 5 3 5 2" xfId="4788" xr:uid="{00000000-0005-0000-0000-0000E4120000}"/>
    <cellStyle name="汇总 2 10 5 3 6" xfId="4790" xr:uid="{00000000-0005-0000-0000-0000E6120000}"/>
    <cellStyle name="汇总 2 10 5 4" xfId="4040" xr:uid="{00000000-0005-0000-0000-0000F80F0000}"/>
    <cellStyle name="汇总 2 10 5 4 2" xfId="791" xr:uid="{00000000-0005-0000-0000-000047030000}"/>
    <cellStyle name="汇总 2 10 5 4 2 2" xfId="3244" xr:uid="{00000000-0005-0000-0000-0000DC0C0000}"/>
    <cellStyle name="汇总 2 10 5 4 3" xfId="4800" xr:uid="{00000000-0005-0000-0000-0000F0120000}"/>
    <cellStyle name="汇总 2 10 5 4 3 2" xfId="4806" xr:uid="{00000000-0005-0000-0000-0000F6120000}"/>
    <cellStyle name="汇总 2 10 5 4 4" xfId="2687" xr:uid="{00000000-0005-0000-0000-0000AF0A0000}"/>
    <cellStyle name="汇总 2 10 5 4 4 2" xfId="4814" xr:uid="{00000000-0005-0000-0000-0000FE120000}"/>
    <cellStyle name="汇总 2 10 5 4 5" xfId="4818" xr:uid="{00000000-0005-0000-0000-000002130000}"/>
    <cellStyle name="汇总 2 10 5 4 5 2" xfId="4826" xr:uid="{00000000-0005-0000-0000-00000A130000}"/>
    <cellStyle name="汇总 2 10 5 4 6" xfId="4832" xr:uid="{00000000-0005-0000-0000-000010130000}"/>
    <cellStyle name="汇总 2 10 5 5" xfId="4235" xr:uid="{00000000-0005-0000-0000-0000BB100000}"/>
    <cellStyle name="汇总 2 10 5 5 2" xfId="828" xr:uid="{00000000-0005-0000-0000-00006C030000}"/>
    <cellStyle name="汇总 2 10 5 5 2 2" xfId="2022" xr:uid="{00000000-0005-0000-0000-000016080000}"/>
    <cellStyle name="汇总 2 10 5 5 3" xfId="4373" xr:uid="{00000000-0005-0000-0000-000045110000}"/>
    <cellStyle name="汇总 2 10 5 5 3 2" xfId="4381" xr:uid="{00000000-0005-0000-0000-00004D110000}"/>
    <cellStyle name="汇总 2 10 5 5 4" xfId="2706" xr:uid="{00000000-0005-0000-0000-0000C20A0000}"/>
    <cellStyle name="汇总 2 10 5 5 4 2" xfId="4396" xr:uid="{00000000-0005-0000-0000-00005C110000}"/>
    <cellStyle name="汇总 2 10 5 5 5" xfId="4400" xr:uid="{00000000-0005-0000-0000-000060110000}"/>
    <cellStyle name="汇总 2 10 5 5 5 2" xfId="4405" xr:uid="{00000000-0005-0000-0000-000065110000}"/>
    <cellStyle name="汇总 2 10 5 5 6" xfId="4411" xr:uid="{00000000-0005-0000-0000-00006B110000}"/>
    <cellStyle name="汇总 2 10 5 6" xfId="2520" xr:uid="{00000000-0005-0000-0000-0000080A0000}"/>
    <cellStyle name="汇总 2 10 5 6 2" xfId="858" xr:uid="{00000000-0005-0000-0000-00008A030000}"/>
    <cellStyle name="汇总 2 10 5 6 2 2" xfId="363" xr:uid="{00000000-0005-0000-0000-00008E010000}"/>
    <cellStyle name="汇总 2 10 5 6 3" xfId="4843" xr:uid="{00000000-0005-0000-0000-00001B130000}"/>
    <cellStyle name="汇总 2 10 5 6 3 2" xfId="2451" xr:uid="{00000000-0005-0000-0000-0000C3090000}"/>
    <cellStyle name="汇总 2 10 5 6 4" xfId="2729" xr:uid="{00000000-0005-0000-0000-0000D90A0000}"/>
    <cellStyle name="汇总 2 10 5 6 4 2" xfId="1740" xr:uid="{00000000-0005-0000-0000-0000FC060000}"/>
    <cellStyle name="汇总 2 10 5 6 5" xfId="4846" xr:uid="{00000000-0005-0000-0000-00001E130000}"/>
    <cellStyle name="汇总 2 10 5 6 5 2" xfId="1980" xr:uid="{00000000-0005-0000-0000-0000EC070000}"/>
    <cellStyle name="汇总 2 10 5 6 6" xfId="4847" xr:uid="{00000000-0005-0000-0000-00001F130000}"/>
    <cellStyle name="汇总 2 10 5 7" xfId="3562" xr:uid="{00000000-0005-0000-0000-00001A0E0000}"/>
    <cellStyle name="汇总 2 10 5 7 2" xfId="897" xr:uid="{00000000-0005-0000-0000-0000B1030000}"/>
    <cellStyle name="汇总 2 10 5 7 2 2" xfId="1007" xr:uid="{00000000-0005-0000-0000-00001F040000}"/>
    <cellStyle name="汇总 2 10 5 7 3" xfId="4858" xr:uid="{00000000-0005-0000-0000-00002A130000}"/>
    <cellStyle name="汇总 2 10 5 7 3 2" xfId="1041" xr:uid="{00000000-0005-0000-0000-000041040000}"/>
    <cellStyle name="汇总 2 10 5 7 4" xfId="4864" xr:uid="{00000000-0005-0000-0000-000030130000}"/>
    <cellStyle name="汇总 2 10 5 7 4 2" xfId="3056" xr:uid="{00000000-0005-0000-0000-0000200C0000}"/>
    <cellStyle name="汇总 2 10 5 7 5" xfId="4871" xr:uid="{00000000-0005-0000-0000-000037130000}"/>
    <cellStyle name="汇总 2 10 5 7 5 2" xfId="3132" xr:uid="{00000000-0005-0000-0000-00006C0C0000}"/>
    <cellStyle name="汇总 2 10 5 7 6" xfId="4880" xr:uid="{00000000-0005-0000-0000-000040130000}"/>
    <cellStyle name="汇总 2 10 5 8" xfId="3574" xr:uid="{00000000-0005-0000-0000-0000260E0000}"/>
    <cellStyle name="汇总 2 10 5 8 2" xfId="931" xr:uid="{00000000-0005-0000-0000-0000D3030000}"/>
    <cellStyle name="汇总 2 10 5 8 2 2" xfId="4883" xr:uid="{00000000-0005-0000-0000-000043130000}"/>
    <cellStyle name="汇总 2 10 5 8 3" xfId="4890" xr:uid="{00000000-0005-0000-0000-00004A130000}"/>
    <cellStyle name="汇总 2 10 5 8 3 2" xfId="4898" xr:uid="{00000000-0005-0000-0000-000052130000}"/>
    <cellStyle name="汇总 2 10 5 8 4" xfId="4902" xr:uid="{00000000-0005-0000-0000-000056130000}"/>
    <cellStyle name="汇总 2 10 5 8 4 2" xfId="4909" xr:uid="{00000000-0005-0000-0000-00005D130000}"/>
    <cellStyle name="汇总 2 10 5 8 5" xfId="3961" xr:uid="{00000000-0005-0000-0000-0000A90F0000}"/>
    <cellStyle name="汇总 2 10 5 9" xfId="1665" xr:uid="{00000000-0005-0000-0000-0000B1060000}"/>
    <cellStyle name="汇总 2 10 5 9 2" xfId="1315" xr:uid="{00000000-0005-0000-0000-000053050000}"/>
    <cellStyle name="汇总 2 10 6" xfId="4916" xr:uid="{00000000-0005-0000-0000-000064130000}"/>
    <cellStyle name="汇总 2 10 6 10" xfId="3922" xr:uid="{00000000-0005-0000-0000-0000820F0000}"/>
    <cellStyle name="汇总 2 10 6 10 2" xfId="4929" xr:uid="{00000000-0005-0000-0000-000071130000}"/>
    <cellStyle name="汇总 2 10 6 11" xfId="4944" xr:uid="{00000000-0005-0000-0000-000080130000}"/>
    <cellStyle name="汇总 2 10 6 11 2" xfId="4957" xr:uid="{00000000-0005-0000-0000-00008D130000}"/>
    <cellStyle name="汇总 2 10 6 12" xfId="4964" xr:uid="{00000000-0005-0000-0000-000094130000}"/>
    <cellStyle name="汇总 2 10 6 12 2" xfId="4975" xr:uid="{00000000-0005-0000-0000-00009F130000}"/>
    <cellStyle name="汇总 2 10 6 13" xfId="668" xr:uid="{00000000-0005-0000-0000-0000CC020000}"/>
    <cellStyle name="汇总 2 10 6 14" xfId="691" xr:uid="{00000000-0005-0000-0000-0000E3020000}"/>
    <cellStyle name="汇总 2 10 6 15" xfId="4981" xr:uid="{00000000-0005-0000-0000-0000A5130000}"/>
    <cellStyle name="汇总 2 10 6 16" xfId="4987" xr:uid="{00000000-0005-0000-0000-0000AB130000}"/>
    <cellStyle name="汇总 2 10 6 2" xfId="4995" xr:uid="{00000000-0005-0000-0000-0000B3130000}"/>
    <cellStyle name="汇总 2 10 6 2 2" xfId="5002" xr:uid="{00000000-0005-0000-0000-0000BA130000}"/>
    <cellStyle name="汇总 2 10 6 2 2 2" xfId="5005" xr:uid="{00000000-0005-0000-0000-0000BD130000}"/>
    <cellStyle name="汇总 2 10 6 2 3" xfId="5011" xr:uid="{00000000-0005-0000-0000-0000C3130000}"/>
    <cellStyle name="汇总 2 10 6 2 3 2" xfId="5013" xr:uid="{00000000-0005-0000-0000-0000C5130000}"/>
    <cellStyle name="汇总 2 10 6 2 4" xfId="5017" xr:uid="{00000000-0005-0000-0000-0000C9130000}"/>
    <cellStyle name="汇总 2 10 6 2 4 2" xfId="5021" xr:uid="{00000000-0005-0000-0000-0000CD130000}"/>
    <cellStyle name="汇总 2 10 6 2 5" xfId="5023" xr:uid="{00000000-0005-0000-0000-0000CF130000}"/>
    <cellStyle name="汇总 2 10 6 2 5 2" xfId="249" xr:uid="{00000000-0005-0000-0000-000011010000}"/>
    <cellStyle name="汇总 2 10 6 2 6" xfId="5027" xr:uid="{00000000-0005-0000-0000-0000D3130000}"/>
    <cellStyle name="汇总 2 10 6 2 7" xfId="4808" xr:uid="{00000000-0005-0000-0000-0000F8120000}"/>
    <cellStyle name="汇总 2 10 6 2 8" xfId="304" xr:uid="{00000000-0005-0000-0000-00004F010000}"/>
    <cellStyle name="汇总 2 10 6 2 9" xfId="5038" xr:uid="{00000000-0005-0000-0000-0000DE130000}"/>
    <cellStyle name="汇总 2 10 6 3" xfId="2012" xr:uid="{00000000-0005-0000-0000-00000C080000}"/>
    <cellStyle name="汇总 2 10 6 3 2" xfId="5043" xr:uid="{00000000-0005-0000-0000-0000E3130000}"/>
    <cellStyle name="汇总 2 10 6 3 2 2" xfId="3511" xr:uid="{00000000-0005-0000-0000-0000E70D0000}"/>
    <cellStyle name="汇总 2 10 6 3 3" xfId="5048" xr:uid="{00000000-0005-0000-0000-0000E8130000}"/>
    <cellStyle name="汇总 2 10 6 3 3 2" xfId="3537" xr:uid="{00000000-0005-0000-0000-0000010E0000}"/>
    <cellStyle name="汇总 2 10 6 3 4" xfId="2761" xr:uid="{00000000-0005-0000-0000-0000F90A0000}"/>
    <cellStyle name="汇总 2 10 6 3 4 2" xfId="5050" xr:uid="{00000000-0005-0000-0000-0000EA130000}"/>
    <cellStyle name="汇总 2 10 6 3 5" xfId="5052" xr:uid="{00000000-0005-0000-0000-0000EC130000}"/>
    <cellStyle name="汇总 2 10 6 3 5 2" xfId="5053" xr:uid="{00000000-0005-0000-0000-0000ED130000}"/>
    <cellStyle name="汇总 2 10 6 3 6" xfId="5055" xr:uid="{00000000-0005-0000-0000-0000EF130000}"/>
    <cellStyle name="汇总 2 10 6 4" xfId="4063" xr:uid="{00000000-0005-0000-0000-00000F100000}"/>
    <cellStyle name="汇总 2 10 6 4 2" xfId="4245" xr:uid="{00000000-0005-0000-0000-0000C5100000}"/>
    <cellStyle name="汇总 2 10 6 4 2 2" xfId="2244" xr:uid="{00000000-0005-0000-0000-0000F4080000}"/>
    <cellStyle name="汇总 2 10 6 4 3" xfId="2283" xr:uid="{00000000-0005-0000-0000-00001B090000}"/>
    <cellStyle name="汇总 2 10 6 4 3 2" xfId="5064" xr:uid="{00000000-0005-0000-0000-0000F8130000}"/>
    <cellStyle name="汇总 2 10 6 4 4" xfId="2779" xr:uid="{00000000-0005-0000-0000-00000B0B0000}"/>
    <cellStyle name="汇总 2 10 6 4 4 2" xfId="5070" xr:uid="{00000000-0005-0000-0000-0000FE130000}"/>
    <cellStyle name="汇总 2 10 6 4 5" xfId="5072" xr:uid="{00000000-0005-0000-0000-000000140000}"/>
    <cellStyle name="汇总 2 10 6 4 5 2" xfId="5077" xr:uid="{00000000-0005-0000-0000-000005140000}"/>
    <cellStyle name="汇总 2 10 6 4 6" xfId="5082" xr:uid="{00000000-0005-0000-0000-00000A140000}"/>
    <cellStyle name="汇总 2 10 6 5" xfId="1845" xr:uid="{00000000-0005-0000-0000-000065070000}"/>
    <cellStyle name="汇总 2 10 6 5 2" xfId="1875" xr:uid="{00000000-0005-0000-0000-000083070000}"/>
    <cellStyle name="汇总 2 10 6 5 2 2" xfId="5094" xr:uid="{00000000-0005-0000-0000-000016140000}"/>
    <cellStyle name="汇总 2 10 6 5 3" xfId="5100" xr:uid="{00000000-0005-0000-0000-00001C140000}"/>
    <cellStyle name="汇总 2 10 6 5 3 2" xfId="5111" xr:uid="{00000000-0005-0000-0000-000027140000}"/>
    <cellStyle name="汇总 2 10 6 5 4" xfId="34" xr:uid="{00000000-0005-0000-0000-000026000000}"/>
    <cellStyle name="汇总 2 10 6 5 4 2" xfId="5120" xr:uid="{00000000-0005-0000-0000-000030140000}"/>
    <cellStyle name="汇总 2 10 6 5 5" xfId="5130" xr:uid="{00000000-0005-0000-0000-00003A140000}"/>
    <cellStyle name="汇总 2 10 6 5 5 2" xfId="5146" xr:uid="{00000000-0005-0000-0000-00004A140000}"/>
    <cellStyle name="汇总 2 10 6 5 6" xfId="1076" xr:uid="{00000000-0005-0000-0000-000064040000}"/>
    <cellStyle name="汇总 2 10 6 6" xfId="1914" xr:uid="{00000000-0005-0000-0000-0000AA070000}"/>
    <cellStyle name="汇总 2 10 6 6 2" xfId="4254" xr:uid="{00000000-0005-0000-0000-0000CE100000}"/>
    <cellStyle name="汇总 2 10 6 6 2 2" xfId="3159" xr:uid="{00000000-0005-0000-0000-0000870C0000}"/>
    <cellStyle name="汇总 2 10 6 6 3" xfId="5153" xr:uid="{00000000-0005-0000-0000-000051140000}"/>
    <cellStyle name="汇总 2 10 6 6 3 2" xfId="3292" xr:uid="{00000000-0005-0000-0000-00000C0D0000}"/>
    <cellStyle name="汇总 2 10 6 6 4" xfId="5155" xr:uid="{00000000-0005-0000-0000-000053140000}"/>
    <cellStyle name="汇总 2 10 6 6 4 2" xfId="3372" xr:uid="{00000000-0005-0000-0000-00005C0D0000}"/>
    <cellStyle name="汇总 2 10 6 6 5" xfId="5161" xr:uid="{00000000-0005-0000-0000-000059140000}"/>
    <cellStyle name="汇总 2 10 6 6 5 2" xfId="3402" xr:uid="{00000000-0005-0000-0000-00007A0D0000}"/>
    <cellStyle name="汇总 2 10 6 6 6" xfId="1109" xr:uid="{00000000-0005-0000-0000-000085040000}"/>
    <cellStyle name="汇总 2 10 6 7" xfId="1933" xr:uid="{00000000-0005-0000-0000-0000BD070000}"/>
    <cellStyle name="汇总 2 10 6 7 2" xfId="4266" xr:uid="{00000000-0005-0000-0000-0000DA100000}"/>
    <cellStyle name="汇总 2 10 6 7 2 2" xfId="5165" xr:uid="{00000000-0005-0000-0000-00005D140000}"/>
    <cellStyle name="汇总 2 10 6 7 3" xfId="5167" xr:uid="{00000000-0005-0000-0000-00005F140000}"/>
    <cellStyle name="汇总 2 10 6 7 3 2" xfId="5181" xr:uid="{00000000-0005-0000-0000-00006D140000}"/>
    <cellStyle name="汇总 2 10 6 7 4" xfId="5182" xr:uid="{00000000-0005-0000-0000-00006E140000}"/>
    <cellStyle name="汇总 2 10 6 7 4 2" xfId="5189" xr:uid="{00000000-0005-0000-0000-000075140000}"/>
    <cellStyle name="汇总 2 10 6 7 5" xfId="5195" xr:uid="{00000000-0005-0000-0000-00007B140000}"/>
    <cellStyle name="汇总 2 10 6 7 5 2" xfId="5209" xr:uid="{00000000-0005-0000-0000-000089140000}"/>
    <cellStyle name="汇总 2 10 6 7 6" xfId="1133" xr:uid="{00000000-0005-0000-0000-00009D040000}"/>
    <cellStyle name="汇总 2 10 6 8" xfId="1949" xr:uid="{00000000-0005-0000-0000-0000CD070000}"/>
    <cellStyle name="汇总 2 10 6 8 2" xfId="3725" xr:uid="{00000000-0005-0000-0000-0000BD0E0000}"/>
    <cellStyle name="汇总 2 10 6 8 2 2" xfId="3735" xr:uid="{00000000-0005-0000-0000-0000C70E0000}"/>
    <cellStyle name="汇总 2 10 6 8 3" xfId="3807" xr:uid="{00000000-0005-0000-0000-00000F0F0000}"/>
    <cellStyle name="汇总 2 10 6 8 3 2" xfId="637" xr:uid="{00000000-0005-0000-0000-0000AD020000}"/>
    <cellStyle name="汇总 2 10 6 8 4" xfId="3885" xr:uid="{00000000-0005-0000-0000-00005D0F0000}"/>
    <cellStyle name="汇总 2 10 6 8 4 2" xfId="3890" xr:uid="{00000000-0005-0000-0000-0000620F0000}"/>
    <cellStyle name="汇总 2 10 6 8 5" xfId="3931" xr:uid="{00000000-0005-0000-0000-00008B0F0000}"/>
    <cellStyle name="汇总 2 10 6 9" xfId="1961" xr:uid="{00000000-0005-0000-0000-0000D9070000}"/>
    <cellStyle name="汇总 2 10 6 9 2" xfId="4081" xr:uid="{00000000-0005-0000-0000-000021100000}"/>
    <cellStyle name="汇总 2 10 7" xfId="5218" xr:uid="{00000000-0005-0000-0000-000092140000}"/>
    <cellStyle name="汇总 2 10 7 10" xfId="425" xr:uid="{00000000-0005-0000-0000-0000D1010000}"/>
    <cellStyle name="汇总 2 10 7 10 2" xfId="4551" xr:uid="{00000000-0005-0000-0000-0000F7110000}"/>
    <cellStyle name="汇总 2 10 7 11" xfId="477" xr:uid="{00000000-0005-0000-0000-000008020000}"/>
    <cellStyle name="汇总 2 10 7 11 2" xfId="4577" xr:uid="{00000000-0005-0000-0000-000011120000}"/>
    <cellStyle name="汇总 2 10 7 12" xfId="521" xr:uid="{00000000-0005-0000-0000-000037020000}"/>
    <cellStyle name="汇总 2 10 7 12 2" xfId="5232" xr:uid="{00000000-0005-0000-0000-0000A0140000}"/>
    <cellStyle name="汇总 2 10 7 13" xfId="5249" xr:uid="{00000000-0005-0000-0000-0000B1140000}"/>
    <cellStyle name="汇总 2 10 7 14" xfId="3015" xr:uid="{00000000-0005-0000-0000-0000F70B0000}"/>
    <cellStyle name="汇总 2 10 7 15" xfId="3030" xr:uid="{00000000-0005-0000-0000-0000060C0000}"/>
    <cellStyle name="汇总 2 10 7 16" xfId="3040" xr:uid="{00000000-0005-0000-0000-0000100C0000}"/>
    <cellStyle name="汇总 2 10 7 2" xfId="5262" xr:uid="{00000000-0005-0000-0000-0000BE140000}"/>
    <cellStyle name="汇总 2 10 7 2 2" xfId="3661" xr:uid="{00000000-0005-0000-0000-00007D0E0000}"/>
    <cellStyle name="汇总 2 10 7 2 2 2" xfId="3675" xr:uid="{00000000-0005-0000-0000-00008B0E0000}"/>
    <cellStyle name="汇总 2 10 7 2 3" xfId="3681" xr:uid="{00000000-0005-0000-0000-0000910E0000}"/>
    <cellStyle name="汇总 2 10 7 2 3 2" xfId="5264" xr:uid="{00000000-0005-0000-0000-0000C0140000}"/>
    <cellStyle name="汇总 2 10 7 2 4" xfId="5270" xr:uid="{00000000-0005-0000-0000-0000C6140000}"/>
    <cellStyle name="汇总 2 10 7 2 4 2" xfId="5272" xr:uid="{00000000-0005-0000-0000-0000C8140000}"/>
    <cellStyle name="汇总 2 10 7 2 5" xfId="5276" xr:uid="{00000000-0005-0000-0000-0000CC140000}"/>
    <cellStyle name="汇总 2 10 7 2 5 2" xfId="5278" xr:uid="{00000000-0005-0000-0000-0000CE140000}"/>
    <cellStyle name="汇总 2 10 7 2 6" xfId="5283" xr:uid="{00000000-0005-0000-0000-0000D3140000}"/>
    <cellStyle name="汇总 2 10 7 2 7" xfId="4394" xr:uid="{00000000-0005-0000-0000-00005A110000}"/>
    <cellStyle name="汇总 2 10 7 2 8" xfId="89" xr:uid="{00000000-0005-0000-0000-000060000000}"/>
    <cellStyle name="汇总 2 10 7 2 9" xfId="2388" xr:uid="{00000000-0005-0000-0000-000084090000}"/>
    <cellStyle name="汇总 2 10 7 3" xfId="1421" xr:uid="{00000000-0005-0000-0000-0000BD050000}"/>
    <cellStyle name="汇总 2 10 7 3 2" xfId="1509" xr:uid="{00000000-0005-0000-0000-000015060000}"/>
    <cellStyle name="汇总 2 10 7 3 2 2" xfId="3714" xr:uid="{00000000-0005-0000-0000-0000B20E0000}"/>
    <cellStyle name="汇总 2 10 7 3 3" xfId="1526" xr:uid="{00000000-0005-0000-0000-000026060000}"/>
    <cellStyle name="汇总 2 10 7 3 3 2" xfId="5292" xr:uid="{00000000-0005-0000-0000-0000DC140000}"/>
    <cellStyle name="汇总 2 10 7 3 4" xfId="5311" xr:uid="{00000000-0005-0000-0000-0000EF140000}"/>
    <cellStyle name="汇总 2 10 7 3 4 2" xfId="5312" xr:uid="{00000000-0005-0000-0000-0000F0140000}"/>
    <cellStyle name="汇总 2 10 7 3 5" xfId="15" xr:uid="{00000000-0005-0000-0000-000011000000}"/>
    <cellStyle name="汇总 2 10 7 3 5 2" xfId="2346" xr:uid="{00000000-0005-0000-0000-00005A090000}"/>
    <cellStyle name="汇总 2 10 7 3 6" xfId="611" xr:uid="{00000000-0005-0000-0000-000093020000}"/>
    <cellStyle name="汇总 2 10 7 4" xfId="4092" xr:uid="{00000000-0005-0000-0000-00002C100000}"/>
    <cellStyle name="汇总 2 10 7 4 2" xfId="3766" xr:uid="{00000000-0005-0000-0000-0000E60E0000}"/>
    <cellStyle name="汇总 2 10 7 4 2 2" xfId="3781" xr:uid="{00000000-0005-0000-0000-0000F50E0000}"/>
    <cellStyle name="汇总 2 10 7 4 3" xfId="3789" xr:uid="{00000000-0005-0000-0000-0000FD0E0000}"/>
    <cellStyle name="汇总 2 10 7 4 3 2" xfId="5316" xr:uid="{00000000-0005-0000-0000-0000F4140000}"/>
    <cellStyle name="汇总 2 10 7 4 4" xfId="5319" xr:uid="{00000000-0005-0000-0000-0000F7140000}"/>
    <cellStyle name="汇总 2 10 7 4 4 2" xfId="5320" xr:uid="{00000000-0005-0000-0000-0000F8140000}"/>
    <cellStyle name="汇总 2 10 7 4 5" xfId="655" xr:uid="{00000000-0005-0000-0000-0000BF020000}"/>
    <cellStyle name="汇总 2 10 7 4 5 2" xfId="2400" xr:uid="{00000000-0005-0000-0000-000090090000}"/>
    <cellStyle name="汇总 2 10 7 4 6" xfId="572" xr:uid="{00000000-0005-0000-0000-00006C020000}"/>
    <cellStyle name="汇总 2 10 7 5" xfId="4275" xr:uid="{00000000-0005-0000-0000-0000E3100000}"/>
    <cellStyle name="汇总 2 10 7 5 2" xfId="3838" xr:uid="{00000000-0005-0000-0000-00002E0F0000}"/>
    <cellStyle name="汇总 2 10 7 5 2 2" xfId="3850" xr:uid="{00000000-0005-0000-0000-00003A0F0000}"/>
    <cellStyle name="汇总 2 10 7 5 3" xfId="3858" xr:uid="{00000000-0005-0000-0000-0000420F0000}"/>
    <cellStyle name="汇总 2 10 7 5 3 2" xfId="1579" xr:uid="{00000000-0005-0000-0000-00005B060000}"/>
    <cellStyle name="汇总 2 10 7 5 4" xfId="5323" xr:uid="{00000000-0005-0000-0000-0000FB140000}"/>
    <cellStyle name="汇总 2 10 7 5 4 2" xfId="1462" xr:uid="{00000000-0005-0000-0000-0000E6050000}"/>
    <cellStyle name="汇总 2 10 7 5 5" xfId="658" xr:uid="{00000000-0005-0000-0000-0000C2020000}"/>
    <cellStyle name="汇总 2 10 7 5 5 2" xfId="5334" xr:uid="{00000000-0005-0000-0000-000006150000}"/>
    <cellStyle name="汇总 2 10 7 5 6" xfId="319" xr:uid="{00000000-0005-0000-0000-00005E010000}"/>
    <cellStyle name="汇总 2 10 7 6" xfId="2537" xr:uid="{00000000-0005-0000-0000-0000190A0000}"/>
    <cellStyle name="汇总 2 10 7 6 2" xfId="3911" xr:uid="{00000000-0005-0000-0000-0000770F0000}"/>
    <cellStyle name="汇总 2 10 7 6 2 2" xfId="4919" xr:uid="{00000000-0005-0000-0000-000067130000}"/>
    <cellStyle name="汇总 2 10 7 6 3" xfId="4938" xr:uid="{00000000-0005-0000-0000-00007A130000}"/>
    <cellStyle name="汇总 2 10 7 6 3 2" xfId="4951" xr:uid="{00000000-0005-0000-0000-000087130000}"/>
    <cellStyle name="汇总 2 10 7 6 4" xfId="4961" xr:uid="{00000000-0005-0000-0000-000091130000}"/>
    <cellStyle name="汇总 2 10 7 6 4 2" xfId="4970" xr:uid="{00000000-0005-0000-0000-00009A130000}"/>
    <cellStyle name="汇总 2 10 7 6 5" xfId="673" xr:uid="{00000000-0005-0000-0000-0000D1020000}"/>
    <cellStyle name="汇总 2 10 7 6 5 2" xfId="5340" xr:uid="{00000000-0005-0000-0000-00000C150000}"/>
    <cellStyle name="汇总 2 10 7 6 6" xfId="694" xr:uid="{00000000-0005-0000-0000-0000E6020000}"/>
    <cellStyle name="汇总 2 10 7 7" xfId="4287" xr:uid="{00000000-0005-0000-0000-0000EF100000}"/>
    <cellStyle name="汇总 2 10 7 7 2" xfId="1888" xr:uid="{00000000-0005-0000-0000-000090070000}"/>
    <cellStyle name="汇总 2 10 7 7 2 2" xfId="5355" xr:uid="{00000000-0005-0000-0000-00001B150000}"/>
    <cellStyle name="汇总 2 10 7 7 3" xfId="54" xr:uid="{00000000-0005-0000-0000-00003B000000}"/>
    <cellStyle name="汇总 2 10 7 7 3 2" xfId="5357" xr:uid="{00000000-0005-0000-0000-00001D150000}"/>
    <cellStyle name="汇总 2 10 7 7 4" xfId="1907" xr:uid="{00000000-0005-0000-0000-0000A3070000}"/>
    <cellStyle name="汇总 2 10 7 7 4 2" xfId="5360" xr:uid="{00000000-0005-0000-0000-000020150000}"/>
    <cellStyle name="汇总 2 10 7 7 5" xfId="729" xr:uid="{00000000-0005-0000-0000-000009030000}"/>
    <cellStyle name="汇总 2 10 7 7 5 2" xfId="5373" xr:uid="{00000000-0005-0000-0000-00002D150000}"/>
    <cellStyle name="汇总 2 10 7 7 6" xfId="552" xr:uid="{00000000-0005-0000-0000-000058020000}"/>
    <cellStyle name="汇总 2 10 7 8" xfId="4300" xr:uid="{00000000-0005-0000-0000-0000FC100000}"/>
    <cellStyle name="汇总 2 10 7 8 2" xfId="5381" xr:uid="{00000000-0005-0000-0000-000035150000}"/>
    <cellStyle name="汇总 2 10 7 8 2 2" xfId="5388" xr:uid="{00000000-0005-0000-0000-00003C150000}"/>
    <cellStyle name="汇总 2 10 7 8 3" xfId="5396" xr:uid="{00000000-0005-0000-0000-000044150000}"/>
    <cellStyle name="汇总 2 10 7 8 3 2" xfId="3316" xr:uid="{00000000-0005-0000-0000-0000240D0000}"/>
    <cellStyle name="汇总 2 10 7 8 4" xfId="5406" xr:uid="{00000000-0005-0000-0000-00004E150000}"/>
    <cellStyle name="汇总 2 10 7 8 4 2" xfId="5409" xr:uid="{00000000-0005-0000-0000-000051150000}"/>
    <cellStyle name="汇总 2 10 7 8 5" xfId="748" xr:uid="{00000000-0005-0000-0000-00001C030000}"/>
    <cellStyle name="汇总 2 10 7 9" xfId="5411" xr:uid="{00000000-0005-0000-0000-000053150000}"/>
    <cellStyle name="汇总 2 10 7 9 2" xfId="4453" xr:uid="{00000000-0005-0000-0000-000095110000}"/>
    <cellStyle name="汇总 2 10 8" xfId="5417" xr:uid="{00000000-0005-0000-0000-000059150000}"/>
    <cellStyle name="汇总 2 10 8 10" xfId="5418" xr:uid="{00000000-0005-0000-0000-00005A150000}"/>
    <cellStyle name="汇总 2 10 8 10 2" xfId="5419" xr:uid="{00000000-0005-0000-0000-00005B150000}"/>
    <cellStyle name="汇总 2 10 8 11" xfId="5429" xr:uid="{00000000-0005-0000-0000-000065150000}"/>
    <cellStyle name="汇总 2 10 8 11 2" xfId="5437" xr:uid="{00000000-0005-0000-0000-00006D150000}"/>
    <cellStyle name="汇总 2 10 8 12" xfId="5449" xr:uid="{00000000-0005-0000-0000-000079150000}"/>
    <cellStyle name="汇总 2 10 8 12 2" xfId="5456" xr:uid="{00000000-0005-0000-0000-000080150000}"/>
    <cellStyle name="汇总 2 10 8 13" xfId="5463" xr:uid="{00000000-0005-0000-0000-000087150000}"/>
    <cellStyle name="汇总 2 10 8 14" xfId="3230" xr:uid="{00000000-0005-0000-0000-0000CE0C0000}"/>
    <cellStyle name="汇总 2 10 8 15" xfId="5479" xr:uid="{00000000-0005-0000-0000-000097150000}"/>
    <cellStyle name="汇总 2 10 8 16" xfId="5487" xr:uid="{00000000-0005-0000-0000-00009F150000}"/>
    <cellStyle name="汇总 2 10 8 2" xfId="5490" xr:uid="{00000000-0005-0000-0000-0000A2150000}"/>
    <cellStyle name="汇总 2 10 8 2 2" xfId="3566" xr:uid="{00000000-0005-0000-0000-00001E0E0000}"/>
    <cellStyle name="汇总 2 10 8 2 2 2" xfId="890" xr:uid="{00000000-0005-0000-0000-0000AA030000}"/>
    <cellStyle name="汇总 2 10 8 2 3" xfId="3577" xr:uid="{00000000-0005-0000-0000-0000290E0000}"/>
    <cellStyle name="汇总 2 10 8 2 3 2" xfId="925" xr:uid="{00000000-0005-0000-0000-0000CD030000}"/>
    <cellStyle name="汇总 2 10 8 2 4" xfId="1663" xr:uid="{00000000-0005-0000-0000-0000AF060000}"/>
    <cellStyle name="汇总 2 10 8 2 4 2" xfId="1318" xr:uid="{00000000-0005-0000-0000-000056050000}"/>
    <cellStyle name="汇总 2 10 8 2 5" xfId="1690" xr:uid="{00000000-0005-0000-0000-0000CA060000}"/>
    <cellStyle name="汇总 2 10 8 2 5 2" xfId="2225" xr:uid="{00000000-0005-0000-0000-0000E1080000}"/>
    <cellStyle name="汇总 2 10 8 2 6" xfId="1713" xr:uid="{00000000-0005-0000-0000-0000E1060000}"/>
    <cellStyle name="汇总 2 10 8 2 7" xfId="1727" xr:uid="{00000000-0005-0000-0000-0000EF060000}"/>
    <cellStyle name="汇总 2 10 8 2 8" xfId="1755" xr:uid="{00000000-0005-0000-0000-00000B070000}"/>
    <cellStyle name="汇总 2 10 8 2 9" xfId="1793" xr:uid="{00000000-0005-0000-0000-000031070000}"/>
    <cellStyle name="汇总 2 10 8 3" xfId="5493" xr:uid="{00000000-0005-0000-0000-0000A5150000}"/>
    <cellStyle name="汇总 2 10 8 3 2" xfId="1936" xr:uid="{00000000-0005-0000-0000-0000C0070000}"/>
    <cellStyle name="汇总 2 10 8 3 2 2" xfId="4261" xr:uid="{00000000-0005-0000-0000-0000D5100000}"/>
    <cellStyle name="汇总 2 10 8 3 3" xfId="1952" xr:uid="{00000000-0005-0000-0000-0000D0070000}"/>
    <cellStyle name="汇总 2 10 8 3 3 2" xfId="3727" xr:uid="{00000000-0005-0000-0000-0000BF0E0000}"/>
    <cellStyle name="汇总 2 10 8 3 4" xfId="1963" xr:uid="{00000000-0005-0000-0000-0000DB070000}"/>
    <cellStyle name="汇总 2 10 8 3 4 2" xfId="4079" xr:uid="{00000000-0005-0000-0000-00001F100000}"/>
    <cellStyle name="汇总 2 10 8 3 5" xfId="1268" xr:uid="{00000000-0005-0000-0000-000024050000}"/>
    <cellStyle name="汇总 2 10 8 3 5 2" xfId="2500" xr:uid="{00000000-0005-0000-0000-0000F4090000}"/>
    <cellStyle name="汇总 2 10 8 3 6" xfId="1970" xr:uid="{00000000-0005-0000-0000-0000E2070000}"/>
    <cellStyle name="汇总 2 10 8 4" xfId="4112" xr:uid="{00000000-0005-0000-0000-000040100000}"/>
    <cellStyle name="汇总 2 10 8 4 2" xfId="4290" xr:uid="{00000000-0005-0000-0000-0000F2100000}"/>
    <cellStyle name="汇总 2 10 8 4 2 2" xfId="1892" xr:uid="{00000000-0005-0000-0000-000094070000}"/>
    <cellStyle name="汇总 2 10 8 4 3" xfId="4303" xr:uid="{00000000-0005-0000-0000-0000FF100000}"/>
    <cellStyle name="汇总 2 10 8 4 3 2" xfId="5383" xr:uid="{00000000-0005-0000-0000-000037150000}"/>
    <cellStyle name="汇总 2 10 8 4 4" xfId="5413" xr:uid="{00000000-0005-0000-0000-000055150000}"/>
    <cellStyle name="汇总 2 10 8 4 4 2" xfId="4455" xr:uid="{00000000-0005-0000-0000-000097110000}"/>
    <cellStyle name="汇总 2 10 8 4 5" xfId="5495" xr:uid="{00000000-0005-0000-0000-0000A7150000}"/>
    <cellStyle name="汇总 2 10 8 4 5 2" xfId="2567" xr:uid="{00000000-0005-0000-0000-0000370A0000}"/>
    <cellStyle name="汇总 2 10 8 4 6" xfId="5497" xr:uid="{00000000-0005-0000-0000-0000A9150000}"/>
    <cellStyle name="汇总 2 10 8 5" xfId="5503" xr:uid="{00000000-0005-0000-0000-0000AF150000}"/>
    <cellStyle name="汇总 2 10 8 5 2" xfId="5506" xr:uid="{00000000-0005-0000-0000-0000B2150000}"/>
    <cellStyle name="汇总 2 10 8 5 2 2" xfId="3969" xr:uid="{00000000-0005-0000-0000-0000B10F0000}"/>
    <cellStyle name="汇总 2 10 8 5 3" xfId="5514" xr:uid="{00000000-0005-0000-0000-0000BA150000}"/>
    <cellStyle name="汇总 2 10 8 5 3 2" xfId="5518" xr:uid="{00000000-0005-0000-0000-0000BE150000}"/>
    <cellStyle name="汇总 2 10 8 5 4" xfId="5521" xr:uid="{00000000-0005-0000-0000-0000C1150000}"/>
    <cellStyle name="汇总 2 10 8 5 4 2" xfId="4731" xr:uid="{00000000-0005-0000-0000-0000AB120000}"/>
    <cellStyle name="汇总 2 10 8 5 5" xfId="5527" xr:uid="{00000000-0005-0000-0000-0000C7150000}"/>
    <cellStyle name="汇总 2 10 8 5 5 2" xfId="2653" xr:uid="{00000000-0005-0000-0000-00008D0A0000}"/>
    <cellStyle name="汇总 2 10 8 5 6" xfId="5533" xr:uid="{00000000-0005-0000-0000-0000CD150000}"/>
    <cellStyle name="汇总 2 10 8 6" xfId="5540" xr:uid="{00000000-0005-0000-0000-0000D4150000}"/>
    <cellStyle name="汇总 2 10 8 6 2" xfId="5544" xr:uid="{00000000-0005-0000-0000-0000D8150000}"/>
    <cellStyle name="汇总 2 10 8 6 2 2" xfId="5422" xr:uid="{00000000-0005-0000-0000-00005E150000}"/>
    <cellStyle name="汇总 2 10 8 6 3" xfId="5552" xr:uid="{00000000-0005-0000-0000-0000E0150000}"/>
    <cellStyle name="汇总 2 10 8 6 3 2" xfId="5555" xr:uid="{00000000-0005-0000-0000-0000E3150000}"/>
    <cellStyle name="汇总 2 10 8 6 4" xfId="5562" xr:uid="{00000000-0005-0000-0000-0000EA150000}"/>
    <cellStyle name="汇总 2 10 8 6 4 2" xfId="5015" xr:uid="{00000000-0005-0000-0000-0000C7130000}"/>
    <cellStyle name="汇总 2 10 8 6 5" xfId="5571" xr:uid="{00000000-0005-0000-0000-0000F3150000}"/>
    <cellStyle name="汇总 2 10 8 6 5 2" xfId="2746" xr:uid="{00000000-0005-0000-0000-0000EA0A0000}"/>
    <cellStyle name="汇总 2 10 8 6 6" xfId="5580" xr:uid="{00000000-0005-0000-0000-0000FC150000}"/>
    <cellStyle name="汇总 2 10 8 7" xfId="5510" xr:uid="{00000000-0005-0000-0000-0000B6150000}"/>
    <cellStyle name="汇总 2 10 8 7 2" xfId="3965" xr:uid="{00000000-0005-0000-0000-0000AD0F0000}"/>
    <cellStyle name="汇总 2 10 8 7 2 2" xfId="1360" xr:uid="{00000000-0005-0000-0000-000080050000}"/>
    <cellStyle name="汇总 2 10 8 7 3" xfId="188" xr:uid="{00000000-0005-0000-0000-0000CB000000}"/>
    <cellStyle name="汇总 2 10 8 7 3 2" xfId="3985" xr:uid="{00000000-0005-0000-0000-0000C10F0000}"/>
    <cellStyle name="汇总 2 10 8 7 4" xfId="3989" xr:uid="{00000000-0005-0000-0000-0000C50F0000}"/>
    <cellStyle name="汇总 2 10 8 7 4 2" xfId="5266" xr:uid="{00000000-0005-0000-0000-0000C2140000}"/>
    <cellStyle name="汇总 2 10 8 7 5" xfId="2808" xr:uid="{00000000-0005-0000-0000-0000280B0000}"/>
    <cellStyle name="汇总 2 10 8 7 5 2" xfId="5306" xr:uid="{00000000-0005-0000-0000-0000EA140000}"/>
    <cellStyle name="汇总 2 10 8 7 6" xfId="3997" xr:uid="{00000000-0005-0000-0000-0000CD0F0000}"/>
    <cellStyle name="汇总 2 10 8 8" xfId="5517" xr:uid="{00000000-0005-0000-0000-0000BD150000}"/>
    <cellStyle name="汇总 2 10 8 8 2" xfId="5519" xr:uid="{00000000-0005-0000-0000-0000BF150000}"/>
    <cellStyle name="汇总 2 10 8 8 2 2" xfId="4131" xr:uid="{00000000-0005-0000-0000-000053100000}"/>
    <cellStyle name="汇总 2 10 8 8 3" xfId="5587" xr:uid="{00000000-0005-0000-0000-000003160000}"/>
    <cellStyle name="汇总 2 10 8 8 3 2" xfId="4686" xr:uid="{00000000-0005-0000-0000-00007E120000}"/>
    <cellStyle name="汇总 2 10 8 8 4" xfId="5591" xr:uid="{00000000-0005-0000-0000-000007160000}"/>
    <cellStyle name="汇总 2 10 8 8 4 2" xfId="1675" xr:uid="{00000000-0005-0000-0000-0000BB060000}"/>
    <cellStyle name="汇总 2 10 8 8 5" xfId="5597" xr:uid="{00000000-0005-0000-0000-00000D160000}"/>
    <cellStyle name="汇总 2 10 8 9" xfId="5522" xr:uid="{00000000-0005-0000-0000-0000C2150000}"/>
    <cellStyle name="汇总 2 10 8 9 2" xfId="4732" xr:uid="{00000000-0005-0000-0000-0000AC120000}"/>
    <cellStyle name="汇总 2 10 9" xfId="5600" xr:uid="{00000000-0005-0000-0000-000010160000}"/>
    <cellStyle name="汇总 2 10 9 10" xfId="5103" xr:uid="{00000000-0005-0000-0000-00001F140000}"/>
    <cellStyle name="汇总 2 10 9 10 2" xfId="5114" xr:uid="{00000000-0005-0000-0000-00002A140000}"/>
    <cellStyle name="汇总 2 10 9 11" xfId="36" xr:uid="{00000000-0005-0000-0000-000028000000}"/>
    <cellStyle name="汇总 2 10 9 11 2" xfId="5122" xr:uid="{00000000-0005-0000-0000-000032140000}"/>
    <cellStyle name="汇总 2 10 9 12" xfId="5133" xr:uid="{00000000-0005-0000-0000-00003D140000}"/>
    <cellStyle name="汇总 2 10 9 12 2" xfId="5149" xr:uid="{00000000-0005-0000-0000-00004D140000}"/>
    <cellStyle name="汇总 2 10 9 13" xfId="1079" xr:uid="{00000000-0005-0000-0000-000067040000}"/>
    <cellStyle name="汇总 2 10 9 14" xfId="5612" xr:uid="{00000000-0005-0000-0000-00001C160000}"/>
    <cellStyle name="汇总 2 10 9 15" xfId="2165" xr:uid="{00000000-0005-0000-0000-0000A5080000}"/>
    <cellStyle name="汇总 2 10 9 16" xfId="5621" xr:uid="{00000000-0005-0000-0000-000025160000}"/>
    <cellStyle name="汇总 2 10 9 2" xfId="5624" xr:uid="{00000000-0005-0000-0000-000028160000}"/>
    <cellStyle name="汇总 2 10 9 2 2" xfId="471" xr:uid="{00000000-0005-0000-0000-000002020000}"/>
    <cellStyle name="汇总 2 10 9 2 2 2" xfId="4564" xr:uid="{00000000-0005-0000-0000-000004120000}"/>
    <cellStyle name="汇总 2 10 9 2 3" xfId="518" xr:uid="{00000000-0005-0000-0000-000034020000}"/>
    <cellStyle name="汇总 2 10 9 2 3 2" xfId="5223" xr:uid="{00000000-0005-0000-0000-000097140000}"/>
    <cellStyle name="汇总 2 10 9 2 4" xfId="5243" xr:uid="{00000000-0005-0000-0000-0000AB140000}"/>
    <cellStyle name="汇总 2 10 9 2 4 2" xfId="5630" xr:uid="{00000000-0005-0000-0000-00002E160000}"/>
    <cellStyle name="汇总 2 10 9 2 5" xfId="3005" xr:uid="{00000000-0005-0000-0000-0000ED0B0000}"/>
    <cellStyle name="汇总 2 10 9 2 5 2" xfId="5644" xr:uid="{00000000-0005-0000-0000-00003C160000}"/>
    <cellStyle name="汇总 2 10 9 2 6" xfId="3026" xr:uid="{00000000-0005-0000-0000-0000020C0000}"/>
    <cellStyle name="汇总 2 10 9 2 7" xfId="3036" xr:uid="{00000000-0005-0000-0000-00000C0C0000}"/>
    <cellStyle name="汇总 2 10 9 2 8" xfId="3074" xr:uid="{00000000-0005-0000-0000-0000320C0000}"/>
    <cellStyle name="汇总 2 10 9 2 9" xfId="5648" xr:uid="{00000000-0005-0000-0000-000040160000}"/>
    <cellStyle name="汇总 2 10 9 3" xfId="5650" xr:uid="{00000000-0005-0000-0000-000042160000}"/>
    <cellStyle name="汇总 2 10 9 3 2" xfId="5653" xr:uid="{00000000-0005-0000-0000-000045160000}"/>
    <cellStyle name="汇总 2 10 9 3 2 2" xfId="5667" xr:uid="{00000000-0005-0000-0000-000053160000}"/>
    <cellStyle name="汇总 2 10 9 3 3" xfId="5675" xr:uid="{00000000-0005-0000-0000-00005B160000}"/>
    <cellStyle name="汇总 2 10 9 3 3 2" xfId="5687" xr:uid="{00000000-0005-0000-0000-000067160000}"/>
    <cellStyle name="汇总 2 10 9 3 4" xfId="5693" xr:uid="{00000000-0005-0000-0000-00006D160000}"/>
    <cellStyle name="汇总 2 10 9 3 4 2" xfId="5705" xr:uid="{00000000-0005-0000-0000-000079160000}"/>
    <cellStyle name="汇总 2 10 9 3 5" xfId="5718" xr:uid="{00000000-0005-0000-0000-000086160000}"/>
    <cellStyle name="汇总 2 10 9 3 5 2" xfId="5729" xr:uid="{00000000-0005-0000-0000-000091160000}"/>
    <cellStyle name="汇总 2 10 9 3 6" xfId="5735" xr:uid="{00000000-0005-0000-0000-000097160000}"/>
    <cellStyle name="汇总 2 10 9 4" xfId="5744" xr:uid="{00000000-0005-0000-0000-0000A0160000}"/>
    <cellStyle name="汇总 2 10 9 4 2" xfId="5750" xr:uid="{00000000-0005-0000-0000-0000A6160000}"/>
    <cellStyle name="汇总 2 10 9 4 2 2" xfId="5761" xr:uid="{00000000-0005-0000-0000-0000B1160000}"/>
    <cellStyle name="汇总 2 10 9 4 3" xfId="5771" xr:uid="{00000000-0005-0000-0000-0000BB160000}"/>
    <cellStyle name="汇总 2 10 9 4 3 2" xfId="293" xr:uid="{00000000-0005-0000-0000-000041010000}"/>
    <cellStyle name="汇总 2 10 9 4 4" xfId="5781" xr:uid="{00000000-0005-0000-0000-0000C5160000}"/>
    <cellStyle name="汇总 2 10 9 4 4 2" xfId="5786" xr:uid="{00000000-0005-0000-0000-0000CA160000}"/>
    <cellStyle name="汇总 2 10 9 4 5" xfId="5804" xr:uid="{00000000-0005-0000-0000-0000DC160000}"/>
    <cellStyle name="汇总 2 10 9 4 5 2" xfId="5809" xr:uid="{00000000-0005-0000-0000-0000E1160000}"/>
    <cellStyle name="汇总 2 10 9 4 6" xfId="5813" xr:uid="{00000000-0005-0000-0000-0000E5160000}"/>
    <cellStyle name="汇总 2 10 9 5" xfId="5819" xr:uid="{00000000-0005-0000-0000-0000EB160000}"/>
    <cellStyle name="汇总 2 10 9 5 2" xfId="5830" xr:uid="{00000000-0005-0000-0000-0000F6160000}"/>
    <cellStyle name="汇总 2 10 9 5 2 2" xfId="5843" xr:uid="{00000000-0005-0000-0000-000003170000}"/>
    <cellStyle name="汇总 2 10 9 5 3" xfId="5858" xr:uid="{00000000-0005-0000-0000-000012170000}"/>
    <cellStyle name="汇总 2 10 9 5 3 2" xfId="5875" xr:uid="{00000000-0005-0000-0000-000023170000}"/>
    <cellStyle name="汇总 2 10 9 5 4" xfId="5889" xr:uid="{00000000-0005-0000-0000-000031170000}"/>
    <cellStyle name="汇总 2 10 9 5 4 2" xfId="5904" xr:uid="{00000000-0005-0000-0000-000040170000}"/>
    <cellStyle name="汇总 2 10 9 5 5" xfId="5929" xr:uid="{00000000-0005-0000-0000-000059170000}"/>
    <cellStyle name="汇总 2 10 9 5 5 2" xfId="5950" xr:uid="{00000000-0005-0000-0000-00006E170000}"/>
    <cellStyle name="汇总 2 10 9 5 6" xfId="5962" xr:uid="{00000000-0005-0000-0000-00007A170000}"/>
    <cellStyle name="汇总 2 10 9 6" xfId="5969" xr:uid="{00000000-0005-0000-0000-000081170000}"/>
    <cellStyle name="汇总 2 10 9 6 2" xfId="5978" xr:uid="{00000000-0005-0000-0000-00008A170000}"/>
    <cellStyle name="汇总 2 10 9 6 2 2" xfId="684" xr:uid="{00000000-0005-0000-0000-0000DC020000}"/>
    <cellStyle name="汇总 2 10 9 6 3" xfId="5991" xr:uid="{00000000-0005-0000-0000-000097170000}"/>
    <cellStyle name="汇总 2 10 9 6 3 2" xfId="6005" xr:uid="{00000000-0005-0000-0000-0000A5170000}"/>
    <cellStyle name="汇总 2 10 9 6 4" xfId="6010" xr:uid="{00000000-0005-0000-0000-0000AA170000}"/>
    <cellStyle name="汇总 2 10 9 6 4 2" xfId="6019" xr:uid="{00000000-0005-0000-0000-0000B3170000}"/>
    <cellStyle name="汇总 2 10 9 6 5" xfId="6033" xr:uid="{00000000-0005-0000-0000-0000C1170000}"/>
    <cellStyle name="汇总 2 10 9 6 5 2" xfId="6053" xr:uid="{00000000-0005-0000-0000-0000D5170000}"/>
    <cellStyle name="汇总 2 10 9 6 6" xfId="6066" xr:uid="{00000000-0005-0000-0000-0000E2170000}"/>
    <cellStyle name="汇总 2 10 9 7" xfId="5548" xr:uid="{00000000-0005-0000-0000-0000DC150000}"/>
    <cellStyle name="汇总 2 10 9 7 2" xfId="5427" xr:uid="{00000000-0005-0000-0000-000063150000}"/>
    <cellStyle name="汇总 2 10 9 7 2 2" xfId="5434" xr:uid="{00000000-0005-0000-0000-00006A150000}"/>
    <cellStyle name="汇总 2 10 9 7 3" xfId="5444" xr:uid="{00000000-0005-0000-0000-000074150000}"/>
    <cellStyle name="汇总 2 10 9 7 3 2" xfId="5454" xr:uid="{00000000-0005-0000-0000-00007E150000}"/>
    <cellStyle name="汇总 2 10 9 7 4" xfId="5461" xr:uid="{00000000-0005-0000-0000-000085150000}"/>
    <cellStyle name="汇总 2 10 9 7 4 2" xfId="6078" xr:uid="{00000000-0005-0000-0000-0000EE170000}"/>
    <cellStyle name="汇总 2 10 9 7 5" xfId="3218" xr:uid="{00000000-0005-0000-0000-0000C20C0000}"/>
    <cellStyle name="汇总 2 10 9 7 5 2" xfId="6096" xr:uid="{00000000-0005-0000-0000-000000180000}"/>
    <cellStyle name="汇总 2 10 9 7 6" xfId="5474" xr:uid="{00000000-0005-0000-0000-000092150000}"/>
    <cellStyle name="汇总 2 10 9 8" xfId="5554" xr:uid="{00000000-0005-0000-0000-0000E2150000}"/>
    <cellStyle name="汇总 2 10 9 8 2" xfId="5557" xr:uid="{00000000-0005-0000-0000-0000E5150000}"/>
    <cellStyle name="汇总 2 10 9 8 2 2" xfId="6099" xr:uid="{00000000-0005-0000-0000-000003180000}"/>
    <cellStyle name="汇总 2 10 9 8 3" xfId="6103" xr:uid="{00000000-0005-0000-0000-000007180000}"/>
    <cellStyle name="汇总 2 10 9 8 3 2" xfId="6111" xr:uid="{00000000-0005-0000-0000-00000F180000}"/>
    <cellStyle name="汇总 2 10 9 8 4" xfId="6113" xr:uid="{00000000-0005-0000-0000-000011180000}"/>
    <cellStyle name="汇总 2 10 9 8 4 2" xfId="6124" xr:uid="{00000000-0005-0000-0000-00001C180000}"/>
    <cellStyle name="汇总 2 10 9 8 5" xfId="6136" xr:uid="{00000000-0005-0000-0000-000028180000}"/>
    <cellStyle name="汇总 2 10 9 9" xfId="5563" xr:uid="{00000000-0005-0000-0000-0000EB150000}"/>
    <cellStyle name="汇总 2 10 9 9 2" xfId="5016" xr:uid="{00000000-0005-0000-0000-0000C8130000}"/>
    <cellStyle name="汇总 2 11" xfId="6139" xr:uid="{00000000-0005-0000-0000-00002B180000}"/>
    <cellStyle name="汇总 2 11 10" xfId="6144" xr:uid="{00000000-0005-0000-0000-000030180000}"/>
    <cellStyle name="汇总 2 11 10 10" xfId="6152" xr:uid="{00000000-0005-0000-0000-000038180000}"/>
    <cellStyle name="汇总 2 11 10 10 2" xfId="6163" xr:uid="{00000000-0005-0000-0000-000043180000}"/>
    <cellStyle name="汇总 2 11 10 11" xfId="6171" xr:uid="{00000000-0005-0000-0000-00004B180000}"/>
    <cellStyle name="汇总 2 11 10 11 2" xfId="6183" xr:uid="{00000000-0005-0000-0000-000057180000}"/>
    <cellStyle name="汇总 2 11 10 12" xfId="6194" xr:uid="{00000000-0005-0000-0000-000062180000}"/>
    <cellStyle name="汇总 2 11 10 12 2" xfId="3948" xr:uid="{00000000-0005-0000-0000-00009C0F0000}"/>
    <cellStyle name="汇总 2 11 10 13" xfId="6198" xr:uid="{00000000-0005-0000-0000-000066180000}"/>
    <cellStyle name="汇总 2 11 10 14" xfId="2578" xr:uid="{00000000-0005-0000-0000-0000420A0000}"/>
    <cellStyle name="汇总 2 11 10 15" xfId="6205" xr:uid="{00000000-0005-0000-0000-00006D180000}"/>
    <cellStyle name="汇总 2 11 10 16" xfId="6209" xr:uid="{00000000-0005-0000-0000-000071180000}"/>
    <cellStyle name="汇总 2 11 10 2" xfId="6212" xr:uid="{00000000-0005-0000-0000-000074180000}"/>
    <cellStyle name="汇总 2 11 10 2 2" xfId="6214" xr:uid="{00000000-0005-0000-0000-000076180000}"/>
    <cellStyle name="汇总 2 11 10 2 2 2" xfId="6217" xr:uid="{00000000-0005-0000-0000-000079180000}"/>
    <cellStyle name="汇总 2 11 10 2 3" xfId="6220" xr:uid="{00000000-0005-0000-0000-00007C180000}"/>
    <cellStyle name="汇总 2 11 10 2 3 2" xfId="6223" xr:uid="{00000000-0005-0000-0000-00007F180000}"/>
    <cellStyle name="汇总 2 11 10 2 4" xfId="6226" xr:uid="{00000000-0005-0000-0000-000082180000}"/>
    <cellStyle name="汇总 2 11 10 2 4 2" xfId="6229" xr:uid="{00000000-0005-0000-0000-000085180000}"/>
    <cellStyle name="汇总 2 11 10 2 5" xfId="644" xr:uid="{00000000-0005-0000-0000-0000B4020000}"/>
    <cellStyle name="汇总 2 11 10 2 5 2" xfId="995" xr:uid="{00000000-0005-0000-0000-000013040000}"/>
    <cellStyle name="汇总 2 11 10 2 6" xfId="6234" xr:uid="{00000000-0005-0000-0000-00008A180000}"/>
    <cellStyle name="汇总 2 11 10 2 7" xfId="3784" xr:uid="{00000000-0005-0000-0000-0000F80E0000}"/>
    <cellStyle name="汇总 2 11 10 2 8" xfId="6244" xr:uid="{00000000-0005-0000-0000-000094180000}"/>
    <cellStyle name="汇总 2 11 10 2 9" xfId="6253" xr:uid="{00000000-0005-0000-0000-00009D180000}"/>
    <cellStyle name="汇总 2 11 10 3" xfId="6258" xr:uid="{00000000-0005-0000-0000-0000A2180000}"/>
    <cellStyle name="汇总 2 11 10 3 2" xfId="6264" xr:uid="{00000000-0005-0000-0000-0000A8180000}"/>
    <cellStyle name="汇总 2 11 10 3 2 2" xfId="6268" xr:uid="{00000000-0005-0000-0000-0000AC180000}"/>
    <cellStyle name="汇总 2 11 10 3 3" xfId="6270" xr:uid="{00000000-0005-0000-0000-0000AE180000}"/>
    <cellStyle name="汇总 2 11 10 3 3 2" xfId="4007" xr:uid="{00000000-0005-0000-0000-0000D70F0000}"/>
    <cellStyle name="汇总 2 11 10 3 4" xfId="6272" xr:uid="{00000000-0005-0000-0000-0000B0180000}"/>
    <cellStyle name="汇总 2 11 10 3 4 2" xfId="6275" xr:uid="{00000000-0005-0000-0000-0000B3180000}"/>
    <cellStyle name="汇总 2 11 10 3 5" xfId="214" xr:uid="{00000000-0005-0000-0000-0000E8000000}"/>
    <cellStyle name="汇总 2 11 10 3 5 2" xfId="4769" xr:uid="{00000000-0005-0000-0000-0000D1120000}"/>
    <cellStyle name="汇总 2 11 10 3 6" xfId="6278" xr:uid="{00000000-0005-0000-0000-0000B6180000}"/>
    <cellStyle name="汇总 2 11 10 4" xfId="6284" xr:uid="{00000000-0005-0000-0000-0000BC180000}"/>
    <cellStyle name="汇总 2 11 10 4 2" xfId="6293" xr:uid="{00000000-0005-0000-0000-0000C5180000}"/>
    <cellStyle name="汇总 2 11 10 4 2 2" xfId="6307" xr:uid="{00000000-0005-0000-0000-0000D3180000}"/>
    <cellStyle name="汇总 2 11 10 4 3" xfId="6319" xr:uid="{00000000-0005-0000-0000-0000DF180000}"/>
    <cellStyle name="汇总 2 11 10 4 3 2" xfId="5481" xr:uid="{00000000-0005-0000-0000-000099150000}"/>
    <cellStyle name="汇总 2 11 10 4 4" xfId="6329" xr:uid="{00000000-0005-0000-0000-0000E9180000}"/>
    <cellStyle name="汇总 2 11 10 4 4 2" xfId="6335" xr:uid="{00000000-0005-0000-0000-0000EF180000}"/>
    <cellStyle name="汇总 2 11 10 4 5" xfId="3498" xr:uid="{00000000-0005-0000-0000-0000DA0D0000}"/>
    <cellStyle name="汇总 2 11 10 4 5 2" xfId="5036" xr:uid="{00000000-0005-0000-0000-0000DC130000}"/>
    <cellStyle name="汇总 2 11 10 4 6" xfId="6343" xr:uid="{00000000-0005-0000-0000-0000F7180000}"/>
    <cellStyle name="汇总 2 11 10 5" xfId="6356" xr:uid="{00000000-0005-0000-0000-000004190000}"/>
    <cellStyle name="汇总 2 11 10 5 2" xfId="6366" xr:uid="{00000000-0005-0000-0000-00000E190000}"/>
    <cellStyle name="汇总 2 11 10 5 2 2" xfId="2368" xr:uid="{00000000-0005-0000-0000-000070090000}"/>
    <cellStyle name="汇总 2 11 10 5 3" xfId="2354" xr:uid="{00000000-0005-0000-0000-000062090000}"/>
    <cellStyle name="汇总 2 11 10 5 3 2" xfId="2039" xr:uid="{00000000-0005-0000-0000-000027080000}"/>
    <cellStyle name="汇总 2 11 10 5 4" xfId="2362" xr:uid="{00000000-0005-0000-0000-00006A090000}"/>
    <cellStyle name="汇总 2 11 10 5 4 2" xfId="2376" xr:uid="{00000000-0005-0000-0000-000078090000}"/>
    <cellStyle name="汇总 2 11 10 5 5" xfId="2382" xr:uid="{00000000-0005-0000-0000-00007E090000}"/>
    <cellStyle name="汇总 2 11 10 5 5 2" xfId="2390" xr:uid="{00000000-0005-0000-0000-000086090000}"/>
    <cellStyle name="汇总 2 11 10 5 6" xfId="2394" xr:uid="{00000000-0005-0000-0000-00008A090000}"/>
    <cellStyle name="汇总 2 11 10 6" xfId="814" xr:uid="{00000000-0005-0000-0000-00005E030000}"/>
    <cellStyle name="汇总 2 11 10 6 2" xfId="6372" xr:uid="{00000000-0005-0000-0000-000014190000}"/>
    <cellStyle name="汇总 2 11 10 6 2 2" xfId="6384" xr:uid="{00000000-0005-0000-0000-000020190000}"/>
    <cellStyle name="汇总 2 11 10 6 3" xfId="6395" xr:uid="{00000000-0005-0000-0000-00002B190000}"/>
    <cellStyle name="汇总 2 11 10 6 3 2" xfId="6411" xr:uid="{00000000-0005-0000-0000-00003B190000}"/>
    <cellStyle name="汇总 2 11 10 6 4" xfId="2035" xr:uid="{00000000-0005-0000-0000-000023080000}"/>
    <cellStyle name="汇总 2 11 10 6 4 2" xfId="6421" xr:uid="{00000000-0005-0000-0000-000045190000}"/>
    <cellStyle name="汇总 2 11 10 6 5" xfId="2059" xr:uid="{00000000-0005-0000-0000-00003B080000}"/>
    <cellStyle name="汇总 2 11 10 6 5 2" xfId="1792" xr:uid="{00000000-0005-0000-0000-000030070000}"/>
    <cellStyle name="汇总 2 11 10 6 6" xfId="6427" xr:uid="{00000000-0005-0000-0000-00004B190000}"/>
    <cellStyle name="汇总 2 11 10 7" xfId="6433" xr:uid="{00000000-0005-0000-0000-000051190000}"/>
    <cellStyle name="汇总 2 11 10 7 2" xfId="6442" xr:uid="{00000000-0005-0000-0000-00005A190000}"/>
    <cellStyle name="汇总 2 11 10 7 2 2" xfId="6448" xr:uid="{00000000-0005-0000-0000-000060190000}"/>
    <cellStyle name="汇总 2 11 10 7 3" xfId="6460" xr:uid="{00000000-0005-0000-0000-00006C190000}"/>
    <cellStyle name="汇总 2 11 10 7 3 2" xfId="6463" xr:uid="{00000000-0005-0000-0000-00006F190000}"/>
    <cellStyle name="汇总 2 11 10 7 4" xfId="2372" xr:uid="{00000000-0005-0000-0000-000074090000}"/>
    <cellStyle name="汇总 2 11 10 7 4 2" xfId="6470" xr:uid="{00000000-0005-0000-0000-000076190000}"/>
    <cellStyle name="汇总 2 11 10 7 5" xfId="3613" xr:uid="{00000000-0005-0000-0000-00004D0E0000}"/>
    <cellStyle name="汇总 2 11 10 7 5 2" xfId="5646" xr:uid="{00000000-0005-0000-0000-00003E160000}"/>
    <cellStyle name="汇总 2 11 10 7 6" xfId="6476" xr:uid="{00000000-0005-0000-0000-00007C190000}"/>
    <cellStyle name="汇总 2 11 10 8" xfId="2709" xr:uid="{00000000-0005-0000-0000-0000C50A0000}"/>
    <cellStyle name="汇总 2 11 10 8 2" xfId="4393" xr:uid="{00000000-0005-0000-0000-000059110000}"/>
    <cellStyle name="汇总 2 11 10 8 2 2" xfId="6481" xr:uid="{00000000-0005-0000-0000-000081190000}"/>
    <cellStyle name="汇总 2 11 10 8 3" xfId="99" xr:uid="{00000000-0005-0000-0000-00006A000000}"/>
    <cellStyle name="汇总 2 11 10 8 3 2" xfId="6488" xr:uid="{00000000-0005-0000-0000-000088190000}"/>
    <cellStyle name="汇总 2 11 10 8 4" xfId="2386" xr:uid="{00000000-0005-0000-0000-000082090000}"/>
    <cellStyle name="汇总 2 11 10 8 4 2" xfId="6501" xr:uid="{00000000-0005-0000-0000-000095190000}"/>
    <cellStyle name="汇总 2 11 10 8 5" xfId="3623" xr:uid="{00000000-0005-0000-0000-0000570E0000}"/>
    <cellStyle name="汇总 2 11 10 9" xfId="6508" xr:uid="{00000000-0005-0000-0000-00009C190000}"/>
    <cellStyle name="汇总 2 11 10 9 2" xfId="6516" xr:uid="{00000000-0005-0000-0000-0000A4190000}"/>
    <cellStyle name="汇总 2 11 11" xfId="6519" xr:uid="{00000000-0005-0000-0000-0000A7190000}"/>
    <cellStyle name="汇总 2 11 11 10" xfId="6527" xr:uid="{00000000-0005-0000-0000-0000AF190000}"/>
    <cellStyle name="汇总 2 11 11 10 2" xfId="6534" xr:uid="{00000000-0005-0000-0000-0000B6190000}"/>
    <cellStyle name="汇总 2 11 11 11" xfId="6537" xr:uid="{00000000-0005-0000-0000-0000B9190000}"/>
    <cellStyle name="汇总 2 11 11 11 2" xfId="6547" xr:uid="{00000000-0005-0000-0000-0000C3190000}"/>
    <cellStyle name="汇总 2 11 11 12" xfId="6556" xr:uid="{00000000-0005-0000-0000-0000CC190000}"/>
    <cellStyle name="汇总 2 11 11 12 2" xfId="6563" xr:uid="{00000000-0005-0000-0000-0000D3190000}"/>
    <cellStyle name="汇总 2 11 11 13" xfId="6569" xr:uid="{00000000-0005-0000-0000-0000D9190000}"/>
    <cellStyle name="汇总 2 11 11 14" xfId="6573" xr:uid="{00000000-0005-0000-0000-0000DD190000}"/>
    <cellStyle name="汇总 2 11 11 15" xfId="5981" xr:uid="{00000000-0005-0000-0000-00008D170000}"/>
    <cellStyle name="汇总 2 11 11 16" xfId="5995" xr:uid="{00000000-0005-0000-0000-00009B170000}"/>
    <cellStyle name="汇总 2 11 11 2" xfId="6585" xr:uid="{00000000-0005-0000-0000-0000E9190000}"/>
    <cellStyle name="汇总 2 11 11 2 2" xfId="6590" xr:uid="{00000000-0005-0000-0000-0000EE190000}"/>
    <cellStyle name="汇总 2 11 11 2 2 2" xfId="503" xr:uid="{00000000-0005-0000-0000-000024020000}"/>
    <cellStyle name="汇总 2 11 11 2 3" xfId="6594" xr:uid="{00000000-0005-0000-0000-0000F2190000}"/>
    <cellStyle name="汇总 2 11 11 2 3 2" xfId="209" xr:uid="{00000000-0005-0000-0000-0000E3000000}"/>
    <cellStyle name="汇总 2 11 11 2 4" xfId="6597" xr:uid="{00000000-0005-0000-0000-0000F5190000}"/>
    <cellStyle name="汇总 2 11 11 2 4 2" xfId="6599" xr:uid="{00000000-0005-0000-0000-0000F7190000}"/>
    <cellStyle name="汇总 2 11 11 2 5" xfId="2198" xr:uid="{00000000-0005-0000-0000-0000C6080000}"/>
    <cellStyle name="汇总 2 11 11 2 5 2" xfId="6603" xr:uid="{00000000-0005-0000-0000-0000FB190000}"/>
    <cellStyle name="汇总 2 11 11 2 6" xfId="6606" xr:uid="{00000000-0005-0000-0000-0000FE190000}"/>
    <cellStyle name="汇总 2 11 11 3" xfId="6615" xr:uid="{00000000-0005-0000-0000-0000071A0000}"/>
    <cellStyle name="汇总 2 11 11 3 2" xfId="6619" xr:uid="{00000000-0005-0000-0000-00000B1A0000}"/>
    <cellStyle name="汇总 2 11 11 3 2 2" xfId="6627" xr:uid="{00000000-0005-0000-0000-0000131A0000}"/>
    <cellStyle name="汇总 2 11 11 3 3" xfId="6631" xr:uid="{00000000-0005-0000-0000-0000171A0000}"/>
    <cellStyle name="汇总 2 11 11 3 3 2" xfId="6638" xr:uid="{00000000-0005-0000-0000-00001E1A0000}"/>
    <cellStyle name="汇总 2 11 11 3 4" xfId="6642" xr:uid="{00000000-0005-0000-0000-0000221A0000}"/>
    <cellStyle name="汇总 2 11 11 3 4 2" xfId="6649" xr:uid="{00000000-0005-0000-0000-0000291A0000}"/>
    <cellStyle name="汇总 2 11 11 3 5" xfId="1556" xr:uid="{00000000-0005-0000-0000-000044060000}"/>
    <cellStyle name="汇总 2 11 11 3 5 2" xfId="6652" xr:uid="{00000000-0005-0000-0000-00002C1A0000}"/>
    <cellStyle name="汇总 2 11 11 3 6" xfId="6661" xr:uid="{00000000-0005-0000-0000-0000351A0000}"/>
    <cellStyle name="汇总 2 11 11 4" xfId="6669" xr:uid="{00000000-0005-0000-0000-00003D1A0000}"/>
    <cellStyle name="汇总 2 11 11 4 2" xfId="6674" xr:uid="{00000000-0005-0000-0000-0000421A0000}"/>
    <cellStyle name="汇总 2 11 11 4 2 2" xfId="4490" xr:uid="{00000000-0005-0000-0000-0000BA110000}"/>
    <cellStyle name="汇总 2 11 11 4 3" xfId="6694" xr:uid="{00000000-0005-0000-0000-0000561A0000}"/>
    <cellStyle name="汇总 2 11 11 4 3 2" xfId="2273" xr:uid="{00000000-0005-0000-0000-000011090000}"/>
    <cellStyle name="汇总 2 11 11 4 4" xfId="6706" xr:uid="{00000000-0005-0000-0000-0000621A0000}"/>
    <cellStyle name="汇总 2 11 11 4 4 2" xfId="2006" xr:uid="{00000000-0005-0000-0000-000006080000}"/>
    <cellStyle name="汇总 2 11 11 4 5" xfId="1410" xr:uid="{00000000-0005-0000-0000-0000B2050000}"/>
    <cellStyle name="汇总 2 11 11 4 5 2" xfId="1423" xr:uid="{00000000-0005-0000-0000-0000BF050000}"/>
    <cellStyle name="汇总 2 11 11 4 6" xfId="6715" xr:uid="{00000000-0005-0000-0000-00006B1A0000}"/>
    <cellStyle name="汇总 2 11 11 5" xfId="6727" xr:uid="{00000000-0005-0000-0000-0000771A0000}"/>
    <cellStyle name="汇总 2 11 11 5 2" xfId="6732" xr:uid="{00000000-0005-0000-0000-00007C1A0000}"/>
    <cellStyle name="汇总 2 11 11 5 2 2" xfId="6176" xr:uid="{00000000-0005-0000-0000-000050180000}"/>
    <cellStyle name="汇总 2 11 11 5 3" xfId="6747" xr:uid="{00000000-0005-0000-0000-00008B1A0000}"/>
    <cellStyle name="汇总 2 11 11 5 3 2" xfId="6758" xr:uid="{00000000-0005-0000-0000-0000961A0000}"/>
    <cellStyle name="汇总 2 11 11 5 4" xfId="6381" xr:uid="{00000000-0005-0000-0000-00001D190000}"/>
    <cellStyle name="汇总 2 11 11 5 4 2" xfId="6767" xr:uid="{00000000-0005-0000-0000-00009F1A0000}"/>
    <cellStyle name="汇总 2 11 11 5 5" xfId="6772" xr:uid="{00000000-0005-0000-0000-0000A41A0000}"/>
    <cellStyle name="汇总 2 11 11 5 5 2" xfId="6782" xr:uid="{00000000-0005-0000-0000-0000AE1A0000}"/>
    <cellStyle name="汇总 2 11 11 5 6" xfId="6786" xr:uid="{00000000-0005-0000-0000-0000B21A0000}"/>
    <cellStyle name="汇总 2 11 11 6" xfId="845" xr:uid="{00000000-0005-0000-0000-00007D030000}"/>
    <cellStyle name="汇总 2 11 11 6 2" xfId="6791" xr:uid="{00000000-0005-0000-0000-0000B71A0000}"/>
    <cellStyle name="汇总 2 11 11 6 2 2" xfId="6799" xr:uid="{00000000-0005-0000-0000-0000BF1A0000}"/>
    <cellStyle name="汇总 2 11 11 6 3" xfId="6809" xr:uid="{00000000-0005-0000-0000-0000C91A0000}"/>
    <cellStyle name="汇总 2 11 11 6 3 2" xfId="6823" xr:uid="{00000000-0005-0000-0000-0000D71A0000}"/>
    <cellStyle name="汇总 2 11 11 6 4" xfId="6406" xr:uid="{00000000-0005-0000-0000-000036190000}"/>
    <cellStyle name="汇总 2 11 11 6 4 2" xfId="6351" xr:uid="{00000000-0005-0000-0000-0000FF180000}"/>
    <cellStyle name="汇总 2 11 11 6 5" xfId="453" xr:uid="{00000000-0005-0000-0000-0000EF010000}"/>
    <cellStyle name="汇总 2 11 11 6 5 2" xfId="6722" xr:uid="{00000000-0005-0000-0000-0000721A0000}"/>
    <cellStyle name="汇总 2 11 11 6 6" xfId="6829" xr:uid="{00000000-0005-0000-0000-0000DD1A0000}"/>
    <cellStyle name="汇总 2 11 11 7" xfId="6834" xr:uid="{00000000-0005-0000-0000-0000E21A0000}"/>
    <cellStyle name="汇总 2 11 11 7 2" xfId="6844" xr:uid="{00000000-0005-0000-0000-0000EC1A0000}"/>
    <cellStyle name="汇总 2 11 11 7 2 2" xfId="6849" xr:uid="{00000000-0005-0000-0000-0000F11A0000}"/>
    <cellStyle name="汇总 2 11 11 7 3" xfId="6862" xr:uid="{00000000-0005-0000-0000-0000FE1A0000}"/>
    <cellStyle name="汇总 2 11 11 7 3 2" xfId="6866" xr:uid="{00000000-0005-0000-0000-0000021B0000}"/>
    <cellStyle name="汇总 2 11 11 7 4" xfId="6420" xr:uid="{00000000-0005-0000-0000-000044190000}"/>
    <cellStyle name="汇总 2 11 11 7 4 2" xfId="6870" xr:uid="{00000000-0005-0000-0000-0000061B0000}"/>
    <cellStyle name="汇总 2 11 11 7 5" xfId="1591" xr:uid="{00000000-0005-0000-0000-000067060000}"/>
    <cellStyle name="汇总 2 11 11 7 5 2" xfId="6874" xr:uid="{00000000-0005-0000-0000-00000A1B0000}"/>
    <cellStyle name="汇总 2 11 11 7 6" xfId="6881" xr:uid="{00000000-0005-0000-0000-0000111B0000}"/>
    <cellStyle name="汇总 2 11 11 8" xfId="2732" xr:uid="{00000000-0005-0000-0000-0000DC0A0000}"/>
    <cellStyle name="汇总 2 11 11 8 2" xfId="1736" xr:uid="{00000000-0005-0000-0000-0000F8060000}"/>
    <cellStyle name="汇总 2 11 11 8 2 2" xfId="1483" xr:uid="{00000000-0005-0000-0000-0000FB050000}"/>
    <cellStyle name="汇总 2 11 11 8 3" xfId="1767" xr:uid="{00000000-0005-0000-0000-000017070000}"/>
    <cellStyle name="汇总 2 11 11 8 3 2" xfId="2483" xr:uid="{00000000-0005-0000-0000-0000E3090000}"/>
    <cellStyle name="汇总 2 11 11 8 4" xfId="1796" xr:uid="{00000000-0005-0000-0000-000034070000}"/>
    <cellStyle name="汇总 2 11 11 8 4 2" xfId="2074" xr:uid="{00000000-0005-0000-0000-00004A080000}"/>
    <cellStyle name="汇总 2 11 11 8 5" xfId="3650" xr:uid="{00000000-0005-0000-0000-0000720E0000}"/>
    <cellStyle name="汇总 2 11 11 9" xfId="6893" xr:uid="{00000000-0005-0000-0000-00001D1B0000}"/>
    <cellStyle name="汇总 2 11 11 9 2" xfId="1993" xr:uid="{00000000-0005-0000-0000-0000F9070000}"/>
    <cellStyle name="汇总 2 11 12" xfId="6898" xr:uid="{00000000-0005-0000-0000-0000221B0000}"/>
    <cellStyle name="汇总 2 11 12 2" xfId="6901" xr:uid="{00000000-0005-0000-0000-0000251B0000}"/>
    <cellStyle name="汇总 2 11 12 2 2" xfId="6905" xr:uid="{00000000-0005-0000-0000-0000291B0000}"/>
    <cellStyle name="汇总 2 11 12 3" xfId="6911" xr:uid="{00000000-0005-0000-0000-00002F1B0000}"/>
    <cellStyle name="汇总 2 11 12 3 2" xfId="4988" xr:uid="{00000000-0005-0000-0000-0000AC130000}"/>
    <cellStyle name="汇总 2 11 12 4" xfId="6916" xr:uid="{00000000-0005-0000-0000-0000341B0000}"/>
    <cellStyle name="汇总 2 11 12 4 2" xfId="6923" xr:uid="{00000000-0005-0000-0000-00003B1B0000}"/>
    <cellStyle name="汇总 2 11 12 5" xfId="6931" xr:uid="{00000000-0005-0000-0000-0000431B0000}"/>
    <cellStyle name="汇总 2 11 12 5 2" xfId="6940" xr:uid="{00000000-0005-0000-0000-00004C1B0000}"/>
    <cellStyle name="汇总 2 11 12 6" xfId="869" xr:uid="{00000000-0005-0000-0000-000095030000}"/>
    <cellStyle name="汇总 2 11 12 7" xfId="6950" xr:uid="{00000000-0005-0000-0000-0000561B0000}"/>
    <cellStyle name="汇总 2 11 12 8" xfId="6957" xr:uid="{00000000-0005-0000-0000-00005D1B0000}"/>
    <cellStyle name="汇总 2 11 12 9" xfId="6962" xr:uid="{00000000-0005-0000-0000-0000621B0000}"/>
    <cellStyle name="汇总 2 11 13" xfId="6966" xr:uid="{00000000-0005-0000-0000-0000661B0000}"/>
    <cellStyle name="汇总 2 11 13 2" xfId="6973" xr:uid="{00000000-0005-0000-0000-00006D1B0000}"/>
    <cellStyle name="汇总 2 11 13 2 2" xfId="2718" xr:uid="{00000000-0005-0000-0000-0000CE0A0000}"/>
    <cellStyle name="汇总 2 11 13 3" xfId="6977" xr:uid="{00000000-0005-0000-0000-0000711B0000}"/>
    <cellStyle name="汇总 2 11 13 3 2" xfId="2791" xr:uid="{00000000-0005-0000-0000-0000170B0000}"/>
    <cellStyle name="汇总 2 11 13 4" xfId="6983" xr:uid="{00000000-0005-0000-0000-0000771B0000}"/>
    <cellStyle name="汇总 2 11 13 4 2" xfId="6989" xr:uid="{00000000-0005-0000-0000-00007D1B0000}"/>
    <cellStyle name="汇总 2 11 13 5" xfId="6994" xr:uid="{00000000-0005-0000-0000-0000821B0000}"/>
    <cellStyle name="汇总 2 11 13 5 2" xfId="7004" xr:uid="{00000000-0005-0000-0000-00008C1B0000}"/>
    <cellStyle name="汇总 2 11 13 6" xfId="7015" xr:uid="{00000000-0005-0000-0000-0000971B0000}"/>
    <cellStyle name="汇总 2 11 14" xfId="6193" xr:uid="{00000000-0005-0000-0000-000061180000}"/>
    <cellStyle name="汇总 2 11 14 2" xfId="7028" xr:uid="{00000000-0005-0000-0000-0000A41B0000}"/>
    <cellStyle name="汇总 2 11 14 2 2" xfId="1239" xr:uid="{00000000-0005-0000-0000-000007050000}"/>
    <cellStyle name="汇总 2 11 14 3" xfId="7030" xr:uid="{00000000-0005-0000-0000-0000A61B0000}"/>
    <cellStyle name="汇总 2 11 14 3 2" xfId="3084" xr:uid="{00000000-0005-0000-0000-00003C0C0000}"/>
    <cellStyle name="汇总 2 11 14 4" xfId="7035" xr:uid="{00000000-0005-0000-0000-0000AB1B0000}"/>
    <cellStyle name="汇总 2 11 14 4 2" xfId="7045" xr:uid="{00000000-0005-0000-0000-0000B51B0000}"/>
    <cellStyle name="汇总 2 11 14 5" xfId="7055" xr:uid="{00000000-0005-0000-0000-0000BF1B0000}"/>
    <cellStyle name="汇总 2 11 14 5 2" xfId="7063" xr:uid="{00000000-0005-0000-0000-0000C71B0000}"/>
    <cellStyle name="汇总 2 11 14 6" xfId="7077" xr:uid="{00000000-0005-0000-0000-0000D51B0000}"/>
    <cellStyle name="汇总 2 11 15" xfId="7093" xr:uid="{00000000-0005-0000-0000-0000E51B0000}"/>
    <cellStyle name="汇总 2 11 15 2" xfId="7109" xr:uid="{00000000-0005-0000-0000-0000F51B0000}"/>
    <cellStyle name="汇总 2 11 15 2 2" xfId="7112" xr:uid="{00000000-0005-0000-0000-0000F81B0000}"/>
    <cellStyle name="汇总 2 11 15 3" xfId="6624" xr:uid="{00000000-0005-0000-0000-0000101A0000}"/>
    <cellStyle name="汇总 2 11 15 3 2" xfId="7117" xr:uid="{00000000-0005-0000-0000-0000FD1B0000}"/>
    <cellStyle name="汇总 2 11 15 4" xfId="7122" xr:uid="{00000000-0005-0000-0000-0000021C0000}"/>
    <cellStyle name="汇总 2 11 15 4 2" xfId="2044" xr:uid="{00000000-0005-0000-0000-00002C080000}"/>
    <cellStyle name="汇总 2 11 15 5" xfId="7128" xr:uid="{00000000-0005-0000-0000-0000081C0000}"/>
    <cellStyle name="汇总 2 11 15 5 2" xfId="7132" xr:uid="{00000000-0005-0000-0000-00000C1C0000}"/>
    <cellStyle name="汇总 2 11 15 6" xfId="2232" xr:uid="{00000000-0005-0000-0000-0000E8080000}"/>
    <cellStyle name="汇总 2 11 16" xfId="5810" xr:uid="{00000000-0005-0000-0000-0000E2160000}"/>
    <cellStyle name="汇总 2 11 16 2" xfId="7146" xr:uid="{00000000-0005-0000-0000-00001A1C0000}"/>
    <cellStyle name="汇总 2 11 16 2 2" xfId="1405" xr:uid="{00000000-0005-0000-0000-0000AD050000}"/>
    <cellStyle name="汇总 2 11 16 3" xfId="6635" xr:uid="{00000000-0005-0000-0000-00001B1A0000}"/>
    <cellStyle name="汇总 2 11 16 3 2" xfId="7153" xr:uid="{00000000-0005-0000-0000-0000211C0000}"/>
    <cellStyle name="汇总 2 11 16 4" xfId="7160" xr:uid="{00000000-0005-0000-0000-0000281C0000}"/>
    <cellStyle name="汇总 2 11 16 4 2" xfId="435" xr:uid="{00000000-0005-0000-0000-0000DC010000}"/>
    <cellStyle name="汇总 2 11 16 5" xfId="7165" xr:uid="{00000000-0005-0000-0000-00002D1C0000}"/>
    <cellStyle name="汇总 2 11 16 5 2" xfId="7172" xr:uid="{00000000-0005-0000-0000-0000341C0000}"/>
    <cellStyle name="汇总 2 11 16 6" xfId="1604" xr:uid="{00000000-0005-0000-0000-000074060000}"/>
    <cellStyle name="汇总 2 11 17" xfId="7181" xr:uid="{00000000-0005-0000-0000-00003D1C0000}"/>
    <cellStyle name="汇总 2 11 17 2" xfId="7191" xr:uid="{00000000-0005-0000-0000-0000471C0000}"/>
    <cellStyle name="汇总 2 11 17 2 2" xfId="7196" xr:uid="{00000000-0005-0000-0000-00004C1C0000}"/>
    <cellStyle name="汇总 2 11 17 3" xfId="6647" xr:uid="{00000000-0005-0000-0000-0000271A0000}"/>
    <cellStyle name="汇总 2 11 17 3 2" xfId="7205" xr:uid="{00000000-0005-0000-0000-0000551C0000}"/>
    <cellStyle name="汇总 2 11 17 4" xfId="7210" xr:uid="{00000000-0005-0000-0000-00005A1C0000}"/>
    <cellStyle name="汇总 2 11 17 4 2" xfId="7216" xr:uid="{00000000-0005-0000-0000-0000601C0000}"/>
    <cellStyle name="汇总 2 11 17 5" xfId="7218" xr:uid="{00000000-0005-0000-0000-0000621C0000}"/>
    <cellStyle name="汇总 2 11 17 5 2" xfId="7224" xr:uid="{00000000-0005-0000-0000-0000681C0000}"/>
    <cellStyle name="汇总 2 11 17 6" xfId="1498" xr:uid="{00000000-0005-0000-0000-00000A060000}"/>
    <cellStyle name="汇总 2 11 18" xfId="7235" xr:uid="{00000000-0005-0000-0000-0000731C0000}"/>
    <cellStyle name="汇总 2 11 18 2" xfId="7238" xr:uid="{00000000-0005-0000-0000-0000761C0000}"/>
    <cellStyle name="汇总 2 11 18 2 2" xfId="7247" xr:uid="{00000000-0005-0000-0000-00007F1C0000}"/>
    <cellStyle name="汇总 2 11 18 3" xfId="6655" xr:uid="{00000000-0005-0000-0000-00002F1A0000}"/>
    <cellStyle name="汇总 2 11 18 3 2" xfId="7251" xr:uid="{00000000-0005-0000-0000-0000831C0000}"/>
    <cellStyle name="汇总 2 11 18 4" xfId="3733" xr:uid="{00000000-0005-0000-0000-0000C50E0000}"/>
    <cellStyle name="汇总 2 11 18 4 2" xfId="7253" xr:uid="{00000000-0005-0000-0000-0000851C0000}"/>
    <cellStyle name="汇总 2 11 18 5" xfId="7261" xr:uid="{00000000-0005-0000-0000-00008D1C0000}"/>
    <cellStyle name="汇总 2 11 18 5 2" xfId="7266" xr:uid="{00000000-0005-0000-0000-0000921C0000}"/>
    <cellStyle name="汇总 2 11 18 6" xfId="2491" xr:uid="{00000000-0005-0000-0000-0000EB090000}"/>
    <cellStyle name="汇总 2 11 19" xfId="7272" xr:uid="{00000000-0005-0000-0000-0000981C0000}"/>
    <cellStyle name="汇总 2 11 19 2" xfId="7274" xr:uid="{00000000-0005-0000-0000-00009A1C0000}"/>
    <cellStyle name="汇总 2 11 19 2 2" xfId="7277" xr:uid="{00000000-0005-0000-0000-00009D1C0000}"/>
    <cellStyle name="汇总 2 11 19 3" xfId="7280" xr:uid="{00000000-0005-0000-0000-0000A01C0000}"/>
    <cellStyle name="汇总 2 11 19 3 2" xfId="260" xr:uid="{00000000-0005-0000-0000-00001E010000}"/>
    <cellStyle name="汇总 2 11 19 4" xfId="636" xr:uid="{00000000-0005-0000-0000-0000AC020000}"/>
    <cellStyle name="汇总 2 11 19 4 2" xfId="7282" xr:uid="{00000000-0005-0000-0000-0000A21C0000}"/>
    <cellStyle name="汇总 2 11 19 5" xfId="7290" xr:uid="{00000000-0005-0000-0000-0000AA1C0000}"/>
    <cellStyle name="汇总 2 11 2" xfId="1624" xr:uid="{00000000-0005-0000-0000-000088060000}"/>
    <cellStyle name="汇总 2 11 2 10" xfId="7303" xr:uid="{00000000-0005-0000-0000-0000B71C0000}"/>
    <cellStyle name="汇总 2 11 2 10 2" xfId="7306" xr:uid="{00000000-0005-0000-0000-0000BA1C0000}"/>
    <cellStyle name="汇总 2 11 2 11" xfId="2556" xr:uid="{00000000-0005-0000-0000-00002C0A0000}"/>
    <cellStyle name="汇总 2 11 2 11 2" xfId="2580" xr:uid="{00000000-0005-0000-0000-0000440A0000}"/>
    <cellStyle name="汇总 2 11 2 12" xfId="2587" xr:uid="{00000000-0005-0000-0000-00004B0A0000}"/>
    <cellStyle name="汇总 2 11 2 12 2" xfId="419" xr:uid="{00000000-0005-0000-0000-0000CB010000}"/>
    <cellStyle name="汇总 2 11 2 13" xfId="2592" xr:uid="{00000000-0005-0000-0000-0000500A0000}"/>
    <cellStyle name="汇总 2 11 2 14" xfId="2618" xr:uid="{00000000-0005-0000-0000-00006A0A0000}"/>
    <cellStyle name="汇总 2 11 2 15" xfId="2102" xr:uid="{00000000-0005-0000-0000-000066080000}"/>
    <cellStyle name="汇总 2 11 2 16" xfId="5263" xr:uid="{00000000-0005-0000-0000-0000BF140000}"/>
    <cellStyle name="汇总 2 11 2 2" xfId="7313" xr:uid="{00000000-0005-0000-0000-0000C11C0000}"/>
    <cellStyle name="汇总 2 11 2 2 2" xfId="7319" xr:uid="{00000000-0005-0000-0000-0000C71C0000}"/>
    <cellStyle name="汇总 2 11 2 2 2 2" xfId="7326" xr:uid="{00000000-0005-0000-0000-0000CE1C0000}"/>
    <cellStyle name="汇总 2 11 2 2 3" xfId="7337" xr:uid="{00000000-0005-0000-0000-0000D91C0000}"/>
    <cellStyle name="汇总 2 11 2 2 3 2" xfId="7344" xr:uid="{00000000-0005-0000-0000-0000E01C0000}"/>
    <cellStyle name="汇总 2 11 2 2 4" xfId="5639" xr:uid="{00000000-0005-0000-0000-000037160000}"/>
    <cellStyle name="汇总 2 11 2 2 4 2" xfId="7351" xr:uid="{00000000-0005-0000-0000-0000E71C0000}"/>
    <cellStyle name="汇总 2 11 2 2 5" xfId="7358" xr:uid="{00000000-0005-0000-0000-0000EE1C0000}"/>
    <cellStyle name="汇总 2 11 2 2 5 2" xfId="7359" xr:uid="{00000000-0005-0000-0000-0000EF1C0000}"/>
    <cellStyle name="汇总 2 11 2 2 6" xfId="7369" xr:uid="{00000000-0005-0000-0000-0000F91C0000}"/>
    <cellStyle name="汇总 2 11 2 2 7" xfId="7375" xr:uid="{00000000-0005-0000-0000-0000FF1C0000}"/>
    <cellStyle name="汇总 2 11 2 2 8" xfId="7380" xr:uid="{00000000-0005-0000-0000-0000041D0000}"/>
    <cellStyle name="汇总 2 11 2 2 9" xfId="7382" xr:uid="{00000000-0005-0000-0000-0000061D0000}"/>
    <cellStyle name="汇总 2 11 2 3" xfId="7385" xr:uid="{00000000-0005-0000-0000-0000091D0000}"/>
    <cellStyle name="汇总 2 11 2 3 2" xfId="7389" xr:uid="{00000000-0005-0000-0000-00000D1D0000}"/>
    <cellStyle name="汇总 2 11 2 3 2 2" xfId="7393" xr:uid="{00000000-0005-0000-0000-0000111D0000}"/>
    <cellStyle name="汇总 2 11 2 3 3" xfId="7406" xr:uid="{00000000-0005-0000-0000-00001E1D0000}"/>
    <cellStyle name="汇总 2 11 2 3 3 2" xfId="7085" xr:uid="{00000000-0005-0000-0000-0000DD1B0000}"/>
    <cellStyle name="汇总 2 11 2 3 4" xfId="5642" xr:uid="{00000000-0005-0000-0000-00003A160000}"/>
    <cellStyle name="汇总 2 11 2 3 4 2" xfId="4367" xr:uid="{00000000-0005-0000-0000-00003F110000}"/>
    <cellStyle name="汇总 2 11 2 3 5" xfId="7411" xr:uid="{00000000-0005-0000-0000-0000231D0000}"/>
    <cellStyle name="汇总 2 11 2 3 5 2" xfId="1644" xr:uid="{00000000-0005-0000-0000-00009C060000}"/>
    <cellStyle name="汇总 2 11 2 3 6" xfId="7420" xr:uid="{00000000-0005-0000-0000-00002C1D0000}"/>
    <cellStyle name="汇总 2 11 2 4" xfId="7425" xr:uid="{00000000-0005-0000-0000-0000311D0000}"/>
    <cellStyle name="汇总 2 11 2 4 2" xfId="7428" xr:uid="{00000000-0005-0000-0000-0000341D0000}"/>
    <cellStyle name="汇总 2 11 2 4 2 2" xfId="7432" xr:uid="{00000000-0005-0000-0000-0000381D0000}"/>
    <cellStyle name="汇总 2 11 2 4 3" xfId="7445" xr:uid="{00000000-0005-0000-0000-0000451D0000}"/>
    <cellStyle name="汇总 2 11 2 4 3 2" xfId="7449" xr:uid="{00000000-0005-0000-0000-0000491D0000}"/>
    <cellStyle name="汇总 2 11 2 4 4" xfId="7459" xr:uid="{00000000-0005-0000-0000-0000531D0000}"/>
    <cellStyle name="汇总 2 11 2 4 4 2" xfId="7461" xr:uid="{00000000-0005-0000-0000-0000551D0000}"/>
    <cellStyle name="汇总 2 11 2 4 5" xfId="7470" xr:uid="{00000000-0005-0000-0000-00005E1D0000}"/>
    <cellStyle name="汇总 2 11 2 4 5 2" xfId="7471" xr:uid="{00000000-0005-0000-0000-00005F1D0000}"/>
    <cellStyle name="汇总 2 11 2 4 6" xfId="7485" xr:uid="{00000000-0005-0000-0000-00006D1D0000}"/>
    <cellStyle name="汇总 2 11 2 5" xfId="7491" xr:uid="{00000000-0005-0000-0000-0000731D0000}"/>
    <cellStyle name="汇总 2 11 2 5 2" xfId="7493" xr:uid="{00000000-0005-0000-0000-0000751D0000}"/>
    <cellStyle name="汇总 2 11 2 5 2 2" xfId="7498" xr:uid="{00000000-0005-0000-0000-00007A1D0000}"/>
    <cellStyle name="汇总 2 11 2 5 3" xfId="7506" xr:uid="{00000000-0005-0000-0000-0000821D0000}"/>
    <cellStyle name="汇总 2 11 2 5 3 2" xfId="7517" xr:uid="{00000000-0005-0000-0000-00008D1D0000}"/>
    <cellStyle name="汇总 2 11 2 5 4" xfId="7525" xr:uid="{00000000-0005-0000-0000-0000951D0000}"/>
    <cellStyle name="汇总 2 11 2 5 4 2" xfId="7528" xr:uid="{00000000-0005-0000-0000-0000981D0000}"/>
    <cellStyle name="汇总 2 11 2 5 5" xfId="7537" xr:uid="{00000000-0005-0000-0000-0000A11D0000}"/>
    <cellStyle name="汇总 2 11 2 5 5 2" xfId="7540" xr:uid="{00000000-0005-0000-0000-0000A41D0000}"/>
    <cellStyle name="汇总 2 11 2 5 6" xfId="7549" xr:uid="{00000000-0005-0000-0000-0000AD1D0000}"/>
    <cellStyle name="汇总 2 11 2 6" xfId="7554" xr:uid="{00000000-0005-0000-0000-0000B21D0000}"/>
    <cellStyle name="汇总 2 11 2 6 2" xfId="7556" xr:uid="{00000000-0005-0000-0000-0000B41D0000}"/>
    <cellStyle name="汇总 2 11 2 6 2 2" xfId="7561" xr:uid="{00000000-0005-0000-0000-0000B91D0000}"/>
    <cellStyle name="汇总 2 11 2 6 3" xfId="7569" xr:uid="{00000000-0005-0000-0000-0000C11D0000}"/>
    <cellStyle name="汇总 2 11 2 6 3 2" xfId="7575" xr:uid="{00000000-0005-0000-0000-0000C71D0000}"/>
    <cellStyle name="汇总 2 11 2 6 4" xfId="7586" xr:uid="{00000000-0005-0000-0000-0000D21D0000}"/>
    <cellStyle name="汇总 2 11 2 6 4 2" xfId="7589" xr:uid="{00000000-0005-0000-0000-0000D51D0000}"/>
    <cellStyle name="汇总 2 11 2 6 5" xfId="4612" xr:uid="{00000000-0005-0000-0000-000034120000}"/>
    <cellStyle name="汇总 2 11 2 6 5 2" xfId="3481" xr:uid="{00000000-0005-0000-0000-0000C90D0000}"/>
    <cellStyle name="汇总 2 11 2 6 6" xfId="7598" xr:uid="{00000000-0005-0000-0000-0000DE1D0000}"/>
    <cellStyle name="汇总 2 11 2 7" xfId="7608" xr:uid="{00000000-0005-0000-0000-0000E81D0000}"/>
    <cellStyle name="汇总 2 11 2 7 2" xfId="7610" xr:uid="{00000000-0005-0000-0000-0000EA1D0000}"/>
    <cellStyle name="汇总 2 11 2 7 2 2" xfId="7623" xr:uid="{00000000-0005-0000-0000-0000F71D0000}"/>
    <cellStyle name="汇总 2 11 2 7 3" xfId="7632" xr:uid="{00000000-0005-0000-0000-0000001E0000}"/>
    <cellStyle name="汇总 2 11 2 7 3 2" xfId="7642" xr:uid="{00000000-0005-0000-0000-00000A1E0000}"/>
    <cellStyle name="汇总 2 11 2 7 4" xfId="7652" xr:uid="{00000000-0005-0000-0000-0000141E0000}"/>
    <cellStyle name="汇总 2 11 2 7 4 2" xfId="7657" xr:uid="{00000000-0005-0000-0000-0000191E0000}"/>
    <cellStyle name="汇总 2 11 2 7 5" xfId="3455" xr:uid="{00000000-0005-0000-0000-0000AF0D0000}"/>
    <cellStyle name="汇总 2 11 2 7 5 2" xfId="7666" xr:uid="{00000000-0005-0000-0000-0000221E0000}"/>
    <cellStyle name="汇总 2 11 2 7 6" xfId="7681" xr:uid="{00000000-0005-0000-0000-0000311E0000}"/>
    <cellStyle name="汇总 2 11 2 8" xfId="7684" xr:uid="{00000000-0005-0000-0000-0000341E0000}"/>
    <cellStyle name="汇总 2 11 2 8 2" xfId="7693" xr:uid="{00000000-0005-0000-0000-00003D1E0000}"/>
    <cellStyle name="汇总 2 11 2 8 2 2" xfId="7694" xr:uid="{00000000-0005-0000-0000-00003E1E0000}"/>
    <cellStyle name="汇总 2 11 2 8 3" xfId="7700" xr:uid="{00000000-0005-0000-0000-0000441E0000}"/>
    <cellStyle name="汇总 2 11 2 8 3 2" xfId="7701" xr:uid="{00000000-0005-0000-0000-0000451E0000}"/>
    <cellStyle name="汇总 2 11 2 8 4" xfId="7713" xr:uid="{00000000-0005-0000-0000-0000511E0000}"/>
    <cellStyle name="汇总 2 11 2 8 4 2" xfId="7714" xr:uid="{00000000-0005-0000-0000-0000521E0000}"/>
    <cellStyle name="汇总 2 11 2 8 5" xfId="4626" xr:uid="{00000000-0005-0000-0000-000042120000}"/>
    <cellStyle name="汇总 2 11 2 9" xfId="736" xr:uid="{00000000-0005-0000-0000-000010030000}"/>
    <cellStyle name="汇总 2 11 2 9 2" xfId="7717" xr:uid="{00000000-0005-0000-0000-0000551E0000}"/>
    <cellStyle name="汇总 2 11 20" xfId="7094" xr:uid="{00000000-0005-0000-0000-0000E61B0000}"/>
    <cellStyle name="汇总 2 11 20 2" xfId="7110" xr:uid="{00000000-0005-0000-0000-0000F61B0000}"/>
    <cellStyle name="汇总 2 11 21" xfId="5811" xr:uid="{00000000-0005-0000-0000-0000E3160000}"/>
    <cellStyle name="汇总 2 11 21 2" xfId="7147" xr:uid="{00000000-0005-0000-0000-00001B1C0000}"/>
    <cellStyle name="汇总 2 11 22" xfId="7182" xr:uid="{00000000-0005-0000-0000-00003E1C0000}"/>
    <cellStyle name="汇总 2 11 22 2" xfId="7192" xr:uid="{00000000-0005-0000-0000-0000481C0000}"/>
    <cellStyle name="汇总 2 11 23" xfId="7236" xr:uid="{00000000-0005-0000-0000-0000741C0000}"/>
    <cellStyle name="汇总 2 11 23 2" xfId="7239" xr:uid="{00000000-0005-0000-0000-0000771C0000}"/>
    <cellStyle name="汇总 2 11 24" xfId="7273" xr:uid="{00000000-0005-0000-0000-0000991C0000}"/>
    <cellStyle name="汇总 2 11 25" xfId="7719" xr:uid="{00000000-0005-0000-0000-0000571E0000}"/>
    <cellStyle name="汇总 2 11 26" xfId="7724" xr:uid="{00000000-0005-0000-0000-00005C1E0000}"/>
    <cellStyle name="汇总 2 11 27" xfId="5177" xr:uid="{00000000-0005-0000-0000-000069140000}"/>
    <cellStyle name="汇总 2 11 3" xfId="1635" xr:uid="{00000000-0005-0000-0000-000093060000}"/>
    <cellStyle name="汇总 2 11 3 10" xfId="7733" xr:uid="{00000000-0005-0000-0000-0000651E0000}"/>
    <cellStyle name="汇总 2 11 3 10 2" xfId="7736" xr:uid="{00000000-0005-0000-0000-0000681E0000}"/>
    <cellStyle name="汇总 2 11 3 11" xfId="4761" xr:uid="{00000000-0005-0000-0000-0000C9120000}"/>
    <cellStyle name="汇总 2 11 3 11 2" xfId="7739" xr:uid="{00000000-0005-0000-0000-00006B1E0000}"/>
    <cellStyle name="汇总 2 11 3 12" xfId="7742" xr:uid="{00000000-0005-0000-0000-00006E1E0000}"/>
    <cellStyle name="汇总 2 11 3 12 2" xfId="7762" xr:uid="{00000000-0005-0000-0000-0000821E0000}"/>
    <cellStyle name="汇总 2 11 3 13" xfId="7764" xr:uid="{00000000-0005-0000-0000-0000841E0000}"/>
    <cellStyle name="汇总 2 11 3 14" xfId="7766" xr:uid="{00000000-0005-0000-0000-0000861E0000}"/>
    <cellStyle name="汇总 2 11 3 15" xfId="7774" xr:uid="{00000000-0005-0000-0000-00008E1E0000}"/>
    <cellStyle name="汇总 2 11 3 16" xfId="6496" xr:uid="{00000000-0005-0000-0000-000090190000}"/>
    <cellStyle name="汇总 2 11 3 2" xfId="7777" xr:uid="{00000000-0005-0000-0000-0000911E0000}"/>
    <cellStyle name="汇总 2 11 3 2 2" xfId="7783" xr:uid="{00000000-0005-0000-0000-0000971E0000}"/>
    <cellStyle name="汇总 2 11 3 2 2 2" xfId="316" xr:uid="{00000000-0005-0000-0000-00005B010000}"/>
    <cellStyle name="汇总 2 11 3 2 3" xfId="7330" xr:uid="{00000000-0005-0000-0000-0000D21C0000}"/>
    <cellStyle name="汇总 2 11 3 2 3 2" xfId="696" xr:uid="{00000000-0005-0000-0000-0000E8020000}"/>
    <cellStyle name="汇总 2 11 3 2 4" xfId="5708" xr:uid="{00000000-0005-0000-0000-00007C160000}"/>
    <cellStyle name="汇总 2 11 3 2 4 2" xfId="550" xr:uid="{00000000-0005-0000-0000-000056020000}"/>
    <cellStyle name="汇总 2 11 3 2 5" xfId="7788" xr:uid="{00000000-0005-0000-0000-00009C1E0000}"/>
    <cellStyle name="汇总 2 11 3 2 5 2" xfId="603" xr:uid="{00000000-0005-0000-0000-00008B020000}"/>
    <cellStyle name="汇总 2 11 3 2 6" xfId="2903" xr:uid="{00000000-0005-0000-0000-0000870B0000}"/>
    <cellStyle name="汇总 2 11 3 2 7" xfId="2950" xr:uid="{00000000-0005-0000-0000-0000B60B0000}"/>
    <cellStyle name="汇总 2 11 3 2 8" xfId="2989" xr:uid="{00000000-0005-0000-0000-0000DD0B0000}"/>
    <cellStyle name="汇总 2 11 3 2 9" xfId="3087" xr:uid="{00000000-0005-0000-0000-00003F0C0000}"/>
    <cellStyle name="汇总 2 11 3 3" xfId="7790" xr:uid="{00000000-0005-0000-0000-00009E1E0000}"/>
    <cellStyle name="汇总 2 11 3 3 2" xfId="7797" xr:uid="{00000000-0005-0000-0000-0000A51E0000}"/>
    <cellStyle name="汇总 2 11 3 3 2 2" xfId="5537" xr:uid="{00000000-0005-0000-0000-0000D1150000}"/>
    <cellStyle name="汇总 2 11 3 3 3" xfId="7347" xr:uid="{00000000-0005-0000-0000-0000E31C0000}"/>
    <cellStyle name="汇总 2 11 3 3 3 2" xfId="5586" xr:uid="{00000000-0005-0000-0000-000002160000}"/>
    <cellStyle name="汇总 2 11 3 3 4" xfId="5727" xr:uid="{00000000-0005-0000-0000-00008F160000}"/>
    <cellStyle name="汇总 2 11 3 3 4 2" xfId="3994" xr:uid="{00000000-0005-0000-0000-0000CA0F0000}"/>
    <cellStyle name="汇总 2 11 3 3 5" xfId="7804" xr:uid="{00000000-0005-0000-0000-0000AC1E0000}"/>
    <cellStyle name="汇总 2 11 3 3 5 2" xfId="7809" xr:uid="{00000000-0005-0000-0000-0000B11E0000}"/>
    <cellStyle name="汇总 2 11 3 3 6" xfId="3205" xr:uid="{00000000-0005-0000-0000-0000B50C0000}"/>
    <cellStyle name="汇总 2 11 3 4" xfId="7812" xr:uid="{00000000-0005-0000-0000-0000B41E0000}"/>
    <cellStyle name="汇总 2 11 3 4 2" xfId="7816" xr:uid="{00000000-0005-0000-0000-0000B81E0000}"/>
    <cellStyle name="汇总 2 11 3 4 2 2" xfId="5966" xr:uid="{00000000-0005-0000-0000-00007E170000}"/>
    <cellStyle name="汇总 2 11 3 4 3" xfId="7353" xr:uid="{00000000-0005-0000-0000-0000E91C0000}"/>
    <cellStyle name="汇总 2 11 3 4 3 2" xfId="6070" xr:uid="{00000000-0005-0000-0000-0000E6170000}"/>
    <cellStyle name="汇总 2 11 3 4 4" xfId="7819" xr:uid="{00000000-0005-0000-0000-0000BB1E0000}"/>
    <cellStyle name="汇总 2 11 3 4 4 2" xfId="5477" xr:uid="{00000000-0005-0000-0000-000095150000}"/>
    <cellStyle name="汇总 2 11 3 4 5" xfId="7822" xr:uid="{00000000-0005-0000-0000-0000BE1E0000}"/>
    <cellStyle name="汇总 2 11 3 4 5 2" xfId="7832" xr:uid="{00000000-0005-0000-0000-0000C81E0000}"/>
    <cellStyle name="汇总 2 11 3 4 6" xfId="3327" xr:uid="{00000000-0005-0000-0000-00002F0D0000}"/>
    <cellStyle name="汇总 2 11 3 5" xfId="7835" xr:uid="{00000000-0005-0000-0000-0000CB1E0000}"/>
    <cellStyle name="汇总 2 11 3 5 2" xfId="7838" xr:uid="{00000000-0005-0000-0000-0000CE1E0000}"/>
    <cellStyle name="汇总 2 11 3 5 2 2" xfId="6324" xr:uid="{00000000-0005-0000-0000-0000E4180000}"/>
    <cellStyle name="汇总 2 11 3 5 3" xfId="7361" xr:uid="{00000000-0005-0000-0000-0000F11C0000}"/>
    <cellStyle name="汇总 2 11 3 5 3 2" xfId="2349" xr:uid="{00000000-0005-0000-0000-00005D090000}"/>
    <cellStyle name="汇总 2 11 3 5 4" xfId="7847" xr:uid="{00000000-0005-0000-0000-0000D71E0000}"/>
    <cellStyle name="汇总 2 11 3 5 4 2" xfId="6404" xr:uid="{00000000-0005-0000-0000-000034190000}"/>
    <cellStyle name="汇总 2 11 3 5 5" xfId="7851" xr:uid="{00000000-0005-0000-0000-0000DB1E0000}"/>
    <cellStyle name="汇总 2 11 3 5 5 2" xfId="6461" xr:uid="{00000000-0005-0000-0000-00006D190000}"/>
    <cellStyle name="汇总 2 11 3 5 6" xfId="3381" xr:uid="{00000000-0005-0000-0000-0000650D0000}"/>
    <cellStyle name="汇总 2 11 3 6" xfId="7307" xr:uid="{00000000-0005-0000-0000-0000BB1C0000}"/>
    <cellStyle name="汇总 2 11 3 6 2" xfId="7856" xr:uid="{00000000-0005-0000-0000-0000E01E0000}"/>
    <cellStyle name="汇总 2 11 3 6 2 2" xfId="6699" xr:uid="{00000000-0005-0000-0000-00005B1A0000}"/>
    <cellStyle name="汇总 2 11 3 6 3" xfId="7859" xr:uid="{00000000-0005-0000-0000-0000E31E0000}"/>
    <cellStyle name="汇总 2 11 3 6 3 2" xfId="6753" xr:uid="{00000000-0005-0000-0000-0000911A0000}"/>
    <cellStyle name="汇总 2 11 3 6 4" xfId="7867" xr:uid="{00000000-0005-0000-0000-0000EB1E0000}"/>
    <cellStyle name="汇总 2 11 3 6 4 2" xfId="6822" xr:uid="{00000000-0005-0000-0000-0000D61A0000}"/>
    <cellStyle name="汇总 2 11 3 6 5" xfId="4632" xr:uid="{00000000-0005-0000-0000-000048120000}"/>
    <cellStyle name="汇总 2 11 3 6 5 2" xfId="6863" xr:uid="{00000000-0005-0000-0000-0000FF1A0000}"/>
    <cellStyle name="汇总 2 11 3 6 6" xfId="3420" xr:uid="{00000000-0005-0000-0000-00008C0D0000}"/>
    <cellStyle name="汇总 2 11 3 7" xfId="7868" xr:uid="{00000000-0005-0000-0000-0000EC1E0000}"/>
    <cellStyle name="汇总 2 11 3 7 2" xfId="7873" xr:uid="{00000000-0005-0000-0000-0000F11E0000}"/>
    <cellStyle name="汇总 2 11 3 7 2 2" xfId="7886" xr:uid="{00000000-0005-0000-0000-0000FE1E0000}"/>
    <cellStyle name="汇总 2 11 3 7 3" xfId="7894" xr:uid="{00000000-0005-0000-0000-0000061F0000}"/>
    <cellStyle name="汇总 2 11 3 7 3 2" xfId="7902" xr:uid="{00000000-0005-0000-0000-00000E1F0000}"/>
    <cellStyle name="汇总 2 11 3 7 4" xfId="7918" xr:uid="{00000000-0005-0000-0000-00001E1F0000}"/>
    <cellStyle name="汇总 2 11 3 7 4 2" xfId="7924" xr:uid="{00000000-0005-0000-0000-0000241F0000}"/>
    <cellStyle name="汇总 2 11 3 7 5" xfId="4644" xr:uid="{00000000-0005-0000-0000-000054120000}"/>
    <cellStyle name="汇总 2 11 3 7 5 2" xfId="7938" xr:uid="{00000000-0005-0000-0000-0000321F0000}"/>
    <cellStyle name="汇总 2 11 3 7 6" xfId="3475" xr:uid="{00000000-0005-0000-0000-0000C30D0000}"/>
    <cellStyle name="汇总 2 11 3 8" xfId="7947" xr:uid="{00000000-0005-0000-0000-00003B1F0000}"/>
    <cellStyle name="汇总 2 11 3 8 2" xfId="2127" xr:uid="{00000000-0005-0000-0000-00007F080000}"/>
    <cellStyle name="汇总 2 11 3 8 2 2" xfId="7955" xr:uid="{00000000-0005-0000-0000-0000431F0000}"/>
    <cellStyle name="汇总 2 11 3 8 3" xfId="27" xr:uid="{00000000-0005-0000-0000-00001F000000}"/>
    <cellStyle name="汇总 2 11 3 8 3 2" xfId="7963" xr:uid="{00000000-0005-0000-0000-00004B1F0000}"/>
    <cellStyle name="汇总 2 11 3 8 4" xfId="2140" xr:uid="{00000000-0005-0000-0000-00008C080000}"/>
    <cellStyle name="汇总 2 11 3 8 4 2" xfId="7772" xr:uid="{00000000-0005-0000-0000-00008C1E0000}"/>
    <cellStyle name="汇总 2 11 3 8 5" xfId="1059" xr:uid="{00000000-0005-0000-0000-000053040000}"/>
    <cellStyle name="汇总 2 11 3 9" xfId="4484" xr:uid="{00000000-0005-0000-0000-0000B4110000}"/>
    <cellStyle name="汇总 2 11 3 9 2" xfId="7966" xr:uid="{00000000-0005-0000-0000-00004E1F0000}"/>
    <cellStyle name="汇总 2 11 4" xfId="1646" xr:uid="{00000000-0005-0000-0000-00009E060000}"/>
    <cellStyle name="汇总 2 11 4 10" xfId="7969" xr:uid="{00000000-0005-0000-0000-0000511F0000}"/>
    <cellStyle name="汇总 2 11 4 10 2" xfId="7973" xr:uid="{00000000-0005-0000-0000-0000551F0000}"/>
    <cellStyle name="汇总 2 11 4 11" xfId="7975" xr:uid="{00000000-0005-0000-0000-0000571F0000}"/>
    <cellStyle name="汇总 2 11 4 11 2" xfId="7980" xr:uid="{00000000-0005-0000-0000-00005C1F0000}"/>
    <cellStyle name="汇总 2 11 4 12" xfId="6297" xr:uid="{00000000-0005-0000-0000-0000C9180000}"/>
    <cellStyle name="汇总 2 11 4 12 2" xfId="6311" xr:uid="{00000000-0005-0000-0000-0000D7180000}"/>
    <cellStyle name="汇总 2 11 4 13" xfId="6323" xr:uid="{00000000-0005-0000-0000-0000E3180000}"/>
    <cellStyle name="汇总 2 11 4 14" xfId="6332" xr:uid="{00000000-0005-0000-0000-0000EC180000}"/>
    <cellStyle name="汇总 2 11 4 15" xfId="3492" xr:uid="{00000000-0005-0000-0000-0000D40D0000}"/>
    <cellStyle name="汇总 2 11 4 16" xfId="6347" xr:uid="{00000000-0005-0000-0000-0000FB180000}"/>
    <cellStyle name="汇总 2 11 4 2" xfId="6158" xr:uid="{00000000-0005-0000-0000-00003E180000}"/>
    <cellStyle name="汇总 2 11 4 2 2" xfId="6168" xr:uid="{00000000-0005-0000-0000-000048180000}"/>
    <cellStyle name="汇总 2 11 4 2 2 2" xfId="2322" xr:uid="{00000000-0005-0000-0000-000042090000}"/>
    <cellStyle name="汇总 2 11 4 2 3" xfId="7402" xr:uid="{00000000-0005-0000-0000-00001A1D0000}"/>
    <cellStyle name="汇总 2 11 4 2 3 2" xfId="244" xr:uid="{00000000-0005-0000-0000-00000B010000}"/>
    <cellStyle name="汇总 2 11 4 2 4" xfId="5789" xr:uid="{00000000-0005-0000-0000-0000CD160000}"/>
    <cellStyle name="汇总 2 11 4 2 4 2" xfId="7983" xr:uid="{00000000-0005-0000-0000-00005F1F0000}"/>
    <cellStyle name="汇总 2 11 4 2 5" xfId="7988" xr:uid="{00000000-0005-0000-0000-0000641F0000}"/>
    <cellStyle name="汇总 2 11 4 2 5 2" xfId="7994" xr:uid="{00000000-0005-0000-0000-00006A1F0000}"/>
    <cellStyle name="汇总 2 11 4 2 6" xfId="7995" xr:uid="{00000000-0005-0000-0000-00006B1F0000}"/>
    <cellStyle name="汇总 2 11 4 2 7" xfId="8007" xr:uid="{00000000-0005-0000-0000-0000771F0000}"/>
    <cellStyle name="汇总 2 11 4 2 8" xfId="8010" xr:uid="{00000000-0005-0000-0000-00007A1F0000}"/>
    <cellStyle name="汇总 2 11 4 2 9" xfId="6605" xr:uid="{00000000-0005-0000-0000-0000FD190000}"/>
    <cellStyle name="汇总 2 11 4 3" xfId="6173" xr:uid="{00000000-0005-0000-0000-00004D180000}"/>
    <cellStyle name="汇总 2 11 4 3 2" xfId="6187" xr:uid="{00000000-0005-0000-0000-00005B180000}"/>
    <cellStyle name="汇总 2 11 4 3 2 2" xfId="7023" xr:uid="{00000000-0005-0000-0000-00009F1B0000}"/>
    <cellStyle name="汇总 2 11 4 3 3" xfId="7089" xr:uid="{00000000-0005-0000-0000-0000E11B0000}"/>
    <cellStyle name="汇总 2 11 4 3 3 2" xfId="7105" xr:uid="{00000000-0005-0000-0000-0000F11B0000}"/>
    <cellStyle name="汇总 2 11 4 3 4" xfId="5807" xr:uid="{00000000-0005-0000-0000-0000DF160000}"/>
    <cellStyle name="汇总 2 11 4 3 4 2" xfId="7142" xr:uid="{00000000-0005-0000-0000-0000161C0000}"/>
    <cellStyle name="汇总 2 11 4 3 5" xfId="7180" xr:uid="{00000000-0005-0000-0000-00003C1C0000}"/>
    <cellStyle name="汇总 2 11 4 3 5 2" xfId="7186" xr:uid="{00000000-0005-0000-0000-0000421C0000}"/>
    <cellStyle name="汇总 2 11 4 3 6" xfId="7233" xr:uid="{00000000-0005-0000-0000-0000711C0000}"/>
    <cellStyle name="汇总 2 11 4 4" xfId="6197" xr:uid="{00000000-0005-0000-0000-000065180000}"/>
    <cellStyle name="汇总 2 11 4 4 2" xfId="3950" xr:uid="{00000000-0005-0000-0000-00009E0F0000}"/>
    <cellStyle name="汇总 2 11 4 4 2 2" xfId="4013" xr:uid="{00000000-0005-0000-0000-0000DD0F0000}"/>
    <cellStyle name="汇总 2 11 4 4 3" xfId="4364" xr:uid="{00000000-0005-0000-0000-00003C110000}"/>
    <cellStyle name="汇总 2 11 4 4 3 2" xfId="4429" xr:uid="{00000000-0005-0000-0000-00007D110000}"/>
    <cellStyle name="汇总 2 11 4 4 4" xfId="3188" xr:uid="{00000000-0005-0000-0000-0000A40C0000}"/>
    <cellStyle name="汇总 2 11 4 4 4 2" xfId="2255" xr:uid="{00000000-0005-0000-0000-0000FF080000}"/>
    <cellStyle name="汇总 2 11 4 4 5" xfId="4917" xr:uid="{00000000-0005-0000-0000-000065130000}"/>
    <cellStyle name="汇总 2 11 4 4 5 2" xfId="4996" xr:uid="{00000000-0005-0000-0000-0000B4130000}"/>
    <cellStyle name="汇总 2 11 4 4 6" xfId="5219" xr:uid="{00000000-0005-0000-0000-000093140000}"/>
    <cellStyle name="汇总 2 11 4 5" xfId="6199" xr:uid="{00000000-0005-0000-0000-000067180000}"/>
    <cellStyle name="汇总 2 11 4 5 2" xfId="1637" xr:uid="{00000000-0005-0000-0000-000095060000}"/>
    <cellStyle name="汇总 2 11 4 5 2 2" xfId="7778" xr:uid="{00000000-0005-0000-0000-0000921E0000}"/>
    <cellStyle name="汇总 2 11 4 5 3" xfId="1649" xr:uid="{00000000-0005-0000-0000-0000A1060000}"/>
    <cellStyle name="汇总 2 11 4 5 3 2" xfId="6159" xr:uid="{00000000-0005-0000-0000-00003F180000}"/>
    <cellStyle name="汇总 2 11 4 5 4" xfId="8018" xr:uid="{00000000-0005-0000-0000-0000821F0000}"/>
    <cellStyle name="汇总 2 11 4 5 4 2" xfId="8021" xr:uid="{00000000-0005-0000-0000-0000851F0000}"/>
    <cellStyle name="汇总 2 11 4 5 5" xfId="8024" xr:uid="{00000000-0005-0000-0000-0000881F0000}"/>
    <cellStyle name="汇总 2 11 4 5 5 2" xfId="8030" xr:uid="{00000000-0005-0000-0000-00008E1F0000}"/>
    <cellStyle name="汇总 2 11 4 5 6" xfId="8033" xr:uid="{00000000-0005-0000-0000-0000911F0000}"/>
    <cellStyle name="汇总 2 11 4 6" xfId="2579" xr:uid="{00000000-0005-0000-0000-0000430A0000}"/>
    <cellStyle name="汇总 2 11 4 6 2" xfId="8040" xr:uid="{00000000-0005-0000-0000-0000981F0000}"/>
    <cellStyle name="汇总 2 11 4 6 2 2" xfId="10" xr:uid="{00000000-0005-0000-0000-00000C000000}"/>
    <cellStyle name="汇总 2 11 4 6 3" xfId="8045" xr:uid="{00000000-0005-0000-0000-00009D1F0000}"/>
    <cellStyle name="汇总 2 11 4 6 3 2" xfId="8050" xr:uid="{00000000-0005-0000-0000-0000A21F0000}"/>
    <cellStyle name="汇总 2 11 4 6 4" xfId="8057" xr:uid="{00000000-0005-0000-0000-0000A91F0000}"/>
    <cellStyle name="汇总 2 11 4 6 4 2" xfId="8062" xr:uid="{00000000-0005-0000-0000-0000AE1F0000}"/>
    <cellStyle name="汇总 2 11 4 6 5" xfId="4667" xr:uid="{00000000-0005-0000-0000-00006B120000}"/>
    <cellStyle name="汇总 2 11 4 6 5 2" xfId="6285" xr:uid="{00000000-0005-0000-0000-0000BD180000}"/>
    <cellStyle name="汇总 2 11 4 6 6" xfId="8066" xr:uid="{00000000-0005-0000-0000-0000B21F0000}"/>
    <cellStyle name="汇总 2 11 4 7" xfId="6202" xr:uid="{00000000-0005-0000-0000-00006A180000}"/>
    <cellStyle name="汇总 2 11 4 7 2" xfId="8074" xr:uid="{00000000-0005-0000-0000-0000BA1F0000}"/>
    <cellStyle name="汇总 2 11 4 7 2 2" xfId="8080" xr:uid="{00000000-0005-0000-0000-0000C01F0000}"/>
    <cellStyle name="汇总 2 11 4 7 3" xfId="8087" xr:uid="{00000000-0005-0000-0000-0000C71F0000}"/>
    <cellStyle name="汇总 2 11 4 7 3 2" xfId="8095" xr:uid="{00000000-0005-0000-0000-0000CF1F0000}"/>
    <cellStyle name="汇总 2 11 4 7 4" xfId="8102" xr:uid="{00000000-0005-0000-0000-0000D61F0000}"/>
    <cellStyle name="汇总 2 11 4 7 4 2" xfId="8105" xr:uid="{00000000-0005-0000-0000-0000D91F0000}"/>
    <cellStyle name="汇总 2 11 4 7 5" xfId="4678" xr:uid="{00000000-0005-0000-0000-000076120000}"/>
    <cellStyle name="汇总 2 11 4 7 5 2" xfId="8108" xr:uid="{00000000-0005-0000-0000-0000DC1F0000}"/>
    <cellStyle name="汇总 2 11 4 7 6" xfId="8117" xr:uid="{00000000-0005-0000-0000-0000E51F0000}"/>
    <cellStyle name="汇总 2 11 4 8" xfId="6211" xr:uid="{00000000-0005-0000-0000-000073180000}"/>
    <cellStyle name="汇总 2 11 4 8 2" xfId="8122" xr:uid="{00000000-0005-0000-0000-0000EA1F0000}"/>
    <cellStyle name="汇总 2 11 4 8 2 2" xfId="1577" xr:uid="{00000000-0005-0000-0000-000059060000}"/>
    <cellStyle name="汇总 2 11 4 8 3" xfId="8127" xr:uid="{00000000-0005-0000-0000-0000EF1F0000}"/>
    <cellStyle name="汇总 2 11 4 8 3 2" xfId="1474" xr:uid="{00000000-0005-0000-0000-0000F2050000}"/>
    <cellStyle name="汇总 2 11 4 8 4" xfId="8132" xr:uid="{00000000-0005-0000-0000-0000F41F0000}"/>
    <cellStyle name="汇总 2 11 4 8 4 2" xfId="3749" xr:uid="{00000000-0005-0000-0000-0000D50E0000}"/>
    <cellStyle name="汇总 2 11 4 8 5" xfId="328" xr:uid="{00000000-0005-0000-0000-000068010000}"/>
    <cellStyle name="汇总 2 11 4 9" xfId="4745" xr:uid="{00000000-0005-0000-0000-0000B9120000}"/>
    <cellStyle name="汇总 2 11 4 9 2" xfId="8138" xr:uid="{00000000-0005-0000-0000-0000FA1F0000}"/>
    <cellStyle name="汇总 2 11 5" xfId="8016" xr:uid="{00000000-0005-0000-0000-0000801F0000}"/>
    <cellStyle name="汇总 2 11 5 10" xfId="13" xr:uid="{00000000-0005-0000-0000-00000F000000}"/>
    <cellStyle name="汇总 2 11 5 10 2" xfId="2342" xr:uid="{00000000-0005-0000-0000-000056090000}"/>
    <cellStyle name="汇总 2 11 5 11" xfId="610" xr:uid="{00000000-0005-0000-0000-000092020000}"/>
    <cellStyle name="汇总 2 11 5 11 2" xfId="8139" xr:uid="{00000000-0005-0000-0000-0000FB1F0000}"/>
    <cellStyle name="汇总 2 11 5 12" xfId="6518" xr:uid="{00000000-0005-0000-0000-0000A6190000}"/>
    <cellStyle name="汇总 2 11 5 12 2" xfId="8150" xr:uid="{00000000-0005-0000-0000-000006200000}"/>
    <cellStyle name="汇总 2 11 5 13" xfId="2293" xr:uid="{00000000-0005-0000-0000-000025090000}"/>
    <cellStyle name="汇总 2 11 5 14" xfId="8153" xr:uid="{00000000-0005-0000-0000-000009200000}"/>
    <cellStyle name="汇总 2 11 5 15" xfId="3594" xr:uid="{00000000-0005-0000-0000-00003A0E0000}"/>
    <cellStyle name="汇总 2 11 5 16" xfId="8161" xr:uid="{00000000-0005-0000-0000-000011200000}"/>
    <cellStyle name="汇总 2 11 5 2" xfId="8020" xr:uid="{00000000-0005-0000-0000-0000841F0000}"/>
    <cellStyle name="汇总 2 11 5 2 2" xfId="8164" xr:uid="{00000000-0005-0000-0000-000014200000}"/>
    <cellStyle name="汇总 2 11 5 2 2 2" xfId="6888" xr:uid="{00000000-0005-0000-0000-0000181B0000}"/>
    <cellStyle name="汇总 2 11 5 2 3" xfId="7439" xr:uid="{00000000-0005-0000-0000-00003F1D0000}"/>
    <cellStyle name="汇总 2 11 5 2 3 2" xfId="8169" xr:uid="{00000000-0005-0000-0000-000019200000}"/>
    <cellStyle name="汇总 2 11 5 2 4" xfId="5911" xr:uid="{00000000-0005-0000-0000-000047170000}"/>
    <cellStyle name="汇总 2 11 5 2 4 2" xfId="8176" xr:uid="{00000000-0005-0000-0000-000020200000}"/>
    <cellStyle name="汇总 2 11 5 2 5" xfId="8185" xr:uid="{00000000-0005-0000-0000-000029200000}"/>
    <cellStyle name="汇总 2 11 5 2 5 2" xfId="8193" xr:uid="{00000000-0005-0000-0000-000031200000}"/>
    <cellStyle name="汇总 2 11 5 2 6" xfId="8207" xr:uid="{00000000-0005-0000-0000-00003F200000}"/>
    <cellStyle name="汇总 2 11 5 2 7" xfId="8210" xr:uid="{00000000-0005-0000-0000-000042200000}"/>
    <cellStyle name="汇总 2 11 5 2 8" xfId="7244" xr:uid="{00000000-0005-0000-0000-00007C1C0000}"/>
    <cellStyle name="汇总 2 11 5 2 9" xfId="6657" xr:uid="{00000000-0005-0000-0000-0000311A0000}"/>
    <cellStyle name="汇总 2 11 5 3" xfId="6754" xr:uid="{00000000-0005-0000-0000-0000921A0000}"/>
    <cellStyle name="汇总 2 11 5 3 2" xfId="8214" xr:uid="{00000000-0005-0000-0000-000046200000}"/>
    <cellStyle name="汇总 2 11 5 3 2 2" xfId="8221" xr:uid="{00000000-0005-0000-0000-00004D200000}"/>
    <cellStyle name="汇总 2 11 5 3 3" xfId="7455" xr:uid="{00000000-0005-0000-0000-00004F1D0000}"/>
    <cellStyle name="汇总 2 11 5 3 3 2" xfId="8230" xr:uid="{00000000-0005-0000-0000-000056200000}"/>
    <cellStyle name="汇总 2 11 5 3 4" xfId="5933" xr:uid="{00000000-0005-0000-0000-00005D170000}"/>
    <cellStyle name="汇总 2 11 5 3 4 2" xfId="8237" xr:uid="{00000000-0005-0000-0000-00005D200000}"/>
    <cellStyle name="汇总 2 11 5 3 5" xfId="8243" xr:uid="{00000000-0005-0000-0000-000063200000}"/>
    <cellStyle name="汇总 2 11 5 3 5 2" xfId="8250" xr:uid="{00000000-0005-0000-0000-00006A200000}"/>
    <cellStyle name="汇总 2 11 5 3 6" xfId="8252" xr:uid="{00000000-0005-0000-0000-00006C200000}"/>
    <cellStyle name="汇总 2 11 5 4" xfId="288" xr:uid="{00000000-0005-0000-0000-00003C010000}"/>
    <cellStyle name="汇总 2 11 5 4 2" xfId="8261" xr:uid="{00000000-0005-0000-0000-000075200000}"/>
    <cellStyle name="汇总 2 11 5 4 2 2" xfId="8268" xr:uid="{00000000-0005-0000-0000-00007C200000}"/>
    <cellStyle name="汇总 2 11 5 4 3" xfId="7466" xr:uid="{00000000-0005-0000-0000-00005A1D0000}"/>
    <cellStyle name="汇总 2 11 5 4 3 2" xfId="8279" xr:uid="{00000000-0005-0000-0000-000087200000}"/>
    <cellStyle name="汇总 2 11 5 4 4" xfId="8287" xr:uid="{00000000-0005-0000-0000-00008F200000}"/>
    <cellStyle name="汇总 2 11 5 4 4 2" xfId="6238" xr:uid="{00000000-0005-0000-0000-00008E180000}"/>
    <cellStyle name="汇总 2 11 5 4 5" xfId="8290" xr:uid="{00000000-0005-0000-0000-000092200000}"/>
    <cellStyle name="汇总 2 11 5 4 5 2" xfId="8298" xr:uid="{00000000-0005-0000-0000-00009A200000}"/>
    <cellStyle name="汇总 2 11 5 4 6" xfId="8300" xr:uid="{00000000-0005-0000-0000-00009C200000}"/>
    <cellStyle name="汇总 2 11 5 5" xfId="8309" xr:uid="{00000000-0005-0000-0000-0000A5200000}"/>
    <cellStyle name="汇总 2 11 5 5 2" xfId="8311" xr:uid="{00000000-0005-0000-0000-0000A7200000}"/>
    <cellStyle name="汇总 2 11 5 5 2 2" xfId="8324" xr:uid="{00000000-0005-0000-0000-0000B4200000}"/>
    <cellStyle name="汇总 2 11 5 5 3" xfId="7476" xr:uid="{00000000-0005-0000-0000-0000641D0000}"/>
    <cellStyle name="汇总 2 11 5 5 3 2" xfId="8333" xr:uid="{00000000-0005-0000-0000-0000BD200000}"/>
    <cellStyle name="汇总 2 11 5 5 4" xfId="8336" xr:uid="{00000000-0005-0000-0000-0000C0200000}"/>
    <cellStyle name="汇总 2 11 5 5 4 2" xfId="8344" xr:uid="{00000000-0005-0000-0000-0000C8200000}"/>
    <cellStyle name="汇总 2 11 5 5 5" xfId="8350" xr:uid="{00000000-0005-0000-0000-0000CE200000}"/>
    <cellStyle name="汇总 2 11 5 5 5 2" xfId="8356" xr:uid="{00000000-0005-0000-0000-0000D4200000}"/>
    <cellStyle name="汇总 2 11 5 5 6" xfId="8358" xr:uid="{00000000-0005-0000-0000-0000D6200000}"/>
    <cellStyle name="汇总 2 11 5 6" xfId="418" xr:uid="{00000000-0005-0000-0000-0000CA010000}"/>
    <cellStyle name="汇总 2 11 5 6 2" xfId="4548" xr:uid="{00000000-0005-0000-0000-0000F4110000}"/>
    <cellStyle name="汇总 2 11 5 6 2 2" xfId="8360" xr:uid="{00000000-0005-0000-0000-0000D8200000}"/>
    <cellStyle name="汇总 2 11 5 6 3" xfId="8372" xr:uid="{00000000-0005-0000-0000-0000E4200000}"/>
    <cellStyle name="汇总 2 11 5 6 3 2" xfId="8376" xr:uid="{00000000-0005-0000-0000-0000E8200000}"/>
    <cellStyle name="汇总 2 11 5 6 4" xfId="1265" xr:uid="{00000000-0005-0000-0000-000021050000}"/>
    <cellStyle name="汇总 2 11 5 6 4 2" xfId="8390" xr:uid="{00000000-0005-0000-0000-0000F6200000}"/>
    <cellStyle name="汇总 2 11 5 6 5" xfId="8397" xr:uid="{00000000-0005-0000-0000-0000FD200000}"/>
    <cellStyle name="汇总 2 11 5 6 5 2" xfId="8403" xr:uid="{00000000-0005-0000-0000-000003210000}"/>
    <cellStyle name="汇总 2 11 5 6 6" xfId="8404" xr:uid="{00000000-0005-0000-0000-000004210000}"/>
    <cellStyle name="汇总 2 11 5 7" xfId="474" xr:uid="{00000000-0005-0000-0000-000005020000}"/>
    <cellStyle name="汇总 2 11 5 7 2" xfId="4574" xr:uid="{00000000-0005-0000-0000-00000E120000}"/>
    <cellStyle name="汇总 2 11 5 7 2 2" xfId="8412" xr:uid="{00000000-0005-0000-0000-00000C210000}"/>
    <cellStyle name="汇总 2 11 5 7 3" xfId="8425" xr:uid="{00000000-0005-0000-0000-000019210000}"/>
    <cellStyle name="汇总 2 11 5 7 3 2" xfId="8439" xr:uid="{00000000-0005-0000-0000-000027210000}"/>
    <cellStyle name="汇总 2 11 5 7 4" xfId="8451" xr:uid="{00000000-0005-0000-0000-000033210000}"/>
    <cellStyle name="汇总 2 11 5 7 4 2" xfId="8461" xr:uid="{00000000-0005-0000-0000-00003D210000}"/>
    <cellStyle name="汇总 2 11 5 7 5" xfId="8463" xr:uid="{00000000-0005-0000-0000-00003F210000}"/>
    <cellStyle name="汇总 2 11 5 7 5 2" xfId="8467" xr:uid="{00000000-0005-0000-0000-000043210000}"/>
    <cellStyle name="汇总 2 11 5 7 6" xfId="8471" xr:uid="{00000000-0005-0000-0000-000047210000}"/>
    <cellStyle name="汇总 2 11 5 8" xfId="513" xr:uid="{00000000-0005-0000-0000-00002F020000}"/>
    <cellStyle name="汇总 2 11 5 8 2" xfId="5228" xr:uid="{00000000-0005-0000-0000-00009C140000}"/>
    <cellStyle name="汇总 2 11 5 8 2 2" xfId="7442" xr:uid="{00000000-0005-0000-0000-0000421D0000}"/>
    <cellStyle name="汇总 2 11 5 8 3" xfId="8476" xr:uid="{00000000-0005-0000-0000-00004C210000}"/>
    <cellStyle name="汇总 2 11 5 8 3 2" xfId="7504" xr:uid="{00000000-0005-0000-0000-0000801D0000}"/>
    <cellStyle name="汇总 2 11 5 8 4" xfId="8480" xr:uid="{00000000-0005-0000-0000-000050210000}"/>
    <cellStyle name="汇总 2 11 5 8 4 2" xfId="7567" xr:uid="{00000000-0005-0000-0000-0000BF1D0000}"/>
    <cellStyle name="汇总 2 11 5 8 5" xfId="8483" xr:uid="{00000000-0005-0000-0000-000053210000}"/>
    <cellStyle name="汇总 2 11 5 9" xfId="5245" xr:uid="{00000000-0005-0000-0000-0000AD140000}"/>
    <cellStyle name="汇总 2 11 5 9 2" xfId="5631" xr:uid="{00000000-0005-0000-0000-00002F160000}"/>
    <cellStyle name="汇总 2 11 6" xfId="8026" xr:uid="{00000000-0005-0000-0000-00008A1F0000}"/>
    <cellStyle name="汇总 2 11 6 10" xfId="740" xr:uid="{00000000-0005-0000-0000-000014030000}"/>
    <cellStyle name="汇总 2 11 6 10 2" xfId="8487" xr:uid="{00000000-0005-0000-0000-000057210000}"/>
    <cellStyle name="汇总 2 11 6 11" xfId="608" xr:uid="{00000000-0005-0000-0000-000090020000}"/>
    <cellStyle name="汇总 2 11 6 11 2" xfId="8496" xr:uid="{00000000-0005-0000-0000-000060210000}"/>
    <cellStyle name="汇总 2 11 6 12" xfId="6232" xr:uid="{00000000-0005-0000-0000-000088180000}"/>
    <cellStyle name="汇总 2 11 6 12 2" xfId="8503" xr:uid="{00000000-0005-0000-0000-000067210000}"/>
    <cellStyle name="汇总 2 11 6 13" xfId="8506" xr:uid="{00000000-0005-0000-0000-00006A210000}"/>
    <cellStyle name="汇总 2 11 6 14" xfId="2330" xr:uid="{00000000-0005-0000-0000-00004A090000}"/>
    <cellStyle name="汇总 2 11 6 15" xfId="6142" xr:uid="{00000000-0005-0000-0000-00002E180000}"/>
    <cellStyle name="汇总 2 11 6 16" xfId="7207" xr:uid="{00000000-0005-0000-0000-0000571C0000}"/>
    <cellStyle name="汇总 2 11 6 2" xfId="8032" xr:uid="{00000000-0005-0000-0000-0000901F0000}"/>
    <cellStyle name="汇总 2 11 6 2 2" xfId="8511" xr:uid="{00000000-0005-0000-0000-00006F210000}"/>
    <cellStyle name="汇总 2 11 6 2 2 2" xfId="6437" xr:uid="{00000000-0005-0000-0000-000055190000}"/>
    <cellStyle name="汇总 2 11 6 2 3" xfId="7501" xr:uid="{00000000-0005-0000-0000-00007D1D0000}"/>
    <cellStyle name="汇总 2 11 6 2 3 2" xfId="6838" xr:uid="{00000000-0005-0000-0000-0000E61A0000}"/>
    <cellStyle name="汇总 2 11 6 2 4" xfId="6012" xr:uid="{00000000-0005-0000-0000-0000AC170000}"/>
    <cellStyle name="汇总 2 11 6 2 4 2" xfId="6952" xr:uid="{00000000-0005-0000-0000-0000581B0000}"/>
    <cellStyle name="汇总 2 11 6 2 5" xfId="8517" xr:uid="{00000000-0005-0000-0000-000075210000}"/>
    <cellStyle name="汇总 2 11 6 2 5 2" xfId="8524" xr:uid="{00000000-0005-0000-0000-00007C210000}"/>
    <cellStyle name="汇总 2 11 6 2 6" xfId="8529" xr:uid="{00000000-0005-0000-0000-000081210000}"/>
    <cellStyle name="汇总 2 11 6 2 7" xfId="8531" xr:uid="{00000000-0005-0000-0000-000083210000}"/>
    <cellStyle name="汇总 2 11 6 2 8" xfId="5258" xr:uid="{00000000-0005-0000-0000-0000BA140000}"/>
    <cellStyle name="汇总 2 11 6 2 9" xfId="1425" xr:uid="{00000000-0005-0000-0000-0000C1050000}"/>
    <cellStyle name="汇总 2 11 6 3" xfId="6762" xr:uid="{00000000-0005-0000-0000-00009A1A0000}"/>
    <cellStyle name="汇总 2 11 6 3 2" xfId="8535" xr:uid="{00000000-0005-0000-0000-000087210000}"/>
    <cellStyle name="汇总 2 11 6 3 2 2" xfId="8543" xr:uid="{00000000-0005-0000-0000-00008F210000}"/>
    <cellStyle name="汇总 2 11 6 3 3" xfId="7511" xr:uid="{00000000-0005-0000-0000-0000871D0000}"/>
    <cellStyle name="汇总 2 11 6 3 3 2" xfId="8552" xr:uid="{00000000-0005-0000-0000-000098210000}"/>
    <cellStyle name="汇总 2 11 6 3 4" xfId="6035" xr:uid="{00000000-0005-0000-0000-0000C3170000}"/>
    <cellStyle name="汇总 2 11 6 3 4 2" xfId="8569" xr:uid="{00000000-0005-0000-0000-0000A9210000}"/>
    <cellStyle name="汇总 2 11 6 3 5" xfId="8570" xr:uid="{00000000-0005-0000-0000-0000AA210000}"/>
    <cellStyle name="汇总 2 11 6 3 5 2" xfId="3810" xr:uid="{00000000-0005-0000-0000-0000120F0000}"/>
    <cellStyle name="汇总 2 11 6 3 6" xfId="8577" xr:uid="{00000000-0005-0000-0000-0000B1210000}"/>
    <cellStyle name="汇总 2 11 6 4" xfId="4177" xr:uid="{00000000-0005-0000-0000-000081100000}"/>
    <cellStyle name="汇总 2 11 6 4 2" xfId="8584" xr:uid="{00000000-0005-0000-0000-0000B8210000}"/>
    <cellStyle name="汇总 2 11 6 4 2 2" xfId="3867" xr:uid="{00000000-0005-0000-0000-00004B0F0000}"/>
    <cellStyle name="汇总 2 11 6 4 3" xfId="7530" xr:uid="{00000000-0005-0000-0000-00009A1D0000}"/>
    <cellStyle name="汇总 2 11 6 4 3 2" xfId="4945" xr:uid="{00000000-0005-0000-0000-000081130000}"/>
    <cellStyle name="汇总 2 11 6 4 4" xfId="8588" xr:uid="{00000000-0005-0000-0000-0000BC210000}"/>
    <cellStyle name="汇总 2 11 6 4 4 2" xfId="62" xr:uid="{00000000-0005-0000-0000-000043000000}"/>
    <cellStyle name="汇总 2 11 6 4 5" xfId="8589" xr:uid="{00000000-0005-0000-0000-0000BD210000}"/>
    <cellStyle name="汇总 2 11 6 4 5 2" xfId="7600" xr:uid="{00000000-0005-0000-0000-0000E01D0000}"/>
    <cellStyle name="汇总 2 11 6 4 6" xfId="8593" xr:uid="{00000000-0005-0000-0000-0000C1210000}"/>
    <cellStyle name="汇总 2 11 6 5" xfId="8595" xr:uid="{00000000-0005-0000-0000-0000C3210000}"/>
    <cellStyle name="汇总 2 11 6 5 2" xfId="8605" xr:uid="{00000000-0005-0000-0000-0000CD210000}"/>
    <cellStyle name="汇总 2 11 6 5 2 2" xfId="4331" xr:uid="{00000000-0005-0000-0000-00001B110000}"/>
    <cellStyle name="汇总 2 11 6 5 3" xfId="7544" xr:uid="{00000000-0005-0000-0000-0000A81D0000}"/>
    <cellStyle name="汇总 2 11 6 5 3 2" xfId="8612" xr:uid="{00000000-0005-0000-0000-0000D4210000}"/>
    <cellStyle name="汇总 2 11 6 5 4" xfId="8615" xr:uid="{00000000-0005-0000-0000-0000D7210000}"/>
    <cellStyle name="汇总 2 11 6 5 4 2" xfId="8620" xr:uid="{00000000-0005-0000-0000-0000DC210000}"/>
    <cellStyle name="汇总 2 11 6 5 5" xfId="8625" xr:uid="{00000000-0005-0000-0000-0000E1210000}"/>
    <cellStyle name="汇总 2 11 6 5 5 2" xfId="8630" xr:uid="{00000000-0005-0000-0000-0000E6210000}"/>
    <cellStyle name="汇总 2 11 6 5 6" xfId="8631" xr:uid="{00000000-0005-0000-0000-0000E7210000}"/>
    <cellStyle name="汇总 2 11 6 6" xfId="2606" xr:uid="{00000000-0005-0000-0000-00005E0A0000}"/>
    <cellStyle name="汇总 2 11 6 6 2" xfId="8640" xr:uid="{00000000-0005-0000-0000-0000F0210000}"/>
    <cellStyle name="汇总 2 11 6 6 2 2" xfId="4658" xr:uid="{00000000-0005-0000-0000-000062120000}"/>
    <cellStyle name="汇总 2 11 6 6 3" xfId="8646" xr:uid="{00000000-0005-0000-0000-0000F6210000}"/>
    <cellStyle name="汇总 2 11 6 6 3 2" xfId="8655" xr:uid="{00000000-0005-0000-0000-0000FF210000}"/>
    <cellStyle name="汇总 2 11 6 6 4" xfId="8658" xr:uid="{00000000-0005-0000-0000-000002220000}"/>
    <cellStyle name="汇总 2 11 6 6 4 2" xfId="8663" xr:uid="{00000000-0005-0000-0000-000007220000}"/>
    <cellStyle name="汇总 2 11 6 6 5" xfId="8667" xr:uid="{00000000-0005-0000-0000-00000B220000}"/>
    <cellStyle name="汇总 2 11 6 6 5 2" xfId="8671" xr:uid="{00000000-0005-0000-0000-00000F220000}"/>
    <cellStyle name="汇总 2 11 6 6 6" xfId="8672" xr:uid="{00000000-0005-0000-0000-000010220000}"/>
    <cellStyle name="汇总 2 11 6 7" xfId="5661" xr:uid="{00000000-0005-0000-0000-00004D160000}"/>
    <cellStyle name="汇总 2 11 6 7 2" xfId="5663" xr:uid="{00000000-0005-0000-0000-00004F160000}"/>
    <cellStyle name="汇总 2 11 6 7 2 2" xfId="4875" xr:uid="{00000000-0005-0000-0000-00003B130000}"/>
    <cellStyle name="汇总 2 11 6 7 3" xfId="8683" xr:uid="{00000000-0005-0000-0000-00001B220000}"/>
    <cellStyle name="汇总 2 11 6 7 3 2" xfId="8689" xr:uid="{00000000-0005-0000-0000-000021220000}"/>
    <cellStyle name="汇总 2 11 6 7 4" xfId="8692" xr:uid="{00000000-0005-0000-0000-000024220000}"/>
    <cellStyle name="汇总 2 11 6 7 4 2" xfId="1384" xr:uid="{00000000-0005-0000-0000-000098050000}"/>
    <cellStyle name="汇总 2 11 6 7 5" xfId="8696" xr:uid="{00000000-0005-0000-0000-000028220000}"/>
    <cellStyle name="汇总 2 11 6 7 5 2" xfId="4695" xr:uid="{00000000-0005-0000-0000-000087120000}"/>
    <cellStyle name="汇总 2 11 6 7 6" xfId="8700" xr:uid="{00000000-0005-0000-0000-00002C220000}"/>
    <cellStyle name="汇总 2 11 6 8" xfId="5681" xr:uid="{00000000-0005-0000-0000-000061160000}"/>
    <cellStyle name="汇总 2 11 6 8 2" xfId="5688" xr:uid="{00000000-0005-0000-0000-000068160000}"/>
    <cellStyle name="汇总 2 11 6 8 2 2" xfId="1134" xr:uid="{00000000-0005-0000-0000-00009E040000}"/>
    <cellStyle name="汇总 2 11 6 8 3" xfId="8707" xr:uid="{00000000-0005-0000-0000-000033220000}"/>
    <cellStyle name="汇总 2 11 6 8 3 2" xfId="8708" xr:uid="{00000000-0005-0000-0000-000034220000}"/>
    <cellStyle name="汇总 2 11 6 8 4" xfId="1173" xr:uid="{00000000-0005-0000-0000-0000C5040000}"/>
    <cellStyle name="汇总 2 11 6 8 4 2" xfId="2422" xr:uid="{00000000-0005-0000-0000-0000A6090000}"/>
    <cellStyle name="汇总 2 11 6 8 5" xfId="1192" xr:uid="{00000000-0005-0000-0000-0000D8040000}"/>
    <cellStyle name="汇总 2 11 6 9" xfId="5699" xr:uid="{00000000-0005-0000-0000-000073160000}"/>
    <cellStyle name="汇总 2 11 6 9 2" xfId="5706" xr:uid="{00000000-0005-0000-0000-00007A160000}"/>
    <cellStyle name="汇总 2 11 7" xfId="8036" xr:uid="{00000000-0005-0000-0000-0000941F0000}"/>
    <cellStyle name="汇总 2 11 7 10" xfId="7754" xr:uid="{00000000-0005-0000-0000-00007A1E0000}"/>
    <cellStyle name="汇总 2 11 7 10 2" xfId="8709" xr:uid="{00000000-0005-0000-0000-000035220000}"/>
    <cellStyle name="汇总 2 11 7 11" xfId="3169" xr:uid="{00000000-0005-0000-0000-0000910C0000}"/>
    <cellStyle name="汇总 2 11 7 11 2" xfId="1392" xr:uid="{00000000-0005-0000-0000-0000A0050000}"/>
    <cellStyle name="汇总 2 11 7 12" xfId="3181" xr:uid="{00000000-0005-0000-0000-00009D0C0000}"/>
    <cellStyle name="汇总 2 11 7 12 2" xfId="3195" xr:uid="{00000000-0005-0000-0000-0000AB0C0000}"/>
    <cellStyle name="汇总 2 11 7 13" xfId="3196" xr:uid="{00000000-0005-0000-0000-0000AC0C0000}"/>
    <cellStyle name="汇总 2 11 7 14" xfId="346" xr:uid="{00000000-0005-0000-0000-00007C010000}"/>
    <cellStyle name="汇总 2 11 7 15" xfId="389" xr:uid="{00000000-0005-0000-0000-0000AA010000}"/>
    <cellStyle name="汇总 2 11 7 16" xfId="5288" xr:uid="{00000000-0005-0000-0000-0000D8140000}"/>
    <cellStyle name="汇总 2 11 7 2" xfId="8715" xr:uid="{00000000-0005-0000-0000-00003B220000}"/>
    <cellStyle name="汇总 2 11 7 2 2" xfId="8722" xr:uid="{00000000-0005-0000-0000-000042220000}"/>
    <cellStyle name="汇总 2 11 7 2 2 2" xfId="1687" xr:uid="{00000000-0005-0000-0000-0000C7060000}"/>
    <cellStyle name="汇总 2 11 7 2 3" xfId="7564" xr:uid="{00000000-0005-0000-0000-0000BC1D0000}"/>
    <cellStyle name="汇总 2 11 7 2 3 2" xfId="8728" xr:uid="{00000000-0005-0000-0000-000048220000}"/>
    <cellStyle name="汇总 2 11 7 2 4" xfId="6073" xr:uid="{00000000-0005-0000-0000-0000E9170000}"/>
    <cellStyle name="汇总 2 11 7 2 4 2" xfId="8729" xr:uid="{00000000-0005-0000-0000-000049220000}"/>
    <cellStyle name="汇总 2 11 7 2 5" xfId="8731" xr:uid="{00000000-0005-0000-0000-00004B220000}"/>
    <cellStyle name="汇总 2 11 7 2 5 2" xfId="8735" xr:uid="{00000000-0005-0000-0000-00004F220000}"/>
    <cellStyle name="汇总 2 11 7 2 6" xfId="8740" xr:uid="{00000000-0005-0000-0000-000054220000}"/>
    <cellStyle name="汇总 2 11 7 2 7" xfId="8742" xr:uid="{00000000-0005-0000-0000-000056220000}"/>
    <cellStyle name="汇总 2 11 7 2 8" xfId="8713" xr:uid="{00000000-0005-0000-0000-000039220000}"/>
    <cellStyle name="汇总 2 11 7 2 9" xfId="6784" xr:uid="{00000000-0005-0000-0000-0000B01A0000}"/>
    <cellStyle name="汇总 2 11 7 3" xfId="6780" xr:uid="{00000000-0005-0000-0000-0000AC1A0000}"/>
    <cellStyle name="汇总 2 11 7 3 2" xfId="8746" xr:uid="{00000000-0005-0000-0000-00005A220000}"/>
    <cellStyle name="汇总 2 11 7 3 2 2" xfId="8755" xr:uid="{00000000-0005-0000-0000-000063220000}"/>
    <cellStyle name="汇总 2 11 7 3 3" xfId="7578" xr:uid="{00000000-0005-0000-0000-0000CA1D0000}"/>
    <cellStyle name="汇总 2 11 7 3 3 2" xfId="8758" xr:uid="{00000000-0005-0000-0000-000066220000}"/>
    <cellStyle name="汇总 2 11 7 3 4" xfId="6080" xr:uid="{00000000-0005-0000-0000-0000F0170000}"/>
    <cellStyle name="汇总 2 11 7 3 4 2" xfId="8759" xr:uid="{00000000-0005-0000-0000-000067220000}"/>
    <cellStyle name="汇总 2 11 7 3 5" xfId="8760" xr:uid="{00000000-0005-0000-0000-000068220000}"/>
    <cellStyle name="汇总 2 11 7 3 5 2" xfId="183" xr:uid="{00000000-0005-0000-0000-0000C6000000}"/>
    <cellStyle name="汇总 2 11 7 3 6" xfId="8762" xr:uid="{00000000-0005-0000-0000-00006A220000}"/>
    <cellStyle name="汇总 2 11 7 4" xfId="4194" xr:uid="{00000000-0005-0000-0000-000092100000}"/>
    <cellStyle name="汇总 2 11 7 4 2" xfId="8764" xr:uid="{00000000-0005-0000-0000-00006C220000}"/>
    <cellStyle name="汇总 2 11 7 4 2 2" xfId="7675" xr:uid="{00000000-0005-0000-0000-00002B1E0000}"/>
    <cellStyle name="汇总 2 11 7 4 3" xfId="7591" xr:uid="{00000000-0005-0000-0000-0000D71D0000}"/>
    <cellStyle name="汇总 2 11 7 4 3 2" xfId="8768" xr:uid="{00000000-0005-0000-0000-000070220000}"/>
    <cellStyle name="汇总 2 11 7 4 4" xfId="8769" xr:uid="{00000000-0005-0000-0000-000071220000}"/>
    <cellStyle name="汇总 2 11 7 4 4 2" xfId="8771" xr:uid="{00000000-0005-0000-0000-000073220000}"/>
    <cellStyle name="汇总 2 11 7 4 5" xfId="8772" xr:uid="{00000000-0005-0000-0000-000074220000}"/>
    <cellStyle name="汇总 2 11 7 4 5 2" xfId="8775" xr:uid="{00000000-0005-0000-0000-000077220000}"/>
    <cellStyle name="汇总 2 11 7 4 6" xfId="143" xr:uid="{00000000-0005-0000-0000-00009B000000}"/>
    <cellStyle name="汇总 2 11 7 5" xfId="8778" xr:uid="{00000000-0005-0000-0000-00007A220000}"/>
    <cellStyle name="汇总 2 11 7 5 2" xfId="3459" xr:uid="{00000000-0005-0000-0000-0000B30D0000}"/>
    <cellStyle name="汇总 2 11 7 5 2 2" xfId="3466" xr:uid="{00000000-0005-0000-0000-0000BA0D0000}"/>
    <cellStyle name="汇总 2 11 7 5 3" xfId="3484" xr:uid="{00000000-0005-0000-0000-0000CC0D0000}"/>
    <cellStyle name="汇总 2 11 7 5 3 2" xfId="1094" xr:uid="{00000000-0005-0000-0000-000076040000}"/>
    <cellStyle name="汇总 2 11 7 5 4" xfId="3269" xr:uid="{00000000-0005-0000-0000-0000F50C0000}"/>
    <cellStyle name="汇总 2 11 7 5 4 2" xfId="1116" xr:uid="{00000000-0005-0000-0000-00008C040000}"/>
    <cellStyle name="汇总 2 11 7 5 5" xfId="3513" xr:uid="{00000000-0005-0000-0000-0000E90D0000}"/>
    <cellStyle name="汇总 2 11 7 5 5 2" xfId="1145" xr:uid="{00000000-0005-0000-0000-0000A9040000}"/>
    <cellStyle name="汇总 2 11 7 5 6" xfId="2319" xr:uid="{00000000-0005-0000-0000-00003F090000}"/>
    <cellStyle name="汇总 2 11 7 6" xfId="2638" xr:uid="{00000000-0005-0000-0000-00007E0A0000}"/>
    <cellStyle name="汇总 2 11 7 6 2" xfId="8784" xr:uid="{00000000-0005-0000-0000-000080220000}"/>
    <cellStyle name="汇总 2 11 7 6 2 2" xfId="8113" xr:uid="{00000000-0005-0000-0000-0000E11F0000}"/>
    <cellStyle name="汇总 2 11 7 6 3" xfId="234" xr:uid="{00000000-0005-0000-0000-0000FF000000}"/>
    <cellStyle name="汇总 2 11 7 6 3 2" xfId="932" xr:uid="{00000000-0005-0000-0000-0000D4030000}"/>
    <cellStyle name="汇总 2 11 7 6 4" xfId="169" xr:uid="{00000000-0005-0000-0000-0000B7000000}"/>
    <cellStyle name="汇总 2 11 7 6 4 2" xfId="962" xr:uid="{00000000-0005-0000-0000-0000F2030000}"/>
    <cellStyle name="汇总 2 11 7 6 5" xfId="112" xr:uid="{00000000-0005-0000-0000-000079000000}"/>
    <cellStyle name="汇总 2 11 7 6 5 2" xfId="978" xr:uid="{00000000-0005-0000-0000-000002040000}"/>
    <cellStyle name="汇总 2 11 7 6 6" xfId="246" xr:uid="{00000000-0005-0000-0000-00000D010000}"/>
    <cellStyle name="汇总 2 11 7 7" xfId="5757" xr:uid="{00000000-0005-0000-0000-0000AD160000}"/>
    <cellStyle name="汇总 2 11 7 7 2" xfId="5764" xr:uid="{00000000-0005-0000-0000-0000B4160000}"/>
    <cellStyle name="汇总 2 11 7 7 2 2" xfId="8469" xr:uid="{00000000-0005-0000-0000-000045210000}"/>
    <cellStyle name="汇总 2 11 7 7 3" xfId="8792" xr:uid="{00000000-0005-0000-0000-000088220000}"/>
    <cellStyle name="汇总 2 11 7 7 3 2" xfId="8793" xr:uid="{00000000-0005-0000-0000-000089220000}"/>
    <cellStyle name="汇总 2 11 7 7 4" xfId="8794" xr:uid="{00000000-0005-0000-0000-00008A220000}"/>
    <cellStyle name="汇总 2 11 7 7 4 2" xfId="7381" xr:uid="{00000000-0005-0000-0000-0000051D0000}"/>
    <cellStyle name="汇总 2 11 7 7 5" xfId="8798" xr:uid="{00000000-0005-0000-0000-00008E220000}"/>
    <cellStyle name="汇总 2 11 7 7 5 2" xfId="8802" xr:uid="{00000000-0005-0000-0000-000092220000}"/>
    <cellStyle name="汇总 2 11 7 7 6" xfId="7985" xr:uid="{00000000-0005-0000-0000-0000611F0000}"/>
    <cellStyle name="汇总 2 11 7 8" xfId="5774" xr:uid="{00000000-0005-0000-0000-0000BE160000}"/>
    <cellStyle name="汇总 2 11 7 8 2" xfId="294" xr:uid="{00000000-0005-0000-0000-000043010000}"/>
    <cellStyle name="汇总 2 11 7 8 2 2" xfId="8699" xr:uid="{00000000-0005-0000-0000-00002B220000}"/>
    <cellStyle name="汇总 2 11 7 8 3" xfId="8808" xr:uid="{00000000-0005-0000-0000-000098220000}"/>
    <cellStyle name="汇总 2 11 7 8 3 2" xfId="2477" xr:uid="{00000000-0005-0000-0000-0000DD090000}"/>
    <cellStyle name="汇总 2 11 7 8 4" xfId="8810" xr:uid="{00000000-0005-0000-0000-00009A220000}"/>
    <cellStyle name="汇总 2 11 7 8 4 2" xfId="2988" xr:uid="{00000000-0005-0000-0000-0000DC0B0000}"/>
    <cellStyle name="汇总 2 11 7 8 5" xfId="8811" xr:uid="{00000000-0005-0000-0000-00009B220000}"/>
    <cellStyle name="汇总 2 11 7 9" xfId="5782" xr:uid="{00000000-0005-0000-0000-0000C6160000}"/>
    <cellStyle name="汇总 2 11 7 9 2" xfId="5787" xr:uid="{00000000-0005-0000-0000-0000CB160000}"/>
    <cellStyle name="汇总 2 11 8" xfId="8819" xr:uid="{00000000-0005-0000-0000-0000A3220000}"/>
    <cellStyle name="汇总 2 11 8 10" xfId="8822" xr:uid="{00000000-0005-0000-0000-0000A6220000}"/>
    <cellStyle name="汇总 2 11 8 10 2" xfId="5415" xr:uid="{00000000-0005-0000-0000-000057150000}"/>
    <cellStyle name="汇总 2 11 8 11" xfId="4811" xr:uid="{00000000-0005-0000-0000-0000FB120000}"/>
    <cellStyle name="汇总 2 11 8 11 2" xfId="8818" xr:uid="{00000000-0005-0000-0000-0000A2220000}"/>
    <cellStyle name="汇总 2 11 8 12" xfId="8842" xr:uid="{00000000-0005-0000-0000-0000BA220000}"/>
    <cellStyle name="汇总 2 11 8 12 2" xfId="8845" xr:uid="{00000000-0005-0000-0000-0000BD220000}"/>
    <cellStyle name="汇总 2 11 8 13" xfId="8852" xr:uid="{00000000-0005-0000-0000-0000C4220000}"/>
    <cellStyle name="汇总 2 11 8 14" xfId="8858" xr:uid="{00000000-0005-0000-0000-0000CA220000}"/>
    <cellStyle name="汇总 2 11 8 15" xfId="8860" xr:uid="{00000000-0005-0000-0000-0000CC220000}"/>
    <cellStyle name="汇总 2 11 8 16" xfId="8866" xr:uid="{00000000-0005-0000-0000-0000D2220000}"/>
    <cellStyle name="汇总 2 11 8 2" xfId="8869" xr:uid="{00000000-0005-0000-0000-0000D5220000}"/>
    <cellStyle name="汇总 2 11 8 2 2" xfId="8878" xr:uid="{00000000-0005-0000-0000-0000DE220000}"/>
    <cellStyle name="汇总 2 11 8 2 2 2" xfId="8892" xr:uid="{00000000-0005-0000-0000-0000EC220000}"/>
    <cellStyle name="汇总 2 11 8 2 3" xfId="7626" xr:uid="{00000000-0005-0000-0000-0000FA1D0000}"/>
    <cellStyle name="汇总 2 11 8 2 3 2" xfId="8829" xr:uid="{00000000-0005-0000-0000-0000AD220000}"/>
    <cellStyle name="汇总 2 11 8 2 4" xfId="6122" xr:uid="{00000000-0005-0000-0000-00001A180000}"/>
    <cellStyle name="汇总 2 11 8 2 4 2" xfId="8903" xr:uid="{00000000-0005-0000-0000-0000F7220000}"/>
    <cellStyle name="汇总 2 11 8 2 5" xfId="8907" xr:uid="{00000000-0005-0000-0000-0000FB220000}"/>
    <cellStyle name="汇总 2 11 8 2 5 2" xfId="8914" xr:uid="{00000000-0005-0000-0000-000002230000}"/>
    <cellStyle name="汇总 2 11 8 2 6" xfId="6580" xr:uid="{00000000-0005-0000-0000-0000E4190000}"/>
    <cellStyle name="汇总 2 11 8 2 7" xfId="6613" xr:uid="{00000000-0005-0000-0000-0000051A0000}"/>
    <cellStyle name="汇总 2 11 8 2 8" xfId="6666" xr:uid="{00000000-0005-0000-0000-00003A1A0000}"/>
    <cellStyle name="汇总 2 11 8 2 9" xfId="6723" xr:uid="{00000000-0005-0000-0000-0000731A0000}"/>
    <cellStyle name="汇总 2 11 8 3" xfId="8916" xr:uid="{00000000-0005-0000-0000-000004230000}"/>
    <cellStyle name="汇总 2 11 8 3 2" xfId="8926" xr:uid="{00000000-0005-0000-0000-00000E230000}"/>
    <cellStyle name="汇总 2 11 8 3 2 2" xfId="4725" xr:uid="{00000000-0005-0000-0000-0000A5120000}"/>
    <cellStyle name="汇总 2 11 8 3 3" xfId="7644" xr:uid="{00000000-0005-0000-0000-00000C1E0000}"/>
    <cellStyle name="汇总 2 11 8 3 3 2" xfId="8945" xr:uid="{00000000-0005-0000-0000-000021230000}"/>
    <cellStyle name="汇总 2 11 8 3 4" xfId="8949" xr:uid="{00000000-0005-0000-0000-000025230000}"/>
    <cellStyle name="汇总 2 11 8 3 4 2" xfId="8958" xr:uid="{00000000-0005-0000-0000-00002E230000}"/>
    <cellStyle name="汇总 2 11 8 3 5" xfId="8961" xr:uid="{00000000-0005-0000-0000-000031230000}"/>
    <cellStyle name="汇总 2 11 8 3 5 2" xfId="8971" xr:uid="{00000000-0005-0000-0000-00003B230000}"/>
    <cellStyle name="汇总 2 11 8 3 6" xfId="6900" xr:uid="{00000000-0005-0000-0000-0000241B0000}"/>
    <cellStyle name="汇总 2 11 8 4" xfId="4218" xr:uid="{00000000-0005-0000-0000-0000AA100000}"/>
    <cellStyle name="汇总 2 11 8 4 2" xfId="8973" xr:uid="{00000000-0005-0000-0000-00003D230000}"/>
    <cellStyle name="汇总 2 11 8 4 2 2" xfId="2464" xr:uid="{00000000-0005-0000-0000-0000D0090000}"/>
    <cellStyle name="汇总 2 11 8 4 3" xfId="7661" xr:uid="{00000000-0005-0000-0000-00001D1E0000}"/>
    <cellStyle name="汇总 2 11 8 4 3 2" xfId="1777" xr:uid="{00000000-0005-0000-0000-000021070000}"/>
    <cellStyle name="汇总 2 11 8 4 4" xfId="8988" xr:uid="{00000000-0005-0000-0000-00004C230000}"/>
    <cellStyle name="汇总 2 11 8 4 4 2" xfId="2524" xr:uid="{00000000-0005-0000-0000-00000C0A0000}"/>
    <cellStyle name="汇总 2 11 8 4 5" xfId="8994" xr:uid="{00000000-0005-0000-0000-000052230000}"/>
    <cellStyle name="汇总 2 11 8 4 5 2" xfId="2616" xr:uid="{00000000-0005-0000-0000-0000680A0000}"/>
    <cellStyle name="汇总 2 11 8 4 6" xfId="6971" xr:uid="{00000000-0005-0000-0000-00006B1B0000}"/>
    <cellStyle name="汇总 2 11 8 5" xfId="8996" xr:uid="{00000000-0005-0000-0000-000054230000}"/>
    <cellStyle name="汇总 2 11 8 5 2" xfId="9007" xr:uid="{00000000-0005-0000-0000-00005F230000}"/>
    <cellStyle name="汇总 2 11 8 5 2 2" xfId="2969" xr:uid="{00000000-0005-0000-0000-0000C90B0000}"/>
    <cellStyle name="汇总 2 11 8 5 3" xfId="7669" xr:uid="{00000000-0005-0000-0000-0000251E0000}"/>
    <cellStyle name="汇总 2 11 8 5 3 2" xfId="3065" xr:uid="{00000000-0005-0000-0000-0000290C0000}"/>
    <cellStyle name="汇总 2 11 8 5 4" xfId="9015" xr:uid="{00000000-0005-0000-0000-000067230000}"/>
    <cellStyle name="汇总 2 11 8 5 4 2" xfId="3139" xr:uid="{00000000-0005-0000-0000-0000730C0000}"/>
    <cellStyle name="汇总 2 11 8 5 5" xfId="9025" xr:uid="{00000000-0005-0000-0000-000071230000}"/>
    <cellStyle name="汇总 2 11 8 5 5 2" xfId="348" xr:uid="{00000000-0005-0000-0000-00007E010000}"/>
    <cellStyle name="汇总 2 11 8 5 6" xfId="7026" xr:uid="{00000000-0005-0000-0000-0000A21B0000}"/>
    <cellStyle name="汇总 2 11 8 6" xfId="9030" xr:uid="{00000000-0005-0000-0000-000076230000}"/>
    <cellStyle name="汇总 2 11 8 6 2" xfId="9038" xr:uid="{00000000-0005-0000-0000-00007E230000}"/>
    <cellStyle name="汇总 2 11 8 6 2 2" xfId="9047" xr:uid="{00000000-0005-0000-0000-000087230000}"/>
    <cellStyle name="汇总 2 11 8 6 3" xfId="9057" xr:uid="{00000000-0005-0000-0000-000091230000}"/>
    <cellStyle name="汇总 2 11 8 6 3 2" xfId="9066" xr:uid="{00000000-0005-0000-0000-00009A230000}"/>
    <cellStyle name="汇总 2 11 8 6 4" xfId="9073" xr:uid="{00000000-0005-0000-0000-0000A1230000}"/>
    <cellStyle name="汇总 2 11 8 6 4 2" xfId="9078" xr:uid="{00000000-0005-0000-0000-0000A6230000}"/>
    <cellStyle name="汇总 2 11 8 6 5" xfId="9088" xr:uid="{00000000-0005-0000-0000-0000B0230000}"/>
    <cellStyle name="汇总 2 11 8 6 5 2" xfId="9094" xr:uid="{00000000-0005-0000-0000-0000B6230000}"/>
    <cellStyle name="汇总 2 11 8 6 6" xfId="7107" xr:uid="{00000000-0005-0000-0000-0000F31B0000}"/>
    <cellStyle name="汇总 2 11 8 7" xfId="5833" xr:uid="{00000000-0005-0000-0000-0000F9160000}"/>
    <cellStyle name="汇总 2 11 8 7 2" xfId="5847" xr:uid="{00000000-0005-0000-0000-000007170000}"/>
    <cellStyle name="汇总 2 11 8 7 2 2" xfId="9101" xr:uid="{00000000-0005-0000-0000-0000BD230000}"/>
    <cellStyle name="汇总 2 11 8 7 3" xfId="9115" xr:uid="{00000000-0005-0000-0000-0000CB230000}"/>
    <cellStyle name="汇总 2 11 8 7 3 2" xfId="9127" xr:uid="{00000000-0005-0000-0000-0000D7230000}"/>
    <cellStyle name="汇总 2 11 8 7 4" xfId="9132" xr:uid="{00000000-0005-0000-0000-0000DC230000}"/>
    <cellStyle name="汇总 2 11 8 7 4 2" xfId="9142" xr:uid="{00000000-0005-0000-0000-0000E6230000}"/>
    <cellStyle name="汇总 2 11 8 7 5" xfId="9151" xr:uid="{00000000-0005-0000-0000-0000EF230000}"/>
    <cellStyle name="汇总 2 11 8 7 5 2" xfId="1552" xr:uid="{00000000-0005-0000-0000-000040060000}"/>
    <cellStyle name="汇总 2 11 8 7 6" xfId="7144" xr:uid="{00000000-0005-0000-0000-0000181C0000}"/>
    <cellStyle name="汇总 2 11 8 8" xfId="5862" xr:uid="{00000000-0005-0000-0000-000016170000}"/>
    <cellStyle name="汇总 2 11 8 8 2" xfId="5876" xr:uid="{00000000-0005-0000-0000-000024170000}"/>
    <cellStyle name="汇总 2 11 8 8 2 2" xfId="8158" xr:uid="{00000000-0005-0000-0000-00000E200000}"/>
    <cellStyle name="汇总 2 11 8 8 3" xfId="9163" xr:uid="{00000000-0005-0000-0000-0000FB230000}"/>
    <cellStyle name="汇总 2 11 8 8 3 2" xfId="2863" xr:uid="{00000000-0005-0000-0000-00005F0B0000}"/>
    <cellStyle name="汇总 2 11 8 8 4" xfId="9169" xr:uid="{00000000-0005-0000-0000-000001240000}"/>
    <cellStyle name="汇总 2 11 8 8 4 2" xfId="9179" xr:uid="{00000000-0005-0000-0000-00000B240000}"/>
    <cellStyle name="汇总 2 11 8 8 5" xfId="9180" xr:uid="{00000000-0005-0000-0000-00000C240000}"/>
    <cellStyle name="汇总 2 11 8 9" xfId="5890" xr:uid="{00000000-0005-0000-0000-000032170000}"/>
    <cellStyle name="汇总 2 11 8 9 2" xfId="5905" xr:uid="{00000000-0005-0000-0000-000041170000}"/>
    <cellStyle name="汇总 2 11 9" xfId="9192" xr:uid="{00000000-0005-0000-0000-000018240000}"/>
    <cellStyle name="汇总 2 11 9 10" xfId="1140" xr:uid="{00000000-0005-0000-0000-0000A4040000}"/>
    <cellStyle name="汇总 2 11 9 10 2" xfId="3610" xr:uid="{00000000-0005-0000-0000-00004A0E0000}"/>
    <cellStyle name="汇总 2 11 9 11" xfId="1157" xr:uid="{00000000-0005-0000-0000-0000B5040000}"/>
    <cellStyle name="汇总 2 11 9 11 2" xfId="4140" xr:uid="{00000000-0005-0000-0000-00005C100000}"/>
    <cellStyle name="汇总 2 11 9 12" xfId="6684" xr:uid="{00000000-0005-0000-0000-00004C1A0000}"/>
    <cellStyle name="汇总 2 11 9 12 2" xfId="4499" xr:uid="{00000000-0005-0000-0000-0000C3110000}"/>
    <cellStyle name="汇总 2 11 9 13" xfId="6698" xr:uid="{00000000-0005-0000-0000-00005A1A0000}"/>
    <cellStyle name="汇总 2 11 9 14" xfId="6709" xr:uid="{00000000-0005-0000-0000-0000651A0000}"/>
    <cellStyle name="汇总 2 11 9 15" xfId="1416" xr:uid="{00000000-0005-0000-0000-0000B8050000}"/>
    <cellStyle name="汇总 2 11 9 16" xfId="6719" xr:uid="{00000000-0005-0000-0000-00006F1A0000}"/>
    <cellStyle name="汇总 2 11 9 2" xfId="6524" xr:uid="{00000000-0005-0000-0000-0000AC190000}"/>
    <cellStyle name="汇总 2 11 9 2 2" xfId="6530" xr:uid="{00000000-0005-0000-0000-0000B2190000}"/>
    <cellStyle name="汇总 2 11 9 2 2 2" xfId="9194" xr:uid="{00000000-0005-0000-0000-00001A240000}"/>
    <cellStyle name="汇总 2 11 9 2 3" xfId="7695" xr:uid="{00000000-0005-0000-0000-00003F1E0000}"/>
    <cellStyle name="汇总 2 11 9 2 3 2" xfId="9197" xr:uid="{00000000-0005-0000-0000-00001D240000}"/>
    <cellStyle name="汇总 2 11 9 2 4" xfId="9203" xr:uid="{00000000-0005-0000-0000-000023240000}"/>
    <cellStyle name="汇总 2 11 9 2 4 2" xfId="9205" xr:uid="{00000000-0005-0000-0000-000025240000}"/>
    <cellStyle name="汇总 2 11 9 2 5" xfId="9209" xr:uid="{00000000-0005-0000-0000-000029240000}"/>
    <cellStyle name="汇总 2 11 9 2 5 2" xfId="9215" xr:uid="{00000000-0005-0000-0000-00002F240000}"/>
    <cellStyle name="汇总 2 11 9 2 6" xfId="9223" xr:uid="{00000000-0005-0000-0000-000037240000}"/>
    <cellStyle name="汇总 2 11 9 2 7" xfId="9228" xr:uid="{00000000-0005-0000-0000-00003C240000}"/>
    <cellStyle name="汇总 2 11 9 2 8" xfId="9230" xr:uid="{00000000-0005-0000-0000-00003E240000}"/>
    <cellStyle name="汇总 2 11 9 2 9" xfId="6877" xr:uid="{00000000-0005-0000-0000-00000D1B0000}"/>
    <cellStyle name="汇总 2 11 9 3" xfId="6536" xr:uid="{00000000-0005-0000-0000-0000B8190000}"/>
    <cellStyle name="汇总 2 11 9 3 2" xfId="6542" xr:uid="{00000000-0005-0000-0000-0000BE190000}"/>
    <cellStyle name="汇总 2 11 9 3 2 2" xfId="9237" xr:uid="{00000000-0005-0000-0000-000045240000}"/>
    <cellStyle name="汇总 2 11 9 3 3" xfId="7702" xr:uid="{00000000-0005-0000-0000-0000461E0000}"/>
    <cellStyle name="汇总 2 11 9 3 3 2" xfId="9239" xr:uid="{00000000-0005-0000-0000-000047240000}"/>
    <cellStyle name="汇总 2 11 9 3 4" xfId="85" xr:uid="{00000000-0005-0000-0000-00005C000000}"/>
    <cellStyle name="汇总 2 11 9 3 4 2" xfId="1207" xr:uid="{00000000-0005-0000-0000-0000E7040000}"/>
    <cellStyle name="汇总 2 11 9 3 5" xfId="9243" xr:uid="{00000000-0005-0000-0000-00004B240000}"/>
    <cellStyle name="汇总 2 11 9 3 5 2" xfId="9250" xr:uid="{00000000-0005-0000-0000-000052240000}"/>
    <cellStyle name="汇总 2 11 9 3 6" xfId="9256" xr:uid="{00000000-0005-0000-0000-000058240000}"/>
    <cellStyle name="汇总 2 11 9 4" xfId="6555" xr:uid="{00000000-0005-0000-0000-0000CB190000}"/>
    <cellStyle name="汇总 2 11 9 4 2" xfId="6560" xr:uid="{00000000-0005-0000-0000-0000D0190000}"/>
    <cellStyle name="汇总 2 11 9 4 2 2" xfId="3303" xr:uid="{00000000-0005-0000-0000-0000170D0000}"/>
    <cellStyle name="汇总 2 11 9 4 3" xfId="7715" xr:uid="{00000000-0005-0000-0000-0000531E0000}"/>
    <cellStyle name="汇总 2 11 9 4 3 2" xfId="9260" xr:uid="{00000000-0005-0000-0000-00005C240000}"/>
    <cellStyle name="汇总 2 11 9 4 4" xfId="2304" xr:uid="{00000000-0005-0000-0000-000030090000}"/>
    <cellStyle name="汇总 2 11 9 4 4 2" xfId="9265" xr:uid="{00000000-0005-0000-0000-000061240000}"/>
    <cellStyle name="汇总 2 11 9 4 5" xfId="2308" xr:uid="{00000000-0005-0000-0000-000034090000}"/>
    <cellStyle name="汇总 2 11 9 4 5 2" xfId="9271" xr:uid="{00000000-0005-0000-0000-000067240000}"/>
    <cellStyle name="汇总 2 11 9 4 6" xfId="3600" xr:uid="{00000000-0005-0000-0000-0000400E0000}"/>
    <cellStyle name="汇总 2 11 9 5" xfId="6567" xr:uid="{00000000-0005-0000-0000-0000D7190000}"/>
    <cellStyle name="汇总 2 11 9 5 2" xfId="9276" xr:uid="{00000000-0005-0000-0000-00006C240000}"/>
    <cellStyle name="汇总 2 11 9 5 2 2" xfId="9278" xr:uid="{00000000-0005-0000-0000-00006E240000}"/>
    <cellStyle name="汇总 2 11 9 5 3" xfId="9282" xr:uid="{00000000-0005-0000-0000-000072240000}"/>
    <cellStyle name="汇总 2 11 9 5 3 2" xfId="9283" xr:uid="{00000000-0005-0000-0000-000073240000}"/>
    <cellStyle name="汇总 2 11 9 5 4" xfId="9284" xr:uid="{00000000-0005-0000-0000-000074240000}"/>
    <cellStyle name="汇总 2 11 9 5 4 2" xfId="9285" xr:uid="{00000000-0005-0000-0000-000075240000}"/>
    <cellStyle name="汇总 2 11 9 5 5" xfId="9290" xr:uid="{00000000-0005-0000-0000-00007A240000}"/>
    <cellStyle name="汇总 2 11 9 5 5 2" xfId="9298" xr:uid="{00000000-0005-0000-0000-000082240000}"/>
    <cellStyle name="汇总 2 11 9 5 6" xfId="4020" xr:uid="{00000000-0005-0000-0000-0000E40F0000}"/>
    <cellStyle name="汇总 2 11 9 6" xfId="6571" xr:uid="{00000000-0005-0000-0000-0000DB190000}"/>
    <cellStyle name="汇总 2 11 9 6 2" xfId="325" xr:uid="{00000000-0005-0000-0000-000065010000}"/>
    <cellStyle name="汇总 2 11 9 6 2 2" xfId="7288" xr:uid="{00000000-0005-0000-0000-0000A81C0000}"/>
    <cellStyle name="汇总 2 11 9 6 3" xfId="9304" xr:uid="{00000000-0005-0000-0000-000088240000}"/>
    <cellStyle name="汇总 2 11 9 6 3 2" xfId="9305" xr:uid="{00000000-0005-0000-0000-000089240000}"/>
    <cellStyle name="汇总 2 11 9 6 4" xfId="9307" xr:uid="{00000000-0005-0000-0000-00008B240000}"/>
    <cellStyle name="汇总 2 11 9 6 4 2" xfId="9308" xr:uid="{00000000-0005-0000-0000-00008C240000}"/>
    <cellStyle name="汇总 2 11 9 6 5" xfId="9313" xr:uid="{00000000-0005-0000-0000-000091240000}"/>
    <cellStyle name="汇总 2 11 9 6 5 2" xfId="9316" xr:uid="{00000000-0005-0000-0000-000094240000}"/>
    <cellStyle name="汇总 2 11 9 6 6" xfId="4422" xr:uid="{00000000-0005-0000-0000-000076110000}"/>
    <cellStyle name="汇总 2 11 9 7" xfId="5972" xr:uid="{00000000-0005-0000-0000-000084170000}"/>
    <cellStyle name="汇总 2 11 9 7 2" xfId="682" xr:uid="{00000000-0005-0000-0000-0000DA020000}"/>
    <cellStyle name="汇总 2 11 9 7 2 2" xfId="9321" xr:uid="{00000000-0005-0000-0000-000099240000}"/>
    <cellStyle name="汇总 2 11 9 7 3" xfId="9328" xr:uid="{00000000-0005-0000-0000-0000A0240000}"/>
    <cellStyle name="汇总 2 11 9 7 3 2" xfId="9329" xr:uid="{00000000-0005-0000-0000-0000A1240000}"/>
    <cellStyle name="汇总 2 11 9 7 4" xfId="9331" xr:uid="{00000000-0005-0000-0000-0000A3240000}"/>
    <cellStyle name="汇总 2 11 9 7 4 2" xfId="9332" xr:uid="{00000000-0005-0000-0000-0000A4240000}"/>
    <cellStyle name="汇总 2 11 9 7 5" xfId="9336" xr:uid="{00000000-0005-0000-0000-0000A8240000}"/>
    <cellStyle name="汇总 2 11 9 7 5 2" xfId="9339" xr:uid="{00000000-0005-0000-0000-0000AB240000}"/>
    <cellStyle name="汇总 2 11 9 7 6" xfId="2260" xr:uid="{00000000-0005-0000-0000-000004090000}"/>
    <cellStyle name="汇总 2 11 9 8" xfId="5985" xr:uid="{00000000-0005-0000-0000-000091170000}"/>
    <cellStyle name="汇总 2 11 9 8 2" xfId="6000" xr:uid="{00000000-0005-0000-0000-0000A0170000}"/>
    <cellStyle name="汇总 2 11 9 8 2 2" xfId="9345" xr:uid="{00000000-0005-0000-0000-0000B1240000}"/>
    <cellStyle name="汇总 2 11 9 8 3" xfId="9350" xr:uid="{00000000-0005-0000-0000-0000B6240000}"/>
    <cellStyle name="汇总 2 11 9 8 3 2" xfId="9352" xr:uid="{00000000-0005-0000-0000-0000B8240000}"/>
    <cellStyle name="汇总 2 11 9 8 4" xfId="9355" xr:uid="{00000000-0005-0000-0000-0000BB240000}"/>
    <cellStyle name="汇总 2 11 9 8 4 2" xfId="9357" xr:uid="{00000000-0005-0000-0000-0000BD240000}"/>
    <cellStyle name="汇总 2 11 9 8 5" xfId="9360" xr:uid="{00000000-0005-0000-0000-0000C0240000}"/>
    <cellStyle name="汇总 2 11 9 9" xfId="6006" xr:uid="{00000000-0005-0000-0000-0000A6170000}"/>
    <cellStyle name="汇总 2 11 9 9 2" xfId="6016" xr:uid="{00000000-0005-0000-0000-0000B0170000}"/>
    <cellStyle name="汇总 2 12" xfId="7204" xr:uid="{00000000-0005-0000-0000-0000541C0000}"/>
    <cellStyle name="汇总 2 12 10" xfId="482" xr:uid="{00000000-0005-0000-0000-00000E020000}"/>
    <cellStyle name="汇总 2 12 10 2" xfId="867" xr:uid="{00000000-0005-0000-0000-000093030000}"/>
    <cellStyle name="汇总 2 12 10 2 2" xfId="8507" xr:uid="{00000000-0005-0000-0000-00006B210000}"/>
    <cellStyle name="汇总 2 12 10 3" xfId="886" xr:uid="{00000000-0005-0000-0000-0000A6030000}"/>
    <cellStyle name="汇总 2 12 10 3 2" xfId="1021" xr:uid="{00000000-0005-0000-0000-00002D040000}"/>
    <cellStyle name="汇总 2 12 10 4" xfId="9365" xr:uid="{00000000-0005-0000-0000-0000C5240000}"/>
    <cellStyle name="汇总 2 12 10 4 2" xfId="1052" xr:uid="{00000000-0005-0000-0000-00004C040000}"/>
    <cellStyle name="汇总 2 12 10 5" xfId="9369" xr:uid="{00000000-0005-0000-0000-0000C9240000}"/>
    <cellStyle name="汇总 2 12 10 5 2" xfId="3047" xr:uid="{00000000-0005-0000-0000-0000170C0000}"/>
    <cellStyle name="汇总 2 12 10 6" xfId="9373" xr:uid="{00000000-0005-0000-0000-0000CD240000}"/>
    <cellStyle name="汇总 2 12 10 7" xfId="4874" xr:uid="{00000000-0005-0000-0000-00003A130000}"/>
    <cellStyle name="汇总 2 12 10 8" xfId="9376" xr:uid="{00000000-0005-0000-0000-0000D0240000}"/>
    <cellStyle name="汇总 2 12 10 9" xfId="9378" xr:uid="{00000000-0005-0000-0000-0000D2240000}"/>
    <cellStyle name="汇总 2 12 11" xfId="524" xr:uid="{00000000-0005-0000-0000-00003A020000}"/>
    <cellStyle name="汇总 2 12 11 2" xfId="908" xr:uid="{00000000-0005-0000-0000-0000BC030000}"/>
    <cellStyle name="汇总 2 12 11 2 2" xfId="9380" xr:uid="{00000000-0005-0000-0000-0000D4240000}"/>
    <cellStyle name="汇总 2 12 11 3" xfId="919" xr:uid="{00000000-0005-0000-0000-0000C7030000}"/>
    <cellStyle name="汇总 2 12 11 3 2" xfId="9385" xr:uid="{00000000-0005-0000-0000-0000D9240000}"/>
    <cellStyle name="汇总 2 12 11 4" xfId="9389" xr:uid="{00000000-0005-0000-0000-0000DD240000}"/>
    <cellStyle name="汇总 2 12 11 4 2" xfId="9394" xr:uid="{00000000-0005-0000-0000-0000E2240000}"/>
    <cellStyle name="汇总 2 12 11 5" xfId="9404" xr:uid="{00000000-0005-0000-0000-0000EC240000}"/>
    <cellStyle name="汇总 2 12 11 5 2" xfId="9409" xr:uid="{00000000-0005-0000-0000-0000F1240000}"/>
    <cellStyle name="汇总 2 12 11 6" xfId="9412" xr:uid="{00000000-0005-0000-0000-0000F4240000}"/>
    <cellStyle name="汇总 2 12 12" xfId="9418" xr:uid="{00000000-0005-0000-0000-0000FA240000}"/>
    <cellStyle name="汇总 2 12 12 2" xfId="1309" xr:uid="{00000000-0005-0000-0000-00004D050000}"/>
    <cellStyle name="汇总 2 12 12 2 2" xfId="3365" xr:uid="{00000000-0005-0000-0000-0000550D0000}"/>
    <cellStyle name="汇总 2 12 12 3" xfId="1330" xr:uid="{00000000-0005-0000-0000-000062050000}"/>
    <cellStyle name="汇总 2 12 12 3 2" xfId="3394" xr:uid="{00000000-0005-0000-0000-0000720D0000}"/>
    <cellStyle name="汇总 2 12 12 4" xfId="1338" xr:uid="{00000000-0005-0000-0000-00006A050000}"/>
    <cellStyle name="汇总 2 12 12 4 2" xfId="3435" xr:uid="{00000000-0005-0000-0000-00009B0D0000}"/>
    <cellStyle name="汇总 2 12 12 5" xfId="1349" xr:uid="{00000000-0005-0000-0000-000075050000}"/>
    <cellStyle name="汇总 2 12 12 5 2" xfId="9419" xr:uid="{00000000-0005-0000-0000-0000FB240000}"/>
    <cellStyle name="汇总 2 12 12 6" xfId="1372" xr:uid="{00000000-0005-0000-0000-00008C050000}"/>
    <cellStyle name="汇总 2 12 13" xfId="9424" xr:uid="{00000000-0005-0000-0000-000000250000}"/>
    <cellStyle name="汇总 2 12 13 2" xfId="2218" xr:uid="{00000000-0005-0000-0000-0000DA080000}"/>
    <cellStyle name="汇总 2 12 13 2 2" xfId="3620" xr:uid="{00000000-0005-0000-0000-0000540E0000}"/>
    <cellStyle name="汇总 2 12 13 3" xfId="2223" xr:uid="{00000000-0005-0000-0000-0000DF080000}"/>
    <cellStyle name="汇总 2 12 13 3 2" xfId="3632" xr:uid="{00000000-0005-0000-0000-0000600E0000}"/>
    <cellStyle name="汇总 2 12 13 4" xfId="3540" xr:uid="{00000000-0005-0000-0000-0000040E0000}"/>
    <cellStyle name="汇总 2 12 13 4 2" xfId="3598" xr:uid="{00000000-0005-0000-0000-00003E0E0000}"/>
    <cellStyle name="汇总 2 12 13 5" xfId="3640" xr:uid="{00000000-0005-0000-0000-0000680E0000}"/>
    <cellStyle name="汇总 2 12 13 5 2" xfId="9428" xr:uid="{00000000-0005-0000-0000-000004250000}"/>
    <cellStyle name="汇总 2 12 13 6" xfId="9432" xr:uid="{00000000-0005-0000-0000-000008250000}"/>
    <cellStyle name="汇总 2 12 14" xfId="9434" xr:uid="{00000000-0005-0000-0000-00000A250000}"/>
    <cellStyle name="汇总 2 12 14 2" xfId="1571" xr:uid="{00000000-0005-0000-0000-000053060000}"/>
    <cellStyle name="汇总 2 12 14 2 2" xfId="1585" xr:uid="{00000000-0005-0000-0000-000061060000}"/>
    <cellStyle name="汇总 2 12 14 3" xfId="1598" xr:uid="{00000000-0005-0000-0000-00006E060000}"/>
    <cellStyle name="汇总 2 12 14 3 2" xfId="3658" xr:uid="{00000000-0005-0000-0000-00007A0E0000}"/>
    <cellStyle name="汇总 2 12 14 4" xfId="3666" xr:uid="{00000000-0005-0000-0000-0000820E0000}"/>
    <cellStyle name="汇总 2 12 14 4 2" xfId="3679" xr:uid="{00000000-0005-0000-0000-00008F0E0000}"/>
    <cellStyle name="汇总 2 12 14 5" xfId="3694" xr:uid="{00000000-0005-0000-0000-00009E0E0000}"/>
    <cellStyle name="汇总 2 12 14 5 2" xfId="9435" xr:uid="{00000000-0005-0000-0000-00000B250000}"/>
    <cellStyle name="汇总 2 12 14 6" xfId="9444" xr:uid="{00000000-0005-0000-0000-000014250000}"/>
    <cellStyle name="汇总 2 12 15" xfId="9449" xr:uid="{00000000-0005-0000-0000-000019250000}"/>
    <cellStyle name="汇总 2 12 15 2" xfId="1467" xr:uid="{00000000-0005-0000-0000-0000EB050000}"/>
    <cellStyle name="汇总 2 12 15 2 2" xfId="3699" xr:uid="{00000000-0005-0000-0000-0000A30E0000}"/>
    <cellStyle name="汇总 2 12 15 3" xfId="1478" xr:uid="{00000000-0005-0000-0000-0000F6050000}"/>
    <cellStyle name="汇总 2 12 15 3 2" xfId="3708" xr:uid="{00000000-0005-0000-0000-0000AC0E0000}"/>
    <cellStyle name="汇总 2 12 15 4" xfId="1515" xr:uid="{00000000-0005-0000-0000-00001B060000}"/>
    <cellStyle name="汇总 2 12 15 4 2" xfId="3722" xr:uid="{00000000-0005-0000-0000-0000BA0E0000}"/>
    <cellStyle name="汇总 2 12 15 5" xfId="1534" xr:uid="{00000000-0005-0000-0000-00002E060000}"/>
    <cellStyle name="汇总 2 12 15 5 2" xfId="9453" xr:uid="{00000000-0005-0000-0000-00001D250000}"/>
    <cellStyle name="汇总 2 12 15 6" xfId="9459" xr:uid="{00000000-0005-0000-0000-000023250000}"/>
    <cellStyle name="汇总 2 12 16" xfId="9460" xr:uid="{00000000-0005-0000-0000-000024250000}"/>
    <cellStyle name="汇总 2 12 16 2" xfId="3753" xr:uid="{00000000-0005-0000-0000-0000D90E0000}"/>
    <cellStyle name="汇总 2 12 16 2 2" xfId="3757" xr:uid="{00000000-0005-0000-0000-0000DD0E0000}"/>
    <cellStyle name="汇总 2 12 16 3" xfId="2486" xr:uid="{00000000-0005-0000-0000-0000E6090000}"/>
    <cellStyle name="汇总 2 12 16 3 2" xfId="3763" xr:uid="{00000000-0005-0000-0000-0000E30E0000}"/>
    <cellStyle name="汇总 2 12 16 4" xfId="3777" xr:uid="{00000000-0005-0000-0000-0000F10E0000}"/>
    <cellStyle name="汇总 2 12 16 4 2" xfId="3786" xr:uid="{00000000-0005-0000-0000-0000FA0E0000}"/>
    <cellStyle name="汇总 2 12 16 5" xfId="3801" xr:uid="{00000000-0005-0000-0000-0000090F0000}"/>
    <cellStyle name="汇总 2 12 16 5 2" xfId="9464" xr:uid="{00000000-0005-0000-0000-000028250000}"/>
    <cellStyle name="汇总 2 12 16 6" xfId="9467" xr:uid="{00000000-0005-0000-0000-00002B250000}"/>
    <cellStyle name="汇总 2 12 17" xfId="9470" xr:uid="{00000000-0005-0000-0000-00002E250000}"/>
    <cellStyle name="汇总 2 12 17 2" xfId="3821" xr:uid="{00000000-0005-0000-0000-00001D0F0000}"/>
    <cellStyle name="汇总 2 12 17 2 2" xfId="3827" xr:uid="{00000000-0005-0000-0000-0000230F0000}"/>
    <cellStyle name="汇总 2 12 17 3" xfId="2070" xr:uid="{00000000-0005-0000-0000-000046080000}"/>
    <cellStyle name="汇总 2 12 17 3 2" xfId="3834" xr:uid="{00000000-0005-0000-0000-00002A0F0000}"/>
    <cellStyle name="汇总 2 12 17 4" xfId="3847" xr:uid="{00000000-0005-0000-0000-0000370F0000}"/>
    <cellStyle name="汇总 2 12 17 4 2" xfId="3856" xr:uid="{00000000-0005-0000-0000-0000400F0000}"/>
    <cellStyle name="汇总 2 12 17 5" xfId="3883" xr:uid="{00000000-0005-0000-0000-00005B0F0000}"/>
    <cellStyle name="汇总 2 12 18" xfId="933" xr:uid="{00000000-0005-0000-0000-0000D5030000}"/>
    <cellStyle name="汇总 2 12 18 2" xfId="3904" xr:uid="{00000000-0005-0000-0000-0000700F0000}"/>
    <cellStyle name="汇总 2 12 19" xfId="9473" xr:uid="{00000000-0005-0000-0000-000031250000}"/>
    <cellStyle name="汇总 2 12 19 2" xfId="9477" xr:uid="{00000000-0005-0000-0000-000035250000}"/>
    <cellStyle name="汇总 2 12 2" xfId="9478" xr:uid="{00000000-0005-0000-0000-000036250000}"/>
    <cellStyle name="汇总 2 12 2 10" xfId="9483" xr:uid="{00000000-0005-0000-0000-00003B250000}"/>
    <cellStyle name="汇总 2 12 2 10 2" xfId="9493" xr:uid="{00000000-0005-0000-0000-000045250000}"/>
    <cellStyle name="汇总 2 12 2 11" xfId="9500" xr:uid="{00000000-0005-0000-0000-00004C250000}"/>
    <cellStyle name="汇总 2 12 2 11 2" xfId="9510" xr:uid="{00000000-0005-0000-0000-000056250000}"/>
    <cellStyle name="汇总 2 12 2 12" xfId="9513" xr:uid="{00000000-0005-0000-0000-000059250000}"/>
    <cellStyle name="汇总 2 12 2 12 2" xfId="9518" xr:uid="{00000000-0005-0000-0000-00005E250000}"/>
    <cellStyle name="汇总 2 12 2 13" xfId="9522" xr:uid="{00000000-0005-0000-0000-000062250000}"/>
    <cellStyle name="汇总 2 12 2 14" xfId="9525" xr:uid="{00000000-0005-0000-0000-000065250000}"/>
    <cellStyle name="汇总 2 12 2 15" xfId="9535" xr:uid="{00000000-0005-0000-0000-00006F250000}"/>
    <cellStyle name="汇总 2 12 2 16" xfId="9547" xr:uid="{00000000-0005-0000-0000-00007B250000}"/>
    <cellStyle name="汇总 2 12 2 2" xfId="9548" xr:uid="{00000000-0005-0000-0000-00007C250000}"/>
    <cellStyle name="汇总 2 12 2 2 2" xfId="5129" xr:uid="{00000000-0005-0000-0000-000039140000}"/>
    <cellStyle name="汇总 2 12 2 2 2 2" xfId="5143" xr:uid="{00000000-0005-0000-0000-000047140000}"/>
    <cellStyle name="汇总 2 12 2 2 3" xfId="1072" xr:uid="{00000000-0005-0000-0000-000060040000}"/>
    <cellStyle name="汇总 2 12 2 2 3 2" xfId="9554" xr:uid="{00000000-0005-0000-0000-000082250000}"/>
    <cellStyle name="汇总 2 12 2 2 4" xfId="5610" xr:uid="{00000000-0005-0000-0000-00001A160000}"/>
    <cellStyle name="汇总 2 12 2 2 4 2" xfId="9563" xr:uid="{00000000-0005-0000-0000-00008B250000}"/>
    <cellStyle name="汇总 2 12 2 2 5" xfId="2167" xr:uid="{00000000-0005-0000-0000-0000A7080000}"/>
    <cellStyle name="汇总 2 12 2 2 5 2" xfId="9576" xr:uid="{00000000-0005-0000-0000-000098250000}"/>
    <cellStyle name="汇总 2 12 2 2 6" xfId="5614" xr:uid="{00000000-0005-0000-0000-00001E160000}"/>
    <cellStyle name="汇总 2 12 2 2 7" xfId="9578" xr:uid="{00000000-0005-0000-0000-00009A250000}"/>
    <cellStyle name="汇总 2 12 2 2 8" xfId="9134" xr:uid="{00000000-0005-0000-0000-0000DE230000}"/>
    <cellStyle name="汇总 2 12 2 2 9" xfId="9583" xr:uid="{00000000-0005-0000-0000-00009F250000}"/>
    <cellStyle name="汇总 2 12 2 3" xfId="9584" xr:uid="{00000000-0005-0000-0000-0000A0250000}"/>
    <cellStyle name="汇总 2 12 2 3 2" xfId="5160" xr:uid="{00000000-0005-0000-0000-000058140000}"/>
    <cellStyle name="汇总 2 12 2 3 2 2" xfId="3405" xr:uid="{00000000-0005-0000-0000-00007D0D0000}"/>
    <cellStyle name="汇总 2 12 2 3 3" xfId="1105" xr:uid="{00000000-0005-0000-0000-000081040000}"/>
    <cellStyle name="汇总 2 12 2 3 3 2" xfId="3443" xr:uid="{00000000-0005-0000-0000-0000A30D0000}"/>
    <cellStyle name="汇总 2 12 2 3 4" xfId="9587" xr:uid="{00000000-0005-0000-0000-0000A3250000}"/>
    <cellStyle name="汇总 2 12 2 3 4 2" xfId="1295" xr:uid="{00000000-0005-0000-0000-00003F050000}"/>
    <cellStyle name="汇总 2 12 2 3 5" xfId="9590" xr:uid="{00000000-0005-0000-0000-0000A6250000}"/>
    <cellStyle name="汇总 2 12 2 3 5 2" xfId="2203" xr:uid="{00000000-0005-0000-0000-0000CB080000}"/>
    <cellStyle name="汇总 2 12 2 3 6" xfId="9598" xr:uid="{00000000-0005-0000-0000-0000AE250000}"/>
    <cellStyle name="汇总 2 12 2 4" xfId="9599" xr:uid="{00000000-0005-0000-0000-0000AF250000}"/>
    <cellStyle name="汇总 2 12 2 4 2" xfId="5194" xr:uid="{00000000-0005-0000-0000-00007A140000}"/>
    <cellStyle name="汇总 2 12 2 4 2 2" xfId="5206" xr:uid="{00000000-0005-0000-0000-000086140000}"/>
    <cellStyle name="汇总 2 12 2 4 3" xfId="1129" xr:uid="{00000000-0005-0000-0000-000099040000}"/>
    <cellStyle name="汇总 2 12 2 4 3 2" xfId="9604" xr:uid="{00000000-0005-0000-0000-0000B4250000}"/>
    <cellStyle name="汇总 2 12 2 4 4" xfId="9615" xr:uid="{00000000-0005-0000-0000-0000BF250000}"/>
    <cellStyle name="汇总 2 12 2 4 4 2" xfId="9620" xr:uid="{00000000-0005-0000-0000-0000C4250000}"/>
    <cellStyle name="汇总 2 12 2 4 5" xfId="9629" xr:uid="{00000000-0005-0000-0000-0000CD250000}"/>
    <cellStyle name="汇总 2 12 2 4 5 2" xfId="9635" xr:uid="{00000000-0005-0000-0000-0000D3250000}"/>
    <cellStyle name="汇总 2 12 2 4 6" xfId="9637" xr:uid="{00000000-0005-0000-0000-0000D5250000}"/>
    <cellStyle name="汇总 2 12 2 5" xfId="9639" xr:uid="{00000000-0005-0000-0000-0000D7250000}"/>
    <cellStyle name="汇总 2 12 2 5 2" xfId="3932" xr:uid="{00000000-0005-0000-0000-00008C0F0000}"/>
    <cellStyle name="汇总 2 12 2 5 2 2" xfId="9644" xr:uid="{00000000-0005-0000-0000-0000DC250000}"/>
    <cellStyle name="汇总 2 12 2 5 3" xfId="9654" xr:uid="{00000000-0005-0000-0000-0000E6250000}"/>
    <cellStyle name="汇总 2 12 2 5 3 2" xfId="9657" xr:uid="{00000000-0005-0000-0000-0000E9250000}"/>
    <cellStyle name="汇总 2 12 2 5 4" xfId="9667" xr:uid="{00000000-0005-0000-0000-0000F3250000}"/>
    <cellStyle name="汇总 2 12 2 5 4 2" xfId="9676" xr:uid="{00000000-0005-0000-0000-0000FC250000}"/>
    <cellStyle name="汇总 2 12 2 5 5" xfId="9684" xr:uid="{00000000-0005-0000-0000-000004260000}"/>
    <cellStyle name="汇总 2 12 2 5 5 2" xfId="9691" xr:uid="{00000000-0005-0000-0000-00000B260000}"/>
    <cellStyle name="汇总 2 12 2 5 6" xfId="9693" xr:uid="{00000000-0005-0000-0000-00000D260000}"/>
    <cellStyle name="汇总 2 12 2 6" xfId="9694" xr:uid="{00000000-0005-0000-0000-00000E260000}"/>
    <cellStyle name="汇总 2 12 2 6 2" xfId="9698" xr:uid="{00000000-0005-0000-0000-000012260000}"/>
    <cellStyle name="汇总 2 12 2 6 2 2" xfId="9703" xr:uid="{00000000-0005-0000-0000-000017260000}"/>
    <cellStyle name="汇总 2 12 2 6 3" xfId="9713" xr:uid="{00000000-0005-0000-0000-000021260000}"/>
    <cellStyle name="汇总 2 12 2 6 3 2" xfId="9717" xr:uid="{00000000-0005-0000-0000-000025260000}"/>
    <cellStyle name="汇总 2 12 2 6 4" xfId="9726" xr:uid="{00000000-0005-0000-0000-00002E260000}"/>
    <cellStyle name="汇总 2 12 2 6 4 2" xfId="9737" xr:uid="{00000000-0005-0000-0000-000039260000}"/>
    <cellStyle name="汇总 2 12 2 6 5" xfId="367" xr:uid="{00000000-0005-0000-0000-000092010000}"/>
    <cellStyle name="汇总 2 12 2 6 5 2" xfId="559" xr:uid="{00000000-0005-0000-0000-00005F020000}"/>
    <cellStyle name="汇总 2 12 2 6 6" xfId="390" xr:uid="{00000000-0005-0000-0000-0000AB010000}"/>
    <cellStyle name="汇总 2 12 2 7" xfId="9744" xr:uid="{00000000-0005-0000-0000-000040260000}"/>
    <cellStyle name="汇总 2 12 2 7 2" xfId="9747" xr:uid="{00000000-0005-0000-0000-000043260000}"/>
    <cellStyle name="汇总 2 12 2 7 2 2" xfId="9754" xr:uid="{00000000-0005-0000-0000-00004A260000}"/>
    <cellStyle name="汇总 2 12 2 7 3" xfId="9765" xr:uid="{00000000-0005-0000-0000-000055260000}"/>
    <cellStyle name="汇总 2 12 2 7 3 2" xfId="9770" xr:uid="{00000000-0005-0000-0000-00005A260000}"/>
    <cellStyle name="汇总 2 12 2 7 4" xfId="9781" xr:uid="{00000000-0005-0000-0000-000065260000}"/>
    <cellStyle name="汇总 2 12 2 7 4 2" xfId="9794" xr:uid="{00000000-0005-0000-0000-000072260000}"/>
    <cellStyle name="汇总 2 12 2 7 5" xfId="2453" xr:uid="{00000000-0005-0000-0000-0000C5090000}"/>
    <cellStyle name="汇总 2 12 2 7 5 2" xfId="9804" xr:uid="{00000000-0005-0000-0000-00007C260000}"/>
    <cellStyle name="汇总 2 12 2 7 6" xfId="9806" xr:uid="{00000000-0005-0000-0000-00007E260000}"/>
    <cellStyle name="汇总 2 12 2 8" xfId="9814" xr:uid="{00000000-0005-0000-0000-000086260000}"/>
    <cellStyle name="汇总 2 12 2 8 2" xfId="9823" xr:uid="{00000000-0005-0000-0000-00008F260000}"/>
    <cellStyle name="汇总 2 12 2 8 2 2" xfId="7078" xr:uid="{00000000-0005-0000-0000-0000D61B0000}"/>
    <cellStyle name="汇总 2 12 2 8 3" xfId="9825" xr:uid="{00000000-0005-0000-0000-000091260000}"/>
    <cellStyle name="汇总 2 12 2 8 3 2" xfId="2231" xr:uid="{00000000-0005-0000-0000-0000E7080000}"/>
    <cellStyle name="汇总 2 12 2 8 4" xfId="9826" xr:uid="{00000000-0005-0000-0000-000092260000}"/>
    <cellStyle name="汇总 2 12 2 8 4 2" xfId="1605" xr:uid="{00000000-0005-0000-0000-000075060000}"/>
    <cellStyle name="汇总 2 12 2 8 5" xfId="1739" xr:uid="{00000000-0005-0000-0000-0000FB060000}"/>
    <cellStyle name="汇总 2 12 2 9" xfId="4781" xr:uid="{00000000-0005-0000-0000-0000DD120000}"/>
    <cellStyle name="汇总 2 12 2 9 2" xfId="9832" xr:uid="{00000000-0005-0000-0000-000098260000}"/>
    <cellStyle name="汇总 2 12 20" xfId="9450" xr:uid="{00000000-0005-0000-0000-00001A250000}"/>
    <cellStyle name="汇总 2 12 20 2" xfId="1466" xr:uid="{00000000-0005-0000-0000-0000EA050000}"/>
    <cellStyle name="汇总 2 12 21" xfId="9461" xr:uid="{00000000-0005-0000-0000-000025250000}"/>
    <cellStyle name="汇总 2 12 21 2" xfId="3754" xr:uid="{00000000-0005-0000-0000-0000DA0E0000}"/>
    <cellStyle name="汇总 2 12 22" xfId="9471" xr:uid="{00000000-0005-0000-0000-00002F250000}"/>
    <cellStyle name="汇总 2 12 23" xfId="934" xr:uid="{00000000-0005-0000-0000-0000D6030000}"/>
    <cellStyle name="汇总 2 12 24" xfId="9474" xr:uid="{00000000-0005-0000-0000-000032250000}"/>
    <cellStyle name="汇总 2 12 25" xfId="9836" xr:uid="{00000000-0005-0000-0000-00009C260000}"/>
    <cellStyle name="汇总 2 12 3" xfId="8039" xr:uid="{00000000-0005-0000-0000-0000971F0000}"/>
    <cellStyle name="汇总 2 12 3 10" xfId="9841" xr:uid="{00000000-0005-0000-0000-0000A1260000}"/>
    <cellStyle name="汇总 2 12 3 10 2" xfId="1149" xr:uid="{00000000-0005-0000-0000-0000AD040000}"/>
    <cellStyle name="汇总 2 12 3 11" xfId="4908" xr:uid="{00000000-0005-0000-0000-00005C130000}"/>
    <cellStyle name="汇总 2 12 3 11 2" xfId="1160" xr:uid="{00000000-0005-0000-0000-0000B8040000}"/>
    <cellStyle name="汇总 2 12 3 12" xfId="9843" xr:uid="{00000000-0005-0000-0000-0000A3260000}"/>
    <cellStyle name="汇总 2 12 3 12 2" xfId="9847" xr:uid="{00000000-0005-0000-0000-0000A7260000}"/>
    <cellStyle name="汇总 2 12 3 13" xfId="9849" xr:uid="{00000000-0005-0000-0000-0000A9260000}"/>
    <cellStyle name="汇总 2 12 3 14" xfId="9851" xr:uid="{00000000-0005-0000-0000-0000AB260000}"/>
    <cellStyle name="汇总 2 12 3 15" xfId="21" xr:uid="{00000000-0005-0000-0000-000017000000}"/>
    <cellStyle name="汇总 2 12 3 16" xfId="9857" xr:uid="{00000000-0005-0000-0000-0000B1260000}"/>
    <cellStyle name="汇总 2 12 3 2" xfId="9" xr:uid="{00000000-0005-0000-0000-00000B000000}"/>
    <cellStyle name="汇总 2 12 3 2 2" xfId="660" xr:uid="{00000000-0005-0000-0000-0000C4020000}"/>
    <cellStyle name="汇总 2 12 3 2 2 2" xfId="5326" xr:uid="{00000000-0005-0000-0000-0000FE140000}"/>
    <cellStyle name="汇总 2 12 3 2 3" xfId="312" xr:uid="{00000000-0005-0000-0000-000057010000}"/>
    <cellStyle name="汇总 2 12 3 2 3 2" xfId="540" xr:uid="{00000000-0005-0000-0000-00004B020000}"/>
    <cellStyle name="汇总 2 12 3 2 4" xfId="9866" xr:uid="{00000000-0005-0000-0000-0000BA260000}"/>
    <cellStyle name="汇总 2 12 3 2 4 2" xfId="9872" xr:uid="{00000000-0005-0000-0000-0000C0260000}"/>
    <cellStyle name="汇总 2 12 3 2 5" xfId="945" xr:uid="{00000000-0005-0000-0000-0000E1030000}"/>
    <cellStyle name="汇总 2 12 3 2 5 2" xfId="9880" xr:uid="{00000000-0005-0000-0000-0000C8260000}"/>
    <cellStyle name="汇总 2 12 3 2 6" xfId="9886" xr:uid="{00000000-0005-0000-0000-0000CE260000}"/>
    <cellStyle name="汇总 2 12 3 2 7" xfId="9889" xr:uid="{00000000-0005-0000-0000-0000D1260000}"/>
    <cellStyle name="汇总 2 12 3 2 8" xfId="9173" xr:uid="{00000000-0005-0000-0000-000005240000}"/>
    <cellStyle name="汇总 2 12 3 2 9" xfId="9892" xr:uid="{00000000-0005-0000-0000-0000D4260000}"/>
    <cellStyle name="汇总 2 12 3 3" xfId="427" xr:uid="{00000000-0005-0000-0000-0000D4010000}"/>
    <cellStyle name="汇总 2 12 3 3 2" xfId="675" xr:uid="{00000000-0005-0000-0000-0000D3020000}"/>
    <cellStyle name="汇总 2 12 3 3 2 2" xfId="5347" xr:uid="{00000000-0005-0000-0000-000013150000}"/>
    <cellStyle name="汇总 2 12 3 3 3" xfId="701" xr:uid="{00000000-0005-0000-0000-0000ED020000}"/>
    <cellStyle name="汇总 2 12 3 3 3 2" xfId="9899" xr:uid="{00000000-0005-0000-0000-0000DB260000}"/>
    <cellStyle name="汇总 2 12 3 3 4" xfId="9902" xr:uid="{00000000-0005-0000-0000-0000DE260000}"/>
    <cellStyle name="汇总 2 12 3 3 4 2" xfId="9912" xr:uid="{00000000-0005-0000-0000-0000E8260000}"/>
    <cellStyle name="汇总 2 12 3 3 5" xfId="9917" xr:uid="{00000000-0005-0000-0000-0000ED260000}"/>
    <cellStyle name="汇总 2 12 3 3 5 2" xfId="9927" xr:uid="{00000000-0005-0000-0000-0000F7260000}"/>
    <cellStyle name="汇总 2 12 3 3 6" xfId="9932" xr:uid="{00000000-0005-0000-0000-0000FC260000}"/>
    <cellStyle name="汇总 2 12 3 4" xfId="332" xr:uid="{00000000-0005-0000-0000-00006D010000}"/>
    <cellStyle name="汇总 2 12 3 4 2" xfId="731" xr:uid="{00000000-0005-0000-0000-00000B030000}"/>
    <cellStyle name="汇总 2 12 3 4 2 2" xfId="5372" xr:uid="{00000000-0005-0000-0000-00002C150000}"/>
    <cellStyle name="汇总 2 12 3 4 3" xfId="546" xr:uid="{00000000-0005-0000-0000-000052020000}"/>
    <cellStyle name="汇总 2 12 3 4 3 2" xfId="9943" xr:uid="{00000000-0005-0000-0000-000007270000}"/>
    <cellStyle name="汇总 2 12 3 4 4" xfId="9946" xr:uid="{00000000-0005-0000-0000-00000A270000}"/>
    <cellStyle name="汇总 2 12 3 4 4 2" xfId="9955" xr:uid="{00000000-0005-0000-0000-000013270000}"/>
    <cellStyle name="汇总 2 12 3 4 5" xfId="9961" xr:uid="{00000000-0005-0000-0000-000019270000}"/>
    <cellStyle name="汇总 2 12 3 4 5 2" xfId="9969" xr:uid="{00000000-0005-0000-0000-000021270000}"/>
    <cellStyle name="汇总 2 12 3 4 6" xfId="9972" xr:uid="{00000000-0005-0000-0000-000024270000}"/>
    <cellStyle name="汇总 2 12 3 5" xfId="266" xr:uid="{00000000-0005-0000-0000-000025010000}"/>
    <cellStyle name="汇总 2 12 3 5 2" xfId="750" xr:uid="{00000000-0005-0000-0000-00001E030000}"/>
    <cellStyle name="汇总 2 12 3 5 2 2" xfId="9984" xr:uid="{00000000-0005-0000-0000-000030270000}"/>
    <cellStyle name="汇总 2 12 3 5 3" xfId="601" xr:uid="{00000000-0005-0000-0000-000089020000}"/>
    <cellStyle name="汇总 2 12 3 5 3 2" xfId="9996" xr:uid="{00000000-0005-0000-0000-00003C270000}"/>
    <cellStyle name="汇总 2 12 3 5 4" xfId="9998" xr:uid="{00000000-0005-0000-0000-00003E270000}"/>
    <cellStyle name="汇总 2 12 3 5 4 2" xfId="10013" xr:uid="{00000000-0005-0000-0000-00004D270000}"/>
    <cellStyle name="汇总 2 12 3 5 5" xfId="10017" xr:uid="{00000000-0005-0000-0000-000051270000}"/>
    <cellStyle name="汇总 2 12 3 5 5 2" xfId="6964" xr:uid="{00000000-0005-0000-0000-0000641B0000}"/>
    <cellStyle name="汇总 2 12 3 5 6" xfId="10026" xr:uid="{00000000-0005-0000-0000-00005A270000}"/>
    <cellStyle name="汇总 2 12 3 6" xfId="10032" xr:uid="{00000000-0005-0000-0000-000060270000}"/>
    <cellStyle name="汇总 2 12 3 6 2" xfId="10034" xr:uid="{00000000-0005-0000-0000-000062270000}"/>
    <cellStyle name="汇总 2 12 3 6 2 2" xfId="10046" xr:uid="{00000000-0005-0000-0000-00006E270000}"/>
    <cellStyle name="汇总 2 12 3 6 3" xfId="10049" xr:uid="{00000000-0005-0000-0000-000071270000}"/>
    <cellStyle name="汇总 2 12 3 6 3 2" xfId="10059" xr:uid="{00000000-0005-0000-0000-00007B270000}"/>
    <cellStyle name="汇总 2 12 3 6 4" xfId="10061" xr:uid="{00000000-0005-0000-0000-00007D270000}"/>
    <cellStyle name="汇总 2 12 3 6 4 2" xfId="10075" xr:uid="{00000000-0005-0000-0000-00008B270000}"/>
    <cellStyle name="汇总 2 12 3 6 5" xfId="1012" xr:uid="{00000000-0005-0000-0000-000024040000}"/>
    <cellStyle name="汇总 2 12 3 6 5 2" xfId="10081" xr:uid="{00000000-0005-0000-0000-000091270000}"/>
    <cellStyle name="汇总 2 12 3 6 6" xfId="10083" xr:uid="{00000000-0005-0000-0000-000093270000}"/>
    <cellStyle name="汇总 2 12 3 7" xfId="10093" xr:uid="{00000000-0005-0000-0000-00009D270000}"/>
    <cellStyle name="汇总 2 12 3 7 2" xfId="10094" xr:uid="{00000000-0005-0000-0000-00009E270000}"/>
    <cellStyle name="汇总 2 12 3 7 2 2" xfId="10107" xr:uid="{00000000-0005-0000-0000-0000AB270000}"/>
    <cellStyle name="汇总 2 12 3 7 3" xfId="10109" xr:uid="{00000000-0005-0000-0000-0000AD270000}"/>
    <cellStyle name="汇总 2 12 3 7 3 2" xfId="10118" xr:uid="{00000000-0005-0000-0000-0000B6270000}"/>
    <cellStyle name="汇总 2 12 3 7 4" xfId="10120" xr:uid="{00000000-0005-0000-0000-0000B8270000}"/>
    <cellStyle name="汇总 2 12 3 7 4 2" xfId="10134" xr:uid="{00000000-0005-0000-0000-0000C6270000}"/>
    <cellStyle name="汇总 2 12 3 7 5" xfId="1039" xr:uid="{00000000-0005-0000-0000-00003F040000}"/>
    <cellStyle name="汇总 2 12 3 7 5 2" xfId="121" xr:uid="{00000000-0005-0000-0000-000083000000}"/>
    <cellStyle name="汇总 2 12 3 7 6" xfId="10143" xr:uid="{00000000-0005-0000-0000-0000CF270000}"/>
    <cellStyle name="汇总 2 12 3 8" xfId="7732" xr:uid="{00000000-0005-0000-0000-0000641E0000}"/>
    <cellStyle name="汇总 2 12 3 8 2" xfId="7737" xr:uid="{00000000-0005-0000-0000-0000691E0000}"/>
    <cellStyle name="汇总 2 12 3 8 2 2" xfId="10149" xr:uid="{00000000-0005-0000-0000-0000D5270000}"/>
    <cellStyle name="汇总 2 12 3 8 3" xfId="10151" xr:uid="{00000000-0005-0000-0000-0000D7270000}"/>
    <cellStyle name="汇总 2 12 3 8 3 2" xfId="10158" xr:uid="{00000000-0005-0000-0000-0000DE270000}"/>
    <cellStyle name="汇总 2 12 3 8 4" xfId="10160" xr:uid="{00000000-0005-0000-0000-0000E0270000}"/>
    <cellStyle name="汇总 2 12 3 8 4 2" xfId="10173" xr:uid="{00000000-0005-0000-0000-0000ED270000}"/>
    <cellStyle name="汇总 2 12 3 8 5" xfId="3057" xr:uid="{00000000-0005-0000-0000-0000210C0000}"/>
    <cellStyle name="汇总 2 12 3 9" xfId="4764" xr:uid="{00000000-0005-0000-0000-0000CC120000}"/>
    <cellStyle name="汇总 2 12 3 9 2" xfId="7740" xr:uid="{00000000-0005-0000-0000-00006C1E0000}"/>
    <cellStyle name="汇总 2 12 4" xfId="8043" xr:uid="{00000000-0005-0000-0000-00009B1F0000}"/>
    <cellStyle name="汇总 2 12 4 10" xfId="253" xr:uid="{00000000-0005-0000-0000-000016010000}"/>
    <cellStyle name="汇总 2 12 4 10 2" xfId="68" xr:uid="{00000000-0005-0000-0000-000049000000}"/>
    <cellStyle name="汇总 2 12 4 11" xfId="2030" xr:uid="{00000000-0005-0000-0000-00001E080000}"/>
    <cellStyle name="汇总 2 12 4 11 2" xfId="10178" xr:uid="{00000000-0005-0000-0000-0000F2270000}"/>
    <cellStyle name="汇总 2 12 4 12" xfId="2053" xr:uid="{00000000-0005-0000-0000-000035080000}"/>
    <cellStyle name="汇总 2 12 4 12 2" xfId="1797" xr:uid="{00000000-0005-0000-0000-000035070000}"/>
    <cellStyle name="汇总 2 12 4 13" xfId="2088" xr:uid="{00000000-0005-0000-0000-000058080000}"/>
    <cellStyle name="汇总 2 12 4 14" xfId="2099" xr:uid="{00000000-0005-0000-0000-000063080000}"/>
    <cellStyle name="汇总 2 12 4 15" xfId="2123" xr:uid="{00000000-0005-0000-0000-00007B080000}"/>
    <cellStyle name="汇总 2 12 4 16" xfId="1859" xr:uid="{00000000-0005-0000-0000-000073070000}"/>
    <cellStyle name="汇总 2 12 4 2" xfId="8049" xr:uid="{00000000-0005-0000-0000-0000A11F0000}"/>
    <cellStyle name="汇总 2 12 4 2 2" xfId="5526" xr:uid="{00000000-0005-0000-0000-0000C6150000}"/>
    <cellStyle name="汇总 2 12 4 2 2 2" xfId="2660" xr:uid="{00000000-0005-0000-0000-0000940A0000}"/>
    <cellStyle name="汇总 2 12 4 2 3" xfId="5530" xr:uid="{00000000-0005-0000-0000-0000CA150000}"/>
    <cellStyle name="汇总 2 12 4 2 3 2" xfId="10186" xr:uid="{00000000-0005-0000-0000-0000FA270000}"/>
    <cellStyle name="汇总 2 12 4 2 4" xfId="10193" xr:uid="{00000000-0005-0000-0000-000001280000}"/>
    <cellStyle name="汇总 2 12 4 2 4 2" xfId="10199" xr:uid="{00000000-0005-0000-0000-000007280000}"/>
    <cellStyle name="汇总 2 12 4 2 5" xfId="2726" xr:uid="{00000000-0005-0000-0000-0000D60A0000}"/>
    <cellStyle name="汇总 2 12 4 2 5 2" xfId="10205" xr:uid="{00000000-0005-0000-0000-00000D280000}"/>
    <cellStyle name="汇总 2 12 4 2 6" xfId="10211" xr:uid="{00000000-0005-0000-0000-000013280000}"/>
    <cellStyle name="汇总 2 12 4 2 7" xfId="10214" xr:uid="{00000000-0005-0000-0000-000016280000}"/>
    <cellStyle name="汇总 2 12 4 2 8" xfId="10217" xr:uid="{00000000-0005-0000-0000-000019280000}"/>
    <cellStyle name="汇总 2 12 4 2 9" xfId="10231" xr:uid="{00000000-0005-0000-0000-000027280000}"/>
    <cellStyle name="汇总 2 12 4 3" xfId="10237" xr:uid="{00000000-0005-0000-0000-00002D280000}"/>
    <cellStyle name="汇总 2 12 4 3 2" xfId="5569" xr:uid="{00000000-0005-0000-0000-0000F1150000}"/>
    <cellStyle name="汇总 2 12 4 3 2 2" xfId="2754" xr:uid="{00000000-0005-0000-0000-0000F20A0000}"/>
    <cellStyle name="汇总 2 12 4 3 3" xfId="5576" xr:uid="{00000000-0005-0000-0000-0000F8150000}"/>
    <cellStyle name="汇总 2 12 4 3 3 2" xfId="10244" xr:uid="{00000000-0005-0000-0000-000034280000}"/>
    <cellStyle name="汇总 2 12 4 3 4" xfId="9484" xr:uid="{00000000-0005-0000-0000-00003C250000}"/>
    <cellStyle name="汇总 2 12 4 3 4 2" xfId="9494" xr:uid="{00000000-0005-0000-0000-000046250000}"/>
    <cellStyle name="汇总 2 12 4 3 5" xfId="9501" xr:uid="{00000000-0005-0000-0000-00004D250000}"/>
    <cellStyle name="汇总 2 12 4 3 5 2" xfId="9511" xr:uid="{00000000-0005-0000-0000-000057250000}"/>
    <cellStyle name="汇总 2 12 4 3 6" xfId="9514" xr:uid="{00000000-0005-0000-0000-00005A250000}"/>
    <cellStyle name="汇总 2 12 4 4" xfId="10247" xr:uid="{00000000-0005-0000-0000-000037280000}"/>
    <cellStyle name="汇总 2 12 4 4 2" xfId="2809" xr:uid="{00000000-0005-0000-0000-0000290B0000}"/>
    <cellStyle name="汇总 2 12 4 4 2 2" xfId="5297" xr:uid="{00000000-0005-0000-0000-0000E1140000}"/>
    <cellStyle name="汇总 2 12 4 4 3" xfId="4001" xr:uid="{00000000-0005-0000-0000-0000D10F0000}"/>
    <cellStyle name="汇总 2 12 4 4 3 2" xfId="10255" xr:uid="{00000000-0005-0000-0000-00003F280000}"/>
    <cellStyle name="汇总 2 12 4 4 4" xfId="10258" xr:uid="{00000000-0005-0000-0000-000042280000}"/>
    <cellStyle name="汇总 2 12 4 4 4 2" xfId="10265" xr:uid="{00000000-0005-0000-0000-000049280000}"/>
    <cellStyle name="汇总 2 12 4 4 5" xfId="10270" xr:uid="{00000000-0005-0000-0000-00004E280000}"/>
    <cellStyle name="汇总 2 12 4 4 5 2" xfId="10275" xr:uid="{00000000-0005-0000-0000-000053280000}"/>
    <cellStyle name="汇总 2 12 4 4 6" xfId="10277" xr:uid="{00000000-0005-0000-0000-000055280000}"/>
    <cellStyle name="汇总 2 12 4 5" xfId="10282" xr:uid="{00000000-0005-0000-0000-00005A280000}"/>
    <cellStyle name="汇总 2 12 4 5 2" xfId="5596" xr:uid="{00000000-0005-0000-0000-00000C160000}"/>
    <cellStyle name="汇总 2 12 4 5 2 2" xfId="10289" xr:uid="{00000000-0005-0000-0000-000061280000}"/>
    <cellStyle name="汇总 2 12 4 5 3" xfId="7807" xr:uid="{00000000-0005-0000-0000-0000AF1E0000}"/>
    <cellStyle name="汇总 2 12 4 5 3 2" xfId="10299" xr:uid="{00000000-0005-0000-0000-00006B280000}"/>
    <cellStyle name="汇总 2 12 4 5 4" xfId="10301" xr:uid="{00000000-0005-0000-0000-00006D280000}"/>
    <cellStyle name="汇总 2 12 4 5 4 2" xfId="10315" xr:uid="{00000000-0005-0000-0000-00007B280000}"/>
    <cellStyle name="汇总 2 12 4 5 5" xfId="10319" xr:uid="{00000000-0005-0000-0000-00007F280000}"/>
    <cellStyle name="汇总 2 12 4 5 5 2" xfId="10325" xr:uid="{00000000-0005-0000-0000-000085280000}"/>
    <cellStyle name="汇总 2 12 4 5 6" xfId="10330" xr:uid="{00000000-0005-0000-0000-00008A280000}"/>
    <cellStyle name="汇总 2 12 4 6" xfId="2673" xr:uid="{00000000-0005-0000-0000-0000A10A0000}"/>
    <cellStyle name="汇总 2 12 4 6 2" xfId="10335" xr:uid="{00000000-0005-0000-0000-00008F280000}"/>
    <cellStyle name="汇总 2 12 4 6 2 2" xfId="10345" xr:uid="{00000000-0005-0000-0000-000099280000}"/>
    <cellStyle name="汇总 2 12 4 6 3" xfId="10349" xr:uid="{00000000-0005-0000-0000-00009D280000}"/>
    <cellStyle name="汇总 2 12 4 6 3 2" xfId="10360" xr:uid="{00000000-0005-0000-0000-0000A8280000}"/>
    <cellStyle name="汇总 2 12 4 6 4" xfId="10362" xr:uid="{00000000-0005-0000-0000-0000AA280000}"/>
    <cellStyle name="汇总 2 12 4 6 4 2" xfId="10376" xr:uid="{00000000-0005-0000-0000-0000B8280000}"/>
    <cellStyle name="汇总 2 12 4 6 5" xfId="4886" xr:uid="{00000000-0005-0000-0000-000046130000}"/>
    <cellStyle name="汇总 2 12 4 6 5 2" xfId="10379" xr:uid="{00000000-0005-0000-0000-0000BB280000}"/>
    <cellStyle name="汇总 2 12 4 6 6" xfId="10384" xr:uid="{00000000-0005-0000-0000-0000C0280000}"/>
    <cellStyle name="汇总 2 12 4 7" xfId="10389" xr:uid="{00000000-0005-0000-0000-0000C5280000}"/>
    <cellStyle name="汇总 2 12 4 7 2" xfId="10391" xr:uid="{00000000-0005-0000-0000-0000C7280000}"/>
    <cellStyle name="汇总 2 12 4 7 2 2" xfId="10402" xr:uid="{00000000-0005-0000-0000-0000D2280000}"/>
    <cellStyle name="汇总 2 12 4 7 3" xfId="10405" xr:uid="{00000000-0005-0000-0000-0000D5280000}"/>
    <cellStyle name="汇总 2 12 4 7 3 2" xfId="10413" xr:uid="{00000000-0005-0000-0000-0000DD280000}"/>
    <cellStyle name="汇总 2 12 4 7 4" xfId="10415" xr:uid="{00000000-0005-0000-0000-0000DF280000}"/>
    <cellStyle name="汇总 2 12 4 7 4 2" xfId="10434" xr:uid="{00000000-0005-0000-0000-0000F2280000}"/>
    <cellStyle name="汇总 2 12 4 7 5" xfId="4897" xr:uid="{00000000-0005-0000-0000-000051130000}"/>
    <cellStyle name="汇总 2 12 4 7 5 2" xfId="10437" xr:uid="{00000000-0005-0000-0000-0000F5280000}"/>
    <cellStyle name="汇总 2 12 4 7 6" xfId="10439" xr:uid="{00000000-0005-0000-0000-0000F7280000}"/>
    <cellStyle name="汇总 2 12 4 8" xfId="10443" xr:uid="{00000000-0005-0000-0000-0000FB280000}"/>
    <cellStyle name="汇总 2 12 4 8 2" xfId="10444" xr:uid="{00000000-0005-0000-0000-0000FC280000}"/>
    <cellStyle name="汇总 2 12 4 8 2 2" xfId="1095" xr:uid="{00000000-0005-0000-0000-000077040000}"/>
    <cellStyle name="汇总 2 12 4 8 3" xfId="10449" xr:uid="{00000000-0005-0000-0000-000001290000}"/>
    <cellStyle name="汇总 2 12 4 8 3 2" xfId="1117" xr:uid="{00000000-0005-0000-0000-00008D040000}"/>
    <cellStyle name="汇总 2 12 4 8 4" xfId="9842" xr:uid="{00000000-0005-0000-0000-0000A2260000}"/>
    <cellStyle name="汇总 2 12 4 8 4 2" xfId="1148" xr:uid="{00000000-0005-0000-0000-0000AC040000}"/>
    <cellStyle name="汇总 2 12 4 8 5" xfId="4907" xr:uid="{00000000-0005-0000-0000-00005B130000}"/>
    <cellStyle name="汇总 2 12 4 9" xfId="4787" xr:uid="{00000000-0005-0000-0000-0000E3120000}"/>
    <cellStyle name="汇总 2 12 4 9 2" xfId="10450" xr:uid="{00000000-0005-0000-0000-000002290000}"/>
    <cellStyle name="汇总 2 12 5" xfId="8056" xr:uid="{00000000-0005-0000-0000-0000A81F0000}"/>
    <cellStyle name="汇总 2 12 5 10" xfId="10453" xr:uid="{00000000-0005-0000-0000-000005290000}"/>
    <cellStyle name="汇总 2 12 5 10 2" xfId="10455" xr:uid="{00000000-0005-0000-0000-000007290000}"/>
    <cellStyle name="汇总 2 12 5 11" xfId="10458" xr:uid="{00000000-0005-0000-0000-00000A290000}"/>
    <cellStyle name="汇总 2 12 5 11 2" xfId="10460" xr:uid="{00000000-0005-0000-0000-00000C290000}"/>
    <cellStyle name="汇总 2 12 5 12" xfId="10463" xr:uid="{00000000-0005-0000-0000-00000F290000}"/>
    <cellStyle name="汇总 2 12 5 12 2" xfId="10474" xr:uid="{00000000-0005-0000-0000-00001A290000}"/>
    <cellStyle name="汇总 2 12 5 13" xfId="10479" xr:uid="{00000000-0005-0000-0000-00001F290000}"/>
    <cellStyle name="汇总 2 12 5 14" xfId="10483" xr:uid="{00000000-0005-0000-0000-000023290000}"/>
    <cellStyle name="汇总 2 12 5 15" xfId="4926" xr:uid="{00000000-0005-0000-0000-00006E130000}"/>
    <cellStyle name="汇总 2 12 5 16" xfId="8386" xr:uid="{00000000-0005-0000-0000-0000F2200000}"/>
    <cellStyle name="汇总 2 12 5 2" xfId="8061" xr:uid="{00000000-0005-0000-0000-0000AD1F0000}"/>
    <cellStyle name="汇总 2 12 5 2 2" xfId="5924" xr:uid="{00000000-0005-0000-0000-000054170000}"/>
    <cellStyle name="汇总 2 12 5 2 2 2" xfId="5941" xr:uid="{00000000-0005-0000-0000-000065170000}"/>
    <cellStyle name="汇总 2 12 5 2 3" xfId="5957" xr:uid="{00000000-0005-0000-0000-000075170000}"/>
    <cellStyle name="汇总 2 12 5 2 3 2" xfId="10490" xr:uid="{00000000-0005-0000-0000-00002A290000}"/>
    <cellStyle name="汇总 2 12 5 2 4" xfId="10498" xr:uid="{00000000-0005-0000-0000-000032290000}"/>
    <cellStyle name="汇总 2 12 5 2 4 2" xfId="10511" xr:uid="{00000000-0005-0000-0000-00003F290000}"/>
    <cellStyle name="汇总 2 12 5 2 5" xfId="1230" xr:uid="{00000000-0005-0000-0000-0000FE040000}"/>
    <cellStyle name="汇总 2 12 5 2 5 2" xfId="10515" xr:uid="{00000000-0005-0000-0000-000043290000}"/>
    <cellStyle name="汇总 2 12 5 2 6" xfId="10521" xr:uid="{00000000-0005-0000-0000-000049290000}"/>
    <cellStyle name="汇总 2 12 5 2 7" xfId="10527" xr:uid="{00000000-0005-0000-0000-00004F290000}"/>
    <cellStyle name="汇总 2 12 5 2 8" xfId="10528" xr:uid="{00000000-0005-0000-0000-000050290000}"/>
    <cellStyle name="汇总 2 12 5 2 9" xfId="10546" xr:uid="{00000000-0005-0000-0000-000062290000}"/>
    <cellStyle name="汇总 2 12 5 3" xfId="10550" xr:uid="{00000000-0005-0000-0000-000066290000}"/>
    <cellStyle name="汇总 2 12 5 3 2" xfId="6028" xr:uid="{00000000-0005-0000-0000-0000BC170000}"/>
    <cellStyle name="汇总 2 12 5 3 2 2" xfId="6045" xr:uid="{00000000-0005-0000-0000-0000CD170000}"/>
    <cellStyle name="汇总 2 12 5 3 3" xfId="6061" xr:uid="{00000000-0005-0000-0000-0000DD170000}"/>
    <cellStyle name="汇总 2 12 5 3 3 2" xfId="10557" xr:uid="{00000000-0005-0000-0000-00006D290000}"/>
    <cellStyle name="汇总 2 12 5 3 4" xfId="10564" xr:uid="{00000000-0005-0000-0000-000074290000}"/>
    <cellStyle name="汇总 2 12 5 3 4 2" xfId="10578" xr:uid="{00000000-0005-0000-0000-000082290000}"/>
    <cellStyle name="汇总 2 12 5 3 5" xfId="10589" xr:uid="{00000000-0005-0000-0000-00008D290000}"/>
    <cellStyle name="汇总 2 12 5 3 5 2" xfId="10598" xr:uid="{00000000-0005-0000-0000-000096290000}"/>
    <cellStyle name="汇总 2 12 5 3 6" xfId="10602" xr:uid="{00000000-0005-0000-0000-00009A290000}"/>
    <cellStyle name="汇总 2 12 5 4" xfId="10605" xr:uid="{00000000-0005-0000-0000-00009D290000}"/>
    <cellStyle name="汇总 2 12 5 4 2" xfId="3222" xr:uid="{00000000-0005-0000-0000-0000C60C0000}"/>
    <cellStyle name="汇总 2 12 5 4 2 2" xfId="6086" xr:uid="{00000000-0005-0000-0000-0000F6170000}"/>
    <cellStyle name="汇总 2 12 5 4 3" xfId="5471" xr:uid="{00000000-0005-0000-0000-00008F150000}"/>
    <cellStyle name="汇总 2 12 5 4 3 2" xfId="10616" xr:uid="{00000000-0005-0000-0000-0000A8290000}"/>
    <cellStyle name="汇总 2 12 5 4 4" xfId="10621" xr:uid="{00000000-0005-0000-0000-0000AD290000}"/>
    <cellStyle name="汇总 2 12 5 4 4 2" xfId="10632" xr:uid="{00000000-0005-0000-0000-0000B8290000}"/>
    <cellStyle name="汇总 2 12 5 4 5" xfId="10641" xr:uid="{00000000-0005-0000-0000-0000C1290000}"/>
    <cellStyle name="汇总 2 12 5 4 5 2" xfId="163" xr:uid="{00000000-0005-0000-0000-0000B0000000}"/>
    <cellStyle name="汇总 2 12 5 4 6" xfId="10647" xr:uid="{00000000-0005-0000-0000-0000C7290000}"/>
    <cellStyle name="汇总 2 12 5 5" xfId="10650" xr:uid="{00000000-0005-0000-0000-0000CA290000}"/>
    <cellStyle name="汇总 2 12 5 5 2" xfId="6132" xr:uid="{00000000-0005-0000-0000-000024180000}"/>
    <cellStyle name="汇总 2 12 5 5 2 2" xfId="10665" xr:uid="{00000000-0005-0000-0000-0000D9290000}"/>
    <cellStyle name="汇总 2 12 5 5 3" xfId="7827" xr:uid="{00000000-0005-0000-0000-0000C31E0000}"/>
    <cellStyle name="汇总 2 12 5 5 3 2" xfId="10681" xr:uid="{00000000-0005-0000-0000-0000E9290000}"/>
    <cellStyle name="汇总 2 12 5 5 4" xfId="10686" xr:uid="{00000000-0005-0000-0000-0000EE290000}"/>
    <cellStyle name="汇总 2 12 5 5 4 2" xfId="10701" xr:uid="{00000000-0005-0000-0000-0000FD290000}"/>
    <cellStyle name="汇总 2 12 5 5 5" xfId="10706" xr:uid="{00000000-0005-0000-0000-0000022A0000}"/>
    <cellStyle name="汇总 2 12 5 5 5 2" xfId="10711" xr:uid="{00000000-0005-0000-0000-0000072A0000}"/>
    <cellStyle name="汇总 2 12 5 5 6" xfId="10716" xr:uid="{00000000-0005-0000-0000-00000C2A0000}"/>
    <cellStyle name="汇总 2 12 5 6" xfId="2694" xr:uid="{00000000-0005-0000-0000-0000B60A0000}"/>
    <cellStyle name="汇总 2 12 5 6 2" xfId="10719" xr:uid="{00000000-0005-0000-0000-00000F2A0000}"/>
    <cellStyle name="汇总 2 12 5 6 2 2" xfId="10737" xr:uid="{00000000-0005-0000-0000-0000212A0000}"/>
    <cellStyle name="汇总 2 12 5 6 3" xfId="10745" xr:uid="{00000000-0005-0000-0000-0000292A0000}"/>
    <cellStyle name="汇总 2 12 5 6 3 2" xfId="10758" xr:uid="{00000000-0005-0000-0000-0000362A0000}"/>
    <cellStyle name="汇总 2 12 5 6 4" xfId="10762" xr:uid="{00000000-0005-0000-0000-00003A2A0000}"/>
    <cellStyle name="汇总 2 12 5 6 4 2" xfId="10773" xr:uid="{00000000-0005-0000-0000-0000452A0000}"/>
    <cellStyle name="汇总 2 12 5 6 5" xfId="10777" xr:uid="{00000000-0005-0000-0000-0000492A0000}"/>
    <cellStyle name="汇总 2 12 5 6 5 2" xfId="10782" xr:uid="{00000000-0005-0000-0000-00004E2A0000}"/>
    <cellStyle name="汇总 2 12 5 6 6" xfId="10784" xr:uid="{00000000-0005-0000-0000-0000502A0000}"/>
    <cellStyle name="汇总 2 12 5 7" xfId="10785" xr:uid="{00000000-0005-0000-0000-0000512A0000}"/>
    <cellStyle name="汇总 2 12 5 7 2" xfId="10793" xr:uid="{00000000-0005-0000-0000-0000592A0000}"/>
    <cellStyle name="汇总 2 12 5 7 2 2" xfId="1781" xr:uid="{00000000-0005-0000-0000-000025070000}"/>
    <cellStyle name="汇总 2 12 5 7 3" xfId="10804" xr:uid="{00000000-0005-0000-0000-0000642A0000}"/>
    <cellStyle name="汇总 2 12 5 7 3 2" xfId="10811" xr:uid="{00000000-0005-0000-0000-00006B2A0000}"/>
    <cellStyle name="汇总 2 12 5 7 4" xfId="10817" xr:uid="{00000000-0005-0000-0000-0000712A0000}"/>
    <cellStyle name="汇总 2 12 5 7 4 2" xfId="10824" xr:uid="{00000000-0005-0000-0000-0000782A0000}"/>
    <cellStyle name="汇总 2 12 5 7 5" xfId="10827" xr:uid="{00000000-0005-0000-0000-00007B2A0000}"/>
    <cellStyle name="汇总 2 12 5 7 5 2" xfId="10829" xr:uid="{00000000-0005-0000-0000-00007D2A0000}"/>
    <cellStyle name="汇总 2 12 5 7 6" xfId="10832" xr:uid="{00000000-0005-0000-0000-0000802A0000}"/>
    <cellStyle name="汇总 2 12 5 8" xfId="10833" xr:uid="{00000000-0005-0000-0000-0000812A0000}"/>
    <cellStyle name="汇总 2 12 5 8 2" xfId="10836" xr:uid="{00000000-0005-0000-0000-0000842A0000}"/>
    <cellStyle name="汇总 2 12 5 8 2 2" xfId="10840" xr:uid="{00000000-0005-0000-0000-0000882A0000}"/>
    <cellStyle name="汇总 2 12 5 8 3" xfId="10843" xr:uid="{00000000-0005-0000-0000-00008B2A0000}"/>
    <cellStyle name="汇总 2 12 5 8 3 2" xfId="10847" xr:uid="{00000000-0005-0000-0000-00008F2A0000}"/>
    <cellStyle name="汇总 2 12 5 8 4" xfId="10851" xr:uid="{00000000-0005-0000-0000-0000932A0000}"/>
    <cellStyle name="汇总 2 12 5 8 4 2" xfId="10854" xr:uid="{00000000-0005-0000-0000-0000962A0000}"/>
    <cellStyle name="汇总 2 12 5 8 5" xfId="10859" xr:uid="{00000000-0005-0000-0000-00009B2A0000}"/>
    <cellStyle name="汇总 2 12 5 9" xfId="10861" xr:uid="{00000000-0005-0000-0000-00009D2A0000}"/>
    <cellStyle name="汇总 2 12 5 9 2" xfId="10863" xr:uid="{00000000-0005-0000-0000-00009F2A0000}"/>
    <cellStyle name="汇总 2 12 6" xfId="4669" xr:uid="{00000000-0005-0000-0000-00006D120000}"/>
    <cellStyle name="汇总 2 12 6 10" xfId="10866" xr:uid="{00000000-0005-0000-0000-0000A22A0000}"/>
    <cellStyle name="汇总 2 12 6 10 2" xfId="10880" xr:uid="{00000000-0005-0000-0000-0000B02A0000}"/>
    <cellStyle name="汇总 2 12 6 11" xfId="10885" xr:uid="{00000000-0005-0000-0000-0000B52A0000}"/>
    <cellStyle name="汇总 2 12 6 11 2" xfId="10888" xr:uid="{00000000-0005-0000-0000-0000B82A0000}"/>
    <cellStyle name="汇总 2 12 6 12" xfId="6472" xr:uid="{00000000-0005-0000-0000-000078190000}"/>
    <cellStyle name="汇总 2 12 6 12 2" xfId="10894" xr:uid="{00000000-0005-0000-0000-0000BE2A0000}"/>
    <cellStyle name="汇总 2 12 6 13" xfId="3700" xr:uid="{00000000-0005-0000-0000-0000A40E0000}"/>
    <cellStyle name="汇总 2 12 6 14" xfId="10899" xr:uid="{00000000-0005-0000-0000-0000C32A0000}"/>
    <cellStyle name="汇总 2 12 6 15" xfId="201" xr:uid="{00000000-0005-0000-0000-0000D9000000}"/>
    <cellStyle name="汇总 2 12 6 16" xfId="10901" xr:uid="{00000000-0005-0000-0000-0000C52A0000}"/>
    <cellStyle name="汇总 2 12 6 2" xfId="6283" xr:uid="{00000000-0005-0000-0000-0000BB180000}"/>
    <cellStyle name="汇总 2 12 6 2 2" xfId="6290" xr:uid="{00000000-0005-0000-0000-0000C2180000}"/>
    <cellStyle name="汇总 2 12 6 2 2 2" xfId="6303" xr:uid="{00000000-0005-0000-0000-0000CF180000}"/>
    <cellStyle name="汇总 2 12 6 2 3" xfId="6317" xr:uid="{00000000-0005-0000-0000-0000DD180000}"/>
    <cellStyle name="汇总 2 12 6 2 3 2" xfId="5480" xr:uid="{00000000-0005-0000-0000-000098150000}"/>
    <cellStyle name="汇总 2 12 6 2 4" xfId="6327" xr:uid="{00000000-0005-0000-0000-0000E7180000}"/>
    <cellStyle name="汇总 2 12 6 2 4 2" xfId="6334" xr:uid="{00000000-0005-0000-0000-0000EE180000}"/>
    <cellStyle name="汇总 2 12 6 2 5" xfId="3501" xr:uid="{00000000-0005-0000-0000-0000DD0D0000}"/>
    <cellStyle name="汇总 2 12 6 2 5 2" xfId="5034" xr:uid="{00000000-0005-0000-0000-0000DA130000}"/>
    <cellStyle name="汇总 2 12 6 2 6" xfId="6340" xr:uid="{00000000-0005-0000-0000-0000F4180000}"/>
    <cellStyle name="汇总 2 12 6 2 7" xfId="10907" xr:uid="{00000000-0005-0000-0000-0000CB2A0000}"/>
    <cellStyle name="汇总 2 12 6 2 8" xfId="10908" xr:uid="{00000000-0005-0000-0000-0000CC2A0000}"/>
    <cellStyle name="汇总 2 12 6 2 9" xfId="10918" xr:uid="{00000000-0005-0000-0000-0000D62A0000}"/>
    <cellStyle name="汇总 2 12 6 3" xfId="6355" xr:uid="{00000000-0005-0000-0000-000003190000}"/>
    <cellStyle name="汇总 2 12 6 3 2" xfId="6363" xr:uid="{00000000-0005-0000-0000-00000B190000}"/>
    <cellStyle name="汇总 2 12 6 3 2 2" xfId="2370" xr:uid="{00000000-0005-0000-0000-000072090000}"/>
    <cellStyle name="汇总 2 12 6 3 3" xfId="2358" xr:uid="{00000000-0005-0000-0000-000066090000}"/>
    <cellStyle name="汇总 2 12 6 3 3 2" xfId="2042" xr:uid="{00000000-0005-0000-0000-00002A080000}"/>
    <cellStyle name="汇总 2 12 6 3 4" xfId="2364" xr:uid="{00000000-0005-0000-0000-00006C090000}"/>
    <cellStyle name="汇总 2 12 6 3 4 2" xfId="2378" xr:uid="{00000000-0005-0000-0000-00007A090000}"/>
    <cellStyle name="汇总 2 12 6 3 5" xfId="2385" xr:uid="{00000000-0005-0000-0000-000081090000}"/>
    <cellStyle name="汇总 2 12 6 3 5 2" xfId="2392" xr:uid="{00000000-0005-0000-0000-000088090000}"/>
    <cellStyle name="汇总 2 12 6 3 6" xfId="2396" xr:uid="{00000000-0005-0000-0000-00008C090000}"/>
    <cellStyle name="汇总 2 12 6 4" xfId="815" xr:uid="{00000000-0005-0000-0000-00005F030000}"/>
    <cellStyle name="汇总 2 12 6 4 2" xfId="6377" xr:uid="{00000000-0005-0000-0000-000019190000}"/>
    <cellStyle name="汇总 2 12 6 4 2 2" xfId="6388" xr:uid="{00000000-0005-0000-0000-000024190000}"/>
    <cellStyle name="汇总 2 12 6 4 3" xfId="6399" xr:uid="{00000000-0005-0000-0000-00002F190000}"/>
    <cellStyle name="汇总 2 12 6 4 3 2" xfId="6414" xr:uid="{00000000-0005-0000-0000-00003E190000}"/>
    <cellStyle name="汇总 2 12 6 4 4" xfId="2032" xr:uid="{00000000-0005-0000-0000-000020080000}"/>
    <cellStyle name="汇总 2 12 6 4 4 2" xfId="6424" xr:uid="{00000000-0005-0000-0000-000048190000}"/>
    <cellStyle name="汇总 2 12 6 4 5" xfId="2060" xr:uid="{00000000-0005-0000-0000-00003C080000}"/>
    <cellStyle name="汇总 2 12 6 4 5 2" xfId="1791" xr:uid="{00000000-0005-0000-0000-00002F070000}"/>
    <cellStyle name="汇总 2 12 6 4 6" xfId="6428" xr:uid="{00000000-0005-0000-0000-00004C190000}"/>
    <cellStyle name="汇总 2 12 6 5" xfId="6431" xr:uid="{00000000-0005-0000-0000-00004F190000}"/>
    <cellStyle name="汇总 2 12 6 5 2" xfId="6440" xr:uid="{00000000-0005-0000-0000-000058190000}"/>
    <cellStyle name="汇总 2 12 6 5 2 2" xfId="6446" xr:uid="{00000000-0005-0000-0000-00005E190000}"/>
    <cellStyle name="汇总 2 12 6 5 3" xfId="6454" xr:uid="{00000000-0005-0000-0000-000066190000}"/>
    <cellStyle name="汇总 2 12 6 5 3 2" xfId="6462" xr:uid="{00000000-0005-0000-0000-00006E190000}"/>
    <cellStyle name="汇总 2 12 6 5 4" xfId="2373" xr:uid="{00000000-0005-0000-0000-000075090000}"/>
    <cellStyle name="汇总 2 12 6 5 4 2" xfId="6469" xr:uid="{00000000-0005-0000-0000-000075190000}"/>
    <cellStyle name="汇总 2 12 6 5 5" xfId="3614" xr:uid="{00000000-0005-0000-0000-00004E0E0000}"/>
    <cellStyle name="汇总 2 12 6 5 5 2" xfId="5645" xr:uid="{00000000-0005-0000-0000-00003D160000}"/>
    <cellStyle name="汇总 2 12 6 5 6" xfId="6475" xr:uid="{00000000-0005-0000-0000-00007B190000}"/>
    <cellStyle name="汇总 2 12 6 6" xfId="2710" xr:uid="{00000000-0005-0000-0000-0000C60A0000}"/>
    <cellStyle name="汇总 2 12 6 6 2" xfId="4391" xr:uid="{00000000-0005-0000-0000-000057110000}"/>
    <cellStyle name="汇总 2 12 6 6 2 2" xfId="6478" xr:uid="{00000000-0005-0000-0000-00007E190000}"/>
    <cellStyle name="汇总 2 12 6 6 3" xfId="93" xr:uid="{00000000-0005-0000-0000-000064000000}"/>
    <cellStyle name="汇总 2 12 6 6 3 2" xfId="6487" xr:uid="{00000000-0005-0000-0000-000087190000}"/>
    <cellStyle name="汇总 2 12 6 6 4" xfId="2387" xr:uid="{00000000-0005-0000-0000-000083090000}"/>
    <cellStyle name="汇总 2 12 6 6 4 2" xfId="6500" xr:uid="{00000000-0005-0000-0000-000094190000}"/>
    <cellStyle name="汇总 2 12 6 6 5" xfId="3624" xr:uid="{00000000-0005-0000-0000-0000580E0000}"/>
    <cellStyle name="汇总 2 12 6 6 5 2" xfId="10919" xr:uid="{00000000-0005-0000-0000-0000D72A0000}"/>
    <cellStyle name="汇总 2 12 6 6 6" xfId="10920" xr:uid="{00000000-0005-0000-0000-0000D82A0000}"/>
    <cellStyle name="汇总 2 12 6 7" xfId="6510" xr:uid="{00000000-0005-0000-0000-00009E190000}"/>
    <cellStyle name="汇总 2 12 6 7 2" xfId="6514" xr:uid="{00000000-0005-0000-0000-0000A2190000}"/>
    <cellStyle name="汇总 2 12 6 7 2 2" xfId="8145" xr:uid="{00000000-0005-0000-0000-000001200000}"/>
    <cellStyle name="汇总 2 12 6 7 3" xfId="2298" xr:uid="{00000000-0005-0000-0000-00002A090000}"/>
    <cellStyle name="汇总 2 12 6 7 3 2" xfId="8865" xr:uid="{00000000-0005-0000-0000-0000D1220000}"/>
    <cellStyle name="汇总 2 12 6 7 4" xfId="8151" xr:uid="{00000000-0005-0000-0000-000007200000}"/>
    <cellStyle name="汇总 2 12 6 7 4 2" xfId="10923" xr:uid="{00000000-0005-0000-0000-0000DB2A0000}"/>
    <cellStyle name="汇总 2 12 6 7 5" xfId="3592" xr:uid="{00000000-0005-0000-0000-0000380E0000}"/>
    <cellStyle name="汇总 2 12 6 7 5 2" xfId="10924" xr:uid="{00000000-0005-0000-0000-0000DC2A0000}"/>
    <cellStyle name="汇总 2 12 6 7 6" xfId="8159" xr:uid="{00000000-0005-0000-0000-00000F200000}"/>
    <cellStyle name="汇总 2 12 6 8" xfId="10925" xr:uid="{00000000-0005-0000-0000-0000DD2A0000}"/>
    <cellStyle name="汇总 2 12 6 8 2" xfId="10929" xr:uid="{00000000-0005-0000-0000-0000E12A0000}"/>
    <cellStyle name="汇总 2 12 6 8 2 2" xfId="10933" xr:uid="{00000000-0005-0000-0000-0000E52A0000}"/>
    <cellStyle name="汇总 2 12 6 8 3" xfId="2826" xr:uid="{00000000-0005-0000-0000-00003A0B0000}"/>
    <cellStyle name="汇总 2 12 6 8 3 2" xfId="2832" xr:uid="{00000000-0005-0000-0000-0000400B0000}"/>
    <cellStyle name="汇总 2 12 6 8 4" xfId="2838" xr:uid="{00000000-0005-0000-0000-0000460B0000}"/>
    <cellStyle name="汇总 2 12 6 8 4 2" xfId="2844" xr:uid="{00000000-0005-0000-0000-00004C0B0000}"/>
    <cellStyle name="汇总 2 12 6 8 5" xfId="2847" xr:uid="{00000000-0005-0000-0000-00004F0B0000}"/>
    <cellStyle name="汇总 2 12 6 9" xfId="10934" xr:uid="{00000000-0005-0000-0000-0000E62A0000}"/>
    <cellStyle name="汇总 2 12 6 9 2" xfId="10935" xr:uid="{00000000-0005-0000-0000-0000E72A0000}"/>
    <cellStyle name="汇总 2 12 7" xfId="8065" xr:uid="{00000000-0005-0000-0000-0000B11F0000}"/>
    <cellStyle name="汇总 2 12 7 10" xfId="10565" xr:uid="{00000000-0005-0000-0000-000075290000}"/>
    <cellStyle name="汇总 2 12 7 10 2" xfId="10579" xr:uid="{00000000-0005-0000-0000-000083290000}"/>
    <cellStyle name="汇总 2 12 7 11" xfId="10590" xr:uid="{00000000-0005-0000-0000-00008E290000}"/>
    <cellStyle name="汇总 2 12 7 11 2" xfId="10599" xr:uid="{00000000-0005-0000-0000-000097290000}"/>
    <cellStyle name="汇总 2 12 7 12" xfId="10603" xr:uid="{00000000-0005-0000-0000-00009B290000}"/>
    <cellStyle name="汇总 2 12 7 12 2" xfId="10937" xr:uid="{00000000-0005-0000-0000-0000E92A0000}"/>
    <cellStyle name="汇总 2 12 7 13" xfId="10941" xr:uid="{00000000-0005-0000-0000-0000ED2A0000}"/>
    <cellStyle name="汇总 2 12 7 14" xfId="10944" xr:uid="{00000000-0005-0000-0000-0000F02A0000}"/>
    <cellStyle name="汇总 2 12 7 15" xfId="10956" xr:uid="{00000000-0005-0000-0000-0000FC2A0000}"/>
    <cellStyle name="汇总 2 12 7 16" xfId="10967" xr:uid="{00000000-0005-0000-0000-0000072B0000}"/>
    <cellStyle name="汇总 2 12 7 2" xfId="6672" xr:uid="{00000000-0005-0000-0000-0000401A0000}"/>
    <cellStyle name="汇总 2 12 7 2 2" xfId="6678" xr:uid="{00000000-0005-0000-0000-0000461A0000}"/>
    <cellStyle name="汇总 2 12 7 2 2 2" xfId="4494" xr:uid="{00000000-0005-0000-0000-0000BE110000}"/>
    <cellStyle name="汇总 2 12 7 2 3" xfId="6689" xr:uid="{00000000-0005-0000-0000-0000511A0000}"/>
    <cellStyle name="汇总 2 12 7 2 3 2" xfId="2270" xr:uid="{00000000-0005-0000-0000-00000E090000}"/>
    <cellStyle name="汇总 2 12 7 2 4" xfId="6702" xr:uid="{00000000-0005-0000-0000-00005E1A0000}"/>
    <cellStyle name="汇总 2 12 7 2 4 2" xfId="2003" xr:uid="{00000000-0005-0000-0000-000003080000}"/>
    <cellStyle name="汇总 2 12 7 2 5" xfId="1407" xr:uid="{00000000-0005-0000-0000-0000AF050000}"/>
    <cellStyle name="汇总 2 12 7 2 5 2" xfId="1422" xr:uid="{00000000-0005-0000-0000-0000BE050000}"/>
    <cellStyle name="汇总 2 12 7 2 6" xfId="6712" xr:uid="{00000000-0005-0000-0000-0000681A0000}"/>
    <cellStyle name="汇总 2 12 7 2 7" xfId="10973" xr:uid="{00000000-0005-0000-0000-00000D2B0000}"/>
    <cellStyle name="汇总 2 12 7 2 8" xfId="10976" xr:uid="{00000000-0005-0000-0000-0000102B0000}"/>
    <cellStyle name="汇总 2 12 7 2 9" xfId="10990" xr:uid="{00000000-0005-0000-0000-00001E2B0000}"/>
    <cellStyle name="汇总 2 12 7 3" xfId="6730" xr:uid="{00000000-0005-0000-0000-00007A1A0000}"/>
    <cellStyle name="汇总 2 12 7 3 2" xfId="6737" xr:uid="{00000000-0005-0000-0000-0000811A0000}"/>
    <cellStyle name="汇总 2 12 7 3 2 2" xfId="6180" xr:uid="{00000000-0005-0000-0000-000054180000}"/>
    <cellStyle name="汇总 2 12 7 3 3" xfId="6742" xr:uid="{00000000-0005-0000-0000-0000861A0000}"/>
    <cellStyle name="汇总 2 12 7 3 3 2" xfId="6761" xr:uid="{00000000-0005-0000-0000-0000991A0000}"/>
    <cellStyle name="汇总 2 12 7 3 4" xfId="6380" xr:uid="{00000000-0005-0000-0000-00001C190000}"/>
    <cellStyle name="汇总 2 12 7 3 4 2" xfId="6770" xr:uid="{00000000-0005-0000-0000-0000A21A0000}"/>
    <cellStyle name="汇总 2 12 7 3 5" xfId="6771" xr:uid="{00000000-0005-0000-0000-0000A31A0000}"/>
    <cellStyle name="汇总 2 12 7 3 5 2" xfId="6781" xr:uid="{00000000-0005-0000-0000-0000AD1A0000}"/>
    <cellStyle name="汇总 2 12 7 3 6" xfId="6785" xr:uid="{00000000-0005-0000-0000-0000B11A0000}"/>
    <cellStyle name="汇总 2 12 7 4" xfId="841" xr:uid="{00000000-0005-0000-0000-000079030000}"/>
    <cellStyle name="汇总 2 12 7 4 2" xfId="6796" xr:uid="{00000000-0005-0000-0000-0000BC1A0000}"/>
    <cellStyle name="汇总 2 12 7 4 2 2" xfId="6804" xr:uid="{00000000-0005-0000-0000-0000C41A0000}"/>
    <cellStyle name="汇总 2 12 7 4 3" xfId="6813" xr:uid="{00000000-0005-0000-0000-0000CD1A0000}"/>
    <cellStyle name="汇总 2 12 7 4 3 2" xfId="6827" xr:uid="{00000000-0005-0000-0000-0000DB1A0000}"/>
    <cellStyle name="汇总 2 12 7 4 4" xfId="6410" xr:uid="{00000000-0005-0000-0000-00003A190000}"/>
    <cellStyle name="汇总 2 12 7 4 4 2" xfId="6354" xr:uid="{00000000-0005-0000-0000-000002190000}"/>
    <cellStyle name="汇总 2 12 7 4 5" xfId="450" xr:uid="{00000000-0005-0000-0000-0000EC010000}"/>
    <cellStyle name="汇总 2 12 7 4 5 2" xfId="6721" xr:uid="{00000000-0005-0000-0000-0000711A0000}"/>
    <cellStyle name="汇总 2 12 7 4 6" xfId="6831" xr:uid="{00000000-0005-0000-0000-0000DF1A0000}"/>
    <cellStyle name="汇总 2 12 7 5" xfId="6837" xr:uid="{00000000-0005-0000-0000-0000E51A0000}"/>
    <cellStyle name="汇总 2 12 7 5 2" xfId="6840" xr:uid="{00000000-0005-0000-0000-0000E81A0000}"/>
    <cellStyle name="汇总 2 12 7 5 2 2" xfId="6851" xr:uid="{00000000-0005-0000-0000-0000F31A0000}"/>
    <cellStyle name="汇总 2 12 7 5 3" xfId="6856" xr:uid="{00000000-0005-0000-0000-0000F81A0000}"/>
    <cellStyle name="汇总 2 12 7 5 3 2" xfId="6867" xr:uid="{00000000-0005-0000-0000-0000031B0000}"/>
    <cellStyle name="汇总 2 12 7 5 4" xfId="6419" xr:uid="{00000000-0005-0000-0000-000043190000}"/>
    <cellStyle name="汇总 2 12 7 5 4 2" xfId="6872" xr:uid="{00000000-0005-0000-0000-0000081B0000}"/>
    <cellStyle name="汇总 2 12 7 5 5" xfId="1590" xr:uid="{00000000-0005-0000-0000-000066060000}"/>
    <cellStyle name="汇总 2 12 7 5 5 2" xfId="6873" xr:uid="{00000000-0005-0000-0000-0000091B0000}"/>
    <cellStyle name="汇总 2 12 7 5 6" xfId="6880" xr:uid="{00000000-0005-0000-0000-0000101B0000}"/>
    <cellStyle name="汇总 2 12 7 6" xfId="2731" xr:uid="{00000000-0005-0000-0000-0000DB0A0000}"/>
    <cellStyle name="汇总 2 12 7 6 2" xfId="1733" xr:uid="{00000000-0005-0000-0000-0000F5060000}"/>
    <cellStyle name="汇总 2 12 7 6 2 2" xfId="1485" xr:uid="{00000000-0005-0000-0000-0000FD050000}"/>
    <cellStyle name="汇总 2 12 7 6 3" xfId="1761" xr:uid="{00000000-0005-0000-0000-000011070000}"/>
    <cellStyle name="汇总 2 12 7 6 3 2" xfId="2482" xr:uid="{00000000-0005-0000-0000-0000E2090000}"/>
    <cellStyle name="汇总 2 12 7 6 4" xfId="1795" xr:uid="{00000000-0005-0000-0000-000033070000}"/>
    <cellStyle name="汇总 2 12 7 6 4 2" xfId="2073" xr:uid="{00000000-0005-0000-0000-000049080000}"/>
    <cellStyle name="汇总 2 12 7 6 5" xfId="3651" xr:uid="{00000000-0005-0000-0000-0000730E0000}"/>
    <cellStyle name="汇总 2 12 7 6 5 2" xfId="3909" xr:uid="{00000000-0005-0000-0000-0000750F0000}"/>
    <cellStyle name="汇总 2 12 7 6 6" xfId="8173" xr:uid="{00000000-0005-0000-0000-00001D200000}"/>
    <cellStyle name="汇总 2 12 7 7" xfId="6896" xr:uid="{00000000-0005-0000-0000-0000201B0000}"/>
    <cellStyle name="汇总 2 12 7 7 2" xfId="1990" xr:uid="{00000000-0005-0000-0000-0000F6070000}"/>
    <cellStyle name="汇总 2 12 7 7 2 2" xfId="1924" xr:uid="{00000000-0005-0000-0000-0000B4070000}"/>
    <cellStyle name="汇总 2 12 7 7 3" xfId="10998" xr:uid="{00000000-0005-0000-0000-0000262B0000}"/>
    <cellStyle name="汇总 2 12 7 7 3 2" xfId="2543" xr:uid="{00000000-0005-0000-0000-00001F0A0000}"/>
    <cellStyle name="汇总 2 12 7 7 4" xfId="10999" xr:uid="{00000000-0005-0000-0000-0000272B0000}"/>
    <cellStyle name="汇总 2 12 7 7 4 2" xfId="4324" xr:uid="{00000000-0005-0000-0000-000014110000}"/>
    <cellStyle name="汇总 2 12 7 7 5" xfId="11002" xr:uid="{00000000-0005-0000-0000-00002A2B0000}"/>
    <cellStyle name="汇总 2 12 7 7 5 2" xfId="4354" xr:uid="{00000000-0005-0000-0000-000032110000}"/>
    <cellStyle name="汇总 2 12 7 7 6" xfId="8179" xr:uid="{00000000-0005-0000-0000-000023200000}"/>
    <cellStyle name="汇总 2 12 7 8" xfId="11003" xr:uid="{00000000-0005-0000-0000-00002B2B0000}"/>
    <cellStyle name="汇总 2 12 7 8 2" xfId="11006" xr:uid="{00000000-0005-0000-0000-00002E2B0000}"/>
    <cellStyle name="汇总 2 12 7 8 2 2" xfId="2603" xr:uid="{00000000-0005-0000-0000-00005B0A0000}"/>
    <cellStyle name="汇总 2 12 7 8 3" xfId="11010" xr:uid="{00000000-0005-0000-0000-0000322B0000}"/>
    <cellStyle name="汇总 2 12 7 8 3 2" xfId="2635" xr:uid="{00000000-0005-0000-0000-00007B0A0000}"/>
    <cellStyle name="汇总 2 12 7 8 4" xfId="11012" xr:uid="{00000000-0005-0000-0000-0000342B0000}"/>
    <cellStyle name="汇总 2 12 7 8 4 2" xfId="4650" xr:uid="{00000000-0005-0000-0000-00005A120000}"/>
    <cellStyle name="汇总 2 12 7 8 5" xfId="11018" xr:uid="{00000000-0005-0000-0000-00003A2B0000}"/>
    <cellStyle name="汇总 2 12 7 9" xfId="11019" xr:uid="{00000000-0005-0000-0000-00003B2B0000}"/>
    <cellStyle name="汇总 2 12 7 9 2" xfId="11020" xr:uid="{00000000-0005-0000-0000-00003C2B0000}"/>
    <cellStyle name="汇总 2 12 8" xfId="11027" xr:uid="{00000000-0005-0000-0000-0000432B0000}"/>
    <cellStyle name="汇总 2 12 8 10" xfId="10852" xr:uid="{00000000-0005-0000-0000-0000942A0000}"/>
    <cellStyle name="汇总 2 12 8 10 2" xfId="10855" xr:uid="{00000000-0005-0000-0000-0000972A0000}"/>
    <cellStyle name="汇总 2 12 8 11" xfId="10860" xr:uid="{00000000-0005-0000-0000-00009C2A0000}"/>
    <cellStyle name="汇总 2 12 8 11 2" xfId="11030" xr:uid="{00000000-0005-0000-0000-0000462B0000}"/>
    <cellStyle name="汇总 2 12 8 12" xfId="11033" xr:uid="{00000000-0005-0000-0000-0000492B0000}"/>
    <cellStyle name="汇总 2 12 8 12 2" xfId="11037" xr:uid="{00000000-0005-0000-0000-00004D2B0000}"/>
    <cellStyle name="汇总 2 12 8 13" xfId="11042" xr:uid="{00000000-0005-0000-0000-0000522B0000}"/>
    <cellStyle name="汇总 2 12 8 14" xfId="11048" xr:uid="{00000000-0005-0000-0000-0000582B0000}"/>
    <cellStyle name="汇总 2 12 8 15" xfId="11054" xr:uid="{00000000-0005-0000-0000-00005E2B0000}"/>
    <cellStyle name="汇总 2 12 8 16" xfId="11059" xr:uid="{00000000-0005-0000-0000-0000632B0000}"/>
    <cellStyle name="汇总 2 12 8 2" xfId="6915" xr:uid="{00000000-0005-0000-0000-0000331B0000}"/>
    <cellStyle name="汇总 2 12 8 2 2" xfId="6920" xr:uid="{00000000-0005-0000-0000-0000381B0000}"/>
    <cellStyle name="汇总 2 12 8 2 2 2" xfId="11065" xr:uid="{00000000-0005-0000-0000-0000692B0000}"/>
    <cellStyle name="汇总 2 12 8 2 3" xfId="7876" xr:uid="{00000000-0005-0000-0000-0000F41E0000}"/>
    <cellStyle name="汇总 2 12 8 2 3 2" xfId="6251" xr:uid="{00000000-0005-0000-0000-00009B180000}"/>
    <cellStyle name="汇总 2 12 8 2 4" xfId="11071" xr:uid="{00000000-0005-0000-0000-00006F2B0000}"/>
    <cellStyle name="汇总 2 12 8 2 4 2" xfId="11074" xr:uid="{00000000-0005-0000-0000-0000722B0000}"/>
    <cellStyle name="汇总 2 12 8 2 5" xfId="11081" xr:uid="{00000000-0005-0000-0000-0000792B0000}"/>
    <cellStyle name="汇总 2 12 8 2 5 2" xfId="10912" xr:uid="{00000000-0005-0000-0000-0000D02A0000}"/>
    <cellStyle name="汇总 2 12 8 2 6" xfId="11087" xr:uid="{00000000-0005-0000-0000-00007F2B0000}"/>
    <cellStyle name="汇总 2 12 8 2 7" xfId="11092" xr:uid="{00000000-0005-0000-0000-0000842B0000}"/>
    <cellStyle name="汇总 2 12 8 2 8" xfId="11095" xr:uid="{00000000-0005-0000-0000-0000872B0000}"/>
    <cellStyle name="汇总 2 12 8 2 9" xfId="11107" xr:uid="{00000000-0005-0000-0000-0000932B0000}"/>
    <cellStyle name="汇总 2 12 8 3" xfId="6929" xr:uid="{00000000-0005-0000-0000-0000411B0000}"/>
    <cellStyle name="汇总 2 12 8 3 2" xfId="6937" xr:uid="{00000000-0005-0000-0000-0000491B0000}"/>
    <cellStyle name="汇总 2 12 8 3 2 2" xfId="11109" xr:uid="{00000000-0005-0000-0000-0000952B0000}"/>
    <cellStyle name="汇总 2 12 8 3 3" xfId="7898" xr:uid="{00000000-0005-0000-0000-00000A1F0000}"/>
    <cellStyle name="汇总 2 12 8 3 3 2" xfId="11114" xr:uid="{00000000-0005-0000-0000-00009A2B0000}"/>
    <cellStyle name="汇总 2 12 8 3 4" xfId="11118" xr:uid="{00000000-0005-0000-0000-00009E2B0000}"/>
    <cellStyle name="汇总 2 12 8 3 4 2" xfId="11120" xr:uid="{00000000-0005-0000-0000-0000A02B0000}"/>
    <cellStyle name="汇总 2 12 8 3 5" xfId="1429" xr:uid="{00000000-0005-0000-0000-0000C5050000}"/>
    <cellStyle name="汇总 2 12 8 3 5 2" xfId="10981" xr:uid="{00000000-0005-0000-0000-0000152B0000}"/>
    <cellStyle name="汇总 2 12 8 3 6" xfId="11124" xr:uid="{00000000-0005-0000-0000-0000A42B0000}"/>
    <cellStyle name="汇总 2 12 8 4" xfId="871" xr:uid="{00000000-0005-0000-0000-000097030000}"/>
    <cellStyle name="汇总 2 12 8 4 2" xfId="11127" xr:uid="{00000000-0005-0000-0000-0000A72B0000}"/>
    <cellStyle name="汇总 2 12 8 4 2 2" xfId="11134" xr:uid="{00000000-0005-0000-0000-0000AE2B0000}"/>
    <cellStyle name="汇总 2 12 8 4 3" xfId="7921" xr:uid="{00000000-0005-0000-0000-0000211F0000}"/>
    <cellStyle name="汇总 2 12 8 4 3 2" xfId="132" xr:uid="{00000000-0005-0000-0000-00008F000000}"/>
    <cellStyle name="汇总 2 12 8 4 4" xfId="11140" xr:uid="{00000000-0005-0000-0000-0000B42B0000}"/>
    <cellStyle name="汇总 2 12 8 4 4 2" xfId="11143" xr:uid="{00000000-0005-0000-0000-0000B72B0000}"/>
    <cellStyle name="汇总 2 12 8 4 5" xfId="1453" xr:uid="{00000000-0005-0000-0000-0000DD050000}"/>
    <cellStyle name="汇总 2 12 8 4 5 2" xfId="11099" xr:uid="{00000000-0005-0000-0000-00008B2B0000}"/>
    <cellStyle name="汇总 2 12 8 4 6" xfId="11149" xr:uid="{00000000-0005-0000-0000-0000BD2B0000}"/>
    <cellStyle name="汇总 2 12 8 5" xfId="6949" xr:uid="{00000000-0005-0000-0000-0000551B0000}"/>
    <cellStyle name="汇总 2 12 8 5 2" xfId="11155" xr:uid="{00000000-0005-0000-0000-0000C32B0000}"/>
    <cellStyle name="汇总 2 12 8 5 2 2" xfId="11160" xr:uid="{00000000-0005-0000-0000-0000C82B0000}"/>
    <cellStyle name="汇总 2 12 8 5 3" xfId="7931" xr:uid="{00000000-0005-0000-0000-00002B1F0000}"/>
    <cellStyle name="汇总 2 12 8 5 3 2" xfId="11170" xr:uid="{00000000-0005-0000-0000-0000D22B0000}"/>
    <cellStyle name="汇总 2 12 8 5 4" xfId="11177" xr:uid="{00000000-0005-0000-0000-0000D92B0000}"/>
    <cellStyle name="汇总 2 12 8 5 4 2" xfId="11178" xr:uid="{00000000-0005-0000-0000-0000DA2B0000}"/>
    <cellStyle name="汇总 2 12 8 5 5" xfId="11188" xr:uid="{00000000-0005-0000-0000-0000E42B0000}"/>
    <cellStyle name="汇总 2 12 8 5 5 2" xfId="11189" xr:uid="{00000000-0005-0000-0000-0000E52B0000}"/>
    <cellStyle name="汇总 2 12 8 5 6" xfId="8228" xr:uid="{00000000-0005-0000-0000-000054200000}"/>
    <cellStyle name="汇总 2 12 8 6" xfId="6955" xr:uid="{00000000-0005-0000-0000-00005B1B0000}"/>
    <cellStyle name="汇总 2 12 8 6 2" xfId="3042" xr:uid="{00000000-0005-0000-0000-0000120C0000}"/>
    <cellStyle name="汇总 2 12 8 6 2 2" xfId="7522" xr:uid="{00000000-0005-0000-0000-0000921D0000}"/>
    <cellStyle name="汇总 2 12 8 6 3" xfId="11194" xr:uid="{00000000-0005-0000-0000-0000EA2B0000}"/>
    <cellStyle name="汇总 2 12 8 6 3 2" xfId="7584" xr:uid="{00000000-0005-0000-0000-0000D01D0000}"/>
    <cellStyle name="汇总 2 12 8 6 4" xfId="11197" xr:uid="{00000000-0005-0000-0000-0000ED2B0000}"/>
    <cellStyle name="汇总 2 12 8 6 4 2" xfId="7649" xr:uid="{00000000-0005-0000-0000-0000111E0000}"/>
    <cellStyle name="汇总 2 12 8 6 5" xfId="11203" xr:uid="{00000000-0005-0000-0000-0000F32B0000}"/>
    <cellStyle name="汇总 2 12 8 6 5 2" xfId="7712" xr:uid="{00000000-0005-0000-0000-0000501E0000}"/>
    <cellStyle name="汇总 2 12 8 6 6" xfId="8235" xr:uid="{00000000-0005-0000-0000-00005B200000}"/>
    <cellStyle name="汇总 2 12 8 7" xfId="6960" xr:uid="{00000000-0005-0000-0000-0000601B0000}"/>
    <cellStyle name="汇总 2 12 8 7 2" xfId="11205" xr:uid="{00000000-0005-0000-0000-0000F52B0000}"/>
    <cellStyle name="汇总 2 12 8 7 2 2" xfId="7843" xr:uid="{00000000-0005-0000-0000-0000D31E0000}"/>
    <cellStyle name="汇总 2 12 8 7 3" xfId="11211" xr:uid="{00000000-0005-0000-0000-0000FB2B0000}"/>
    <cellStyle name="汇总 2 12 8 7 3 2" xfId="7864" xr:uid="{00000000-0005-0000-0000-0000E81E0000}"/>
    <cellStyle name="汇总 2 12 8 7 4" xfId="11212" xr:uid="{00000000-0005-0000-0000-0000FC2B0000}"/>
    <cellStyle name="汇总 2 12 8 7 4 2" xfId="7914" xr:uid="{00000000-0005-0000-0000-00001A1F0000}"/>
    <cellStyle name="汇总 2 12 8 7 5" xfId="11218" xr:uid="{00000000-0005-0000-0000-0000022C0000}"/>
    <cellStyle name="汇总 2 12 8 7 5 2" xfId="2143" xr:uid="{00000000-0005-0000-0000-00008F080000}"/>
    <cellStyle name="汇总 2 12 8 7 6" xfId="8241" xr:uid="{00000000-0005-0000-0000-000061200000}"/>
    <cellStyle name="汇总 2 12 8 8" xfId="7968" xr:uid="{00000000-0005-0000-0000-0000501F0000}"/>
    <cellStyle name="汇总 2 12 8 8 2" xfId="7971" xr:uid="{00000000-0005-0000-0000-0000531F0000}"/>
    <cellStyle name="汇总 2 12 8 8 2 2" xfId="8014" xr:uid="{00000000-0005-0000-0000-00007E1F0000}"/>
    <cellStyle name="汇总 2 12 8 8 3" xfId="11221" xr:uid="{00000000-0005-0000-0000-0000052C0000}"/>
    <cellStyle name="汇总 2 12 8 8 3 2" xfId="8054" xr:uid="{00000000-0005-0000-0000-0000A61F0000}"/>
    <cellStyle name="汇总 2 12 8 8 4" xfId="11224" xr:uid="{00000000-0005-0000-0000-0000082C0000}"/>
    <cellStyle name="汇总 2 12 8 8 4 2" xfId="8098" xr:uid="{00000000-0005-0000-0000-0000D21F0000}"/>
    <cellStyle name="汇总 2 12 8 8 5" xfId="11234" xr:uid="{00000000-0005-0000-0000-0000122C0000}"/>
    <cellStyle name="汇总 2 12 8 9" xfId="7977" xr:uid="{00000000-0005-0000-0000-0000591F0000}"/>
    <cellStyle name="汇总 2 12 8 9 2" xfId="7979" xr:uid="{00000000-0005-0000-0000-00005B1F0000}"/>
    <cellStyle name="汇总 2 12 9" xfId="11241" xr:uid="{00000000-0005-0000-0000-0000192C0000}"/>
    <cellStyle name="汇总 2 12 9 10" xfId="399" xr:uid="{00000000-0005-0000-0000-0000B5010000}"/>
    <cellStyle name="汇总 2 12 9 10 2" xfId="581" xr:uid="{00000000-0005-0000-0000-000075020000}"/>
    <cellStyle name="汇总 2 12 9 11" xfId="70" xr:uid="{00000000-0005-0000-0000-00004C000000}"/>
    <cellStyle name="汇总 2 12 9 11 2" xfId="806" xr:uid="{00000000-0005-0000-0000-000056030000}"/>
    <cellStyle name="汇总 2 12 9 12" xfId="447" xr:uid="{00000000-0005-0000-0000-0000E8010000}"/>
    <cellStyle name="汇总 2 12 9 12 2" xfId="11245" xr:uid="{00000000-0005-0000-0000-00001D2C0000}"/>
    <cellStyle name="汇总 2 12 9 13" xfId="495" xr:uid="{00000000-0005-0000-0000-00001B020000}"/>
    <cellStyle name="汇总 2 12 9 14" xfId="537" xr:uid="{00000000-0005-0000-0000-000048020000}"/>
    <cellStyle name="汇总 2 12 9 15" xfId="11249" xr:uid="{00000000-0005-0000-0000-0000212C0000}"/>
    <cellStyle name="汇总 2 12 9 16" xfId="11253" xr:uid="{00000000-0005-0000-0000-0000252C0000}"/>
    <cellStyle name="汇总 2 12 9 2" xfId="6981" xr:uid="{00000000-0005-0000-0000-0000751B0000}"/>
    <cellStyle name="汇总 2 12 9 2 2" xfId="6986" xr:uid="{00000000-0005-0000-0000-00007A1B0000}"/>
    <cellStyle name="汇总 2 12 9 2 2 2" xfId="11261" xr:uid="{00000000-0005-0000-0000-00002D2C0000}"/>
    <cellStyle name="汇总 2 12 9 2 3" xfId="7948" xr:uid="{00000000-0005-0000-0000-00003C1F0000}"/>
    <cellStyle name="汇总 2 12 9 2 3 2" xfId="11267" xr:uid="{00000000-0005-0000-0000-0000332C0000}"/>
    <cellStyle name="汇总 2 12 9 2 4" xfId="11277" xr:uid="{00000000-0005-0000-0000-00003D2C0000}"/>
    <cellStyle name="汇总 2 12 9 2 4 2" xfId="7691" xr:uid="{00000000-0005-0000-0000-00003B1E0000}"/>
    <cellStyle name="汇总 2 12 9 2 5" xfId="11282" xr:uid="{00000000-0005-0000-0000-0000422C0000}"/>
    <cellStyle name="汇总 2 12 9 2 5 2" xfId="7943" xr:uid="{00000000-0005-0000-0000-0000371F0000}"/>
    <cellStyle name="汇总 2 12 9 2 6" xfId="11287" xr:uid="{00000000-0005-0000-0000-0000472C0000}"/>
    <cellStyle name="汇总 2 12 9 3" xfId="6992" xr:uid="{00000000-0005-0000-0000-0000801B0000}"/>
    <cellStyle name="汇总 2 12 9 3 2" xfId="7000" xr:uid="{00000000-0005-0000-0000-0000881B0000}"/>
    <cellStyle name="汇总 2 12 9 3 2 2" xfId="11296" xr:uid="{00000000-0005-0000-0000-0000502C0000}"/>
    <cellStyle name="汇总 2 12 9 3 3" xfId="7958" xr:uid="{00000000-0005-0000-0000-0000461F0000}"/>
    <cellStyle name="汇总 2 12 9 3 3 2" xfId="11306" xr:uid="{00000000-0005-0000-0000-00005A2C0000}"/>
    <cellStyle name="汇总 2 12 9 3 4" xfId="11313" xr:uid="{00000000-0005-0000-0000-0000612C0000}"/>
    <cellStyle name="汇总 2 12 9 3 4 2" xfId="9820" xr:uid="{00000000-0005-0000-0000-00008C260000}"/>
    <cellStyle name="汇总 2 12 9 3 5" xfId="11321" xr:uid="{00000000-0005-0000-0000-0000692C0000}"/>
    <cellStyle name="汇总 2 12 9 3 5 2" xfId="7727" xr:uid="{00000000-0005-0000-0000-00005F1E0000}"/>
    <cellStyle name="汇总 2 12 9 3 6" xfId="11323" xr:uid="{00000000-0005-0000-0000-00006B2C0000}"/>
    <cellStyle name="汇总 2 12 9 4" xfId="7013" xr:uid="{00000000-0005-0000-0000-0000951B0000}"/>
    <cellStyle name="汇总 2 12 9 4 2" xfId="11333" xr:uid="{00000000-0005-0000-0000-0000752C0000}"/>
    <cellStyle name="汇总 2 12 9 4 2 2" xfId="11336" xr:uid="{00000000-0005-0000-0000-0000782C0000}"/>
    <cellStyle name="汇总 2 12 9 4 3" xfId="7770" xr:uid="{00000000-0005-0000-0000-00008A1E0000}"/>
    <cellStyle name="汇总 2 12 9 4 3 2" xfId="11352" xr:uid="{00000000-0005-0000-0000-0000882C0000}"/>
    <cellStyle name="汇总 2 12 9 4 4" xfId="11364" xr:uid="{00000000-0005-0000-0000-0000942C0000}"/>
    <cellStyle name="汇总 2 12 9 4 4 2" xfId="11370" xr:uid="{00000000-0005-0000-0000-00009A2C0000}"/>
    <cellStyle name="汇总 2 12 9 4 5" xfId="11382" xr:uid="{00000000-0005-0000-0000-0000A62C0000}"/>
    <cellStyle name="汇总 2 12 9 4 5 2" xfId="8824" xr:uid="{00000000-0005-0000-0000-0000A8220000}"/>
    <cellStyle name="汇总 2 12 9 4 6" xfId="11384" xr:uid="{00000000-0005-0000-0000-0000A82C0000}"/>
    <cellStyle name="汇总 2 12 9 5" xfId="8521" xr:uid="{00000000-0005-0000-0000-000079210000}"/>
    <cellStyle name="汇总 2 12 9 5 2" xfId="11387" xr:uid="{00000000-0005-0000-0000-0000AB2C0000}"/>
    <cellStyle name="汇总 2 12 9 5 2 2" xfId="11395" xr:uid="{00000000-0005-0000-0000-0000B32C0000}"/>
    <cellStyle name="汇总 2 12 9 5 3" xfId="11406" xr:uid="{00000000-0005-0000-0000-0000BE2C0000}"/>
    <cellStyle name="汇总 2 12 9 5 3 2" xfId="11411" xr:uid="{00000000-0005-0000-0000-0000C32C0000}"/>
    <cellStyle name="汇总 2 12 9 5 4" xfId="11421" xr:uid="{00000000-0005-0000-0000-0000CD2C0000}"/>
    <cellStyle name="汇总 2 12 9 5 4 2" xfId="4709" xr:uid="{00000000-0005-0000-0000-000095120000}"/>
    <cellStyle name="汇总 2 12 9 5 5" xfId="11429" xr:uid="{00000000-0005-0000-0000-0000D52C0000}"/>
    <cellStyle name="汇总 2 12 9 5 5 2" xfId="11432" xr:uid="{00000000-0005-0000-0000-0000D82C0000}"/>
    <cellStyle name="汇总 2 12 9 5 6" xfId="8275" xr:uid="{00000000-0005-0000-0000-000083200000}"/>
    <cellStyle name="汇总 2 12 9 6" xfId="11437" xr:uid="{00000000-0005-0000-0000-0000DD2C0000}"/>
    <cellStyle name="汇总 2 12 9 6 2" xfId="11440" xr:uid="{00000000-0005-0000-0000-0000E02C0000}"/>
    <cellStyle name="汇总 2 12 9 6 2 2" xfId="9672" xr:uid="{00000000-0005-0000-0000-0000F8250000}"/>
    <cellStyle name="汇总 2 12 9 6 3" xfId="11447" xr:uid="{00000000-0005-0000-0000-0000E72C0000}"/>
    <cellStyle name="汇总 2 12 9 6 3 2" xfId="9731" xr:uid="{00000000-0005-0000-0000-000033260000}"/>
    <cellStyle name="汇总 2 12 9 6 4" xfId="11450" xr:uid="{00000000-0005-0000-0000-0000EA2C0000}"/>
    <cellStyle name="汇总 2 12 9 6 4 2" xfId="9786" xr:uid="{00000000-0005-0000-0000-00006A260000}"/>
    <cellStyle name="汇总 2 12 9 6 5" xfId="11455" xr:uid="{00000000-0005-0000-0000-0000EF2C0000}"/>
    <cellStyle name="汇总 2 12 9 6 5 2" xfId="9828" xr:uid="{00000000-0005-0000-0000-000094260000}"/>
    <cellStyle name="汇总 2 12 9 6 6" xfId="8284" xr:uid="{00000000-0005-0000-0000-00008C200000}"/>
    <cellStyle name="汇总 2 12 9 7" xfId="11456" xr:uid="{00000000-0005-0000-0000-0000F02C0000}"/>
    <cellStyle name="汇总 2 12 9 7 2" xfId="11460" xr:uid="{00000000-0005-0000-0000-0000F42C0000}"/>
    <cellStyle name="汇总 2 12 9 7 2 2" xfId="10003" xr:uid="{00000000-0005-0000-0000-000043270000}"/>
    <cellStyle name="汇总 2 12 9 7 3" xfId="11466" xr:uid="{00000000-0005-0000-0000-0000FA2C0000}"/>
    <cellStyle name="汇总 2 12 9 7 3 2" xfId="10065" xr:uid="{00000000-0005-0000-0000-000081270000}"/>
    <cellStyle name="汇总 2 12 9 7 4" xfId="11468" xr:uid="{00000000-0005-0000-0000-0000FC2C0000}"/>
    <cellStyle name="汇总 2 12 9 7 4 2" xfId="10124" xr:uid="{00000000-0005-0000-0000-0000BC270000}"/>
    <cellStyle name="汇总 2 12 9 7 5" xfId="11472" xr:uid="{00000000-0005-0000-0000-0000002D0000}"/>
    <cellStyle name="汇总 2 12 9 7 5 2" xfId="10162" xr:uid="{00000000-0005-0000-0000-0000E2270000}"/>
    <cellStyle name="汇总 2 12 9 7 6" xfId="6240" xr:uid="{00000000-0005-0000-0000-000090180000}"/>
    <cellStyle name="汇总 2 12 9 8" xfId="11473" xr:uid="{00000000-0005-0000-0000-0000012D0000}"/>
    <cellStyle name="汇总 2 12 9 8 2" xfId="11477" xr:uid="{00000000-0005-0000-0000-0000052D0000}"/>
    <cellStyle name="汇总 2 12 9 8 2 2" xfId="10306" xr:uid="{00000000-0005-0000-0000-000072280000}"/>
    <cellStyle name="汇总 2 12 9 8 3" xfId="11483" xr:uid="{00000000-0005-0000-0000-00000B2D0000}"/>
    <cellStyle name="汇总 2 12 9 8 3 2" xfId="10366" xr:uid="{00000000-0005-0000-0000-0000AE280000}"/>
    <cellStyle name="汇总 2 12 9 8 4" xfId="11489" xr:uid="{00000000-0005-0000-0000-0000112D0000}"/>
    <cellStyle name="汇总 2 12 9 8 4 2" xfId="10418" xr:uid="{00000000-0005-0000-0000-0000E2280000}"/>
    <cellStyle name="汇总 2 12 9 8 5" xfId="11495" xr:uid="{00000000-0005-0000-0000-0000172D0000}"/>
    <cellStyle name="汇总 2 12 9 9" xfId="11496" xr:uid="{00000000-0005-0000-0000-0000182D0000}"/>
    <cellStyle name="汇总 2 12 9 9 2" xfId="11499" xr:uid="{00000000-0005-0000-0000-00001B2D0000}"/>
    <cellStyle name="汇总 2 13" xfId="11504" xr:uid="{00000000-0005-0000-0000-0000202D0000}"/>
    <cellStyle name="汇总 2 13 10" xfId="11508" xr:uid="{00000000-0005-0000-0000-0000242D0000}"/>
    <cellStyle name="汇总 2 13 10 2" xfId="11509" xr:uid="{00000000-0005-0000-0000-0000252D0000}"/>
    <cellStyle name="汇总 2 13 11" xfId="11513" xr:uid="{00000000-0005-0000-0000-0000292D0000}"/>
    <cellStyle name="汇总 2 13 11 2" xfId="11516" xr:uid="{00000000-0005-0000-0000-00002C2D0000}"/>
    <cellStyle name="汇总 2 13 12" xfId="11518" xr:uid="{00000000-0005-0000-0000-00002E2D0000}"/>
    <cellStyle name="汇总 2 13 12 2" xfId="3683" xr:uid="{00000000-0005-0000-0000-0000930E0000}"/>
    <cellStyle name="汇总 2 13 13" xfId="11519" xr:uid="{00000000-0005-0000-0000-00002F2D0000}"/>
    <cellStyle name="汇总 2 13 14" xfId="11168" xr:uid="{00000000-0005-0000-0000-0000D02B0000}"/>
    <cellStyle name="汇总 2 13 15" xfId="4583" xr:uid="{00000000-0005-0000-0000-000017120000}"/>
    <cellStyle name="汇总 2 13 16" xfId="11521" xr:uid="{00000000-0005-0000-0000-0000312D0000}"/>
    <cellStyle name="汇总 2 13 2" xfId="11531" xr:uid="{00000000-0005-0000-0000-00003B2D0000}"/>
    <cellStyle name="汇总 2 13 2 2" xfId="11535" xr:uid="{00000000-0005-0000-0000-00003F2D0000}"/>
    <cellStyle name="汇总 2 13 2 2 2" xfId="8621" xr:uid="{00000000-0005-0000-0000-0000DD210000}"/>
    <cellStyle name="汇总 2 13 2 3" xfId="11540" xr:uid="{00000000-0005-0000-0000-0000442D0000}"/>
    <cellStyle name="汇总 2 13 2 3 2" xfId="8664" xr:uid="{00000000-0005-0000-0000-000008220000}"/>
    <cellStyle name="汇总 2 13 2 4" xfId="11542" xr:uid="{00000000-0005-0000-0000-0000462D0000}"/>
    <cellStyle name="汇总 2 13 2 4 2" xfId="8693" xr:uid="{00000000-0005-0000-0000-000025220000}"/>
    <cellStyle name="汇总 2 13 2 5" xfId="11554" xr:uid="{00000000-0005-0000-0000-0000522D0000}"/>
    <cellStyle name="汇总 2 13 2 5 2" xfId="1195" xr:uid="{00000000-0005-0000-0000-0000DB040000}"/>
    <cellStyle name="汇总 2 13 2 6" xfId="11561" xr:uid="{00000000-0005-0000-0000-0000592D0000}"/>
    <cellStyle name="汇总 2 13 2 7" xfId="11567" xr:uid="{00000000-0005-0000-0000-00005F2D0000}"/>
    <cellStyle name="汇总 2 13 2 8" xfId="11378" xr:uid="{00000000-0005-0000-0000-0000A22C0000}"/>
    <cellStyle name="汇总 2 13 2 9" xfId="4805" xr:uid="{00000000-0005-0000-0000-0000F5120000}"/>
    <cellStyle name="汇总 2 13 3" xfId="8071" xr:uid="{00000000-0005-0000-0000-0000B71F0000}"/>
    <cellStyle name="汇总 2 13 3 2" xfId="8079" xr:uid="{00000000-0005-0000-0000-0000BF1F0000}"/>
    <cellStyle name="汇总 2 13 3 2 2" xfId="3516" xr:uid="{00000000-0005-0000-0000-0000EC0D0000}"/>
    <cellStyle name="汇总 2 13 3 3" xfId="11570" xr:uid="{00000000-0005-0000-0000-0000622D0000}"/>
    <cellStyle name="汇总 2 13 3 3 2" xfId="111" xr:uid="{00000000-0005-0000-0000-000078000000}"/>
    <cellStyle name="汇总 2 13 3 4" xfId="11572" xr:uid="{00000000-0005-0000-0000-0000642D0000}"/>
    <cellStyle name="汇总 2 13 3 4 2" xfId="8795" xr:uid="{00000000-0005-0000-0000-00008B220000}"/>
    <cellStyle name="汇总 2 13 3 5" xfId="11583" xr:uid="{00000000-0005-0000-0000-00006F2D0000}"/>
    <cellStyle name="汇总 2 13 3 5 2" xfId="8814" xr:uid="{00000000-0005-0000-0000-00009E220000}"/>
    <cellStyle name="汇总 2 13 3 6" xfId="11588" xr:uid="{00000000-0005-0000-0000-0000742D0000}"/>
    <cellStyle name="汇总 2 13 4" xfId="8083" xr:uid="{00000000-0005-0000-0000-0000C31F0000}"/>
    <cellStyle name="汇总 2 13 4 2" xfId="8094" xr:uid="{00000000-0005-0000-0000-0000CE1F0000}"/>
    <cellStyle name="汇总 2 13 4 2 2" xfId="9017" xr:uid="{00000000-0005-0000-0000-000069230000}"/>
    <cellStyle name="汇总 2 13 4 3" xfId="11591" xr:uid="{00000000-0005-0000-0000-0000772D0000}"/>
    <cellStyle name="汇总 2 13 4 3 2" xfId="9080" xr:uid="{00000000-0005-0000-0000-0000A8230000}"/>
    <cellStyle name="汇总 2 13 4 4" xfId="11593" xr:uid="{00000000-0005-0000-0000-0000792D0000}"/>
    <cellStyle name="汇总 2 13 4 4 2" xfId="9143" xr:uid="{00000000-0005-0000-0000-0000E7230000}"/>
    <cellStyle name="汇总 2 13 4 5" xfId="11598" xr:uid="{00000000-0005-0000-0000-00007E2D0000}"/>
    <cellStyle name="汇总 2 13 4 5 2" xfId="9183" xr:uid="{00000000-0005-0000-0000-00000F240000}"/>
    <cellStyle name="汇总 2 13 4 6" xfId="2768" xr:uid="{00000000-0005-0000-0000-0000000B0000}"/>
    <cellStyle name="汇总 2 13 5" xfId="8101" xr:uid="{00000000-0005-0000-0000-0000D51F0000}"/>
    <cellStyle name="汇总 2 13 5 2" xfId="8104" xr:uid="{00000000-0005-0000-0000-0000D81F0000}"/>
    <cellStyle name="汇总 2 13 5 2 2" xfId="9288" xr:uid="{00000000-0005-0000-0000-000078240000}"/>
    <cellStyle name="汇总 2 13 5 3" xfId="11600" xr:uid="{00000000-0005-0000-0000-0000802D0000}"/>
    <cellStyle name="汇总 2 13 5 3 2" xfId="9311" xr:uid="{00000000-0005-0000-0000-00008F240000}"/>
    <cellStyle name="汇总 2 13 5 4" xfId="11601" xr:uid="{00000000-0005-0000-0000-0000812D0000}"/>
    <cellStyle name="汇总 2 13 5 4 2" xfId="9334" xr:uid="{00000000-0005-0000-0000-0000A6240000}"/>
    <cellStyle name="汇总 2 13 5 5" xfId="11604" xr:uid="{00000000-0005-0000-0000-0000842D0000}"/>
    <cellStyle name="汇总 2 13 5 5 2" xfId="9362" xr:uid="{00000000-0005-0000-0000-0000C2240000}"/>
    <cellStyle name="汇总 2 13 5 6" xfId="2782" xr:uid="{00000000-0005-0000-0000-00000E0B0000}"/>
    <cellStyle name="汇总 2 13 6" xfId="4680" xr:uid="{00000000-0005-0000-0000-000078120000}"/>
    <cellStyle name="汇总 2 13 6 2" xfId="8107" xr:uid="{00000000-0005-0000-0000-0000DB1F0000}"/>
    <cellStyle name="汇总 2 13 6 2 2" xfId="11608" xr:uid="{00000000-0005-0000-0000-0000882D0000}"/>
    <cellStyle name="汇总 2 13 6 3" xfId="11612" xr:uid="{00000000-0005-0000-0000-00008C2D0000}"/>
    <cellStyle name="汇总 2 13 6 3 2" xfId="11614" xr:uid="{00000000-0005-0000-0000-00008E2D0000}"/>
    <cellStyle name="汇总 2 13 6 4" xfId="11622" xr:uid="{00000000-0005-0000-0000-0000962D0000}"/>
    <cellStyle name="汇总 2 13 6 4 2" xfId="11629" xr:uid="{00000000-0005-0000-0000-00009D2D0000}"/>
    <cellStyle name="汇总 2 13 6 5" xfId="8551" xr:uid="{00000000-0005-0000-0000-000097210000}"/>
    <cellStyle name="汇总 2 13 6 5 2" xfId="11632" xr:uid="{00000000-0005-0000-0000-0000A02D0000}"/>
    <cellStyle name="汇总 2 13 6 6" xfId="40" xr:uid="{00000000-0005-0000-0000-00002C000000}"/>
    <cellStyle name="汇总 2 13 7" xfId="8116" xr:uid="{00000000-0005-0000-0000-0000E41F0000}"/>
    <cellStyle name="汇总 2 13 7 2" xfId="11638" xr:uid="{00000000-0005-0000-0000-0000A62D0000}"/>
    <cellStyle name="汇总 2 13 7 2 2" xfId="384" xr:uid="{00000000-0005-0000-0000-0000A5010000}"/>
    <cellStyle name="汇总 2 13 7 3" xfId="11643" xr:uid="{00000000-0005-0000-0000-0000AB2D0000}"/>
    <cellStyle name="汇总 2 13 7 3 2" xfId="11646" xr:uid="{00000000-0005-0000-0000-0000AE2D0000}"/>
    <cellStyle name="汇总 2 13 7 4" xfId="11655" xr:uid="{00000000-0005-0000-0000-0000B72D0000}"/>
    <cellStyle name="汇总 2 13 7 4 2" xfId="11664" xr:uid="{00000000-0005-0000-0000-0000C02D0000}"/>
    <cellStyle name="汇总 2 13 7 5" xfId="8561" xr:uid="{00000000-0005-0000-0000-0000A1210000}"/>
    <cellStyle name="汇总 2 13 7 5 2" xfId="6262" xr:uid="{00000000-0005-0000-0000-0000A6180000}"/>
    <cellStyle name="汇总 2 13 7 6" xfId="11671" xr:uid="{00000000-0005-0000-0000-0000C72D0000}"/>
    <cellStyle name="汇总 2 13 8" xfId="11674" xr:uid="{00000000-0005-0000-0000-0000CA2D0000}"/>
    <cellStyle name="汇总 2 13 8 2" xfId="11678" xr:uid="{00000000-0005-0000-0000-0000CE2D0000}"/>
    <cellStyle name="汇总 2 13 8 2 2" xfId="11684" xr:uid="{00000000-0005-0000-0000-0000D42D0000}"/>
    <cellStyle name="汇总 2 13 8 3" xfId="11688" xr:uid="{00000000-0005-0000-0000-0000D82D0000}"/>
    <cellStyle name="汇总 2 13 8 3 2" xfId="11690" xr:uid="{00000000-0005-0000-0000-0000DA2D0000}"/>
    <cellStyle name="汇总 2 13 8 4" xfId="11698" xr:uid="{00000000-0005-0000-0000-0000E22D0000}"/>
    <cellStyle name="汇总 2 13 8 4 2" xfId="11701" xr:uid="{00000000-0005-0000-0000-0000E52D0000}"/>
    <cellStyle name="汇总 2 13 8 5" xfId="8565" xr:uid="{00000000-0005-0000-0000-0000A5210000}"/>
    <cellStyle name="汇总 2 13 9" xfId="11713" xr:uid="{00000000-0005-0000-0000-0000F12D0000}"/>
    <cellStyle name="汇总 2 13 9 2" xfId="11719" xr:uid="{00000000-0005-0000-0000-0000F72D0000}"/>
    <cellStyle name="汇总 2 14" xfId="5339" xr:uid="{00000000-0005-0000-0000-00000B150000}"/>
    <cellStyle name="汇总 2 14 10" xfId="11430" xr:uid="{00000000-0005-0000-0000-0000D62C0000}"/>
    <cellStyle name="汇总 2 14 10 2" xfId="11433" xr:uid="{00000000-0005-0000-0000-0000D92C0000}"/>
    <cellStyle name="汇总 2 14 11" xfId="8276" xr:uid="{00000000-0005-0000-0000-000084200000}"/>
    <cellStyle name="汇总 2 14 11 2" xfId="11721" xr:uid="{00000000-0005-0000-0000-0000F92D0000}"/>
    <cellStyle name="汇总 2 14 12" xfId="11727" xr:uid="{00000000-0005-0000-0000-0000FF2D0000}"/>
    <cellStyle name="汇总 2 14 12 2" xfId="11729" xr:uid="{00000000-0005-0000-0000-0000012E0000}"/>
    <cellStyle name="汇总 2 14 13" xfId="11734" xr:uid="{00000000-0005-0000-0000-0000062E0000}"/>
    <cellStyle name="汇总 2 14 14" xfId="11735" xr:uid="{00000000-0005-0000-0000-0000072E0000}"/>
    <cellStyle name="汇总 2 14 15" xfId="11737" xr:uid="{00000000-0005-0000-0000-0000092E0000}"/>
    <cellStyle name="汇总 2 14 16" xfId="11745" xr:uid="{00000000-0005-0000-0000-0000112E0000}"/>
    <cellStyle name="汇总 2 14 2" xfId="11254" xr:uid="{00000000-0005-0000-0000-0000262C0000}"/>
    <cellStyle name="汇总 2 14 2 2" xfId="11747" xr:uid="{00000000-0005-0000-0000-0000132E0000}"/>
    <cellStyle name="汇总 2 14 2 2 2" xfId="3615" xr:uid="{00000000-0005-0000-0000-00004F0E0000}"/>
    <cellStyle name="汇总 2 14 2 3" xfId="2228" xr:uid="{00000000-0005-0000-0000-0000E4080000}"/>
    <cellStyle name="汇总 2 14 2 3 2" xfId="3628" xr:uid="{00000000-0005-0000-0000-00005C0E0000}"/>
    <cellStyle name="汇总 2 14 2 4" xfId="3550" xr:uid="{00000000-0005-0000-0000-00000E0E0000}"/>
    <cellStyle name="汇总 2 14 2 4 2" xfId="3595" xr:uid="{00000000-0005-0000-0000-00003B0E0000}"/>
    <cellStyle name="汇总 2 14 2 5" xfId="3648" xr:uid="{00000000-0005-0000-0000-0000700E0000}"/>
    <cellStyle name="汇总 2 14 2 5 2" xfId="2850" xr:uid="{00000000-0005-0000-0000-0000520B0000}"/>
    <cellStyle name="汇总 2 14 2 6" xfId="3981" xr:uid="{00000000-0005-0000-0000-0000BD0F0000}"/>
    <cellStyle name="汇总 2 14 2 7" xfId="4699" xr:uid="{00000000-0005-0000-0000-00008B120000}"/>
    <cellStyle name="汇总 2 14 2 8" xfId="4704" xr:uid="{00000000-0005-0000-0000-000090120000}"/>
    <cellStyle name="汇总 2 14 2 9" xfId="4380" xr:uid="{00000000-0005-0000-0000-00004C110000}"/>
    <cellStyle name="汇总 2 14 3" xfId="8121" xr:uid="{00000000-0005-0000-0000-0000E91F0000}"/>
    <cellStyle name="汇总 2 14 3 2" xfId="1576" xr:uid="{00000000-0005-0000-0000-000058060000}"/>
    <cellStyle name="汇总 2 14 3 2 2" xfId="1589" xr:uid="{00000000-0005-0000-0000-000065060000}"/>
    <cellStyle name="汇总 2 14 3 3" xfId="11750" xr:uid="{00000000-0005-0000-0000-0000162E0000}"/>
    <cellStyle name="汇总 2 14 3 3 2" xfId="3654" xr:uid="{00000000-0005-0000-0000-0000760E0000}"/>
    <cellStyle name="汇总 2 14 3 4" xfId="11751" xr:uid="{00000000-0005-0000-0000-0000172E0000}"/>
    <cellStyle name="汇总 2 14 3 4 2" xfId="11000" xr:uid="{00000000-0005-0000-0000-0000282B0000}"/>
    <cellStyle name="汇总 2 14 3 5" xfId="11752" xr:uid="{00000000-0005-0000-0000-0000182E0000}"/>
    <cellStyle name="汇总 2 14 3 5 2" xfId="11015" xr:uid="{00000000-0005-0000-0000-0000372B0000}"/>
    <cellStyle name="汇总 2 14 3 6" xfId="11754" xr:uid="{00000000-0005-0000-0000-00001A2E0000}"/>
    <cellStyle name="汇总 2 14 4" xfId="8123" xr:uid="{00000000-0005-0000-0000-0000EB1F0000}"/>
    <cellStyle name="汇总 2 14 4 2" xfId="1472" xr:uid="{00000000-0005-0000-0000-0000F0050000}"/>
    <cellStyle name="汇总 2 14 4 2 2" xfId="11186" xr:uid="{00000000-0005-0000-0000-0000E22B0000}"/>
    <cellStyle name="汇总 2 14 4 3" xfId="1475" xr:uid="{00000000-0005-0000-0000-0000F3050000}"/>
    <cellStyle name="汇总 2 14 4 3 2" xfId="11201" xr:uid="{00000000-0005-0000-0000-0000F12B0000}"/>
    <cellStyle name="汇总 2 14 4 4" xfId="1520" xr:uid="{00000000-0005-0000-0000-000020060000}"/>
    <cellStyle name="汇总 2 14 4 4 2" xfId="11216" xr:uid="{00000000-0005-0000-0000-0000002C0000}"/>
    <cellStyle name="汇总 2 14 4 5" xfId="1538" xr:uid="{00000000-0005-0000-0000-000032060000}"/>
    <cellStyle name="汇总 2 14 4 5 2" xfId="11230" xr:uid="{00000000-0005-0000-0000-00000E2C0000}"/>
    <cellStyle name="汇总 2 14 4 6" xfId="11756" xr:uid="{00000000-0005-0000-0000-00001C2E0000}"/>
    <cellStyle name="汇总 2 14 5" xfId="8131" xr:uid="{00000000-0005-0000-0000-0000F31F0000}"/>
    <cellStyle name="汇总 2 14 5 2" xfId="3750" xr:uid="{00000000-0005-0000-0000-0000D60E0000}"/>
    <cellStyle name="汇总 2 14 5 2 2" xfId="11427" xr:uid="{00000000-0005-0000-0000-0000D32C0000}"/>
    <cellStyle name="汇总 2 14 5 3" xfId="11758" xr:uid="{00000000-0005-0000-0000-00001E2E0000}"/>
    <cellStyle name="汇总 2 14 5 3 2" xfId="11453" xr:uid="{00000000-0005-0000-0000-0000ED2C0000}"/>
    <cellStyle name="汇总 2 14 5 4" xfId="11759" xr:uid="{00000000-0005-0000-0000-00001F2E0000}"/>
    <cellStyle name="汇总 2 14 5 4 2" xfId="11470" xr:uid="{00000000-0005-0000-0000-0000FE2C0000}"/>
    <cellStyle name="汇总 2 14 5 5" xfId="11760" xr:uid="{00000000-0005-0000-0000-0000202E0000}"/>
    <cellStyle name="汇总 2 14 5 5 2" xfId="11490" xr:uid="{00000000-0005-0000-0000-0000122D0000}"/>
    <cellStyle name="汇总 2 14 5 6" xfId="11761" xr:uid="{00000000-0005-0000-0000-0000212E0000}"/>
    <cellStyle name="汇总 2 14 6" xfId="329" xr:uid="{00000000-0005-0000-0000-000069010000}"/>
    <cellStyle name="汇总 2 14 6 2" xfId="11762" xr:uid="{00000000-0005-0000-0000-0000222E0000}"/>
    <cellStyle name="汇总 2 14 6 2 2" xfId="11764" xr:uid="{00000000-0005-0000-0000-0000242E0000}"/>
    <cellStyle name="汇总 2 14 6 3" xfId="11767" xr:uid="{00000000-0005-0000-0000-0000272E0000}"/>
    <cellStyle name="汇总 2 14 6 3 2" xfId="11770" xr:uid="{00000000-0005-0000-0000-00002A2E0000}"/>
    <cellStyle name="汇总 2 14 6 4" xfId="11773" xr:uid="{00000000-0005-0000-0000-00002D2E0000}"/>
    <cellStyle name="汇总 2 14 6 4 2" xfId="11780" xr:uid="{00000000-0005-0000-0000-0000342E0000}"/>
    <cellStyle name="汇总 2 14 6 5" xfId="3871" xr:uid="{00000000-0005-0000-0000-00004F0F0000}"/>
    <cellStyle name="汇总 2 14 6 5 2" xfId="11783" xr:uid="{00000000-0005-0000-0000-0000372E0000}"/>
    <cellStyle name="汇总 2 14 6 6" xfId="11785" xr:uid="{00000000-0005-0000-0000-0000392E0000}"/>
    <cellStyle name="汇总 2 14 7" xfId="940" xr:uid="{00000000-0005-0000-0000-0000DC030000}"/>
    <cellStyle name="汇总 2 14 7 2" xfId="11787" xr:uid="{00000000-0005-0000-0000-00003B2E0000}"/>
    <cellStyle name="汇总 2 14 7 2 2" xfId="11790" xr:uid="{00000000-0005-0000-0000-00003E2E0000}"/>
    <cellStyle name="汇总 2 14 7 3" xfId="11793" xr:uid="{00000000-0005-0000-0000-0000412E0000}"/>
    <cellStyle name="汇总 2 14 7 3 2" xfId="11799" xr:uid="{00000000-0005-0000-0000-0000472E0000}"/>
    <cellStyle name="汇总 2 14 7 4" xfId="3924" xr:uid="{00000000-0005-0000-0000-0000840F0000}"/>
    <cellStyle name="汇总 2 14 7 4 2" xfId="4924" xr:uid="{00000000-0005-0000-0000-00006C130000}"/>
    <cellStyle name="汇总 2 14 7 5" xfId="4942" xr:uid="{00000000-0005-0000-0000-00007E130000}"/>
    <cellStyle name="汇总 2 14 7 5 2" xfId="4955" xr:uid="{00000000-0005-0000-0000-00008B130000}"/>
    <cellStyle name="汇总 2 14 7 6" xfId="4962" xr:uid="{00000000-0005-0000-0000-000092130000}"/>
    <cellStyle name="汇总 2 14 8" xfId="949" xr:uid="{00000000-0005-0000-0000-0000E5030000}"/>
    <cellStyle name="汇总 2 14 8 2" xfId="1827" xr:uid="{00000000-0005-0000-0000-000053070000}"/>
    <cellStyle name="汇总 2 14 8 2 2" xfId="11802" xr:uid="{00000000-0005-0000-0000-00004A2E0000}"/>
    <cellStyle name="汇总 2 14 8 3" xfId="1833" xr:uid="{00000000-0005-0000-0000-000059070000}"/>
    <cellStyle name="汇总 2 14 8 3 2" xfId="11808" xr:uid="{00000000-0005-0000-0000-0000502E0000}"/>
    <cellStyle name="汇总 2 14 8 4" xfId="1903" xr:uid="{00000000-0005-0000-0000-00009F070000}"/>
    <cellStyle name="汇总 2 14 8 4 2" xfId="11813" xr:uid="{00000000-0005-0000-0000-0000552E0000}"/>
    <cellStyle name="汇总 2 14 8 5" xfId="61" xr:uid="{00000000-0005-0000-0000-000042000000}"/>
    <cellStyle name="汇总 2 14 9" xfId="11817" xr:uid="{00000000-0005-0000-0000-0000592E0000}"/>
    <cellStyle name="汇总 2 14 9 2" xfId="11820" xr:uid="{00000000-0005-0000-0000-00005C2E0000}"/>
    <cellStyle name="汇总 2 15" xfId="11824" xr:uid="{00000000-0005-0000-0000-0000602E0000}"/>
    <cellStyle name="汇总 2 15 10" xfId="11827" xr:uid="{00000000-0005-0000-0000-0000632E0000}"/>
    <cellStyle name="汇总 2 15 10 2" xfId="2833" xr:uid="{00000000-0005-0000-0000-0000410B0000}"/>
    <cellStyle name="汇总 2 15 11" xfId="11830" xr:uid="{00000000-0005-0000-0000-0000662E0000}"/>
    <cellStyle name="汇总 2 15 11 2" xfId="11835" xr:uid="{00000000-0005-0000-0000-00006B2E0000}"/>
    <cellStyle name="汇总 2 15 12" xfId="11843" xr:uid="{00000000-0005-0000-0000-0000732E0000}"/>
    <cellStyle name="汇总 2 15 12 2" xfId="11846" xr:uid="{00000000-0005-0000-0000-0000762E0000}"/>
    <cellStyle name="汇总 2 15 13" xfId="11852" xr:uid="{00000000-0005-0000-0000-00007C2E0000}"/>
    <cellStyle name="汇总 2 15 14" xfId="11858" xr:uid="{00000000-0005-0000-0000-0000822E0000}"/>
    <cellStyle name="汇总 2 15 15" xfId="11861" xr:uid="{00000000-0005-0000-0000-0000852E0000}"/>
    <cellStyle name="汇总 2 15 16" xfId="9010" xr:uid="{00000000-0005-0000-0000-000062230000}"/>
    <cellStyle name="汇总 2 15 2" xfId="11864" xr:uid="{00000000-0005-0000-0000-0000882E0000}"/>
    <cellStyle name="汇总 2 15 2 2" xfId="11868" xr:uid="{00000000-0005-0000-0000-00008C2E0000}"/>
    <cellStyle name="汇总 2 15 2 2 2" xfId="4176" xr:uid="{00000000-0005-0000-0000-000080100000}"/>
    <cellStyle name="汇总 2 15 2 3" xfId="2502" xr:uid="{00000000-0005-0000-0000-0000F6090000}"/>
    <cellStyle name="汇总 2 15 2 3 2" xfId="4193" xr:uid="{00000000-0005-0000-0000-000091100000}"/>
    <cellStyle name="汇总 2 15 2 4" xfId="11872" xr:uid="{00000000-0005-0000-0000-0000902E0000}"/>
    <cellStyle name="汇总 2 15 2 4 2" xfId="4217" xr:uid="{00000000-0005-0000-0000-0000A9100000}"/>
    <cellStyle name="汇总 2 15 2 5" xfId="11873" xr:uid="{00000000-0005-0000-0000-0000912E0000}"/>
    <cellStyle name="汇总 2 15 2 5 2" xfId="6554" xr:uid="{00000000-0005-0000-0000-0000CA190000}"/>
    <cellStyle name="汇总 2 15 2 6" xfId="9751" xr:uid="{00000000-0005-0000-0000-000047260000}"/>
    <cellStyle name="汇总 2 15 2 7" xfId="9767" xr:uid="{00000000-0005-0000-0000-000057260000}"/>
    <cellStyle name="汇总 2 15 2 8" xfId="9783" xr:uid="{00000000-0005-0000-0000-000067260000}"/>
    <cellStyle name="汇总 2 15 2 9" xfId="2452" xr:uid="{00000000-0005-0000-0000-0000C4090000}"/>
    <cellStyle name="汇总 2 15 3" xfId="8137" xr:uid="{00000000-0005-0000-0000-0000F91F0000}"/>
    <cellStyle name="汇总 2 15 3 2" xfId="11875" xr:uid="{00000000-0005-0000-0000-0000932E0000}"/>
    <cellStyle name="汇总 2 15 3 2 2" xfId="816" xr:uid="{00000000-0005-0000-0000-000060030000}"/>
    <cellStyle name="汇总 2 15 3 3" xfId="11878" xr:uid="{00000000-0005-0000-0000-0000962E0000}"/>
    <cellStyle name="汇总 2 15 3 3 2" xfId="842" xr:uid="{00000000-0005-0000-0000-00007A030000}"/>
    <cellStyle name="汇总 2 15 3 4" xfId="11879" xr:uid="{00000000-0005-0000-0000-0000972E0000}"/>
    <cellStyle name="汇总 2 15 3 4 2" xfId="872" xr:uid="{00000000-0005-0000-0000-000098030000}"/>
    <cellStyle name="汇总 2 15 3 5" xfId="11880" xr:uid="{00000000-0005-0000-0000-0000982E0000}"/>
    <cellStyle name="汇总 2 15 3 5 2" xfId="7012" xr:uid="{00000000-0005-0000-0000-0000941B0000}"/>
    <cellStyle name="汇总 2 15 3 6" xfId="9824" xr:uid="{00000000-0005-0000-0000-000090260000}"/>
    <cellStyle name="汇总 2 15 4" xfId="11885" xr:uid="{00000000-0005-0000-0000-00009D2E0000}"/>
    <cellStyle name="汇总 2 15 4 2" xfId="11887" xr:uid="{00000000-0005-0000-0000-00009F2E0000}"/>
    <cellStyle name="汇总 2 15 4 2 2" xfId="11623" xr:uid="{00000000-0005-0000-0000-0000972D0000}"/>
    <cellStyle name="汇总 2 15 4 3" xfId="11890" xr:uid="{00000000-0005-0000-0000-0000A22E0000}"/>
    <cellStyle name="汇总 2 15 4 3 2" xfId="11656" xr:uid="{00000000-0005-0000-0000-0000B82D0000}"/>
    <cellStyle name="汇总 2 15 4 4" xfId="11891" xr:uid="{00000000-0005-0000-0000-0000A32E0000}"/>
    <cellStyle name="汇总 2 15 4 4 2" xfId="11699" xr:uid="{00000000-0005-0000-0000-0000E32D0000}"/>
    <cellStyle name="汇总 2 15 4 5" xfId="11892" xr:uid="{00000000-0005-0000-0000-0000A42E0000}"/>
    <cellStyle name="汇总 2 15 4 5 2" xfId="11896" xr:uid="{00000000-0005-0000-0000-0000A82E0000}"/>
    <cellStyle name="汇总 2 15 4 6" xfId="9833" xr:uid="{00000000-0005-0000-0000-000099260000}"/>
    <cellStyle name="汇总 2 15 5" xfId="11899" xr:uid="{00000000-0005-0000-0000-0000AB2E0000}"/>
    <cellStyle name="汇总 2 15 5 2" xfId="11903" xr:uid="{00000000-0005-0000-0000-0000AF2E0000}"/>
    <cellStyle name="汇总 2 15 5 2 2" xfId="11775" xr:uid="{00000000-0005-0000-0000-00002F2E0000}"/>
    <cellStyle name="汇总 2 15 5 3" xfId="11908" xr:uid="{00000000-0005-0000-0000-0000B42E0000}"/>
    <cellStyle name="汇总 2 15 5 3 2" xfId="3926" xr:uid="{00000000-0005-0000-0000-0000860F0000}"/>
    <cellStyle name="汇总 2 15 5 4" xfId="11911" xr:uid="{00000000-0005-0000-0000-0000B72E0000}"/>
    <cellStyle name="汇总 2 15 5 4 2" xfId="1901" xr:uid="{00000000-0005-0000-0000-00009D070000}"/>
    <cellStyle name="汇总 2 15 5 5" xfId="11915" xr:uid="{00000000-0005-0000-0000-0000BB2E0000}"/>
    <cellStyle name="汇总 2 15 5 5 2" xfId="11920" xr:uid="{00000000-0005-0000-0000-0000C02E0000}"/>
    <cellStyle name="汇总 2 15 5 6" xfId="11923" xr:uid="{00000000-0005-0000-0000-0000C32E0000}"/>
    <cellStyle name="汇总 2 15 6" xfId="11928" xr:uid="{00000000-0005-0000-0000-0000C82E0000}"/>
    <cellStyle name="汇总 2 15 6 2" xfId="11930" xr:uid="{00000000-0005-0000-0000-0000CA2E0000}"/>
    <cellStyle name="汇总 2 15 6 2 2" xfId="11931" xr:uid="{00000000-0005-0000-0000-0000CB2E0000}"/>
    <cellStyle name="汇总 2 15 6 3" xfId="11933" xr:uid="{00000000-0005-0000-0000-0000CD2E0000}"/>
    <cellStyle name="汇总 2 15 6 3 2" xfId="11934" xr:uid="{00000000-0005-0000-0000-0000CE2E0000}"/>
    <cellStyle name="汇总 2 15 6 4" xfId="11932" xr:uid="{00000000-0005-0000-0000-0000CC2E0000}"/>
    <cellStyle name="汇总 2 15 6 4 2" xfId="11937" xr:uid="{00000000-0005-0000-0000-0000D12E0000}"/>
    <cellStyle name="汇总 2 15 6 5" xfId="4329" xr:uid="{00000000-0005-0000-0000-000019110000}"/>
    <cellStyle name="汇总 2 15 6 5 2" xfId="11939" xr:uid="{00000000-0005-0000-0000-0000D32E0000}"/>
    <cellStyle name="汇总 2 15 6 6" xfId="11941" xr:uid="{00000000-0005-0000-0000-0000D52E0000}"/>
    <cellStyle name="汇总 2 15 7" xfId="967" xr:uid="{00000000-0005-0000-0000-0000F7030000}"/>
    <cellStyle name="汇总 2 15 7 2" xfId="11942" xr:uid="{00000000-0005-0000-0000-0000D62E0000}"/>
    <cellStyle name="汇总 2 15 7 2 2" xfId="11944" xr:uid="{00000000-0005-0000-0000-0000D82E0000}"/>
    <cellStyle name="汇总 2 15 7 3" xfId="11950" xr:uid="{00000000-0005-0000-0000-0000DE2E0000}"/>
    <cellStyle name="汇总 2 15 7 3 2" xfId="11952" xr:uid="{00000000-0005-0000-0000-0000E02E0000}"/>
    <cellStyle name="汇总 2 15 7 4" xfId="11936" xr:uid="{00000000-0005-0000-0000-0000D02E0000}"/>
    <cellStyle name="汇总 2 15 7 4 2" xfId="11955" xr:uid="{00000000-0005-0000-0000-0000E32E0000}"/>
    <cellStyle name="汇总 2 15 7 5" xfId="8607" xr:uid="{00000000-0005-0000-0000-0000CF210000}"/>
    <cellStyle name="汇总 2 15 7 5 2" xfId="11957" xr:uid="{00000000-0005-0000-0000-0000E52E0000}"/>
    <cellStyle name="汇总 2 15 7 6" xfId="11959" xr:uid="{00000000-0005-0000-0000-0000E72E0000}"/>
    <cellStyle name="汇总 2 15 8" xfId="156" xr:uid="{00000000-0005-0000-0000-0000A9000000}"/>
    <cellStyle name="汇总 2 15 8 2" xfId="11960" xr:uid="{00000000-0005-0000-0000-0000E82E0000}"/>
    <cellStyle name="汇总 2 15 8 2 2" xfId="9374" xr:uid="{00000000-0005-0000-0000-0000CE240000}"/>
    <cellStyle name="汇总 2 15 8 3" xfId="11966" xr:uid="{00000000-0005-0000-0000-0000EE2E0000}"/>
    <cellStyle name="汇总 2 15 8 3 2" xfId="9414" xr:uid="{00000000-0005-0000-0000-0000F6240000}"/>
    <cellStyle name="汇总 2 15 8 4" xfId="11938" xr:uid="{00000000-0005-0000-0000-0000D22E0000}"/>
    <cellStyle name="汇总 2 15 8 4 2" xfId="1368" xr:uid="{00000000-0005-0000-0000-000088050000}"/>
    <cellStyle name="汇总 2 15 8 5" xfId="8616" xr:uid="{00000000-0005-0000-0000-0000D8210000}"/>
    <cellStyle name="汇总 2 15 9" xfId="2249" xr:uid="{00000000-0005-0000-0000-0000F9080000}"/>
    <cellStyle name="汇总 2 15 9 2" xfId="11969" xr:uid="{00000000-0005-0000-0000-0000F12E0000}"/>
    <cellStyle name="汇总 2 16" xfId="11973" xr:uid="{00000000-0005-0000-0000-0000F52E0000}"/>
    <cellStyle name="汇总 2 16 10" xfId="11980" xr:uid="{00000000-0005-0000-0000-0000FC2E0000}"/>
    <cellStyle name="汇总 2 16 10 2" xfId="11982" xr:uid="{00000000-0005-0000-0000-0000FE2E0000}"/>
    <cellStyle name="汇总 2 16 11" xfId="11985" xr:uid="{00000000-0005-0000-0000-0000012F0000}"/>
    <cellStyle name="汇总 2 16 11 2" xfId="11986" xr:uid="{00000000-0005-0000-0000-0000022F0000}"/>
    <cellStyle name="汇总 2 16 12" xfId="11988" xr:uid="{00000000-0005-0000-0000-0000042F0000}"/>
    <cellStyle name="汇总 2 16 12 2" xfId="11990" xr:uid="{00000000-0005-0000-0000-0000062F0000}"/>
    <cellStyle name="汇总 2 16 13" xfId="10079" xr:uid="{00000000-0005-0000-0000-00008F270000}"/>
    <cellStyle name="汇总 2 16 14" xfId="11991" xr:uid="{00000000-0005-0000-0000-0000072F0000}"/>
    <cellStyle name="汇总 2 16 15" xfId="11994" xr:uid="{00000000-0005-0000-0000-00000A2F0000}"/>
    <cellStyle name="汇总 2 16 16" xfId="5949" xr:uid="{00000000-0005-0000-0000-00006D170000}"/>
    <cellStyle name="汇总 2 16 2" xfId="11998" xr:uid="{00000000-0005-0000-0000-00000E2F0000}"/>
    <cellStyle name="汇总 2 16 2 2" xfId="12002" xr:uid="{00000000-0005-0000-0000-0000122F0000}"/>
    <cellStyle name="汇总 2 16 2 2 2" xfId="12007" xr:uid="{00000000-0005-0000-0000-0000172F0000}"/>
    <cellStyle name="汇总 2 16 2 3" xfId="2568" xr:uid="{00000000-0005-0000-0000-0000380A0000}"/>
    <cellStyle name="汇总 2 16 2 3 2" xfId="12011" xr:uid="{00000000-0005-0000-0000-00001B2F0000}"/>
    <cellStyle name="汇总 2 16 2 4" xfId="12013" xr:uid="{00000000-0005-0000-0000-00001D2F0000}"/>
    <cellStyle name="汇总 2 16 2 4 2" xfId="12022" xr:uid="{00000000-0005-0000-0000-0000262F0000}"/>
    <cellStyle name="汇总 2 16 2 5" xfId="12024" xr:uid="{00000000-0005-0000-0000-0000282F0000}"/>
    <cellStyle name="汇总 2 16 2 5 2" xfId="12032" xr:uid="{00000000-0005-0000-0000-0000302F0000}"/>
    <cellStyle name="汇总 2 16 2 6" xfId="10096" xr:uid="{00000000-0005-0000-0000-0000A0270000}"/>
    <cellStyle name="汇总 2 16 2 7" xfId="10110" xr:uid="{00000000-0005-0000-0000-0000AE270000}"/>
    <cellStyle name="汇总 2 16 2 8" xfId="10121" xr:uid="{00000000-0005-0000-0000-0000B9270000}"/>
    <cellStyle name="汇总 2 16 2 9" xfId="1040" xr:uid="{00000000-0005-0000-0000-000040040000}"/>
    <cellStyle name="汇总 2 16 3" xfId="12036" xr:uid="{00000000-0005-0000-0000-0000342F0000}"/>
    <cellStyle name="汇总 2 16 3 2" xfId="12041" xr:uid="{00000000-0005-0000-0000-0000392F0000}"/>
    <cellStyle name="汇总 2 16 3 2 2" xfId="12047" xr:uid="{00000000-0005-0000-0000-00003F2F0000}"/>
    <cellStyle name="汇总 2 16 3 3" xfId="12049" xr:uid="{00000000-0005-0000-0000-0000412F0000}"/>
    <cellStyle name="汇总 2 16 3 3 2" xfId="12058" xr:uid="{00000000-0005-0000-0000-00004A2F0000}"/>
    <cellStyle name="汇总 2 16 3 4" xfId="12060" xr:uid="{00000000-0005-0000-0000-00004C2F0000}"/>
    <cellStyle name="汇总 2 16 3 4 2" xfId="12070" xr:uid="{00000000-0005-0000-0000-0000562F0000}"/>
    <cellStyle name="汇总 2 16 3 5" xfId="12072" xr:uid="{00000000-0005-0000-0000-0000582F0000}"/>
    <cellStyle name="汇总 2 16 3 5 2" xfId="12081" xr:uid="{00000000-0005-0000-0000-0000612F0000}"/>
    <cellStyle name="汇总 2 16 3 6" xfId="7735" xr:uid="{00000000-0005-0000-0000-0000671E0000}"/>
    <cellStyle name="汇总 2 16 4" xfId="12084" xr:uid="{00000000-0005-0000-0000-0000642F0000}"/>
    <cellStyle name="汇总 2 16 4 2" xfId="12089" xr:uid="{00000000-0005-0000-0000-0000692F0000}"/>
    <cellStyle name="汇总 2 16 4 2 2" xfId="12096" xr:uid="{00000000-0005-0000-0000-0000702F0000}"/>
    <cellStyle name="汇总 2 16 4 3" xfId="12098" xr:uid="{00000000-0005-0000-0000-0000722F0000}"/>
    <cellStyle name="汇总 2 16 4 3 2" xfId="12108" xr:uid="{00000000-0005-0000-0000-00007C2F0000}"/>
    <cellStyle name="汇总 2 16 4 4" xfId="12111" xr:uid="{00000000-0005-0000-0000-00007F2F0000}"/>
    <cellStyle name="汇总 2 16 4 4 2" xfId="12118" xr:uid="{00000000-0005-0000-0000-0000862F0000}"/>
    <cellStyle name="汇总 2 16 4 5" xfId="4" xr:uid="{00000000-0005-0000-0000-000005000000}"/>
    <cellStyle name="汇总 2 16 4 5 2" xfId="237" xr:uid="{00000000-0005-0000-0000-000003010000}"/>
    <cellStyle name="汇总 2 16 4 6" xfId="7738" xr:uid="{00000000-0005-0000-0000-00006A1E0000}"/>
    <cellStyle name="汇总 2 16 5" xfId="12123" xr:uid="{00000000-0005-0000-0000-00008B2F0000}"/>
    <cellStyle name="汇总 2 16 5 2" xfId="12128" xr:uid="{00000000-0005-0000-0000-0000902F0000}"/>
    <cellStyle name="汇总 2 16 5 2 2" xfId="12135" xr:uid="{00000000-0005-0000-0000-0000972F0000}"/>
    <cellStyle name="汇总 2 16 5 3" xfId="12141" xr:uid="{00000000-0005-0000-0000-00009D2F0000}"/>
    <cellStyle name="汇总 2 16 5 3 2" xfId="12146" xr:uid="{00000000-0005-0000-0000-0000A22F0000}"/>
    <cellStyle name="汇总 2 16 5 4" xfId="12151" xr:uid="{00000000-0005-0000-0000-0000A72F0000}"/>
    <cellStyle name="汇总 2 16 5 4 2" xfId="12158" xr:uid="{00000000-0005-0000-0000-0000AE2F0000}"/>
    <cellStyle name="汇总 2 16 5 5" xfId="12162" xr:uid="{00000000-0005-0000-0000-0000B22F0000}"/>
    <cellStyle name="汇总 2 16 5 5 2" xfId="12167" xr:uid="{00000000-0005-0000-0000-0000B72F0000}"/>
    <cellStyle name="汇总 2 16 5 6" xfId="7760" xr:uid="{00000000-0005-0000-0000-0000801E0000}"/>
    <cellStyle name="汇总 2 16 6" xfId="12168" xr:uid="{00000000-0005-0000-0000-0000B82F0000}"/>
    <cellStyle name="汇总 2 16 6 2" xfId="12169" xr:uid="{00000000-0005-0000-0000-0000B92F0000}"/>
    <cellStyle name="汇总 2 16 6 2 2" xfId="12171" xr:uid="{00000000-0005-0000-0000-0000BB2F0000}"/>
    <cellStyle name="汇总 2 16 6 3" xfId="12173" xr:uid="{00000000-0005-0000-0000-0000BD2F0000}"/>
    <cellStyle name="汇总 2 16 6 3 2" xfId="12175" xr:uid="{00000000-0005-0000-0000-0000BF2F0000}"/>
    <cellStyle name="汇总 2 16 6 4" xfId="11945" xr:uid="{00000000-0005-0000-0000-0000D92E0000}"/>
    <cellStyle name="汇总 2 16 6 4 2" xfId="12178" xr:uid="{00000000-0005-0000-0000-0000C22F0000}"/>
    <cellStyle name="汇总 2 16 6 5" xfId="4656" xr:uid="{00000000-0005-0000-0000-000060120000}"/>
    <cellStyle name="汇总 2 16 6 5 2" xfId="12179" xr:uid="{00000000-0005-0000-0000-0000C32F0000}"/>
    <cellStyle name="汇总 2 16 6 6" xfId="12180" xr:uid="{00000000-0005-0000-0000-0000C42F0000}"/>
    <cellStyle name="汇总 2 16 7" xfId="969" xr:uid="{00000000-0005-0000-0000-0000F9030000}"/>
    <cellStyle name="汇总 2 16 7 2" xfId="12181" xr:uid="{00000000-0005-0000-0000-0000C52F0000}"/>
    <cellStyle name="汇总 2 16 7 2 2" xfId="12183" xr:uid="{00000000-0005-0000-0000-0000C72F0000}"/>
    <cellStyle name="汇总 2 16 7 3" xfId="12191" xr:uid="{00000000-0005-0000-0000-0000CF2F0000}"/>
    <cellStyle name="汇总 2 16 7 3 2" xfId="9468" xr:uid="{00000000-0005-0000-0000-00002C250000}"/>
    <cellStyle name="汇总 2 16 7 4" xfId="11954" xr:uid="{00000000-0005-0000-0000-0000E22E0000}"/>
    <cellStyle name="汇总 2 16 7 4 2" xfId="12192" xr:uid="{00000000-0005-0000-0000-0000D02F0000}"/>
    <cellStyle name="汇总 2 16 7 5" xfId="8650" xr:uid="{00000000-0005-0000-0000-0000FA210000}"/>
    <cellStyle name="汇总 2 16 7 5 2" xfId="12193" xr:uid="{00000000-0005-0000-0000-0000D12F0000}"/>
    <cellStyle name="汇总 2 16 7 6" xfId="12194" xr:uid="{00000000-0005-0000-0000-0000D22F0000}"/>
    <cellStyle name="汇总 2 16 8" xfId="979" xr:uid="{00000000-0005-0000-0000-000003040000}"/>
    <cellStyle name="汇总 2 16 8 2" xfId="12195" xr:uid="{00000000-0005-0000-0000-0000D32F0000}"/>
    <cellStyle name="汇总 2 16 8 2 2" xfId="12197" xr:uid="{00000000-0005-0000-0000-0000D52F0000}"/>
    <cellStyle name="汇总 2 16 8 3" xfId="12206" xr:uid="{00000000-0005-0000-0000-0000DE2F0000}"/>
    <cellStyle name="汇总 2 16 8 3 2" xfId="12207" xr:uid="{00000000-0005-0000-0000-0000DF2F0000}"/>
    <cellStyle name="汇总 2 16 8 4" xfId="11956" xr:uid="{00000000-0005-0000-0000-0000E42E0000}"/>
    <cellStyle name="汇总 2 16 8 4 2" xfId="7373" xr:uid="{00000000-0005-0000-0000-0000FD1C0000}"/>
    <cellStyle name="汇总 2 16 8 5" xfId="8659" xr:uid="{00000000-0005-0000-0000-000003220000}"/>
    <cellStyle name="汇总 2 16 9" xfId="5059" xr:uid="{00000000-0005-0000-0000-0000F3130000}"/>
    <cellStyle name="汇总 2 16 9 2" xfId="12211" xr:uid="{00000000-0005-0000-0000-0000E32F0000}"/>
    <cellStyle name="汇总 2 17" xfId="4560" xr:uid="{00000000-0005-0000-0000-000000120000}"/>
    <cellStyle name="汇总 2 17 10" xfId="12213" xr:uid="{00000000-0005-0000-0000-0000E52F0000}"/>
    <cellStyle name="汇总 2 17 10 2" xfId="12216" xr:uid="{00000000-0005-0000-0000-0000E82F0000}"/>
    <cellStyle name="汇总 2 17 11" xfId="12218" xr:uid="{00000000-0005-0000-0000-0000EA2F0000}"/>
    <cellStyle name="汇总 2 17 11 2" xfId="12224" xr:uid="{00000000-0005-0000-0000-0000F02F0000}"/>
    <cellStyle name="汇总 2 17 12" xfId="12227" xr:uid="{00000000-0005-0000-0000-0000F32F0000}"/>
    <cellStyle name="汇总 2 17 12 2" xfId="7336" xr:uid="{00000000-0005-0000-0000-0000D81C0000}"/>
    <cellStyle name="汇总 2 17 13" xfId="12221" xr:uid="{00000000-0005-0000-0000-0000ED2F0000}"/>
    <cellStyle name="汇总 2 17 14" xfId="5230" xr:uid="{00000000-0005-0000-0000-00009E140000}"/>
    <cellStyle name="汇总 2 17 15" xfId="12231" xr:uid="{00000000-0005-0000-0000-0000F72F0000}"/>
    <cellStyle name="汇总 2 17 16" xfId="12233" xr:uid="{00000000-0005-0000-0000-0000F92F0000}"/>
    <cellStyle name="汇总 2 17 2" xfId="8406" xr:uid="{00000000-0005-0000-0000-000006210000}"/>
    <cellStyle name="汇总 2 17 2 2" xfId="12235" xr:uid="{00000000-0005-0000-0000-0000FB2F0000}"/>
    <cellStyle name="汇总 2 17 2 2 2" xfId="12242" xr:uid="{00000000-0005-0000-0000-000002300000}"/>
    <cellStyle name="汇总 2 17 2 3" xfId="2656" xr:uid="{00000000-0005-0000-0000-0000900A0000}"/>
    <cellStyle name="汇总 2 17 2 3 2" xfId="12249" xr:uid="{00000000-0005-0000-0000-000009300000}"/>
    <cellStyle name="汇总 2 17 2 4" xfId="12254" xr:uid="{00000000-0005-0000-0000-00000E300000}"/>
    <cellStyle name="汇总 2 17 2 4 2" xfId="12262" xr:uid="{00000000-0005-0000-0000-000016300000}"/>
    <cellStyle name="汇总 2 17 2 5" xfId="12264" xr:uid="{00000000-0005-0000-0000-000018300000}"/>
    <cellStyle name="汇总 2 17 2 5 2" xfId="12271" xr:uid="{00000000-0005-0000-0000-00001F300000}"/>
    <cellStyle name="汇总 2 17 2 6" xfId="10393" xr:uid="{00000000-0005-0000-0000-0000C9280000}"/>
    <cellStyle name="汇总 2 17 3" xfId="12274" xr:uid="{00000000-0005-0000-0000-000022300000}"/>
    <cellStyle name="汇总 2 17 3 2" xfId="12280" xr:uid="{00000000-0005-0000-0000-000028300000}"/>
    <cellStyle name="汇总 2 17 3 2 2" xfId="12286" xr:uid="{00000000-0005-0000-0000-00002E300000}"/>
    <cellStyle name="汇总 2 17 3 3" xfId="10181" xr:uid="{00000000-0005-0000-0000-0000F5270000}"/>
    <cellStyle name="汇总 2 17 3 3 2" xfId="12294" xr:uid="{00000000-0005-0000-0000-000036300000}"/>
    <cellStyle name="汇总 2 17 3 4" xfId="12299" xr:uid="{00000000-0005-0000-0000-00003B300000}"/>
    <cellStyle name="汇总 2 17 3 4 2" xfId="12309" xr:uid="{00000000-0005-0000-0000-000045300000}"/>
    <cellStyle name="汇总 2 17 3 5" xfId="12312" xr:uid="{00000000-0005-0000-0000-000048300000}"/>
    <cellStyle name="汇总 2 17 3 5 2" xfId="12321" xr:uid="{00000000-0005-0000-0000-000051300000}"/>
    <cellStyle name="汇总 2 17 3 6" xfId="10446" xr:uid="{00000000-0005-0000-0000-0000FE280000}"/>
    <cellStyle name="汇总 2 17 4" xfId="12323" xr:uid="{00000000-0005-0000-0000-000053300000}"/>
    <cellStyle name="汇总 2 17 4 2" xfId="12327" xr:uid="{00000000-0005-0000-0000-000057300000}"/>
    <cellStyle name="汇总 2 17 4 2 2" xfId="12333" xr:uid="{00000000-0005-0000-0000-00005D300000}"/>
    <cellStyle name="汇总 2 17 4 3" xfId="10196" xr:uid="{00000000-0005-0000-0000-000004280000}"/>
    <cellStyle name="汇总 2 17 4 3 2" xfId="12338" xr:uid="{00000000-0005-0000-0000-000062300000}"/>
    <cellStyle name="汇总 2 17 4 4" xfId="12341" xr:uid="{00000000-0005-0000-0000-000065300000}"/>
    <cellStyle name="汇总 2 17 4 4 2" xfId="12348" xr:uid="{00000000-0005-0000-0000-00006C300000}"/>
    <cellStyle name="汇总 2 17 4 5" xfId="12350" xr:uid="{00000000-0005-0000-0000-00006E300000}"/>
    <cellStyle name="汇总 2 17 4 5 2" xfId="12355" xr:uid="{00000000-0005-0000-0000-000073300000}"/>
    <cellStyle name="汇总 2 17 4 6" xfId="10451" xr:uid="{00000000-0005-0000-0000-000003290000}"/>
    <cellStyle name="汇总 2 17 5" xfId="12361" xr:uid="{00000000-0005-0000-0000-000079300000}"/>
    <cellStyle name="汇总 2 17 5 2" xfId="12365" xr:uid="{00000000-0005-0000-0000-00007D300000}"/>
    <cellStyle name="汇总 2 17 5 2 2" xfId="2449" xr:uid="{00000000-0005-0000-0000-0000C1090000}"/>
    <cellStyle name="汇总 2 17 5 3" xfId="10203" xr:uid="{00000000-0005-0000-0000-00000B280000}"/>
    <cellStyle name="汇总 2 17 5 3 2" xfId="1742" xr:uid="{00000000-0005-0000-0000-0000FE060000}"/>
    <cellStyle name="汇总 2 17 5 4" xfId="12367" xr:uid="{00000000-0005-0000-0000-00007F300000}"/>
    <cellStyle name="汇总 2 17 5 4 2" xfId="1981" xr:uid="{00000000-0005-0000-0000-0000ED070000}"/>
    <cellStyle name="汇总 2 17 5 5" xfId="12369" xr:uid="{00000000-0005-0000-0000-000081300000}"/>
    <cellStyle name="汇总 2 17 5 5 2" xfId="2593" xr:uid="{00000000-0005-0000-0000-0000510A0000}"/>
    <cellStyle name="汇总 2 17 5 6" xfId="12370" xr:uid="{00000000-0005-0000-0000-000082300000}"/>
    <cellStyle name="汇总 2 17 6" xfId="12371" xr:uid="{00000000-0005-0000-0000-000083300000}"/>
    <cellStyle name="汇总 2 17 6 2" xfId="9367" xr:uid="{00000000-0005-0000-0000-0000C7240000}"/>
    <cellStyle name="汇总 2 17 6 2 2" xfId="1050" xr:uid="{00000000-0005-0000-0000-00004A040000}"/>
    <cellStyle name="汇总 2 17 6 3" xfId="9372" xr:uid="{00000000-0005-0000-0000-0000CC240000}"/>
    <cellStyle name="汇总 2 17 6 3 2" xfId="3049" xr:uid="{00000000-0005-0000-0000-0000190C0000}"/>
    <cellStyle name="汇总 2 17 6 4" xfId="9375" xr:uid="{00000000-0005-0000-0000-0000CF240000}"/>
    <cellStyle name="汇总 2 17 6 4 2" xfId="3130" xr:uid="{00000000-0005-0000-0000-00006A0C0000}"/>
    <cellStyle name="汇总 2 17 6 5" xfId="4873" xr:uid="{00000000-0005-0000-0000-000039130000}"/>
    <cellStyle name="汇总 2 17 6 5 2" xfId="3197" xr:uid="{00000000-0005-0000-0000-0000AD0C0000}"/>
    <cellStyle name="汇总 2 17 6 6" xfId="9377" xr:uid="{00000000-0005-0000-0000-0000D1240000}"/>
    <cellStyle name="汇总 2 17 7" xfId="984" xr:uid="{00000000-0005-0000-0000-000008040000}"/>
    <cellStyle name="汇总 2 17 7 2" xfId="9392" xr:uid="{00000000-0005-0000-0000-0000E0240000}"/>
    <cellStyle name="汇总 2 17 7 2 2" xfId="9395" xr:uid="{00000000-0005-0000-0000-0000E3240000}"/>
    <cellStyle name="汇总 2 17 7 3" xfId="9408" xr:uid="{00000000-0005-0000-0000-0000F0240000}"/>
    <cellStyle name="汇总 2 17 7 3 2" xfId="9410" xr:uid="{00000000-0005-0000-0000-0000F2240000}"/>
    <cellStyle name="汇总 2 17 7 4" xfId="9416" xr:uid="{00000000-0005-0000-0000-0000F8240000}"/>
    <cellStyle name="汇总 2 17 7 4 2" xfId="12373" xr:uid="{00000000-0005-0000-0000-000085300000}"/>
    <cellStyle name="汇总 2 17 7 5" xfId="8684" xr:uid="{00000000-0005-0000-0000-00001C220000}"/>
    <cellStyle name="汇总 2 17 7 5 2" xfId="12374" xr:uid="{00000000-0005-0000-0000-000086300000}"/>
    <cellStyle name="汇总 2 17 7 6" xfId="12375" xr:uid="{00000000-0005-0000-0000-000087300000}"/>
    <cellStyle name="汇总 2 17 8" xfId="988" xr:uid="{00000000-0005-0000-0000-00000C040000}"/>
    <cellStyle name="汇总 2 17 8 2" xfId="1335" xr:uid="{00000000-0005-0000-0000-000067050000}"/>
    <cellStyle name="汇总 2 17 8 2 2" xfId="3436" xr:uid="{00000000-0005-0000-0000-00009C0D0000}"/>
    <cellStyle name="汇总 2 17 8 3" xfId="1343" xr:uid="{00000000-0005-0000-0000-00006F050000}"/>
    <cellStyle name="汇总 2 17 8 3 2" xfId="9422" xr:uid="{00000000-0005-0000-0000-0000FE240000}"/>
    <cellStyle name="汇总 2 17 8 4" xfId="1366" xr:uid="{00000000-0005-0000-0000-000086050000}"/>
    <cellStyle name="汇总 2 17 8 4 2" xfId="9582" xr:uid="{00000000-0005-0000-0000-00009E250000}"/>
    <cellStyle name="汇总 2 17 8 5" xfId="1377" xr:uid="{00000000-0005-0000-0000-000091050000}"/>
    <cellStyle name="汇总 2 17 9" xfId="5065" xr:uid="{00000000-0005-0000-0000-0000F9130000}"/>
    <cellStyle name="汇总 2 17 9 2" xfId="3544" xr:uid="{00000000-0005-0000-0000-0000080E0000}"/>
    <cellStyle name="汇总 2 18" xfId="8420" xr:uid="{00000000-0005-0000-0000-000014210000}"/>
    <cellStyle name="汇总 2 18 2" xfId="8437" xr:uid="{00000000-0005-0000-0000-000025210000}"/>
    <cellStyle name="汇总 2 18 2 2" xfId="12380" xr:uid="{00000000-0005-0000-0000-00008C300000}"/>
    <cellStyle name="汇总 2 18 3" xfId="10870" xr:uid="{00000000-0005-0000-0000-0000A62A0000}"/>
    <cellStyle name="汇总 2 18 3 2" xfId="12385" xr:uid="{00000000-0005-0000-0000-000091300000}"/>
    <cellStyle name="汇总 2 18 4" xfId="12390" xr:uid="{00000000-0005-0000-0000-000096300000}"/>
    <cellStyle name="汇总 2 18 4 2" xfId="12394" xr:uid="{00000000-0005-0000-0000-00009A300000}"/>
    <cellStyle name="汇总 2 18 5" xfId="12397" xr:uid="{00000000-0005-0000-0000-00009D300000}"/>
    <cellStyle name="汇总 2 18 6" xfId="2913" xr:uid="{00000000-0005-0000-0000-0000910B0000}"/>
    <cellStyle name="汇总 2 18 7" xfId="1004" xr:uid="{00000000-0005-0000-0000-00001C040000}"/>
    <cellStyle name="汇总 2 18 8" xfId="1026" xr:uid="{00000000-0005-0000-0000-000032040000}"/>
    <cellStyle name="汇总 2 19" xfId="8447" xr:uid="{00000000-0005-0000-0000-00002F210000}"/>
    <cellStyle name="汇总 2 19 2" xfId="8455" xr:uid="{00000000-0005-0000-0000-000037210000}"/>
    <cellStyle name="汇总 2 2" xfId="8187" xr:uid="{00000000-0005-0000-0000-00002B200000}"/>
    <cellStyle name="汇总 2 2 10" xfId="12401" xr:uid="{00000000-0005-0000-0000-0000A1300000}"/>
    <cellStyle name="汇总 2 2 10 10" xfId="12405" xr:uid="{00000000-0005-0000-0000-0000A5300000}"/>
    <cellStyle name="汇总 2 2 10 10 2" xfId="12409" xr:uid="{00000000-0005-0000-0000-0000A9300000}"/>
    <cellStyle name="汇总 2 2 10 11" xfId="12412" xr:uid="{00000000-0005-0000-0000-0000AC300000}"/>
    <cellStyle name="汇总 2 2 10 11 2" xfId="12414" xr:uid="{00000000-0005-0000-0000-0000AE300000}"/>
    <cellStyle name="汇总 2 2 10 12" xfId="12418" xr:uid="{00000000-0005-0000-0000-0000B2300000}"/>
    <cellStyle name="汇总 2 2 10 12 2" xfId="12424" xr:uid="{00000000-0005-0000-0000-0000B8300000}"/>
    <cellStyle name="汇总 2 2 10 13" xfId="12431" xr:uid="{00000000-0005-0000-0000-0000BF300000}"/>
    <cellStyle name="汇总 2 2 10 14" xfId="12435" xr:uid="{00000000-0005-0000-0000-0000C3300000}"/>
    <cellStyle name="汇总 2 2 10 15" xfId="11126" xr:uid="{00000000-0005-0000-0000-0000A62B0000}"/>
    <cellStyle name="汇总 2 2 10 16" xfId="7922" xr:uid="{00000000-0005-0000-0000-0000221F0000}"/>
    <cellStyle name="汇总 2 2 10 2" xfId="12440" xr:uid="{00000000-0005-0000-0000-0000C8300000}"/>
    <cellStyle name="汇总 2 2 10 2 2" xfId="12446" xr:uid="{00000000-0005-0000-0000-0000CE300000}"/>
    <cellStyle name="汇总 2 2 10 2 2 2" xfId="7302" xr:uid="{00000000-0005-0000-0000-0000B61C0000}"/>
    <cellStyle name="汇总 2 2 10 2 3" xfId="12450" xr:uid="{00000000-0005-0000-0000-0000D2300000}"/>
    <cellStyle name="汇总 2 2 10 2 3 2" xfId="12451" xr:uid="{00000000-0005-0000-0000-0000D3300000}"/>
    <cellStyle name="汇总 2 2 10 2 4" xfId="6999" xr:uid="{00000000-0005-0000-0000-0000871B0000}"/>
    <cellStyle name="汇总 2 2 10 2 4 2" xfId="11298" xr:uid="{00000000-0005-0000-0000-0000522C0000}"/>
    <cellStyle name="汇总 2 2 10 2 5" xfId="7956" xr:uid="{00000000-0005-0000-0000-0000441F0000}"/>
    <cellStyle name="汇总 2 2 10 2 5 2" xfId="11309" xr:uid="{00000000-0005-0000-0000-00005D2C0000}"/>
    <cellStyle name="汇总 2 2 10 2 6" xfId="11315" xr:uid="{00000000-0005-0000-0000-0000632C0000}"/>
    <cellStyle name="汇总 2 2 10 2 7" xfId="11319" xr:uid="{00000000-0005-0000-0000-0000672C0000}"/>
    <cellStyle name="汇总 2 2 10 2 8" xfId="11327" xr:uid="{00000000-0005-0000-0000-00006F2C0000}"/>
    <cellStyle name="汇总 2 2 10 2 9" xfId="12456" xr:uid="{00000000-0005-0000-0000-0000D8300000}"/>
    <cellStyle name="汇总 2 2 10 3" xfId="12461" xr:uid="{00000000-0005-0000-0000-0000DD300000}"/>
    <cellStyle name="汇总 2 2 10 3 2" xfId="12471" xr:uid="{00000000-0005-0000-0000-0000E7300000}"/>
    <cellStyle name="汇总 2 2 10 3 2 2" xfId="7749" xr:uid="{00000000-0005-0000-0000-0000751E0000}"/>
    <cellStyle name="汇总 2 2 10 3 3" xfId="12472" xr:uid="{00000000-0005-0000-0000-0000E8300000}"/>
    <cellStyle name="汇总 2 2 10 3 3 2" xfId="12475" xr:uid="{00000000-0005-0000-0000-0000EB300000}"/>
    <cellStyle name="汇总 2 2 10 3 4" xfId="11330" xr:uid="{00000000-0005-0000-0000-0000722C0000}"/>
    <cellStyle name="汇总 2 2 10 3 4 2" xfId="11344" xr:uid="{00000000-0005-0000-0000-0000802C0000}"/>
    <cellStyle name="汇总 2 2 10 3 5" xfId="7768" xr:uid="{00000000-0005-0000-0000-0000881E0000}"/>
    <cellStyle name="汇总 2 2 10 3 5 2" xfId="11362" xr:uid="{00000000-0005-0000-0000-0000922C0000}"/>
    <cellStyle name="汇总 2 2 10 3 6" xfId="11366" xr:uid="{00000000-0005-0000-0000-0000962C0000}"/>
    <cellStyle name="汇总 2 2 10 4" xfId="12478" xr:uid="{00000000-0005-0000-0000-0000EE300000}"/>
    <cellStyle name="汇总 2 2 10 4 2" xfId="12483" xr:uid="{00000000-0005-0000-0000-0000F3300000}"/>
    <cellStyle name="汇总 2 2 10 4 2 2" xfId="12484" xr:uid="{00000000-0005-0000-0000-0000F4300000}"/>
    <cellStyle name="汇总 2 2 10 4 3" xfId="12487" xr:uid="{00000000-0005-0000-0000-0000F7300000}"/>
    <cellStyle name="汇总 2 2 10 4 3 2" xfId="12491" xr:uid="{00000000-0005-0000-0000-0000FB300000}"/>
    <cellStyle name="汇总 2 2 10 4 4" xfId="11391" xr:uid="{00000000-0005-0000-0000-0000AF2C0000}"/>
    <cellStyle name="汇总 2 2 10 4 4 2" xfId="11402" xr:uid="{00000000-0005-0000-0000-0000BA2C0000}"/>
    <cellStyle name="汇总 2 2 10 4 5" xfId="11409" xr:uid="{00000000-0005-0000-0000-0000C12C0000}"/>
    <cellStyle name="汇总 2 2 10 4 5 2" xfId="11420" xr:uid="{00000000-0005-0000-0000-0000CC2C0000}"/>
    <cellStyle name="汇总 2 2 10 4 6" xfId="11423" xr:uid="{00000000-0005-0000-0000-0000CF2C0000}"/>
    <cellStyle name="汇总 2 2 10 5" xfId="12493" xr:uid="{00000000-0005-0000-0000-0000FD300000}"/>
    <cellStyle name="汇总 2 2 10 5 2" xfId="12496" xr:uid="{00000000-0005-0000-0000-000000310000}"/>
    <cellStyle name="汇总 2 2 10 5 2 2" xfId="9588" xr:uid="{00000000-0005-0000-0000-0000A4250000}"/>
    <cellStyle name="汇总 2 2 10 5 3" xfId="12497" xr:uid="{00000000-0005-0000-0000-000001310000}"/>
    <cellStyle name="汇总 2 2 10 5 3 2" xfId="9616" xr:uid="{00000000-0005-0000-0000-0000C0250000}"/>
    <cellStyle name="汇总 2 2 10 5 4" xfId="11442" xr:uid="{00000000-0005-0000-0000-0000E22C0000}"/>
    <cellStyle name="汇总 2 2 10 5 4 2" xfId="9668" xr:uid="{00000000-0005-0000-0000-0000F4250000}"/>
    <cellStyle name="汇总 2 2 10 5 5" xfId="11449" xr:uid="{00000000-0005-0000-0000-0000E92C0000}"/>
    <cellStyle name="汇总 2 2 10 5 5 2" xfId="9727" xr:uid="{00000000-0005-0000-0000-00002F260000}"/>
    <cellStyle name="汇总 2 2 10 5 6" xfId="11451" xr:uid="{00000000-0005-0000-0000-0000EB2C0000}"/>
    <cellStyle name="汇总 2 2 10 6" xfId="12499" xr:uid="{00000000-0005-0000-0000-000003310000}"/>
    <cellStyle name="汇总 2 2 10 6 2" xfId="12504" xr:uid="{00000000-0005-0000-0000-000008310000}"/>
    <cellStyle name="汇总 2 2 10 6 2 2" xfId="9903" xr:uid="{00000000-0005-0000-0000-0000DF260000}"/>
    <cellStyle name="汇总 2 2 10 6 3" xfId="12505" xr:uid="{00000000-0005-0000-0000-000009310000}"/>
    <cellStyle name="汇总 2 2 10 6 3 2" xfId="9947" xr:uid="{00000000-0005-0000-0000-00000B270000}"/>
    <cellStyle name="汇总 2 2 10 6 4" xfId="11462" xr:uid="{00000000-0005-0000-0000-0000F62C0000}"/>
    <cellStyle name="汇总 2 2 10 6 4 2" xfId="9999" xr:uid="{00000000-0005-0000-0000-00003F270000}"/>
    <cellStyle name="汇总 2 2 10 6 5" xfId="11467" xr:uid="{00000000-0005-0000-0000-0000FB2C0000}"/>
    <cellStyle name="汇总 2 2 10 6 5 2" xfId="10062" xr:uid="{00000000-0005-0000-0000-00007E270000}"/>
    <cellStyle name="汇总 2 2 10 6 6" xfId="11469" xr:uid="{00000000-0005-0000-0000-0000FD2C0000}"/>
    <cellStyle name="汇总 2 2 10 7" xfId="12508" xr:uid="{00000000-0005-0000-0000-00000C310000}"/>
    <cellStyle name="汇总 2 2 10 7 2" xfId="12517" xr:uid="{00000000-0005-0000-0000-000015310000}"/>
    <cellStyle name="汇总 2 2 10 7 2 2" xfId="9486" xr:uid="{00000000-0005-0000-0000-00003E250000}"/>
    <cellStyle name="汇总 2 2 10 7 3" xfId="12521" xr:uid="{00000000-0005-0000-0000-000019310000}"/>
    <cellStyle name="汇总 2 2 10 7 3 2" xfId="10259" xr:uid="{00000000-0005-0000-0000-000043280000}"/>
    <cellStyle name="汇总 2 2 10 7 4" xfId="11479" xr:uid="{00000000-0005-0000-0000-0000072D0000}"/>
    <cellStyle name="汇总 2 2 10 7 4 2" xfId="10302" xr:uid="{00000000-0005-0000-0000-00006E280000}"/>
    <cellStyle name="汇总 2 2 10 7 5" xfId="11484" xr:uid="{00000000-0005-0000-0000-00000C2D0000}"/>
    <cellStyle name="汇总 2 2 10 7 5 2" xfId="10363" xr:uid="{00000000-0005-0000-0000-0000AB280000}"/>
    <cellStyle name="汇总 2 2 10 7 6" xfId="11487" xr:uid="{00000000-0005-0000-0000-00000F2D0000}"/>
    <cellStyle name="汇总 2 2 10 8" xfId="12523" xr:uid="{00000000-0005-0000-0000-00001B310000}"/>
    <cellStyle name="汇总 2 2 10 8 2" xfId="12530" xr:uid="{00000000-0005-0000-0000-000022310000}"/>
    <cellStyle name="汇总 2 2 10 8 2 2" xfId="10572" xr:uid="{00000000-0005-0000-0000-00007C290000}"/>
    <cellStyle name="汇总 2 2 10 8 3" xfId="12534" xr:uid="{00000000-0005-0000-0000-000026310000}"/>
    <cellStyle name="汇总 2 2 10 8 3 2" xfId="10626" xr:uid="{00000000-0005-0000-0000-0000B2290000}"/>
    <cellStyle name="汇总 2 2 10 8 4" xfId="11500" xr:uid="{00000000-0005-0000-0000-00001C2D0000}"/>
    <cellStyle name="汇总 2 2 10 8 4 2" xfId="10690" xr:uid="{00000000-0005-0000-0000-0000F2290000}"/>
    <cellStyle name="汇总 2 2 10 8 5" xfId="12535" xr:uid="{00000000-0005-0000-0000-000027310000}"/>
    <cellStyle name="汇总 2 2 10 9" xfId="6353" xr:uid="{00000000-0005-0000-0000-000001190000}"/>
    <cellStyle name="汇总 2 2 10 9 2" xfId="12536" xr:uid="{00000000-0005-0000-0000-000028310000}"/>
    <cellStyle name="汇总 2 2 11" xfId="8874" xr:uid="{00000000-0005-0000-0000-0000DA220000}"/>
    <cellStyle name="汇总 2 2 11 10" xfId="12539" xr:uid="{00000000-0005-0000-0000-00002B310000}"/>
    <cellStyle name="汇总 2 2 11 10 2" xfId="12541" xr:uid="{00000000-0005-0000-0000-00002D310000}"/>
    <cellStyle name="汇总 2 2 11 11" xfId="12543" xr:uid="{00000000-0005-0000-0000-00002F310000}"/>
    <cellStyle name="汇总 2 2 11 11 2" xfId="12545" xr:uid="{00000000-0005-0000-0000-000031310000}"/>
    <cellStyle name="汇总 2 2 11 12" xfId="10371" xr:uid="{00000000-0005-0000-0000-0000B3280000}"/>
    <cellStyle name="汇总 2 2 11 12 2" xfId="5908" xr:uid="{00000000-0005-0000-0000-000044170000}"/>
    <cellStyle name="汇总 2 2 11 13" xfId="12549" xr:uid="{00000000-0005-0000-0000-000035310000}"/>
    <cellStyle name="汇总 2 2 11 14" xfId="12553" xr:uid="{00000000-0005-0000-0000-000039310000}"/>
    <cellStyle name="汇总 2 2 11 15" xfId="7978" xr:uid="{00000000-0005-0000-0000-00005A1F0000}"/>
    <cellStyle name="汇总 2 2 11 16" xfId="1222" xr:uid="{00000000-0005-0000-0000-0000F6040000}"/>
    <cellStyle name="汇总 2 2 11 2" xfId="8884" xr:uid="{00000000-0005-0000-0000-0000E4220000}"/>
    <cellStyle name="汇总 2 2 11 2 2" xfId="8889" xr:uid="{00000000-0005-0000-0000-0000E9220000}"/>
    <cellStyle name="汇总 2 2 11 2 2 2" xfId="12554" xr:uid="{00000000-0005-0000-0000-00003A310000}"/>
    <cellStyle name="汇总 2 2 11 2 3" xfId="12557" xr:uid="{00000000-0005-0000-0000-00003D310000}"/>
    <cellStyle name="汇总 2 2 11 2 3 2" xfId="12558" xr:uid="{00000000-0005-0000-0000-00003E310000}"/>
    <cellStyle name="汇总 2 2 11 2 4" xfId="7061" xr:uid="{00000000-0005-0000-0000-0000C51B0000}"/>
    <cellStyle name="汇总 2 2 11 2 4 2" xfId="2164" xr:uid="{00000000-0005-0000-0000-0000A4080000}"/>
    <cellStyle name="汇总 2 2 11 2 5" xfId="12564" xr:uid="{00000000-0005-0000-0000-000044310000}"/>
    <cellStyle name="汇总 2 2 11 2 5 2" xfId="12573" xr:uid="{00000000-0005-0000-0000-00004D310000}"/>
    <cellStyle name="汇总 2 2 11 2 6" xfId="12577" xr:uid="{00000000-0005-0000-0000-000051310000}"/>
    <cellStyle name="汇总 2 2 11 3" xfId="7618" xr:uid="{00000000-0005-0000-0000-0000F21D0000}"/>
    <cellStyle name="汇总 2 2 11 3 2" xfId="8834" xr:uid="{00000000-0005-0000-0000-0000B2220000}"/>
    <cellStyle name="汇总 2 2 11 3 2 2" xfId="11024" xr:uid="{00000000-0005-0000-0000-0000402B0000}"/>
    <cellStyle name="汇总 2 2 11 3 3" xfId="12578" xr:uid="{00000000-0005-0000-0000-000052310000}"/>
    <cellStyle name="汇总 2 2 11 3 3 2" xfId="11672" xr:uid="{00000000-0005-0000-0000-0000C82D0000}"/>
    <cellStyle name="汇总 2 2 11 3 4" xfId="12585" xr:uid="{00000000-0005-0000-0000-000059310000}"/>
    <cellStyle name="汇总 2 2 11 3 4 2" xfId="958" xr:uid="{00000000-0005-0000-0000-0000EE030000}"/>
    <cellStyle name="汇总 2 2 11 3 5" xfId="12591" xr:uid="{00000000-0005-0000-0000-00005F310000}"/>
    <cellStyle name="汇总 2 2 11 3 5 2" xfId="146" xr:uid="{00000000-0005-0000-0000-00009F000000}"/>
    <cellStyle name="汇总 2 2 11 3 6" xfId="12595" xr:uid="{00000000-0005-0000-0000-000063310000}"/>
    <cellStyle name="汇总 2 2 11 4" xfId="6118" xr:uid="{00000000-0005-0000-0000-000016180000}"/>
    <cellStyle name="汇总 2 2 11 4 2" xfId="8901" xr:uid="{00000000-0005-0000-0000-0000F5220000}"/>
    <cellStyle name="汇总 2 2 11 4 2 2" xfId="12599" xr:uid="{00000000-0005-0000-0000-000067310000}"/>
    <cellStyle name="汇总 2 2 11 4 3" xfId="12601" xr:uid="{00000000-0005-0000-0000-000069310000}"/>
    <cellStyle name="汇总 2 2 11 4 3 2" xfId="12605" xr:uid="{00000000-0005-0000-0000-00006D310000}"/>
    <cellStyle name="汇总 2 2 11 4 4" xfId="12613" xr:uid="{00000000-0005-0000-0000-000075310000}"/>
    <cellStyle name="汇总 2 2 11 4 4 2" xfId="12627" xr:uid="{00000000-0005-0000-0000-000083310000}"/>
    <cellStyle name="汇总 2 2 11 4 5" xfId="12636" xr:uid="{00000000-0005-0000-0000-00008C310000}"/>
    <cellStyle name="汇总 2 2 11 4 5 2" xfId="12650" xr:uid="{00000000-0005-0000-0000-00009A310000}"/>
    <cellStyle name="汇总 2 2 11 4 6" xfId="12654" xr:uid="{00000000-0005-0000-0000-00009E310000}"/>
    <cellStyle name="汇总 2 2 11 5" xfId="8904" xr:uid="{00000000-0005-0000-0000-0000F8220000}"/>
    <cellStyle name="汇总 2 2 11 5 2" xfId="8912" xr:uid="{00000000-0005-0000-0000-000000230000}"/>
    <cellStyle name="汇总 2 2 11 5 2 2" xfId="12656" xr:uid="{00000000-0005-0000-0000-0000A0310000}"/>
    <cellStyle name="汇总 2 2 11 5 3" xfId="12658" xr:uid="{00000000-0005-0000-0000-0000A2310000}"/>
    <cellStyle name="汇总 2 2 11 5 3 2" xfId="12660" xr:uid="{00000000-0005-0000-0000-0000A4310000}"/>
    <cellStyle name="汇总 2 2 11 5 4" xfId="12666" xr:uid="{00000000-0005-0000-0000-0000AA310000}"/>
    <cellStyle name="汇总 2 2 11 5 4 2" xfId="1251" xr:uid="{00000000-0005-0000-0000-000013050000}"/>
    <cellStyle name="汇总 2 2 11 5 5" xfId="12676" xr:uid="{00000000-0005-0000-0000-0000B4310000}"/>
    <cellStyle name="汇总 2 2 11 5 5 2" xfId="3094" xr:uid="{00000000-0005-0000-0000-0000460C0000}"/>
    <cellStyle name="汇总 2 2 11 5 6" xfId="12679" xr:uid="{00000000-0005-0000-0000-0000B7310000}"/>
    <cellStyle name="汇总 2 2 11 6" xfId="6578" xr:uid="{00000000-0005-0000-0000-0000E2190000}"/>
    <cellStyle name="汇总 2 2 11 6 2" xfId="12683" xr:uid="{00000000-0005-0000-0000-0000BB310000}"/>
    <cellStyle name="汇总 2 2 11 6 2 2" xfId="12685" xr:uid="{00000000-0005-0000-0000-0000BD310000}"/>
    <cellStyle name="汇总 2 2 11 6 3" xfId="12687" xr:uid="{00000000-0005-0000-0000-0000BF310000}"/>
    <cellStyle name="汇总 2 2 11 6 3 2" xfId="203" xr:uid="{00000000-0005-0000-0000-0000DC000000}"/>
    <cellStyle name="汇总 2 2 11 6 4" xfId="12692" xr:uid="{00000000-0005-0000-0000-0000C4310000}"/>
    <cellStyle name="汇总 2 2 11 6 4 2" xfId="12706" xr:uid="{00000000-0005-0000-0000-0000D2310000}"/>
    <cellStyle name="汇总 2 2 11 6 5" xfId="12712" xr:uid="{00000000-0005-0000-0000-0000D8310000}"/>
    <cellStyle name="汇总 2 2 11 6 5 2" xfId="12720" xr:uid="{00000000-0005-0000-0000-0000E0310000}"/>
    <cellStyle name="汇总 2 2 11 6 6" xfId="12722" xr:uid="{00000000-0005-0000-0000-0000E2310000}"/>
    <cellStyle name="汇总 2 2 11 7" xfId="6611" xr:uid="{00000000-0005-0000-0000-0000031A0000}"/>
    <cellStyle name="汇总 2 2 11 7 2" xfId="12725" xr:uid="{00000000-0005-0000-0000-0000E5310000}"/>
    <cellStyle name="汇总 2 2 11 7 2 2" xfId="12726" xr:uid="{00000000-0005-0000-0000-0000E6310000}"/>
    <cellStyle name="汇总 2 2 11 7 3" xfId="12727" xr:uid="{00000000-0005-0000-0000-0000E7310000}"/>
    <cellStyle name="汇总 2 2 11 7 3 2" xfId="12728" xr:uid="{00000000-0005-0000-0000-0000E8310000}"/>
    <cellStyle name="汇总 2 2 11 7 4" xfId="12732" xr:uid="{00000000-0005-0000-0000-0000EC310000}"/>
    <cellStyle name="汇总 2 2 11 7 4 2" xfId="12741" xr:uid="{00000000-0005-0000-0000-0000F5310000}"/>
    <cellStyle name="汇总 2 2 11 7 5" xfId="12745" xr:uid="{00000000-0005-0000-0000-0000F9310000}"/>
    <cellStyle name="汇总 2 2 11 7 5 2" xfId="12753" xr:uid="{00000000-0005-0000-0000-000001320000}"/>
    <cellStyle name="汇总 2 2 11 7 6" xfId="12756" xr:uid="{00000000-0005-0000-0000-000004320000}"/>
    <cellStyle name="汇总 2 2 11 8" xfId="6663" xr:uid="{00000000-0005-0000-0000-0000371A0000}"/>
    <cellStyle name="汇总 2 2 11 8 2" xfId="12757" xr:uid="{00000000-0005-0000-0000-000005320000}"/>
    <cellStyle name="汇总 2 2 11 8 2 2" xfId="4502" xr:uid="{00000000-0005-0000-0000-0000C6110000}"/>
    <cellStyle name="汇总 2 2 11 8 3" xfId="12759" xr:uid="{00000000-0005-0000-0000-000007320000}"/>
    <cellStyle name="汇总 2 2 11 8 3 2" xfId="2281" xr:uid="{00000000-0005-0000-0000-000019090000}"/>
    <cellStyle name="汇总 2 2 11 8 4" xfId="12761" xr:uid="{00000000-0005-0000-0000-000009320000}"/>
    <cellStyle name="汇总 2 2 11 8 4 2" xfId="2007" xr:uid="{00000000-0005-0000-0000-000007080000}"/>
    <cellStyle name="汇总 2 2 11 8 5" xfId="12762" xr:uid="{00000000-0005-0000-0000-00000A320000}"/>
    <cellStyle name="汇总 2 2 11 9" xfId="6720" xr:uid="{00000000-0005-0000-0000-0000701A0000}"/>
    <cellStyle name="汇总 2 2 11 9 2" xfId="12763" xr:uid="{00000000-0005-0000-0000-00000B320000}"/>
    <cellStyle name="汇总 2 2 12" xfId="8922" xr:uid="{00000000-0005-0000-0000-00000A230000}"/>
    <cellStyle name="汇总 2 2 12 2" xfId="8933" xr:uid="{00000000-0005-0000-0000-000015230000}"/>
    <cellStyle name="汇总 2 2 12 2 2" xfId="4720" xr:uid="{00000000-0005-0000-0000-0000A0120000}"/>
    <cellStyle name="汇总 2 2 12 3" xfId="7637" xr:uid="{00000000-0005-0000-0000-0000051E0000}"/>
    <cellStyle name="汇总 2 2 12 3 2" xfId="8939" xr:uid="{00000000-0005-0000-0000-00001B230000}"/>
    <cellStyle name="汇总 2 2 12 4" xfId="8947" xr:uid="{00000000-0005-0000-0000-000023230000}"/>
    <cellStyle name="汇总 2 2 12 4 2" xfId="8954" xr:uid="{00000000-0005-0000-0000-00002A230000}"/>
    <cellStyle name="汇总 2 2 12 5" xfId="8959" xr:uid="{00000000-0005-0000-0000-00002F230000}"/>
    <cellStyle name="汇总 2 2 12 5 2" xfId="8965" xr:uid="{00000000-0005-0000-0000-000035230000}"/>
    <cellStyle name="汇总 2 2 12 6" xfId="6899" xr:uid="{00000000-0005-0000-0000-0000231B0000}"/>
    <cellStyle name="汇总 2 2 12 7" xfId="12766" xr:uid="{00000000-0005-0000-0000-00000E320000}"/>
    <cellStyle name="汇总 2 2 12 8" xfId="12767" xr:uid="{00000000-0005-0000-0000-00000F320000}"/>
    <cellStyle name="汇总 2 2 12 9" xfId="12770" xr:uid="{00000000-0005-0000-0000-000012320000}"/>
    <cellStyle name="汇总 2 2 13" xfId="4219" xr:uid="{00000000-0005-0000-0000-0000AB100000}"/>
    <cellStyle name="汇总 2 2 13 2" xfId="8981" xr:uid="{00000000-0005-0000-0000-000045230000}"/>
    <cellStyle name="汇总 2 2 13 2 2" xfId="2470" xr:uid="{00000000-0005-0000-0000-0000D6090000}"/>
    <cellStyle name="汇总 2 2 13 3" xfId="7656" xr:uid="{00000000-0005-0000-0000-0000181E0000}"/>
    <cellStyle name="汇总 2 2 13 3 2" xfId="1771" xr:uid="{00000000-0005-0000-0000-00001B070000}"/>
    <cellStyle name="汇总 2 2 13 4" xfId="8985" xr:uid="{00000000-0005-0000-0000-000049230000}"/>
    <cellStyle name="汇总 2 2 13 4 2" xfId="2528" xr:uid="{00000000-0005-0000-0000-0000100A0000}"/>
    <cellStyle name="汇总 2 2 13 5" xfId="8992" xr:uid="{00000000-0005-0000-0000-000050230000}"/>
    <cellStyle name="汇总 2 2 13 5 2" xfId="2621" xr:uid="{00000000-0005-0000-0000-00006D0A0000}"/>
    <cellStyle name="汇总 2 2 13 6" xfId="6968" xr:uid="{00000000-0005-0000-0000-0000681B0000}"/>
    <cellStyle name="汇总 2 2 14" xfId="9003" xr:uid="{00000000-0005-0000-0000-00005B230000}"/>
    <cellStyle name="汇总 2 2 14 2" xfId="9004" xr:uid="{00000000-0005-0000-0000-00005C230000}"/>
    <cellStyle name="汇总 2 2 14 2 2" xfId="2976" xr:uid="{00000000-0005-0000-0000-0000D00B0000}"/>
    <cellStyle name="汇总 2 2 14 3" xfId="7665" xr:uid="{00000000-0005-0000-0000-0000211E0000}"/>
    <cellStyle name="汇总 2 2 14 3 2" xfId="3072" xr:uid="{00000000-0005-0000-0000-0000300C0000}"/>
    <cellStyle name="汇总 2 2 14 4" xfId="9012" xr:uid="{00000000-0005-0000-0000-000064230000}"/>
    <cellStyle name="汇总 2 2 14 4 2" xfId="3143" xr:uid="{00000000-0005-0000-0000-0000770C0000}"/>
    <cellStyle name="汇总 2 2 14 5" xfId="9022" xr:uid="{00000000-0005-0000-0000-00006E230000}"/>
    <cellStyle name="汇总 2 2 14 5 2" xfId="343" xr:uid="{00000000-0005-0000-0000-000079010000}"/>
    <cellStyle name="汇总 2 2 14 6" xfId="7018" xr:uid="{00000000-0005-0000-0000-00009A1B0000}"/>
    <cellStyle name="汇总 2 2 15" xfId="9027" xr:uid="{00000000-0005-0000-0000-000073230000}"/>
    <cellStyle name="汇总 2 2 15 2" xfId="9034" xr:uid="{00000000-0005-0000-0000-00007A230000}"/>
    <cellStyle name="汇总 2 2 15 2 2" xfId="9044" xr:uid="{00000000-0005-0000-0000-000084230000}"/>
    <cellStyle name="汇总 2 2 15 3" xfId="9052" xr:uid="{00000000-0005-0000-0000-00008C230000}"/>
    <cellStyle name="汇总 2 2 15 3 2" xfId="9061" xr:uid="{00000000-0005-0000-0000-000095230000}"/>
    <cellStyle name="汇总 2 2 15 4" xfId="9070" xr:uid="{00000000-0005-0000-0000-00009E230000}"/>
    <cellStyle name="汇总 2 2 15 4 2" xfId="9076" xr:uid="{00000000-0005-0000-0000-0000A4230000}"/>
    <cellStyle name="汇总 2 2 15 5" xfId="9084" xr:uid="{00000000-0005-0000-0000-0000AC230000}"/>
    <cellStyle name="汇总 2 2 15 5 2" xfId="9091" xr:uid="{00000000-0005-0000-0000-0000B3230000}"/>
    <cellStyle name="汇总 2 2 15 6" xfId="7097" xr:uid="{00000000-0005-0000-0000-0000E91B0000}"/>
    <cellStyle name="汇总 2 2 16" xfId="5822" xr:uid="{00000000-0005-0000-0000-0000EE160000}"/>
    <cellStyle name="汇总 2 2 16 2" xfId="5837" xr:uid="{00000000-0005-0000-0000-0000FD160000}"/>
    <cellStyle name="汇总 2 2 16 2 2" xfId="9098" xr:uid="{00000000-0005-0000-0000-0000BA230000}"/>
    <cellStyle name="汇总 2 2 16 3" xfId="9104" xr:uid="{00000000-0005-0000-0000-0000C0230000}"/>
    <cellStyle name="汇总 2 2 16 3 2" xfId="9117" xr:uid="{00000000-0005-0000-0000-0000CD230000}"/>
    <cellStyle name="汇总 2 2 16 4" xfId="9128" xr:uid="{00000000-0005-0000-0000-0000D8230000}"/>
    <cellStyle name="汇总 2 2 16 4 2" xfId="9138" xr:uid="{00000000-0005-0000-0000-0000E2230000}"/>
    <cellStyle name="汇总 2 2 16 5" xfId="9149" xr:uid="{00000000-0005-0000-0000-0000ED230000}"/>
    <cellStyle name="汇总 2 2 16 5 2" xfId="1548" xr:uid="{00000000-0005-0000-0000-00003C060000}"/>
    <cellStyle name="汇总 2 2 16 6" xfId="7137" xr:uid="{00000000-0005-0000-0000-0000111C0000}"/>
    <cellStyle name="汇总 2 2 17" xfId="5851" xr:uid="{00000000-0005-0000-0000-00000B170000}"/>
    <cellStyle name="汇总 2 2 17 2" xfId="5866" xr:uid="{00000000-0005-0000-0000-00001A170000}"/>
    <cellStyle name="汇总 2 2 17 2 2" xfId="8156" xr:uid="{00000000-0005-0000-0000-00000C200000}"/>
    <cellStyle name="汇总 2 2 17 3" xfId="9155" xr:uid="{00000000-0005-0000-0000-0000F3230000}"/>
    <cellStyle name="汇总 2 2 17 3 2" xfId="2868" xr:uid="{00000000-0005-0000-0000-0000640B0000}"/>
    <cellStyle name="汇总 2 2 17 4" xfId="9164" xr:uid="{00000000-0005-0000-0000-0000FC230000}"/>
    <cellStyle name="汇总 2 2 17 4 2" xfId="9175" xr:uid="{00000000-0005-0000-0000-000007240000}"/>
    <cellStyle name="汇总 2 2 17 5" xfId="9189" xr:uid="{00000000-0005-0000-0000-000015240000}"/>
    <cellStyle name="汇总 2 2 17 5 2" xfId="12779" xr:uid="{00000000-0005-0000-0000-00001B320000}"/>
    <cellStyle name="汇总 2 2 17 6" xfId="7187" xr:uid="{00000000-0005-0000-0000-0000431C0000}"/>
    <cellStyle name="汇总 2 2 18" xfId="5882" xr:uid="{00000000-0005-0000-0000-00002A170000}"/>
    <cellStyle name="汇总 2 2 18 2" xfId="5896" xr:uid="{00000000-0005-0000-0000-000038170000}"/>
    <cellStyle name="汇总 2 2 18 2 2" xfId="12788" xr:uid="{00000000-0005-0000-0000-000024320000}"/>
    <cellStyle name="汇总 2 2 18 3" xfId="12792" xr:uid="{00000000-0005-0000-0000-000028320000}"/>
    <cellStyle name="汇总 2 2 18 3 2" xfId="12796" xr:uid="{00000000-0005-0000-0000-00002C320000}"/>
    <cellStyle name="汇总 2 2 18 4" xfId="12804" xr:uid="{00000000-0005-0000-0000-000034320000}"/>
    <cellStyle name="汇总 2 2 18 4 2" xfId="10219" xr:uid="{00000000-0005-0000-0000-00001B280000}"/>
    <cellStyle name="汇总 2 2 18 5" xfId="12812" xr:uid="{00000000-0005-0000-0000-00003C320000}"/>
    <cellStyle name="汇总 2 2 18 5 2" xfId="9528" xr:uid="{00000000-0005-0000-0000-000068250000}"/>
    <cellStyle name="汇总 2 2 18 6" xfId="12819" xr:uid="{00000000-0005-0000-0000-000043320000}"/>
    <cellStyle name="汇总 2 2 19" xfId="5923" xr:uid="{00000000-0005-0000-0000-000053170000}"/>
    <cellStyle name="汇总 2 2 19 2" xfId="5940" xr:uid="{00000000-0005-0000-0000-000064170000}"/>
    <cellStyle name="汇总 2 2 19 2 2" xfId="12825" xr:uid="{00000000-0005-0000-0000-000049320000}"/>
    <cellStyle name="汇总 2 2 19 3" xfId="12833" xr:uid="{00000000-0005-0000-0000-000051320000}"/>
    <cellStyle name="汇总 2 2 19 3 2" xfId="12837" xr:uid="{00000000-0005-0000-0000-000055320000}"/>
    <cellStyle name="汇总 2 2 19 4" xfId="12842" xr:uid="{00000000-0005-0000-0000-00005A320000}"/>
    <cellStyle name="汇总 2 2 19 4 2" xfId="10530" xr:uid="{00000000-0005-0000-0000-000052290000}"/>
    <cellStyle name="汇总 2 2 19 5" xfId="12852" xr:uid="{00000000-0005-0000-0000-000064320000}"/>
    <cellStyle name="汇总 2 2 2" xfId="8195" xr:uid="{00000000-0005-0000-0000-000033200000}"/>
    <cellStyle name="汇总 2 2 2 10" xfId="11905" xr:uid="{00000000-0005-0000-0000-0000B12E0000}"/>
    <cellStyle name="汇总 2 2 2 10 2" xfId="11778" xr:uid="{00000000-0005-0000-0000-0000322E0000}"/>
    <cellStyle name="汇总 2 2 2 11" xfId="11910" xr:uid="{00000000-0005-0000-0000-0000B62E0000}"/>
    <cellStyle name="汇总 2 2 2 11 2" xfId="3929" xr:uid="{00000000-0005-0000-0000-0000890F0000}"/>
    <cellStyle name="汇总 2 2 2 12" xfId="11913" xr:uid="{00000000-0005-0000-0000-0000B92E0000}"/>
    <cellStyle name="汇总 2 2 2 12 2" xfId="1899" xr:uid="{00000000-0005-0000-0000-00009B070000}"/>
    <cellStyle name="汇总 2 2 2 13" xfId="11917" xr:uid="{00000000-0005-0000-0000-0000BD2E0000}"/>
    <cellStyle name="汇总 2 2 2 14" xfId="11926" xr:uid="{00000000-0005-0000-0000-0000C62E0000}"/>
    <cellStyle name="汇总 2 2 2 15" xfId="12854" xr:uid="{00000000-0005-0000-0000-000066320000}"/>
    <cellStyle name="汇总 2 2 2 16" xfId="12857" xr:uid="{00000000-0005-0000-0000-000069320000}"/>
    <cellStyle name="汇总 2 2 2 2" xfId="12859" xr:uid="{00000000-0005-0000-0000-00006B320000}"/>
    <cellStyle name="汇总 2 2 2 2 2" xfId="8481" xr:uid="{00000000-0005-0000-0000-000051210000}"/>
    <cellStyle name="汇总 2 2 2 2 2 2" xfId="12864" xr:uid="{00000000-0005-0000-0000-000070320000}"/>
    <cellStyle name="汇总 2 2 2 2 3" xfId="12865" xr:uid="{00000000-0005-0000-0000-000071320000}"/>
    <cellStyle name="汇总 2 2 2 2 3 2" xfId="12867" xr:uid="{00000000-0005-0000-0000-000073320000}"/>
    <cellStyle name="汇总 2 2 2 2 4" xfId="12615" xr:uid="{00000000-0005-0000-0000-000077310000}"/>
    <cellStyle name="汇总 2 2 2 2 4 2" xfId="12870" xr:uid="{00000000-0005-0000-0000-000076320000}"/>
    <cellStyle name="汇总 2 2 2 2 5" xfId="12873" xr:uid="{00000000-0005-0000-0000-000079320000}"/>
    <cellStyle name="汇总 2 2 2 2 5 2" xfId="12875" xr:uid="{00000000-0005-0000-0000-00007B320000}"/>
    <cellStyle name="汇总 2 2 2 2 6" xfId="12878" xr:uid="{00000000-0005-0000-0000-00007E320000}"/>
    <cellStyle name="汇总 2 2 2 2 7" xfId="12880" xr:uid="{00000000-0005-0000-0000-000080320000}"/>
    <cellStyle name="汇总 2 2 2 2 8" xfId="4512" xr:uid="{00000000-0005-0000-0000-0000D0110000}"/>
    <cellStyle name="汇总 2 2 2 2 9" xfId="4518" xr:uid="{00000000-0005-0000-0000-0000D6110000}"/>
    <cellStyle name="汇总 2 2 2 3" xfId="12884" xr:uid="{00000000-0005-0000-0000-000084320000}"/>
    <cellStyle name="汇总 2 2 2 3 2" xfId="12888" xr:uid="{00000000-0005-0000-0000-000088320000}"/>
    <cellStyle name="汇总 2 2 2 3 2 2" xfId="12891" xr:uid="{00000000-0005-0000-0000-00008B320000}"/>
    <cellStyle name="汇总 2 2 2 3 3" xfId="12892" xr:uid="{00000000-0005-0000-0000-00008C320000}"/>
    <cellStyle name="汇总 2 2 2 3 3 2" xfId="12894" xr:uid="{00000000-0005-0000-0000-00008E320000}"/>
    <cellStyle name="汇总 2 2 2 3 4" xfId="12637" xr:uid="{00000000-0005-0000-0000-00008D310000}"/>
    <cellStyle name="汇总 2 2 2 3 4 2" xfId="12897" xr:uid="{00000000-0005-0000-0000-000091320000}"/>
    <cellStyle name="汇总 2 2 2 3 5" xfId="5089" xr:uid="{00000000-0005-0000-0000-000011140000}"/>
    <cellStyle name="汇总 2 2 2 3 5 2" xfId="12900" xr:uid="{00000000-0005-0000-0000-000094320000}"/>
    <cellStyle name="汇总 2 2 2 3 6" xfId="12903" xr:uid="{00000000-0005-0000-0000-000097320000}"/>
    <cellStyle name="汇总 2 2 2 4" xfId="12905" xr:uid="{00000000-0005-0000-0000-000099320000}"/>
    <cellStyle name="汇总 2 2 2 4 2" xfId="12907" xr:uid="{00000000-0005-0000-0000-00009B320000}"/>
    <cellStyle name="汇总 2 2 2 4 2 2" xfId="12909" xr:uid="{00000000-0005-0000-0000-00009D320000}"/>
    <cellStyle name="汇总 2 2 2 4 3" xfId="12911" xr:uid="{00000000-0005-0000-0000-00009F320000}"/>
    <cellStyle name="汇总 2 2 2 4 3 2" xfId="9446" xr:uid="{00000000-0005-0000-0000-000016250000}"/>
    <cellStyle name="汇总 2 2 2 4 4" xfId="12913" xr:uid="{00000000-0005-0000-0000-0000A1320000}"/>
    <cellStyle name="汇总 2 2 2 4 4 2" xfId="12916" xr:uid="{00000000-0005-0000-0000-0000A4320000}"/>
    <cellStyle name="汇总 2 2 2 4 5" xfId="5107" xr:uid="{00000000-0005-0000-0000-000023140000}"/>
    <cellStyle name="汇总 2 2 2 4 5 2" xfId="12921" xr:uid="{00000000-0005-0000-0000-0000A9320000}"/>
    <cellStyle name="汇总 2 2 2 4 6" xfId="12927" xr:uid="{00000000-0005-0000-0000-0000AF320000}"/>
    <cellStyle name="汇总 2 2 2 5" xfId="11348" xr:uid="{00000000-0005-0000-0000-0000842C0000}"/>
    <cellStyle name="汇总 2 2 2 5 2" xfId="12930" xr:uid="{00000000-0005-0000-0000-0000B2320000}"/>
    <cellStyle name="汇总 2 2 2 5 2 2" xfId="12931" xr:uid="{00000000-0005-0000-0000-0000B3320000}"/>
    <cellStyle name="汇总 2 2 2 5 3" xfId="12932" xr:uid="{00000000-0005-0000-0000-0000B4320000}"/>
    <cellStyle name="汇总 2 2 2 5 3 2" xfId="12228" xr:uid="{00000000-0005-0000-0000-0000F42F0000}"/>
    <cellStyle name="汇总 2 2 2 5 4" xfId="12934" xr:uid="{00000000-0005-0000-0000-0000B6320000}"/>
    <cellStyle name="汇总 2 2 2 5 4 2" xfId="7356" xr:uid="{00000000-0005-0000-0000-0000EC1C0000}"/>
    <cellStyle name="汇总 2 2 2 5 5" xfId="5116" xr:uid="{00000000-0005-0000-0000-00002C140000}"/>
    <cellStyle name="汇总 2 2 2 5 5 2" xfId="7409" xr:uid="{00000000-0005-0000-0000-0000211D0000}"/>
    <cellStyle name="汇总 2 2 2 5 6" xfId="12936" xr:uid="{00000000-0005-0000-0000-0000B8320000}"/>
    <cellStyle name="汇总 2 2 2 6" xfId="3250" xr:uid="{00000000-0005-0000-0000-0000E20C0000}"/>
    <cellStyle name="汇总 2 2 2 6 2" xfId="12937" xr:uid="{00000000-0005-0000-0000-0000B9320000}"/>
    <cellStyle name="汇总 2 2 2 6 2 2" xfId="12938" xr:uid="{00000000-0005-0000-0000-0000BA320000}"/>
    <cellStyle name="汇总 2 2 2 6 3" xfId="12942" xr:uid="{00000000-0005-0000-0000-0000BE320000}"/>
    <cellStyle name="汇总 2 2 2 6 3 2" xfId="12944" xr:uid="{00000000-0005-0000-0000-0000C0320000}"/>
    <cellStyle name="汇总 2 2 2 6 4" xfId="12946" xr:uid="{00000000-0005-0000-0000-0000C2320000}"/>
    <cellStyle name="汇总 2 2 2 6 4 2" xfId="7787" xr:uid="{00000000-0005-0000-0000-00009B1E0000}"/>
    <cellStyle name="汇总 2 2 2 6 5" xfId="5137" xr:uid="{00000000-0005-0000-0000-000041140000}"/>
    <cellStyle name="汇总 2 2 2 6 5 2" xfId="7802" xr:uid="{00000000-0005-0000-0000-0000AA1E0000}"/>
    <cellStyle name="汇总 2 2 2 6 6" xfId="12949" xr:uid="{00000000-0005-0000-0000-0000C5320000}"/>
    <cellStyle name="汇总 2 2 2 7" xfId="12955" xr:uid="{00000000-0005-0000-0000-0000CB320000}"/>
    <cellStyle name="汇总 2 2 2 7 2" xfId="12956" xr:uid="{00000000-0005-0000-0000-0000CC320000}"/>
    <cellStyle name="汇总 2 2 2 7 2 2" xfId="12959" xr:uid="{00000000-0005-0000-0000-0000CF320000}"/>
    <cellStyle name="汇总 2 2 2 7 3" xfId="12966" xr:uid="{00000000-0005-0000-0000-0000D6320000}"/>
    <cellStyle name="汇总 2 2 2 7 3 2" xfId="12968" xr:uid="{00000000-0005-0000-0000-0000D8320000}"/>
    <cellStyle name="汇总 2 2 2 7 4" xfId="12974" xr:uid="{00000000-0005-0000-0000-0000DE320000}"/>
    <cellStyle name="汇总 2 2 2 7 4 2" xfId="7987" xr:uid="{00000000-0005-0000-0000-0000631F0000}"/>
    <cellStyle name="汇总 2 2 2 7 5" xfId="9558" xr:uid="{00000000-0005-0000-0000-000086250000}"/>
    <cellStyle name="汇总 2 2 2 7 5 2" xfId="7179" xr:uid="{00000000-0005-0000-0000-00003B1C0000}"/>
    <cellStyle name="汇总 2 2 2 7 6" xfId="12976" xr:uid="{00000000-0005-0000-0000-0000E0320000}"/>
    <cellStyle name="汇总 2 2 2 8" xfId="12981" xr:uid="{00000000-0005-0000-0000-0000E5320000}"/>
    <cellStyle name="汇总 2 2 2 8 2" xfId="12985" xr:uid="{00000000-0005-0000-0000-0000E9320000}"/>
    <cellStyle name="汇总 2 2 2 8 2 2" xfId="12990" xr:uid="{00000000-0005-0000-0000-0000EE320000}"/>
    <cellStyle name="汇总 2 2 2 8 3" xfId="12995" xr:uid="{00000000-0005-0000-0000-0000F3320000}"/>
    <cellStyle name="汇总 2 2 2 8 3 2" xfId="12999" xr:uid="{00000000-0005-0000-0000-0000F7320000}"/>
    <cellStyle name="汇总 2 2 2 8 4" xfId="2328" xr:uid="{00000000-0005-0000-0000-000048090000}"/>
    <cellStyle name="汇总 2 2 2 8 4 2" xfId="8188" xr:uid="{00000000-0005-0000-0000-00002C200000}"/>
    <cellStyle name="汇总 2 2 2 8 5" xfId="9569" xr:uid="{00000000-0005-0000-0000-000091250000}"/>
    <cellStyle name="汇总 2 2 2 9" xfId="13008" xr:uid="{00000000-0005-0000-0000-000000330000}"/>
    <cellStyle name="汇总 2 2 2 9 2" xfId="13010" xr:uid="{00000000-0005-0000-0000-000002330000}"/>
    <cellStyle name="汇总 2 2 20" xfId="9028" xr:uid="{00000000-0005-0000-0000-000074230000}"/>
    <cellStyle name="汇总 2 2 20 2" xfId="9035" xr:uid="{00000000-0005-0000-0000-00007B230000}"/>
    <cellStyle name="汇总 2 2 21" xfId="5821" xr:uid="{00000000-0005-0000-0000-0000ED160000}"/>
    <cellStyle name="汇总 2 2 21 2" xfId="5836" xr:uid="{00000000-0005-0000-0000-0000FC160000}"/>
    <cellStyle name="汇总 2 2 22" xfId="5850" xr:uid="{00000000-0005-0000-0000-00000A170000}"/>
    <cellStyle name="汇总 2 2 22 2" xfId="5865" xr:uid="{00000000-0005-0000-0000-000019170000}"/>
    <cellStyle name="汇总 2 2 23" xfId="5881" xr:uid="{00000000-0005-0000-0000-000029170000}"/>
    <cellStyle name="汇总 2 2 23 2" xfId="5895" xr:uid="{00000000-0005-0000-0000-000037170000}"/>
    <cellStyle name="汇总 2 2 24" xfId="5922" xr:uid="{00000000-0005-0000-0000-000052170000}"/>
    <cellStyle name="汇总 2 2 25" xfId="5956" xr:uid="{00000000-0005-0000-0000-000074170000}"/>
    <cellStyle name="汇总 2 2 26" xfId="10499" xr:uid="{00000000-0005-0000-0000-000033290000}"/>
    <cellStyle name="汇总 2 2 27" xfId="1229" xr:uid="{00000000-0005-0000-0000-0000FD040000}"/>
    <cellStyle name="汇总 2 2 3" xfId="10476" xr:uid="{00000000-0005-0000-0000-00001C290000}"/>
    <cellStyle name="汇总 2 2 3 10" xfId="13014" xr:uid="{00000000-0005-0000-0000-000006330000}"/>
    <cellStyle name="汇总 2 2 3 10 2" xfId="13017" xr:uid="{00000000-0005-0000-0000-000009330000}"/>
    <cellStyle name="汇总 2 2 3 11" xfId="13022" xr:uid="{00000000-0005-0000-0000-00000E330000}"/>
    <cellStyle name="汇总 2 2 3 11 2" xfId="743" xr:uid="{00000000-0005-0000-0000-000017030000}"/>
    <cellStyle name="汇总 2 2 3 12" xfId="13026" xr:uid="{00000000-0005-0000-0000-000012330000}"/>
    <cellStyle name="汇总 2 2 3 12 2" xfId="4485" xr:uid="{00000000-0005-0000-0000-0000B5110000}"/>
    <cellStyle name="汇总 2 2 3 13" xfId="13027" xr:uid="{00000000-0005-0000-0000-000013330000}"/>
    <cellStyle name="汇总 2 2 3 14" xfId="13029" xr:uid="{00000000-0005-0000-0000-000015330000}"/>
    <cellStyle name="汇总 2 2 3 15" xfId="12244" xr:uid="{00000000-0005-0000-0000-000004300000}"/>
    <cellStyle name="汇总 2 2 3 16" xfId="12466" xr:uid="{00000000-0005-0000-0000-0000E2300000}"/>
    <cellStyle name="汇总 2 2 3 2" xfId="11546" xr:uid="{00000000-0005-0000-0000-00004A2D0000}"/>
    <cellStyle name="汇总 2 2 3 2 2" xfId="1191" xr:uid="{00000000-0005-0000-0000-0000D7040000}"/>
    <cellStyle name="汇总 2 2 3 2 2 2" xfId="2441" xr:uid="{00000000-0005-0000-0000-0000B9090000}"/>
    <cellStyle name="汇总 2 2 3 2 3" xfId="2480" xr:uid="{00000000-0005-0000-0000-0000E0090000}"/>
    <cellStyle name="汇总 2 2 3 2 3 2" xfId="1698" xr:uid="{00000000-0005-0000-0000-0000D2060000}"/>
    <cellStyle name="汇总 2 2 3 2 4" xfId="1248" xr:uid="{00000000-0005-0000-0000-000010050000}"/>
    <cellStyle name="汇总 2 2 3 2 4 2" xfId="1275" xr:uid="{00000000-0005-0000-0000-00002B050000}"/>
    <cellStyle name="汇总 2 2 3 2 5" xfId="2554" xr:uid="{00000000-0005-0000-0000-00002A0A0000}"/>
    <cellStyle name="汇总 2 2 3 2 5 2" xfId="2558" xr:uid="{00000000-0005-0000-0000-00002E0A0000}"/>
    <cellStyle name="汇总 2 2 3 2 6" xfId="2646" xr:uid="{00000000-0005-0000-0000-0000860A0000}"/>
    <cellStyle name="汇总 2 2 3 2 7" xfId="568" xr:uid="{00000000-0005-0000-0000-000068020000}"/>
    <cellStyle name="汇总 2 2 3 2 8" xfId="766" xr:uid="{00000000-0005-0000-0000-00002E030000}"/>
    <cellStyle name="汇总 2 2 3 2 9" xfId="4776" xr:uid="{00000000-0005-0000-0000-0000D8120000}"/>
    <cellStyle name="汇总 2 2 3 3" xfId="11557" xr:uid="{00000000-0005-0000-0000-0000552D0000}"/>
    <cellStyle name="汇总 2 2 3 3 2" xfId="2955" xr:uid="{00000000-0005-0000-0000-0000BB0B0000}"/>
    <cellStyle name="汇总 2 2 3 3 2 2" xfId="2965" xr:uid="{00000000-0005-0000-0000-0000C50B0000}"/>
    <cellStyle name="汇总 2 2 3 3 3" xfId="2999" xr:uid="{00000000-0005-0000-0000-0000E70B0000}"/>
    <cellStyle name="汇总 2 2 3 3 3 2" xfId="3023" xr:uid="{00000000-0005-0000-0000-0000FF0B0000}"/>
    <cellStyle name="汇总 2 2 3 3 4" xfId="3099" xr:uid="{00000000-0005-0000-0000-00004B0C0000}"/>
    <cellStyle name="汇总 2 2 3 3 4 2" xfId="3108" xr:uid="{00000000-0005-0000-0000-0000540C0000}"/>
    <cellStyle name="汇总 2 2 3 3 5" xfId="3167" xr:uid="{00000000-0005-0000-0000-00008F0C0000}"/>
    <cellStyle name="汇总 2 2 3 3 5 2" xfId="3173" xr:uid="{00000000-0005-0000-0000-0000950C0000}"/>
    <cellStyle name="汇总 2 2 3 3 6" xfId="2340" xr:uid="{00000000-0005-0000-0000-000054090000}"/>
    <cellStyle name="汇总 2 2 3 4" xfId="11563" xr:uid="{00000000-0005-0000-0000-00005B2D0000}"/>
    <cellStyle name="汇总 2 2 3 4 2" xfId="3261" xr:uid="{00000000-0005-0000-0000-0000ED0C0000}"/>
    <cellStyle name="汇总 2 2 3 4 2 2" xfId="3264" xr:uid="{00000000-0005-0000-0000-0000F00C0000}"/>
    <cellStyle name="汇总 2 2 3 4 3" xfId="3268" xr:uid="{00000000-0005-0000-0000-0000F40C0000}"/>
    <cellStyle name="汇总 2 2 3 4 3 2" xfId="3276" xr:uid="{00000000-0005-0000-0000-0000FC0C0000}"/>
    <cellStyle name="汇总 2 2 3 4 4" xfId="3288" xr:uid="{00000000-0005-0000-0000-0000080D0000}"/>
    <cellStyle name="汇总 2 2 3 4 4 2" xfId="173" xr:uid="{00000000-0005-0000-0000-0000BB000000}"/>
    <cellStyle name="汇总 2 2 3 4 5" xfId="3297" xr:uid="{00000000-0005-0000-0000-0000110D0000}"/>
    <cellStyle name="汇总 2 2 3 4 5 2" xfId="13033" xr:uid="{00000000-0005-0000-0000-000019330000}"/>
    <cellStyle name="汇总 2 2 3 4 6" xfId="3310" xr:uid="{00000000-0005-0000-0000-00001E0D0000}"/>
    <cellStyle name="汇总 2 2 3 5" xfId="11367" xr:uid="{00000000-0005-0000-0000-0000972C0000}"/>
    <cellStyle name="汇总 2 2 3 5 2" xfId="3341" xr:uid="{00000000-0005-0000-0000-00003D0D0000}"/>
    <cellStyle name="汇总 2 2 3 5 2 2" xfId="3347" xr:uid="{00000000-0005-0000-0000-0000430D0000}"/>
    <cellStyle name="汇总 2 2 3 5 3" xfId="3351" xr:uid="{00000000-0005-0000-0000-0000470D0000}"/>
    <cellStyle name="汇总 2 2 3 5 3 2" xfId="3361" xr:uid="{00000000-0005-0000-0000-0000510D0000}"/>
    <cellStyle name="汇总 2 2 3 5 4" xfId="3371" xr:uid="{00000000-0005-0000-0000-00005B0D0000}"/>
    <cellStyle name="汇总 2 2 3 5 4 2" xfId="2169" xr:uid="{00000000-0005-0000-0000-0000A9080000}"/>
    <cellStyle name="汇总 2 2 3 5 5" xfId="3377" xr:uid="{00000000-0005-0000-0000-0000610D0000}"/>
    <cellStyle name="汇总 2 2 3 5 5 2" xfId="9592" xr:uid="{00000000-0005-0000-0000-0000A8250000}"/>
    <cellStyle name="汇总 2 2 3 5 6" xfId="13039" xr:uid="{00000000-0005-0000-0000-00001F330000}"/>
    <cellStyle name="汇总 2 2 3 6" xfId="4802" xr:uid="{00000000-0005-0000-0000-0000F2120000}"/>
    <cellStyle name="汇总 2 2 3 6 2" xfId="305" xr:uid="{00000000-0005-0000-0000-000050010000}"/>
    <cellStyle name="汇总 2 2 3 6 2 2" xfId="2302" xr:uid="{00000000-0005-0000-0000-00002E090000}"/>
    <cellStyle name="汇总 2 2 3 6 3" xfId="3391" xr:uid="{00000000-0005-0000-0000-00006F0D0000}"/>
    <cellStyle name="汇总 2 2 3 6 3 2" xfId="2821" xr:uid="{00000000-0005-0000-0000-0000350B0000}"/>
    <cellStyle name="汇总 2 2 3 6 4" xfId="3401" xr:uid="{00000000-0005-0000-0000-0000790D0000}"/>
    <cellStyle name="汇总 2 2 3 6 4 2" xfId="946" xr:uid="{00000000-0005-0000-0000-0000E2030000}"/>
    <cellStyle name="汇总 2 2 3 6 5" xfId="3411" xr:uid="{00000000-0005-0000-0000-0000830D0000}"/>
    <cellStyle name="汇总 2 2 3 6 5 2" xfId="9919" xr:uid="{00000000-0005-0000-0000-0000EF260000}"/>
    <cellStyle name="汇总 2 2 3 6 6" xfId="13044" xr:uid="{00000000-0005-0000-0000-000024330000}"/>
    <cellStyle name="汇总 2 2 3 7" xfId="13049" xr:uid="{00000000-0005-0000-0000-000029330000}"/>
    <cellStyle name="汇总 2 2 3 7 2" xfId="3344" xr:uid="{00000000-0005-0000-0000-0000400D0000}"/>
    <cellStyle name="汇总 2 2 3 7 2 2" xfId="2532" xr:uid="{00000000-0005-0000-0000-0000140A0000}"/>
    <cellStyle name="汇总 2 2 3 7 3" xfId="3433" xr:uid="{00000000-0005-0000-0000-0000990D0000}"/>
    <cellStyle name="汇总 2 2 3 7 3 2" xfId="2630" xr:uid="{00000000-0005-0000-0000-0000760A0000}"/>
    <cellStyle name="汇总 2 2 3 7 4" xfId="3440" xr:uid="{00000000-0005-0000-0000-0000A00D0000}"/>
    <cellStyle name="汇总 2 2 3 7 4 2" xfId="2727" xr:uid="{00000000-0005-0000-0000-0000D70A0000}"/>
    <cellStyle name="汇总 2 2 3 7 5" xfId="3447" xr:uid="{00000000-0005-0000-0000-0000A70D0000}"/>
    <cellStyle name="汇总 2 2 3 7 5 2" xfId="9505" xr:uid="{00000000-0005-0000-0000-000051250000}"/>
    <cellStyle name="汇总 2 2 3 7 6" xfId="13056" xr:uid="{00000000-0005-0000-0000-000030330000}"/>
    <cellStyle name="汇总 2 2 3 8" xfId="13063" xr:uid="{00000000-0005-0000-0000-000037330000}"/>
    <cellStyle name="汇总 2 2 3 8 2" xfId="3354" xr:uid="{00000000-0005-0000-0000-00004A0D0000}"/>
    <cellStyle name="汇总 2 2 3 8 2 2" xfId="3150" xr:uid="{00000000-0005-0000-0000-00007E0C0000}"/>
    <cellStyle name="汇总 2 2 3 8 3" xfId="3480" xr:uid="{00000000-0005-0000-0000-0000C80D0000}"/>
    <cellStyle name="汇总 2 2 3 8 3 2" xfId="352" xr:uid="{00000000-0005-0000-0000-000082010000}"/>
    <cellStyle name="汇总 2 2 3 8 4" xfId="1218" xr:uid="{00000000-0005-0000-0000-0000F2040000}"/>
    <cellStyle name="汇总 2 2 3 8 4 2" xfId="1225" xr:uid="{00000000-0005-0000-0000-0000F9040000}"/>
    <cellStyle name="汇总 2 2 3 8 5" xfId="1290" xr:uid="{00000000-0005-0000-0000-00003A050000}"/>
    <cellStyle name="汇总 2 2 3 9" xfId="13067" xr:uid="{00000000-0005-0000-0000-00003B330000}"/>
    <cellStyle name="汇总 2 2 3 9 2" xfId="2148" xr:uid="{00000000-0005-0000-0000-000094080000}"/>
    <cellStyle name="汇总 2 2 4" xfId="13073" xr:uid="{00000000-0005-0000-0000-000041330000}"/>
    <cellStyle name="汇总 2 2 4 10" xfId="879" xr:uid="{00000000-0005-0000-0000-00009F030000}"/>
    <cellStyle name="汇总 2 2 4 10 2" xfId="13074" xr:uid="{00000000-0005-0000-0000-000042330000}"/>
    <cellStyle name="汇总 2 2 4 11" xfId="13076" xr:uid="{00000000-0005-0000-0000-000044330000}"/>
    <cellStyle name="汇总 2 2 4 11 2" xfId="10864" xr:uid="{00000000-0005-0000-0000-0000A02A0000}"/>
    <cellStyle name="汇总 2 2 4 12" xfId="13079" xr:uid="{00000000-0005-0000-0000-000047330000}"/>
    <cellStyle name="汇总 2 2 4 12 2" xfId="3038" xr:uid="{00000000-0005-0000-0000-00000E0C0000}"/>
    <cellStyle name="汇总 2 2 4 13" xfId="13083" xr:uid="{00000000-0005-0000-0000-00004B330000}"/>
    <cellStyle name="汇总 2 2 4 14" xfId="13089" xr:uid="{00000000-0005-0000-0000-000051330000}"/>
    <cellStyle name="汇总 2 2 4 15" xfId="10428" xr:uid="{00000000-0005-0000-0000-0000EC280000}"/>
    <cellStyle name="汇总 2 2 4 16" xfId="12529" xr:uid="{00000000-0005-0000-0000-000021310000}"/>
    <cellStyle name="汇总 2 2 4 2" xfId="11580" xr:uid="{00000000-0005-0000-0000-00006C2D0000}"/>
    <cellStyle name="汇总 2 2 4 2 2" xfId="8812" xr:uid="{00000000-0005-0000-0000-00009C220000}"/>
    <cellStyle name="汇总 2 2 4 2 2 2" xfId="13090" xr:uid="{00000000-0005-0000-0000-000052330000}"/>
    <cellStyle name="汇总 2 2 4 2 3" xfId="7993" xr:uid="{00000000-0005-0000-0000-0000691F0000}"/>
    <cellStyle name="汇总 2 2 4 2 3 2" xfId="13091" xr:uid="{00000000-0005-0000-0000-000053330000}"/>
    <cellStyle name="汇总 2 2 4 2 4" xfId="12695" xr:uid="{00000000-0005-0000-0000-0000C7310000}"/>
    <cellStyle name="汇总 2 2 4 2 4 2" xfId="13092" xr:uid="{00000000-0005-0000-0000-000054330000}"/>
    <cellStyle name="汇总 2 2 4 2 5" xfId="13094" xr:uid="{00000000-0005-0000-0000-000056330000}"/>
    <cellStyle name="汇总 2 2 4 2 5 2" xfId="13098" xr:uid="{00000000-0005-0000-0000-00005A330000}"/>
    <cellStyle name="汇总 2 2 4 2 6" xfId="13102" xr:uid="{00000000-0005-0000-0000-00005E330000}"/>
    <cellStyle name="汇总 2 2 4 2 7" xfId="2460" xr:uid="{00000000-0005-0000-0000-0000CC090000}"/>
    <cellStyle name="汇总 2 2 4 2 8" xfId="5042" xr:uid="{00000000-0005-0000-0000-0000E2130000}"/>
    <cellStyle name="汇总 2 2 4 2 9" xfId="5047" xr:uid="{00000000-0005-0000-0000-0000E7130000}"/>
    <cellStyle name="汇总 2 2 4 3" xfId="11586" xr:uid="{00000000-0005-0000-0000-0000722D0000}"/>
    <cellStyle name="汇总 2 2 4 3 2" xfId="13105" xr:uid="{00000000-0005-0000-0000-000061330000}"/>
    <cellStyle name="汇总 2 2 4 3 2 2" xfId="13107" xr:uid="{00000000-0005-0000-0000-000063330000}"/>
    <cellStyle name="汇总 2 2 4 3 3" xfId="13109" xr:uid="{00000000-0005-0000-0000-000065330000}"/>
    <cellStyle name="汇总 2 2 4 3 3 2" xfId="5598" xr:uid="{00000000-0005-0000-0000-00000E160000}"/>
    <cellStyle name="汇总 2 2 4 3 4" xfId="12713" xr:uid="{00000000-0005-0000-0000-0000D9310000}"/>
    <cellStyle name="汇总 2 2 4 3 4 2" xfId="9190" xr:uid="{00000000-0005-0000-0000-000016240000}"/>
    <cellStyle name="汇总 2 2 4 3 5" xfId="5163" xr:uid="{00000000-0005-0000-0000-00005B140000}"/>
    <cellStyle name="汇总 2 2 4 3 5 2" xfId="11236" xr:uid="{00000000-0005-0000-0000-0000142C0000}"/>
    <cellStyle name="汇总 2 2 4 3 6" xfId="13111" xr:uid="{00000000-0005-0000-0000-000067330000}"/>
    <cellStyle name="汇总 2 2 4 4" xfId="13113" xr:uid="{00000000-0005-0000-0000-000069330000}"/>
    <cellStyle name="汇总 2 2 4 4 2" xfId="7271" xr:uid="{00000000-0005-0000-0000-0000971C0000}"/>
    <cellStyle name="汇总 2 2 4 4 2 2" xfId="7275" xr:uid="{00000000-0005-0000-0000-00009B1C0000}"/>
    <cellStyle name="汇总 2 2 4 4 3" xfId="7718" xr:uid="{00000000-0005-0000-0000-0000561E0000}"/>
    <cellStyle name="汇总 2 2 4 4 3 2" xfId="13116" xr:uid="{00000000-0005-0000-0000-00006C330000}"/>
    <cellStyle name="汇总 2 2 4 4 4" xfId="7722" xr:uid="{00000000-0005-0000-0000-00005A1E0000}"/>
    <cellStyle name="汇总 2 2 4 4 4 2" xfId="13118" xr:uid="{00000000-0005-0000-0000-00006E330000}"/>
    <cellStyle name="汇总 2 2 4 4 5" xfId="5179" xr:uid="{00000000-0005-0000-0000-00006B140000}"/>
    <cellStyle name="汇总 2 2 4 4 5 2" xfId="13121" xr:uid="{00000000-0005-0000-0000-000071330000}"/>
    <cellStyle name="汇总 2 2 4 4 6" xfId="13125" xr:uid="{00000000-0005-0000-0000-000075330000}"/>
    <cellStyle name="汇总 2 2 4 5" xfId="8820" xr:uid="{00000000-0005-0000-0000-0000A4220000}"/>
    <cellStyle name="汇总 2 2 4 5 2" xfId="5414" xr:uid="{00000000-0005-0000-0000-000056150000}"/>
    <cellStyle name="汇总 2 2 4 5 2 2" xfId="13127" xr:uid="{00000000-0005-0000-0000-000077330000}"/>
    <cellStyle name="汇总 2 2 4 5 3" xfId="13129" xr:uid="{00000000-0005-0000-0000-000079330000}"/>
    <cellStyle name="汇总 2 2 4 5 3 2" xfId="13130" xr:uid="{00000000-0005-0000-0000-00007A330000}"/>
    <cellStyle name="汇总 2 2 4 5 4" xfId="13131" xr:uid="{00000000-0005-0000-0000-00007B330000}"/>
    <cellStyle name="汇总 2 2 4 5 4 2" xfId="13132" xr:uid="{00000000-0005-0000-0000-00007C330000}"/>
    <cellStyle name="汇总 2 2 4 5 5" xfId="5187" xr:uid="{00000000-0005-0000-0000-000073140000}"/>
    <cellStyle name="汇总 2 2 4 5 5 2" xfId="13135" xr:uid="{00000000-0005-0000-0000-00007F330000}"/>
    <cellStyle name="汇总 2 2 4 5 6" xfId="13138" xr:uid="{00000000-0005-0000-0000-000082330000}"/>
    <cellStyle name="汇总 2 2 4 6" xfId="4809" xr:uid="{00000000-0005-0000-0000-0000F9120000}"/>
    <cellStyle name="汇总 2 2 4 6 2" xfId="8817" xr:uid="{00000000-0005-0000-0000-0000A1220000}"/>
    <cellStyle name="汇总 2 2 4 6 2 2" xfId="13140" xr:uid="{00000000-0005-0000-0000-000084330000}"/>
    <cellStyle name="汇总 2 2 4 6 3" xfId="13143" xr:uid="{00000000-0005-0000-0000-000087330000}"/>
    <cellStyle name="汇总 2 2 4 6 3 2" xfId="13144" xr:uid="{00000000-0005-0000-0000-000088330000}"/>
    <cellStyle name="汇总 2 2 4 6 4" xfId="13147" xr:uid="{00000000-0005-0000-0000-00008B330000}"/>
    <cellStyle name="汇总 2 2 4 6 4 2" xfId="3942" xr:uid="{00000000-0005-0000-0000-0000960F0000}"/>
    <cellStyle name="汇总 2 2 4 6 5" xfId="5201" xr:uid="{00000000-0005-0000-0000-000081140000}"/>
    <cellStyle name="汇总 2 2 4 6 5 2" xfId="13149" xr:uid="{00000000-0005-0000-0000-00008D330000}"/>
    <cellStyle name="汇总 2 2 4 6 6" xfId="13154" xr:uid="{00000000-0005-0000-0000-000092330000}"/>
    <cellStyle name="汇总 2 2 4 7" xfId="8836" xr:uid="{00000000-0005-0000-0000-0000B4220000}"/>
    <cellStyle name="汇总 2 2 4 7 2" xfId="8844" xr:uid="{00000000-0005-0000-0000-0000BC220000}"/>
    <cellStyle name="汇总 2 2 4 7 2 2" xfId="12769" xr:uid="{00000000-0005-0000-0000-000011320000}"/>
    <cellStyle name="汇总 2 2 4 7 3" xfId="13158" xr:uid="{00000000-0005-0000-0000-000096330000}"/>
    <cellStyle name="汇总 2 2 4 7 3 2" xfId="13159" xr:uid="{00000000-0005-0000-0000-000097330000}"/>
    <cellStyle name="汇总 2 2 4 7 4" xfId="13160" xr:uid="{00000000-0005-0000-0000-000098330000}"/>
    <cellStyle name="汇总 2 2 4 7 4 2" xfId="13161" xr:uid="{00000000-0005-0000-0000-000099330000}"/>
    <cellStyle name="汇总 2 2 4 7 5" xfId="9608" xr:uid="{00000000-0005-0000-0000-0000B8250000}"/>
    <cellStyle name="汇总 2 2 4 7 5 2" xfId="13164" xr:uid="{00000000-0005-0000-0000-00009C330000}"/>
    <cellStyle name="汇总 2 2 4 7 6" xfId="13167" xr:uid="{00000000-0005-0000-0000-00009F330000}"/>
    <cellStyle name="汇总 2 2 4 8" xfId="8850" xr:uid="{00000000-0005-0000-0000-0000C2220000}"/>
    <cellStyle name="汇总 2 2 4 8 2" xfId="13175" xr:uid="{00000000-0005-0000-0000-0000A7330000}"/>
    <cellStyle name="汇总 2 2 4 8 2 2" xfId="13176" xr:uid="{00000000-0005-0000-0000-0000A8330000}"/>
    <cellStyle name="汇总 2 2 4 8 3" xfId="13177" xr:uid="{00000000-0005-0000-0000-0000A9330000}"/>
    <cellStyle name="汇总 2 2 4 8 3 2" xfId="2841" xr:uid="{00000000-0005-0000-0000-0000490B0000}"/>
    <cellStyle name="汇总 2 2 4 8 4" xfId="13178" xr:uid="{00000000-0005-0000-0000-0000AA330000}"/>
    <cellStyle name="汇总 2 2 4 8 4 2" xfId="4026" xr:uid="{00000000-0005-0000-0000-0000EA0F0000}"/>
    <cellStyle name="汇总 2 2 4 8 5" xfId="9625" xr:uid="{00000000-0005-0000-0000-0000C9250000}"/>
    <cellStyle name="汇总 2 2 4 9" xfId="8856" xr:uid="{00000000-0005-0000-0000-0000C8220000}"/>
    <cellStyle name="汇总 2 2 4 9 2" xfId="9475" xr:uid="{00000000-0005-0000-0000-000033250000}"/>
    <cellStyle name="汇总 2 2 5" xfId="13184" xr:uid="{00000000-0005-0000-0000-0000B0330000}"/>
    <cellStyle name="汇总 2 2 5 10" xfId="1496" xr:uid="{00000000-0005-0000-0000-000008060000}"/>
    <cellStyle name="汇总 2 2 5 10 2" xfId="13190" xr:uid="{00000000-0005-0000-0000-0000B6330000}"/>
    <cellStyle name="汇总 2 2 5 11" xfId="1511" xr:uid="{00000000-0005-0000-0000-000017060000}"/>
    <cellStyle name="汇总 2 2 5 11 2" xfId="3717" xr:uid="{00000000-0005-0000-0000-0000B50E0000}"/>
    <cellStyle name="汇总 2 2 5 12" xfId="1531" xr:uid="{00000000-0005-0000-0000-00002B060000}"/>
    <cellStyle name="汇总 2 2 5 12 2" xfId="5290" xr:uid="{00000000-0005-0000-0000-0000DA140000}"/>
    <cellStyle name="汇总 2 2 5 13" xfId="5308" xr:uid="{00000000-0005-0000-0000-0000EC140000}"/>
    <cellStyle name="汇总 2 2 5 14" xfId="17" xr:uid="{00000000-0005-0000-0000-000013000000}"/>
    <cellStyle name="汇总 2 2 5 15" xfId="615" xr:uid="{00000000-0005-0000-0000-000097020000}"/>
    <cellStyle name="汇总 2 2 5 16" xfId="13193" xr:uid="{00000000-0005-0000-0000-0000B9330000}"/>
    <cellStyle name="汇总 2 2 5 2" xfId="11596" xr:uid="{00000000-0005-0000-0000-00007C2D0000}"/>
    <cellStyle name="汇总 2 2 5 2 2" xfId="9181" xr:uid="{00000000-0005-0000-0000-00000D240000}"/>
    <cellStyle name="汇总 2 2 5 2 2 2" xfId="12773" xr:uid="{00000000-0005-0000-0000-000015320000}"/>
    <cellStyle name="汇总 2 2 5 2 3" xfId="7185" xr:uid="{00000000-0005-0000-0000-0000411C0000}"/>
    <cellStyle name="汇总 2 2 5 2 3 2" xfId="13194" xr:uid="{00000000-0005-0000-0000-0000BA330000}"/>
    <cellStyle name="汇总 2 2 5 2 4" xfId="12735" xr:uid="{00000000-0005-0000-0000-0000EF310000}"/>
    <cellStyle name="汇总 2 2 5 2 4 2" xfId="13195" xr:uid="{00000000-0005-0000-0000-0000BB330000}"/>
    <cellStyle name="汇总 2 2 5 2 5" xfId="13197" xr:uid="{00000000-0005-0000-0000-0000BD330000}"/>
    <cellStyle name="汇总 2 2 5 2 5 2" xfId="13205" xr:uid="{00000000-0005-0000-0000-0000C5330000}"/>
    <cellStyle name="汇总 2 2 5 2 6" xfId="13209" xr:uid="{00000000-0005-0000-0000-0000C9330000}"/>
    <cellStyle name="汇总 2 2 5 2 7" xfId="1491" xr:uid="{00000000-0005-0000-0000-000003060000}"/>
    <cellStyle name="汇总 2 2 5 2 8" xfId="1508" xr:uid="{00000000-0005-0000-0000-000014060000}"/>
    <cellStyle name="汇总 2 2 5 2 9" xfId="1525" xr:uid="{00000000-0005-0000-0000-000025060000}"/>
    <cellStyle name="汇总 2 2 5 3" xfId="2771" xr:uid="{00000000-0005-0000-0000-0000030B0000}"/>
    <cellStyle name="汇总 2 2 5 3 2" xfId="12807" xr:uid="{00000000-0005-0000-0000-000037320000}"/>
    <cellStyle name="汇总 2 2 5 3 2 2" xfId="9524" xr:uid="{00000000-0005-0000-0000-000064250000}"/>
    <cellStyle name="汇总 2 2 5 3 3" xfId="12815" xr:uid="{00000000-0005-0000-0000-00003F320000}"/>
    <cellStyle name="汇总 2 2 5 3 3 2" xfId="13212" xr:uid="{00000000-0005-0000-0000-0000CC330000}"/>
    <cellStyle name="汇总 2 2 5 3 4" xfId="12746" xr:uid="{00000000-0005-0000-0000-0000FA310000}"/>
    <cellStyle name="汇总 2 2 5 3 4 2" xfId="13213" xr:uid="{00000000-0005-0000-0000-0000CD330000}"/>
    <cellStyle name="汇总 2 2 5 3 5" xfId="3737" xr:uid="{00000000-0005-0000-0000-0000C90E0000}"/>
    <cellStyle name="汇总 2 2 5 3 5 2" xfId="13220" xr:uid="{00000000-0005-0000-0000-0000D4330000}"/>
    <cellStyle name="汇总 2 2 5 3 6" xfId="13223" xr:uid="{00000000-0005-0000-0000-0000D7330000}"/>
    <cellStyle name="汇总 2 2 5 4" xfId="13227" xr:uid="{00000000-0005-0000-0000-0000DB330000}"/>
    <cellStyle name="汇总 2 2 5 4 2" xfId="12845" xr:uid="{00000000-0005-0000-0000-00005D320000}"/>
    <cellStyle name="汇总 2 2 5 4 2 2" xfId="10942" xr:uid="{00000000-0005-0000-0000-0000EE2A0000}"/>
    <cellStyle name="汇总 2 2 5 4 3" xfId="13230" xr:uid="{00000000-0005-0000-0000-0000DE330000}"/>
    <cellStyle name="汇总 2 2 5 4 3 2" xfId="13231" xr:uid="{00000000-0005-0000-0000-0000DF330000}"/>
    <cellStyle name="汇总 2 2 5 4 4" xfId="13233" xr:uid="{00000000-0005-0000-0000-0000E1330000}"/>
    <cellStyle name="汇总 2 2 5 4 4 2" xfId="13235" xr:uid="{00000000-0005-0000-0000-0000E3330000}"/>
    <cellStyle name="汇总 2 2 5 4 5" xfId="639" xr:uid="{00000000-0005-0000-0000-0000AF020000}"/>
    <cellStyle name="汇总 2 2 5 4 5 2" xfId="13238" xr:uid="{00000000-0005-0000-0000-0000E6330000}"/>
    <cellStyle name="汇总 2 2 5 4 6" xfId="13242" xr:uid="{00000000-0005-0000-0000-0000EA330000}"/>
    <cellStyle name="汇总 2 2 5 5" xfId="13245" xr:uid="{00000000-0005-0000-0000-0000ED330000}"/>
    <cellStyle name="汇总 2 2 5 5 2" xfId="13246" xr:uid="{00000000-0005-0000-0000-0000EE330000}"/>
    <cellStyle name="汇总 2 2 5 5 2 2" xfId="2412" xr:uid="{00000000-0005-0000-0000-00009C090000}"/>
    <cellStyle name="汇总 2 2 5 5 3" xfId="13248" xr:uid="{00000000-0005-0000-0000-0000F0330000}"/>
    <cellStyle name="汇总 2 2 5 5 3 2" xfId="13249" xr:uid="{00000000-0005-0000-0000-0000F1330000}"/>
    <cellStyle name="汇总 2 2 5 5 4" xfId="13250" xr:uid="{00000000-0005-0000-0000-0000F2330000}"/>
    <cellStyle name="汇总 2 2 5 5 4 2" xfId="13251" xr:uid="{00000000-0005-0000-0000-0000F3330000}"/>
    <cellStyle name="汇总 2 2 5 5 5" xfId="3892" xr:uid="{00000000-0005-0000-0000-0000640F0000}"/>
    <cellStyle name="汇总 2 2 5 5 5 2" xfId="13254" xr:uid="{00000000-0005-0000-0000-0000F6330000}"/>
    <cellStyle name="汇总 2 2 5 5 6" xfId="13259" xr:uid="{00000000-0005-0000-0000-0000FB330000}"/>
    <cellStyle name="汇总 2 2 5 6" xfId="4824" xr:uid="{00000000-0005-0000-0000-000008130000}"/>
    <cellStyle name="汇总 2 2 5 6 2" xfId="13261" xr:uid="{00000000-0005-0000-0000-0000FD330000}"/>
    <cellStyle name="汇总 2 2 5 6 2 2" xfId="13262" xr:uid="{00000000-0005-0000-0000-0000FE330000}"/>
    <cellStyle name="汇总 2 2 5 6 3" xfId="13264" xr:uid="{00000000-0005-0000-0000-000000340000}"/>
    <cellStyle name="汇总 2 2 5 6 3 2" xfId="13265" xr:uid="{00000000-0005-0000-0000-000001340000}"/>
    <cellStyle name="汇总 2 2 5 6 4" xfId="13266" xr:uid="{00000000-0005-0000-0000-000002340000}"/>
    <cellStyle name="汇总 2 2 5 6 4 2" xfId="13267" xr:uid="{00000000-0005-0000-0000-000003340000}"/>
    <cellStyle name="汇总 2 2 5 6 5" xfId="9648" xr:uid="{00000000-0005-0000-0000-0000E0250000}"/>
    <cellStyle name="汇总 2 2 5 6 5 2" xfId="13269" xr:uid="{00000000-0005-0000-0000-000005340000}"/>
    <cellStyle name="汇总 2 2 5 6 6" xfId="13276" xr:uid="{00000000-0005-0000-0000-00000C340000}"/>
    <cellStyle name="汇总 2 2 5 7" xfId="13280" xr:uid="{00000000-0005-0000-0000-000010340000}"/>
    <cellStyle name="汇总 2 2 5 7 2" xfId="13281" xr:uid="{00000000-0005-0000-0000-000011340000}"/>
    <cellStyle name="汇总 2 2 5 7 2 2" xfId="13285" xr:uid="{00000000-0005-0000-0000-000015340000}"/>
    <cellStyle name="汇总 2 2 5 7 3" xfId="13286" xr:uid="{00000000-0005-0000-0000-000016340000}"/>
    <cellStyle name="汇总 2 2 5 7 3 2" xfId="13287" xr:uid="{00000000-0005-0000-0000-000017340000}"/>
    <cellStyle name="汇总 2 2 5 7 4" xfId="13288" xr:uid="{00000000-0005-0000-0000-000018340000}"/>
    <cellStyle name="汇总 2 2 5 7 4 2" xfId="13289" xr:uid="{00000000-0005-0000-0000-000019340000}"/>
    <cellStyle name="汇总 2 2 5 7 5" xfId="9660" xr:uid="{00000000-0005-0000-0000-0000EC250000}"/>
    <cellStyle name="汇总 2 2 5 7 5 2" xfId="13294" xr:uid="{00000000-0005-0000-0000-00001E340000}"/>
    <cellStyle name="汇总 2 2 5 7 6" xfId="13297" xr:uid="{00000000-0005-0000-0000-000021340000}"/>
    <cellStyle name="汇总 2 2 5 8" xfId="13306" xr:uid="{00000000-0005-0000-0000-00002A340000}"/>
    <cellStyle name="汇总 2 2 5 8 2" xfId="13310" xr:uid="{00000000-0005-0000-0000-00002E340000}"/>
    <cellStyle name="汇总 2 2 5 8 2 2" xfId="13311" xr:uid="{00000000-0005-0000-0000-00002F340000}"/>
    <cellStyle name="汇总 2 2 5 8 3" xfId="13312" xr:uid="{00000000-0005-0000-0000-000030340000}"/>
    <cellStyle name="汇总 2 2 5 8 3 2" xfId="13313" xr:uid="{00000000-0005-0000-0000-000031340000}"/>
    <cellStyle name="汇总 2 2 5 8 4" xfId="13314" xr:uid="{00000000-0005-0000-0000-000032340000}"/>
    <cellStyle name="汇总 2 2 5 8 4 2" xfId="11731" xr:uid="{00000000-0005-0000-0000-0000032E0000}"/>
    <cellStyle name="汇总 2 2 5 8 5" xfId="9680" xr:uid="{00000000-0005-0000-0000-000000260000}"/>
    <cellStyle name="汇总 2 2 5 9" xfId="13317" xr:uid="{00000000-0005-0000-0000-000035340000}"/>
    <cellStyle name="汇总 2 2 5 9 2" xfId="13319" xr:uid="{00000000-0005-0000-0000-000037340000}"/>
    <cellStyle name="汇总 2 2 6" xfId="125" xr:uid="{00000000-0005-0000-0000-000087000000}"/>
    <cellStyle name="汇总 2 2 6 10" xfId="13321" xr:uid="{00000000-0005-0000-0000-000039340000}"/>
    <cellStyle name="汇总 2 2 6 10 2" xfId="13326" xr:uid="{00000000-0005-0000-0000-00003E340000}"/>
    <cellStyle name="汇总 2 2 6 11" xfId="5377" xr:uid="{00000000-0005-0000-0000-000031150000}"/>
    <cellStyle name="汇总 2 2 6 11 2" xfId="5385" xr:uid="{00000000-0005-0000-0000-000039150000}"/>
    <cellStyle name="汇总 2 2 6 12" xfId="5392" xr:uid="{00000000-0005-0000-0000-000040150000}"/>
    <cellStyle name="汇总 2 2 6 12 2" xfId="3321" xr:uid="{00000000-0005-0000-0000-0000290D0000}"/>
    <cellStyle name="汇总 2 2 6 13" xfId="5404" xr:uid="{00000000-0005-0000-0000-00004C150000}"/>
    <cellStyle name="汇总 2 2 6 14" xfId="755" xr:uid="{00000000-0005-0000-0000-000023030000}"/>
    <cellStyle name="汇总 2 2 6 15" xfId="597" xr:uid="{00000000-0005-0000-0000-000085020000}"/>
    <cellStyle name="汇总 2 2 6 16" xfId="10004" xr:uid="{00000000-0005-0000-0000-000044270000}"/>
    <cellStyle name="汇总 2 2 6 2" xfId="11603" xr:uid="{00000000-0005-0000-0000-0000832D0000}"/>
    <cellStyle name="汇总 2 2 6 2 2" xfId="9361" xr:uid="{00000000-0005-0000-0000-0000C1240000}"/>
    <cellStyle name="汇总 2 2 6 2 2 2" xfId="13329" xr:uid="{00000000-0005-0000-0000-000041340000}"/>
    <cellStyle name="汇总 2 2 6 2 3" xfId="4994" xr:uid="{00000000-0005-0000-0000-0000B2130000}"/>
    <cellStyle name="汇总 2 2 6 2 3 2" xfId="4999" xr:uid="{00000000-0005-0000-0000-0000B7130000}"/>
    <cellStyle name="汇总 2 2 6 2 4" xfId="2010" xr:uid="{00000000-0005-0000-0000-00000A080000}"/>
    <cellStyle name="汇总 2 2 6 2 4 2" xfId="5039" xr:uid="{00000000-0005-0000-0000-0000DF130000}"/>
    <cellStyle name="汇总 2 2 6 2 5" xfId="4060" xr:uid="{00000000-0005-0000-0000-00000C100000}"/>
    <cellStyle name="汇总 2 2 6 2 5 2" xfId="4241" xr:uid="{00000000-0005-0000-0000-0000C1100000}"/>
    <cellStyle name="汇总 2 2 6 2 6" xfId="1848" xr:uid="{00000000-0005-0000-0000-000068070000}"/>
    <cellStyle name="汇总 2 2 6 2 7" xfId="1916" xr:uid="{00000000-0005-0000-0000-0000AC070000}"/>
    <cellStyle name="汇总 2 2 6 2 8" xfId="1935" xr:uid="{00000000-0005-0000-0000-0000BF070000}"/>
    <cellStyle name="汇总 2 2 6 2 9" xfId="1951" xr:uid="{00000000-0005-0000-0000-0000CF070000}"/>
    <cellStyle name="汇总 2 2 6 3" xfId="2784" xr:uid="{00000000-0005-0000-0000-0000100B0000}"/>
    <cellStyle name="汇总 2 2 6 3 2" xfId="13330" xr:uid="{00000000-0005-0000-0000-000042340000}"/>
    <cellStyle name="汇总 2 2 6 3 2 2" xfId="13331" xr:uid="{00000000-0005-0000-0000-000043340000}"/>
    <cellStyle name="汇总 2 2 6 3 3" xfId="5259" xr:uid="{00000000-0005-0000-0000-0000BB140000}"/>
    <cellStyle name="汇总 2 2 6 3 3 2" xfId="3663" xr:uid="{00000000-0005-0000-0000-00007F0E0000}"/>
    <cellStyle name="汇总 2 2 6 3 4" xfId="1420" xr:uid="{00000000-0005-0000-0000-0000BC050000}"/>
    <cellStyle name="汇总 2 2 6 3 4 2" xfId="1505" xr:uid="{00000000-0005-0000-0000-000011060000}"/>
    <cellStyle name="汇总 2 2 6 3 5" xfId="4089" xr:uid="{00000000-0005-0000-0000-000029100000}"/>
    <cellStyle name="汇总 2 2 6 3 5 2" xfId="3770" xr:uid="{00000000-0005-0000-0000-0000EA0E0000}"/>
    <cellStyle name="汇总 2 2 6 3 6" xfId="4272" xr:uid="{00000000-0005-0000-0000-0000E0100000}"/>
    <cellStyle name="汇总 2 2 6 4" xfId="13334" xr:uid="{00000000-0005-0000-0000-000046340000}"/>
    <cellStyle name="汇总 2 2 6 4 2" xfId="13335" xr:uid="{00000000-0005-0000-0000-000047340000}"/>
    <cellStyle name="汇总 2 2 6 4 2 2" xfId="4198" xr:uid="{00000000-0005-0000-0000-000096100000}"/>
    <cellStyle name="汇总 2 2 6 4 3" xfId="5488" xr:uid="{00000000-0005-0000-0000-0000A0150000}"/>
    <cellStyle name="汇总 2 2 6 4 3 2" xfId="3564" xr:uid="{00000000-0005-0000-0000-00001C0E0000}"/>
    <cellStyle name="汇总 2 2 6 4 4" xfId="5492" xr:uid="{00000000-0005-0000-0000-0000A4150000}"/>
    <cellStyle name="汇总 2 2 6 4 4 2" xfId="1930" xr:uid="{00000000-0005-0000-0000-0000BA070000}"/>
    <cellStyle name="汇总 2 2 6 4 5" xfId="4109" xr:uid="{00000000-0005-0000-0000-00003D100000}"/>
    <cellStyle name="汇总 2 2 6 4 5 2" xfId="4283" xr:uid="{00000000-0005-0000-0000-0000EB100000}"/>
    <cellStyle name="汇总 2 2 6 4 6" xfId="5500" xr:uid="{00000000-0005-0000-0000-0000AC150000}"/>
    <cellStyle name="汇总 2 2 6 5" xfId="13336" xr:uid="{00000000-0005-0000-0000-000048340000}"/>
    <cellStyle name="汇总 2 2 6 5 2" xfId="13337" xr:uid="{00000000-0005-0000-0000-000049340000}"/>
    <cellStyle name="汇总 2 2 6 5 2 2" xfId="6201" xr:uid="{00000000-0005-0000-0000-000069180000}"/>
    <cellStyle name="汇总 2 2 6 5 3" xfId="5622" xr:uid="{00000000-0005-0000-0000-000026160000}"/>
    <cellStyle name="汇总 2 2 6 5 3 2" xfId="473" xr:uid="{00000000-0005-0000-0000-000004020000}"/>
    <cellStyle name="汇总 2 2 6 5 4" xfId="5649" xr:uid="{00000000-0005-0000-0000-000041160000}"/>
    <cellStyle name="汇总 2 2 6 5 4 2" xfId="5659" xr:uid="{00000000-0005-0000-0000-00004B160000}"/>
    <cellStyle name="汇总 2 2 6 5 5" xfId="5740" xr:uid="{00000000-0005-0000-0000-00009C160000}"/>
    <cellStyle name="汇总 2 2 6 5 5 2" xfId="5754" xr:uid="{00000000-0005-0000-0000-0000AA160000}"/>
    <cellStyle name="汇总 2 2 6 5 6" xfId="5816" xr:uid="{00000000-0005-0000-0000-0000E8160000}"/>
    <cellStyle name="汇总 2 2 6 6" xfId="13339" xr:uid="{00000000-0005-0000-0000-00004B340000}"/>
    <cellStyle name="汇总 2 2 6 6 2" xfId="13342" xr:uid="{00000000-0005-0000-0000-00004E340000}"/>
    <cellStyle name="汇总 2 2 6 6 2 2" xfId="10390" xr:uid="{00000000-0005-0000-0000-0000C6280000}"/>
    <cellStyle name="汇总 2 2 6 6 3" xfId="13343" xr:uid="{00000000-0005-0000-0000-00004F340000}"/>
    <cellStyle name="汇总 2 2 6 6 3 2" xfId="10788" xr:uid="{00000000-0005-0000-0000-0000542A0000}"/>
    <cellStyle name="汇总 2 2 6 6 4" xfId="13344" xr:uid="{00000000-0005-0000-0000-000050340000}"/>
    <cellStyle name="汇总 2 2 6 6 4 2" xfId="6507" xr:uid="{00000000-0005-0000-0000-00009B190000}"/>
    <cellStyle name="汇总 2 2 6 6 5" xfId="9707" xr:uid="{00000000-0005-0000-0000-00001B260000}"/>
    <cellStyle name="汇总 2 2 6 6 5 2" xfId="6892" xr:uid="{00000000-0005-0000-0000-00001C1B0000}"/>
    <cellStyle name="汇总 2 2 6 6 6" xfId="13346" xr:uid="{00000000-0005-0000-0000-000052340000}"/>
    <cellStyle name="汇总 2 2 6 7" xfId="13350" xr:uid="{00000000-0005-0000-0000-000056340000}"/>
    <cellStyle name="汇总 2 2 6 7 2" xfId="13353" xr:uid="{00000000-0005-0000-0000-000059340000}"/>
    <cellStyle name="汇总 2 2 6 7 2 2" xfId="13225" xr:uid="{00000000-0005-0000-0000-0000D9330000}"/>
    <cellStyle name="汇总 2 2 6 7 3" xfId="13356" xr:uid="{00000000-0005-0000-0000-00005C340000}"/>
    <cellStyle name="汇总 2 2 6 7 3 2" xfId="13333" xr:uid="{00000000-0005-0000-0000-000045340000}"/>
    <cellStyle name="汇总 2 2 6 7 4" xfId="13357" xr:uid="{00000000-0005-0000-0000-00005D340000}"/>
    <cellStyle name="汇总 2 2 6 7 4 2" xfId="13363" xr:uid="{00000000-0005-0000-0000-000063340000}"/>
    <cellStyle name="汇总 2 2 6 7 5" xfId="9720" xr:uid="{00000000-0005-0000-0000-000028260000}"/>
    <cellStyle name="汇总 2 2 6 7 5 2" xfId="13368" xr:uid="{00000000-0005-0000-0000-000068340000}"/>
    <cellStyle name="汇总 2 2 6 7 6" xfId="13370" xr:uid="{00000000-0005-0000-0000-00006A340000}"/>
    <cellStyle name="汇总 2 2 6 8" xfId="13376" xr:uid="{00000000-0005-0000-0000-000070340000}"/>
    <cellStyle name="汇总 2 2 6 8 2" xfId="13380" xr:uid="{00000000-0005-0000-0000-000074340000}"/>
    <cellStyle name="汇总 2 2 6 8 2 2" xfId="13383" xr:uid="{00000000-0005-0000-0000-000077340000}"/>
    <cellStyle name="汇总 2 2 6 8 3" xfId="13385" xr:uid="{00000000-0005-0000-0000-000079340000}"/>
    <cellStyle name="汇总 2 2 6 8 3 2" xfId="13386" xr:uid="{00000000-0005-0000-0000-00007A340000}"/>
    <cellStyle name="汇总 2 2 6 8 4" xfId="13387" xr:uid="{00000000-0005-0000-0000-00007B340000}"/>
    <cellStyle name="汇总 2 2 6 8 4 2" xfId="13388" xr:uid="{00000000-0005-0000-0000-00007C340000}"/>
    <cellStyle name="汇总 2 2 6 8 5" xfId="9740" xr:uid="{00000000-0005-0000-0000-00003C260000}"/>
    <cellStyle name="汇总 2 2 6 9" xfId="13389" xr:uid="{00000000-0005-0000-0000-00007D340000}"/>
    <cellStyle name="汇总 2 2 6 9 2" xfId="13392" xr:uid="{00000000-0005-0000-0000-000080340000}"/>
    <cellStyle name="汇总 2 2 7" xfId="8538" xr:uid="{00000000-0005-0000-0000-00008A210000}"/>
    <cellStyle name="汇总 2 2 7 10" xfId="12131" xr:uid="{00000000-0005-0000-0000-0000932F0000}"/>
    <cellStyle name="汇总 2 2 7 10 2" xfId="12138" xr:uid="{00000000-0005-0000-0000-00009A2F0000}"/>
    <cellStyle name="汇总 2 2 7 11" xfId="12144" xr:uid="{00000000-0005-0000-0000-0000A02F0000}"/>
    <cellStyle name="汇总 2 2 7 11 2" xfId="12149" xr:uid="{00000000-0005-0000-0000-0000A52F0000}"/>
    <cellStyle name="汇总 2 2 7 12" xfId="12154" xr:uid="{00000000-0005-0000-0000-0000AA2F0000}"/>
    <cellStyle name="汇总 2 2 7 12 2" xfId="12160" xr:uid="{00000000-0005-0000-0000-0000B02F0000}"/>
    <cellStyle name="汇总 2 2 7 13" xfId="12164" xr:uid="{00000000-0005-0000-0000-0000B42F0000}"/>
    <cellStyle name="汇总 2 2 7 14" xfId="7757" xr:uid="{00000000-0005-0000-0000-00007D1E0000}"/>
    <cellStyle name="汇总 2 2 7 15" xfId="13396" xr:uid="{00000000-0005-0000-0000-000084340000}"/>
    <cellStyle name="汇总 2 2 7 16" xfId="13401" xr:uid="{00000000-0005-0000-0000-000089340000}"/>
    <cellStyle name="汇总 2 2 7 2" xfId="8547" xr:uid="{00000000-0005-0000-0000-000093210000}"/>
    <cellStyle name="汇总 2 2 7 2 2" xfId="11631" xr:uid="{00000000-0005-0000-0000-00009F2D0000}"/>
    <cellStyle name="汇总 2 2 7 2 2 2" xfId="13403" xr:uid="{00000000-0005-0000-0000-00008B340000}"/>
    <cellStyle name="汇总 2 2 7 2 3" xfId="8029" xr:uid="{00000000-0005-0000-0000-00008D1F0000}"/>
    <cellStyle name="汇总 2 2 7 2 3 2" xfId="8514" xr:uid="{00000000-0005-0000-0000-000072210000}"/>
    <cellStyle name="汇总 2 2 7 2 4" xfId="6764" xr:uid="{00000000-0005-0000-0000-00009C1A0000}"/>
    <cellStyle name="汇总 2 2 7 2 4 2" xfId="8541" xr:uid="{00000000-0005-0000-0000-00008D210000}"/>
    <cellStyle name="汇总 2 2 7 2 5" xfId="4174" xr:uid="{00000000-0005-0000-0000-00007E100000}"/>
    <cellStyle name="汇总 2 2 7 2 5 2" xfId="8581" xr:uid="{00000000-0005-0000-0000-0000B5210000}"/>
    <cellStyle name="汇总 2 2 7 2 6" xfId="8597" xr:uid="{00000000-0005-0000-0000-0000C5210000}"/>
    <cellStyle name="汇总 2 2 7 2 7" xfId="2612" xr:uid="{00000000-0005-0000-0000-0000640A0000}"/>
    <cellStyle name="汇总 2 2 7 2 8" xfId="5652" xr:uid="{00000000-0005-0000-0000-000044160000}"/>
    <cellStyle name="汇总 2 2 7 2 9" xfId="5674" xr:uid="{00000000-0005-0000-0000-00005A160000}"/>
    <cellStyle name="汇总 2 2 7 3" xfId="37" xr:uid="{00000000-0005-0000-0000-000029000000}"/>
    <cellStyle name="汇总 2 2 7 3 2" xfId="13404" xr:uid="{00000000-0005-0000-0000-00008C340000}"/>
    <cellStyle name="汇总 2 2 7 3 2 2" xfId="13406" xr:uid="{00000000-0005-0000-0000-00008E340000}"/>
    <cellStyle name="汇总 2 2 7 3 3" xfId="8718" xr:uid="{00000000-0005-0000-0000-00003E220000}"/>
    <cellStyle name="汇总 2 2 7 3 3 2" xfId="8727" xr:uid="{00000000-0005-0000-0000-000047220000}"/>
    <cellStyle name="汇总 2 2 7 3 4" xfId="6777" xr:uid="{00000000-0005-0000-0000-0000A91A0000}"/>
    <cellStyle name="汇总 2 2 7 3 4 2" xfId="8753" xr:uid="{00000000-0005-0000-0000-000061220000}"/>
    <cellStyle name="汇总 2 2 7 3 5" xfId="4188" xr:uid="{00000000-0005-0000-0000-00008C100000}"/>
    <cellStyle name="汇总 2 2 7 3 5 2" xfId="8767" xr:uid="{00000000-0005-0000-0000-00006F220000}"/>
    <cellStyle name="汇总 2 2 7 3 6" xfId="8782" xr:uid="{00000000-0005-0000-0000-00007E220000}"/>
    <cellStyle name="汇总 2 2 7 4" xfId="13359" xr:uid="{00000000-0005-0000-0000-00005F340000}"/>
    <cellStyle name="汇总 2 2 7 4 2" xfId="12400" xr:uid="{00000000-0005-0000-0000-0000A0300000}"/>
    <cellStyle name="汇总 2 2 7 4 2 2" xfId="12436" xr:uid="{00000000-0005-0000-0000-0000C4300000}"/>
    <cellStyle name="汇总 2 2 7 4 3" xfId="8870" xr:uid="{00000000-0005-0000-0000-0000D6220000}"/>
    <cellStyle name="汇总 2 2 7 4 3 2" xfId="8881" xr:uid="{00000000-0005-0000-0000-0000E1220000}"/>
    <cellStyle name="汇总 2 2 7 4 4" xfId="8917" xr:uid="{00000000-0005-0000-0000-000005230000}"/>
    <cellStyle name="汇总 2 2 7 4 4 2" xfId="8928" xr:uid="{00000000-0005-0000-0000-000010230000}"/>
    <cellStyle name="汇总 2 2 7 4 5" xfId="4215" xr:uid="{00000000-0005-0000-0000-0000A7100000}"/>
    <cellStyle name="汇总 2 2 7 4 5 2" xfId="8976" xr:uid="{00000000-0005-0000-0000-000040230000}"/>
    <cellStyle name="汇总 2 2 7 4 6" xfId="8998" xr:uid="{00000000-0005-0000-0000-000056230000}"/>
    <cellStyle name="汇总 2 2 7 5" xfId="13409" xr:uid="{00000000-0005-0000-0000-000091340000}"/>
    <cellStyle name="汇总 2 2 7 5 2" xfId="13410" xr:uid="{00000000-0005-0000-0000-000092340000}"/>
    <cellStyle name="汇总 2 2 7 5 2 2" xfId="13411" xr:uid="{00000000-0005-0000-0000-000093340000}"/>
    <cellStyle name="汇总 2 2 7 5 3" xfId="6523" xr:uid="{00000000-0005-0000-0000-0000AB190000}"/>
    <cellStyle name="汇总 2 2 7 5 3 2" xfId="6529" xr:uid="{00000000-0005-0000-0000-0000B1190000}"/>
    <cellStyle name="汇总 2 2 7 5 4" xfId="6535" xr:uid="{00000000-0005-0000-0000-0000B7190000}"/>
    <cellStyle name="汇总 2 2 7 5 4 2" xfId="6541" xr:uid="{00000000-0005-0000-0000-0000BD190000}"/>
    <cellStyle name="汇总 2 2 7 5 5" xfId="6551" xr:uid="{00000000-0005-0000-0000-0000C7190000}"/>
    <cellStyle name="汇总 2 2 7 5 5 2" xfId="6558" xr:uid="{00000000-0005-0000-0000-0000CE190000}"/>
    <cellStyle name="汇总 2 2 7 5 6" xfId="6565" xr:uid="{00000000-0005-0000-0000-0000D5190000}"/>
    <cellStyle name="汇总 2 2 7 6" xfId="13413" xr:uid="{00000000-0005-0000-0000-000095340000}"/>
    <cellStyle name="汇总 2 2 7 6 2" xfId="13417" xr:uid="{00000000-0005-0000-0000-000099340000}"/>
    <cellStyle name="汇总 2 2 7 6 2 2" xfId="13418" xr:uid="{00000000-0005-0000-0000-00009A340000}"/>
    <cellStyle name="汇总 2 2 7 6 3" xfId="13419" xr:uid="{00000000-0005-0000-0000-00009B340000}"/>
    <cellStyle name="汇总 2 2 7 6 3 2" xfId="13421" xr:uid="{00000000-0005-0000-0000-00009D340000}"/>
    <cellStyle name="汇总 2 2 7 6 4" xfId="13422" xr:uid="{00000000-0005-0000-0000-00009E340000}"/>
    <cellStyle name="汇总 2 2 7 6 4 2" xfId="13427" xr:uid="{00000000-0005-0000-0000-0000A3340000}"/>
    <cellStyle name="汇总 2 2 7 6 5" xfId="9760" xr:uid="{00000000-0005-0000-0000-000050260000}"/>
    <cellStyle name="汇总 2 2 7 6 5 2" xfId="13429" xr:uid="{00000000-0005-0000-0000-0000A5340000}"/>
    <cellStyle name="汇总 2 2 7 6 6" xfId="13431" xr:uid="{00000000-0005-0000-0000-0000A7340000}"/>
    <cellStyle name="汇总 2 2 7 7" xfId="6587" xr:uid="{00000000-0005-0000-0000-0000EB190000}"/>
    <cellStyle name="汇总 2 2 7 7 2" xfId="500" xr:uid="{00000000-0005-0000-0000-000021020000}"/>
    <cellStyle name="汇总 2 2 7 7 2 2" xfId="1000" xr:uid="{00000000-0005-0000-0000-000018040000}"/>
    <cellStyle name="汇总 2 2 7 7 3" xfId="542" xr:uid="{00000000-0005-0000-0000-00004D020000}"/>
    <cellStyle name="汇总 2 2 7 7 3 2" xfId="1035" xr:uid="{00000000-0005-0000-0000-00003B040000}"/>
    <cellStyle name="汇总 2 2 7 7 4" xfId="13434" xr:uid="{00000000-0005-0000-0000-0000AA340000}"/>
    <cellStyle name="汇总 2 2 7 7 4 2" xfId="13438" xr:uid="{00000000-0005-0000-0000-0000AE340000}"/>
    <cellStyle name="汇总 2 2 7 7 5" xfId="9774" xr:uid="{00000000-0005-0000-0000-00005E260000}"/>
    <cellStyle name="汇总 2 2 7 7 5 2" xfId="13440" xr:uid="{00000000-0005-0000-0000-0000B0340000}"/>
    <cellStyle name="汇总 2 2 7 7 6" xfId="13445" xr:uid="{00000000-0005-0000-0000-0000B5340000}"/>
    <cellStyle name="汇总 2 2 7 8" xfId="6592" xr:uid="{00000000-0005-0000-0000-0000F0190000}"/>
    <cellStyle name="汇总 2 2 7 8 2" xfId="213" xr:uid="{00000000-0005-0000-0000-0000E7000000}"/>
    <cellStyle name="汇总 2 2 7 8 2 2" xfId="12939" xr:uid="{00000000-0005-0000-0000-0000BB320000}"/>
    <cellStyle name="汇总 2 2 7 8 3" xfId="13447" xr:uid="{00000000-0005-0000-0000-0000B7340000}"/>
    <cellStyle name="汇总 2 2 7 8 3 2" xfId="12963" xr:uid="{00000000-0005-0000-0000-0000D3320000}"/>
    <cellStyle name="汇总 2 2 7 8 4" xfId="13451" xr:uid="{00000000-0005-0000-0000-0000BB340000}"/>
    <cellStyle name="汇总 2 2 7 8 4 2" xfId="12994" xr:uid="{00000000-0005-0000-0000-0000F2320000}"/>
    <cellStyle name="汇总 2 2 7 8 5" xfId="9797" xr:uid="{00000000-0005-0000-0000-000075260000}"/>
    <cellStyle name="汇总 2 2 7 9" xfId="6596" xr:uid="{00000000-0005-0000-0000-0000F4190000}"/>
    <cellStyle name="汇总 2 2 7 9 2" xfId="6602" xr:uid="{00000000-0005-0000-0000-0000FA190000}"/>
    <cellStyle name="汇总 2 2 8" xfId="7508" xr:uid="{00000000-0005-0000-0000-0000841D0000}"/>
    <cellStyle name="汇总 2 2 8 10" xfId="13452" xr:uid="{00000000-0005-0000-0000-0000BC340000}"/>
    <cellStyle name="汇总 2 2 8 10 2" xfId="13456" xr:uid="{00000000-0005-0000-0000-0000C0340000}"/>
    <cellStyle name="汇总 2 2 8 11" xfId="13462" xr:uid="{00000000-0005-0000-0000-0000C6340000}"/>
    <cellStyle name="汇总 2 2 8 11 2" xfId="13467" xr:uid="{00000000-0005-0000-0000-0000CB340000}"/>
    <cellStyle name="汇总 2 2 8 12" xfId="13473" xr:uid="{00000000-0005-0000-0000-0000D1340000}"/>
    <cellStyle name="汇总 2 2 8 12 2" xfId="8005" xr:uid="{00000000-0005-0000-0000-0000751F0000}"/>
    <cellStyle name="汇总 2 2 8 13" xfId="13476" xr:uid="{00000000-0005-0000-0000-0000D4340000}"/>
    <cellStyle name="汇总 2 2 8 14" xfId="13479" xr:uid="{00000000-0005-0000-0000-0000D7340000}"/>
    <cellStyle name="汇总 2 2 8 15" xfId="12288" xr:uid="{00000000-0005-0000-0000-000030300000}"/>
    <cellStyle name="汇总 2 2 8 16" xfId="8831" xr:uid="{00000000-0005-0000-0000-0000AF220000}"/>
    <cellStyle name="汇总 2 2 8 2" xfId="8554" xr:uid="{00000000-0005-0000-0000-00009A210000}"/>
    <cellStyle name="汇总 2 2 8 2 2" xfId="6257" xr:uid="{00000000-0005-0000-0000-0000A1180000}"/>
    <cellStyle name="汇总 2 2 8 2 2 2" xfId="6263" xr:uid="{00000000-0005-0000-0000-0000A7180000}"/>
    <cellStyle name="汇总 2 2 8 2 3" xfId="6282" xr:uid="{00000000-0005-0000-0000-0000BA180000}"/>
    <cellStyle name="汇总 2 2 8 2 3 2" xfId="6287" xr:uid="{00000000-0005-0000-0000-0000BF180000}"/>
    <cellStyle name="汇总 2 2 8 2 4" xfId="6359" xr:uid="{00000000-0005-0000-0000-000007190000}"/>
    <cellStyle name="汇总 2 2 8 2 4 2" xfId="6361" xr:uid="{00000000-0005-0000-0000-000009190000}"/>
    <cellStyle name="汇总 2 2 8 2 5" xfId="818" xr:uid="{00000000-0005-0000-0000-000062030000}"/>
    <cellStyle name="汇总 2 2 8 2 5 2" xfId="6370" xr:uid="{00000000-0005-0000-0000-000012190000}"/>
    <cellStyle name="汇总 2 2 8 2 6" xfId="6429" xr:uid="{00000000-0005-0000-0000-00004D190000}"/>
    <cellStyle name="汇总 2 2 8 2 7" xfId="2715" xr:uid="{00000000-0005-0000-0000-0000CB0A0000}"/>
    <cellStyle name="汇总 2 2 8 2 8" xfId="6505" xr:uid="{00000000-0005-0000-0000-000099190000}"/>
    <cellStyle name="汇总 2 2 8 2 9" xfId="10927" xr:uid="{00000000-0005-0000-0000-0000DF2A0000}"/>
    <cellStyle name="汇总 2 2 8 3" xfId="11670" xr:uid="{00000000-0005-0000-0000-0000C62D0000}"/>
    <cellStyle name="汇总 2 2 8 3 2" xfId="6614" xr:uid="{00000000-0005-0000-0000-0000061A0000}"/>
    <cellStyle name="汇总 2 2 8 3 2 2" xfId="6618" xr:uid="{00000000-0005-0000-0000-00000A1A0000}"/>
    <cellStyle name="汇总 2 2 8 3 3" xfId="6668" xr:uid="{00000000-0005-0000-0000-00003C1A0000}"/>
    <cellStyle name="汇总 2 2 8 3 3 2" xfId="6673" xr:uid="{00000000-0005-0000-0000-0000411A0000}"/>
    <cellStyle name="汇总 2 2 8 3 4" xfId="6725" xr:uid="{00000000-0005-0000-0000-0000751A0000}"/>
    <cellStyle name="汇总 2 2 8 3 4 2" xfId="6731" xr:uid="{00000000-0005-0000-0000-00007B1A0000}"/>
    <cellStyle name="汇总 2 2 8 3 5" xfId="847" xr:uid="{00000000-0005-0000-0000-00007F030000}"/>
    <cellStyle name="汇总 2 2 8 3 5 2" xfId="6788" xr:uid="{00000000-0005-0000-0000-0000B41A0000}"/>
    <cellStyle name="汇总 2 2 8 3 6" xfId="6832" xr:uid="{00000000-0005-0000-0000-0000E01A0000}"/>
    <cellStyle name="汇总 2 2 8 4" xfId="13365" xr:uid="{00000000-0005-0000-0000-000065340000}"/>
    <cellStyle name="汇总 2 2 8 4 2" xfId="6910" xr:uid="{00000000-0005-0000-0000-00002E1B0000}"/>
    <cellStyle name="汇总 2 2 8 4 2 2" xfId="4986" xr:uid="{00000000-0005-0000-0000-0000AA130000}"/>
    <cellStyle name="汇总 2 2 8 4 3" xfId="6914" xr:uid="{00000000-0005-0000-0000-0000321B0000}"/>
    <cellStyle name="汇总 2 2 8 4 3 2" xfId="6918" xr:uid="{00000000-0005-0000-0000-0000361B0000}"/>
    <cellStyle name="汇总 2 2 8 4 4" xfId="6928" xr:uid="{00000000-0005-0000-0000-0000401B0000}"/>
    <cellStyle name="汇总 2 2 8 4 4 2" xfId="6935" xr:uid="{00000000-0005-0000-0000-0000471B0000}"/>
    <cellStyle name="汇总 2 2 8 4 5" xfId="874" xr:uid="{00000000-0005-0000-0000-00009A030000}"/>
    <cellStyle name="汇总 2 2 8 4 5 2" xfId="11130" xr:uid="{00000000-0005-0000-0000-0000AA2B0000}"/>
    <cellStyle name="汇总 2 2 8 4 6" xfId="6946" xr:uid="{00000000-0005-0000-0000-0000521B0000}"/>
    <cellStyle name="汇总 2 2 8 5" xfId="13482" xr:uid="{00000000-0005-0000-0000-0000DA340000}"/>
    <cellStyle name="汇总 2 2 8 5 2" xfId="6976" xr:uid="{00000000-0005-0000-0000-0000701B0000}"/>
    <cellStyle name="汇总 2 2 8 5 2 2" xfId="2792" xr:uid="{00000000-0005-0000-0000-0000180B0000}"/>
    <cellStyle name="汇总 2 2 8 5 3" xfId="6980" xr:uid="{00000000-0005-0000-0000-0000741B0000}"/>
    <cellStyle name="汇总 2 2 8 5 3 2" xfId="6985" xr:uid="{00000000-0005-0000-0000-0000791B0000}"/>
    <cellStyle name="汇总 2 2 8 5 4" xfId="6991" xr:uid="{00000000-0005-0000-0000-00007F1B0000}"/>
    <cellStyle name="汇总 2 2 8 5 4 2" xfId="6996" xr:uid="{00000000-0005-0000-0000-0000841B0000}"/>
    <cellStyle name="汇总 2 2 8 5 5" xfId="7010" xr:uid="{00000000-0005-0000-0000-0000921B0000}"/>
    <cellStyle name="汇总 2 2 8 5 5 2" xfId="11329" xr:uid="{00000000-0005-0000-0000-0000712C0000}"/>
    <cellStyle name="汇总 2 2 8 5 6" xfId="8520" xr:uid="{00000000-0005-0000-0000-000078210000}"/>
    <cellStyle name="汇总 2 2 8 6" xfId="13485" xr:uid="{00000000-0005-0000-0000-0000DD340000}"/>
    <cellStyle name="汇总 2 2 8 6 2" xfId="7033" xr:uid="{00000000-0005-0000-0000-0000A91B0000}"/>
    <cellStyle name="汇总 2 2 8 6 2 2" xfId="3085" xr:uid="{00000000-0005-0000-0000-00003D0C0000}"/>
    <cellStyle name="汇总 2 2 8 6 3" xfId="7034" xr:uid="{00000000-0005-0000-0000-0000AA1B0000}"/>
    <cellStyle name="汇总 2 2 8 6 3 2" xfId="7044" xr:uid="{00000000-0005-0000-0000-0000B41B0000}"/>
    <cellStyle name="汇总 2 2 8 6 4" xfId="7053" xr:uid="{00000000-0005-0000-0000-0000BD1B0000}"/>
    <cellStyle name="汇总 2 2 8 6 4 2" xfId="7062" xr:uid="{00000000-0005-0000-0000-0000C61B0000}"/>
    <cellStyle name="汇总 2 2 8 6 5" xfId="7074" xr:uid="{00000000-0005-0000-0000-0000D21B0000}"/>
    <cellStyle name="汇总 2 2 8 6 5 2" xfId="12584" xr:uid="{00000000-0005-0000-0000-000058310000}"/>
    <cellStyle name="汇总 2 2 8 6 6" xfId="13493" xr:uid="{00000000-0005-0000-0000-0000E5340000}"/>
    <cellStyle name="汇总 2 2 8 7" xfId="6623" xr:uid="{00000000-0005-0000-0000-00000F1A0000}"/>
    <cellStyle name="汇总 2 2 8 7 2" xfId="6630" xr:uid="{00000000-0005-0000-0000-0000161A0000}"/>
    <cellStyle name="汇总 2 2 8 7 2 2" xfId="7116" xr:uid="{00000000-0005-0000-0000-0000FC1B0000}"/>
    <cellStyle name="汇总 2 2 8 7 3" xfId="7120" xr:uid="{00000000-0005-0000-0000-0000001C0000}"/>
    <cellStyle name="汇总 2 2 8 7 3 2" xfId="2051" xr:uid="{00000000-0005-0000-0000-000033080000}"/>
    <cellStyle name="汇总 2 2 8 7 4" xfId="7127" xr:uid="{00000000-0005-0000-0000-0000071C0000}"/>
    <cellStyle name="汇总 2 2 8 7 4 2" xfId="7131" xr:uid="{00000000-0005-0000-0000-00000B1C0000}"/>
    <cellStyle name="汇总 2 2 8 7 5" xfId="2235" xr:uid="{00000000-0005-0000-0000-0000EB080000}"/>
    <cellStyle name="汇总 2 2 8 7 5 2" xfId="13499" xr:uid="{00000000-0005-0000-0000-0000EB340000}"/>
    <cellStyle name="汇总 2 2 8 7 6" xfId="13503" xr:uid="{00000000-0005-0000-0000-0000EF340000}"/>
    <cellStyle name="汇总 2 2 8 8" xfId="6634" xr:uid="{00000000-0005-0000-0000-00001A1A0000}"/>
    <cellStyle name="汇总 2 2 8 8 2" xfId="6641" xr:uid="{00000000-0005-0000-0000-0000211A0000}"/>
    <cellStyle name="汇总 2 2 8 8 2 2" xfId="7155" xr:uid="{00000000-0005-0000-0000-0000231C0000}"/>
    <cellStyle name="汇总 2 2 8 8 3" xfId="7158" xr:uid="{00000000-0005-0000-0000-0000261C0000}"/>
    <cellStyle name="汇总 2 2 8 8 3 2" xfId="443" xr:uid="{00000000-0005-0000-0000-0000E4010000}"/>
    <cellStyle name="汇总 2 2 8 8 4" xfId="7168" xr:uid="{00000000-0005-0000-0000-0000301C0000}"/>
    <cellStyle name="汇总 2 2 8 8 4 2" xfId="7170" xr:uid="{00000000-0005-0000-0000-0000321C0000}"/>
    <cellStyle name="汇总 2 2 8 8 5" xfId="1602" xr:uid="{00000000-0005-0000-0000-000072060000}"/>
    <cellStyle name="汇总 2 2 8 9" xfId="6646" xr:uid="{00000000-0005-0000-0000-0000261A0000}"/>
    <cellStyle name="汇总 2 2 8 9 2" xfId="6651" xr:uid="{00000000-0005-0000-0000-00002B1A0000}"/>
    <cellStyle name="汇总 2 2 9" xfId="6034" xr:uid="{00000000-0005-0000-0000-0000C2170000}"/>
    <cellStyle name="汇总 2 2 9 10" xfId="4270" xr:uid="{00000000-0005-0000-0000-0000DE100000}"/>
    <cellStyle name="汇总 2 2 9 10 2" xfId="13504" xr:uid="{00000000-0005-0000-0000-0000F0340000}"/>
    <cellStyle name="汇总 2 2 9 11" xfId="13506" xr:uid="{00000000-0005-0000-0000-0000F2340000}"/>
    <cellStyle name="汇总 2 2 9 11 2" xfId="13508" xr:uid="{00000000-0005-0000-0000-0000F4340000}"/>
    <cellStyle name="汇总 2 2 9 12" xfId="13511" xr:uid="{00000000-0005-0000-0000-0000F7340000}"/>
    <cellStyle name="汇总 2 2 9 12 2" xfId="9227" xr:uid="{00000000-0005-0000-0000-00003B240000}"/>
    <cellStyle name="汇总 2 2 9 13" xfId="13513" xr:uid="{00000000-0005-0000-0000-0000F9340000}"/>
    <cellStyle name="汇总 2 2 9 14" xfId="1138" xr:uid="{00000000-0005-0000-0000-0000A2040000}"/>
    <cellStyle name="汇总 2 2 9 15" xfId="1152" xr:uid="{00000000-0005-0000-0000-0000B0040000}"/>
    <cellStyle name="汇总 2 2 9 16" xfId="13515" xr:uid="{00000000-0005-0000-0000-0000FB340000}"/>
    <cellStyle name="汇总 2 2 9 2" xfId="8568" xr:uid="{00000000-0005-0000-0000-0000A8210000}"/>
    <cellStyle name="汇总 2 2 9 2 2" xfId="13516" xr:uid="{00000000-0005-0000-0000-0000FC340000}"/>
    <cellStyle name="汇总 2 2 9 2 2 2" xfId="13517" xr:uid="{00000000-0005-0000-0000-0000FD340000}"/>
    <cellStyle name="汇总 2 2 9 2 3" xfId="8111" xr:uid="{00000000-0005-0000-0000-0000DF1F0000}"/>
    <cellStyle name="汇总 2 2 9 2 3 2" xfId="11605" xr:uid="{00000000-0005-0000-0000-0000852D0000}"/>
    <cellStyle name="汇总 2 2 9 2 4" xfId="11610" xr:uid="{00000000-0005-0000-0000-00008A2D0000}"/>
    <cellStyle name="汇总 2 2 9 2 4 2" xfId="11616" xr:uid="{00000000-0005-0000-0000-0000902D0000}"/>
    <cellStyle name="汇总 2 2 9 2 5" xfId="11620" xr:uid="{00000000-0005-0000-0000-0000942D0000}"/>
    <cellStyle name="汇总 2 2 9 2 5 2" xfId="11626" xr:uid="{00000000-0005-0000-0000-00009A2D0000}"/>
    <cellStyle name="汇总 2 2 9 2 6" xfId="8550" xr:uid="{00000000-0005-0000-0000-000096210000}"/>
    <cellStyle name="汇总 2 2 9 2 7" xfId="44" xr:uid="{00000000-0005-0000-0000-000030000000}"/>
    <cellStyle name="汇总 2 2 9 2 8" xfId="13362" xr:uid="{00000000-0005-0000-0000-000062340000}"/>
    <cellStyle name="汇总 2 2 9 2 9" xfId="13521" xr:uid="{00000000-0005-0000-0000-000001350000}"/>
    <cellStyle name="汇总 2 2 9 3" xfId="13523" xr:uid="{00000000-0005-0000-0000-000003350000}"/>
    <cellStyle name="汇总 2 2 9 3 2" xfId="13525" xr:uid="{00000000-0005-0000-0000-000005350000}"/>
    <cellStyle name="汇总 2 2 9 3 2 2" xfId="13527" xr:uid="{00000000-0005-0000-0000-000007350000}"/>
    <cellStyle name="汇总 2 2 9 3 3" xfId="11635" xr:uid="{00000000-0005-0000-0000-0000A32D0000}"/>
    <cellStyle name="汇总 2 2 9 3 3 2" xfId="382" xr:uid="{00000000-0005-0000-0000-0000A3010000}"/>
    <cellStyle name="汇总 2 2 9 3 4" xfId="11640" xr:uid="{00000000-0005-0000-0000-0000A82D0000}"/>
    <cellStyle name="汇总 2 2 9 3 4 2" xfId="11650" xr:uid="{00000000-0005-0000-0000-0000B22D0000}"/>
    <cellStyle name="汇总 2 2 9 3 5" xfId="11653" xr:uid="{00000000-0005-0000-0000-0000B52D0000}"/>
    <cellStyle name="汇总 2 2 9 3 5 2" xfId="11661" xr:uid="{00000000-0005-0000-0000-0000BD2D0000}"/>
    <cellStyle name="汇总 2 2 9 3 6" xfId="8558" xr:uid="{00000000-0005-0000-0000-00009E210000}"/>
    <cellStyle name="汇总 2 2 9 4" xfId="13532" xr:uid="{00000000-0005-0000-0000-00000C350000}"/>
    <cellStyle name="汇总 2 2 9 4 2" xfId="13535" xr:uid="{00000000-0005-0000-0000-00000F350000}"/>
    <cellStyle name="汇总 2 2 9 4 2 2" xfId="13538" xr:uid="{00000000-0005-0000-0000-000012350000}"/>
    <cellStyle name="汇总 2 2 9 4 3" xfId="11675" xr:uid="{00000000-0005-0000-0000-0000CB2D0000}"/>
    <cellStyle name="汇总 2 2 9 4 3 2" xfId="11680" xr:uid="{00000000-0005-0000-0000-0000D02D0000}"/>
    <cellStyle name="汇总 2 2 9 4 4" xfId="11686" xr:uid="{00000000-0005-0000-0000-0000D62D0000}"/>
    <cellStyle name="汇总 2 2 9 4 4 2" xfId="11693" xr:uid="{00000000-0005-0000-0000-0000DD2D0000}"/>
    <cellStyle name="汇总 2 2 9 4 5" xfId="11696" xr:uid="{00000000-0005-0000-0000-0000E02D0000}"/>
    <cellStyle name="汇总 2 2 9 4 5 2" xfId="11709" xr:uid="{00000000-0005-0000-0000-0000ED2D0000}"/>
    <cellStyle name="汇总 2 2 9 4 6" xfId="8564" xr:uid="{00000000-0005-0000-0000-0000A4210000}"/>
    <cellStyle name="汇总 2 2 9 5" xfId="13544" xr:uid="{00000000-0005-0000-0000-000018350000}"/>
    <cellStyle name="汇总 2 2 9 5 2" xfId="13548" xr:uid="{00000000-0005-0000-0000-00001C350000}"/>
    <cellStyle name="汇总 2 2 9 5 2 2" xfId="13552" xr:uid="{00000000-0005-0000-0000-000020350000}"/>
    <cellStyle name="汇总 2 2 9 5 3" xfId="11714" xr:uid="{00000000-0005-0000-0000-0000F22D0000}"/>
    <cellStyle name="汇总 2 2 9 5 3 2" xfId="13559" xr:uid="{00000000-0005-0000-0000-000027350000}"/>
    <cellStyle name="汇总 2 2 9 5 4" xfId="13565" xr:uid="{00000000-0005-0000-0000-00002D350000}"/>
    <cellStyle name="汇总 2 2 9 5 4 2" xfId="13571" xr:uid="{00000000-0005-0000-0000-000033350000}"/>
    <cellStyle name="汇总 2 2 9 5 5" xfId="11894" xr:uid="{00000000-0005-0000-0000-0000A62E0000}"/>
    <cellStyle name="汇总 2 2 9 5 5 2" xfId="13576" xr:uid="{00000000-0005-0000-0000-000038350000}"/>
    <cellStyle name="汇总 2 2 9 5 6" xfId="13579" xr:uid="{00000000-0005-0000-0000-00003B350000}"/>
    <cellStyle name="汇总 2 2 9 6" xfId="13582" xr:uid="{00000000-0005-0000-0000-00003E350000}"/>
    <cellStyle name="汇总 2 2 9 6 2" xfId="13587" xr:uid="{00000000-0005-0000-0000-000043350000}"/>
    <cellStyle name="汇总 2 2 9 6 2 2" xfId="13590" xr:uid="{00000000-0005-0000-0000-000046350000}"/>
    <cellStyle name="汇总 2 2 9 6 3" xfId="13594" xr:uid="{00000000-0005-0000-0000-00004A350000}"/>
    <cellStyle name="汇总 2 2 9 6 3 2" xfId="13596" xr:uid="{00000000-0005-0000-0000-00004C350000}"/>
    <cellStyle name="汇总 2 2 9 6 4" xfId="13601" xr:uid="{00000000-0005-0000-0000-000051350000}"/>
    <cellStyle name="汇总 2 2 9 6 4 2" xfId="13605" xr:uid="{00000000-0005-0000-0000-000055350000}"/>
    <cellStyle name="汇总 2 2 9 6 5" xfId="13608" xr:uid="{00000000-0005-0000-0000-000058350000}"/>
    <cellStyle name="汇总 2 2 9 6 5 2" xfId="13612" xr:uid="{00000000-0005-0000-0000-00005C350000}"/>
    <cellStyle name="汇总 2 2 9 6 6" xfId="13615" xr:uid="{00000000-0005-0000-0000-00005F350000}"/>
    <cellStyle name="汇总 2 2 9 7" xfId="6679" xr:uid="{00000000-0005-0000-0000-0000471A0000}"/>
    <cellStyle name="汇总 2 2 9 7 2" xfId="4495" xr:uid="{00000000-0005-0000-0000-0000BF110000}"/>
    <cellStyle name="汇总 2 2 9 7 2 2" xfId="13616" xr:uid="{00000000-0005-0000-0000-000060350000}"/>
    <cellStyle name="汇总 2 2 9 7 3" xfId="13619" xr:uid="{00000000-0005-0000-0000-000063350000}"/>
    <cellStyle name="汇总 2 2 9 7 3 2" xfId="13621" xr:uid="{00000000-0005-0000-0000-000065350000}"/>
    <cellStyle name="汇总 2 2 9 7 4" xfId="13625" xr:uid="{00000000-0005-0000-0000-000069350000}"/>
    <cellStyle name="汇总 2 2 9 7 4 2" xfId="13629" xr:uid="{00000000-0005-0000-0000-00006D350000}"/>
    <cellStyle name="汇总 2 2 9 7 5" xfId="13633" xr:uid="{00000000-0005-0000-0000-000071350000}"/>
    <cellStyle name="汇总 2 2 9 7 5 2" xfId="13638" xr:uid="{00000000-0005-0000-0000-000076350000}"/>
    <cellStyle name="汇总 2 2 9 7 6" xfId="13642" xr:uid="{00000000-0005-0000-0000-00007A350000}"/>
    <cellStyle name="汇总 2 2 9 8" xfId="6690" xr:uid="{00000000-0005-0000-0000-0000521A0000}"/>
    <cellStyle name="汇总 2 2 9 8 2" xfId="2269" xr:uid="{00000000-0005-0000-0000-00000D090000}"/>
    <cellStyle name="汇总 2 2 9 8 2 2" xfId="772" xr:uid="{00000000-0005-0000-0000-000034030000}"/>
    <cellStyle name="汇总 2 2 9 8 3" xfId="4033" xr:uid="{00000000-0005-0000-0000-0000F10F0000}"/>
    <cellStyle name="汇总 2 2 9 8 3 2" xfId="799" xr:uid="{00000000-0005-0000-0000-00004F030000}"/>
    <cellStyle name="汇总 2 2 9 8 4" xfId="13644" xr:uid="{00000000-0005-0000-0000-00007C350000}"/>
    <cellStyle name="汇总 2 2 9 8 4 2" xfId="838" xr:uid="{00000000-0005-0000-0000-000076030000}"/>
    <cellStyle name="汇总 2 2 9 8 5" xfId="13647" xr:uid="{00000000-0005-0000-0000-00007F350000}"/>
    <cellStyle name="汇总 2 2 9 9" xfId="6703" xr:uid="{00000000-0005-0000-0000-00005F1A0000}"/>
    <cellStyle name="汇总 2 2 9 9 2" xfId="2002" xr:uid="{00000000-0005-0000-0000-000002080000}"/>
    <cellStyle name="汇总 2 20" xfId="11823" xr:uid="{00000000-0005-0000-0000-00005F2E0000}"/>
    <cellStyle name="汇总 2 20 2" xfId="11863" xr:uid="{00000000-0005-0000-0000-0000872E0000}"/>
    <cellStyle name="汇总 2 21" xfId="11972" xr:uid="{00000000-0005-0000-0000-0000F42E0000}"/>
    <cellStyle name="汇总 2 22" xfId="4561" xr:uid="{00000000-0005-0000-0000-000001120000}"/>
    <cellStyle name="汇总 2 23" xfId="8419" xr:uid="{00000000-0005-0000-0000-000013210000}"/>
    <cellStyle name="汇总 2 24" xfId="8446" xr:uid="{00000000-0005-0000-0000-00002E210000}"/>
    <cellStyle name="汇总 2 25" xfId="13652" xr:uid="{00000000-0005-0000-0000-000084350000}"/>
    <cellStyle name="汇总 2 3" xfId="8203" xr:uid="{00000000-0005-0000-0000-00003B200000}"/>
    <cellStyle name="汇总 2 3 10" xfId="13655" xr:uid="{00000000-0005-0000-0000-000087350000}"/>
    <cellStyle name="汇总 2 3 10 10" xfId="13658" xr:uid="{00000000-0005-0000-0000-00008A350000}"/>
    <cellStyle name="汇总 2 3 10 10 2" xfId="13664" xr:uid="{00000000-0005-0000-0000-000090350000}"/>
    <cellStyle name="汇总 2 3 10 11" xfId="13671" xr:uid="{00000000-0005-0000-0000-000097350000}"/>
    <cellStyle name="汇总 2 3 10 11 2" xfId="13676" xr:uid="{00000000-0005-0000-0000-00009C350000}"/>
    <cellStyle name="汇总 2 3 10 12" xfId="13682" xr:uid="{00000000-0005-0000-0000-0000A2350000}"/>
    <cellStyle name="汇总 2 3 10 12 2" xfId="13693" xr:uid="{00000000-0005-0000-0000-0000AD350000}"/>
    <cellStyle name="汇总 2 3 10 13" xfId="13699" xr:uid="{00000000-0005-0000-0000-0000B3350000}"/>
    <cellStyle name="汇总 2 3 10 14" xfId="13703" xr:uid="{00000000-0005-0000-0000-0000B7350000}"/>
    <cellStyle name="汇总 2 3 10 15" xfId="11700" xr:uid="{00000000-0005-0000-0000-0000E42D0000}"/>
    <cellStyle name="汇总 2 3 10 16" xfId="13708" xr:uid="{00000000-0005-0000-0000-0000BC350000}"/>
    <cellStyle name="汇总 2 3 10 2" xfId="3386" xr:uid="{00000000-0005-0000-0000-00006A0D0000}"/>
    <cellStyle name="汇总 2 3 10 2 2" xfId="2819" xr:uid="{00000000-0005-0000-0000-0000330B0000}"/>
    <cellStyle name="汇总 2 3 10 2 2 2" xfId="13719" xr:uid="{00000000-0005-0000-0000-0000C7350000}"/>
    <cellStyle name="汇总 2 3 10 2 3" xfId="13723" xr:uid="{00000000-0005-0000-0000-0000CB350000}"/>
    <cellStyle name="汇总 2 3 10 2 3 2" xfId="13725" xr:uid="{00000000-0005-0000-0000-0000CD350000}"/>
    <cellStyle name="汇总 2 3 10 2 4" xfId="9425" xr:uid="{00000000-0005-0000-0000-000001250000}"/>
    <cellStyle name="汇总 2 3 10 2 4 2" xfId="13732" xr:uid="{00000000-0005-0000-0000-0000D4350000}"/>
    <cellStyle name="汇总 2 3 10 2 5" xfId="2864" xr:uid="{00000000-0005-0000-0000-0000600B0000}"/>
    <cellStyle name="汇总 2 3 10 2 5 2" xfId="10481" xr:uid="{00000000-0005-0000-0000-000021290000}"/>
    <cellStyle name="汇总 2 3 10 2 6" xfId="13734" xr:uid="{00000000-0005-0000-0000-0000D6350000}"/>
    <cellStyle name="汇总 2 3 10 2 7" xfId="13738" xr:uid="{00000000-0005-0000-0000-0000DA350000}"/>
    <cellStyle name="汇总 2 3 10 2 8" xfId="13742" xr:uid="{00000000-0005-0000-0000-0000DE350000}"/>
    <cellStyle name="汇总 2 3 10 2 9" xfId="13754" xr:uid="{00000000-0005-0000-0000-0000EA350000}"/>
    <cellStyle name="汇总 2 3 10 3" xfId="3398" xr:uid="{00000000-0005-0000-0000-0000760D0000}"/>
    <cellStyle name="汇总 2 3 10 3 2" xfId="942" xr:uid="{00000000-0005-0000-0000-0000DE030000}"/>
    <cellStyle name="汇总 2 3 10 3 2 2" xfId="9875" xr:uid="{00000000-0005-0000-0000-0000C3260000}"/>
    <cellStyle name="汇总 2 3 10 3 3" xfId="9882" xr:uid="{00000000-0005-0000-0000-0000CA260000}"/>
    <cellStyle name="汇总 2 3 10 3 3 2" xfId="13755" xr:uid="{00000000-0005-0000-0000-0000EB350000}"/>
    <cellStyle name="汇总 2 3 10 3 4" xfId="9887" xr:uid="{00000000-0005-0000-0000-0000CF260000}"/>
    <cellStyle name="汇总 2 3 10 3 4 2" xfId="13762" xr:uid="{00000000-0005-0000-0000-0000F2350000}"/>
    <cellStyle name="汇总 2 3 10 3 5" xfId="9170" xr:uid="{00000000-0005-0000-0000-000002240000}"/>
    <cellStyle name="汇总 2 3 10 3 5 2" xfId="13766" xr:uid="{00000000-0005-0000-0000-0000F6350000}"/>
    <cellStyle name="汇总 2 3 10 3 6" xfId="9890" xr:uid="{00000000-0005-0000-0000-0000D2260000}"/>
    <cellStyle name="汇总 2 3 10 4" xfId="3407" xr:uid="{00000000-0005-0000-0000-00007F0D0000}"/>
    <cellStyle name="汇总 2 3 10 4 2" xfId="9915" xr:uid="{00000000-0005-0000-0000-0000EB260000}"/>
    <cellStyle name="汇总 2 3 10 4 2 2" xfId="9926" xr:uid="{00000000-0005-0000-0000-0000F6260000}"/>
    <cellStyle name="汇总 2 3 10 4 3" xfId="9933" xr:uid="{00000000-0005-0000-0000-0000FD260000}"/>
    <cellStyle name="汇总 2 3 10 4 3 2" xfId="13768" xr:uid="{00000000-0005-0000-0000-0000F8350000}"/>
    <cellStyle name="汇总 2 3 10 4 4" xfId="13769" xr:uid="{00000000-0005-0000-0000-0000F9350000}"/>
    <cellStyle name="汇总 2 3 10 4 4 2" xfId="13772" xr:uid="{00000000-0005-0000-0000-0000FC350000}"/>
    <cellStyle name="汇总 2 3 10 4 5" xfId="12774" xr:uid="{00000000-0005-0000-0000-000016320000}"/>
    <cellStyle name="汇总 2 3 10 4 5 2" xfId="13773" xr:uid="{00000000-0005-0000-0000-0000FD350000}"/>
    <cellStyle name="汇总 2 3 10 4 6" xfId="13778" xr:uid="{00000000-0005-0000-0000-000002360000}"/>
    <cellStyle name="汇总 2 3 10 5" xfId="13041" xr:uid="{00000000-0005-0000-0000-000021330000}"/>
    <cellStyle name="汇总 2 3 10 5 2" xfId="9958" xr:uid="{00000000-0005-0000-0000-000016270000}"/>
    <cellStyle name="汇总 2 3 10 5 2 2" xfId="9966" xr:uid="{00000000-0005-0000-0000-00001E270000}"/>
    <cellStyle name="汇总 2 3 10 5 3" xfId="9976" xr:uid="{00000000-0005-0000-0000-000028270000}"/>
    <cellStyle name="汇总 2 3 10 5 3 2" xfId="13782" xr:uid="{00000000-0005-0000-0000-000006360000}"/>
    <cellStyle name="汇总 2 3 10 5 4" xfId="13783" xr:uid="{00000000-0005-0000-0000-000007360000}"/>
    <cellStyle name="汇总 2 3 10 5 4 2" xfId="13786" xr:uid="{00000000-0005-0000-0000-00000A360000}"/>
    <cellStyle name="汇总 2 3 10 5 5" xfId="13787" xr:uid="{00000000-0005-0000-0000-00000B360000}"/>
    <cellStyle name="汇总 2 3 10 5 5 2" xfId="13788" xr:uid="{00000000-0005-0000-0000-00000C360000}"/>
    <cellStyle name="汇总 2 3 10 5 6" xfId="13790" xr:uid="{00000000-0005-0000-0000-00000E360000}"/>
    <cellStyle name="汇总 2 3 10 6" xfId="13794" xr:uid="{00000000-0005-0000-0000-000012360000}"/>
    <cellStyle name="汇总 2 3 10 6 2" xfId="10015" xr:uid="{00000000-0005-0000-0000-00004F270000}"/>
    <cellStyle name="汇总 2 3 10 6 2 2" xfId="6967" xr:uid="{00000000-0005-0000-0000-0000671B0000}"/>
    <cellStyle name="汇总 2 3 10 6 3" xfId="10031" xr:uid="{00000000-0005-0000-0000-00005F270000}"/>
    <cellStyle name="汇总 2 3 10 6 3 2" xfId="13795" xr:uid="{00000000-0005-0000-0000-000013360000}"/>
    <cellStyle name="汇总 2 3 10 6 4" xfId="13796" xr:uid="{00000000-0005-0000-0000-000014360000}"/>
    <cellStyle name="汇总 2 3 10 6 4 2" xfId="1619" xr:uid="{00000000-0005-0000-0000-000083060000}"/>
    <cellStyle name="汇总 2 3 10 6 5" xfId="13797" xr:uid="{00000000-0005-0000-0000-000015360000}"/>
    <cellStyle name="汇总 2 3 10 6 5 2" xfId="1504" xr:uid="{00000000-0005-0000-0000-000010060000}"/>
    <cellStyle name="汇总 2 3 10 6 6" xfId="13799" xr:uid="{00000000-0005-0000-0000-000017360000}"/>
    <cellStyle name="汇总 2 3 10 7" xfId="888" xr:uid="{00000000-0005-0000-0000-0000A8030000}"/>
    <cellStyle name="汇总 2 3 10 7 2" xfId="1014" xr:uid="{00000000-0005-0000-0000-000026040000}"/>
    <cellStyle name="汇总 2 3 10 7 2 2" xfId="10078" xr:uid="{00000000-0005-0000-0000-00008E270000}"/>
    <cellStyle name="汇总 2 3 10 7 3" xfId="10092" xr:uid="{00000000-0005-0000-0000-00009C270000}"/>
    <cellStyle name="汇总 2 3 10 7 3 2" xfId="13802" xr:uid="{00000000-0005-0000-0000-00001A360000}"/>
    <cellStyle name="汇总 2 3 10 7 4" xfId="13803" xr:uid="{00000000-0005-0000-0000-00001B360000}"/>
    <cellStyle name="汇总 2 3 10 7 4 2" xfId="13807" xr:uid="{00000000-0005-0000-0000-00001F360000}"/>
    <cellStyle name="汇总 2 3 10 7 5" xfId="13808" xr:uid="{00000000-0005-0000-0000-000020360000}"/>
    <cellStyle name="汇总 2 3 10 7 5 2" xfId="13809" xr:uid="{00000000-0005-0000-0000-000021360000}"/>
    <cellStyle name="汇总 2 3 10 7 6" xfId="13811" xr:uid="{00000000-0005-0000-0000-000023360000}"/>
    <cellStyle name="汇总 2 3 10 8" xfId="4853" xr:uid="{00000000-0005-0000-0000-000025130000}"/>
    <cellStyle name="汇总 2 3 10 8 2" xfId="1044" xr:uid="{00000000-0005-0000-0000-000044040000}"/>
    <cellStyle name="汇总 2 3 10 8 2 2" xfId="123" xr:uid="{00000000-0005-0000-0000-000085000000}"/>
    <cellStyle name="汇总 2 3 10 8 3" xfId="10141" xr:uid="{00000000-0005-0000-0000-0000CD270000}"/>
    <cellStyle name="汇总 2 3 10 8 3 2" xfId="13813" xr:uid="{00000000-0005-0000-0000-000025360000}"/>
    <cellStyle name="汇总 2 3 10 8 4" xfId="13814" xr:uid="{00000000-0005-0000-0000-000026360000}"/>
    <cellStyle name="汇总 2 3 10 8 4 2" xfId="13819" xr:uid="{00000000-0005-0000-0000-00002B360000}"/>
    <cellStyle name="汇总 2 3 10 8 5" xfId="13820" xr:uid="{00000000-0005-0000-0000-00002C360000}"/>
    <cellStyle name="汇总 2 3 10 9" xfId="4870" xr:uid="{00000000-0005-0000-0000-000036130000}"/>
    <cellStyle name="汇总 2 3 10 9 2" xfId="3054" xr:uid="{00000000-0005-0000-0000-00001E0C0000}"/>
    <cellStyle name="汇总 2 3 11" xfId="13822" xr:uid="{00000000-0005-0000-0000-00002E360000}"/>
    <cellStyle name="汇总 2 3 11 10" xfId="13824" xr:uid="{00000000-0005-0000-0000-000030360000}"/>
    <cellStyle name="汇总 2 3 11 10 2" xfId="13831" xr:uid="{00000000-0005-0000-0000-000037360000}"/>
    <cellStyle name="汇总 2 3 11 11" xfId="13838" xr:uid="{00000000-0005-0000-0000-00003E360000}"/>
    <cellStyle name="汇总 2 3 11 11 2" xfId="13844" xr:uid="{00000000-0005-0000-0000-000044360000}"/>
    <cellStyle name="汇总 2 3 11 12" xfId="10767" xr:uid="{00000000-0005-0000-0000-00003F2A0000}"/>
    <cellStyle name="汇总 2 3 11 12 2" xfId="13851" xr:uid="{00000000-0005-0000-0000-00004B360000}"/>
    <cellStyle name="汇总 2 3 11 13" xfId="13852" xr:uid="{00000000-0005-0000-0000-00004C360000}"/>
    <cellStyle name="汇总 2 3 11 14" xfId="13857" xr:uid="{00000000-0005-0000-0000-000051360000}"/>
    <cellStyle name="汇总 2 3 11 15" xfId="4144" xr:uid="{00000000-0005-0000-0000-000060100000}"/>
    <cellStyle name="汇总 2 3 11 16" xfId="13859" xr:uid="{00000000-0005-0000-0000-000053360000}"/>
    <cellStyle name="汇总 2 3 11 2" xfId="3430" xr:uid="{00000000-0005-0000-0000-0000960D0000}"/>
    <cellStyle name="汇总 2 3 11 2 2" xfId="2628" xr:uid="{00000000-0005-0000-0000-0000740A0000}"/>
    <cellStyle name="汇总 2 3 11 2 2 2" xfId="12140" xr:uid="{00000000-0005-0000-0000-00009C2F0000}"/>
    <cellStyle name="汇总 2 3 11 2 3" xfId="13860" xr:uid="{00000000-0005-0000-0000-000054360000}"/>
    <cellStyle name="汇总 2 3 11 2 3 2" xfId="12172" xr:uid="{00000000-0005-0000-0000-0000BC2F0000}"/>
    <cellStyle name="汇总 2 3 11 2 4" xfId="9439" xr:uid="{00000000-0005-0000-0000-00000F250000}"/>
    <cellStyle name="汇总 2 3 11 2 4 2" xfId="12189" xr:uid="{00000000-0005-0000-0000-0000CD2F0000}"/>
    <cellStyle name="汇总 2 3 11 2 5" xfId="12801" xr:uid="{00000000-0005-0000-0000-000031320000}"/>
    <cellStyle name="汇总 2 3 11 2 5 2" xfId="12205" xr:uid="{00000000-0005-0000-0000-0000DD2F0000}"/>
    <cellStyle name="汇总 2 3 11 2 6" xfId="13867" xr:uid="{00000000-0005-0000-0000-00005B360000}"/>
    <cellStyle name="汇总 2 3 11 3" xfId="3437" xr:uid="{00000000-0005-0000-0000-00009D0D0000}"/>
    <cellStyle name="汇总 2 3 11 3 2" xfId="2723" xr:uid="{00000000-0005-0000-0000-0000D30A0000}"/>
    <cellStyle name="汇总 2 3 11 3 2 2" xfId="10202" xr:uid="{00000000-0005-0000-0000-00000A280000}"/>
    <cellStyle name="汇总 2 3 11 3 3" xfId="10207" xr:uid="{00000000-0005-0000-0000-00000F280000}"/>
    <cellStyle name="汇总 2 3 11 3 3 2" xfId="9371" xr:uid="{00000000-0005-0000-0000-0000CB240000}"/>
    <cellStyle name="汇总 2 3 11 3 4" xfId="10215" xr:uid="{00000000-0005-0000-0000-000017280000}"/>
    <cellStyle name="汇总 2 3 11 3 4 2" xfId="9406" xr:uid="{00000000-0005-0000-0000-0000EE240000}"/>
    <cellStyle name="汇总 2 3 11 3 5" xfId="10224" xr:uid="{00000000-0005-0000-0000-000020280000}"/>
    <cellStyle name="汇总 2 3 11 3 5 2" xfId="1345" xr:uid="{00000000-0005-0000-0000-000071050000}"/>
    <cellStyle name="汇总 2 3 11 3 6" xfId="10233" xr:uid="{00000000-0005-0000-0000-000029280000}"/>
    <cellStyle name="汇总 2 3 11 4" xfId="3444" xr:uid="{00000000-0005-0000-0000-0000A40D0000}"/>
    <cellStyle name="汇总 2 3 11 4 2" xfId="9497" xr:uid="{00000000-0005-0000-0000-000049250000}"/>
    <cellStyle name="汇总 2 3 11 4 2 2" xfId="9508" xr:uid="{00000000-0005-0000-0000-000054250000}"/>
    <cellStyle name="汇总 2 3 11 4 3" xfId="9515" xr:uid="{00000000-0005-0000-0000-00005B250000}"/>
    <cellStyle name="汇总 2 3 11 4 3 2" xfId="9517" xr:uid="{00000000-0005-0000-0000-00005D250000}"/>
    <cellStyle name="汇总 2 3 11 4 4" xfId="9523" xr:uid="{00000000-0005-0000-0000-000063250000}"/>
    <cellStyle name="汇总 2 3 11 4 4 2" xfId="13878" xr:uid="{00000000-0005-0000-0000-000066360000}"/>
    <cellStyle name="汇总 2 3 11 4 5" xfId="9533" xr:uid="{00000000-0005-0000-0000-00006D250000}"/>
    <cellStyle name="汇总 2 3 11 4 5 2" xfId="4125" xr:uid="{00000000-0005-0000-0000-00004D100000}"/>
    <cellStyle name="汇总 2 3 11 4 6" xfId="9542" xr:uid="{00000000-0005-0000-0000-000076250000}"/>
    <cellStyle name="汇总 2 3 11 5" xfId="13052" xr:uid="{00000000-0005-0000-0000-00002C330000}"/>
    <cellStyle name="汇总 2 3 11 5 2" xfId="10267" xr:uid="{00000000-0005-0000-0000-00004B280000}"/>
    <cellStyle name="汇总 2 3 11 5 2 2" xfId="10273" xr:uid="{00000000-0005-0000-0000-000051280000}"/>
    <cellStyle name="汇总 2 3 11 5 3" xfId="10278" xr:uid="{00000000-0005-0000-0000-000056280000}"/>
    <cellStyle name="汇总 2 3 11 5 3 2" xfId="13880" xr:uid="{00000000-0005-0000-0000-000068360000}"/>
    <cellStyle name="汇总 2 3 11 5 4" xfId="13883" xr:uid="{00000000-0005-0000-0000-00006B360000}"/>
    <cellStyle name="汇总 2 3 11 5 4 2" xfId="13894" xr:uid="{00000000-0005-0000-0000-000076360000}"/>
    <cellStyle name="汇总 2 3 11 5 5" xfId="13902" xr:uid="{00000000-0005-0000-0000-00007E360000}"/>
    <cellStyle name="汇总 2 3 11 5 5 2" xfId="4473" xr:uid="{00000000-0005-0000-0000-0000A9110000}"/>
    <cellStyle name="汇总 2 3 11 5 6" xfId="13908" xr:uid="{00000000-0005-0000-0000-000084360000}"/>
    <cellStyle name="汇总 2 3 11 6" xfId="13912" xr:uid="{00000000-0005-0000-0000-000088360000}"/>
    <cellStyle name="汇总 2 3 11 6 2" xfId="10317" xr:uid="{00000000-0005-0000-0000-00007D280000}"/>
    <cellStyle name="汇总 2 3 11 6 2 2" xfId="10327" xr:uid="{00000000-0005-0000-0000-000087280000}"/>
    <cellStyle name="汇总 2 3 11 6 3" xfId="10334" xr:uid="{00000000-0005-0000-0000-00008E280000}"/>
    <cellStyle name="汇总 2 3 11 6 3 2" xfId="3991" xr:uid="{00000000-0005-0000-0000-0000C70F0000}"/>
    <cellStyle name="汇总 2 3 11 6 4" xfId="13915" xr:uid="{00000000-0005-0000-0000-00008B360000}"/>
    <cellStyle name="汇总 2 3 11 6 4 2" xfId="13922" xr:uid="{00000000-0005-0000-0000-000092360000}"/>
    <cellStyle name="汇总 2 3 11 6 5" xfId="13928" xr:uid="{00000000-0005-0000-0000-000098360000}"/>
    <cellStyle name="汇总 2 3 11 6 5 2" xfId="4751" xr:uid="{00000000-0005-0000-0000-0000BF120000}"/>
    <cellStyle name="汇总 2 3 11 6 6" xfId="13934" xr:uid="{00000000-0005-0000-0000-00009E360000}"/>
    <cellStyle name="汇总 2 3 11 7" xfId="924" xr:uid="{00000000-0005-0000-0000-0000CC030000}"/>
    <cellStyle name="汇总 2 3 11 7 2" xfId="4888" xr:uid="{00000000-0005-0000-0000-000048130000}"/>
    <cellStyle name="汇总 2 3 11 7 2 2" xfId="10381" xr:uid="{00000000-0005-0000-0000-0000BD280000}"/>
    <cellStyle name="汇总 2 3 11 7 3" xfId="10388" xr:uid="{00000000-0005-0000-0000-0000C4280000}"/>
    <cellStyle name="汇总 2 3 11 7 3 2" xfId="5464" xr:uid="{00000000-0005-0000-0000-000088150000}"/>
    <cellStyle name="汇总 2 3 11 7 4" xfId="13939" xr:uid="{00000000-0005-0000-0000-0000A3360000}"/>
    <cellStyle name="汇总 2 3 11 7 4 2" xfId="13943" xr:uid="{00000000-0005-0000-0000-0000A7360000}"/>
    <cellStyle name="汇总 2 3 11 7 5" xfId="13949" xr:uid="{00000000-0005-0000-0000-0000AD360000}"/>
    <cellStyle name="汇总 2 3 11 7 5 2" xfId="5029" xr:uid="{00000000-0005-0000-0000-0000D5130000}"/>
    <cellStyle name="汇总 2 3 11 7 6" xfId="13954" xr:uid="{00000000-0005-0000-0000-0000B2360000}"/>
    <cellStyle name="汇总 2 3 11 8" xfId="4889" xr:uid="{00000000-0005-0000-0000-000049130000}"/>
    <cellStyle name="汇总 2 3 11 8 2" xfId="4901" xr:uid="{00000000-0005-0000-0000-000055130000}"/>
    <cellStyle name="汇总 2 3 11 8 2 2" xfId="10436" xr:uid="{00000000-0005-0000-0000-0000F4280000}"/>
    <cellStyle name="汇总 2 3 11 8 3" xfId="10442" xr:uid="{00000000-0005-0000-0000-0000FA280000}"/>
    <cellStyle name="汇总 2 3 11 8 3 2" xfId="13959" xr:uid="{00000000-0005-0000-0000-0000B7360000}"/>
    <cellStyle name="汇总 2 3 11 8 4" xfId="13963" xr:uid="{00000000-0005-0000-0000-0000BB360000}"/>
    <cellStyle name="汇总 2 3 11 8 4 2" xfId="13967" xr:uid="{00000000-0005-0000-0000-0000BF360000}"/>
    <cellStyle name="汇总 2 3 11 8 5" xfId="13971" xr:uid="{00000000-0005-0000-0000-0000C3360000}"/>
    <cellStyle name="汇总 2 3 11 9" xfId="4904" xr:uid="{00000000-0005-0000-0000-000058130000}"/>
    <cellStyle name="汇总 2 3 11 9 2" xfId="4913" xr:uid="{00000000-0005-0000-0000-000061130000}"/>
    <cellStyle name="汇总 2 3 12" xfId="13972" xr:uid="{00000000-0005-0000-0000-0000C4360000}"/>
    <cellStyle name="汇总 2 3 12 2" xfId="3477" xr:uid="{00000000-0005-0000-0000-0000C50D0000}"/>
    <cellStyle name="汇总 2 3 12 2 2" xfId="357" xr:uid="{00000000-0005-0000-0000-000087010000}"/>
    <cellStyle name="汇总 2 3 12 3" xfId="1221" xr:uid="{00000000-0005-0000-0000-0000F5040000}"/>
    <cellStyle name="汇总 2 3 12 3 2" xfId="1236" xr:uid="{00000000-0005-0000-0000-000004050000}"/>
    <cellStyle name="汇总 2 3 12 4" xfId="1294" xr:uid="{00000000-0005-0000-0000-00003E050000}"/>
    <cellStyle name="汇总 2 3 12 4 2" xfId="10586" xr:uid="{00000000-0005-0000-0000-00008A290000}"/>
    <cellStyle name="汇总 2 3 12 5" xfId="13973" xr:uid="{00000000-0005-0000-0000-0000C5360000}"/>
    <cellStyle name="汇总 2 3 12 5 2" xfId="10637" xr:uid="{00000000-0005-0000-0000-0000BD290000}"/>
    <cellStyle name="汇总 2 3 12 6" xfId="13977" xr:uid="{00000000-0005-0000-0000-0000C9360000}"/>
    <cellStyle name="汇总 2 3 12 7" xfId="1319" xr:uid="{00000000-0005-0000-0000-000057050000}"/>
    <cellStyle name="汇总 2 3 12 8" xfId="13982" xr:uid="{00000000-0005-0000-0000-0000CE360000}"/>
    <cellStyle name="汇总 2 3 12 9" xfId="13984" xr:uid="{00000000-0005-0000-0000-0000D0360000}"/>
    <cellStyle name="汇总 2 3 13" xfId="13987" xr:uid="{00000000-0005-0000-0000-0000D3360000}"/>
    <cellStyle name="汇总 2 3 13 2" xfId="2175" xr:uid="{00000000-0005-0000-0000-0000AF080000}"/>
    <cellStyle name="汇总 2 3 13 2 2" xfId="219" xr:uid="{00000000-0005-0000-0000-0000ED000000}"/>
    <cellStyle name="汇总 2 3 13 3" xfId="2185" xr:uid="{00000000-0005-0000-0000-0000B9080000}"/>
    <cellStyle name="汇总 2 3 13 3 2" xfId="3494" xr:uid="{00000000-0005-0000-0000-0000D60D0000}"/>
    <cellStyle name="汇总 2 3 13 4" xfId="2201" xr:uid="{00000000-0005-0000-0000-0000C9080000}"/>
    <cellStyle name="汇总 2 3 13 4 2" xfId="2379" xr:uid="{00000000-0005-0000-0000-00007B090000}"/>
    <cellStyle name="汇总 2 3 13 5" xfId="13551" xr:uid="{00000000-0005-0000-0000-00001F350000}"/>
    <cellStyle name="汇总 2 3 13 5 2" xfId="2054" xr:uid="{00000000-0005-0000-0000-000036080000}"/>
    <cellStyle name="汇总 2 3 13 6" xfId="13989" xr:uid="{00000000-0005-0000-0000-0000D5360000}"/>
    <cellStyle name="汇总 2 3 14" xfId="13993" xr:uid="{00000000-0005-0000-0000-0000D9360000}"/>
    <cellStyle name="汇总 2 3 14 2" xfId="3507" xr:uid="{00000000-0005-0000-0000-0000E30D0000}"/>
    <cellStyle name="汇总 2 3 14 2 2" xfId="1560" xr:uid="{00000000-0005-0000-0000-000048060000}"/>
    <cellStyle name="汇总 2 3 14 3" xfId="1398" xr:uid="{00000000-0005-0000-0000-0000A6050000}"/>
    <cellStyle name="汇总 2 3 14 3 2" xfId="1414" xr:uid="{00000000-0005-0000-0000-0000B6050000}"/>
    <cellStyle name="汇总 2 3 14 4" xfId="1544" xr:uid="{00000000-0005-0000-0000-000038060000}"/>
    <cellStyle name="汇总 2 3 14 4 2" xfId="6775" xr:uid="{00000000-0005-0000-0000-0000A71A0000}"/>
    <cellStyle name="汇总 2 3 14 5" xfId="13557" xr:uid="{00000000-0005-0000-0000-000025350000}"/>
    <cellStyle name="汇总 2 3 14 5 2" xfId="448" xr:uid="{00000000-0005-0000-0000-0000EA010000}"/>
    <cellStyle name="汇总 2 3 14 6" xfId="13995" xr:uid="{00000000-0005-0000-0000-0000DB360000}"/>
    <cellStyle name="汇总 2 3 15" xfId="12379" xr:uid="{00000000-0005-0000-0000-00008B300000}"/>
    <cellStyle name="汇总 2 3 15 2" xfId="3533" xr:uid="{00000000-0005-0000-0000-0000FD0D0000}"/>
    <cellStyle name="汇总 2 3 15 2 2" xfId="2267" xr:uid="{00000000-0005-0000-0000-00000B090000}"/>
    <cellStyle name="汇总 2 3 15 3" xfId="1997" xr:uid="{00000000-0005-0000-0000-0000FD070000}"/>
    <cellStyle name="汇总 2 3 15 3 2" xfId="11077" xr:uid="{00000000-0005-0000-0000-0000752B0000}"/>
    <cellStyle name="汇总 2 3 15 4" xfId="14002" xr:uid="{00000000-0005-0000-0000-0000E2360000}"/>
    <cellStyle name="汇总 2 3 15 4 2" xfId="1431" xr:uid="{00000000-0005-0000-0000-0000C7050000}"/>
    <cellStyle name="汇总 2 3 15 5" xfId="13570" xr:uid="{00000000-0005-0000-0000-000032350000}"/>
    <cellStyle name="汇总 2 3 15 5 2" xfId="1455" xr:uid="{00000000-0005-0000-0000-0000DF050000}"/>
    <cellStyle name="汇总 2 3 15 6" xfId="14012" xr:uid="{00000000-0005-0000-0000-0000EC360000}"/>
    <cellStyle name="汇总 2 3 16" xfId="2750" xr:uid="{00000000-0005-0000-0000-0000EE0A0000}"/>
    <cellStyle name="汇总 2 3 16 2" xfId="14020" xr:uid="{00000000-0005-0000-0000-0000F4360000}"/>
    <cellStyle name="汇总 2 3 16 2 2" xfId="14023" xr:uid="{00000000-0005-0000-0000-0000F7360000}"/>
    <cellStyle name="汇总 2 3 16 3" xfId="14025" xr:uid="{00000000-0005-0000-0000-0000F9360000}"/>
    <cellStyle name="汇总 2 3 16 3 2" xfId="11279" xr:uid="{00000000-0005-0000-0000-00003F2C0000}"/>
    <cellStyle name="汇总 2 3 16 4" xfId="14030" xr:uid="{00000000-0005-0000-0000-0000FE360000}"/>
    <cellStyle name="汇总 2 3 16 4 2" xfId="11318" xr:uid="{00000000-0005-0000-0000-0000662C0000}"/>
    <cellStyle name="汇总 2 3 16 5" xfId="13575" xr:uid="{00000000-0005-0000-0000-000037350000}"/>
    <cellStyle name="汇总 2 3 16 5 2" xfId="11381" xr:uid="{00000000-0005-0000-0000-0000A52C0000}"/>
    <cellStyle name="汇总 2 3 16 6" xfId="14032" xr:uid="{00000000-0005-0000-0000-000000370000}"/>
    <cellStyle name="汇总 2 3 17" xfId="14038" xr:uid="{00000000-0005-0000-0000-000006370000}"/>
    <cellStyle name="汇总 2 3 17 2" xfId="14051" xr:uid="{00000000-0005-0000-0000-000013370000}"/>
    <cellStyle name="汇总 2 3 17 2 2" xfId="14055" xr:uid="{00000000-0005-0000-0000-000017370000}"/>
    <cellStyle name="汇总 2 3 17 3" xfId="14059" xr:uid="{00000000-0005-0000-0000-00001B370000}"/>
    <cellStyle name="汇总 2 3 17 3 2" xfId="14065" xr:uid="{00000000-0005-0000-0000-000021370000}"/>
    <cellStyle name="汇总 2 3 17 4" xfId="14068" xr:uid="{00000000-0005-0000-0000-000024370000}"/>
    <cellStyle name="汇总 2 3 17 4 2" xfId="14072" xr:uid="{00000000-0005-0000-0000-000028370000}"/>
    <cellStyle name="汇总 2 3 17 5" xfId="14075" xr:uid="{00000000-0005-0000-0000-00002B370000}"/>
    <cellStyle name="汇总 2 3 17 5 2" xfId="14079" xr:uid="{00000000-0005-0000-0000-00002F370000}"/>
    <cellStyle name="汇总 2 3 17 6" xfId="14081" xr:uid="{00000000-0005-0000-0000-000031370000}"/>
    <cellStyle name="汇总 2 3 18" xfId="14086" xr:uid="{00000000-0005-0000-0000-000036370000}"/>
    <cellStyle name="汇总 2 3 18 2" xfId="14099" xr:uid="{00000000-0005-0000-0000-000043370000}"/>
    <cellStyle name="汇总 2 3 18 2 2" xfId="14107" xr:uid="{00000000-0005-0000-0000-00004B370000}"/>
    <cellStyle name="汇总 2 3 18 3" xfId="14111" xr:uid="{00000000-0005-0000-0000-00004F370000}"/>
    <cellStyle name="汇总 2 3 18 3 2" xfId="2118" xr:uid="{00000000-0005-0000-0000-000076080000}"/>
    <cellStyle name="汇总 2 3 18 4" xfId="14116" xr:uid="{00000000-0005-0000-0000-000054370000}"/>
    <cellStyle name="汇总 2 3 18 4 2" xfId="14118" xr:uid="{00000000-0005-0000-0000-000056370000}"/>
    <cellStyle name="汇总 2 3 18 5" xfId="14124" xr:uid="{00000000-0005-0000-0000-00005C370000}"/>
    <cellStyle name="汇总 2 3 18 5 2" xfId="14126" xr:uid="{00000000-0005-0000-0000-00005E370000}"/>
    <cellStyle name="汇总 2 3 18 6" xfId="14134" xr:uid="{00000000-0005-0000-0000-000066370000}"/>
    <cellStyle name="汇总 2 3 19" xfId="10792" xr:uid="{00000000-0005-0000-0000-0000582A0000}"/>
    <cellStyle name="汇总 2 3 19 2" xfId="1782" xr:uid="{00000000-0005-0000-0000-000026070000}"/>
    <cellStyle name="汇总 2 3 19 2 2" xfId="14138" xr:uid="{00000000-0005-0000-0000-00006A370000}"/>
    <cellStyle name="汇总 2 3 19 3" xfId="1810" xr:uid="{00000000-0005-0000-0000-000042070000}"/>
    <cellStyle name="汇总 2 3 19 3 2" xfId="14144" xr:uid="{00000000-0005-0000-0000-000070370000}"/>
    <cellStyle name="汇总 2 3 19 4" xfId="1616" xr:uid="{00000000-0005-0000-0000-000080060000}"/>
    <cellStyle name="汇总 2 3 19 4 2" xfId="14147" xr:uid="{00000000-0005-0000-0000-000073370000}"/>
    <cellStyle name="汇总 2 3 19 5" xfId="1823" xr:uid="{00000000-0005-0000-0000-00004F070000}"/>
    <cellStyle name="汇总 2 3 2" xfId="14151" xr:uid="{00000000-0005-0000-0000-000077370000}"/>
    <cellStyle name="汇总 2 3 2 10" xfId="14152" xr:uid="{00000000-0005-0000-0000-000078370000}"/>
    <cellStyle name="汇总 2 3 2 10 2" xfId="14155" xr:uid="{00000000-0005-0000-0000-00007B370000}"/>
    <cellStyle name="汇总 2 3 2 11" xfId="10324" xr:uid="{00000000-0005-0000-0000-000084280000}"/>
    <cellStyle name="汇总 2 3 2 11 2" xfId="5019" xr:uid="{00000000-0005-0000-0000-0000CB130000}"/>
    <cellStyle name="汇总 2 3 2 12" xfId="14156" xr:uid="{00000000-0005-0000-0000-00007C370000}"/>
    <cellStyle name="汇总 2 3 2 12 2" xfId="2759" xr:uid="{00000000-0005-0000-0000-0000F70A0000}"/>
    <cellStyle name="汇总 2 3 2 13" xfId="14159" xr:uid="{00000000-0005-0000-0000-00007F370000}"/>
    <cellStyle name="汇总 2 3 2 14" xfId="14163" xr:uid="{00000000-0005-0000-0000-000083370000}"/>
    <cellStyle name="汇总 2 3 2 15" xfId="14164" xr:uid="{00000000-0005-0000-0000-000084370000}"/>
    <cellStyle name="汇总 2 3 2 16" xfId="14166" xr:uid="{00000000-0005-0000-0000-000086370000}"/>
    <cellStyle name="汇总 2 3 2 2" xfId="13985" xr:uid="{00000000-0005-0000-0000-0000D1360000}"/>
    <cellStyle name="汇总 2 3 2 2 2" xfId="10858" xr:uid="{00000000-0005-0000-0000-00009A2A0000}"/>
    <cellStyle name="汇总 2 3 2 2 2 2" xfId="11029" xr:uid="{00000000-0005-0000-0000-0000452B0000}"/>
    <cellStyle name="汇总 2 3 2 2 3" xfId="11032" xr:uid="{00000000-0005-0000-0000-0000482B0000}"/>
    <cellStyle name="汇总 2 3 2 2 3 2" xfId="11036" xr:uid="{00000000-0005-0000-0000-00004C2B0000}"/>
    <cellStyle name="汇总 2 3 2 2 4" xfId="11041" xr:uid="{00000000-0005-0000-0000-0000512B0000}"/>
    <cellStyle name="汇总 2 3 2 2 4 2" xfId="14169" xr:uid="{00000000-0005-0000-0000-000089370000}"/>
    <cellStyle name="汇总 2 3 2 2 5" xfId="11047" xr:uid="{00000000-0005-0000-0000-0000572B0000}"/>
    <cellStyle name="汇总 2 3 2 2 5 2" xfId="6582" xr:uid="{00000000-0005-0000-0000-0000E6190000}"/>
    <cellStyle name="汇总 2 3 2 2 6" xfId="11053" xr:uid="{00000000-0005-0000-0000-00005D2B0000}"/>
    <cellStyle name="汇总 2 3 2 2 7" xfId="11058" xr:uid="{00000000-0005-0000-0000-0000622B0000}"/>
    <cellStyle name="汇总 2 3 2 2 8" xfId="6188" xr:uid="{00000000-0005-0000-0000-00005C180000}"/>
    <cellStyle name="汇总 2 3 2 2 9" xfId="7090" xr:uid="{00000000-0005-0000-0000-0000E21B0000}"/>
    <cellStyle name="汇总 2 3 2 3" xfId="14172" xr:uid="{00000000-0005-0000-0000-00008C370000}"/>
    <cellStyle name="汇总 2 3 2 3 2" xfId="14175" xr:uid="{00000000-0005-0000-0000-00008F370000}"/>
    <cellStyle name="汇总 2 3 2 3 2 2" xfId="14176" xr:uid="{00000000-0005-0000-0000-000090370000}"/>
    <cellStyle name="汇总 2 3 2 3 3" xfId="14177" xr:uid="{00000000-0005-0000-0000-000091370000}"/>
    <cellStyle name="汇总 2 3 2 3 3 2" xfId="14178" xr:uid="{00000000-0005-0000-0000-000092370000}"/>
    <cellStyle name="汇总 2 3 2 3 4" xfId="14179" xr:uid="{00000000-0005-0000-0000-000093370000}"/>
    <cellStyle name="汇总 2 3 2 3 4 2" xfId="14180" xr:uid="{00000000-0005-0000-0000-000094370000}"/>
    <cellStyle name="汇总 2 3 2 3 5" xfId="14182" xr:uid="{00000000-0005-0000-0000-000096370000}"/>
    <cellStyle name="汇总 2 3 2 3 5 2" xfId="9221" xr:uid="{00000000-0005-0000-0000-000035240000}"/>
    <cellStyle name="汇总 2 3 2 3 6" xfId="14184" xr:uid="{00000000-0005-0000-0000-000098370000}"/>
    <cellStyle name="汇总 2 3 2 4" xfId="14187" xr:uid="{00000000-0005-0000-0000-00009B370000}"/>
    <cellStyle name="汇总 2 3 2 4 2" xfId="14190" xr:uid="{00000000-0005-0000-0000-00009E370000}"/>
    <cellStyle name="汇总 2 3 2 4 2 2" xfId="14191" xr:uid="{00000000-0005-0000-0000-00009F370000}"/>
    <cellStyle name="汇总 2 3 2 4 3" xfId="14193" xr:uid="{00000000-0005-0000-0000-0000A1370000}"/>
    <cellStyle name="汇总 2 3 2 4 3 2" xfId="14194" xr:uid="{00000000-0005-0000-0000-0000A2370000}"/>
    <cellStyle name="汇总 2 3 2 4 4" xfId="14195" xr:uid="{00000000-0005-0000-0000-0000A3370000}"/>
    <cellStyle name="汇总 2 3 2 4 4 2" xfId="14196" xr:uid="{00000000-0005-0000-0000-0000A4370000}"/>
    <cellStyle name="汇总 2 3 2 4 5" xfId="14198" xr:uid="{00000000-0005-0000-0000-0000A6370000}"/>
    <cellStyle name="汇总 2 3 2 4 5 2" xfId="14200" xr:uid="{00000000-0005-0000-0000-0000A8370000}"/>
    <cellStyle name="汇总 2 3 2 4 6" xfId="14202" xr:uid="{00000000-0005-0000-0000-0000AA370000}"/>
    <cellStyle name="汇总 2 3 2 5" xfId="14210" xr:uid="{00000000-0005-0000-0000-0000B2370000}"/>
    <cellStyle name="汇总 2 3 2 5 2" xfId="14214" xr:uid="{00000000-0005-0000-0000-0000B6370000}"/>
    <cellStyle name="汇总 2 3 2 5 2 2" xfId="14215" xr:uid="{00000000-0005-0000-0000-0000B7370000}"/>
    <cellStyle name="汇总 2 3 2 5 3" xfId="14218" xr:uid="{00000000-0005-0000-0000-0000BA370000}"/>
    <cellStyle name="汇总 2 3 2 5 3 2" xfId="14219" xr:uid="{00000000-0005-0000-0000-0000BB370000}"/>
    <cellStyle name="汇总 2 3 2 5 4" xfId="14221" xr:uid="{00000000-0005-0000-0000-0000BD370000}"/>
    <cellStyle name="汇总 2 3 2 5 4 2" xfId="14224" xr:uid="{00000000-0005-0000-0000-0000C0370000}"/>
    <cellStyle name="汇总 2 3 2 5 5" xfId="14226" xr:uid="{00000000-0005-0000-0000-0000C2370000}"/>
    <cellStyle name="汇总 2 3 2 5 5 2" xfId="14229" xr:uid="{00000000-0005-0000-0000-0000C5370000}"/>
    <cellStyle name="汇总 2 3 2 5 6" xfId="14231" xr:uid="{00000000-0005-0000-0000-0000C7370000}"/>
    <cellStyle name="汇总 2 3 2 6" xfId="14237" xr:uid="{00000000-0005-0000-0000-0000CD370000}"/>
    <cellStyle name="汇总 2 3 2 6 2" xfId="14241" xr:uid="{00000000-0005-0000-0000-0000D1370000}"/>
    <cellStyle name="汇总 2 3 2 6 2 2" xfId="14242" xr:uid="{00000000-0005-0000-0000-0000D2370000}"/>
    <cellStyle name="汇总 2 3 2 6 3" xfId="14246" xr:uid="{00000000-0005-0000-0000-0000D6370000}"/>
    <cellStyle name="汇总 2 3 2 6 3 2" xfId="14249" xr:uid="{00000000-0005-0000-0000-0000D9370000}"/>
    <cellStyle name="汇总 2 3 2 6 4" xfId="14251" xr:uid="{00000000-0005-0000-0000-0000DB370000}"/>
    <cellStyle name="汇总 2 3 2 6 4 2" xfId="14254" xr:uid="{00000000-0005-0000-0000-0000DE370000}"/>
    <cellStyle name="汇总 2 3 2 6 5" xfId="5332" xr:uid="{00000000-0005-0000-0000-000004150000}"/>
    <cellStyle name="汇总 2 3 2 6 5 2" xfId="14256" xr:uid="{00000000-0005-0000-0000-0000E0370000}"/>
    <cellStyle name="汇总 2 3 2 6 6" xfId="14260" xr:uid="{00000000-0005-0000-0000-0000E4370000}"/>
    <cellStyle name="汇总 2 3 2 7" xfId="14269" xr:uid="{00000000-0005-0000-0000-0000ED370000}"/>
    <cellStyle name="汇总 2 3 2 7 2" xfId="73" xr:uid="{00000000-0005-0000-0000-00004F000000}"/>
    <cellStyle name="汇总 2 3 2 7 2 2" xfId="808" xr:uid="{00000000-0005-0000-0000-000058030000}"/>
    <cellStyle name="汇总 2 3 2 7 3" xfId="445" xr:uid="{00000000-0005-0000-0000-0000E6010000}"/>
    <cellStyle name="汇总 2 3 2 7 3 2" xfId="11243" xr:uid="{00000000-0005-0000-0000-00001B2C0000}"/>
    <cellStyle name="汇总 2 3 2 7 4" xfId="494" xr:uid="{00000000-0005-0000-0000-00001A020000}"/>
    <cellStyle name="汇总 2 3 2 7 4 2" xfId="14272" xr:uid="{00000000-0005-0000-0000-0000F0370000}"/>
    <cellStyle name="汇总 2 3 2 7 5" xfId="535" xr:uid="{00000000-0005-0000-0000-000046020000}"/>
    <cellStyle name="汇总 2 3 2 7 5 2" xfId="14273" xr:uid="{00000000-0005-0000-0000-0000F1370000}"/>
    <cellStyle name="汇总 2 3 2 7 6" xfId="11248" xr:uid="{00000000-0005-0000-0000-0000202C0000}"/>
    <cellStyle name="汇总 2 3 2 8" xfId="14276" xr:uid="{00000000-0005-0000-0000-0000F4370000}"/>
    <cellStyle name="汇总 2 3 2 8 2" xfId="14281" xr:uid="{00000000-0005-0000-0000-0000F9370000}"/>
    <cellStyle name="汇总 2 3 2 8 2 2" xfId="14282" xr:uid="{00000000-0005-0000-0000-0000FA370000}"/>
    <cellStyle name="汇总 2 3 2 8 3" xfId="14283" xr:uid="{00000000-0005-0000-0000-0000FB370000}"/>
    <cellStyle name="汇总 2 3 2 8 3 2" xfId="14284" xr:uid="{00000000-0005-0000-0000-0000FC370000}"/>
    <cellStyle name="汇总 2 3 2 8 4" xfId="14285" xr:uid="{00000000-0005-0000-0000-0000FD370000}"/>
    <cellStyle name="汇总 2 3 2 8 4 2" xfId="14287" xr:uid="{00000000-0005-0000-0000-0000FF370000}"/>
    <cellStyle name="汇总 2 3 2 8 5" xfId="9868" xr:uid="{00000000-0005-0000-0000-0000BC260000}"/>
    <cellStyle name="汇总 2 3 2 9" xfId="14291" xr:uid="{00000000-0005-0000-0000-000003380000}"/>
    <cellStyle name="汇总 2 3 2 9 2" xfId="14296" xr:uid="{00000000-0005-0000-0000-000008380000}"/>
    <cellStyle name="汇总 2 3 20" xfId="12378" xr:uid="{00000000-0005-0000-0000-00008A300000}"/>
    <cellStyle name="汇总 2 3 20 2" xfId="3532" xr:uid="{00000000-0005-0000-0000-0000FC0D0000}"/>
    <cellStyle name="汇总 2 3 21" xfId="2749" xr:uid="{00000000-0005-0000-0000-0000ED0A0000}"/>
    <cellStyle name="汇总 2 3 21 2" xfId="14019" xr:uid="{00000000-0005-0000-0000-0000F3360000}"/>
    <cellStyle name="汇总 2 3 22" xfId="14037" xr:uid="{00000000-0005-0000-0000-000005370000}"/>
    <cellStyle name="汇总 2 3 22 2" xfId="14050" xr:uid="{00000000-0005-0000-0000-000012370000}"/>
    <cellStyle name="汇总 2 3 23" xfId="14085" xr:uid="{00000000-0005-0000-0000-000035370000}"/>
    <cellStyle name="汇总 2 3 23 2" xfId="14098" xr:uid="{00000000-0005-0000-0000-000042370000}"/>
    <cellStyle name="汇总 2 3 24" xfId="10791" xr:uid="{00000000-0005-0000-0000-0000572A0000}"/>
    <cellStyle name="汇总 2 3 25" xfId="10803" xr:uid="{00000000-0005-0000-0000-0000632A0000}"/>
    <cellStyle name="汇总 2 3 26" xfId="10816" xr:uid="{00000000-0005-0000-0000-0000702A0000}"/>
    <cellStyle name="汇总 2 3 27" xfId="10826" xr:uid="{00000000-0005-0000-0000-00007A2A0000}"/>
    <cellStyle name="汇总 2 3 3" xfId="14301" xr:uid="{00000000-0005-0000-0000-00000D380000}"/>
    <cellStyle name="汇总 2 3 3 10" xfId="4821" xr:uid="{00000000-0005-0000-0000-000005130000}"/>
    <cellStyle name="汇总 2 3 3 10 2" xfId="4829" xr:uid="{00000000-0005-0000-0000-00000D130000}"/>
    <cellStyle name="汇总 2 3 3 11" xfId="4836" xr:uid="{00000000-0005-0000-0000-000014130000}"/>
    <cellStyle name="汇总 2 3 3 11 2" xfId="14304" xr:uid="{00000000-0005-0000-0000-000010380000}"/>
    <cellStyle name="汇总 2 3 3 12" xfId="14307" xr:uid="{00000000-0005-0000-0000-000013380000}"/>
    <cellStyle name="汇总 2 3 3 12 2" xfId="14310" xr:uid="{00000000-0005-0000-0000-000016380000}"/>
    <cellStyle name="汇总 2 3 3 13" xfId="14313" xr:uid="{00000000-0005-0000-0000-000019380000}"/>
    <cellStyle name="汇总 2 3 3 14" xfId="14316" xr:uid="{00000000-0005-0000-0000-00001C380000}"/>
    <cellStyle name="汇总 2 3 3 15" xfId="14319" xr:uid="{00000000-0005-0000-0000-00001F380000}"/>
    <cellStyle name="汇总 2 3 3 16" xfId="9065" xr:uid="{00000000-0005-0000-0000-000099230000}"/>
    <cellStyle name="汇总 2 3 3 2" xfId="3646" xr:uid="{00000000-0005-0000-0000-00006E0E0000}"/>
    <cellStyle name="汇总 2 3 3 2 2" xfId="2845" xr:uid="{00000000-0005-0000-0000-00004D0B0000}"/>
    <cellStyle name="汇总 2 3 3 2 2 2" xfId="2853" xr:uid="{00000000-0005-0000-0000-0000550B0000}"/>
    <cellStyle name="汇总 2 3 3 2 3" xfId="2875" xr:uid="{00000000-0005-0000-0000-00006B0B0000}"/>
    <cellStyle name="汇总 2 3 3 2 3 2" xfId="14321" xr:uid="{00000000-0005-0000-0000-000021380000}"/>
    <cellStyle name="汇总 2 3 3 2 4" xfId="2856" xr:uid="{00000000-0005-0000-0000-0000580B0000}"/>
    <cellStyle name="汇总 2 3 3 2 4 2" xfId="14323" xr:uid="{00000000-0005-0000-0000-000023380000}"/>
    <cellStyle name="汇总 2 3 3 2 5" xfId="2886" xr:uid="{00000000-0005-0000-0000-0000760B0000}"/>
    <cellStyle name="汇总 2 3 3 2 5 2" xfId="11084" xr:uid="{00000000-0005-0000-0000-00007C2B0000}"/>
    <cellStyle name="汇总 2 3 3 2 6" xfId="2891" xr:uid="{00000000-0005-0000-0000-00007B0B0000}"/>
    <cellStyle name="汇总 2 3 3 2 7" xfId="2929" xr:uid="{00000000-0005-0000-0000-0000A10B0000}"/>
    <cellStyle name="汇总 2 3 3 2 8" xfId="8213" xr:uid="{00000000-0005-0000-0000-000045200000}"/>
    <cellStyle name="汇总 2 3 3 2 9" xfId="7456" xr:uid="{00000000-0005-0000-0000-0000501D0000}"/>
    <cellStyle name="汇总 2 3 3 3" xfId="3974" xr:uid="{00000000-0005-0000-0000-0000B60F0000}"/>
    <cellStyle name="汇总 2 3 3 3 2" xfId="4694" xr:uid="{00000000-0005-0000-0000-000086120000}"/>
    <cellStyle name="汇总 2 3 3 3 2 2" xfId="14324" xr:uid="{00000000-0005-0000-0000-000024380000}"/>
    <cellStyle name="汇总 2 3 3 3 3" xfId="14327" xr:uid="{00000000-0005-0000-0000-000027380000}"/>
    <cellStyle name="汇总 2 3 3 3 3 2" xfId="11512" xr:uid="{00000000-0005-0000-0000-0000282D0000}"/>
    <cellStyle name="汇总 2 3 3 3 4" xfId="14330" xr:uid="{00000000-0005-0000-0000-00002A380000}"/>
    <cellStyle name="汇总 2 3 3 3 4 2" xfId="14332" xr:uid="{00000000-0005-0000-0000-00002C380000}"/>
    <cellStyle name="汇总 2 3 3 3 5" xfId="14334" xr:uid="{00000000-0005-0000-0000-00002E380000}"/>
    <cellStyle name="汇总 2 3 3 3 5 2" xfId="11284" xr:uid="{00000000-0005-0000-0000-0000442C0000}"/>
    <cellStyle name="汇总 2 3 3 3 6" xfId="14338" xr:uid="{00000000-0005-0000-0000-000032380000}"/>
    <cellStyle name="汇总 2 3 3 4" xfId="4702" xr:uid="{00000000-0005-0000-0000-00008E120000}"/>
    <cellStyle name="汇总 2 3 3 4 2" xfId="14340" xr:uid="{00000000-0005-0000-0000-000034380000}"/>
    <cellStyle name="汇总 2 3 3 4 2 2" xfId="14341" xr:uid="{00000000-0005-0000-0000-000035380000}"/>
    <cellStyle name="汇总 2 3 3 4 3" xfId="14343" xr:uid="{00000000-0005-0000-0000-000037380000}"/>
    <cellStyle name="汇总 2 3 3 4 3 2" xfId="14344" xr:uid="{00000000-0005-0000-0000-000038380000}"/>
    <cellStyle name="汇总 2 3 3 4 4" xfId="14346" xr:uid="{00000000-0005-0000-0000-00003A380000}"/>
    <cellStyle name="汇总 2 3 3 4 4 2" xfId="14348" xr:uid="{00000000-0005-0000-0000-00003C380000}"/>
    <cellStyle name="汇总 2 3 3 4 5" xfId="14350" xr:uid="{00000000-0005-0000-0000-00003E380000}"/>
    <cellStyle name="汇总 2 3 3 4 5 2" xfId="14359" xr:uid="{00000000-0005-0000-0000-000047380000}"/>
    <cellStyle name="汇总 2 3 3 4 6" xfId="14362" xr:uid="{00000000-0005-0000-0000-00004A380000}"/>
    <cellStyle name="汇总 2 3 3 5" xfId="4715" xr:uid="{00000000-0005-0000-0000-00009B120000}"/>
    <cellStyle name="汇总 2 3 3 5 2" xfId="14364" xr:uid="{00000000-0005-0000-0000-00004C380000}"/>
    <cellStyle name="汇总 2 3 3 5 2 2" xfId="14365" xr:uid="{00000000-0005-0000-0000-00004D380000}"/>
    <cellStyle name="汇总 2 3 3 5 3" xfId="14367" xr:uid="{00000000-0005-0000-0000-00004F380000}"/>
    <cellStyle name="汇总 2 3 3 5 3 2" xfId="14368" xr:uid="{00000000-0005-0000-0000-000050380000}"/>
    <cellStyle name="汇总 2 3 3 5 4" xfId="14370" xr:uid="{00000000-0005-0000-0000-000052380000}"/>
    <cellStyle name="汇总 2 3 3 5 4 2" xfId="14376" xr:uid="{00000000-0005-0000-0000-000058380000}"/>
    <cellStyle name="汇总 2 3 3 5 5" xfId="14379" xr:uid="{00000000-0005-0000-0000-00005B380000}"/>
    <cellStyle name="汇总 2 3 3 5 5 2" xfId="1867" xr:uid="{00000000-0005-0000-0000-00007B070000}"/>
    <cellStyle name="汇总 2 3 3 5 6" xfId="14383" xr:uid="{00000000-0005-0000-0000-00005F380000}"/>
    <cellStyle name="汇总 2 3 3 6" xfId="4389" xr:uid="{00000000-0005-0000-0000-000055110000}"/>
    <cellStyle name="汇总 2 3 3 6 2" xfId="14385" xr:uid="{00000000-0005-0000-0000-000061380000}"/>
    <cellStyle name="汇总 2 3 3 6 2 2" xfId="14389" xr:uid="{00000000-0005-0000-0000-000065380000}"/>
    <cellStyle name="汇总 2 3 3 6 3" xfId="14391" xr:uid="{00000000-0005-0000-0000-000067380000}"/>
    <cellStyle name="汇总 2 3 3 6 3 2" xfId="14392" xr:uid="{00000000-0005-0000-0000-000068380000}"/>
    <cellStyle name="汇总 2 3 3 6 4" xfId="14395" xr:uid="{00000000-0005-0000-0000-00006B380000}"/>
    <cellStyle name="汇总 2 3 3 6 4 2" xfId="14400" xr:uid="{00000000-0005-0000-0000-000070380000}"/>
    <cellStyle name="汇总 2 3 3 6 5" xfId="5352" xr:uid="{00000000-0005-0000-0000-000018150000}"/>
    <cellStyle name="汇总 2 3 3 6 5 2" xfId="14406" xr:uid="{00000000-0005-0000-0000-000076380000}"/>
    <cellStyle name="汇总 2 3 3 6 6" xfId="14412" xr:uid="{00000000-0005-0000-0000-00007C380000}"/>
    <cellStyle name="汇总 2 3 3 7" xfId="4730" xr:uid="{00000000-0005-0000-0000-0000AA120000}"/>
    <cellStyle name="汇总 2 3 3 7 2" xfId="14418" xr:uid="{00000000-0005-0000-0000-000082380000}"/>
    <cellStyle name="汇总 2 3 3 7 2 2" xfId="14420" xr:uid="{00000000-0005-0000-0000-000084380000}"/>
    <cellStyle name="汇总 2 3 3 7 3" xfId="14422" xr:uid="{00000000-0005-0000-0000-000086380000}"/>
    <cellStyle name="汇总 2 3 3 7 3 2" xfId="14424" xr:uid="{00000000-0005-0000-0000-000088380000}"/>
    <cellStyle name="汇总 2 3 3 7 4" xfId="14427" xr:uid="{00000000-0005-0000-0000-00008B380000}"/>
    <cellStyle name="汇总 2 3 3 7 4 2" xfId="11971" xr:uid="{00000000-0005-0000-0000-0000F32E0000}"/>
    <cellStyle name="汇总 2 3 3 7 5" xfId="9894" xr:uid="{00000000-0005-0000-0000-0000D6260000}"/>
    <cellStyle name="汇总 2 3 3 7 5 2" xfId="14430" xr:uid="{00000000-0005-0000-0000-00008E380000}"/>
    <cellStyle name="汇总 2 3 3 7 6" xfId="14433" xr:uid="{00000000-0005-0000-0000-000091380000}"/>
    <cellStyle name="汇总 2 3 3 8" xfId="14440" xr:uid="{00000000-0005-0000-0000-000098380000}"/>
    <cellStyle name="汇总 2 3 3 8 2" xfId="14444" xr:uid="{00000000-0005-0000-0000-00009C380000}"/>
    <cellStyle name="汇总 2 3 3 8 2 2" xfId="14446" xr:uid="{00000000-0005-0000-0000-00009E380000}"/>
    <cellStyle name="汇总 2 3 3 8 3" xfId="14447" xr:uid="{00000000-0005-0000-0000-00009F380000}"/>
    <cellStyle name="汇总 2 3 3 8 3 2" xfId="14451" xr:uid="{00000000-0005-0000-0000-0000A3380000}"/>
    <cellStyle name="汇总 2 3 3 8 4" xfId="14453" xr:uid="{00000000-0005-0000-0000-0000A5380000}"/>
    <cellStyle name="汇总 2 3 3 8 4 2" xfId="14456" xr:uid="{00000000-0005-0000-0000-0000A8380000}"/>
    <cellStyle name="汇总 2 3 3 8 5" xfId="9908" xr:uid="{00000000-0005-0000-0000-0000E4260000}"/>
    <cellStyle name="汇总 2 3 3 9" xfId="14459" xr:uid="{00000000-0005-0000-0000-0000AB380000}"/>
    <cellStyle name="汇总 2 3 3 9 2" xfId="14461" xr:uid="{00000000-0005-0000-0000-0000AD380000}"/>
    <cellStyle name="汇总 2 3 4" xfId="14466" xr:uid="{00000000-0005-0000-0000-0000B2380000}"/>
    <cellStyle name="汇总 2 3 4 10" xfId="14170" xr:uid="{00000000-0005-0000-0000-00008A370000}"/>
    <cellStyle name="汇总 2 3 4 10 2" xfId="14173" xr:uid="{00000000-0005-0000-0000-00008D370000}"/>
    <cellStyle name="汇总 2 3 4 11" xfId="14185" xr:uid="{00000000-0005-0000-0000-000099370000}"/>
    <cellStyle name="汇总 2 3 4 11 2" xfId="14188" xr:uid="{00000000-0005-0000-0000-00009C370000}"/>
    <cellStyle name="汇总 2 3 4 12" xfId="14205" xr:uid="{00000000-0005-0000-0000-0000AD370000}"/>
    <cellStyle name="汇总 2 3 4 12 2" xfId="14212" xr:uid="{00000000-0005-0000-0000-0000B4370000}"/>
    <cellStyle name="汇总 2 3 4 13" xfId="14234" xr:uid="{00000000-0005-0000-0000-0000CA370000}"/>
    <cellStyle name="汇总 2 3 4 14" xfId="14267" xr:uid="{00000000-0005-0000-0000-0000EB370000}"/>
    <cellStyle name="汇总 2 3 4 15" xfId="14278" xr:uid="{00000000-0005-0000-0000-0000F6370000}"/>
    <cellStyle name="汇总 2 3 4 16" xfId="14294" xr:uid="{00000000-0005-0000-0000-000006380000}"/>
    <cellStyle name="汇总 2 3 4 2" xfId="14472" xr:uid="{00000000-0005-0000-0000-0000B8380000}"/>
    <cellStyle name="汇总 2 3 4 2 2" xfId="11017" xr:uid="{00000000-0005-0000-0000-0000392B0000}"/>
    <cellStyle name="汇总 2 3 4 2 2 2" xfId="4685" xr:uid="{00000000-0005-0000-0000-00007D120000}"/>
    <cellStyle name="汇总 2 3 4 2 3" xfId="8190" xr:uid="{00000000-0005-0000-0000-00002E200000}"/>
    <cellStyle name="汇总 2 3 4 2 3 2" xfId="12858" xr:uid="{00000000-0005-0000-0000-00006A320000}"/>
    <cellStyle name="汇总 2 3 4 2 4" xfId="10470" xr:uid="{00000000-0005-0000-0000-000016290000}"/>
    <cellStyle name="汇总 2 3 4 2 4 2" xfId="11545" xr:uid="{00000000-0005-0000-0000-0000492D0000}"/>
    <cellStyle name="汇总 2 3 4 2 5" xfId="13070" xr:uid="{00000000-0005-0000-0000-00003E330000}"/>
    <cellStyle name="汇总 2 3 4 2 5 2" xfId="11576" xr:uid="{00000000-0005-0000-0000-0000682D0000}"/>
    <cellStyle name="汇总 2 3 4 2 6" xfId="13181" xr:uid="{00000000-0005-0000-0000-0000AD330000}"/>
    <cellStyle name="汇总 2 3 4 2 7" xfId="129" xr:uid="{00000000-0005-0000-0000-00008B000000}"/>
    <cellStyle name="汇总 2 3 4 2 8" xfId="8534" xr:uid="{00000000-0005-0000-0000-000086210000}"/>
    <cellStyle name="汇总 2 3 4 2 9" xfId="7512" xr:uid="{00000000-0005-0000-0000-0000881D0000}"/>
    <cellStyle name="汇总 2 3 4 3" xfId="14473" xr:uid="{00000000-0005-0000-0000-0000B9380000}"/>
    <cellStyle name="汇总 2 3 4 3 2" xfId="14474" xr:uid="{00000000-0005-0000-0000-0000BA380000}"/>
    <cellStyle name="汇总 2 3 4 3 2 2" xfId="4905" xr:uid="{00000000-0005-0000-0000-000059130000}"/>
    <cellStyle name="汇总 2 3 4 3 3" xfId="14150" xr:uid="{00000000-0005-0000-0000-000076370000}"/>
    <cellStyle name="汇总 2 3 4 3 3 2" xfId="13983" xr:uid="{00000000-0005-0000-0000-0000CF360000}"/>
    <cellStyle name="汇总 2 3 4 3 4" xfId="14297" xr:uid="{00000000-0005-0000-0000-000009380000}"/>
    <cellStyle name="汇总 2 3 4 3 4 2" xfId="3643" xr:uid="{00000000-0005-0000-0000-00006B0E0000}"/>
    <cellStyle name="汇总 2 3 4 3 5" xfId="14463" xr:uid="{00000000-0005-0000-0000-0000AF380000}"/>
    <cellStyle name="汇总 2 3 4 3 5 2" xfId="14469" xr:uid="{00000000-0005-0000-0000-0000B5380000}"/>
    <cellStyle name="汇总 2 3 4 3 6" xfId="14483" xr:uid="{00000000-0005-0000-0000-0000C3380000}"/>
    <cellStyle name="汇总 2 3 4 4" xfId="14485" xr:uid="{00000000-0005-0000-0000-0000C5380000}"/>
    <cellStyle name="汇总 2 3 4 4 2" xfId="14486" xr:uid="{00000000-0005-0000-0000-0000C6380000}"/>
    <cellStyle name="汇总 2 3 4 4 2 2" xfId="3884" xr:uid="{00000000-0005-0000-0000-00005C0F0000}"/>
    <cellStyle name="汇总 2 3 4 4 3" xfId="14489" xr:uid="{00000000-0005-0000-0000-0000C9380000}"/>
    <cellStyle name="汇总 2 3 4 4 3 2" xfId="14491" xr:uid="{00000000-0005-0000-0000-0000CB380000}"/>
    <cellStyle name="汇总 2 3 4 4 4" xfId="14495" xr:uid="{00000000-0005-0000-0000-0000CF380000}"/>
    <cellStyle name="汇总 2 3 4 4 4 2" xfId="14498" xr:uid="{00000000-0005-0000-0000-0000D2380000}"/>
    <cellStyle name="汇总 2 3 4 4 5" xfId="14501" xr:uid="{00000000-0005-0000-0000-0000D5380000}"/>
    <cellStyle name="汇总 2 3 4 4 5 2" xfId="14508" xr:uid="{00000000-0005-0000-0000-0000DC380000}"/>
    <cellStyle name="汇总 2 3 4 4 6" xfId="14515" xr:uid="{00000000-0005-0000-0000-0000E3380000}"/>
    <cellStyle name="汇总 2 3 4 5" xfId="14519" xr:uid="{00000000-0005-0000-0000-0000E7380000}"/>
    <cellStyle name="汇总 2 3 4 5 2" xfId="14521" xr:uid="{00000000-0005-0000-0000-0000E9380000}"/>
    <cellStyle name="汇总 2 3 4 5 2 2" xfId="5408" xr:uid="{00000000-0005-0000-0000-000050150000}"/>
    <cellStyle name="汇总 2 3 4 5 3" xfId="14524" xr:uid="{00000000-0005-0000-0000-0000EC380000}"/>
    <cellStyle name="汇总 2 3 4 5 3 2" xfId="14527" xr:uid="{00000000-0005-0000-0000-0000EF380000}"/>
    <cellStyle name="汇总 2 3 4 5 4" xfId="14531" xr:uid="{00000000-0005-0000-0000-0000F3380000}"/>
    <cellStyle name="汇总 2 3 4 5 4 2" xfId="14536" xr:uid="{00000000-0005-0000-0000-0000F8380000}"/>
    <cellStyle name="汇总 2 3 4 5 5" xfId="14541" xr:uid="{00000000-0005-0000-0000-0000FD380000}"/>
    <cellStyle name="汇总 2 3 4 5 5 2" xfId="14549" xr:uid="{00000000-0005-0000-0000-000005390000}"/>
    <cellStyle name="汇总 2 3 4 5 6" xfId="14555" xr:uid="{00000000-0005-0000-0000-00000B390000}"/>
    <cellStyle name="汇总 2 3 4 6" xfId="14557" xr:uid="{00000000-0005-0000-0000-00000D390000}"/>
    <cellStyle name="汇总 2 3 4 6 2" xfId="14558" xr:uid="{00000000-0005-0000-0000-00000E390000}"/>
    <cellStyle name="汇总 2 3 4 6 2 2" xfId="5592" xr:uid="{00000000-0005-0000-0000-000008160000}"/>
    <cellStyle name="汇总 2 3 4 6 3" xfId="14561" xr:uid="{00000000-0005-0000-0000-000011390000}"/>
    <cellStyle name="汇总 2 3 4 6 3 2" xfId="14563" xr:uid="{00000000-0005-0000-0000-000013390000}"/>
    <cellStyle name="汇总 2 3 4 6 4" xfId="14567" xr:uid="{00000000-0005-0000-0000-000017390000}"/>
    <cellStyle name="汇总 2 3 4 6 4 2" xfId="14570" xr:uid="{00000000-0005-0000-0000-00001A390000}"/>
    <cellStyle name="汇总 2 3 4 6 5" xfId="5367" xr:uid="{00000000-0005-0000-0000-000027150000}"/>
    <cellStyle name="汇总 2 3 4 6 5 2" xfId="14573" xr:uid="{00000000-0005-0000-0000-00001D390000}"/>
    <cellStyle name="汇总 2 3 4 6 6" xfId="14580" xr:uid="{00000000-0005-0000-0000-000024390000}"/>
    <cellStyle name="汇总 2 3 4 7" xfId="14585" xr:uid="{00000000-0005-0000-0000-000029390000}"/>
    <cellStyle name="汇总 2 3 4 7 2" xfId="14586" xr:uid="{00000000-0005-0000-0000-00002A390000}"/>
    <cellStyle name="汇总 2 3 4 7 2 2" xfId="6116" xr:uid="{00000000-0005-0000-0000-000014180000}"/>
    <cellStyle name="汇总 2 3 4 7 3" xfId="14589" xr:uid="{00000000-0005-0000-0000-00002D390000}"/>
    <cellStyle name="汇总 2 3 4 7 3 2" xfId="14591" xr:uid="{00000000-0005-0000-0000-00002F390000}"/>
    <cellStyle name="汇总 2 3 4 7 4" xfId="14592" xr:uid="{00000000-0005-0000-0000-000030390000}"/>
    <cellStyle name="汇总 2 3 4 7 4 2" xfId="14595" xr:uid="{00000000-0005-0000-0000-000033390000}"/>
    <cellStyle name="汇总 2 3 4 7 5" xfId="9936" xr:uid="{00000000-0005-0000-0000-000000270000}"/>
    <cellStyle name="汇总 2 3 4 7 5 2" xfId="14598" xr:uid="{00000000-0005-0000-0000-000036390000}"/>
    <cellStyle name="汇总 2 3 4 7 6" xfId="14601" xr:uid="{00000000-0005-0000-0000-000039390000}"/>
    <cellStyle name="汇总 2 3 4 8" xfId="14609" xr:uid="{00000000-0005-0000-0000-000041390000}"/>
    <cellStyle name="汇总 2 3 4 8 2" xfId="14613" xr:uid="{00000000-0005-0000-0000-000045390000}"/>
    <cellStyle name="汇总 2 3 4 8 2 2" xfId="14616" xr:uid="{00000000-0005-0000-0000-000048390000}"/>
    <cellStyle name="汇总 2 3 4 8 3" xfId="14617" xr:uid="{00000000-0005-0000-0000-000049390000}"/>
    <cellStyle name="汇总 2 3 4 8 3 2" xfId="14621" xr:uid="{00000000-0005-0000-0000-00004D390000}"/>
    <cellStyle name="汇总 2 3 4 8 4" xfId="14622" xr:uid="{00000000-0005-0000-0000-00004E390000}"/>
    <cellStyle name="汇总 2 3 4 8 4 2" xfId="609" xr:uid="{00000000-0005-0000-0000-000091020000}"/>
    <cellStyle name="汇总 2 3 4 8 5" xfId="9951" xr:uid="{00000000-0005-0000-0000-00000F270000}"/>
    <cellStyle name="汇总 2 3 4 9" xfId="14626" xr:uid="{00000000-0005-0000-0000-000052390000}"/>
    <cellStyle name="汇总 2 3 4 9 2" xfId="14628" xr:uid="{00000000-0005-0000-0000-000054390000}"/>
    <cellStyle name="汇总 2 3 5" xfId="14477" xr:uid="{00000000-0005-0000-0000-0000BD380000}"/>
    <cellStyle name="汇总 2 3 5 10" xfId="14633" xr:uid="{00000000-0005-0000-0000-000059390000}"/>
    <cellStyle name="汇总 2 3 5 10 2" xfId="14635" xr:uid="{00000000-0005-0000-0000-00005B390000}"/>
    <cellStyle name="汇总 2 3 5 11" xfId="14637" xr:uid="{00000000-0005-0000-0000-00005D390000}"/>
    <cellStyle name="汇总 2 3 5 11 2" xfId="14639" xr:uid="{00000000-0005-0000-0000-00005F390000}"/>
    <cellStyle name="汇总 2 3 5 12" xfId="14641" xr:uid="{00000000-0005-0000-0000-000061390000}"/>
    <cellStyle name="汇总 2 3 5 12 2" xfId="14643" xr:uid="{00000000-0005-0000-0000-000063390000}"/>
    <cellStyle name="汇总 2 3 5 13" xfId="14650" xr:uid="{00000000-0005-0000-0000-00006A390000}"/>
    <cellStyle name="汇总 2 3 5 14" xfId="6903" xr:uid="{00000000-0005-0000-0000-0000271B0000}"/>
    <cellStyle name="汇总 2 3 5 15" xfId="14655" xr:uid="{00000000-0005-0000-0000-00006F390000}"/>
    <cellStyle name="汇总 2 3 5 16" xfId="14659" xr:uid="{00000000-0005-0000-0000-000073390000}"/>
    <cellStyle name="汇总 2 3 5 2" xfId="14661" xr:uid="{00000000-0005-0000-0000-000075390000}"/>
    <cellStyle name="汇总 2 3 5 2 2" xfId="11233" xr:uid="{00000000-0005-0000-0000-0000112C0000}"/>
    <cellStyle name="汇总 2 3 5 2 2 2" xfId="8134" xr:uid="{00000000-0005-0000-0000-0000F61F0000}"/>
    <cellStyle name="汇总 2 3 5 2 3" xfId="8247" xr:uid="{00000000-0005-0000-0000-000067200000}"/>
    <cellStyle name="汇总 2 3 5 2 3 2" xfId="11897" xr:uid="{00000000-0005-0000-0000-0000A92E0000}"/>
    <cellStyle name="汇总 2 3 5 2 4" xfId="14667" xr:uid="{00000000-0005-0000-0000-00007B390000}"/>
    <cellStyle name="汇总 2 3 5 2 4 2" xfId="12121" xr:uid="{00000000-0005-0000-0000-0000892F0000}"/>
    <cellStyle name="汇总 2 3 5 2 5" xfId="13325" xr:uid="{00000000-0005-0000-0000-00003D340000}"/>
    <cellStyle name="汇总 2 3 5 2 5 2" xfId="12358" xr:uid="{00000000-0005-0000-0000-000076300000}"/>
    <cellStyle name="汇总 2 3 5 2 6" xfId="14671" xr:uid="{00000000-0005-0000-0000-00007F390000}"/>
    <cellStyle name="汇总 2 3 5 2 7" xfId="3061" xr:uid="{00000000-0005-0000-0000-0000250C0000}"/>
    <cellStyle name="汇总 2 3 5 2 8" xfId="8745" xr:uid="{00000000-0005-0000-0000-000059220000}"/>
    <cellStyle name="汇总 2 3 5 2 9" xfId="7579" xr:uid="{00000000-0005-0000-0000-0000CB1D0000}"/>
    <cellStyle name="汇总 2 3 5 3" xfId="14675" xr:uid="{00000000-0005-0000-0000-000083390000}"/>
    <cellStyle name="汇总 2 3 5 3 2" xfId="14676" xr:uid="{00000000-0005-0000-0000-000084390000}"/>
    <cellStyle name="汇总 2 3 5 3 2 2" xfId="8478" xr:uid="{00000000-0005-0000-0000-00004E210000}"/>
    <cellStyle name="汇总 2 3 5 3 3" xfId="14678" xr:uid="{00000000-0005-0000-0000-000086390000}"/>
    <cellStyle name="汇总 2 3 5 3 3 2" xfId="14680" xr:uid="{00000000-0005-0000-0000-000088390000}"/>
    <cellStyle name="汇总 2 3 5 3 4" xfId="14682" xr:uid="{00000000-0005-0000-0000-00008A390000}"/>
    <cellStyle name="汇总 2 3 5 3 4 2" xfId="14684" xr:uid="{00000000-0005-0000-0000-00008C390000}"/>
    <cellStyle name="汇总 2 3 5 3 5" xfId="5386" xr:uid="{00000000-0005-0000-0000-00003A150000}"/>
    <cellStyle name="汇总 2 3 5 3 5 2" xfId="14686" xr:uid="{00000000-0005-0000-0000-00008E390000}"/>
    <cellStyle name="汇总 2 3 5 3 6" xfId="14689" xr:uid="{00000000-0005-0000-0000-000091390000}"/>
    <cellStyle name="汇总 2 3 5 4" xfId="14691" xr:uid="{00000000-0005-0000-0000-000093390000}"/>
    <cellStyle name="汇总 2 3 5 4 2" xfId="2347" xr:uid="{00000000-0005-0000-0000-00005B090000}"/>
    <cellStyle name="汇总 2 3 5 4 2 2" xfId="1175" xr:uid="{00000000-0005-0000-0000-0000C7040000}"/>
    <cellStyle name="汇总 2 3 5 4 3" xfId="578" xr:uid="{00000000-0005-0000-0000-000072020000}"/>
    <cellStyle name="汇总 2 3 5 4 3 2" xfId="2907" xr:uid="{00000000-0005-0000-0000-00008B0B0000}"/>
    <cellStyle name="汇总 2 3 5 4 4" xfId="777" xr:uid="{00000000-0005-0000-0000-000039030000}"/>
    <cellStyle name="汇总 2 3 5 4 4 2" xfId="3213" xr:uid="{00000000-0005-0000-0000-0000BD0C0000}"/>
    <cellStyle name="汇总 2 3 5 4 5" xfId="3320" xr:uid="{00000000-0005-0000-0000-0000280D0000}"/>
    <cellStyle name="汇总 2 3 5 4 5 2" xfId="3334" xr:uid="{00000000-0005-0000-0000-0000360D0000}"/>
    <cellStyle name="汇总 2 3 5 4 6" xfId="2682" xr:uid="{00000000-0005-0000-0000-0000AA0A0000}"/>
    <cellStyle name="汇总 2 3 5 5" xfId="14692" xr:uid="{00000000-0005-0000-0000-000094390000}"/>
    <cellStyle name="汇总 2 3 5 5 2" xfId="14693" xr:uid="{00000000-0005-0000-0000-000095390000}"/>
    <cellStyle name="汇总 2 3 5 5 2 2" xfId="8809" xr:uid="{00000000-0005-0000-0000-000099220000}"/>
    <cellStyle name="汇总 2 3 5 5 3" xfId="14695" xr:uid="{00000000-0005-0000-0000-000097390000}"/>
    <cellStyle name="汇总 2 3 5 5 3 2" xfId="14696" xr:uid="{00000000-0005-0000-0000-000098390000}"/>
    <cellStyle name="汇总 2 3 5 5 4" xfId="14697" xr:uid="{00000000-0005-0000-0000-000099390000}"/>
    <cellStyle name="汇总 2 3 5 5 4 2" xfId="7237" xr:uid="{00000000-0005-0000-0000-0000751C0000}"/>
    <cellStyle name="汇总 2 3 5 5 5" xfId="14699" xr:uid="{00000000-0005-0000-0000-00009B390000}"/>
    <cellStyle name="汇总 2 3 5 5 5 2" xfId="14705" xr:uid="{00000000-0005-0000-0000-0000A1390000}"/>
    <cellStyle name="汇总 2 3 5 5 6" xfId="14709" xr:uid="{00000000-0005-0000-0000-0000A5390000}"/>
    <cellStyle name="汇总 2 3 5 6" xfId="14712" xr:uid="{00000000-0005-0000-0000-0000A8390000}"/>
    <cellStyle name="汇总 2 3 5 6 2" xfId="14715" xr:uid="{00000000-0005-0000-0000-0000AB390000}"/>
    <cellStyle name="汇总 2 3 5 6 2 2" xfId="9168" xr:uid="{00000000-0005-0000-0000-000000240000}"/>
    <cellStyle name="汇总 2 3 5 6 3" xfId="14717" xr:uid="{00000000-0005-0000-0000-0000AD390000}"/>
    <cellStyle name="汇总 2 3 5 6 3 2" xfId="14718" xr:uid="{00000000-0005-0000-0000-0000AE390000}"/>
    <cellStyle name="汇总 2 3 5 6 4" xfId="14719" xr:uid="{00000000-0005-0000-0000-0000AF390000}"/>
    <cellStyle name="汇总 2 3 5 6 4 2" xfId="14720" xr:uid="{00000000-0005-0000-0000-0000B0390000}"/>
    <cellStyle name="汇总 2 3 5 6 5" xfId="9978" xr:uid="{00000000-0005-0000-0000-00002A270000}"/>
    <cellStyle name="汇总 2 3 5 6 5 2" xfId="14722" xr:uid="{00000000-0005-0000-0000-0000B2390000}"/>
    <cellStyle name="汇总 2 3 5 6 6" xfId="14727" xr:uid="{00000000-0005-0000-0000-0000B7390000}"/>
    <cellStyle name="汇总 2 3 5 7" xfId="14732" xr:uid="{00000000-0005-0000-0000-0000BC390000}"/>
    <cellStyle name="汇总 2 3 5 7 2" xfId="14733" xr:uid="{00000000-0005-0000-0000-0000BD390000}"/>
    <cellStyle name="汇总 2 3 5 7 2 2" xfId="9353" xr:uid="{00000000-0005-0000-0000-0000B9240000}"/>
    <cellStyle name="汇总 2 3 5 7 3" xfId="14734" xr:uid="{00000000-0005-0000-0000-0000BE390000}"/>
    <cellStyle name="汇总 2 3 5 7 3 2" xfId="14735" xr:uid="{00000000-0005-0000-0000-0000BF390000}"/>
    <cellStyle name="汇总 2 3 5 7 4" xfId="14736" xr:uid="{00000000-0005-0000-0000-0000C0390000}"/>
    <cellStyle name="汇总 2 3 5 7 4 2" xfId="14737" xr:uid="{00000000-0005-0000-0000-0000C1390000}"/>
    <cellStyle name="汇总 2 3 5 7 5" xfId="9989" xr:uid="{00000000-0005-0000-0000-000035270000}"/>
    <cellStyle name="汇总 2 3 5 7 5 2" xfId="14740" xr:uid="{00000000-0005-0000-0000-0000C4390000}"/>
    <cellStyle name="汇总 2 3 5 7 6" xfId="14743" xr:uid="{00000000-0005-0000-0000-0000C7390000}"/>
    <cellStyle name="汇总 2 3 5 8" xfId="14751" xr:uid="{00000000-0005-0000-0000-0000CF390000}"/>
    <cellStyle name="汇总 2 3 5 8 2" xfId="14754" xr:uid="{00000000-0005-0000-0000-0000D2390000}"/>
    <cellStyle name="汇总 2 3 5 8 2 2" xfId="14757" xr:uid="{00000000-0005-0000-0000-0000D5390000}"/>
    <cellStyle name="汇总 2 3 5 8 3" xfId="14759" xr:uid="{00000000-0005-0000-0000-0000D7390000}"/>
    <cellStyle name="汇总 2 3 5 8 3 2" xfId="14760" xr:uid="{00000000-0005-0000-0000-0000D8390000}"/>
    <cellStyle name="汇总 2 3 5 8 4" xfId="14763" xr:uid="{00000000-0005-0000-0000-0000DB390000}"/>
    <cellStyle name="汇总 2 3 5 8 4 2" xfId="14764" xr:uid="{00000000-0005-0000-0000-0000DC390000}"/>
    <cellStyle name="汇总 2 3 5 8 5" xfId="10009" xr:uid="{00000000-0005-0000-0000-000049270000}"/>
    <cellStyle name="汇总 2 3 5 9" xfId="14767" xr:uid="{00000000-0005-0000-0000-0000DF390000}"/>
    <cellStyle name="汇总 2 3 5 9 2" xfId="6146" xr:uid="{00000000-0005-0000-0000-000032180000}"/>
    <cellStyle name="汇总 2 3 6" xfId="2979" xr:uid="{00000000-0005-0000-0000-0000D30B0000}"/>
    <cellStyle name="汇总 2 3 6 10" xfId="14771" xr:uid="{00000000-0005-0000-0000-0000E3390000}"/>
    <cellStyle name="汇总 2 3 6 10 2" xfId="14776" xr:uid="{00000000-0005-0000-0000-0000E8390000}"/>
    <cellStyle name="汇总 2 3 6 11" xfId="14784" xr:uid="{00000000-0005-0000-0000-0000F0390000}"/>
    <cellStyle name="汇总 2 3 6 11 2" xfId="14791" xr:uid="{00000000-0005-0000-0000-0000F7390000}"/>
    <cellStyle name="汇总 2 3 6 12" xfId="14797" xr:uid="{00000000-0005-0000-0000-0000FD390000}"/>
    <cellStyle name="汇总 2 3 6 12 2" xfId="14798" xr:uid="{00000000-0005-0000-0000-0000FE390000}"/>
    <cellStyle name="汇总 2 3 6 13" xfId="14801" xr:uid="{00000000-0005-0000-0000-0000013A0000}"/>
    <cellStyle name="汇总 2 3 6 14" xfId="11151" xr:uid="{00000000-0005-0000-0000-0000BF2B0000}"/>
    <cellStyle name="汇总 2 3 6 15" xfId="7935" xr:uid="{00000000-0005-0000-0000-00002F1F0000}"/>
    <cellStyle name="汇总 2 3 6 16" xfId="11176" xr:uid="{00000000-0005-0000-0000-0000D82B0000}"/>
    <cellStyle name="汇总 2 3 6 2" xfId="14804" xr:uid="{00000000-0005-0000-0000-0000043A0000}"/>
    <cellStyle name="汇总 2 3 6 2 2" xfId="11493" xr:uid="{00000000-0005-0000-0000-0000152D0000}"/>
    <cellStyle name="汇总 2 3 6 2 2 2" xfId="9837" xr:uid="{00000000-0005-0000-0000-00009D260000}"/>
    <cellStyle name="汇总 2 3 6 2 3" xfId="8293" xr:uid="{00000000-0005-0000-0000-000095200000}"/>
    <cellStyle name="汇总 2 3 6 2 3 2" xfId="14806" xr:uid="{00000000-0005-0000-0000-0000063A0000}"/>
    <cellStyle name="汇总 2 3 6 2 4" xfId="14812" xr:uid="{00000000-0005-0000-0000-00000C3A0000}"/>
    <cellStyle name="汇总 2 3 6 2 4 2" xfId="14815" xr:uid="{00000000-0005-0000-0000-00000F3A0000}"/>
    <cellStyle name="汇总 2 3 6 2 5" xfId="14818" xr:uid="{00000000-0005-0000-0000-0000123A0000}"/>
    <cellStyle name="汇总 2 3 6 2 5 2" xfId="14822" xr:uid="{00000000-0005-0000-0000-0000163A0000}"/>
    <cellStyle name="汇总 2 3 6 2 6" xfId="14826" xr:uid="{00000000-0005-0000-0000-00001A3A0000}"/>
    <cellStyle name="汇总 2 3 6 2 7" xfId="3136" xr:uid="{00000000-0005-0000-0000-0000700C0000}"/>
    <cellStyle name="汇总 2 3 6 2 8" xfId="8925" xr:uid="{00000000-0005-0000-0000-00000D230000}"/>
    <cellStyle name="汇总 2 3 6 2 9" xfId="7645" xr:uid="{00000000-0005-0000-0000-00000D1E0000}"/>
    <cellStyle name="汇总 2 3 6 3" xfId="14830" xr:uid="{00000000-0005-0000-0000-00001E3A0000}"/>
    <cellStyle name="汇总 2 3 6 3 2" xfId="14831" xr:uid="{00000000-0005-0000-0000-00001F3A0000}"/>
    <cellStyle name="汇总 2 3 6 3 2 2" xfId="10848" xr:uid="{00000000-0005-0000-0000-0000902A0000}"/>
    <cellStyle name="汇总 2 3 6 3 3" xfId="14834" xr:uid="{00000000-0005-0000-0000-0000223A0000}"/>
    <cellStyle name="汇总 2 3 6 3 3 2" xfId="14836" xr:uid="{00000000-0005-0000-0000-0000243A0000}"/>
    <cellStyle name="汇总 2 3 6 3 4" xfId="14839" xr:uid="{00000000-0005-0000-0000-0000273A0000}"/>
    <cellStyle name="汇总 2 3 6 3 4 2" xfId="14841" xr:uid="{00000000-0005-0000-0000-0000293A0000}"/>
    <cellStyle name="汇总 2 3 6 3 5" xfId="14843" xr:uid="{00000000-0005-0000-0000-00002B3A0000}"/>
    <cellStyle name="汇总 2 3 6 3 5 2" xfId="14846" xr:uid="{00000000-0005-0000-0000-00002E3A0000}"/>
    <cellStyle name="汇总 2 3 6 3 6" xfId="14849" xr:uid="{00000000-0005-0000-0000-0000313A0000}"/>
    <cellStyle name="汇总 2 3 6 4" xfId="14852" xr:uid="{00000000-0005-0000-0000-0000343A0000}"/>
    <cellStyle name="汇总 2 3 6 4 2" xfId="11825" xr:uid="{00000000-0005-0000-0000-0000612E0000}"/>
    <cellStyle name="汇总 2 3 6 4 2 2" xfId="2834" xr:uid="{00000000-0005-0000-0000-0000420B0000}"/>
    <cellStyle name="汇总 2 3 6 4 3" xfId="11833" xr:uid="{00000000-0005-0000-0000-0000692E0000}"/>
    <cellStyle name="汇总 2 3 6 4 3 2" xfId="11836" xr:uid="{00000000-0005-0000-0000-00006C2E0000}"/>
    <cellStyle name="汇总 2 3 6 4 4" xfId="11839" xr:uid="{00000000-0005-0000-0000-00006F2E0000}"/>
    <cellStyle name="汇总 2 3 6 4 4 2" xfId="11845" xr:uid="{00000000-0005-0000-0000-0000752E0000}"/>
    <cellStyle name="汇总 2 3 6 4 5" xfId="11849" xr:uid="{00000000-0005-0000-0000-0000792E0000}"/>
    <cellStyle name="汇总 2 3 6 4 5 2" xfId="14854" xr:uid="{00000000-0005-0000-0000-0000363A0000}"/>
    <cellStyle name="汇总 2 3 6 4 6" xfId="11856" xr:uid="{00000000-0005-0000-0000-0000802E0000}"/>
    <cellStyle name="汇总 2 3 6 5" xfId="14857" xr:uid="{00000000-0005-0000-0000-0000393A0000}"/>
    <cellStyle name="汇总 2 3 6 5 2" xfId="14858" xr:uid="{00000000-0005-0000-0000-00003A3A0000}"/>
    <cellStyle name="汇总 2 3 6 5 2 2" xfId="11011" xr:uid="{00000000-0005-0000-0000-0000332B0000}"/>
    <cellStyle name="汇总 2 3 6 5 3" xfId="14861" xr:uid="{00000000-0005-0000-0000-00003D3A0000}"/>
    <cellStyle name="汇总 2 3 6 5 3 2" xfId="14862" xr:uid="{00000000-0005-0000-0000-00003E3A0000}"/>
    <cellStyle name="汇总 2 3 6 5 4" xfId="14863" xr:uid="{00000000-0005-0000-0000-00003F3A0000}"/>
    <cellStyle name="汇总 2 3 6 5 4 2" xfId="14165" xr:uid="{00000000-0005-0000-0000-000085370000}"/>
    <cellStyle name="汇总 2 3 6 5 5" xfId="14865" xr:uid="{00000000-0005-0000-0000-0000413A0000}"/>
    <cellStyle name="汇总 2 3 6 5 5 2" xfId="14871" xr:uid="{00000000-0005-0000-0000-0000473A0000}"/>
    <cellStyle name="汇总 2 3 6 5 6" xfId="14875" xr:uid="{00000000-0005-0000-0000-00004B3A0000}"/>
    <cellStyle name="汇总 2 3 6 6" xfId="14878" xr:uid="{00000000-0005-0000-0000-00004E3A0000}"/>
    <cellStyle name="汇总 2 3 6 6 2" xfId="14881" xr:uid="{00000000-0005-0000-0000-0000513A0000}"/>
    <cellStyle name="汇总 2 3 6 6 2 2" xfId="11223" xr:uid="{00000000-0005-0000-0000-0000072C0000}"/>
    <cellStyle name="汇总 2 3 6 6 3" xfId="14884" xr:uid="{00000000-0005-0000-0000-0000543A0000}"/>
    <cellStyle name="汇总 2 3 6 6 3 2" xfId="14886" xr:uid="{00000000-0005-0000-0000-0000563A0000}"/>
    <cellStyle name="汇总 2 3 6 6 4" xfId="14888" xr:uid="{00000000-0005-0000-0000-0000583A0000}"/>
    <cellStyle name="汇总 2 3 6 6 4 2" xfId="14893" xr:uid="{00000000-0005-0000-0000-00005D3A0000}"/>
    <cellStyle name="汇总 2 3 6 6 5" xfId="10039" xr:uid="{00000000-0005-0000-0000-000067270000}"/>
    <cellStyle name="汇总 2 3 6 6 5 2" xfId="14895" xr:uid="{00000000-0005-0000-0000-00005F3A0000}"/>
    <cellStyle name="汇总 2 3 6 6 6" xfId="14900" xr:uid="{00000000-0005-0000-0000-0000643A0000}"/>
    <cellStyle name="汇总 2 3 6 7" xfId="14906" xr:uid="{00000000-0005-0000-0000-00006A3A0000}"/>
    <cellStyle name="汇总 2 3 6 7 2" xfId="14907" xr:uid="{00000000-0005-0000-0000-00006B3A0000}"/>
    <cellStyle name="汇总 2 3 6 7 2 2" xfId="11486" xr:uid="{00000000-0005-0000-0000-00000E2D0000}"/>
    <cellStyle name="汇总 2 3 6 7 3" xfId="14908" xr:uid="{00000000-0005-0000-0000-00006C3A0000}"/>
    <cellStyle name="汇总 2 3 6 7 3 2" xfId="14909" xr:uid="{00000000-0005-0000-0000-00006D3A0000}"/>
    <cellStyle name="汇总 2 3 6 7 4" xfId="14910" xr:uid="{00000000-0005-0000-0000-00006E3A0000}"/>
    <cellStyle name="汇总 2 3 6 7 4 2" xfId="14911" xr:uid="{00000000-0005-0000-0000-00006F3A0000}"/>
    <cellStyle name="汇总 2 3 6 7 5" xfId="10053" xr:uid="{00000000-0005-0000-0000-000075270000}"/>
    <cellStyle name="汇总 2 3 6 7 5 2" xfId="14913" xr:uid="{00000000-0005-0000-0000-0000713A0000}"/>
    <cellStyle name="汇总 2 3 6 7 6" xfId="14916" xr:uid="{00000000-0005-0000-0000-0000743A0000}"/>
    <cellStyle name="汇总 2 3 6 8" xfId="14922" xr:uid="{00000000-0005-0000-0000-00007A3A0000}"/>
    <cellStyle name="汇总 2 3 6 8 2" xfId="14924" xr:uid="{00000000-0005-0000-0000-00007C3A0000}"/>
    <cellStyle name="汇总 2 3 6 8 2 2" xfId="12755" xr:uid="{00000000-0005-0000-0000-000003320000}"/>
    <cellStyle name="汇总 2 3 6 8 3" xfId="14925" xr:uid="{00000000-0005-0000-0000-00007D3A0000}"/>
    <cellStyle name="汇总 2 3 6 8 3 2" xfId="14926" xr:uid="{00000000-0005-0000-0000-00007E3A0000}"/>
    <cellStyle name="汇总 2 3 6 8 4" xfId="14927" xr:uid="{00000000-0005-0000-0000-00007F3A0000}"/>
    <cellStyle name="汇总 2 3 6 8 4 2" xfId="14928" xr:uid="{00000000-0005-0000-0000-0000803A0000}"/>
    <cellStyle name="汇总 2 3 6 8 5" xfId="10071" xr:uid="{00000000-0005-0000-0000-000087270000}"/>
    <cellStyle name="汇总 2 3 6 9" xfId="14929" xr:uid="{00000000-0005-0000-0000-0000813A0000}"/>
    <cellStyle name="汇总 2 3 6 9 2" xfId="11977" xr:uid="{00000000-0005-0000-0000-0000F92E0000}"/>
    <cellStyle name="汇总 2 3 7" xfId="8578" xr:uid="{00000000-0005-0000-0000-0000B2210000}"/>
    <cellStyle name="汇总 2 3 7 10" xfId="14930" xr:uid="{00000000-0005-0000-0000-0000823A0000}"/>
    <cellStyle name="汇总 2 3 7 10 2" xfId="14933" xr:uid="{00000000-0005-0000-0000-0000853A0000}"/>
    <cellStyle name="汇总 2 3 7 11" xfId="10378" xr:uid="{00000000-0005-0000-0000-0000BA280000}"/>
    <cellStyle name="汇总 2 3 7 11 2" xfId="6014" xr:uid="{00000000-0005-0000-0000-0000AE170000}"/>
    <cellStyle name="汇总 2 3 7 12" xfId="14934" xr:uid="{00000000-0005-0000-0000-0000863A0000}"/>
    <cellStyle name="汇总 2 3 7 12 2" xfId="6037" xr:uid="{00000000-0005-0000-0000-0000C5170000}"/>
    <cellStyle name="汇总 2 3 7 13" xfId="14938" xr:uid="{00000000-0005-0000-0000-00008A3A0000}"/>
    <cellStyle name="汇总 2 3 7 14" xfId="6313" xr:uid="{00000000-0005-0000-0000-0000D9180000}"/>
    <cellStyle name="汇总 2 3 7 15" xfId="14940" xr:uid="{00000000-0005-0000-0000-00008C3A0000}"/>
    <cellStyle name="汇总 2 3 7 16" xfId="14890" xr:uid="{00000000-0005-0000-0000-00005A3A0000}"/>
    <cellStyle name="汇总 2 3 7 2" xfId="3863" xr:uid="{00000000-0005-0000-0000-0000470F0000}"/>
    <cellStyle name="汇总 2 3 7 2 2" xfId="14942" xr:uid="{00000000-0005-0000-0000-00008E3A0000}"/>
    <cellStyle name="汇总 2 3 7 2 2 2" xfId="14944" xr:uid="{00000000-0005-0000-0000-0000903A0000}"/>
    <cellStyle name="汇总 2 3 7 2 3" xfId="8352" xr:uid="{00000000-0005-0000-0000-0000D0200000}"/>
    <cellStyle name="汇总 2 3 7 2 3 2" xfId="14947" xr:uid="{00000000-0005-0000-0000-0000933A0000}"/>
    <cellStyle name="汇总 2 3 7 2 4" xfId="14953" xr:uid="{00000000-0005-0000-0000-0000993A0000}"/>
    <cellStyle name="汇总 2 3 7 2 4 2" xfId="14955" xr:uid="{00000000-0005-0000-0000-00009B3A0000}"/>
    <cellStyle name="汇总 2 3 7 2 5" xfId="12006" xr:uid="{00000000-0005-0000-0000-0000162F0000}"/>
    <cellStyle name="汇总 2 3 7 2 5 2" xfId="14957" xr:uid="{00000000-0005-0000-0000-00009D3A0000}"/>
    <cellStyle name="汇总 2 3 7 2 6" xfId="14960" xr:uid="{00000000-0005-0000-0000-0000A03A0000}"/>
    <cellStyle name="汇总 2 3 7 2 7" xfId="3201" xr:uid="{00000000-0005-0000-0000-0000B10C0000}"/>
    <cellStyle name="汇总 2 3 7 2 8" xfId="6543" xr:uid="{00000000-0005-0000-0000-0000BF190000}"/>
    <cellStyle name="汇总 2 3 7 2 9" xfId="7703" xr:uid="{00000000-0005-0000-0000-0000471E0000}"/>
    <cellStyle name="汇总 2 3 7 3" xfId="14632" xr:uid="{00000000-0005-0000-0000-000058390000}"/>
    <cellStyle name="汇总 2 3 7 3 2" xfId="14634" xr:uid="{00000000-0005-0000-0000-00005A390000}"/>
    <cellStyle name="汇总 2 3 7 3 2 2" xfId="14961" xr:uid="{00000000-0005-0000-0000-0000A13A0000}"/>
    <cellStyle name="汇总 2 3 7 3 3" xfId="14964" xr:uid="{00000000-0005-0000-0000-0000A43A0000}"/>
    <cellStyle name="汇总 2 3 7 3 3 2" xfId="14967" xr:uid="{00000000-0005-0000-0000-0000A73A0000}"/>
    <cellStyle name="汇总 2 3 7 3 4" xfId="14970" xr:uid="{00000000-0005-0000-0000-0000AA3A0000}"/>
    <cellStyle name="汇总 2 3 7 3 4 2" xfId="14972" xr:uid="{00000000-0005-0000-0000-0000AC3A0000}"/>
    <cellStyle name="汇总 2 3 7 3 5" xfId="12010" xr:uid="{00000000-0005-0000-0000-00001A2F0000}"/>
    <cellStyle name="汇总 2 3 7 3 5 2" xfId="14974" xr:uid="{00000000-0005-0000-0000-0000AE3A0000}"/>
    <cellStyle name="汇总 2 3 7 3 6" xfId="14976" xr:uid="{00000000-0005-0000-0000-0000B03A0000}"/>
    <cellStyle name="汇总 2 3 7 4" xfId="14636" xr:uid="{00000000-0005-0000-0000-00005C390000}"/>
    <cellStyle name="汇总 2 3 7 4 2" xfId="14638" xr:uid="{00000000-0005-0000-0000-00005E390000}"/>
    <cellStyle name="汇总 2 3 7 4 2 2" xfId="6540" xr:uid="{00000000-0005-0000-0000-0000BC190000}"/>
    <cellStyle name="汇总 2 3 7 4 3" xfId="14977" xr:uid="{00000000-0005-0000-0000-0000B13A0000}"/>
    <cellStyle name="汇总 2 3 7 4 3 2" xfId="14979" xr:uid="{00000000-0005-0000-0000-0000B33A0000}"/>
    <cellStyle name="汇总 2 3 7 4 4" xfId="14982" xr:uid="{00000000-0005-0000-0000-0000B63A0000}"/>
    <cellStyle name="汇总 2 3 7 4 4 2" xfId="14984" xr:uid="{00000000-0005-0000-0000-0000B83A0000}"/>
    <cellStyle name="汇总 2 3 7 4 5" xfId="12017" xr:uid="{00000000-0005-0000-0000-0000212F0000}"/>
    <cellStyle name="汇总 2 3 7 4 5 2" xfId="14986" xr:uid="{00000000-0005-0000-0000-0000BA3A0000}"/>
    <cellStyle name="汇总 2 3 7 4 6" xfId="14988" xr:uid="{00000000-0005-0000-0000-0000BC3A0000}"/>
    <cellStyle name="汇总 2 3 7 5" xfId="14640" xr:uid="{00000000-0005-0000-0000-000060390000}"/>
    <cellStyle name="汇总 2 3 7 5 2" xfId="14642" xr:uid="{00000000-0005-0000-0000-000062390000}"/>
    <cellStyle name="汇总 2 3 7 5 2 2" xfId="14989" xr:uid="{00000000-0005-0000-0000-0000BD3A0000}"/>
    <cellStyle name="汇总 2 3 7 5 3" xfId="14993" xr:uid="{00000000-0005-0000-0000-0000C13A0000}"/>
    <cellStyle name="汇总 2 3 7 5 3 2" xfId="14995" xr:uid="{00000000-0005-0000-0000-0000C33A0000}"/>
    <cellStyle name="汇总 2 3 7 5 4" xfId="14998" xr:uid="{00000000-0005-0000-0000-0000C63A0000}"/>
    <cellStyle name="汇总 2 3 7 5 4 2" xfId="14999" xr:uid="{00000000-0005-0000-0000-0000C73A0000}"/>
    <cellStyle name="汇总 2 3 7 5 5" xfId="12028" xr:uid="{00000000-0005-0000-0000-00002C2F0000}"/>
    <cellStyle name="汇总 2 3 7 5 5 2" xfId="15003" xr:uid="{00000000-0005-0000-0000-0000CB3A0000}"/>
    <cellStyle name="汇总 2 3 7 5 6" xfId="15006" xr:uid="{00000000-0005-0000-0000-0000CE3A0000}"/>
    <cellStyle name="汇总 2 3 7 6" xfId="14646" xr:uid="{00000000-0005-0000-0000-000066390000}"/>
    <cellStyle name="汇总 2 3 7 6 2" xfId="15007" xr:uid="{00000000-0005-0000-0000-0000CF3A0000}"/>
    <cellStyle name="汇总 2 3 7 6 2 2" xfId="15008" xr:uid="{00000000-0005-0000-0000-0000D03A0000}"/>
    <cellStyle name="汇总 2 3 7 6 3" xfId="15013" xr:uid="{00000000-0005-0000-0000-0000D53A0000}"/>
    <cellStyle name="汇总 2 3 7 6 3 2" xfId="15016" xr:uid="{00000000-0005-0000-0000-0000D83A0000}"/>
    <cellStyle name="汇总 2 3 7 6 4" xfId="15018" xr:uid="{00000000-0005-0000-0000-0000DA3A0000}"/>
    <cellStyle name="汇总 2 3 7 6 4 2" xfId="15020" xr:uid="{00000000-0005-0000-0000-0000DC3A0000}"/>
    <cellStyle name="汇总 2 3 7 6 5" xfId="10101" xr:uid="{00000000-0005-0000-0000-0000A5270000}"/>
    <cellStyle name="汇总 2 3 7 6 5 2" xfId="15025" xr:uid="{00000000-0005-0000-0000-0000E13A0000}"/>
    <cellStyle name="汇总 2 3 7 6 6" xfId="15029" xr:uid="{00000000-0005-0000-0000-0000E53A0000}"/>
    <cellStyle name="汇总 2 3 7 7" xfId="6908" xr:uid="{00000000-0005-0000-0000-00002C1B0000}"/>
    <cellStyle name="汇总 2 3 7 7 2" xfId="15033" xr:uid="{00000000-0005-0000-0000-0000E93A0000}"/>
    <cellStyle name="汇总 2 3 7 7 2 2" xfId="15035" xr:uid="{00000000-0005-0000-0000-0000EB3A0000}"/>
    <cellStyle name="汇总 2 3 7 7 3" xfId="15036" xr:uid="{00000000-0005-0000-0000-0000EC3A0000}"/>
    <cellStyle name="汇总 2 3 7 7 3 2" xfId="15038" xr:uid="{00000000-0005-0000-0000-0000EE3A0000}"/>
    <cellStyle name="汇总 2 3 7 7 4" xfId="15039" xr:uid="{00000000-0005-0000-0000-0000EF3A0000}"/>
    <cellStyle name="汇总 2 3 7 7 4 2" xfId="15041" xr:uid="{00000000-0005-0000-0000-0000F13A0000}"/>
    <cellStyle name="汇总 2 3 7 7 5" xfId="10113" xr:uid="{00000000-0005-0000-0000-0000B1270000}"/>
    <cellStyle name="汇总 2 3 7 7 5 2" xfId="15043" xr:uid="{00000000-0005-0000-0000-0000F33A0000}"/>
    <cellStyle name="汇总 2 3 7 7 6" xfId="15048" xr:uid="{00000000-0005-0000-0000-0000F83A0000}"/>
    <cellStyle name="汇总 2 3 7 8" xfId="14656" xr:uid="{00000000-0005-0000-0000-000070390000}"/>
    <cellStyle name="汇总 2 3 7 8 2" xfId="15052" xr:uid="{00000000-0005-0000-0000-0000FC3A0000}"/>
    <cellStyle name="汇总 2 3 7 8 2 2" xfId="15053" xr:uid="{00000000-0005-0000-0000-0000FD3A0000}"/>
    <cellStyle name="汇总 2 3 7 8 3" xfId="15054" xr:uid="{00000000-0005-0000-0000-0000FE3A0000}"/>
    <cellStyle name="汇总 2 3 7 8 3 2" xfId="15055" xr:uid="{00000000-0005-0000-0000-0000FF3A0000}"/>
    <cellStyle name="汇总 2 3 7 8 4" xfId="15056" xr:uid="{00000000-0005-0000-0000-0000003B0000}"/>
    <cellStyle name="汇总 2 3 7 8 4 2" xfId="15057" xr:uid="{00000000-0005-0000-0000-0000013B0000}"/>
    <cellStyle name="汇总 2 3 7 8 5" xfId="10130" xr:uid="{00000000-0005-0000-0000-0000C2270000}"/>
    <cellStyle name="汇总 2 3 7 9" xfId="14657" xr:uid="{00000000-0005-0000-0000-000071390000}"/>
    <cellStyle name="汇总 2 3 7 9 2" xfId="15058" xr:uid="{00000000-0005-0000-0000-0000023B0000}"/>
    <cellStyle name="汇总 2 3 8" xfId="7533" xr:uid="{00000000-0005-0000-0000-00009D1D0000}"/>
    <cellStyle name="汇总 2 3 8 10" xfId="5073" xr:uid="{00000000-0005-0000-0000-000001140000}"/>
    <cellStyle name="汇总 2 3 8 10 2" xfId="5078" xr:uid="{00000000-0005-0000-0000-000006140000}"/>
    <cellStyle name="汇总 2 3 8 11" xfId="5085" xr:uid="{00000000-0005-0000-0000-00000D140000}"/>
    <cellStyle name="汇总 2 3 8 11 2" xfId="15061" xr:uid="{00000000-0005-0000-0000-0000053B0000}"/>
    <cellStyle name="汇总 2 3 8 12" xfId="15064" xr:uid="{00000000-0005-0000-0000-0000083B0000}"/>
    <cellStyle name="汇总 2 3 8 12 2" xfId="15068" xr:uid="{00000000-0005-0000-0000-00000C3B0000}"/>
    <cellStyle name="汇总 2 3 8 13" xfId="15071" xr:uid="{00000000-0005-0000-0000-00000F3B0000}"/>
    <cellStyle name="汇总 2 3 8 14" xfId="15074" xr:uid="{00000000-0005-0000-0000-0000123B0000}"/>
    <cellStyle name="汇总 2 3 8 15" xfId="15078" xr:uid="{00000000-0005-0000-0000-0000163B0000}"/>
    <cellStyle name="汇总 2 3 8 16" xfId="9125" xr:uid="{00000000-0005-0000-0000-0000D5230000}"/>
    <cellStyle name="汇总 2 3 8 2" xfId="4948" xr:uid="{00000000-0005-0000-0000-000084130000}"/>
    <cellStyle name="汇总 2 3 8 2 2" xfId="4959" xr:uid="{00000000-0005-0000-0000-00008F130000}"/>
    <cellStyle name="汇总 2 3 8 2 2 2" xfId="15080" xr:uid="{00000000-0005-0000-0000-0000183B0000}"/>
    <cellStyle name="汇总 2 3 8 2 3" xfId="8399" xr:uid="{00000000-0005-0000-0000-0000FF200000}"/>
    <cellStyle name="汇总 2 3 8 2 3 2" xfId="15081" xr:uid="{00000000-0005-0000-0000-0000193B0000}"/>
    <cellStyle name="汇总 2 3 8 2 4" xfId="15084" xr:uid="{00000000-0005-0000-0000-00001C3B0000}"/>
    <cellStyle name="汇总 2 3 8 2 4 2" xfId="15086" xr:uid="{00000000-0005-0000-0000-00001E3B0000}"/>
    <cellStyle name="汇总 2 3 8 2 5" xfId="12045" xr:uid="{00000000-0005-0000-0000-00003D2F0000}"/>
    <cellStyle name="汇总 2 3 8 2 5 2" xfId="15088" xr:uid="{00000000-0005-0000-0000-0000203B0000}"/>
    <cellStyle name="汇总 2 3 8 2 6" xfId="15090" xr:uid="{00000000-0005-0000-0000-0000223B0000}"/>
    <cellStyle name="汇总 2 3 8 2 7" xfId="1709" xr:uid="{00000000-0005-0000-0000-0000DD060000}"/>
    <cellStyle name="汇总 2 3 8 2 8" xfId="13424" xr:uid="{00000000-0005-0000-0000-0000A0340000}"/>
    <cellStyle name="汇总 2 3 8 2 9" xfId="15092" xr:uid="{00000000-0005-0000-0000-0000243B0000}"/>
    <cellStyle name="汇总 2 3 8 3" xfId="4966" xr:uid="{00000000-0005-0000-0000-000096130000}"/>
    <cellStyle name="汇总 2 3 8 3 2" xfId="4978" xr:uid="{00000000-0005-0000-0000-0000A2130000}"/>
    <cellStyle name="汇总 2 3 8 3 2 2" xfId="15095" xr:uid="{00000000-0005-0000-0000-0000273B0000}"/>
    <cellStyle name="汇总 2 3 8 3 3" xfId="15097" xr:uid="{00000000-0005-0000-0000-0000293B0000}"/>
    <cellStyle name="汇总 2 3 8 3 3 2" xfId="15101" xr:uid="{00000000-0005-0000-0000-00002D3B0000}"/>
    <cellStyle name="汇总 2 3 8 3 4" xfId="15103" xr:uid="{00000000-0005-0000-0000-00002F3B0000}"/>
    <cellStyle name="汇总 2 3 8 3 4 2" xfId="15108" xr:uid="{00000000-0005-0000-0000-0000343B0000}"/>
    <cellStyle name="汇总 2 3 8 3 5" xfId="12054" xr:uid="{00000000-0005-0000-0000-0000462F0000}"/>
    <cellStyle name="汇总 2 3 8 3 5 2" xfId="15111" xr:uid="{00000000-0005-0000-0000-0000373B0000}"/>
    <cellStyle name="汇总 2 3 8 3 6" xfId="15115" xr:uid="{00000000-0005-0000-0000-00003B3B0000}"/>
    <cellStyle name="汇总 2 3 8 4" xfId="670" xr:uid="{00000000-0005-0000-0000-0000CE020000}"/>
    <cellStyle name="汇总 2 3 8 4 2" xfId="15117" xr:uid="{00000000-0005-0000-0000-00003D3B0000}"/>
    <cellStyle name="汇总 2 3 8 4 2 2" xfId="15119" xr:uid="{00000000-0005-0000-0000-00003F3B0000}"/>
    <cellStyle name="汇总 2 3 8 4 3" xfId="15120" xr:uid="{00000000-0005-0000-0000-0000403B0000}"/>
    <cellStyle name="汇总 2 3 8 4 3 2" xfId="15122" xr:uid="{00000000-0005-0000-0000-0000423B0000}"/>
    <cellStyle name="汇总 2 3 8 4 4" xfId="15124" xr:uid="{00000000-0005-0000-0000-0000443B0000}"/>
    <cellStyle name="汇总 2 3 8 4 4 2" xfId="15126" xr:uid="{00000000-0005-0000-0000-0000463B0000}"/>
    <cellStyle name="汇总 2 3 8 4 5" xfId="12064" xr:uid="{00000000-0005-0000-0000-0000502F0000}"/>
    <cellStyle name="汇总 2 3 8 4 5 2" xfId="15131" xr:uid="{00000000-0005-0000-0000-00004B3B0000}"/>
    <cellStyle name="汇总 2 3 8 4 6" xfId="15133" xr:uid="{00000000-0005-0000-0000-00004D3B0000}"/>
    <cellStyle name="汇总 2 3 8 5" xfId="689" xr:uid="{00000000-0005-0000-0000-0000E1020000}"/>
    <cellStyle name="汇总 2 3 8 5 2" xfId="15134" xr:uid="{00000000-0005-0000-0000-00004E3B0000}"/>
    <cellStyle name="汇总 2 3 8 5 2 2" xfId="15139" xr:uid="{00000000-0005-0000-0000-0000533B0000}"/>
    <cellStyle name="汇总 2 3 8 5 3" xfId="15141" xr:uid="{00000000-0005-0000-0000-0000553B0000}"/>
    <cellStyle name="汇总 2 3 8 5 3 2" xfId="15143" xr:uid="{00000000-0005-0000-0000-0000573B0000}"/>
    <cellStyle name="汇总 2 3 8 5 4" xfId="15145" xr:uid="{00000000-0005-0000-0000-0000593B0000}"/>
    <cellStyle name="汇总 2 3 8 5 4 2" xfId="15148" xr:uid="{00000000-0005-0000-0000-00005C3B0000}"/>
    <cellStyle name="汇总 2 3 8 5 5" xfId="12076" xr:uid="{00000000-0005-0000-0000-00005C2F0000}"/>
    <cellStyle name="汇总 2 3 8 5 5 2" xfId="15152" xr:uid="{00000000-0005-0000-0000-0000603B0000}"/>
    <cellStyle name="汇总 2 3 8 5 6" xfId="15157" xr:uid="{00000000-0005-0000-0000-0000653B0000}"/>
    <cellStyle name="汇总 2 3 8 6" xfId="4984" xr:uid="{00000000-0005-0000-0000-0000A8130000}"/>
    <cellStyle name="汇总 2 3 8 6 2" xfId="15158" xr:uid="{00000000-0005-0000-0000-0000663B0000}"/>
    <cellStyle name="汇总 2 3 8 6 2 2" xfId="15160" xr:uid="{00000000-0005-0000-0000-0000683B0000}"/>
    <cellStyle name="汇总 2 3 8 6 3" xfId="15161" xr:uid="{00000000-0005-0000-0000-0000693B0000}"/>
    <cellStyle name="汇总 2 3 8 6 3 2" xfId="15162" xr:uid="{00000000-0005-0000-0000-00006A3B0000}"/>
    <cellStyle name="汇总 2 3 8 6 4" xfId="15164" xr:uid="{00000000-0005-0000-0000-00006C3B0000}"/>
    <cellStyle name="汇总 2 3 8 6 4 2" xfId="15167" xr:uid="{00000000-0005-0000-0000-00006F3B0000}"/>
    <cellStyle name="汇总 2 3 8 6 5" xfId="10145" xr:uid="{00000000-0005-0000-0000-0000D1270000}"/>
    <cellStyle name="汇总 2 3 8 6 5 2" xfId="15171" xr:uid="{00000000-0005-0000-0000-0000733B0000}"/>
    <cellStyle name="汇总 2 3 8 6 6" xfId="15174" xr:uid="{00000000-0005-0000-0000-0000763B0000}"/>
    <cellStyle name="汇总 2 3 8 7" xfId="4991" xr:uid="{00000000-0005-0000-0000-0000AF130000}"/>
    <cellStyle name="汇总 2 3 8 7 2" xfId="15176" xr:uid="{00000000-0005-0000-0000-0000783B0000}"/>
    <cellStyle name="汇总 2 3 8 7 2 2" xfId="15178" xr:uid="{00000000-0005-0000-0000-00007A3B0000}"/>
    <cellStyle name="汇总 2 3 8 7 3" xfId="15179" xr:uid="{00000000-0005-0000-0000-00007B3B0000}"/>
    <cellStyle name="汇总 2 3 8 7 3 2" xfId="15180" xr:uid="{00000000-0005-0000-0000-00007C3B0000}"/>
    <cellStyle name="汇总 2 3 8 7 4" xfId="15182" xr:uid="{00000000-0005-0000-0000-00007E3B0000}"/>
    <cellStyle name="汇总 2 3 8 7 4 2" xfId="15183" xr:uid="{00000000-0005-0000-0000-00007F3B0000}"/>
    <cellStyle name="汇总 2 3 8 7 5" xfId="10153" xr:uid="{00000000-0005-0000-0000-0000D9270000}"/>
    <cellStyle name="汇总 2 3 8 7 5 2" xfId="15185" xr:uid="{00000000-0005-0000-0000-0000813B0000}"/>
    <cellStyle name="汇总 2 3 8 7 6" xfId="15188" xr:uid="{00000000-0005-0000-0000-0000843B0000}"/>
    <cellStyle name="汇总 2 3 8 8" xfId="15192" xr:uid="{00000000-0005-0000-0000-0000883B0000}"/>
    <cellStyle name="汇总 2 3 8 8 2" xfId="15195" xr:uid="{00000000-0005-0000-0000-00008B3B0000}"/>
    <cellStyle name="汇总 2 3 8 8 2 2" xfId="15199" xr:uid="{00000000-0005-0000-0000-00008F3B0000}"/>
    <cellStyle name="汇总 2 3 8 8 3" xfId="15201" xr:uid="{00000000-0005-0000-0000-0000913B0000}"/>
    <cellStyle name="汇总 2 3 8 8 3 2" xfId="15206" xr:uid="{00000000-0005-0000-0000-0000963B0000}"/>
    <cellStyle name="汇总 2 3 8 8 4" xfId="15208" xr:uid="{00000000-0005-0000-0000-0000983B0000}"/>
    <cellStyle name="汇总 2 3 8 8 4 2" xfId="15213" xr:uid="{00000000-0005-0000-0000-00009D3B0000}"/>
    <cellStyle name="汇总 2 3 8 8 5" xfId="10169" xr:uid="{00000000-0005-0000-0000-0000E9270000}"/>
    <cellStyle name="汇总 2 3 8 9" xfId="15214" xr:uid="{00000000-0005-0000-0000-00009E3B0000}"/>
    <cellStyle name="汇总 2 3 8 9 2" xfId="15217" xr:uid="{00000000-0005-0000-0000-0000A13B0000}"/>
    <cellStyle name="汇总 2 3 9" xfId="8586" xr:uid="{00000000-0005-0000-0000-0000BA210000}"/>
    <cellStyle name="汇总 2 3 9 10" xfId="15221" xr:uid="{00000000-0005-0000-0000-0000A53B0000}"/>
    <cellStyle name="汇总 2 3 9 10 2" xfId="15225" xr:uid="{00000000-0005-0000-0000-0000A93B0000}"/>
    <cellStyle name="汇总 2 3 9 11" xfId="15229" xr:uid="{00000000-0005-0000-0000-0000AD3B0000}"/>
    <cellStyle name="汇总 2 3 9 11 2" xfId="15233" xr:uid="{00000000-0005-0000-0000-0000B13B0000}"/>
    <cellStyle name="汇总 2 3 9 12" xfId="15240" xr:uid="{00000000-0005-0000-0000-0000B83B0000}"/>
    <cellStyle name="汇总 2 3 9 12 2" xfId="15244" xr:uid="{00000000-0005-0000-0000-0000BC3B0000}"/>
    <cellStyle name="汇总 2 3 9 13" xfId="15250" xr:uid="{00000000-0005-0000-0000-0000C23B0000}"/>
    <cellStyle name="汇总 2 3 9 14" xfId="15257" xr:uid="{00000000-0005-0000-0000-0000C93B0000}"/>
    <cellStyle name="汇总 2 3 9 15" xfId="15264" xr:uid="{00000000-0005-0000-0000-0000D03B0000}"/>
    <cellStyle name="汇总 2 3 9 16" xfId="15272" xr:uid="{00000000-0005-0000-0000-0000D83B0000}"/>
    <cellStyle name="汇总 2 3 9 2" xfId="65" xr:uid="{00000000-0005-0000-0000-000046000000}"/>
    <cellStyle name="汇总 2 3 9 2 2" xfId="15273" xr:uid="{00000000-0005-0000-0000-0000D93B0000}"/>
    <cellStyle name="汇总 2 3 9 2 2 2" xfId="15274" xr:uid="{00000000-0005-0000-0000-0000DA3B0000}"/>
    <cellStyle name="汇总 2 3 9 2 3" xfId="8465" xr:uid="{00000000-0005-0000-0000-000041210000}"/>
    <cellStyle name="汇总 2 3 9 2 3 2" xfId="15275" xr:uid="{00000000-0005-0000-0000-0000DB3B0000}"/>
    <cellStyle name="汇总 2 3 9 2 4" xfId="10892" xr:uid="{00000000-0005-0000-0000-0000BC2A0000}"/>
    <cellStyle name="汇总 2 3 9 2 4 2" xfId="15276" xr:uid="{00000000-0005-0000-0000-0000DC3B0000}"/>
    <cellStyle name="汇总 2 3 9 2 5" xfId="12094" xr:uid="{00000000-0005-0000-0000-00006E2F0000}"/>
    <cellStyle name="汇总 2 3 9 2 5 2" xfId="15279" xr:uid="{00000000-0005-0000-0000-0000DF3B0000}"/>
    <cellStyle name="汇总 2 3 9 2 6" xfId="15282" xr:uid="{00000000-0005-0000-0000-0000E23B0000}"/>
    <cellStyle name="汇总 2 3 9 2 7" xfId="3002" xr:uid="{00000000-0005-0000-0000-0000EA0B0000}"/>
    <cellStyle name="汇总 2 3 9 2 8" xfId="13437" xr:uid="{00000000-0005-0000-0000-0000AD340000}"/>
    <cellStyle name="汇总 2 3 9 2 9" xfId="15285" xr:uid="{00000000-0005-0000-0000-0000E53B0000}"/>
    <cellStyle name="汇总 2 3 9 3" xfId="1911" xr:uid="{00000000-0005-0000-0000-0000A7070000}"/>
    <cellStyle name="汇总 2 3 9 3 2" xfId="15287" xr:uid="{00000000-0005-0000-0000-0000E73B0000}"/>
    <cellStyle name="汇总 2 3 9 3 2 2" xfId="15291" xr:uid="{00000000-0005-0000-0000-0000EB3B0000}"/>
    <cellStyle name="汇总 2 3 9 3 3" xfId="15294" xr:uid="{00000000-0005-0000-0000-0000EE3B0000}"/>
    <cellStyle name="汇总 2 3 9 3 3 2" xfId="15299" xr:uid="{00000000-0005-0000-0000-0000F33B0000}"/>
    <cellStyle name="汇总 2 3 9 3 4" xfId="15302" xr:uid="{00000000-0005-0000-0000-0000F63B0000}"/>
    <cellStyle name="汇总 2 3 9 3 4 2" xfId="15309" xr:uid="{00000000-0005-0000-0000-0000FD3B0000}"/>
    <cellStyle name="汇总 2 3 9 3 5" xfId="12103" xr:uid="{00000000-0005-0000-0000-0000772F0000}"/>
    <cellStyle name="汇总 2 3 9 3 5 2" xfId="15313" xr:uid="{00000000-0005-0000-0000-0000013C0000}"/>
    <cellStyle name="汇总 2 3 9 3 6" xfId="15317" xr:uid="{00000000-0005-0000-0000-0000053C0000}"/>
    <cellStyle name="汇总 2 3 9 4" xfId="709" xr:uid="{00000000-0005-0000-0000-0000F5020000}"/>
    <cellStyle name="汇总 2 3 9 4 2" xfId="15323" xr:uid="{00000000-0005-0000-0000-00000B3C0000}"/>
    <cellStyle name="汇总 2 3 9 4 2 2" xfId="15326" xr:uid="{00000000-0005-0000-0000-00000E3C0000}"/>
    <cellStyle name="汇总 2 3 9 4 3" xfId="15329" xr:uid="{00000000-0005-0000-0000-0000113C0000}"/>
    <cellStyle name="汇总 2 3 9 4 3 2" xfId="15332" xr:uid="{00000000-0005-0000-0000-0000143C0000}"/>
    <cellStyle name="汇总 2 3 9 4 4" xfId="15334" xr:uid="{00000000-0005-0000-0000-0000163C0000}"/>
    <cellStyle name="汇总 2 3 9 4 4 2" xfId="15337" xr:uid="{00000000-0005-0000-0000-0000193C0000}"/>
    <cellStyle name="汇总 2 3 9 4 5" xfId="12115" xr:uid="{00000000-0005-0000-0000-0000832F0000}"/>
    <cellStyle name="汇总 2 3 9 4 5 2" xfId="13087" xr:uid="{00000000-0005-0000-0000-00004F330000}"/>
    <cellStyle name="汇总 2 3 9 4 6" xfId="15339" xr:uid="{00000000-0005-0000-0000-00001B3C0000}"/>
    <cellStyle name="汇总 2 3 9 5" xfId="557" xr:uid="{00000000-0005-0000-0000-00005D020000}"/>
    <cellStyle name="汇总 2 3 9 5 2" xfId="15341" xr:uid="{00000000-0005-0000-0000-00001D3C0000}"/>
    <cellStyle name="汇总 2 3 9 5 2 2" xfId="15344" xr:uid="{00000000-0005-0000-0000-0000203C0000}"/>
    <cellStyle name="汇总 2 3 9 5 3" xfId="224" xr:uid="{00000000-0005-0000-0000-0000F3000000}"/>
    <cellStyle name="汇总 2 3 9 5 3 2" xfId="1083" xr:uid="{00000000-0005-0000-0000-00006B040000}"/>
    <cellStyle name="汇总 2 3 9 5 4" xfId="227" xr:uid="{00000000-0005-0000-0000-0000F6000000}"/>
    <cellStyle name="汇总 2 3 9 5 4 2" xfId="1111" xr:uid="{00000000-0005-0000-0000-000087040000}"/>
    <cellStyle name="汇总 2 3 9 5 5" xfId="239" xr:uid="{00000000-0005-0000-0000-000005010000}"/>
    <cellStyle name="汇总 2 3 9 5 5 2" xfId="1137" xr:uid="{00000000-0005-0000-0000-0000A1040000}"/>
    <cellStyle name="汇总 2 3 9 5 6" xfId="181" xr:uid="{00000000-0005-0000-0000-0000C3000000}"/>
    <cellStyle name="汇总 2 3 9 6" xfId="15348" xr:uid="{00000000-0005-0000-0000-0000243C0000}"/>
    <cellStyle name="汇总 2 3 9 6 2" xfId="15351" xr:uid="{00000000-0005-0000-0000-0000273C0000}"/>
    <cellStyle name="汇总 2 3 9 6 2 2" xfId="15358" xr:uid="{00000000-0005-0000-0000-00002E3C0000}"/>
    <cellStyle name="汇总 2 3 9 6 3" xfId="15360" xr:uid="{00000000-0005-0000-0000-0000303C0000}"/>
    <cellStyle name="汇总 2 3 9 6 3 2" xfId="15366" xr:uid="{00000000-0005-0000-0000-0000363C0000}"/>
    <cellStyle name="汇总 2 3 9 6 4" xfId="15369" xr:uid="{00000000-0005-0000-0000-0000393C0000}"/>
    <cellStyle name="汇总 2 3 9 6 4 2" xfId="15374" xr:uid="{00000000-0005-0000-0000-00003E3C0000}"/>
    <cellStyle name="汇总 2 3 9 6 5" xfId="15376" xr:uid="{00000000-0005-0000-0000-0000403C0000}"/>
    <cellStyle name="汇总 2 3 9 6 5 2" xfId="15383" xr:uid="{00000000-0005-0000-0000-0000473C0000}"/>
    <cellStyle name="汇总 2 3 9 6 6" xfId="15388" xr:uid="{00000000-0005-0000-0000-00004C3C0000}"/>
    <cellStyle name="汇总 2 3 9 7" xfId="6921" xr:uid="{00000000-0005-0000-0000-0000391B0000}"/>
    <cellStyle name="汇总 2 3 9 7 2" xfId="11064" xr:uid="{00000000-0005-0000-0000-0000682B0000}"/>
    <cellStyle name="汇总 2 3 9 7 2 2" xfId="15395" xr:uid="{00000000-0005-0000-0000-0000533C0000}"/>
    <cellStyle name="汇总 2 3 9 7 3" xfId="15397" xr:uid="{00000000-0005-0000-0000-0000553C0000}"/>
    <cellStyle name="汇总 2 3 9 7 3 2" xfId="15399" xr:uid="{00000000-0005-0000-0000-0000573C0000}"/>
    <cellStyle name="汇总 2 3 9 7 4" xfId="15401" xr:uid="{00000000-0005-0000-0000-0000593C0000}"/>
    <cellStyle name="汇总 2 3 9 7 4 2" xfId="15403" xr:uid="{00000000-0005-0000-0000-00005B3C0000}"/>
    <cellStyle name="汇总 2 3 9 7 5" xfId="15406" xr:uid="{00000000-0005-0000-0000-00005E3C0000}"/>
    <cellStyle name="汇总 2 3 9 7 5 2" xfId="15411" xr:uid="{00000000-0005-0000-0000-0000633C0000}"/>
    <cellStyle name="汇总 2 3 9 7 6" xfId="15416" xr:uid="{00000000-0005-0000-0000-0000683C0000}"/>
    <cellStyle name="汇总 2 3 9 8" xfId="7877" xr:uid="{00000000-0005-0000-0000-0000F51E0000}"/>
    <cellStyle name="汇总 2 3 9 8 2" xfId="6252" xr:uid="{00000000-0005-0000-0000-00009C180000}"/>
    <cellStyle name="汇总 2 3 9 8 2 2" xfId="15418" xr:uid="{00000000-0005-0000-0000-00006A3C0000}"/>
    <cellStyle name="汇总 2 3 9 8 3" xfId="4445" xr:uid="{00000000-0005-0000-0000-00008D110000}"/>
    <cellStyle name="汇总 2 3 9 8 3 2" xfId="15421" xr:uid="{00000000-0005-0000-0000-00006D3C0000}"/>
    <cellStyle name="汇总 2 3 9 8 4" xfId="15426" xr:uid="{00000000-0005-0000-0000-0000723C0000}"/>
    <cellStyle name="汇总 2 3 9 8 4 2" xfId="15429" xr:uid="{00000000-0005-0000-0000-0000753C0000}"/>
    <cellStyle name="汇总 2 3 9 8 5" xfId="15433" xr:uid="{00000000-0005-0000-0000-0000793C0000}"/>
    <cellStyle name="汇总 2 3 9 9" xfId="11070" xr:uid="{00000000-0005-0000-0000-00006E2B0000}"/>
    <cellStyle name="汇总 2 3 9 9 2" xfId="11073" xr:uid="{00000000-0005-0000-0000-0000712B0000}"/>
    <cellStyle name="汇总 2 4" xfId="8209" xr:uid="{00000000-0005-0000-0000-000041200000}"/>
    <cellStyle name="汇总 2 4 10" xfId="15437" xr:uid="{00000000-0005-0000-0000-00007D3C0000}"/>
    <cellStyle name="汇总 2 4 10 10" xfId="15440" xr:uid="{00000000-0005-0000-0000-0000803C0000}"/>
    <cellStyle name="汇总 2 4 10 10 2" xfId="15442" xr:uid="{00000000-0005-0000-0000-0000823C0000}"/>
    <cellStyle name="汇总 2 4 10 11" xfId="15445" xr:uid="{00000000-0005-0000-0000-0000853C0000}"/>
    <cellStyle name="汇总 2 4 10 11 2" xfId="15447" xr:uid="{00000000-0005-0000-0000-0000873C0000}"/>
    <cellStyle name="汇总 2 4 10 12" xfId="15453" xr:uid="{00000000-0005-0000-0000-00008D3C0000}"/>
    <cellStyle name="汇总 2 4 10 12 2" xfId="15462" xr:uid="{00000000-0005-0000-0000-0000963C0000}"/>
    <cellStyle name="汇总 2 4 10 13" xfId="15466" xr:uid="{00000000-0005-0000-0000-00009A3C0000}"/>
    <cellStyle name="汇总 2 4 10 14" xfId="13764" xr:uid="{00000000-0005-0000-0000-0000F4350000}"/>
    <cellStyle name="汇总 2 4 10 15" xfId="11811" xr:uid="{00000000-0005-0000-0000-0000532E0000}"/>
    <cellStyle name="汇总 2 4 10 16" xfId="8454" xr:uid="{00000000-0005-0000-0000-000036210000}"/>
    <cellStyle name="汇总 2 4 10 2" xfId="7039" xr:uid="{00000000-0005-0000-0000-0000AF1B0000}"/>
    <cellStyle name="汇总 2 4 10 2 2" xfId="7049" xr:uid="{00000000-0005-0000-0000-0000B91B0000}"/>
    <cellStyle name="汇总 2 4 10 2 2 2" xfId="15471" xr:uid="{00000000-0005-0000-0000-00009F3C0000}"/>
    <cellStyle name="汇总 2 4 10 2 3" xfId="15478" xr:uid="{00000000-0005-0000-0000-0000A63C0000}"/>
    <cellStyle name="汇总 2 4 10 2 3 2" xfId="15481" xr:uid="{00000000-0005-0000-0000-0000A93C0000}"/>
    <cellStyle name="汇总 2 4 10 2 4" xfId="15486" xr:uid="{00000000-0005-0000-0000-0000AE3C0000}"/>
    <cellStyle name="汇总 2 4 10 2 4 2" xfId="15490" xr:uid="{00000000-0005-0000-0000-0000B23C0000}"/>
    <cellStyle name="汇总 2 4 10 2 5" xfId="14063" xr:uid="{00000000-0005-0000-0000-00001F370000}"/>
    <cellStyle name="汇总 2 4 10 2 5 2" xfId="15493" xr:uid="{00000000-0005-0000-0000-0000B53C0000}"/>
    <cellStyle name="汇总 2 4 10 2 6" xfId="14355" xr:uid="{00000000-0005-0000-0000-000043380000}"/>
    <cellStyle name="汇总 2 4 10 2 7" xfId="15498" xr:uid="{00000000-0005-0000-0000-0000BA3C0000}"/>
    <cellStyle name="汇总 2 4 10 2 8" xfId="15501" xr:uid="{00000000-0005-0000-0000-0000BD3C0000}"/>
    <cellStyle name="汇总 2 4 10 2 9" xfId="15507" xr:uid="{00000000-0005-0000-0000-0000C33C0000}"/>
    <cellStyle name="汇总 2 4 10 3" xfId="7059" xr:uid="{00000000-0005-0000-0000-0000C31B0000}"/>
    <cellStyle name="汇总 2 4 10 3 2" xfId="7068" xr:uid="{00000000-0005-0000-0000-0000CC1B0000}"/>
    <cellStyle name="汇总 2 4 10 3 2 2" xfId="2155" xr:uid="{00000000-0005-0000-0000-00009B080000}"/>
    <cellStyle name="汇总 2 4 10 3 3" xfId="12561" xr:uid="{00000000-0005-0000-0000-000041310000}"/>
    <cellStyle name="汇总 2 4 10 3 3 2" xfId="12565" xr:uid="{00000000-0005-0000-0000-000045310000}"/>
    <cellStyle name="汇总 2 4 10 3 4" xfId="12574" xr:uid="{00000000-0005-0000-0000-00004E310000}"/>
    <cellStyle name="汇总 2 4 10 3 4 2" xfId="15508" xr:uid="{00000000-0005-0000-0000-0000C43C0000}"/>
    <cellStyle name="汇总 2 4 10 3 5" xfId="14069" xr:uid="{00000000-0005-0000-0000-000025370000}"/>
    <cellStyle name="汇总 2 4 10 3 5 2" xfId="15516" xr:uid="{00000000-0005-0000-0000-0000CC3C0000}"/>
    <cellStyle name="汇总 2 4 10 3 6" xfId="15523" xr:uid="{00000000-0005-0000-0000-0000D33C0000}"/>
    <cellStyle name="汇总 2 4 10 4" xfId="7082" xr:uid="{00000000-0005-0000-0000-0000DA1B0000}"/>
    <cellStyle name="汇总 2 4 10 4 2" xfId="12580" xr:uid="{00000000-0005-0000-0000-000054310000}"/>
    <cellStyle name="汇总 2 4 10 4 2 2" xfId="951" xr:uid="{00000000-0005-0000-0000-0000E7030000}"/>
    <cellStyle name="汇总 2 4 10 4 3" xfId="12588" xr:uid="{00000000-0005-0000-0000-00005C310000}"/>
    <cellStyle name="汇总 2 4 10 4 3 2" xfId="154" xr:uid="{00000000-0005-0000-0000-0000A7000000}"/>
    <cellStyle name="汇总 2 4 10 4 4" xfId="12592" xr:uid="{00000000-0005-0000-0000-000060310000}"/>
    <cellStyle name="汇总 2 4 10 4 4 2" xfId="15528" xr:uid="{00000000-0005-0000-0000-0000D83C0000}"/>
    <cellStyle name="汇总 2 4 10 4 5" xfId="14076" xr:uid="{00000000-0005-0000-0000-00002C370000}"/>
    <cellStyle name="汇总 2 4 10 4 5 2" xfId="15536" xr:uid="{00000000-0005-0000-0000-0000E03C0000}"/>
    <cellStyle name="汇总 2 4 10 4 6" xfId="15542" xr:uid="{00000000-0005-0000-0000-0000E63C0000}"/>
    <cellStyle name="汇总 2 4 10 5" xfId="13488" xr:uid="{00000000-0005-0000-0000-0000E0340000}"/>
    <cellStyle name="汇总 2 4 10 5 2" xfId="12608" xr:uid="{00000000-0005-0000-0000-000070310000}"/>
    <cellStyle name="汇总 2 4 10 5 2 2" xfId="12618" xr:uid="{00000000-0005-0000-0000-00007A310000}"/>
    <cellStyle name="汇总 2 4 10 5 3" xfId="12632" xr:uid="{00000000-0005-0000-0000-000088310000}"/>
    <cellStyle name="汇总 2 4 10 5 3 2" xfId="12639" xr:uid="{00000000-0005-0000-0000-00008F310000}"/>
    <cellStyle name="汇总 2 4 10 5 4" xfId="12652" xr:uid="{00000000-0005-0000-0000-00009C310000}"/>
    <cellStyle name="汇总 2 4 10 5 4 2" xfId="15546" xr:uid="{00000000-0005-0000-0000-0000EA3C0000}"/>
    <cellStyle name="汇总 2 4 10 5 5" xfId="15554" xr:uid="{00000000-0005-0000-0000-0000F23C0000}"/>
    <cellStyle name="汇总 2 4 10 5 5 2" xfId="15556" xr:uid="{00000000-0005-0000-0000-0000F43C0000}"/>
    <cellStyle name="汇总 2 4 10 5 6" xfId="8321" xr:uid="{00000000-0005-0000-0000-0000B1200000}"/>
    <cellStyle name="汇总 2 4 10 6" xfId="15561" xr:uid="{00000000-0005-0000-0000-0000F93C0000}"/>
    <cellStyle name="汇总 2 4 10 6 2" xfId="12662" xr:uid="{00000000-0005-0000-0000-0000A6310000}"/>
    <cellStyle name="汇总 2 4 10 6 2 2" xfId="1257" xr:uid="{00000000-0005-0000-0000-000019050000}"/>
    <cellStyle name="汇总 2 4 10 6 3" xfId="12672" xr:uid="{00000000-0005-0000-0000-0000B0310000}"/>
    <cellStyle name="汇总 2 4 10 6 3 2" xfId="3088" xr:uid="{00000000-0005-0000-0000-0000400C0000}"/>
    <cellStyle name="汇总 2 4 10 6 4" xfId="12677" xr:uid="{00000000-0005-0000-0000-0000B5310000}"/>
    <cellStyle name="汇总 2 4 10 6 4 2" xfId="15565" xr:uid="{00000000-0005-0000-0000-0000FD3C0000}"/>
    <cellStyle name="汇总 2 4 10 6 5" xfId="15573" xr:uid="{00000000-0005-0000-0000-0000053D0000}"/>
    <cellStyle name="汇总 2 4 10 6 5 2" xfId="15575" xr:uid="{00000000-0005-0000-0000-0000073D0000}"/>
    <cellStyle name="汇总 2 4 10 6 6" xfId="8330" xr:uid="{00000000-0005-0000-0000-0000BA200000}"/>
    <cellStyle name="汇总 2 4 10 7" xfId="1365" xr:uid="{00000000-0005-0000-0000-000085050000}"/>
    <cellStyle name="汇总 2 4 10 7 2" xfId="12689" xr:uid="{00000000-0005-0000-0000-0000C1310000}"/>
    <cellStyle name="汇总 2 4 10 7 2 2" xfId="12698" xr:uid="{00000000-0005-0000-0000-0000CA310000}"/>
    <cellStyle name="汇总 2 4 10 7 3" xfId="12711" xr:uid="{00000000-0005-0000-0000-0000D7310000}"/>
    <cellStyle name="汇总 2 4 10 7 3 2" xfId="12715" xr:uid="{00000000-0005-0000-0000-0000DB310000}"/>
    <cellStyle name="汇总 2 4 10 7 4" xfId="12721" xr:uid="{00000000-0005-0000-0000-0000E1310000}"/>
    <cellStyle name="汇总 2 4 10 7 4 2" xfId="15579" xr:uid="{00000000-0005-0000-0000-00000B3D0000}"/>
    <cellStyle name="汇总 2 4 10 7 5" xfId="15584" xr:uid="{00000000-0005-0000-0000-0000103D0000}"/>
    <cellStyle name="汇总 2 4 10 7 5 2" xfId="15585" xr:uid="{00000000-0005-0000-0000-0000113D0000}"/>
    <cellStyle name="汇总 2 4 10 7 6" xfId="8342" xr:uid="{00000000-0005-0000-0000-0000C6200000}"/>
    <cellStyle name="汇总 2 4 10 8" xfId="15593" xr:uid="{00000000-0005-0000-0000-0000193D0000}"/>
    <cellStyle name="汇总 2 4 10 8 2" xfId="12730" xr:uid="{00000000-0005-0000-0000-0000EA310000}"/>
    <cellStyle name="汇总 2 4 10 8 2 2" xfId="12737" xr:uid="{00000000-0005-0000-0000-0000F1310000}"/>
    <cellStyle name="汇总 2 4 10 8 3" xfId="12744" xr:uid="{00000000-0005-0000-0000-0000F8310000}"/>
    <cellStyle name="汇总 2 4 10 8 3 2" xfId="12748" xr:uid="{00000000-0005-0000-0000-0000FC310000}"/>
    <cellStyle name="汇总 2 4 10 8 4" xfId="12754" xr:uid="{00000000-0005-0000-0000-000002320000}"/>
    <cellStyle name="汇总 2 4 10 8 4 2" xfId="15596" xr:uid="{00000000-0005-0000-0000-00001C3D0000}"/>
    <cellStyle name="汇总 2 4 10 8 5" xfId="14941" xr:uid="{00000000-0005-0000-0000-00008D3A0000}"/>
    <cellStyle name="汇总 2 4 10 9" xfId="15601" xr:uid="{00000000-0005-0000-0000-0000213D0000}"/>
    <cellStyle name="汇总 2 4 10 9 2" xfId="12760" xr:uid="{00000000-0005-0000-0000-000008320000}"/>
    <cellStyle name="汇总 2 4 11" xfId="15608" xr:uid="{00000000-0005-0000-0000-0000283D0000}"/>
    <cellStyle name="汇总 2 4 11 10" xfId="15611" xr:uid="{00000000-0005-0000-0000-00002B3D0000}"/>
    <cellStyle name="汇总 2 4 11 10 2" xfId="15615" xr:uid="{00000000-0005-0000-0000-00002F3D0000}"/>
    <cellStyle name="汇总 2 4 11 11" xfId="15617" xr:uid="{00000000-0005-0000-0000-0000313D0000}"/>
    <cellStyle name="汇总 2 4 11 11 2" xfId="1656" xr:uid="{00000000-0005-0000-0000-0000A8060000}"/>
    <cellStyle name="汇总 2 4 11 12" xfId="6503" xr:uid="{00000000-0005-0000-0000-000097190000}"/>
    <cellStyle name="汇总 2 4 11 12 2" xfId="15621" xr:uid="{00000000-0005-0000-0000-0000353D0000}"/>
    <cellStyle name="汇总 2 4 11 13" xfId="3756" xr:uid="{00000000-0005-0000-0000-0000DC0E0000}"/>
    <cellStyle name="汇总 2 4 11 14" xfId="15625" xr:uid="{00000000-0005-0000-0000-0000393D0000}"/>
    <cellStyle name="汇总 2 4 11 15" xfId="15626" xr:uid="{00000000-0005-0000-0000-00003A3D0000}"/>
    <cellStyle name="汇总 2 4 11 16" xfId="15628" xr:uid="{00000000-0005-0000-0000-00003C3D0000}"/>
    <cellStyle name="汇总 2 4 11 2" xfId="7124" xr:uid="{00000000-0005-0000-0000-0000041C0000}"/>
    <cellStyle name="汇总 2 4 11 2 2" xfId="2050" xr:uid="{00000000-0005-0000-0000-000032080000}"/>
    <cellStyle name="汇总 2 4 11 2 2 2" xfId="1799" xr:uid="{00000000-0005-0000-0000-000037070000}"/>
    <cellStyle name="汇总 2 4 11 2 3" xfId="2085" xr:uid="{00000000-0005-0000-0000-000055080000}"/>
    <cellStyle name="汇总 2 4 11 2 3 2" xfId="15632" xr:uid="{00000000-0005-0000-0000-0000403D0000}"/>
    <cellStyle name="汇总 2 4 11 2 4" xfId="2095" xr:uid="{00000000-0005-0000-0000-00005F080000}"/>
    <cellStyle name="汇总 2 4 11 2 4 2" xfId="2110" xr:uid="{00000000-0005-0000-0000-00006E080000}"/>
    <cellStyle name="汇总 2 4 11 2 5" xfId="2122" xr:uid="{00000000-0005-0000-0000-00007A080000}"/>
    <cellStyle name="汇总 2 4 11 2 5 2" xfId="15638" xr:uid="{00000000-0005-0000-0000-0000463D0000}"/>
    <cellStyle name="汇总 2 4 11 2 6" xfId="1860" xr:uid="{00000000-0005-0000-0000-000074070000}"/>
    <cellStyle name="汇总 2 4 11 3" xfId="7130" xr:uid="{00000000-0005-0000-0000-00000A1C0000}"/>
    <cellStyle name="汇总 2 4 11 3 2" xfId="7134" xr:uid="{00000000-0005-0000-0000-00000E1C0000}"/>
    <cellStyle name="汇总 2 4 11 3 2 2" xfId="15643" xr:uid="{00000000-0005-0000-0000-00004B3D0000}"/>
    <cellStyle name="汇总 2 4 11 3 3" xfId="15648" xr:uid="{00000000-0005-0000-0000-0000503D0000}"/>
    <cellStyle name="汇总 2 4 11 3 3 2" xfId="15652" xr:uid="{00000000-0005-0000-0000-0000543D0000}"/>
    <cellStyle name="汇总 2 4 11 3 4" xfId="15655" xr:uid="{00000000-0005-0000-0000-0000573D0000}"/>
    <cellStyle name="汇总 2 4 11 3 4 2" xfId="15660" xr:uid="{00000000-0005-0000-0000-00005C3D0000}"/>
    <cellStyle name="汇总 2 4 11 3 5" xfId="14121" xr:uid="{00000000-0005-0000-0000-000059370000}"/>
    <cellStyle name="汇总 2 4 11 3 5 2" xfId="15665" xr:uid="{00000000-0005-0000-0000-0000613D0000}"/>
    <cellStyle name="汇总 2 4 11 3 6" xfId="15672" xr:uid="{00000000-0005-0000-0000-0000683D0000}"/>
    <cellStyle name="汇总 2 4 11 4" xfId="2229" xr:uid="{00000000-0005-0000-0000-0000E5080000}"/>
    <cellStyle name="汇总 2 4 11 4 2" xfId="13495" xr:uid="{00000000-0005-0000-0000-0000E7340000}"/>
    <cellStyle name="汇总 2 4 11 4 2 2" xfId="15676" xr:uid="{00000000-0005-0000-0000-00006C3D0000}"/>
    <cellStyle name="汇总 2 4 11 4 3" xfId="15686" xr:uid="{00000000-0005-0000-0000-0000763D0000}"/>
    <cellStyle name="汇总 2 4 11 4 3 2" xfId="15689" xr:uid="{00000000-0005-0000-0000-0000793D0000}"/>
    <cellStyle name="汇总 2 4 11 4 4" xfId="15697" xr:uid="{00000000-0005-0000-0000-0000813D0000}"/>
    <cellStyle name="汇总 2 4 11 4 4 2" xfId="15703" xr:uid="{00000000-0005-0000-0000-0000873D0000}"/>
    <cellStyle name="汇总 2 4 11 4 5" xfId="14129" xr:uid="{00000000-0005-0000-0000-000061370000}"/>
    <cellStyle name="汇总 2 4 11 4 5 2" xfId="15712" xr:uid="{00000000-0005-0000-0000-0000903D0000}"/>
    <cellStyle name="汇总 2 4 11 4 6" xfId="15721" xr:uid="{00000000-0005-0000-0000-0000993D0000}"/>
    <cellStyle name="汇总 2 4 11 5" xfId="13500" xr:uid="{00000000-0005-0000-0000-0000EC340000}"/>
    <cellStyle name="汇总 2 4 11 5 2" xfId="15725" xr:uid="{00000000-0005-0000-0000-00009D3D0000}"/>
    <cellStyle name="汇总 2 4 11 5 2 2" xfId="15729" xr:uid="{00000000-0005-0000-0000-0000A13D0000}"/>
    <cellStyle name="汇总 2 4 11 5 3" xfId="15734" xr:uid="{00000000-0005-0000-0000-0000A63D0000}"/>
    <cellStyle name="汇总 2 4 11 5 3 2" xfId="15736" xr:uid="{00000000-0005-0000-0000-0000A83D0000}"/>
    <cellStyle name="汇总 2 4 11 5 4" xfId="15740" xr:uid="{00000000-0005-0000-0000-0000AC3D0000}"/>
    <cellStyle name="汇总 2 4 11 5 4 2" xfId="15743" xr:uid="{00000000-0005-0000-0000-0000AF3D0000}"/>
    <cellStyle name="汇总 2 4 11 5 5" xfId="15753" xr:uid="{00000000-0005-0000-0000-0000B93D0000}"/>
    <cellStyle name="汇总 2 4 11 5 5 2" xfId="15757" xr:uid="{00000000-0005-0000-0000-0000BD3D0000}"/>
    <cellStyle name="汇总 2 4 11 5 6" xfId="8367" xr:uid="{00000000-0005-0000-0000-0000DF200000}"/>
    <cellStyle name="汇总 2 4 11 6" xfId="15761" xr:uid="{00000000-0005-0000-0000-0000C13D0000}"/>
    <cellStyle name="汇总 2 4 11 6 2" xfId="15764" xr:uid="{00000000-0005-0000-0000-0000C43D0000}"/>
    <cellStyle name="汇总 2 4 11 6 2 2" xfId="15769" xr:uid="{00000000-0005-0000-0000-0000C93D0000}"/>
    <cellStyle name="汇总 2 4 11 6 3" xfId="15774" xr:uid="{00000000-0005-0000-0000-0000CE3D0000}"/>
    <cellStyle name="汇总 2 4 11 6 3 2" xfId="15776" xr:uid="{00000000-0005-0000-0000-0000D03D0000}"/>
    <cellStyle name="汇总 2 4 11 6 4" xfId="15781" xr:uid="{00000000-0005-0000-0000-0000D53D0000}"/>
    <cellStyle name="汇总 2 4 11 6 4 2" xfId="15786" xr:uid="{00000000-0005-0000-0000-0000DA3D0000}"/>
    <cellStyle name="汇总 2 4 11 6 5" xfId="15796" xr:uid="{00000000-0005-0000-0000-0000E43D0000}"/>
    <cellStyle name="汇总 2 4 11 6 5 2" xfId="15804" xr:uid="{00000000-0005-0000-0000-0000EC3D0000}"/>
    <cellStyle name="汇总 2 4 11 6 6" xfId="8382" xr:uid="{00000000-0005-0000-0000-0000EE200000}"/>
    <cellStyle name="汇总 2 4 11 7" xfId="3983" xr:uid="{00000000-0005-0000-0000-0000BF0F0000}"/>
    <cellStyle name="汇总 2 4 11 7 2" xfId="15809" xr:uid="{00000000-0005-0000-0000-0000F13D0000}"/>
    <cellStyle name="汇总 2 4 11 7 2 2" xfId="15816" xr:uid="{00000000-0005-0000-0000-0000F83D0000}"/>
    <cellStyle name="汇总 2 4 11 7 3" xfId="15823" xr:uid="{00000000-0005-0000-0000-0000FF3D0000}"/>
    <cellStyle name="汇总 2 4 11 7 3 2" xfId="15824" xr:uid="{00000000-0005-0000-0000-0000003E0000}"/>
    <cellStyle name="汇总 2 4 11 7 4" xfId="15830" xr:uid="{00000000-0005-0000-0000-0000063E0000}"/>
    <cellStyle name="汇总 2 4 11 7 4 2" xfId="15833" xr:uid="{00000000-0005-0000-0000-0000093E0000}"/>
    <cellStyle name="汇总 2 4 11 7 5" xfId="4927" xr:uid="{00000000-0005-0000-0000-00006F130000}"/>
    <cellStyle name="汇总 2 4 11 7 5 2" xfId="15839" xr:uid="{00000000-0005-0000-0000-00000F3E0000}"/>
    <cellStyle name="汇总 2 4 11 7 6" xfId="8394" xr:uid="{00000000-0005-0000-0000-0000FA200000}"/>
    <cellStyle name="汇总 2 4 11 8" xfId="15846" xr:uid="{00000000-0005-0000-0000-0000163E0000}"/>
    <cellStyle name="汇总 2 4 11 8 2" xfId="15849" xr:uid="{00000000-0005-0000-0000-0000193E0000}"/>
    <cellStyle name="汇总 2 4 11 8 2 2" xfId="15851" xr:uid="{00000000-0005-0000-0000-00001B3E0000}"/>
    <cellStyle name="汇总 2 4 11 8 3" xfId="15853" xr:uid="{00000000-0005-0000-0000-00001D3E0000}"/>
    <cellStyle name="汇总 2 4 11 8 3 2" xfId="15854" xr:uid="{00000000-0005-0000-0000-00001E3E0000}"/>
    <cellStyle name="汇总 2 4 11 8 4" xfId="11983" xr:uid="{00000000-0005-0000-0000-0000FF2E0000}"/>
    <cellStyle name="汇总 2 4 11 8 4 2" xfId="15855" xr:uid="{00000000-0005-0000-0000-00001F3E0000}"/>
    <cellStyle name="汇总 2 4 11 8 5" xfId="4960" xr:uid="{00000000-0005-0000-0000-000090130000}"/>
    <cellStyle name="汇总 2 4 11 9" xfId="14614" xr:uid="{00000000-0005-0000-0000-000046390000}"/>
    <cellStyle name="汇总 2 4 11 9 2" xfId="15856" xr:uid="{00000000-0005-0000-0000-0000203E0000}"/>
    <cellStyle name="汇总 2 4 12" xfId="9295" xr:uid="{00000000-0005-0000-0000-00007F240000}"/>
    <cellStyle name="汇总 2 4 12 2" xfId="7162" xr:uid="{00000000-0005-0000-0000-00002A1C0000}"/>
    <cellStyle name="汇总 2 4 12 2 2" xfId="440" xr:uid="{00000000-0005-0000-0000-0000E1010000}"/>
    <cellStyle name="汇总 2 4 12 3" xfId="7167" xr:uid="{00000000-0005-0000-0000-00002F1C0000}"/>
    <cellStyle name="汇总 2 4 12 3 2" xfId="7174" xr:uid="{00000000-0005-0000-0000-0000361C0000}"/>
    <cellStyle name="汇总 2 4 12 4" xfId="1607" xr:uid="{00000000-0005-0000-0000-000077060000}"/>
    <cellStyle name="汇总 2 4 12 4 2" xfId="15861" xr:uid="{00000000-0005-0000-0000-0000253E0000}"/>
    <cellStyle name="汇总 2 4 12 5" xfId="15864" xr:uid="{00000000-0005-0000-0000-0000283E0000}"/>
    <cellStyle name="汇总 2 4 12 5 2" xfId="15868" xr:uid="{00000000-0005-0000-0000-00002C3E0000}"/>
    <cellStyle name="汇总 2 4 12 6" xfId="15871" xr:uid="{00000000-0005-0000-0000-00002F3E0000}"/>
    <cellStyle name="汇总 2 4 12 7" xfId="5268" xr:uid="{00000000-0005-0000-0000-0000C4140000}"/>
    <cellStyle name="汇总 2 4 12 8" xfId="15876" xr:uid="{00000000-0005-0000-0000-0000343E0000}"/>
    <cellStyle name="汇总 2 4 12 9" xfId="14619" xr:uid="{00000000-0005-0000-0000-00004B390000}"/>
    <cellStyle name="汇总 2 4 13" xfId="15880" xr:uid="{00000000-0005-0000-0000-0000383E0000}"/>
    <cellStyle name="汇总 2 4 13 2" xfId="7212" xr:uid="{00000000-0005-0000-0000-00005C1C0000}"/>
    <cellStyle name="汇总 2 4 13 2 2" xfId="7215" xr:uid="{00000000-0005-0000-0000-00005F1C0000}"/>
    <cellStyle name="汇总 2 4 13 3" xfId="7220" xr:uid="{00000000-0005-0000-0000-0000641C0000}"/>
    <cellStyle name="汇总 2 4 13 3 2" xfId="7227" xr:uid="{00000000-0005-0000-0000-00006B1C0000}"/>
    <cellStyle name="汇总 2 4 13 4" xfId="1500" xr:uid="{00000000-0005-0000-0000-00000C060000}"/>
    <cellStyle name="汇总 2 4 13 4 2" xfId="15882" xr:uid="{00000000-0005-0000-0000-00003A3E0000}"/>
    <cellStyle name="汇总 2 4 13 5" xfId="15883" xr:uid="{00000000-0005-0000-0000-00003B3E0000}"/>
    <cellStyle name="汇总 2 4 13 5 2" xfId="15890" xr:uid="{00000000-0005-0000-0000-0000423E0000}"/>
    <cellStyle name="汇总 2 4 13 6" xfId="15893" xr:uid="{00000000-0005-0000-0000-0000453E0000}"/>
    <cellStyle name="汇总 2 4 14" xfId="15899" xr:uid="{00000000-0005-0000-0000-00004B3E0000}"/>
    <cellStyle name="汇总 2 4 14 2" xfId="3731" xr:uid="{00000000-0005-0000-0000-0000C30E0000}"/>
    <cellStyle name="汇总 2 4 14 2 2" xfId="7258" xr:uid="{00000000-0005-0000-0000-00008A1C0000}"/>
    <cellStyle name="汇总 2 4 14 3" xfId="7264" xr:uid="{00000000-0005-0000-0000-0000901C0000}"/>
    <cellStyle name="汇总 2 4 14 3 2" xfId="7270" xr:uid="{00000000-0005-0000-0000-0000961C0000}"/>
    <cellStyle name="汇总 2 4 14 4" xfId="2488" xr:uid="{00000000-0005-0000-0000-0000E8090000}"/>
    <cellStyle name="汇总 2 4 14 4 2" xfId="15902" xr:uid="{00000000-0005-0000-0000-00004E3E0000}"/>
    <cellStyle name="汇总 2 4 14 5" xfId="15903" xr:uid="{00000000-0005-0000-0000-00004F3E0000}"/>
    <cellStyle name="汇总 2 4 14 5 2" xfId="15906" xr:uid="{00000000-0005-0000-0000-0000523E0000}"/>
    <cellStyle name="汇总 2 4 14 6" xfId="15908" xr:uid="{00000000-0005-0000-0000-0000543E0000}"/>
    <cellStyle name="汇总 2 4 15" xfId="15912" xr:uid="{00000000-0005-0000-0000-0000583E0000}"/>
    <cellStyle name="汇总 2 4 15 2" xfId="632" xr:uid="{00000000-0005-0000-0000-0000A8020000}"/>
    <cellStyle name="汇总 2 4 15 2 2" xfId="7286" xr:uid="{00000000-0005-0000-0000-0000A61C0000}"/>
    <cellStyle name="汇总 2 4 15 3" xfId="7295" xr:uid="{00000000-0005-0000-0000-0000AF1C0000}"/>
    <cellStyle name="汇总 2 4 15 3 2" xfId="15914" xr:uid="{00000000-0005-0000-0000-00005A3E0000}"/>
    <cellStyle name="汇总 2 4 15 4" xfId="15920" xr:uid="{00000000-0005-0000-0000-0000603E0000}"/>
    <cellStyle name="汇总 2 4 15 4 2" xfId="15924" xr:uid="{00000000-0005-0000-0000-0000643E0000}"/>
    <cellStyle name="汇总 2 4 15 5" xfId="15927" xr:uid="{00000000-0005-0000-0000-0000673E0000}"/>
    <cellStyle name="汇总 2 4 15 5 2" xfId="15932" xr:uid="{00000000-0005-0000-0000-00006C3E0000}"/>
    <cellStyle name="汇总 2 4 15 6" xfId="15935" xr:uid="{00000000-0005-0000-0000-00006F3E0000}"/>
    <cellStyle name="汇总 2 4 16" xfId="13877" xr:uid="{00000000-0005-0000-0000-000065360000}"/>
    <cellStyle name="汇总 2 4 16 2" xfId="15939" xr:uid="{00000000-0005-0000-0000-0000733E0000}"/>
    <cellStyle name="汇总 2 4 16 2 2" xfId="15940" xr:uid="{00000000-0005-0000-0000-0000743E0000}"/>
    <cellStyle name="汇总 2 4 16 3" xfId="15942" xr:uid="{00000000-0005-0000-0000-0000763E0000}"/>
    <cellStyle name="汇总 2 4 16 3 2" xfId="15944" xr:uid="{00000000-0005-0000-0000-0000783E0000}"/>
    <cellStyle name="汇总 2 4 16 4" xfId="15948" xr:uid="{00000000-0005-0000-0000-00007C3E0000}"/>
    <cellStyle name="汇总 2 4 16 4 2" xfId="13737" xr:uid="{00000000-0005-0000-0000-0000D9350000}"/>
    <cellStyle name="汇总 2 4 16 5" xfId="15949" xr:uid="{00000000-0005-0000-0000-00007D3E0000}"/>
    <cellStyle name="汇总 2 4 16 5 2" xfId="15951" xr:uid="{00000000-0005-0000-0000-00007F3E0000}"/>
    <cellStyle name="汇总 2 4 16 6" xfId="15952" xr:uid="{00000000-0005-0000-0000-0000803E0000}"/>
    <cellStyle name="汇总 2 4 17" xfId="15955" xr:uid="{00000000-0005-0000-0000-0000833E0000}"/>
    <cellStyle name="汇总 2 4 17 2" xfId="15959" xr:uid="{00000000-0005-0000-0000-0000873E0000}"/>
    <cellStyle name="汇总 2 4 17 2 2" xfId="15960" xr:uid="{00000000-0005-0000-0000-0000883E0000}"/>
    <cellStyle name="汇总 2 4 17 3" xfId="15962" xr:uid="{00000000-0005-0000-0000-00008A3E0000}"/>
    <cellStyle name="汇总 2 4 17 3 2" xfId="15968" xr:uid="{00000000-0005-0000-0000-0000903E0000}"/>
    <cellStyle name="汇总 2 4 17 4" xfId="15972" xr:uid="{00000000-0005-0000-0000-0000943E0000}"/>
    <cellStyle name="汇总 2 4 17 4 2" xfId="15978" xr:uid="{00000000-0005-0000-0000-00009A3E0000}"/>
    <cellStyle name="汇总 2 4 17 5" xfId="15979" xr:uid="{00000000-0005-0000-0000-00009B3E0000}"/>
    <cellStyle name="汇总 2 4 17 5 2" xfId="15984" xr:uid="{00000000-0005-0000-0000-0000A03E0000}"/>
    <cellStyle name="汇总 2 4 17 6" xfId="15985" xr:uid="{00000000-0005-0000-0000-0000A13E0000}"/>
    <cellStyle name="汇总 2 4 18" xfId="15988" xr:uid="{00000000-0005-0000-0000-0000A43E0000}"/>
    <cellStyle name="汇总 2 4 18 2" xfId="15993" xr:uid="{00000000-0005-0000-0000-0000A93E0000}"/>
    <cellStyle name="汇总 2 4 18 2 2" xfId="15997" xr:uid="{00000000-0005-0000-0000-0000AD3E0000}"/>
    <cellStyle name="汇总 2 4 18 3" xfId="15999" xr:uid="{00000000-0005-0000-0000-0000AF3E0000}"/>
    <cellStyle name="汇总 2 4 18 3 2" xfId="16002" xr:uid="{00000000-0005-0000-0000-0000B23E0000}"/>
    <cellStyle name="汇总 2 4 18 4" xfId="16010" xr:uid="{00000000-0005-0000-0000-0000BA3E0000}"/>
    <cellStyle name="汇总 2 4 18 4 2" xfId="16014" xr:uid="{00000000-0005-0000-0000-0000BE3E0000}"/>
    <cellStyle name="汇总 2 4 18 5" xfId="16020" xr:uid="{00000000-0005-0000-0000-0000C43E0000}"/>
    <cellStyle name="汇总 2 4 18 5 2" xfId="16022" xr:uid="{00000000-0005-0000-0000-0000C63E0000}"/>
    <cellStyle name="汇总 2 4 18 6" xfId="16030" xr:uid="{00000000-0005-0000-0000-0000CE3E0000}"/>
    <cellStyle name="汇总 2 4 19" xfId="16033" xr:uid="{00000000-0005-0000-0000-0000D13E0000}"/>
    <cellStyle name="汇总 2 4 19 2" xfId="16034" xr:uid="{00000000-0005-0000-0000-0000D23E0000}"/>
    <cellStyle name="汇总 2 4 19 2 2" xfId="16038" xr:uid="{00000000-0005-0000-0000-0000D63E0000}"/>
    <cellStyle name="汇总 2 4 19 3" xfId="16041" xr:uid="{00000000-0005-0000-0000-0000D93E0000}"/>
    <cellStyle name="汇总 2 4 19 3 2" xfId="16044" xr:uid="{00000000-0005-0000-0000-0000DC3E0000}"/>
    <cellStyle name="汇总 2 4 19 4" xfId="16047" xr:uid="{00000000-0005-0000-0000-0000DF3E0000}"/>
    <cellStyle name="汇总 2 4 19 4 2" xfId="16051" xr:uid="{00000000-0005-0000-0000-0000E33E0000}"/>
    <cellStyle name="汇总 2 4 19 5" xfId="16053" xr:uid="{00000000-0005-0000-0000-0000E53E0000}"/>
    <cellStyle name="汇总 2 4 2" xfId="14487" xr:uid="{00000000-0005-0000-0000-0000C7380000}"/>
    <cellStyle name="汇总 2 4 2 10" xfId="16058" xr:uid="{00000000-0005-0000-0000-0000EA3E0000}"/>
    <cellStyle name="汇总 2 4 2 10 2" xfId="11922" xr:uid="{00000000-0005-0000-0000-0000C22E0000}"/>
    <cellStyle name="汇总 2 4 2 11" xfId="16059" xr:uid="{00000000-0005-0000-0000-0000EB3E0000}"/>
    <cellStyle name="汇总 2 4 2 11 2" xfId="11940" xr:uid="{00000000-0005-0000-0000-0000D42E0000}"/>
    <cellStyle name="汇总 2 4 2 12" xfId="16060" xr:uid="{00000000-0005-0000-0000-0000EC3E0000}"/>
    <cellStyle name="汇总 2 4 2 12 2" xfId="11958" xr:uid="{00000000-0005-0000-0000-0000E62E0000}"/>
    <cellStyle name="汇总 2 4 2 13" xfId="16062" xr:uid="{00000000-0005-0000-0000-0000EE3E0000}"/>
    <cellStyle name="汇总 2 4 2 14" xfId="16064" xr:uid="{00000000-0005-0000-0000-0000F03E0000}"/>
    <cellStyle name="汇总 2 4 2 15" xfId="16066" xr:uid="{00000000-0005-0000-0000-0000F23E0000}"/>
    <cellStyle name="汇总 2 4 2 16" xfId="16068" xr:uid="{00000000-0005-0000-0000-0000F43E0000}"/>
    <cellStyle name="汇总 2 4 2 2" xfId="14490" xr:uid="{00000000-0005-0000-0000-0000CA380000}"/>
    <cellStyle name="汇总 2 4 2 2 2" xfId="16070" xr:uid="{00000000-0005-0000-0000-0000F63E0000}"/>
    <cellStyle name="汇总 2 4 2 2 2 2" xfId="16071" xr:uid="{00000000-0005-0000-0000-0000F73E0000}"/>
    <cellStyle name="汇总 2 4 2 2 3" xfId="16072" xr:uid="{00000000-0005-0000-0000-0000F83E0000}"/>
    <cellStyle name="汇总 2 4 2 2 3 2" xfId="5824" xr:uid="{00000000-0005-0000-0000-0000F0160000}"/>
    <cellStyle name="汇总 2 4 2 2 4" xfId="16073" xr:uid="{00000000-0005-0000-0000-0000F93E0000}"/>
    <cellStyle name="汇总 2 4 2 2 4 2" xfId="5980" xr:uid="{00000000-0005-0000-0000-00008C170000}"/>
    <cellStyle name="汇总 2 4 2 2 5" xfId="16074" xr:uid="{00000000-0005-0000-0000-0000FA3E0000}"/>
    <cellStyle name="汇总 2 4 2 2 5 2" xfId="16080" xr:uid="{00000000-0005-0000-0000-0000003F0000}"/>
    <cellStyle name="汇总 2 4 2 2 6" xfId="16082" xr:uid="{00000000-0005-0000-0000-0000023F0000}"/>
    <cellStyle name="汇总 2 4 2 2 7" xfId="16084" xr:uid="{00000000-0005-0000-0000-0000043F0000}"/>
    <cellStyle name="汇总 2 4 2 2 8" xfId="5570" xr:uid="{00000000-0005-0000-0000-0000F2150000}"/>
    <cellStyle name="汇总 2 4 2 2 9" xfId="5577" xr:uid="{00000000-0005-0000-0000-0000F9150000}"/>
    <cellStyle name="汇总 2 4 2 3" xfId="15218" xr:uid="{00000000-0005-0000-0000-0000A23B0000}"/>
    <cellStyle name="汇总 2 4 2 3 2" xfId="15224" xr:uid="{00000000-0005-0000-0000-0000A83B0000}"/>
    <cellStyle name="汇总 2 4 2 3 2 2" xfId="16090" xr:uid="{00000000-0005-0000-0000-00000A3F0000}"/>
    <cellStyle name="汇总 2 4 2 3 3" xfId="16091" xr:uid="{00000000-0005-0000-0000-00000B3F0000}"/>
    <cellStyle name="汇总 2 4 2 3 3 2" xfId="16096" xr:uid="{00000000-0005-0000-0000-0000103F0000}"/>
    <cellStyle name="汇总 2 4 2 3 4" xfId="16097" xr:uid="{00000000-0005-0000-0000-0000113F0000}"/>
    <cellStyle name="汇总 2 4 2 3 4 2" xfId="16101" xr:uid="{00000000-0005-0000-0000-0000153F0000}"/>
    <cellStyle name="汇总 2 4 2 3 5" xfId="16102" xr:uid="{00000000-0005-0000-0000-0000163F0000}"/>
    <cellStyle name="汇总 2 4 2 3 5 2" xfId="16107" xr:uid="{00000000-0005-0000-0000-00001B3F0000}"/>
    <cellStyle name="汇总 2 4 2 3 6" xfId="16109" xr:uid="{00000000-0005-0000-0000-00001D3F0000}"/>
    <cellStyle name="汇总 2 4 2 4" xfId="15228" xr:uid="{00000000-0005-0000-0000-0000AC3B0000}"/>
    <cellStyle name="汇总 2 4 2 4 2" xfId="15232" xr:uid="{00000000-0005-0000-0000-0000B03B0000}"/>
    <cellStyle name="汇总 2 4 2 4 2 2" xfId="13364" xr:uid="{00000000-0005-0000-0000-000064340000}"/>
    <cellStyle name="汇总 2 4 2 4 3" xfId="16111" xr:uid="{00000000-0005-0000-0000-00001F3F0000}"/>
    <cellStyle name="汇总 2 4 2 4 3 2" xfId="13530" xr:uid="{00000000-0005-0000-0000-00000A350000}"/>
    <cellStyle name="汇总 2 4 2 4 4" xfId="16112" xr:uid="{00000000-0005-0000-0000-0000203F0000}"/>
    <cellStyle name="汇总 2 4 2 4 4 2" xfId="16116" xr:uid="{00000000-0005-0000-0000-0000243F0000}"/>
    <cellStyle name="汇总 2 4 2 4 5" xfId="16117" xr:uid="{00000000-0005-0000-0000-0000253F0000}"/>
    <cellStyle name="汇总 2 4 2 4 5 2" xfId="16122" xr:uid="{00000000-0005-0000-0000-00002A3F0000}"/>
    <cellStyle name="汇总 2 4 2 4 6" xfId="16124" xr:uid="{00000000-0005-0000-0000-00002C3F0000}"/>
    <cellStyle name="汇总 2 4 2 5" xfId="15236" xr:uid="{00000000-0005-0000-0000-0000B43B0000}"/>
    <cellStyle name="汇总 2 4 2 5 2" xfId="15243" xr:uid="{00000000-0005-0000-0000-0000BB3B0000}"/>
    <cellStyle name="汇总 2 4 2 5 2 2" xfId="667" xr:uid="{00000000-0005-0000-0000-0000CB020000}"/>
    <cellStyle name="汇总 2 4 2 5 3" xfId="16126" xr:uid="{00000000-0005-0000-0000-00002E3F0000}"/>
    <cellStyle name="汇总 2 4 2 5 3 2" xfId="706" xr:uid="{00000000-0005-0000-0000-0000F2020000}"/>
    <cellStyle name="汇总 2 4 2 5 4" xfId="16127" xr:uid="{00000000-0005-0000-0000-00002F3F0000}"/>
    <cellStyle name="汇总 2 4 2 5 4 2" xfId="16134" xr:uid="{00000000-0005-0000-0000-0000363F0000}"/>
    <cellStyle name="汇总 2 4 2 5 5" xfId="16135" xr:uid="{00000000-0005-0000-0000-0000373F0000}"/>
    <cellStyle name="汇总 2 4 2 5 5 2" xfId="12421" xr:uid="{00000000-0005-0000-0000-0000B5300000}"/>
    <cellStyle name="汇总 2 4 2 5 6" xfId="16137" xr:uid="{00000000-0005-0000-0000-0000393F0000}"/>
    <cellStyle name="汇总 2 4 2 6" xfId="15247" xr:uid="{00000000-0005-0000-0000-0000BF3B0000}"/>
    <cellStyle name="汇总 2 4 2 6 2" xfId="16139" xr:uid="{00000000-0005-0000-0000-00003B3F0000}"/>
    <cellStyle name="汇总 2 4 2 6 2 2" xfId="16142" xr:uid="{00000000-0005-0000-0000-00003E3F0000}"/>
    <cellStyle name="汇总 2 4 2 6 3" xfId="16143" xr:uid="{00000000-0005-0000-0000-00003F3F0000}"/>
    <cellStyle name="汇总 2 4 2 6 3 2" xfId="16147" xr:uid="{00000000-0005-0000-0000-0000433F0000}"/>
    <cellStyle name="汇总 2 4 2 6 4" xfId="12234" xr:uid="{00000000-0005-0000-0000-0000FA2F0000}"/>
    <cellStyle name="汇总 2 4 2 6 4 2" xfId="12241" xr:uid="{00000000-0005-0000-0000-000001300000}"/>
    <cellStyle name="汇总 2 4 2 6 5" xfId="2654" xr:uid="{00000000-0005-0000-0000-00008E0A0000}"/>
    <cellStyle name="汇总 2 4 2 6 5 2" xfId="12247" xr:uid="{00000000-0005-0000-0000-000007300000}"/>
    <cellStyle name="汇总 2 4 2 6 6" xfId="12252" xr:uid="{00000000-0005-0000-0000-00000C300000}"/>
    <cellStyle name="汇总 2 4 2 7" xfId="15252" xr:uid="{00000000-0005-0000-0000-0000C43B0000}"/>
    <cellStyle name="汇总 2 4 2 7 2" xfId="16149" xr:uid="{00000000-0005-0000-0000-0000453F0000}"/>
    <cellStyle name="汇总 2 4 2 7 2 2" xfId="16151" xr:uid="{00000000-0005-0000-0000-0000473F0000}"/>
    <cellStyle name="汇总 2 4 2 7 3" xfId="16152" xr:uid="{00000000-0005-0000-0000-0000483F0000}"/>
    <cellStyle name="汇总 2 4 2 7 3 2" xfId="16155" xr:uid="{00000000-0005-0000-0000-00004B3F0000}"/>
    <cellStyle name="汇总 2 4 2 7 4" xfId="12279" xr:uid="{00000000-0005-0000-0000-000027300000}"/>
    <cellStyle name="汇总 2 4 2 7 4 2" xfId="12285" xr:uid="{00000000-0005-0000-0000-00002D300000}"/>
    <cellStyle name="汇总 2 4 2 7 5" xfId="10179" xr:uid="{00000000-0005-0000-0000-0000F3270000}"/>
    <cellStyle name="汇总 2 4 2 7 5 2" xfId="12293" xr:uid="{00000000-0005-0000-0000-000035300000}"/>
    <cellStyle name="汇总 2 4 2 7 6" xfId="12297" xr:uid="{00000000-0005-0000-0000-000039300000}"/>
    <cellStyle name="汇总 2 4 2 8" xfId="15260" xr:uid="{00000000-0005-0000-0000-0000CC3B0000}"/>
    <cellStyle name="汇总 2 4 2 8 2" xfId="16158" xr:uid="{00000000-0005-0000-0000-00004E3F0000}"/>
    <cellStyle name="汇总 2 4 2 8 2 2" xfId="16160" xr:uid="{00000000-0005-0000-0000-0000503F0000}"/>
    <cellStyle name="汇总 2 4 2 8 3" xfId="16161" xr:uid="{00000000-0005-0000-0000-0000513F0000}"/>
    <cellStyle name="汇总 2 4 2 8 3 2" xfId="2019" xr:uid="{00000000-0005-0000-0000-000013080000}"/>
    <cellStyle name="汇总 2 4 2 8 4" xfId="12326" xr:uid="{00000000-0005-0000-0000-000056300000}"/>
    <cellStyle name="汇总 2 4 2 8 4 2" xfId="12332" xr:uid="{00000000-0005-0000-0000-00005C300000}"/>
    <cellStyle name="汇总 2 4 2 8 5" xfId="10195" xr:uid="{00000000-0005-0000-0000-000003280000}"/>
    <cellStyle name="汇总 2 4 2 9" xfId="15268" xr:uid="{00000000-0005-0000-0000-0000D43B0000}"/>
    <cellStyle name="汇总 2 4 2 9 2" xfId="16164" xr:uid="{00000000-0005-0000-0000-0000543F0000}"/>
    <cellStyle name="汇总 2 4 20" xfId="15911" xr:uid="{00000000-0005-0000-0000-0000573E0000}"/>
    <cellStyle name="汇总 2 4 20 2" xfId="631" xr:uid="{00000000-0005-0000-0000-0000A7020000}"/>
    <cellStyle name="汇总 2 4 21" xfId="13876" xr:uid="{00000000-0005-0000-0000-000064360000}"/>
    <cellStyle name="汇总 2 4 21 2" xfId="15938" xr:uid="{00000000-0005-0000-0000-0000723E0000}"/>
    <cellStyle name="汇总 2 4 22" xfId="15954" xr:uid="{00000000-0005-0000-0000-0000823E0000}"/>
    <cellStyle name="汇总 2 4 22 2" xfId="15958" xr:uid="{00000000-0005-0000-0000-0000863E0000}"/>
    <cellStyle name="汇总 2 4 23" xfId="15987" xr:uid="{00000000-0005-0000-0000-0000A33E0000}"/>
    <cellStyle name="汇总 2 4 23 2" xfId="15992" xr:uid="{00000000-0005-0000-0000-0000A83E0000}"/>
    <cellStyle name="汇总 2 4 24" xfId="16032" xr:uid="{00000000-0005-0000-0000-0000D03E0000}"/>
    <cellStyle name="汇总 2 4 25" xfId="16165" xr:uid="{00000000-0005-0000-0000-0000553F0000}"/>
    <cellStyle name="汇总 2 4 26" xfId="16166" xr:uid="{00000000-0005-0000-0000-0000563F0000}"/>
    <cellStyle name="汇总 2 4 27" xfId="14239" xr:uid="{00000000-0005-0000-0000-0000CF370000}"/>
    <cellStyle name="汇总 2 4 3" xfId="14493" xr:uid="{00000000-0005-0000-0000-0000CD380000}"/>
    <cellStyle name="汇总 2 4 3 10" xfId="16167" xr:uid="{00000000-0005-0000-0000-0000573F0000}"/>
    <cellStyle name="汇总 2 4 3 10 2" xfId="14161" xr:uid="{00000000-0005-0000-0000-000081370000}"/>
    <cellStyle name="汇总 2 4 3 11" xfId="16174" xr:uid="{00000000-0005-0000-0000-00005E3F0000}"/>
    <cellStyle name="汇总 2 4 3 11 2" xfId="4009" xr:uid="{00000000-0005-0000-0000-0000D90F0000}"/>
    <cellStyle name="汇总 2 4 3 12" xfId="16179" xr:uid="{00000000-0005-0000-0000-0000633F0000}"/>
    <cellStyle name="汇总 2 4 3 12 2" xfId="16180" xr:uid="{00000000-0005-0000-0000-0000643F0000}"/>
    <cellStyle name="汇总 2 4 3 13" xfId="16181" xr:uid="{00000000-0005-0000-0000-0000653F0000}"/>
    <cellStyle name="汇总 2 4 3 14" xfId="16183" xr:uid="{00000000-0005-0000-0000-0000673F0000}"/>
    <cellStyle name="汇总 2 4 3 15" xfId="16188" xr:uid="{00000000-0005-0000-0000-00006C3F0000}"/>
    <cellStyle name="汇总 2 4 3 16" xfId="16190" xr:uid="{00000000-0005-0000-0000-00006E3F0000}"/>
    <cellStyle name="汇总 2 4 3 2" xfId="14497" xr:uid="{00000000-0005-0000-0000-0000D1380000}"/>
    <cellStyle name="汇总 2 4 3 2 2" xfId="6557" xr:uid="{00000000-0005-0000-0000-0000CD190000}"/>
    <cellStyle name="汇总 2 4 3 2 2 2" xfId="6564" xr:uid="{00000000-0005-0000-0000-0000D4190000}"/>
    <cellStyle name="汇总 2 4 3 2 3" xfId="6570" xr:uid="{00000000-0005-0000-0000-0000DA190000}"/>
    <cellStyle name="汇总 2 4 3 2 3 2" xfId="16192" xr:uid="{00000000-0005-0000-0000-0000703F0000}"/>
    <cellStyle name="汇总 2 4 3 2 4" xfId="6576" xr:uid="{00000000-0005-0000-0000-0000E0190000}"/>
    <cellStyle name="汇总 2 4 3 2 4 2" xfId="322" xr:uid="{00000000-0005-0000-0000-000062010000}"/>
    <cellStyle name="汇总 2 4 3 2 5" xfId="5983" xr:uid="{00000000-0005-0000-0000-00008F170000}"/>
    <cellStyle name="汇总 2 4 3 2 5 2" xfId="16199" xr:uid="{00000000-0005-0000-0000-0000773F0000}"/>
    <cellStyle name="汇总 2 4 3 2 6" xfId="5998" xr:uid="{00000000-0005-0000-0000-00009E170000}"/>
    <cellStyle name="汇总 2 4 3 2 7" xfId="16202" xr:uid="{00000000-0005-0000-0000-00007A3F0000}"/>
    <cellStyle name="汇总 2 4 3 2 8" xfId="6029" xr:uid="{00000000-0005-0000-0000-0000BD170000}"/>
    <cellStyle name="汇总 2 4 3 2 9" xfId="6062" xr:uid="{00000000-0005-0000-0000-0000DE170000}"/>
    <cellStyle name="汇总 2 4 3 3" xfId="16209" xr:uid="{00000000-0005-0000-0000-0000813F0000}"/>
    <cellStyle name="汇总 2 4 3 3 2" xfId="16210" xr:uid="{00000000-0005-0000-0000-0000823F0000}"/>
    <cellStyle name="汇总 2 4 3 3 2 2" xfId="16211" xr:uid="{00000000-0005-0000-0000-0000833F0000}"/>
    <cellStyle name="汇总 2 4 3 3 3" xfId="16213" xr:uid="{00000000-0005-0000-0000-0000853F0000}"/>
    <cellStyle name="汇总 2 4 3 3 3 2" xfId="16214" xr:uid="{00000000-0005-0000-0000-0000863F0000}"/>
    <cellStyle name="汇总 2 4 3 3 4" xfId="16216" xr:uid="{00000000-0005-0000-0000-0000883F0000}"/>
    <cellStyle name="汇总 2 4 3 3 4 2" xfId="16221" xr:uid="{00000000-0005-0000-0000-00008D3F0000}"/>
    <cellStyle name="汇总 2 4 3 3 5" xfId="16077" xr:uid="{00000000-0005-0000-0000-0000FD3E0000}"/>
    <cellStyle name="汇总 2 4 3 3 5 2" xfId="16226" xr:uid="{00000000-0005-0000-0000-0000923F0000}"/>
    <cellStyle name="汇总 2 4 3 3 6" xfId="16229" xr:uid="{00000000-0005-0000-0000-0000953F0000}"/>
    <cellStyle name="汇总 2 4 3 4" xfId="16231" xr:uid="{00000000-0005-0000-0000-0000973F0000}"/>
    <cellStyle name="汇总 2 4 3 4 2" xfId="16232" xr:uid="{00000000-0005-0000-0000-0000983F0000}"/>
    <cellStyle name="汇总 2 4 3 4 2 2" xfId="16233" xr:uid="{00000000-0005-0000-0000-0000993F0000}"/>
    <cellStyle name="汇总 2 4 3 4 3" xfId="16235" xr:uid="{00000000-0005-0000-0000-00009B3F0000}"/>
    <cellStyle name="汇总 2 4 3 4 3 2" xfId="16236" xr:uid="{00000000-0005-0000-0000-00009C3F0000}"/>
    <cellStyle name="汇总 2 4 3 4 4" xfId="16238" xr:uid="{00000000-0005-0000-0000-00009E3F0000}"/>
    <cellStyle name="汇总 2 4 3 4 4 2" xfId="16243" xr:uid="{00000000-0005-0000-0000-0000A33F0000}"/>
    <cellStyle name="汇总 2 4 3 4 5" xfId="16245" xr:uid="{00000000-0005-0000-0000-0000A53F0000}"/>
    <cellStyle name="汇总 2 4 3 4 5 2" xfId="16256" xr:uid="{00000000-0005-0000-0000-0000B03F0000}"/>
    <cellStyle name="汇总 2 4 3 4 6" xfId="16259" xr:uid="{00000000-0005-0000-0000-0000B33F0000}"/>
    <cellStyle name="汇总 2 4 3 5" xfId="16261" xr:uid="{00000000-0005-0000-0000-0000B53F0000}"/>
    <cellStyle name="汇总 2 4 3 5 2" xfId="16263" xr:uid="{00000000-0005-0000-0000-0000B73F0000}"/>
    <cellStyle name="汇总 2 4 3 5 2 2" xfId="16264" xr:uid="{00000000-0005-0000-0000-0000B83F0000}"/>
    <cellStyle name="汇总 2 4 3 5 3" xfId="16267" xr:uid="{00000000-0005-0000-0000-0000BB3F0000}"/>
    <cellStyle name="汇总 2 4 3 5 3 2" xfId="16268" xr:uid="{00000000-0005-0000-0000-0000BC3F0000}"/>
    <cellStyle name="汇总 2 4 3 5 4" xfId="16271" xr:uid="{00000000-0005-0000-0000-0000BF3F0000}"/>
    <cellStyle name="汇总 2 4 3 5 4 2" xfId="16276" xr:uid="{00000000-0005-0000-0000-0000C43F0000}"/>
    <cellStyle name="汇总 2 4 3 5 5" xfId="16278" xr:uid="{00000000-0005-0000-0000-0000C63F0000}"/>
    <cellStyle name="汇总 2 4 3 5 5 2" xfId="13689" xr:uid="{00000000-0005-0000-0000-0000A9350000}"/>
    <cellStyle name="汇总 2 4 3 5 6" xfId="16282" xr:uid="{00000000-0005-0000-0000-0000CA3F0000}"/>
    <cellStyle name="汇总 2 4 3 6" xfId="16284" xr:uid="{00000000-0005-0000-0000-0000CC3F0000}"/>
    <cellStyle name="汇总 2 4 3 6 2" xfId="13986" xr:uid="{00000000-0005-0000-0000-0000D2360000}"/>
    <cellStyle name="汇总 2 4 3 6 2 2" xfId="2174" xr:uid="{00000000-0005-0000-0000-0000AE080000}"/>
    <cellStyle name="汇总 2 4 3 6 3" xfId="13992" xr:uid="{00000000-0005-0000-0000-0000D8360000}"/>
    <cellStyle name="汇总 2 4 3 6 3 2" xfId="3506" xr:uid="{00000000-0005-0000-0000-0000E20D0000}"/>
    <cellStyle name="汇总 2 4 3 6 4" xfId="12377" xr:uid="{00000000-0005-0000-0000-000089300000}"/>
    <cellStyle name="汇总 2 4 3 6 4 2" xfId="3531" xr:uid="{00000000-0005-0000-0000-0000FB0D0000}"/>
    <cellStyle name="汇总 2 4 3 6 5" xfId="2748" xr:uid="{00000000-0005-0000-0000-0000EC0A0000}"/>
    <cellStyle name="汇总 2 4 3 6 5 2" xfId="14018" xr:uid="{00000000-0005-0000-0000-0000F2360000}"/>
    <cellStyle name="汇总 2 4 3 6 6" xfId="14036" xr:uid="{00000000-0005-0000-0000-000004370000}"/>
    <cellStyle name="汇总 2 4 3 7" xfId="16285" xr:uid="{00000000-0005-0000-0000-0000CD3F0000}"/>
    <cellStyle name="汇总 2 4 3 7 2" xfId="16289" xr:uid="{00000000-0005-0000-0000-0000D13F0000}"/>
    <cellStyle name="汇总 2 4 3 7 2 2" xfId="9835" xr:uid="{00000000-0005-0000-0000-00009B260000}"/>
    <cellStyle name="汇总 2 4 3 7 3" xfId="16290" xr:uid="{00000000-0005-0000-0000-0000D23F0000}"/>
    <cellStyle name="汇总 2 4 3 7 3 2" xfId="16291" xr:uid="{00000000-0005-0000-0000-0000D33F0000}"/>
    <cellStyle name="汇总 2 4 3 7 4" xfId="12384" xr:uid="{00000000-0005-0000-0000-000090300000}"/>
    <cellStyle name="汇总 2 4 3 7 4 2" xfId="16294" xr:uid="{00000000-0005-0000-0000-0000D63F0000}"/>
    <cellStyle name="汇总 2 4 3 7 5" xfId="10240" xr:uid="{00000000-0005-0000-0000-000030280000}"/>
    <cellStyle name="汇总 2 4 3 7 5 2" xfId="16299" xr:uid="{00000000-0005-0000-0000-0000DB3F0000}"/>
    <cellStyle name="汇总 2 4 3 7 6" xfId="16301" xr:uid="{00000000-0005-0000-0000-0000DD3F0000}"/>
    <cellStyle name="汇总 2 4 3 8" xfId="16307" xr:uid="{00000000-0005-0000-0000-0000E33F0000}"/>
    <cellStyle name="汇总 2 4 3 8 2" xfId="16312" xr:uid="{00000000-0005-0000-0000-0000E83F0000}"/>
    <cellStyle name="汇总 2 4 3 8 2 2" xfId="16313" xr:uid="{00000000-0005-0000-0000-0000E93F0000}"/>
    <cellStyle name="汇总 2 4 3 8 3" xfId="16314" xr:uid="{00000000-0005-0000-0000-0000EA3F0000}"/>
    <cellStyle name="汇总 2 4 3 8 3 2" xfId="16315" xr:uid="{00000000-0005-0000-0000-0000EB3F0000}"/>
    <cellStyle name="汇总 2 4 3 8 4" xfId="12393" xr:uid="{00000000-0005-0000-0000-000099300000}"/>
    <cellStyle name="汇总 2 4 3 8 4 2" xfId="16318" xr:uid="{00000000-0005-0000-0000-0000EE3F0000}"/>
    <cellStyle name="汇总 2 4 3 8 5" xfId="9490" xr:uid="{00000000-0005-0000-0000-000042250000}"/>
    <cellStyle name="汇总 2 4 3 9" xfId="16321" xr:uid="{00000000-0005-0000-0000-0000F13F0000}"/>
    <cellStyle name="汇总 2 4 3 9 2" xfId="16323" xr:uid="{00000000-0005-0000-0000-0000F33F0000}"/>
    <cellStyle name="汇总 2 4 4" xfId="14499" xr:uid="{00000000-0005-0000-0000-0000D3380000}"/>
    <cellStyle name="汇总 2 4 4 10" xfId="16324" xr:uid="{00000000-0005-0000-0000-0000F43F0000}"/>
    <cellStyle name="汇总 2 4 4 10 2" xfId="16063" xr:uid="{00000000-0005-0000-0000-0000EF3E0000}"/>
    <cellStyle name="汇总 2 4 4 11" xfId="16325" xr:uid="{00000000-0005-0000-0000-0000F53F0000}"/>
    <cellStyle name="汇总 2 4 4 11 2" xfId="6499" xr:uid="{00000000-0005-0000-0000-000093190000}"/>
    <cellStyle name="汇总 2 4 4 12" xfId="16326" xr:uid="{00000000-0005-0000-0000-0000F63F0000}"/>
    <cellStyle name="汇总 2 4 4 12 2" xfId="16327" xr:uid="{00000000-0005-0000-0000-0000F73F0000}"/>
    <cellStyle name="汇总 2 4 4 13" xfId="3627" xr:uid="{00000000-0005-0000-0000-00005B0E0000}"/>
    <cellStyle name="汇总 2 4 4 14" xfId="16329" xr:uid="{00000000-0005-0000-0000-0000F93F0000}"/>
    <cellStyle name="汇总 2 4 4 15" xfId="16331" xr:uid="{00000000-0005-0000-0000-0000FB3F0000}"/>
    <cellStyle name="汇总 2 4 4 16" xfId="13257" xr:uid="{00000000-0005-0000-0000-0000F9330000}"/>
    <cellStyle name="汇总 2 4 4 2" xfId="14505" xr:uid="{00000000-0005-0000-0000-0000D9380000}"/>
    <cellStyle name="汇总 2 4 4 2 2" xfId="16332" xr:uid="{00000000-0005-0000-0000-0000FC3F0000}"/>
    <cellStyle name="汇总 2 4 4 2 2 2" xfId="16333" xr:uid="{00000000-0005-0000-0000-0000FD3F0000}"/>
    <cellStyle name="汇总 2 4 4 2 3" xfId="8523" xr:uid="{00000000-0005-0000-0000-00007B210000}"/>
    <cellStyle name="汇总 2 4 4 2 3 2" xfId="16334" xr:uid="{00000000-0005-0000-0000-0000FE3F0000}"/>
    <cellStyle name="汇总 2 4 4 2 4" xfId="15458" xr:uid="{00000000-0005-0000-0000-0000923C0000}"/>
    <cellStyle name="汇总 2 4 4 2 4 2" xfId="16337" xr:uid="{00000000-0005-0000-0000-000001400000}"/>
    <cellStyle name="汇总 2 4 4 2 5" xfId="16099" xr:uid="{00000000-0005-0000-0000-0000133F0000}"/>
    <cellStyle name="汇总 2 4 4 2 5 2" xfId="16341" xr:uid="{00000000-0005-0000-0000-000005400000}"/>
    <cellStyle name="汇总 2 4 4 2 6" xfId="16344" xr:uid="{00000000-0005-0000-0000-000008400000}"/>
    <cellStyle name="汇总 2 4 4 2 7" xfId="16347" xr:uid="{00000000-0005-0000-0000-00000B400000}"/>
    <cellStyle name="汇总 2 4 4 2 8" xfId="6364" xr:uid="{00000000-0005-0000-0000-00000C190000}"/>
    <cellStyle name="汇总 2 4 4 2 9" xfId="2357" xr:uid="{00000000-0005-0000-0000-000065090000}"/>
    <cellStyle name="汇总 2 4 4 3" xfId="16349" xr:uid="{00000000-0005-0000-0000-00000D400000}"/>
    <cellStyle name="汇总 2 4 4 3 2" xfId="16351" xr:uid="{00000000-0005-0000-0000-00000F400000}"/>
    <cellStyle name="汇总 2 4 4 3 2 2" xfId="16352" xr:uid="{00000000-0005-0000-0000-000010400000}"/>
    <cellStyle name="汇总 2 4 4 3 3" xfId="16353" xr:uid="{00000000-0005-0000-0000-000011400000}"/>
    <cellStyle name="汇总 2 4 4 3 3 2" xfId="16355" xr:uid="{00000000-0005-0000-0000-000013400000}"/>
    <cellStyle name="汇总 2 4 4 3 4" xfId="16357" xr:uid="{00000000-0005-0000-0000-000015400000}"/>
    <cellStyle name="汇总 2 4 4 3 4 2" xfId="16360" xr:uid="{00000000-0005-0000-0000-000018400000}"/>
    <cellStyle name="汇总 2 4 4 3 5" xfId="16105" xr:uid="{00000000-0005-0000-0000-0000193F0000}"/>
    <cellStyle name="汇总 2 4 4 3 5 2" xfId="16364" xr:uid="{00000000-0005-0000-0000-00001C400000}"/>
    <cellStyle name="汇总 2 4 4 3 6" xfId="16367" xr:uid="{00000000-0005-0000-0000-00001F400000}"/>
    <cellStyle name="汇总 2 4 4 4" xfId="16369" xr:uid="{00000000-0005-0000-0000-000021400000}"/>
    <cellStyle name="汇总 2 4 4 4 2" xfId="16370" xr:uid="{00000000-0005-0000-0000-000022400000}"/>
    <cellStyle name="汇总 2 4 4 4 2 2" xfId="16371" xr:uid="{00000000-0005-0000-0000-000023400000}"/>
    <cellStyle name="汇总 2 4 4 4 3" xfId="16372" xr:uid="{00000000-0005-0000-0000-000024400000}"/>
    <cellStyle name="汇总 2 4 4 4 3 2" xfId="16374" xr:uid="{00000000-0005-0000-0000-000026400000}"/>
    <cellStyle name="汇总 2 4 4 4 4" xfId="16376" xr:uid="{00000000-0005-0000-0000-000028400000}"/>
    <cellStyle name="汇总 2 4 4 4 4 2" xfId="16383" xr:uid="{00000000-0005-0000-0000-00002F400000}"/>
    <cellStyle name="汇总 2 4 4 4 5" xfId="16387" xr:uid="{00000000-0005-0000-0000-000033400000}"/>
    <cellStyle name="汇总 2 4 4 4 5 2" xfId="10466" xr:uid="{00000000-0005-0000-0000-000012290000}"/>
    <cellStyle name="汇总 2 4 4 4 6" xfId="16390" xr:uid="{00000000-0005-0000-0000-000036400000}"/>
    <cellStyle name="汇总 2 4 4 5" xfId="16393" xr:uid="{00000000-0005-0000-0000-000039400000}"/>
    <cellStyle name="汇总 2 4 4 5 2" xfId="16394" xr:uid="{00000000-0005-0000-0000-00003A400000}"/>
    <cellStyle name="汇总 2 4 4 5 2 2" xfId="16395" xr:uid="{00000000-0005-0000-0000-00003B400000}"/>
    <cellStyle name="汇总 2 4 4 5 3" xfId="16396" xr:uid="{00000000-0005-0000-0000-00003C400000}"/>
    <cellStyle name="汇总 2 4 4 5 3 2" xfId="16398" xr:uid="{00000000-0005-0000-0000-00003E400000}"/>
    <cellStyle name="汇总 2 4 4 5 4" xfId="16401" xr:uid="{00000000-0005-0000-0000-000041400000}"/>
    <cellStyle name="汇总 2 4 4 5 4 2" xfId="16406" xr:uid="{00000000-0005-0000-0000-000046400000}"/>
    <cellStyle name="汇总 2 4 4 5 5" xfId="16410" xr:uid="{00000000-0005-0000-0000-00004A400000}"/>
    <cellStyle name="汇总 2 4 4 5 5 2" xfId="15456" xr:uid="{00000000-0005-0000-0000-0000903C0000}"/>
    <cellStyle name="汇总 2 4 4 5 6" xfId="16413" xr:uid="{00000000-0005-0000-0000-00004D400000}"/>
    <cellStyle name="汇总 2 4 4 6" xfId="16415" xr:uid="{00000000-0005-0000-0000-00004F400000}"/>
    <cellStyle name="汇总 2 4 4 6 2" xfId="16417" xr:uid="{00000000-0005-0000-0000-000051400000}"/>
    <cellStyle name="汇总 2 4 4 6 2 2" xfId="16419" xr:uid="{00000000-0005-0000-0000-000053400000}"/>
    <cellStyle name="汇总 2 4 4 6 3" xfId="16421" xr:uid="{00000000-0005-0000-0000-000055400000}"/>
    <cellStyle name="汇总 2 4 4 6 3 2" xfId="16424" xr:uid="{00000000-0005-0000-0000-000058400000}"/>
    <cellStyle name="汇总 2 4 4 6 4" xfId="16428" xr:uid="{00000000-0005-0000-0000-00005C400000}"/>
    <cellStyle name="汇总 2 4 4 6 4 2" xfId="16432" xr:uid="{00000000-0005-0000-0000-000060400000}"/>
    <cellStyle name="汇总 2 4 4 6 5" xfId="5304" xr:uid="{00000000-0005-0000-0000-0000E8140000}"/>
    <cellStyle name="汇总 2 4 4 6 5 2" xfId="16437" xr:uid="{00000000-0005-0000-0000-000065400000}"/>
    <cellStyle name="汇总 2 4 4 6 6" xfId="16443" xr:uid="{00000000-0005-0000-0000-00006B400000}"/>
    <cellStyle name="汇总 2 4 4 7" xfId="16447" xr:uid="{00000000-0005-0000-0000-00006F400000}"/>
    <cellStyle name="汇总 2 4 4 7 2" xfId="16449" xr:uid="{00000000-0005-0000-0000-000071400000}"/>
    <cellStyle name="汇总 2 4 4 7 2 2" xfId="16451" xr:uid="{00000000-0005-0000-0000-000073400000}"/>
    <cellStyle name="汇总 2 4 4 7 3" xfId="16452" xr:uid="{00000000-0005-0000-0000-000074400000}"/>
    <cellStyle name="汇总 2 4 4 7 3 2" xfId="16453" xr:uid="{00000000-0005-0000-0000-000075400000}"/>
    <cellStyle name="汇总 2 4 4 7 4" xfId="16455" xr:uid="{00000000-0005-0000-0000-000077400000}"/>
    <cellStyle name="汇总 2 4 4 7 4 2" xfId="16457" xr:uid="{00000000-0005-0000-0000-000079400000}"/>
    <cellStyle name="汇总 2 4 4 7 5" xfId="10250" xr:uid="{00000000-0005-0000-0000-00003A280000}"/>
    <cellStyle name="汇总 2 4 4 7 5 2" xfId="16459" xr:uid="{00000000-0005-0000-0000-00007B400000}"/>
    <cellStyle name="汇总 2 4 4 7 6" xfId="16464" xr:uid="{00000000-0005-0000-0000-000080400000}"/>
    <cellStyle name="汇总 2 4 4 8" xfId="1802" xr:uid="{00000000-0005-0000-0000-00003A070000}"/>
    <cellStyle name="汇总 2 4 4 8 2" xfId="2078" xr:uid="{00000000-0005-0000-0000-00004E080000}"/>
    <cellStyle name="汇总 2 4 4 8 2 2" xfId="6520" xr:uid="{00000000-0005-0000-0000-0000A8190000}"/>
    <cellStyle name="汇总 2 4 4 8 3" xfId="16466" xr:uid="{00000000-0005-0000-0000-000082400000}"/>
    <cellStyle name="汇总 2 4 4 8 3 2" xfId="16467" xr:uid="{00000000-0005-0000-0000-000083400000}"/>
    <cellStyle name="汇总 2 4 4 8 4" xfId="16468" xr:uid="{00000000-0005-0000-0000-000084400000}"/>
    <cellStyle name="汇总 2 4 4 8 4 2" xfId="1580" xr:uid="{00000000-0005-0000-0000-00005C060000}"/>
    <cellStyle name="汇总 2 4 4 8 5" xfId="10262" xr:uid="{00000000-0005-0000-0000-000046280000}"/>
    <cellStyle name="汇总 2 4 4 9" xfId="16469" xr:uid="{00000000-0005-0000-0000-000085400000}"/>
    <cellStyle name="汇总 2 4 4 9 2" xfId="16472" xr:uid="{00000000-0005-0000-0000-000088400000}"/>
    <cellStyle name="汇总 2 4 5" xfId="14511" xr:uid="{00000000-0005-0000-0000-0000DF380000}"/>
    <cellStyle name="汇总 2 4 5 10" xfId="6225" xr:uid="{00000000-0005-0000-0000-000081180000}"/>
    <cellStyle name="汇总 2 4 5 10 2" xfId="16478" xr:uid="{00000000-0005-0000-0000-00008E400000}"/>
    <cellStyle name="汇总 2 4 5 11" xfId="16479" xr:uid="{00000000-0005-0000-0000-00008F400000}"/>
    <cellStyle name="汇总 2 4 5 11 2" xfId="9856" xr:uid="{00000000-0005-0000-0000-0000B0260000}"/>
    <cellStyle name="汇总 2 4 5 12" xfId="16481" xr:uid="{00000000-0005-0000-0000-000091400000}"/>
    <cellStyle name="汇总 2 4 5 12 2" xfId="16484" xr:uid="{00000000-0005-0000-0000-000094400000}"/>
    <cellStyle name="汇总 2 4 5 13" xfId="16487" xr:uid="{00000000-0005-0000-0000-000097400000}"/>
    <cellStyle name="汇总 2 4 5 14" xfId="7200" xr:uid="{00000000-0005-0000-0000-0000501C0000}"/>
    <cellStyle name="汇总 2 4 5 15" xfId="15801" xr:uid="{00000000-0005-0000-0000-0000E93D0000}"/>
    <cellStyle name="汇总 2 4 5 16" xfId="4972" xr:uid="{00000000-0005-0000-0000-00009C130000}"/>
    <cellStyle name="汇总 2 4 5 2" xfId="16490" xr:uid="{00000000-0005-0000-0000-00009A400000}"/>
    <cellStyle name="汇总 2 4 5 2 2" xfId="16491" xr:uid="{00000000-0005-0000-0000-00009B400000}"/>
    <cellStyle name="汇总 2 4 5 2 2 2" xfId="16496" xr:uid="{00000000-0005-0000-0000-0000A0400000}"/>
    <cellStyle name="汇总 2 4 5 2 3" xfId="3809" xr:uid="{00000000-0005-0000-0000-0000110F0000}"/>
    <cellStyle name="汇总 2 4 5 2 3 2" xfId="620" xr:uid="{00000000-0005-0000-0000-00009C020000}"/>
    <cellStyle name="汇总 2 4 5 2 4" xfId="16500" xr:uid="{00000000-0005-0000-0000-0000A4400000}"/>
    <cellStyle name="汇总 2 4 5 2 4 2" xfId="16507" xr:uid="{00000000-0005-0000-0000-0000AB400000}"/>
    <cellStyle name="汇总 2 4 5 2 5" xfId="16114" xr:uid="{00000000-0005-0000-0000-0000223F0000}"/>
    <cellStyle name="汇总 2 4 5 2 5 2" xfId="16512" xr:uid="{00000000-0005-0000-0000-0000B0400000}"/>
    <cellStyle name="汇总 2 4 5 2 6" xfId="16515" xr:uid="{00000000-0005-0000-0000-0000B3400000}"/>
    <cellStyle name="汇总 2 4 5 2 7" xfId="16519" xr:uid="{00000000-0005-0000-0000-0000B7400000}"/>
    <cellStyle name="汇总 2 4 5 2 8" xfId="6738" xr:uid="{00000000-0005-0000-0000-0000821A0000}"/>
    <cellStyle name="汇总 2 4 5 2 9" xfId="6743" xr:uid="{00000000-0005-0000-0000-0000871A0000}"/>
    <cellStyle name="汇总 2 4 5 3" xfId="16522" xr:uid="{00000000-0005-0000-0000-0000BA400000}"/>
    <cellStyle name="汇总 2 4 5 3 2" xfId="16524" xr:uid="{00000000-0005-0000-0000-0000BC400000}"/>
    <cellStyle name="汇总 2 4 5 3 2 2" xfId="16529" xr:uid="{00000000-0005-0000-0000-0000C1400000}"/>
    <cellStyle name="汇总 2 4 5 3 3" xfId="16531" xr:uid="{00000000-0005-0000-0000-0000C3400000}"/>
    <cellStyle name="汇总 2 4 5 3 3 2" xfId="16535" xr:uid="{00000000-0005-0000-0000-0000C7400000}"/>
    <cellStyle name="汇总 2 4 5 3 4" xfId="16537" xr:uid="{00000000-0005-0000-0000-0000C9400000}"/>
    <cellStyle name="汇总 2 4 5 3 4 2" xfId="16541" xr:uid="{00000000-0005-0000-0000-0000CD400000}"/>
    <cellStyle name="汇总 2 4 5 3 5" xfId="16120" xr:uid="{00000000-0005-0000-0000-0000283F0000}"/>
    <cellStyle name="汇总 2 4 5 3 5 2" xfId="16548" xr:uid="{00000000-0005-0000-0000-0000D4400000}"/>
    <cellStyle name="汇总 2 4 5 3 6" xfId="16551" xr:uid="{00000000-0005-0000-0000-0000D7400000}"/>
    <cellStyle name="汇总 2 4 5 4" xfId="16554" xr:uid="{00000000-0005-0000-0000-0000DA400000}"/>
    <cellStyle name="汇总 2 4 5 4 2" xfId="16555" xr:uid="{00000000-0005-0000-0000-0000DB400000}"/>
    <cellStyle name="汇总 2 4 5 4 2 2" xfId="16559" xr:uid="{00000000-0005-0000-0000-0000DF400000}"/>
    <cellStyle name="汇总 2 4 5 4 3" xfId="16561" xr:uid="{00000000-0005-0000-0000-0000E1400000}"/>
    <cellStyle name="汇总 2 4 5 4 3 2" xfId="16565" xr:uid="{00000000-0005-0000-0000-0000E5400000}"/>
    <cellStyle name="汇总 2 4 5 4 4" xfId="16567" xr:uid="{00000000-0005-0000-0000-0000E7400000}"/>
    <cellStyle name="汇总 2 4 5 4 4 2" xfId="16571" xr:uid="{00000000-0005-0000-0000-0000EB400000}"/>
    <cellStyle name="汇总 2 4 5 4 5" xfId="16575" xr:uid="{00000000-0005-0000-0000-0000EF400000}"/>
    <cellStyle name="汇总 2 4 5 4 5 2" xfId="16583" xr:uid="{00000000-0005-0000-0000-0000F7400000}"/>
    <cellStyle name="汇总 2 4 5 4 6" xfId="16587" xr:uid="{00000000-0005-0000-0000-0000FB400000}"/>
    <cellStyle name="汇总 2 4 5 5" xfId="16591" xr:uid="{00000000-0005-0000-0000-0000FF400000}"/>
    <cellStyle name="汇总 2 4 5 5 2" xfId="2511" xr:uid="{00000000-0005-0000-0000-0000FF090000}"/>
    <cellStyle name="汇总 2 4 5 5 2 2" xfId="851" xr:uid="{00000000-0005-0000-0000-000083030000}"/>
    <cellStyle name="汇总 2 4 5 5 3" xfId="3557" xr:uid="{00000000-0005-0000-0000-0000150E0000}"/>
    <cellStyle name="汇总 2 4 5 5 3 2" xfId="883" xr:uid="{00000000-0005-0000-0000-0000A3030000}"/>
    <cellStyle name="汇总 2 4 5 5 4" xfId="3572" xr:uid="{00000000-0005-0000-0000-0000240E0000}"/>
    <cellStyle name="汇总 2 4 5 5 4 2" xfId="913" xr:uid="{00000000-0005-0000-0000-0000C1030000}"/>
    <cellStyle name="汇总 2 4 5 5 5" xfId="1673" xr:uid="{00000000-0005-0000-0000-0000B9060000}"/>
    <cellStyle name="汇总 2 4 5 5 5 2" xfId="1325" xr:uid="{00000000-0005-0000-0000-00005D050000}"/>
    <cellStyle name="汇总 2 4 5 5 6" xfId="1694" xr:uid="{00000000-0005-0000-0000-0000CE060000}"/>
    <cellStyle name="汇总 2 4 5 6" xfId="16594" xr:uid="{00000000-0005-0000-0000-000002410000}"/>
    <cellStyle name="汇总 2 4 5 6 2" xfId="16596" xr:uid="{00000000-0005-0000-0000-000004410000}"/>
    <cellStyle name="汇总 2 4 5 6 2 2" xfId="16598" xr:uid="{00000000-0005-0000-0000-000006410000}"/>
    <cellStyle name="汇总 2 4 5 6 3" xfId="16599" xr:uid="{00000000-0005-0000-0000-000007410000}"/>
    <cellStyle name="汇总 2 4 5 6 3 2" xfId="16601" xr:uid="{00000000-0005-0000-0000-000009410000}"/>
    <cellStyle name="汇总 2 4 5 6 4" xfId="16602" xr:uid="{00000000-0005-0000-0000-00000A410000}"/>
    <cellStyle name="汇总 2 4 5 6 4 2" xfId="15895" xr:uid="{00000000-0005-0000-0000-0000473E0000}"/>
    <cellStyle name="汇总 2 4 5 6 5" xfId="10284" xr:uid="{00000000-0005-0000-0000-00005C280000}"/>
    <cellStyle name="汇总 2 4 5 6 5 2" xfId="4075" xr:uid="{00000000-0005-0000-0000-00001B100000}"/>
    <cellStyle name="汇总 2 4 5 6 6" xfId="16609" xr:uid="{00000000-0005-0000-0000-000011410000}"/>
    <cellStyle name="汇总 2 4 5 7" xfId="16611" xr:uid="{00000000-0005-0000-0000-000013410000}"/>
    <cellStyle name="汇总 2 4 5 7 2" xfId="16612" xr:uid="{00000000-0005-0000-0000-000014410000}"/>
    <cellStyle name="汇总 2 4 5 7 2 2" xfId="16613" xr:uid="{00000000-0005-0000-0000-000015410000}"/>
    <cellStyle name="汇总 2 4 5 7 3" xfId="16614" xr:uid="{00000000-0005-0000-0000-000016410000}"/>
    <cellStyle name="汇总 2 4 5 7 3 2" xfId="16615" xr:uid="{00000000-0005-0000-0000-000017410000}"/>
    <cellStyle name="汇总 2 4 5 7 4" xfId="16616" xr:uid="{00000000-0005-0000-0000-000018410000}"/>
    <cellStyle name="汇总 2 4 5 7 4 2" xfId="16619" xr:uid="{00000000-0005-0000-0000-00001B410000}"/>
    <cellStyle name="汇总 2 4 5 7 5" xfId="10294" xr:uid="{00000000-0005-0000-0000-000066280000}"/>
    <cellStyle name="汇总 2 4 5 7 5 2" xfId="4461" xr:uid="{00000000-0005-0000-0000-00009D110000}"/>
    <cellStyle name="汇总 2 4 5 7 6" xfId="16625" xr:uid="{00000000-0005-0000-0000-000021410000}"/>
    <cellStyle name="汇总 2 4 5 8" xfId="15634" xr:uid="{00000000-0005-0000-0000-0000423D0000}"/>
    <cellStyle name="汇总 2 4 5 8 2" xfId="16627" xr:uid="{00000000-0005-0000-0000-000023410000}"/>
    <cellStyle name="汇总 2 4 5 8 2 2" xfId="16630" xr:uid="{00000000-0005-0000-0000-000026410000}"/>
    <cellStyle name="汇总 2 4 5 8 3" xfId="16631" xr:uid="{00000000-0005-0000-0000-000027410000}"/>
    <cellStyle name="汇总 2 4 5 8 3 2" xfId="3971" xr:uid="{00000000-0005-0000-0000-0000B30F0000}"/>
    <cellStyle name="汇总 2 4 5 8 4" xfId="16632" xr:uid="{00000000-0005-0000-0000-000028410000}"/>
    <cellStyle name="汇总 2 4 5 8 4 2" xfId="16636" xr:uid="{00000000-0005-0000-0000-00002C410000}"/>
    <cellStyle name="汇总 2 4 5 8 5" xfId="10310" xr:uid="{00000000-0005-0000-0000-000076280000}"/>
    <cellStyle name="汇总 2 4 5 9" xfId="3673" xr:uid="{00000000-0005-0000-0000-0000890E0000}"/>
    <cellStyle name="汇总 2 4 5 9 2" xfId="16637" xr:uid="{00000000-0005-0000-0000-00002D410000}"/>
    <cellStyle name="汇总 2 4 6" xfId="16642" xr:uid="{00000000-0005-0000-0000-000032410000}"/>
    <cellStyle name="汇总 2 4 6 10" xfId="3117" xr:uid="{00000000-0005-0000-0000-00005D0C0000}"/>
    <cellStyle name="汇总 2 4 6 10 2" xfId="3127" xr:uid="{00000000-0005-0000-0000-0000670C0000}"/>
    <cellStyle name="汇总 2 4 6 11" xfId="3129" xr:uid="{00000000-0005-0000-0000-0000690C0000}"/>
    <cellStyle name="汇总 2 4 6 11 2" xfId="3133" xr:uid="{00000000-0005-0000-0000-00006D0C0000}"/>
    <cellStyle name="汇总 2 4 6 12" xfId="3141" xr:uid="{00000000-0005-0000-0000-0000750C0000}"/>
    <cellStyle name="汇总 2 4 6 12 2" xfId="3151" xr:uid="{00000000-0005-0000-0000-00007F0C0000}"/>
    <cellStyle name="汇总 2 4 6 13" xfId="3155" xr:uid="{00000000-0005-0000-0000-0000830C0000}"/>
    <cellStyle name="汇总 2 4 6 14" xfId="15886" xr:uid="{00000000-0005-0000-0000-00003E3E0000}"/>
    <cellStyle name="汇总 2 4 6 15" xfId="16645" xr:uid="{00000000-0005-0000-0000-000035410000}"/>
    <cellStyle name="汇总 2 4 6 16" xfId="16648" xr:uid="{00000000-0005-0000-0000-000038410000}"/>
    <cellStyle name="汇总 2 4 6 2" xfId="16652" xr:uid="{00000000-0005-0000-0000-00003C410000}"/>
    <cellStyle name="汇总 2 4 6 2 2" xfId="16653" xr:uid="{00000000-0005-0000-0000-00003D410000}"/>
    <cellStyle name="汇总 2 4 6 2 2 2" xfId="16655" xr:uid="{00000000-0005-0000-0000-00003F410000}"/>
    <cellStyle name="汇总 2 4 6 2 3" xfId="7604" xr:uid="{00000000-0005-0000-0000-0000E41D0000}"/>
    <cellStyle name="汇总 2 4 6 2 3 2" xfId="16657" xr:uid="{00000000-0005-0000-0000-000041410000}"/>
    <cellStyle name="汇总 2 4 6 2 4" xfId="16659" xr:uid="{00000000-0005-0000-0000-000043410000}"/>
    <cellStyle name="汇总 2 4 6 2 4 2" xfId="16665" xr:uid="{00000000-0005-0000-0000-000049410000}"/>
    <cellStyle name="汇总 2 4 6 2 5" xfId="16131" xr:uid="{00000000-0005-0000-0000-0000333F0000}"/>
    <cellStyle name="汇总 2 4 6 2 5 2" xfId="16669" xr:uid="{00000000-0005-0000-0000-00004D410000}"/>
    <cellStyle name="汇总 2 4 6 2 6" xfId="16672" xr:uid="{00000000-0005-0000-0000-000050410000}"/>
    <cellStyle name="汇总 2 4 6 2 7" xfId="16675" xr:uid="{00000000-0005-0000-0000-000053410000}"/>
    <cellStyle name="汇总 2 4 6 2 8" xfId="6938" xr:uid="{00000000-0005-0000-0000-00004A1B0000}"/>
    <cellStyle name="汇总 2 4 6 2 9" xfId="7899" xr:uid="{00000000-0005-0000-0000-00000B1F0000}"/>
    <cellStyle name="汇总 2 4 6 3" xfId="16678" xr:uid="{00000000-0005-0000-0000-000056410000}"/>
    <cellStyle name="汇总 2 4 6 3 2" xfId="16680" xr:uid="{00000000-0005-0000-0000-000058410000}"/>
    <cellStyle name="汇总 2 4 6 3 2 2" xfId="16682" xr:uid="{00000000-0005-0000-0000-00005A410000}"/>
    <cellStyle name="汇总 2 4 6 3 3" xfId="12406" xr:uid="{00000000-0005-0000-0000-0000A6300000}"/>
    <cellStyle name="汇总 2 4 6 3 3 2" xfId="12408" xr:uid="{00000000-0005-0000-0000-0000A8300000}"/>
    <cellStyle name="汇总 2 4 6 3 4" xfId="12410" xr:uid="{00000000-0005-0000-0000-0000AA300000}"/>
    <cellStyle name="汇总 2 4 6 3 4 2" xfId="12413" xr:uid="{00000000-0005-0000-0000-0000AD300000}"/>
    <cellStyle name="汇总 2 4 6 3 5" xfId="12419" xr:uid="{00000000-0005-0000-0000-0000B3300000}"/>
    <cellStyle name="汇总 2 4 6 3 5 2" xfId="12425" xr:uid="{00000000-0005-0000-0000-0000B9300000}"/>
    <cellStyle name="汇总 2 4 6 3 6" xfId="12432" xr:uid="{00000000-0005-0000-0000-0000C0300000}"/>
    <cellStyle name="汇总 2 4 6 4" xfId="16683" xr:uid="{00000000-0005-0000-0000-00005B410000}"/>
    <cellStyle name="汇总 2 4 6 4 2" xfId="16684" xr:uid="{00000000-0005-0000-0000-00005C410000}"/>
    <cellStyle name="汇总 2 4 6 4 2 2" xfId="16685" xr:uid="{00000000-0005-0000-0000-00005D410000}"/>
    <cellStyle name="汇总 2 4 6 4 3" xfId="16687" xr:uid="{00000000-0005-0000-0000-00005F410000}"/>
    <cellStyle name="汇总 2 4 6 4 3 2" xfId="16689" xr:uid="{00000000-0005-0000-0000-000061410000}"/>
    <cellStyle name="汇总 2 4 6 4 4" xfId="14768" xr:uid="{00000000-0005-0000-0000-0000E0390000}"/>
    <cellStyle name="汇总 2 4 6 4 4 2" xfId="14773" xr:uid="{00000000-0005-0000-0000-0000E5390000}"/>
    <cellStyle name="汇总 2 4 6 4 5" xfId="14779" xr:uid="{00000000-0005-0000-0000-0000EB390000}"/>
    <cellStyle name="汇总 2 4 6 4 5 2" xfId="14787" xr:uid="{00000000-0005-0000-0000-0000F3390000}"/>
    <cellStyle name="汇总 2 4 6 4 6" xfId="14794" xr:uid="{00000000-0005-0000-0000-0000FA390000}"/>
    <cellStyle name="汇总 2 4 6 5" xfId="16690" xr:uid="{00000000-0005-0000-0000-000062410000}"/>
    <cellStyle name="汇总 2 4 6 5 2" xfId="424" xr:uid="{00000000-0005-0000-0000-0000D0010000}"/>
    <cellStyle name="汇总 2 4 6 5 2 2" xfId="4553" xr:uid="{00000000-0005-0000-0000-0000F9110000}"/>
    <cellStyle name="汇总 2 4 6 5 3" xfId="476" xr:uid="{00000000-0005-0000-0000-000007020000}"/>
    <cellStyle name="汇总 2 4 6 5 3 2" xfId="4579" xr:uid="{00000000-0005-0000-0000-000013120000}"/>
    <cellStyle name="汇总 2 4 6 5 4" xfId="520" xr:uid="{00000000-0005-0000-0000-000036020000}"/>
    <cellStyle name="汇总 2 4 6 5 4 2" xfId="5237" xr:uid="{00000000-0005-0000-0000-0000A5140000}"/>
    <cellStyle name="汇总 2 4 6 5 5" xfId="5253" xr:uid="{00000000-0005-0000-0000-0000B5140000}"/>
    <cellStyle name="汇总 2 4 6 5 5 2" xfId="5635" xr:uid="{00000000-0005-0000-0000-000033160000}"/>
    <cellStyle name="汇总 2 4 6 5 6" xfId="3013" xr:uid="{00000000-0005-0000-0000-0000F50B0000}"/>
    <cellStyle name="汇总 2 4 6 6" xfId="16693" xr:uid="{00000000-0005-0000-0000-000065410000}"/>
    <cellStyle name="汇总 2 4 6 6 2" xfId="16695" xr:uid="{00000000-0005-0000-0000-000067410000}"/>
    <cellStyle name="汇总 2 4 6 6 2 2" xfId="16697" xr:uid="{00000000-0005-0000-0000-000069410000}"/>
    <cellStyle name="汇总 2 4 6 6 3" xfId="16698" xr:uid="{00000000-0005-0000-0000-00006A410000}"/>
    <cellStyle name="汇总 2 4 6 6 3 2" xfId="16700" xr:uid="{00000000-0005-0000-0000-00006C410000}"/>
    <cellStyle name="汇总 2 4 6 6 4" xfId="16701" xr:uid="{00000000-0005-0000-0000-00006D410000}"/>
    <cellStyle name="汇总 2 4 6 6 4 2" xfId="16705" xr:uid="{00000000-0005-0000-0000-000071410000}"/>
    <cellStyle name="汇总 2 4 6 6 5" xfId="10340" xr:uid="{00000000-0005-0000-0000-000094280000}"/>
    <cellStyle name="汇总 2 4 6 6 5 2" xfId="5714" xr:uid="{00000000-0005-0000-0000-000082160000}"/>
    <cellStyle name="汇总 2 4 6 6 6" xfId="16709" xr:uid="{00000000-0005-0000-0000-000075410000}"/>
    <cellStyle name="汇总 2 4 6 7" xfId="16711" xr:uid="{00000000-0005-0000-0000-000077410000}"/>
    <cellStyle name="汇总 2 4 6 7 2" xfId="16712" xr:uid="{00000000-0005-0000-0000-000078410000}"/>
    <cellStyle name="汇总 2 4 6 7 2 2" xfId="16714" xr:uid="{00000000-0005-0000-0000-00007A410000}"/>
    <cellStyle name="汇总 2 4 6 7 3" xfId="16717" xr:uid="{00000000-0005-0000-0000-00007D410000}"/>
    <cellStyle name="汇总 2 4 6 7 3 2" xfId="16719" xr:uid="{00000000-0005-0000-0000-00007F410000}"/>
    <cellStyle name="汇总 2 4 6 7 4" xfId="16720" xr:uid="{00000000-0005-0000-0000-000080410000}"/>
    <cellStyle name="汇总 2 4 6 7 4 2" xfId="16724" xr:uid="{00000000-0005-0000-0000-000084410000}"/>
    <cellStyle name="汇总 2 4 6 7 5" xfId="10353" xr:uid="{00000000-0005-0000-0000-0000A1280000}"/>
    <cellStyle name="汇总 2 4 6 7 5 2" xfId="5797" xr:uid="{00000000-0005-0000-0000-0000D5160000}"/>
    <cellStyle name="汇总 2 4 6 7 6" xfId="16727" xr:uid="{00000000-0005-0000-0000-000087410000}"/>
    <cellStyle name="汇总 2 4 6 8" xfId="2112" xr:uid="{00000000-0005-0000-0000-000070080000}"/>
    <cellStyle name="汇总 2 4 6 8 2" xfId="16729" xr:uid="{00000000-0005-0000-0000-000089410000}"/>
    <cellStyle name="汇总 2 4 6 8 2 2" xfId="16730" xr:uid="{00000000-0005-0000-0000-00008A410000}"/>
    <cellStyle name="汇总 2 4 6 8 3" xfId="12538" xr:uid="{00000000-0005-0000-0000-00002A310000}"/>
    <cellStyle name="汇总 2 4 6 8 3 2" xfId="12540" xr:uid="{00000000-0005-0000-0000-00002C310000}"/>
    <cellStyle name="汇总 2 4 6 8 4" xfId="12542" xr:uid="{00000000-0005-0000-0000-00002E310000}"/>
    <cellStyle name="汇总 2 4 6 8 4 2" xfId="12544" xr:uid="{00000000-0005-0000-0000-000030310000}"/>
    <cellStyle name="汇总 2 4 6 8 5" xfId="10372" xr:uid="{00000000-0005-0000-0000-0000B4280000}"/>
    <cellStyle name="汇总 2 4 6 9" xfId="5265" xr:uid="{00000000-0005-0000-0000-0000C1140000}"/>
    <cellStyle name="汇总 2 4 6 9 2" xfId="16734" xr:uid="{00000000-0005-0000-0000-00008E410000}"/>
    <cellStyle name="汇总 2 4 7" xfId="8599" xr:uid="{00000000-0005-0000-0000-0000C7210000}"/>
    <cellStyle name="汇总 2 4 7 10" xfId="16739" xr:uid="{00000000-0005-0000-0000-000093410000}"/>
    <cellStyle name="汇总 2 4 7 10 2" xfId="16740" xr:uid="{00000000-0005-0000-0000-000094410000}"/>
    <cellStyle name="汇总 2 4 7 11" xfId="16741" xr:uid="{00000000-0005-0000-0000-000095410000}"/>
    <cellStyle name="汇总 2 4 7 11 2" xfId="16742" xr:uid="{00000000-0005-0000-0000-000096410000}"/>
    <cellStyle name="汇总 2 4 7 12" xfId="16743" xr:uid="{00000000-0005-0000-0000-000097410000}"/>
    <cellStyle name="汇总 2 4 7 12 2" xfId="16744" xr:uid="{00000000-0005-0000-0000-000098410000}"/>
    <cellStyle name="汇总 2 4 7 13" xfId="16745" xr:uid="{00000000-0005-0000-0000-000099410000}"/>
    <cellStyle name="汇总 2 4 7 14" xfId="8148" xr:uid="{00000000-0005-0000-0000-000004200000}"/>
    <cellStyle name="汇总 2 4 7 15" xfId="16749" xr:uid="{00000000-0005-0000-0000-00009D410000}"/>
    <cellStyle name="汇总 2 4 7 16" xfId="16753" xr:uid="{00000000-0005-0000-0000-0000A1410000}"/>
    <cellStyle name="汇总 2 4 7 2" xfId="4335" xr:uid="{00000000-0005-0000-0000-00001F110000}"/>
    <cellStyle name="汇总 2 4 7 2 2" xfId="16755" xr:uid="{00000000-0005-0000-0000-0000A3410000}"/>
    <cellStyle name="汇总 2 4 7 2 2 2" xfId="16756" xr:uid="{00000000-0005-0000-0000-0000A4410000}"/>
    <cellStyle name="汇总 2 4 7 2 3" xfId="8627" xr:uid="{00000000-0005-0000-0000-0000E3210000}"/>
    <cellStyle name="汇总 2 4 7 2 3 2" xfId="16757" xr:uid="{00000000-0005-0000-0000-0000A5410000}"/>
    <cellStyle name="汇总 2 4 7 2 4" xfId="16759" xr:uid="{00000000-0005-0000-0000-0000A7410000}"/>
    <cellStyle name="汇总 2 4 7 2 4 2" xfId="16766" xr:uid="{00000000-0005-0000-0000-0000AE410000}"/>
    <cellStyle name="汇总 2 4 7 2 5" xfId="12239" xr:uid="{00000000-0005-0000-0000-0000FF2F0000}"/>
    <cellStyle name="汇总 2 4 7 2 5 2" xfId="16772" xr:uid="{00000000-0005-0000-0000-0000B4410000}"/>
    <cellStyle name="汇总 2 4 7 2 6" xfId="12443" xr:uid="{00000000-0005-0000-0000-0000CB300000}"/>
    <cellStyle name="汇总 2 4 7 2 7" xfId="12449" xr:uid="{00000000-0005-0000-0000-0000D1300000}"/>
    <cellStyle name="汇总 2 4 7 2 8" xfId="7001" xr:uid="{00000000-0005-0000-0000-0000891B0000}"/>
    <cellStyle name="汇总 2 4 7 2 9" xfId="7959" xr:uid="{00000000-0005-0000-0000-0000471F0000}"/>
    <cellStyle name="汇总 2 4 7 3" xfId="16774" xr:uid="{00000000-0005-0000-0000-0000B6410000}"/>
    <cellStyle name="汇总 2 4 7 3 2" xfId="16778" xr:uid="{00000000-0005-0000-0000-0000BA410000}"/>
    <cellStyle name="汇总 2 4 7 3 2 2" xfId="16779" xr:uid="{00000000-0005-0000-0000-0000BB410000}"/>
    <cellStyle name="汇总 2 4 7 3 3" xfId="16782" xr:uid="{00000000-0005-0000-0000-0000BE410000}"/>
    <cellStyle name="汇总 2 4 7 3 3 2" xfId="16783" xr:uid="{00000000-0005-0000-0000-0000BF410000}"/>
    <cellStyle name="汇总 2 4 7 3 4" xfId="16786" xr:uid="{00000000-0005-0000-0000-0000C2410000}"/>
    <cellStyle name="汇总 2 4 7 3 4 2" xfId="16790" xr:uid="{00000000-0005-0000-0000-0000C6410000}"/>
    <cellStyle name="汇总 2 4 7 3 5" xfId="12246" xr:uid="{00000000-0005-0000-0000-000006300000}"/>
    <cellStyle name="汇总 2 4 7 3 5 2" xfId="16795" xr:uid="{00000000-0005-0000-0000-0000CB410000}"/>
    <cellStyle name="汇总 2 4 7 3 6" xfId="12468" xr:uid="{00000000-0005-0000-0000-0000E4300000}"/>
    <cellStyle name="汇总 2 4 7 4" xfId="16797" xr:uid="{00000000-0005-0000-0000-0000CD410000}"/>
    <cellStyle name="汇总 2 4 7 4 2" xfId="16799" xr:uid="{00000000-0005-0000-0000-0000CF410000}"/>
    <cellStyle name="汇总 2 4 7 4 2 2" xfId="16801" xr:uid="{00000000-0005-0000-0000-0000D1410000}"/>
    <cellStyle name="汇总 2 4 7 4 3" xfId="16805" xr:uid="{00000000-0005-0000-0000-0000D5410000}"/>
    <cellStyle name="汇总 2 4 7 4 3 2" xfId="16806" xr:uid="{00000000-0005-0000-0000-0000D6410000}"/>
    <cellStyle name="汇总 2 4 7 4 4" xfId="16809" xr:uid="{00000000-0005-0000-0000-0000D9410000}"/>
    <cellStyle name="汇总 2 4 7 4 4 2" xfId="16814" xr:uid="{00000000-0005-0000-0000-0000DE410000}"/>
    <cellStyle name="汇总 2 4 7 4 5" xfId="12258" xr:uid="{00000000-0005-0000-0000-000012300000}"/>
    <cellStyle name="汇总 2 4 7 4 5 2" xfId="16819" xr:uid="{00000000-0005-0000-0000-0000E3410000}"/>
    <cellStyle name="汇总 2 4 7 4 6" xfId="12480" xr:uid="{00000000-0005-0000-0000-0000F0300000}"/>
    <cellStyle name="汇总 2 4 7 5" xfId="16821" xr:uid="{00000000-0005-0000-0000-0000E5410000}"/>
    <cellStyle name="汇总 2 4 7 5 2" xfId="16823" xr:uid="{00000000-0005-0000-0000-0000E7410000}"/>
    <cellStyle name="汇总 2 4 7 5 2 2" xfId="16825" xr:uid="{00000000-0005-0000-0000-0000E9410000}"/>
    <cellStyle name="汇总 2 4 7 5 3" xfId="16831" xr:uid="{00000000-0005-0000-0000-0000EF410000}"/>
    <cellStyle name="汇总 2 4 7 5 3 2" xfId="16832" xr:uid="{00000000-0005-0000-0000-0000F0410000}"/>
    <cellStyle name="汇总 2 4 7 5 4" xfId="16834" xr:uid="{00000000-0005-0000-0000-0000F2410000}"/>
    <cellStyle name="汇总 2 4 7 5 4 2" xfId="16837" xr:uid="{00000000-0005-0000-0000-0000F5410000}"/>
    <cellStyle name="汇总 2 4 7 5 5" xfId="12268" xr:uid="{00000000-0005-0000-0000-00001C300000}"/>
    <cellStyle name="汇总 2 4 7 5 5 2" xfId="5606" xr:uid="{00000000-0005-0000-0000-000016160000}"/>
    <cellStyle name="汇总 2 4 7 5 6" xfId="12495" xr:uid="{00000000-0005-0000-0000-0000FF300000}"/>
    <cellStyle name="汇总 2 4 7 6" xfId="16840" xr:uid="{00000000-0005-0000-0000-0000F8410000}"/>
    <cellStyle name="汇总 2 4 7 6 2" xfId="16843" xr:uid="{00000000-0005-0000-0000-0000FB410000}"/>
    <cellStyle name="汇总 2 4 7 6 2 2" xfId="16845" xr:uid="{00000000-0005-0000-0000-0000FD410000}"/>
    <cellStyle name="汇总 2 4 7 6 3" xfId="16848" xr:uid="{00000000-0005-0000-0000-000000420000}"/>
    <cellStyle name="汇总 2 4 7 6 3 2" xfId="13192" xr:uid="{00000000-0005-0000-0000-0000B8330000}"/>
    <cellStyle name="汇总 2 4 7 6 4" xfId="16849" xr:uid="{00000000-0005-0000-0000-000001420000}"/>
    <cellStyle name="汇总 2 4 7 6 4 2" xfId="16852" xr:uid="{00000000-0005-0000-0000-000004420000}"/>
    <cellStyle name="汇总 2 4 7 6 5" xfId="10397" xr:uid="{00000000-0005-0000-0000-0000CD280000}"/>
    <cellStyle name="汇总 2 4 7 6 5 2" xfId="9862" xr:uid="{00000000-0005-0000-0000-0000B6260000}"/>
    <cellStyle name="汇总 2 4 7 6 6" xfId="12501" xr:uid="{00000000-0005-0000-0000-000005310000}"/>
    <cellStyle name="汇总 2 4 7 7" xfId="2716" xr:uid="{00000000-0005-0000-0000-0000CC0A0000}"/>
    <cellStyle name="汇总 2 4 7 7 2" xfId="16854" xr:uid="{00000000-0005-0000-0000-000006420000}"/>
    <cellStyle name="汇总 2 4 7 7 2 2" xfId="16856" xr:uid="{00000000-0005-0000-0000-000008420000}"/>
    <cellStyle name="汇总 2 4 7 7 3" xfId="16858" xr:uid="{00000000-0005-0000-0000-00000A420000}"/>
    <cellStyle name="汇总 2 4 7 7 3 2" xfId="16859" xr:uid="{00000000-0005-0000-0000-00000B420000}"/>
    <cellStyle name="汇总 2 4 7 7 4" xfId="16860" xr:uid="{00000000-0005-0000-0000-00000C420000}"/>
    <cellStyle name="汇总 2 4 7 7 4 2" xfId="16863" xr:uid="{00000000-0005-0000-0000-00000F420000}"/>
    <cellStyle name="汇总 2 4 7 7 5" xfId="10408" xr:uid="{00000000-0005-0000-0000-0000D8280000}"/>
    <cellStyle name="汇总 2 4 7 7 5 2" xfId="10189" xr:uid="{00000000-0005-0000-0000-0000FD270000}"/>
    <cellStyle name="汇总 2 4 7 7 6" xfId="12514" xr:uid="{00000000-0005-0000-0000-000012310000}"/>
    <cellStyle name="汇总 2 4 7 8" xfId="15637" xr:uid="{00000000-0005-0000-0000-0000453D0000}"/>
    <cellStyle name="汇总 2 4 7 8 2" xfId="16866" xr:uid="{00000000-0005-0000-0000-000012420000}"/>
    <cellStyle name="汇总 2 4 7 8 2 2" xfId="16868" xr:uid="{00000000-0005-0000-0000-000014420000}"/>
    <cellStyle name="汇总 2 4 7 8 3" xfId="16871" xr:uid="{00000000-0005-0000-0000-000017420000}"/>
    <cellStyle name="汇总 2 4 7 8 3 2" xfId="16872" xr:uid="{00000000-0005-0000-0000-000018420000}"/>
    <cellStyle name="汇总 2 4 7 8 4" xfId="16874" xr:uid="{00000000-0005-0000-0000-00001A420000}"/>
    <cellStyle name="汇总 2 4 7 8 4 2" xfId="16878" xr:uid="{00000000-0005-0000-0000-00001E420000}"/>
    <cellStyle name="汇总 2 4 7 8 5" xfId="10430" xr:uid="{00000000-0005-0000-0000-0000EE280000}"/>
    <cellStyle name="汇总 2 4 7 9" xfId="5274" xr:uid="{00000000-0005-0000-0000-0000CA140000}"/>
    <cellStyle name="汇总 2 4 7 9 2" xfId="16880" xr:uid="{00000000-0005-0000-0000-000020420000}"/>
    <cellStyle name="汇总 2 4 8" xfId="7548" xr:uid="{00000000-0005-0000-0000-0000AC1D0000}"/>
    <cellStyle name="汇总 2 4 8 10" xfId="16886" xr:uid="{00000000-0005-0000-0000-000026420000}"/>
    <cellStyle name="汇总 2 4 8 10 2" xfId="16888" xr:uid="{00000000-0005-0000-0000-000028420000}"/>
    <cellStyle name="汇总 2 4 8 11" xfId="16892" xr:uid="{00000000-0005-0000-0000-00002C420000}"/>
    <cellStyle name="汇总 2 4 8 11 2" xfId="16894" xr:uid="{00000000-0005-0000-0000-00002E420000}"/>
    <cellStyle name="汇总 2 4 8 12" xfId="16895" xr:uid="{00000000-0005-0000-0000-00002F420000}"/>
    <cellStyle name="汇总 2 4 8 12 2" xfId="16899" xr:uid="{00000000-0005-0000-0000-000033420000}"/>
    <cellStyle name="汇总 2 4 8 13" xfId="16900" xr:uid="{00000000-0005-0000-0000-000034420000}"/>
    <cellStyle name="汇总 2 4 8 14" xfId="16906" xr:uid="{00000000-0005-0000-0000-00003A420000}"/>
    <cellStyle name="汇总 2 4 8 15" xfId="16909" xr:uid="{00000000-0005-0000-0000-00003D420000}"/>
    <cellStyle name="汇总 2 4 8 16" xfId="16913" xr:uid="{00000000-0005-0000-0000-000041420000}"/>
    <cellStyle name="汇总 2 4 8 2" xfId="8609" xr:uid="{00000000-0005-0000-0000-0000D1210000}"/>
    <cellStyle name="汇总 2 4 8 2 2" xfId="16915" xr:uid="{00000000-0005-0000-0000-000043420000}"/>
    <cellStyle name="汇总 2 4 8 2 2 2" xfId="16916" xr:uid="{00000000-0005-0000-0000-000044420000}"/>
    <cellStyle name="汇总 2 4 8 2 3" xfId="8669" xr:uid="{00000000-0005-0000-0000-00000D220000}"/>
    <cellStyle name="汇总 2 4 8 2 3 2" xfId="16917" xr:uid="{00000000-0005-0000-0000-000045420000}"/>
    <cellStyle name="汇总 2 4 8 2 4" xfId="16919" xr:uid="{00000000-0005-0000-0000-000047420000}"/>
    <cellStyle name="汇总 2 4 8 2 4 2" xfId="16922" xr:uid="{00000000-0005-0000-0000-00004A420000}"/>
    <cellStyle name="汇总 2 4 8 2 5" xfId="12284" xr:uid="{00000000-0005-0000-0000-00002C300000}"/>
    <cellStyle name="汇总 2 4 8 2 5 2" xfId="16924" xr:uid="{00000000-0005-0000-0000-00004C420000}"/>
    <cellStyle name="汇总 2 4 8 2 6" xfId="8887" xr:uid="{00000000-0005-0000-0000-0000E7220000}"/>
    <cellStyle name="汇总 2 4 8 2 7" xfId="12556" xr:uid="{00000000-0005-0000-0000-00003C310000}"/>
    <cellStyle name="汇总 2 4 8 2 8" xfId="7069" xr:uid="{00000000-0005-0000-0000-0000CD1B0000}"/>
    <cellStyle name="汇总 2 4 8 2 9" xfId="12560" xr:uid="{00000000-0005-0000-0000-000040310000}"/>
    <cellStyle name="汇总 2 4 8 3" xfId="16926" xr:uid="{00000000-0005-0000-0000-00004E420000}"/>
    <cellStyle name="汇总 2 4 8 3 2" xfId="16929" xr:uid="{00000000-0005-0000-0000-000051420000}"/>
    <cellStyle name="汇总 2 4 8 3 2 2" xfId="16931" xr:uid="{00000000-0005-0000-0000-000053420000}"/>
    <cellStyle name="汇总 2 4 8 3 3" xfId="16933" xr:uid="{00000000-0005-0000-0000-000055420000}"/>
    <cellStyle name="汇总 2 4 8 3 3 2" xfId="16935" xr:uid="{00000000-0005-0000-0000-000057420000}"/>
    <cellStyle name="汇总 2 4 8 3 4" xfId="16937" xr:uid="{00000000-0005-0000-0000-000059420000}"/>
    <cellStyle name="汇总 2 4 8 3 4 2" xfId="16939" xr:uid="{00000000-0005-0000-0000-00005B420000}"/>
    <cellStyle name="汇总 2 4 8 3 5" xfId="12291" xr:uid="{00000000-0005-0000-0000-000033300000}"/>
    <cellStyle name="汇总 2 4 8 3 5 2" xfId="16941" xr:uid="{00000000-0005-0000-0000-00005D420000}"/>
    <cellStyle name="汇总 2 4 8 3 6" xfId="8833" xr:uid="{00000000-0005-0000-0000-0000B1220000}"/>
    <cellStyle name="汇总 2 4 8 4" xfId="16140" xr:uid="{00000000-0005-0000-0000-00003C3F0000}"/>
    <cellStyle name="汇总 2 4 8 4 2" xfId="16947" xr:uid="{00000000-0005-0000-0000-000063420000}"/>
    <cellStyle name="汇总 2 4 8 4 2 2" xfId="16949" xr:uid="{00000000-0005-0000-0000-000065420000}"/>
    <cellStyle name="汇总 2 4 8 4 3" xfId="16952" xr:uid="{00000000-0005-0000-0000-000068420000}"/>
    <cellStyle name="汇总 2 4 8 4 3 2" xfId="16953" xr:uid="{00000000-0005-0000-0000-000069420000}"/>
    <cellStyle name="汇总 2 4 8 4 4" xfId="16956" xr:uid="{00000000-0005-0000-0000-00006C420000}"/>
    <cellStyle name="汇总 2 4 8 4 4 2" xfId="16958" xr:uid="{00000000-0005-0000-0000-00006E420000}"/>
    <cellStyle name="汇总 2 4 8 4 5" xfId="12303" xr:uid="{00000000-0005-0000-0000-00003F300000}"/>
    <cellStyle name="汇总 2 4 8 4 5 2" xfId="16960" xr:uid="{00000000-0005-0000-0000-000070420000}"/>
    <cellStyle name="汇总 2 4 8 4 6" xfId="8898" xr:uid="{00000000-0005-0000-0000-0000F2220000}"/>
    <cellStyle name="汇总 2 4 8 5" xfId="16962" xr:uid="{00000000-0005-0000-0000-000072420000}"/>
    <cellStyle name="汇总 2 4 8 5 2" xfId="16965" xr:uid="{00000000-0005-0000-0000-000075420000}"/>
    <cellStyle name="汇总 2 4 8 5 2 2" xfId="16968" xr:uid="{00000000-0005-0000-0000-000078420000}"/>
    <cellStyle name="汇总 2 4 8 5 3" xfId="16971" xr:uid="{00000000-0005-0000-0000-00007B420000}"/>
    <cellStyle name="汇总 2 4 8 5 3 2" xfId="16972" xr:uid="{00000000-0005-0000-0000-00007C420000}"/>
    <cellStyle name="汇总 2 4 8 5 4" xfId="16973" xr:uid="{00000000-0005-0000-0000-00007D420000}"/>
    <cellStyle name="汇总 2 4 8 5 4 2" xfId="16975" xr:uid="{00000000-0005-0000-0000-00007F420000}"/>
    <cellStyle name="汇总 2 4 8 5 5" xfId="12316" xr:uid="{00000000-0005-0000-0000-00004C300000}"/>
    <cellStyle name="汇总 2 4 8 5 5 2" xfId="16981" xr:uid="{00000000-0005-0000-0000-000085420000}"/>
    <cellStyle name="汇总 2 4 8 5 6" xfId="8910" xr:uid="{00000000-0005-0000-0000-0000FE220000}"/>
    <cellStyle name="汇总 2 4 8 6" xfId="16984" xr:uid="{00000000-0005-0000-0000-000088420000}"/>
    <cellStyle name="汇总 2 4 8 6 2" xfId="16988" xr:uid="{00000000-0005-0000-0000-00008C420000}"/>
    <cellStyle name="汇总 2 4 8 6 2 2" xfId="16991" xr:uid="{00000000-0005-0000-0000-00008F420000}"/>
    <cellStyle name="汇总 2 4 8 6 3" xfId="16993" xr:uid="{00000000-0005-0000-0000-000091420000}"/>
    <cellStyle name="汇总 2 4 8 6 3 2" xfId="16995" xr:uid="{00000000-0005-0000-0000-000093420000}"/>
    <cellStyle name="汇总 2 4 8 6 4" xfId="16996" xr:uid="{00000000-0005-0000-0000-000094420000}"/>
    <cellStyle name="汇总 2 4 8 6 4 2" xfId="16998" xr:uid="{00000000-0005-0000-0000-000096420000}"/>
    <cellStyle name="汇总 2 4 8 6 5" xfId="1098" xr:uid="{00000000-0005-0000-0000-00007A040000}"/>
    <cellStyle name="汇总 2 4 8 6 5 2" xfId="17000" xr:uid="{00000000-0005-0000-0000-000098420000}"/>
    <cellStyle name="汇总 2 4 8 6 6" xfId="12681" xr:uid="{00000000-0005-0000-0000-0000B9310000}"/>
    <cellStyle name="汇总 2 4 8 7" xfId="2789" xr:uid="{00000000-0005-0000-0000-0000150B0000}"/>
    <cellStyle name="汇总 2 4 8 7 2" xfId="17004" xr:uid="{00000000-0005-0000-0000-00009C420000}"/>
    <cellStyle name="汇总 2 4 8 7 2 2" xfId="6610" xr:uid="{00000000-0005-0000-0000-0000021A0000}"/>
    <cellStyle name="汇总 2 4 8 7 3" xfId="17006" xr:uid="{00000000-0005-0000-0000-00009E420000}"/>
    <cellStyle name="汇总 2 4 8 7 3 2" xfId="12764" xr:uid="{00000000-0005-0000-0000-00000C320000}"/>
    <cellStyle name="汇总 2 4 8 7 4" xfId="17007" xr:uid="{00000000-0005-0000-0000-00009F420000}"/>
    <cellStyle name="汇总 2 4 8 7 4 2" xfId="17009" xr:uid="{00000000-0005-0000-0000-0000A1420000}"/>
    <cellStyle name="汇总 2 4 8 7 5" xfId="1120" xr:uid="{00000000-0005-0000-0000-000090040000}"/>
    <cellStyle name="汇总 2 4 8 7 5 2" xfId="17010" xr:uid="{00000000-0005-0000-0000-0000A2420000}"/>
    <cellStyle name="汇总 2 4 8 7 6" xfId="12724" xr:uid="{00000000-0005-0000-0000-0000E4310000}"/>
    <cellStyle name="汇总 2 4 8 8" xfId="17014" xr:uid="{00000000-0005-0000-0000-0000A6420000}"/>
    <cellStyle name="汇总 2 4 8 8 2" xfId="17017" xr:uid="{00000000-0005-0000-0000-0000A9420000}"/>
    <cellStyle name="汇总 2 4 8 8 2 2" xfId="17021" xr:uid="{00000000-0005-0000-0000-0000AD420000}"/>
    <cellStyle name="汇总 2 4 8 8 3" xfId="17024" xr:uid="{00000000-0005-0000-0000-0000B0420000}"/>
    <cellStyle name="汇总 2 4 8 8 3 2" xfId="17026" xr:uid="{00000000-0005-0000-0000-0000B2420000}"/>
    <cellStyle name="汇总 2 4 8 8 4" xfId="17027" xr:uid="{00000000-0005-0000-0000-0000B3420000}"/>
    <cellStyle name="汇总 2 4 8 8 4 2" xfId="17030" xr:uid="{00000000-0005-0000-0000-0000B6420000}"/>
    <cellStyle name="汇总 2 4 8 8 5" xfId="1150" xr:uid="{00000000-0005-0000-0000-0000AE040000}"/>
    <cellStyle name="汇总 2 4 8 9" xfId="5280" xr:uid="{00000000-0005-0000-0000-0000D0140000}"/>
    <cellStyle name="汇总 2 4 8 9 2" xfId="3886" xr:uid="{00000000-0005-0000-0000-00005E0F0000}"/>
    <cellStyle name="汇总 2 4 9" xfId="8613" xr:uid="{00000000-0005-0000-0000-0000D5210000}"/>
    <cellStyle name="汇总 2 4 9 10" xfId="17031" xr:uid="{00000000-0005-0000-0000-0000B7420000}"/>
    <cellStyle name="汇总 2 4 9 10 2" xfId="17032" xr:uid="{00000000-0005-0000-0000-0000B8420000}"/>
    <cellStyle name="汇总 2 4 9 11" xfId="17033" xr:uid="{00000000-0005-0000-0000-0000B9420000}"/>
    <cellStyle name="汇总 2 4 9 11 2" xfId="17036" xr:uid="{00000000-0005-0000-0000-0000BC420000}"/>
    <cellStyle name="汇总 2 4 9 12" xfId="17037" xr:uid="{00000000-0005-0000-0000-0000BD420000}"/>
    <cellStyle name="汇总 2 4 9 12 2" xfId="17040" xr:uid="{00000000-0005-0000-0000-0000C0420000}"/>
    <cellStyle name="汇总 2 4 9 13" xfId="3653" xr:uid="{00000000-0005-0000-0000-0000750E0000}"/>
    <cellStyle name="汇总 2 4 9 14" xfId="17041" xr:uid="{00000000-0005-0000-0000-0000C1420000}"/>
    <cellStyle name="汇总 2 4 9 15" xfId="17043" xr:uid="{00000000-0005-0000-0000-0000C3420000}"/>
    <cellStyle name="汇总 2 4 9 16" xfId="13273" xr:uid="{00000000-0005-0000-0000-000009340000}"/>
    <cellStyle name="汇总 2 4 9 2" xfId="8618" xr:uid="{00000000-0005-0000-0000-0000DA210000}"/>
    <cellStyle name="汇总 2 4 9 2 2" xfId="17045" xr:uid="{00000000-0005-0000-0000-0000C5420000}"/>
    <cellStyle name="汇总 2 4 9 2 2 2" xfId="17046" xr:uid="{00000000-0005-0000-0000-0000C6420000}"/>
    <cellStyle name="汇总 2 4 9 2 3" xfId="4697" xr:uid="{00000000-0005-0000-0000-000089120000}"/>
    <cellStyle name="汇总 2 4 9 2 3 2" xfId="17049" xr:uid="{00000000-0005-0000-0000-0000C9420000}"/>
    <cellStyle name="汇总 2 4 9 2 4" xfId="15618" xr:uid="{00000000-0005-0000-0000-0000323D0000}"/>
    <cellStyle name="汇总 2 4 9 2 4 2" xfId="17053" xr:uid="{00000000-0005-0000-0000-0000CD420000}"/>
    <cellStyle name="汇总 2 4 9 2 5" xfId="12331" xr:uid="{00000000-0005-0000-0000-00005B300000}"/>
    <cellStyle name="汇总 2 4 9 2 5 2" xfId="17055" xr:uid="{00000000-0005-0000-0000-0000CF420000}"/>
    <cellStyle name="汇总 2 4 9 2 6" xfId="4721" xr:uid="{00000000-0005-0000-0000-0000A1120000}"/>
    <cellStyle name="汇总 2 4 9 2 7" xfId="17057" xr:uid="{00000000-0005-0000-0000-0000D1420000}"/>
    <cellStyle name="汇总 2 4 9 2 8" xfId="7135" xr:uid="{00000000-0005-0000-0000-00000F1C0000}"/>
    <cellStyle name="汇总 2 4 9 2 9" xfId="15647" xr:uid="{00000000-0005-0000-0000-00004F3D0000}"/>
    <cellStyle name="汇总 2 4 9 3" xfId="17060" xr:uid="{00000000-0005-0000-0000-0000D4420000}"/>
    <cellStyle name="汇总 2 4 9 3 2" xfId="17064" xr:uid="{00000000-0005-0000-0000-0000D8420000}"/>
    <cellStyle name="汇总 2 4 9 3 2 2" xfId="17067" xr:uid="{00000000-0005-0000-0000-0000DB420000}"/>
    <cellStyle name="汇总 2 4 9 3 3" xfId="17072" xr:uid="{00000000-0005-0000-0000-0000E0420000}"/>
    <cellStyle name="汇总 2 4 9 3 3 2" xfId="17076" xr:uid="{00000000-0005-0000-0000-0000E4420000}"/>
    <cellStyle name="汇总 2 4 9 3 4" xfId="17081" xr:uid="{00000000-0005-0000-0000-0000E9420000}"/>
    <cellStyle name="汇总 2 4 9 3 4 2" xfId="17082" xr:uid="{00000000-0005-0000-0000-0000EA420000}"/>
    <cellStyle name="汇总 2 4 9 3 5" xfId="12336" xr:uid="{00000000-0005-0000-0000-000060300000}"/>
    <cellStyle name="汇总 2 4 9 3 5 2" xfId="17085" xr:uid="{00000000-0005-0000-0000-0000ED420000}"/>
    <cellStyle name="汇总 2 4 9 3 6" xfId="8936" xr:uid="{00000000-0005-0000-0000-000018230000}"/>
    <cellStyle name="汇总 2 4 9 4" xfId="16145" xr:uid="{00000000-0005-0000-0000-0000413F0000}"/>
    <cellStyle name="汇总 2 4 9 4 2" xfId="17092" xr:uid="{00000000-0005-0000-0000-0000F4420000}"/>
    <cellStyle name="汇总 2 4 9 4 2 2" xfId="17098" xr:uid="{00000000-0005-0000-0000-0000FA420000}"/>
    <cellStyle name="汇总 2 4 9 4 3" xfId="17104" xr:uid="{00000000-0005-0000-0000-000000430000}"/>
    <cellStyle name="汇总 2 4 9 4 3 2" xfId="17108" xr:uid="{00000000-0005-0000-0000-000004430000}"/>
    <cellStyle name="汇总 2 4 9 4 4" xfId="17113" xr:uid="{00000000-0005-0000-0000-000009430000}"/>
    <cellStyle name="汇总 2 4 9 4 4 2" xfId="17114" xr:uid="{00000000-0005-0000-0000-00000A430000}"/>
    <cellStyle name="汇总 2 4 9 4 5" xfId="12345" xr:uid="{00000000-0005-0000-0000-000069300000}"/>
    <cellStyle name="汇总 2 4 9 4 5 2" xfId="17120" xr:uid="{00000000-0005-0000-0000-000010430000}"/>
    <cellStyle name="汇总 2 4 9 4 6" xfId="8952" xr:uid="{00000000-0005-0000-0000-000028230000}"/>
    <cellStyle name="汇总 2 4 9 5" xfId="17122" xr:uid="{00000000-0005-0000-0000-000012430000}"/>
    <cellStyle name="汇总 2 4 9 5 2" xfId="17127" xr:uid="{00000000-0005-0000-0000-000017430000}"/>
    <cellStyle name="汇总 2 4 9 5 2 2" xfId="17135" xr:uid="{00000000-0005-0000-0000-00001F430000}"/>
    <cellStyle name="汇总 2 4 9 5 3" xfId="17141" xr:uid="{00000000-0005-0000-0000-000025430000}"/>
    <cellStyle name="汇总 2 4 9 5 3 2" xfId="17145" xr:uid="{00000000-0005-0000-0000-000029430000}"/>
    <cellStyle name="汇总 2 4 9 5 4" xfId="17148" xr:uid="{00000000-0005-0000-0000-00002C430000}"/>
    <cellStyle name="汇总 2 4 9 5 4 2" xfId="17149" xr:uid="{00000000-0005-0000-0000-00002D430000}"/>
    <cellStyle name="汇总 2 4 9 5 5" xfId="12353" xr:uid="{00000000-0005-0000-0000-000071300000}"/>
    <cellStyle name="汇总 2 4 9 5 5 2" xfId="17155" xr:uid="{00000000-0005-0000-0000-000033430000}"/>
    <cellStyle name="汇总 2 4 9 5 6" xfId="8964" xr:uid="{00000000-0005-0000-0000-000034230000}"/>
    <cellStyle name="汇总 2 4 9 6" xfId="17157" xr:uid="{00000000-0005-0000-0000-000035430000}"/>
    <cellStyle name="汇总 2 4 9 6 2" xfId="17162" xr:uid="{00000000-0005-0000-0000-00003A430000}"/>
    <cellStyle name="汇总 2 4 9 6 2 2" xfId="17170" xr:uid="{00000000-0005-0000-0000-000042430000}"/>
    <cellStyle name="汇总 2 4 9 6 3" xfId="17175" xr:uid="{00000000-0005-0000-0000-000047430000}"/>
    <cellStyle name="汇总 2 4 9 6 3 2" xfId="17178" xr:uid="{00000000-0005-0000-0000-00004A430000}"/>
    <cellStyle name="汇总 2 4 9 6 4" xfId="17185" xr:uid="{00000000-0005-0000-0000-000051430000}"/>
    <cellStyle name="汇总 2 4 9 6 4 2" xfId="17187" xr:uid="{00000000-0005-0000-0000-000053430000}"/>
    <cellStyle name="汇总 2 4 9 6 5" xfId="17189" xr:uid="{00000000-0005-0000-0000-000055430000}"/>
    <cellStyle name="汇总 2 4 9 6 5 2" xfId="17192" xr:uid="{00000000-0005-0000-0000-000058430000}"/>
    <cellStyle name="汇总 2 4 9 6 6" xfId="17194" xr:uid="{00000000-0005-0000-0000-00005A430000}"/>
    <cellStyle name="汇总 2 4 9 7" xfId="6987" xr:uid="{00000000-0005-0000-0000-00007B1B0000}"/>
    <cellStyle name="汇总 2 4 9 7 2" xfId="11260" xr:uid="{00000000-0005-0000-0000-00002C2C0000}"/>
    <cellStyle name="汇总 2 4 9 7 2 2" xfId="17202" xr:uid="{00000000-0005-0000-0000-000062430000}"/>
    <cellStyle name="汇总 2 4 9 7 3" xfId="17207" xr:uid="{00000000-0005-0000-0000-000067430000}"/>
    <cellStyle name="汇总 2 4 9 7 3 2" xfId="17213" xr:uid="{00000000-0005-0000-0000-00006D430000}"/>
    <cellStyle name="汇总 2 4 9 7 4" xfId="17218" xr:uid="{00000000-0005-0000-0000-000072430000}"/>
    <cellStyle name="汇总 2 4 9 7 4 2" xfId="17220" xr:uid="{00000000-0005-0000-0000-000074430000}"/>
    <cellStyle name="汇总 2 4 9 7 5" xfId="17222" xr:uid="{00000000-0005-0000-0000-000076430000}"/>
    <cellStyle name="汇总 2 4 9 7 5 2" xfId="17224" xr:uid="{00000000-0005-0000-0000-000078430000}"/>
    <cellStyle name="汇总 2 4 9 7 6" xfId="17226" xr:uid="{00000000-0005-0000-0000-00007A430000}"/>
    <cellStyle name="汇总 2 4 9 8" xfId="7949" xr:uid="{00000000-0005-0000-0000-00003D1F0000}"/>
    <cellStyle name="汇总 2 4 9 8 2" xfId="11266" xr:uid="{00000000-0005-0000-0000-0000322C0000}"/>
    <cellStyle name="汇总 2 4 9 8 2 2" xfId="17233" xr:uid="{00000000-0005-0000-0000-000081430000}"/>
    <cellStyle name="汇总 2 4 9 8 3" xfId="713" xr:uid="{00000000-0005-0000-0000-0000F9020000}"/>
    <cellStyle name="汇总 2 4 9 8 3 2" xfId="17240" xr:uid="{00000000-0005-0000-0000-000088430000}"/>
    <cellStyle name="汇总 2 4 9 8 4" xfId="17247" xr:uid="{00000000-0005-0000-0000-00008F430000}"/>
    <cellStyle name="汇总 2 4 9 8 4 2" xfId="17249" xr:uid="{00000000-0005-0000-0000-000091430000}"/>
    <cellStyle name="汇总 2 4 9 8 5" xfId="17252" xr:uid="{00000000-0005-0000-0000-000094430000}"/>
    <cellStyle name="汇总 2 4 9 9" xfId="11276" xr:uid="{00000000-0005-0000-0000-00003C2C0000}"/>
    <cellStyle name="汇总 2 4 9 9 2" xfId="7692" xr:uid="{00000000-0005-0000-0000-00003C1E0000}"/>
    <cellStyle name="汇总 2 5" xfId="7242" xr:uid="{00000000-0005-0000-0000-00007A1C0000}"/>
    <cellStyle name="汇总 2 5 10" xfId="17254" xr:uid="{00000000-0005-0000-0000-000096430000}"/>
    <cellStyle name="汇总 2 5 10 10" xfId="1299" xr:uid="{00000000-0005-0000-0000-000043050000}"/>
    <cellStyle name="汇总 2 5 10 10 2" xfId="3285" xr:uid="{00000000-0005-0000-0000-0000050D0000}"/>
    <cellStyle name="汇总 2 5 10 11" xfId="1306" xr:uid="{00000000-0005-0000-0000-00004A050000}"/>
    <cellStyle name="汇总 2 5 10 11 2" xfId="3366" xr:uid="{00000000-0005-0000-0000-0000560D0000}"/>
    <cellStyle name="汇总 2 5 10 12" xfId="1329" xr:uid="{00000000-0005-0000-0000-000061050000}"/>
    <cellStyle name="汇总 2 5 10 12 2" xfId="3395" xr:uid="{00000000-0005-0000-0000-0000730D0000}"/>
    <cellStyle name="汇总 2 5 10 13" xfId="1336" xr:uid="{00000000-0005-0000-0000-000068050000}"/>
    <cellStyle name="汇总 2 5 10 14" xfId="1344" xr:uid="{00000000-0005-0000-0000-000070050000}"/>
    <cellStyle name="汇总 2 5 10 15" xfId="1367" xr:uid="{00000000-0005-0000-0000-000087050000}"/>
    <cellStyle name="汇总 2 5 10 16" xfId="1378" xr:uid="{00000000-0005-0000-0000-000092050000}"/>
    <cellStyle name="汇总 2 5 10 2" xfId="3670" xr:uid="{00000000-0005-0000-0000-0000860E0000}"/>
    <cellStyle name="汇总 2 5 10 2 2" xfId="3677" xr:uid="{00000000-0005-0000-0000-00008D0E0000}"/>
    <cellStyle name="汇总 2 5 10 2 2 2" xfId="11946" xr:uid="{00000000-0005-0000-0000-0000DA2E0000}"/>
    <cellStyle name="汇总 2 5 10 2 3" xfId="12786" xr:uid="{00000000-0005-0000-0000-000022320000}"/>
    <cellStyle name="汇总 2 5 10 2 3 2" xfId="11962" xr:uid="{00000000-0005-0000-0000-0000EA2E0000}"/>
    <cellStyle name="汇总 2 5 10 2 4" xfId="17259" xr:uid="{00000000-0005-0000-0000-00009B430000}"/>
    <cellStyle name="汇总 2 5 10 2 4 2" xfId="17262" xr:uid="{00000000-0005-0000-0000-00009E430000}"/>
    <cellStyle name="汇总 2 5 10 2 5" xfId="15965" xr:uid="{00000000-0005-0000-0000-00008D3E0000}"/>
    <cellStyle name="汇总 2 5 10 2 5 2" xfId="13021" xr:uid="{00000000-0005-0000-0000-00000D330000}"/>
    <cellStyle name="汇总 2 5 10 2 6" xfId="15127" xr:uid="{00000000-0005-0000-0000-0000473B0000}"/>
    <cellStyle name="汇总 2 5 10 2 7" xfId="17264" xr:uid="{00000000-0005-0000-0000-0000A0430000}"/>
    <cellStyle name="汇总 2 5 10 2 8" xfId="17267" xr:uid="{00000000-0005-0000-0000-0000A3430000}"/>
    <cellStyle name="汇总 2 5 10 2 9" xfId="17270" xr:uid="{00000000-0005-0000-0000-0000A6430000}"/>
    <cellStyle name="汇总 2 5 10 3" xfId="3691" xr:uid="{00000000-0005-0000-0000-00009B0E0000}"/>
    <cellStyle name="汇总 2 5 10 3 2" xfId="9437" xr:uid="{00000000-0005-0000-0000-00000D250000}"/>
    <cellStyle name="汇总 2 5 10 3 2 2" xfId="12186" xr:uid="{00000000-0005-0000-0000-0000CA2F0000}"/>
    <cellStyle name="汇总 2 5 10 3 3" xfId="12797" xr:uid="{00000000-0005-0000-0000-00002D320000}"/>
    <cellStyle name="汇总 2 5 10 3 3 2" xfId="12199" xr:uid="{00000000-0005-0000-0000-0000D72F0000}"/>
    <cellStyle name="汇总 2 5 10 3 4" xfId="13863" xr:uid="{00000000-0005-0000-0000-000057360000}"/>
    <cellStyle name="汇总 2 5 10 3 4 2" xfId="17275" xr:uid="{00000000-0005-0000-0000-0000AB430000}"/>
    <cellStyle name="汇总 2 5 10 3 5" xfId="15974" xr:uid="{00000000-0005-0000-0000-0000963E0000}"/>
    <cellStyle name="汇总 2 5 10 3 5 2" xfId="13461" xr:uid="{00000000-0005-0000-0000-0000C5340000}"/>
    <cellStyle name="汇总 2 5 10 3 6" xfId="17278" xr:uid="{00000000-0005-0000-0000-0000AE430000}"/>
    <cellStyle name="汇总 2 5 10 4" xfId="9443" xr:uid="{00000000-0005-0000-0000-000013250000}"/>
    <cellStyle name="汇总 2 5 10 4 2" xfId="10213" xr:uid="{00000000-0005-0000-0000-000015280000}"/>
    <cellStyle name="汇总 2 5 10 4 2 2" xfId="9397" xr:uid="{00000000-0005-0000-0000-0000E5240000}"/>
    <cellStyle name="汇总 2 5 10 4 3" xfId="10220" xr:uid="{00000000-0005-0000-0000-00001C280000}"/>
    <cellStyle name="汇总 2 5 10 4 3 2" xfId="1355" xr:uid="{00000000-0005-0000-0000-00007B050000}"/>
    <cellStyle name="汇总 2 5 10 4 4" xfId="10228" xr:uid="{00000000-0005-0000-0000-000024280000}"/>
    <cellStyle name="汇总 2 5 10 4 4 2" xfId="3635" xr:uid="{00000000-0005-0000-0000-0000630E0000}"/>
    <cellStyle name="汇总 2 5 10 4 5" xfId="15981" xr:uid="{00000000-0005-0000-0000-00009D3E0000}"/>
    <cellStyle name="汇总 2 5 10 4 5 2" xfId="3686" xr:uid="{00000000-0005-0000-0000-0000960E0000}"/>
    <cellStyle name="汇总 2 5 10 4 6" xfId="17281" xr:uid="{00000000-0005-0000-0000-0000B1430000}"/>
    <cellStyle name="汇总 2 5 10 5" xfId="17284" xr:uid="{00000000-0005-0000-0000-0000B4430000}"/>
    <cellStyle name="汇总 2 5 10 5 2" xfId="9521" xr:uid="{00000000-0005-0000-0000-000061250000}"/>
    <cellStyle name="汇总 2 5 10 5 2 2" xfId="13870" xr:uid="{00000000-0005-0000-0000-00005E360000}"/>
    <cellStyle name="汇总 2 5 10 5 3" xfId="9530" xr:uid="{00000000-0005-0000-0000-00006A250000}"/>
    <cellStyle name="汇总 2 5 10 5 3 2" xfId="4129" xr:uid="{00000000-0005-0000-0000-000051100000}"/>
    <cellStyle name="汇总 2 5 10 5 4" xfId="9538" xr:uid="{00000000-0005-0000-0000-000072250000}"/>
    <cellStyle name="汇总 2 5 10 5 4 2" xfId="4232" xr:uid="{00000000-0005-0000-0000-0000B8100000}"/>
    <cellStyle name="汇总 2 5 10 5 5" xfId="9545" xr:uid="{00000000-0005-0000-0000-000079250000}"/>
    <cellStyle name="汇总 2 5 10 5 5 2" xfId="3582" xr:uid="{00000000-0005-0000-0000-00002E0E0000}"/>
    <cellStyle name="汇总 2 5 10 5 6" xfId="17289" xr:uid="{00000000-0005-0000-0000-0000B9430000}"/>
    <cellStyle name="汇总 2 5 10 6" xfId="17291" xr:uid="{00000000-0005-0000-0000-0000BB430000}"/>
    <cellStyle name="汇总 2 5 10 6 2" xfId="13882" xr:uid="{00000000-0005-0000-0000-00006A360000}"/>
    <cellStyle name="汇总 2 5 10 6 2 2" xfId="13886" xr:uid="{00000000-0005-0000-0000-00006E360000}"/>
    <cellStyle name="汇总 2 5 10 6 3" xfId="13899" xr:uid="{00000000-0005-0000-0000-00007B360000}"/>
    <cellStyle name="汇总 2 5 10 6 3 2" xfId="4479" xr:uid="{00000000-0005-0000-0000-0000AF110000}"/>
    <cellStyle name="汇总 2 5 10 6 4" xfId="13904" xr:uid="{00000000-0005-0000-0000-000080360000}"/>
    <cellStyle name="汇总 2 5 10 6 4 2" xfId="4535" xr:uid="{00000000-0005-0000-0000-0000E7110000}"/>
    <cellStyle name="汇总 2 5 10 6 5" xfId="17295" xr:uid="{00000000-0005-0000-0000-0000BF430000}"/>
    <cellStyle name="汇总 2 5 10 6 5 2" xfId="507" xr:uid="{00000000-0005-0000-0000-000029020000}"/>
    <cellStyle name="汇总 2 5 10 6 6" xfId="17298" xr:uid="{00000000-0005-0000-0000-0000C2430000}"/>
    <cellStyle name="汇总 2 5 10 7" xfId="17300" xr:uid="{00000000-0005-0000-0000-0000C4430000}"/>
    <cellStyle name="汇总 2 5 10 7 2" xfId="13914" xr:uid="{00000000-0005-0000-0000-00008A360000}"/>
    <cellStyle name="汇总 2 5 10 7 2 2" xfId="13917" xr:uid="{00000000-0005-0000-0000-00008D360000}"/>
    <cellStyle name="汇总 2 5 10 7 3" xfId="13926" xr:uid="{00000000-0005-0000-0000-000096360000}"/>
    <cellStyle name="汇总 2 5 10 7 3 2" xfId="4758" xr:uid="{00000000-0005-0000-0000-0000C6120000}"/>
    <cellStyle name="汇总 2 5 10 7 4" xfId="13930" xr:uid="{00000000-0005-0000-0000-00009A360000}"/>
    <cellStyle name="汇总 2 5 10 7 4 2" xfId="4794" xr:uid="{00000000-0005-0000-0000-0000EA120000}"/>
    <cellStyle name="汇总 2 5 10 7 5" xfId="17303" xr:uid="{00000000-0005-0000-0000-0000C7430000}"/>
    <cellStyle name="汇总 2 5 10 7 5 2" xfId="4837" xr:uid="{00000000-0005-0000-0000-000015130000}"/>
    <cellStyle name="汇总 2 5 10 7 6" xfId="17306" xr:uid="{00000000-0005-0000-0000-0000CA430000}"/>
    <cellStyle name="汇总 2 5 10 8" xfId="8944" xr:uid="{00000000-0005-0000-0000-000020230000}"/>
    <cellStyle name="汇总 2 5 10 8 2" xfId="13938" xr:uid="{00000000-0005-0000-0000-0000A2360000}"/>
    <cellStyle name="汇总 2 5 10 8 2 2" xfId="13941" xr:uid="{00000000-0005-0000-0000-0000A5360000}"/>
    <cellStyle name="汇总 2 5 10 8 3" xfId="13947" xr:uid="{00000000-0005-0000-0000-0000AB360000}"/>
    <cellStyle name="汇总 2 5 10 8 3 2" xfId="5031" xr:uid="{00000000-0005-0000-0000-0000D7130000}"/>
    <cellStyle name="汇总 2 5 10 8 4" xfId="13952" xr:uid="{00000000-0005-0000-0000-0000B0360000}"/>
    <cellStyle name="汇总 2 5 10 8 4 2" xfId="5056" xr:uid="{00000000-0005-0000-0000-0000F0130000}"/>
    <cellStyle name="汇总 2 5 10 8 5" xfId="17309" xr:uid="{00000000-0005-0000-0000-0000CD430000}"/>
    <cellStyle name="汇总 2 5 10 9" xfId="17312" xr:uid="{00000000-0005-0000-0000-0000D0430000}"/>
    <cellStyle name="汇总 2 5 10 9 2" xfId="13962" xr:uid="{00000000-0005-0000-0000-0000BA360000}"/>
    <cellStyle name="汇总 2 5 11" xfId="17317" xr:uid="{00000000-0005-0000-0000-0000D5430000}"/>
    <cellStyle name="汇总 2 5 11 10" xfId="628" xr:uid="{00000000-0005-0000-0000-0000A4020000}"/>
    <cellStyle name="汇总 2 5 11 10 2" xfId="3816" xr:uid="{00000000-0005-0000-0000-0000180F0000}"/>
    <cellStyle name="汇总 2 5 11 11" xfId="3822" xr:uid="{00000000-0005-0000-0000-00001E0F0000}"/>
    <cellStyle name="汇总 2 5 11 11 2" xfId="3829" xr:uid="{00000000-0005-0000-0000-0000250F0000}"/>
    <cellStyle name="汇总 2 5 11 12" xfId="2071" xr:uid="{00000000-0005-0000-0000-000047080000}"/>
    <cellStyle name="汇总 2 5 11 12 2" xfId="3835" xr:uid="{00000000-0005-0000-0000-00002B0F0000}"/>
    <cellStyle name="汇总 2 5 11 13" xfId="3842" xr:uid="{00000000-0005-0000-0000-0000320F0000}"/>
    <cellStyle name="汇总 2 5 11 14" xfId="3880" xr:uid="{00000000-0005-0000-0000-0000580F0000}"/>
    <cellStyle name="汇总 2 5 11 15" xfId="17320" xr:uid="{00000000-0005-0000-0000-0000D8430000}"/>
    <cellStyle name="汇总 2 5 11 16" xfId="17329" xr:uid="{00000000-0005-0000-0000-0000E1430000}"/>
    <cellStyle name="汇总 2 5 11 2" xfId="1517" xr:uid="{00000000-0005-0000-0000-00001D060000}"/>
    <cellStyle name="汇总 2 5 11 2 2" xfId="3719" xr:uid="{00000000-0005-0000-0000-0000B70E0000}"/>
    <cellStyle name="汇总 2 5 11 2 2 2" xfId="17333" xr:uid="{00000000-0005-0000-0000-0000E5430000}"/>
    <cellStyle name="汇总 2 5 11 2 3" xfId="12823" xr:uid="{00000000-0005-0000-0000-000047320000}"/>
    <cellStyle name="汇总 2 5 11 2 3 2" xfId="17337" xr:uid="{00000000-0005-0000-0000-0000E9430000}"/>
    <cellStyle name="汇总 2 5 11 2 4" xfId="17344" xr:uid="{00000000-0005-0000-0000-0000F0430000}"/>
    <cellStyle name="汇总 2 5 11 2 4 2" xfId="17349" xr:uid="{00000000-0005-0000-0000-0000F5430000}"/>
    <cellStyle name="汇总 2 5 11 2 5" xfId="16005" xr:uid="{00000000-0005-0000-0000-0000B53E0000}"/>
    <cellStyle name="汇总 2 5 11 2 5 2" xfId="17356" xr:uid="{00000000-0005-0000-0000-0000FC430000}"/>
    <cellStyle name="汇总 2 5 11 2 6" xfId="15154" xr:uid="{00000000-0005-0000-0000-0000623B0000}"/>
    <cellStyle name="汇总 2 5 11 3" xfId="1536" xr:uid="{00000000-0005-0000-0000-000030060000}"/>
    <cellStyle name="汇总 2 5 11 3 2" xfId="9455" xr:uid="{00000000-0005-0000-0000-00001F250000}"/>
    <cellStyle name="汇总 2 5 11 3 2 2" xfId="17358" xr:uid="{00000000-0005-0000-0000-0000FE430000}"/>
    <cellStyle name="汇总 2 5 11 3 3" xfId="12838" xr:uid="{00000000-0005-0000-0000-000056320000}"/>
    <cellStyle name="汇总 2 5 11 3 3 2" xfId="17363" xr:uid="{00000000-0005-0000-0000-000003440000}"/>
    <cellStyle name="汇总 2 5 11 3 4" xfId="17372" xr:uid="{00000000-0005-0000-0000-00000C440000}"/>
    <cellStyle name="汇总 2 5 11 3 4 2" xfId="17379" xr:uid="{00000000-0005-0000-0000-000013440000}"/>
    <cellStyle name="汇总 2 5 11 3 5" xfId="16017" xr:uid="{00000000-0005-0000-0000-0000C13E0000}"/>
    <cellStyle name="汇总 2 5 11 3 5 2" xfId="17387" xr:uid="{00000000-0005-0000-0000-00001B440000}"/>
    <cellStyle name="汇总 2 5 11 3 6" xfId="17393" xr:uid="{00000000-0005-0000-0000-000021440000}"/>
    <cellStyle name="汇总 2 5 11 4" xfId="9458" xr:uid="{00000000-0005-0000-0000-000022250000}"/>
    <cellStyle name="汇总 2 5 11 4 2" xfId="10526" xr:uid="{00000000-0005-0000-0000-00004E290000}"/>
    <cellStyle name="汇总 2 5 11 4 2 2" xfId="17396" xr:uid="{00000000-0005-0000-0000-000024440000}"/>
    <cellStyle name="汇总 2 5 11 4 3" xfId="10532" xr:uid="{00000000-0005-0000-0000-000054290000}"/>
    <cellStyle name="汇总 2 5 11 4 3 2" xfId="7366" xr:uid="{00000000-0005-0000-0000-0000F61C0000}"/>
    <cellStyle name="汇总 2 5 11 4 4" xfId="10542" xr:uid="{00000000-0005-0000-0000-00005E290000}"/>
    <cellStyle name="汇总 2 5 11 4 4 2" xfId="7418" xr:uid="{00000000-0005-0000-0000-00002A1D0000}"/>
    <cellStyle name="汇总 2 5 11 4 5" xfId="16027" xr:uid="{00000000-0005-0000-0000-0000CB3E0000}"/>
    <cellStyle name="汇总 2 5 11 4 5 2" xfId="7483" xr:uid="{00000000-0005-0000-0000-00006B1D0000}"/>
    <cellStyle name="汇总 2 5 11 4 6" xfId="17403" xr:uid="{00000000-0005-0000-0000-00002B440000}"/>
    <cellStyle name="汇总 2 5 11 5" xfId="17407" xr:uid="{00000000-0005-0000-0000-00002F440000}"/>
    <cellStyle name="汇总 2 5 11 5 2" xfId="10940" xr:uid="{00000000-0005-0000-0000-0000EC2A0000}"/>
    <cellStyle name="汇总 2 5 11 5 2 2" xfId="17411" xr:uid="{00000000-0005-0000-0000-000033440000}"/>
    <cellStyle name="汇总 2 5 11 5 3" xfId="10948" xr:uid="{00000000-0005-0000-0000-0000F42A0000}"/>
    <cellStyle name="汇总 2 5 11 5 3 2" xfId="2899" xr:uid="{00000000-0005-0000-0000-0000830B0000}"/>
    <cellStyle name="汇总 2 5 11 5 4" xfId="10959" xr:uid="{00000000-0005-0000-0000-0000FF2A0000}"/>
    <cellStyle name="汇总 2 5 11 5 4 2" xfId="3207" xr:uid="{00000000-0005-0000-0000-0000B70C0000}"/>
    <cellStyle name="汇总 2 5 11 5 5" xfId="10965" xr:uid="{00000000-0005-0000-0000-0000052B0000}"/>
    <cellStyle name="汇总 2 5 11 5 5 2" xfId="3329" xr:uid="{00000000-0005-0000-0000-0000310D0000}"/>
    <cellStyle name="汇总 2 5 11 5 6" xfId="17415" xr:uid="{00000000-0005-0000-0000-000037440000}"/>
    <cellStyle name="汇总 2 5 11 6" xfId="17417" xr:uid="{00000000-0005-0000-0000-000039440000}"/>
    <cellStyle name="汇总 2 5 11 6 2" xfId="17420" xr:uid="{00000000-0005-0000-0000-00003C440000}"/>
    <cellStyle name="汇总 2 5 11 6 2 2" xfId="17423" xr:uid="{00000000-0005-0000-0000-00003F440000}"/>
    <cellStyle name="汇总 2 5 11 6 3" xfId="17427" xr:uid="{00000000-0005-0000-0000-000043440000}"/>
    <cellStyle name="汇总 2 5 11 6 3 2" xfId="8001" xr:uid="{00000000-0005-0000-0000-0000711F0000}"/>
    <cellStyle name="汇总 2 5 11 6 4" xfId="17438" xr:uid="{00000000-0005-0000-0000-00004E440000}"/>
    <cellStyle name="汇总 2 5 11 6 4 2" xfId="7231" xr:uid="{00000000-0005-0000-0000-00006F1C0000}"/>
    <cellStyle name="汇总 2 5 11 6 5" xfId="17442" xr:uid="{00000000-0005-0000-0000-000052440000}"/>
    <cellStyle name="汇总 2 5 11 6 5 2" xfId="5214" xr:uid="{00000000-0005-0000-0000-00008E140000}"/>
    <cellStyle name="汇总 2 5 11 6 6" xfId="17446" xr:uid="{00000000-0005-0000-0000-000056440000}"/>
    <cellStyle name="汇总 2 5 11 7" xfId="17448" xr:uid="{00000000-0005-0000-0000-000058440000}"/>
    <cellStyle name="汇总 2 5 11 7 2" xfId="17450" xr:uid="{00000000-0005-0000-0000-00005A440000}"/>
    <cellStyle name="汇总 2 5 11 7 2 2" xfId="17455" xr:uid="{00000000-0005-0000-0000-00005F440000}"/>
    <cellStyle name="汇总 2 5 11 7 3" xfId="17458" xr:uid="{00000000-0005-0000-0000-000062440000}"/>
    <cellStyle name="汇总 2 5 11 7 3 2" xfId="8197" xr:uid="{00000000-0005-0000-0000-000035200000}"/>
    <cellStyle name="汇总 2 5 11 7 4" xfId="17469" xr:uid="{00000000-0005-0000-0000-00006D440000}"/>
    <cellStyle name="汇总 2 5 11 7 4 2" xfId="8254" xr:uid="{00000000-0005-0000-0000-00006E200000}"/>
    <cellStyle name="汇总 2 5 11 7 5" xfId="8490" xr:uid="{00000000-0005-0000-0000-00005A210000}"/>
    <cellStyle name="汇总 2 5 11 7 5 2" xfId="8302" xr:uid="{00000000-0005-0000-0000-00009E200000}"/>
    <cellStyle name="汇总 2 5 11 7 6" xfId="17474" xr:uid="{00000000-0005-0000-0000-000072440000}"/>
    <cellStyle name="汇总 2 5 11 8" xfId="8957" xr:uid="{00000000-0005-0000-0000-00002D230000}"/>
    <cellStyle name="汇总 2 5 11 8 2" xfId="17476" xr:uid="{00000000-0005-0000-0000-000074440000}"/>
    <cellStyle name="汇总 2 5 11 8 2 2" xfId="17478" xr:uid="{00000000-0005-0000-0000-000076440000}"/>
    <cellStyle name="汇总 2 5 11 8 3" xfId="17481" xr:uid="{00000000-0005-0000-0000-000079440000}"/>
    <cellStyle name="汇总 2 5 11 8 3 2" xfId="8527" xr:uid="{00000000-0005-0000-0000-00007F210000}"/>
    <cellStyle name="汇总 2 5 11 8 4" xfId="17487" xr:uid="{00000000-0005-0000-0000-00007F440000}"/>
    <cellStyle name="汇总 2 5 11 8 4 2" xfId="8576" xr:uid="{00000000-0005-0000-0000-0000B0210000}"/>
    <cellStyle name="汇总 2 5 11 8 5" xfId="8494" xr:uid="{00000000-0005-0000-0000-00005E210000}"/>
    <cellStyle name="汇总 2 5 11 9" xfId="17490" xr:uid="{00000000-0005-0000-0000-000082440000}"/>
    <cellStyle name="汇总 2 5 11 9 2" xfId="17493" xr:uid="{00000000-0005-0000-0000-000085440000}"/>
    <cellStyle name="汇总 2 5 12" xfId="4096" xr:uid="{00000000-0005-0000-0000-000030100000}"/>
    <cellStyle name="汇总 2 5 12 2" xfId="3775" xr:uid="{00000000-0005-0000-0000-0000EF0E0000}"/>
    <cellStyle name="汇总 2 5 12 2 2" xfId="3783" xr:uid="{00000000-0005-0000-0000-0000F70E0000}"/>
    <cellStyle name="汇总 2 5 12 3" xfId="3799" xr:uid="{00000000-0005-0000-0000-0000070F0000}"/>
    <cellStyle name="汇总 2 5 12 3 2" xfId="9463" xr:uid="{00000000-0005-0000-0000-000027250000}"/>
    <cellStyle name="汇总 2 5 12 4" xfId="9466" xr:uid="{00000000-0005-0000-0000-00002A250000}"/>
    <cellStyle name="汇总 2 5 12 4 2" xfId="10906" xr:uid="{00000000-0005-0000-0000-0000CA2A0000}"/>
    <cellStyle name="汇总 2 5 12 5" xfId="17499" xr:uid="{00000000-0005-0000-0000-00008B440000}"/>
    <cellStyle name="汇总 2 5 12 5 2" xfId="2402" xr:uid="{00000000-0005-0000-0000-000092090000}"/>
    <cellStyle name="汇总 2 5 12 6" xfId="15355" xr:uid="{00000000-0005-0000-0000-00002B3C0000}"/>
    <cellStyle name="汇总 2 5 12 7" xfId="17502" xr:uid="{00000000-0005-0000-0000-00008E440000}"/>
    <cellStyle name="汇总 2 5 12 8" xfId="8968" xr:uid="{00000000-0005-0000-0000-000038230000}"/>
    <cellStyle name="汇总 2 5 12 9" xfId="17507" xr:uid="{00000000-0005-0000-0000-000093440000}"/>
    <cellStyle name="汇总 2 5 13" xfId="4279" xr:uid="{00000000-0005-0000-0000-0000E7100000}"/>
    <cellStyle name="汇总 2 5 13 2" xfId="3841" xr:uid="{00000000-0005-0000-0000-0000310F0000}"/>
    <cellStyle name="汇总 2 5 13 2 2" xfId="3853" xr:uid="{00000000-0005-0000-0000-00003D0F0000}"/>
    <cellStyle name="汇总 2 5 13 3" xfId="3879" xr:uid="{00000000-0005-0000-0000-0000570F0000}"/>
    <cellStyle name="汇总 2 5 13 3 2" xfId="17512" xr:uid="{00000000-0005-0000-0000-000098440000}"/>
    <cellStyle name="汇总 2 5 13 4" xfId="17321" xr:uid="{00000000-0005-0000-0000-0000D9430000}"/>
    <cellStyle name="汇总 2 5 13 4 2" xfId="10970" xr:uid="{00000000-0005-0000-0000-00000A2B0000}"/>
    <cellStyle name="汇总 2 5 13 5" xfId="17330" xr:uid="{00000000-0005-0000-0000-0000E2430000}"/>
    <cellStyle name="汇总 2 5 13 5 2" xfId="17516" xr:uid="{00000000-0005-0000-0000-00009C440000}"/>
    <cellStyle name="汇总 2 5 13 6" xfId="15363" xr:uid="{00000000-0005-0000-0000-0000333C0000}"/>
    <cellStyle name="汇总 2 5 14" xfId="2539" xr:uid="{00000000-0005-0000-0000-00001B0A0000}"/>
    <cellStyle name="汇总 2 5 14 2" xfId="3914" xr:uid="{00000000-0005-0000-0000-00007A0F0000}"/>
    <cellStyle name="汇总 2 5 14 2 2" xfId="17518" xr:uid="{00000000-0005-0000-0000-00009E440000}"/>
    <cellStyle name="汇总 2 5 14 3" xfId="17522" xr:uid="{00000000-0005-0000-0000-0000A2440000}"/>
    <cellStyle name="汇总 2 5 14 3 2" xfId="17524" xr:uid="{00000000-0005-0000-0000-0000A4440000}"/>
    <cellStyle name="汇总 2 5 14 4" xfId="17526" xr:uid="{00000000-0005-0000-0000-0000A6440000}"/>
    <cellStyle name="汇总 2 5 14 4 2" xfId="11090" xr:uid="{00000000-0005-0000-0000-0000822B0000}"/>
    <cellStyle name="汇总 2 5 14 5" xfId="17532" xr:uid="{00000000-0005-0000-0000-0000AC440000}"/>
    <cellStyle name="汇总 2 5 14 5 2" xfId="17535" xr:uid="{00000000-0005-0000-0000-0000AF440000}"/>
    <cellStyle name="汇总 2 5 14 6" xfId="15372" xr:uid="{00000000-0005-0000-0000-00003C3C0000}"/>
    <cellStyle name="汇总 2 5 15" xfId="4295" xr:uid="{00000000-0005-0000-0000-0000F7100000}"/>
    <cellStyle name="汇总 2 5 15 2" xfId="1896" xr:uid="{00000000-0005-0000-0000-000098070000}"/>
    <cellStyle name="汇总 2 5 15 2 2" xfId="11517" xr:uid="{00000000-0005-0000-0000-00002D2D0000}"/>
    <cellStyle name="汇总 2 5 15 3" xfId="17539" xr:uid="{00000000-0005-0000-0000-0000B3440000}"/>
    <cellStyle name="汇总 2 5 15 3 2" xfId="17541" xr:uid="{00000000-0005-0000-0000-0000B5440000}"/>
    <cellStyle name="汇总 2 5 15 4" xfId="17543" xr:uid="{00000000-0005-0000-0000-0000B7440000}"/>
    <cellStyle name="汇总 2 5 15 4 2" xfId="17545" xr:uid="{00000000-0005-0000-0000-0000B9440000}"/>
    <cellStyle name="汇总 2 5 15 5" xfId="17551" xr:uid="{00000000-0005-0000-0000-0000BF440000}"/>
    <cellStyle name="汇总 2 5 15 5 2" xfId="12454" xr:uid="{00000000-0005-0000-0000-0000D6300000}"/>
    <cellStyle name="汇总 2 5 15 6" xfId="15379" xr:uid="{00000000-0005-0000-0000-0000433C0000}"/>
    <cellStyle name="汇总 2 5 16" xfId="4307" xr:uid="{00000000-0005-0000-0000-000003110000}"/>
    <cellStyle name="汇总 2 5 16 2" xfId="17554" xr:uid="{00000000-0005-0000-0000-0000C2440000}"/>
    <cellStyle name="汇总 2 5 16 2 2" xfId="17557" xr:uid="{00000000-0005-0000-0000-0000C5440000}"/>
    <cellStyle name="汇总 2 5 16 3" xfId="17559" xr:uid="{00000000-0005-0000-0000-0000C7440000}"/>
    <cellStyle name="汇总 2 5 16 3 2" xfId="17560" xr:uid="{00000000-0005-0000-0000-0000C8440000}"/>
    <cellStyle name="汇总 2 5 16 4" xfId="17561" xr:uid="{00000000-0005-0000-0000-0000C9440000}"/>
    <cellStyle name="汇总 2 5 16 4 2" xfId="15497" xr:uid="{00000000-0005-0000-0000-0000B93C0000}"/>
    <cellStyle name="汇总 2 5 16 5" xfId="17562" xr:uid="{00000000-0005-0000-0000-0000CA440000}"/>
    <cellStyle name="汇总 2 5 16 5 2" xfId="17564" xr:uid="{00000000-0005-0000-0000-0000CC440000}"/>
    <cellStyle name="汇总 2 5 16 6" xfId="17566" xr:uid="{00000000-0005-0000-0000-0000CE440000}"/>
    <cellStyle name="汇总 2 5 17" xfId="17570" xr:uid="{00000000-0005-0000-0000-0000D2440000}"/>
    <cellStyle name="汇总 2 5 17 2" xfId="17573" xr:uid="{00000000-0005-0000-0000-0000D5440000}"/>
    <cellStyle name="汇总 2 5 17 2 2" xfId="17576" xr:uid="{00000000-0005-0000-0000-0000D8440000}"/>
    <cellStyle name="汇总 2 5 17 3" xfId="17578" xr:uid="{00000000-0005-0000-0000-0000DA440000}"/>
    <cellStyle name="汇总 2 5 17 3 2" xfId="17582" xr:uid="{00000000-0005-0000-0000-0000DE440000}"/>
    <cellStyle name="汇总 2 5 17 4" xfId="17583" xr:uid="{00000000-0005-0000-0000-0000DF440000}"/>
    <cellStyle name="汇总 2 5 17 4 2" xfId="2132" xr:uid="{00000000-0005-0000-0000-000084080000}"/>
    <cellStyle name="汇总 2 5 17 5" xfId="17584" xr:uid="{00000000-0005-0000-0000-0000E0440000}"/>
    <cellStyle name="汇总 2 5 17 5 2" xfId="17588" xr:uid="{00000000-0005-0000-0000-0000E4440000}"/>
    <cellStyle name="汇总 2 5 17 6" xfId="17590" xr:uid="{00000000-0005-0000-0000-0000E6440000}"/>
    <cellStyle name="汇总 2 5 18" xfId="17593" xr:uid="{00000000-0005-0000-0000-0000E9440000}"/>
    <cellStyle name="汇总 2 5 18 2" xfId="2577" xr:uid="{00000000-0005-0000-0000-0000410A0000}"/>
    <cellStyle name="汇总 2 5 18 2 2" xfId="17597" xr:uid="{00000000-0005-0000-0000-0000ED440000}"/>
    <cellStyle name="汇总 2 5 18 3" xfId="6206" xr:uid="{00000000-0005-0000-0000-00006E180000}"/>
    <cellStyle name="汇总 2 5 18 3 2" xfId="17603" xr:uid="{00000000-0005-0000-0000-0000F3440000}"/>
    <cellStyle name="汇总 2 5 18 4" xfId="6207" xr:uid="{00000000-0005-0000-0000-00006F180000}"/>
    <cellStyle name="汇总 2 5 18 4 2" xfId="17607" xr:uid="{00000000-0005-0000-0000-0000F7440000}"/>
    <cellStyle name="汇总 2 5 18 5" xfId="17611" xr:uid="{00000000-0005-0000-0000-0000FB440000}"/>
    <cellStyle name="汇总 2 5 18 5 2" xfId="17617" xr:uid="{00000000-0005-0000-0000-000001450000}"/>
    <cellStyle name="汇总 2 5 18 6" xfId="17620" xr:uid="{00000000-0005-0000-0000-000004450000}"/>
    <cellStyle name="汇总 2 5 19" xfId="15392" xr:uid="{00000000-0005-0000-0000-0000503C0000}"/>
    <cellStyle name="汇总 2 5 19 2" xfId="17623" xr:uid="{00000000-0005-0000-0000-000007450000}"/>
    <cellStyle name="汇总 2 5 19 2 2" xfId="17626" xr:uid="{00000000-0005-0000-0000-00000A450000}"/>
    <cellStyle name="汇总 2 5 19 3" xfId="17628" xr:uid="{00000000-0005-0000-0000-00000C450000}"/>
    <cellStyle name="汇总 2 5 19 3 2" xfId="4559" xr:uid="{00000000-0005-0000-0000-0000FF110000}"/>
    <cellStyle name="汇总 2 5 19 4" xfId="17629" xr:uid="{00000000-0005-0000-0000-00000D450000}"/>
    <cellStyle name="汇总 2 5 19 4 2" xfId="17631" xr:uid="{00000000-0005-0000-0000-00000F450000}"/>
    <cellStyle name="汇总 2 5 19 5" xfId="17632" xr:uid="{00000000-0005-0000-0000-000010450000}"/>
    <cellStyle name="汇总 2 5 2" xfId="14522" xr:uid="{00000000-0005-0000-0000-0000EA380000}"/>
    <cellStyle name="汇总 2 5 2 10" xfId="10438" xr:uid="{00000000-0005-0000-0000-0000F6280000}"/>
    <cellStyle name="汇总 2 5 2 10 2" xfId="13956" xr:uid="{00000000-0005-0000-0000-0000B4360000}"/>
    <cellStyle name="汇总 2 5 2 11" xfId="13961" xr:uid="{00000000-0005-0000-0000-0000B9360000}"/>
    <cellStyle name="汇总 2 5 2 11 2" xfId="13965" xr:uid="{00000000-0005-0000-0000-0000BD360000}"/>
    <cellStyle name="汇总 2 5 2 12" xfId="13970" xr:uid="{00000000-0005-0000-0000-0000C2360000}"/>
    <cellStyle name="汇总 2 5 2 12 2" xfId="5285" xr:uid="{00000000-0005-0000-0000-0000D5140000}"/>
    <cellStyle name="汇总 2 5 2 13" xfId="17634" xr:uid="{00000000-0005-0000-0000-000012450000}"/>
    <cellStyle name="汇总 2 5 2 14" xfId="16475" xr:uid="{00000000-0005-0000-0000-00008B400000}"/>
    <cellStyle name="汇总 2 5 2 15" xfId="7781" xr:uid="{00000000-0005-0000-0000-0000951E0000}"/>
    <cellStyle name="汇总 2 5 2 16" xfId="7329" xr:uid="{00000000-0005-0000-0000-0000D11C0000}"/>
    <cellStyle name="汇总 2 5 2 2" xfId="14526" xr:uid="{00000000-0005-0000-0000-0000EE380000}"/>
    <cellStyle name="汇总 2 5 2 2 2" xfId="17637" xr:uid="{00000000-0005-0000-0000-000015450000}"/>
    <cellStyle name="汇总 2 5 2 2 2 2" xfId="17641" xr:uid="{00000000-0005-0000-0000-000019450000}"/>
    <cellStyle name="汇总 2 5 2 2 3" xfId="17642" xr:uid="{00000000-0005-0000-0000-00001A450000}"/>
    <cellStyle name="汇总 2 5 2 2 3 2" xfId="17645" xr:uid="{00000000-0005-0000-0000-00001D450000}"/>
    <cellStyle name="汇总 2 5 2 2 4" xfId="17646" xr:uid="{00000000-0005-0000-0000-00001E450000}"/>
    <cellStyle name="汇总 2 5 2 2 4 2" xfId="17648" xr:uid="{00000000-0005-0000-0000-000020450000}"/>
    <cellStyle name="汇总 2 5 2 2 5" xfId="9031" xr:uid="{00000000-0005-0000-0000-000077230000}"/>
    <cellStyle name="汇总 2 5 2 2 5 2" xfId="9041" xr:uid="{00000000-0005-0000-0000-000081230000}"/>
    <cellStyle name="汇总 2 5 2 2 6" xfId="9049" xr:uid="{00000000-0005-0000-0000-000089230000}"/>
    <cellStyle name="汇总 2 5 2 2 7" xfId="9067" xr:uid="{00000000-0005-0000-0000-00009B230000}"/>
    <cellStyle name="汇总 2 5 2 2 8" xfId="9079" xr:uid="{00000000-0005-0000-0000-0000A7230000}"/>
    <cellStyle name="汇总 2 5 2 2 9" xfId="7102" xr:uid="{00000000-0005-0000-0000-0000EE1B0000}"/>
    <cellStyle name="汇总 2 5 2 3" xfId="17653" xr:uid="{00000000-0005-0000-0000-000025450000}"/>
    <cellStyle name="汇总 2 5 2 3 2" xfId="17659" xr:uid="{00000000-0005-0000-0000-00002B450000}"/>
    <cellStyle name="汇总 2 5 2 3 2 2" xfId="17661" xr:uid="{00000000-0005-0000-0000-00002D450000}"/>
    <cellStyle name="汇总 2 5 2 3 3" xfId="17663" xr:uid="{00000000-0005-0000-0000-00002F450000}"/>
    <cellStyle name="汇总 2 5 2 3 3 2" xfId="17664" xr:uid="{00000000-0005-0000-0000-000030450000}"/>
    <cellStyle name="汇总 2 5 2 3 4" xfId="17666" xr:uid="{00000000-0005-0000-0000-000032450000}"/>
    <cellStyle name="汇总 2 5 2 3 4 2" xfId="17667" xr:uid="{00000000-0005-0000-0000-000033450000}"/>
    <cellStyle name="汇总 2 5 2 3 5" xfId="5841" xr:uid="{00000000-0005-0000-0000-000001170000}"/>
    <cellStyle name="汇总 2 5 2 3 5 2" xfId="9096" xr:uid="{00000000-0005-0000-0000-0000B8230000}"/>
    <cellStyle name="汇总 2 5 2 3 6" xfId="9102" xr:uid="{00000000-0005-0000-0000-0000BE230000}"/>
    <cellStyle name="汇总 2 5 2 4" xfId="17668" xr:uid="{00000000-0005-0000-0000-000034450000}"/>
    <cellStyle name="汇总 2 5 2 4 2" xfId="17673" xr:uid="{00000000-0005-0000-0000-000039450000}"/>
    <cellStyle name="汇总 2 5 2 4 2 2" xfId="17677" xr:uid="{00000000-0005-0000-0000-00003D450000}"/>
    <cellStyle name="汇总 2 5 2 4 3" xfId="17679" xr:uid="{00000000-0005-0000-0000-00003F450000}"/>
    <cellStyle name="汇总 2 5 2 4 3 2" xfId="17680" xr:uid="{00000000-0005-0000-0000-000040450000}"/>
    <cellStyle name="汇总 2 5 2 4 4" xfId="17682" xr:uid="{00000000-0005-0000-0000-000042450000}"/>
    <cellStyle name="汇总 2 5 2 4 4 2" xfId="17683" xr:uid="{00000000-0005-0000-0000-000043450000}"/>
    <cellStyle name="汇总 2 5 2 4 5" xfId="5872" xr:uid="{00000000-0005-0000-0000-000020170000}"/>
    <cellStyle name="汇总 2 5 2 4 5 2" xfId="8154" xr:uid="{00000000-0005-0000-0000-00000A200000}"/>
    <cellStyle name="汇总 2 5 2 4 6" xfId="9153" xr:uid="{00000000-0005-0000-0000-0000F1230000}"/>
    <cellStyle name="汇总 2 5 2 5" xfId="17685" xr:uid="{00000000-0005-0000-0000-000045450000}"/>
    <cellStyle name="汇总 2 5 2 5 2" xfId="17691" xr:uid="{00000000-0005-0000-0000-00004B450000}"/>
    <cellStyle name="汇总 2 5 2 5 2 2" xfId="17694" xr:uid="{00000000-0005-0000-0000-00004E450000}"/>
    <cellStyle name="汇总 2 5 2 5 3" xfId="17695" xr:uid="{00000000-0005-0000-0000-00004F450000}"/>
    <cellStyle name="汇总 2 5 2 5 3 2" xfId="17696" xr:uid="{00000000-0005-0000-0000-000050450000}"/>
    <cellStyle name="汇总 2 5 2 5 4" xfId="17697" xr:uid="{00000000-0005-0000-0000-000051450000}"/>
    <cellStyle name="汇总 2 5 2 5 4 2" xfId="17698" xr:uid="{00000000-0005-0000-0000-000052450000}"/>
    <cellStyle name="汇总 2 5 2 5 5" xfId="5901" xr:uid="{00000000-0005-0000-0000-00003D170000}"/>
    <cellStyle name="汇总 2 5 2 5 5 2" xfId="12784" xr:uid="{00000000-0005-0000-0000-000020320000}"/>
    <cellStyle name="汇总 2 5 2 5 6" xfId="12790" xr:uid="{00000000-0005-0000-0000-000026320000}"/>
    <cellStyle name="汇总 2 5 2 6" xfId="17699" xr:uid="{00000000-0005-0000-0000-000053450000}"/>
    <cellStyle name="汇总 2 5 2 6 2" xfId="13750" xr:uid="{00000000-0005-0000-0000-0000E6350000}"/>
    <cellStyle name="汇总 2 5 2 6 2 2" xfId="17706" xr:uid="{00000000-0005-0000-0000-00005A450000}"/>
    <cellStyle name="汇总 2 5 2 6 3" xfId="17709" xr:uid="{00000000-0005-0000-0000-00005D450000}"/>
    <cellStyle name="汇总 2 5 2 6 3 2" xfId="10897" xr:uid="{00000000-0005-0000-0000-0000C12A0000}"/>
    <cellStyle name="汇总 2 5 2 6 4" xfId="17713" xr:uid="{00000000-0005-0000-0000-000061450000}"/>
    <cellStyle name="汇总 2 5 2 6 4 2" xfId="17716" xr:uid="{00000000-0005-0000-0000-000064450000}"/>
    <cellStyle name="汇总 2 5 2 6 5" xfId="5948" xr:uid="{00000000-0005-0000-0000-00006C170000}"/>
    <cellStyle name="汇总 2 5 2 6 5 2" xfId="12820" xr:uid="{00000000-0005-0000-0000-000044320000}"/>
    <cellStyle name="汇总 2 5 2 6 6" xfId="12828" xr:uid="{00000000-0005-0000-0000-00004C320000}"/>
    <cellStyle name="汇总 2 5 2 7" xfId="17719" xr:uid="{00000000-0005-0000-0000-000067450000}"/>
    <cellStyle name="汇总 2 5 2 7 2" xfId="17728" xr:uid="{00000000-0005-0000-0000-000070450000}"/>
    <cellStyle name="汇总 2 5 2 7 2 2" xfId="17732" xr:uid="{00000000-0005-0000-0000-000074450000}"/>
    <cellStyle name="汇总 2 5 2 7 3" xfId="17734" xr:uid="{00000000-0005-0000-0000-000076450000}"/>
    <cellStyle name="汇总 2 5 2 7 3 2" xfId="15623" xr:uid="{00000000-0005-0000-0000-0000373D0000}"/>
    <cellStyle name="汇总 2 5 2 7 4" xfId="17737" xr:uid="{00000000-0005-0000-0000-000079450000}"/>
    <cellStyle name="汇总 2 5 2 7 4 2" xfId="17739" xr:uid="{00000000-0005-0000-0000-00007B450000}"/>
    <cellStyle name="汇总 2 5 2 7 5" xfId="10485" xr:uid="{00000000-0005-0000-0000-000025290000}"/>
    <cellStyle name="汇总 2 5 2 7 5 2" xfId="6246" xr:uid="{00000000-0005-0000-0000-000096180000}"/>
    <cellStyle name="汇总 2 5 2 7 6" xfId="17743" xr:uid="{00000000-0005-0000-0000-00007F450000}"/>
    <cellStyle name="汇总 2 5 2 8" xfId="17746" xr:uid="{00000000-0005-0000-0000-000082450000}"/>
    <cellStyle name="汇总 2 5 2 8 2" xfId="17752" xr:uid="{00000000-0005-0000-0000-000088450000}"/>
    <cellStyle name="汇总 2 5 2 8 2 2" xfId="17756" xr:uid="{00000000-0005-0000-0000-00008C450000}"/>
    <cellStyle name="汇总 2 5 2 8 3" xfId="17759" xr:uid="{00000000-0005-0000-0000-00008F450000}"/>
    <cellStyle name="汇总 2 5 2 8 3 2" xfId="17762" xr:uid="{00000000-0005-0000-0000-000092450000}"/>
    <cellStyle name="汇总 2 5 2 8 4" xfId="17765" xr:uid="{00000000-0005-0000-0000-000095450000}"/>
    <cellStyle name="汇总 2 5 2 8 4 2" xfId="17767" xr:uid="{00000000-0005-0000-0000-000097450000}"/>
    <cellStyle name="汇总 2 5 2 8 5" xfId="10504" xr:uid="{00000000-0005-0000-0000-000038290000}"/>
    <cellStyle name="汇总 2 5 2 9" xfId="13203" xr:uid="{00000000-0005-0000-0000-0000C3330000}"/>
    <cellStyle name="汇总 2 5 2 9 2" xfId="17770" xr:uid="{00000000-0005-0000-0000-00009A450000}"/>
    <cellStyle name="汇总 2 5 20" xfId="4296" xr:uid="{00000000-0005-0000-0000-0000F8100000}"/>
    <cellStyle name="汇总 2 5 20 2" xfId="1897" xr:uid="{00000000-0005-0000-0000-000099070000}"/>
    <cellStyle name="汇总 2 5 21" xfId="4308" xr:uid="{00000000-0005-0000-0000-000004110000}"/>
    <cellStyle name="汇总 2 5 21 2" xfId="17555" xr:uid="{00000000-0005-0000-0000-0000C3440000}"/>
    <cellStyle name="汇总 2 5 22" xfId="17571" xr:uid="{00000000-0005-0000-0000-0000D3440000}"/>
    <cellStyle name="汇总 2 5 22 2" xfId="17574" xr:uid="{00000000-0005-0000-0000-0000D6440000}"/>
    <cellStyle name="汇总 2 5 23" xfId="17594" xr:uid="{00000000-0005-0000-0000-0000EA440000}"/>
    <cellStyle name="汇总 2 5 23 2" xfId="2576" xr:uid="{00000000-0005-0000-0000-0000400A0000}"/>
    <cellStyle name="汇总 2 5 24" xfId="15391" xr:uid="{00000000-0005-0000-0000-00004F3C0000}"/>
    <cellStyle name="汇总 2 5 25" xfId="17774" xr:uid="{00000000-0005-0000-0000-00009E450000}"/>
    <cellStyle name="汇总 2 5 26" xfId="2615" xr:uid="{00000000-0005-0000-0000-0000670A0000}"/>
    <cellStyle name="汇总 2 5 27" xfId="17776" xr:uid="{00000000-0005-0000-0000-0000A0450000}"/>
    <cellStyle name="汇总 2 5 3" xfId="14529" xr:uid="{00000000-0005-0000-0000-0000F1380000}"/>
    <cellStyle name="汇总 2 5 3 10" xfId="17783" xr:uid="{00000000-0005-0000-0000-0000A7450000}"/>
    <cellStyle name="汇总 2 5 3 10 2" xfId="17784" xr:uid="{00000000-0005-0000-0000-0000A8450000}"/>
    <cellStyle name="汇总 2 5 3 11" xfId="17786" xr:uid="{00000000-0005-0000-0000-0000AA450000}"/>
    <cellStyle name="汇总 2 5 3 11 2" xfId="17788" xr:uid="{00000000-0005-0000-0000-0000AC450000}"/>
    <cellStyle name="汇总 2 5 3 12" xfId="17791" xr:uid="{00000000-0005-0000-0000-0000AF450000}"/>
    <cellStyle name="汇总 2 5 3 12 2" xfId="17794" xr:uid="{00000000-0005-0000-0000-0000B2450000}"/>
    <cellStyle name="汇总 2 5 3 13" xfId="17799" xr:uid="{00000000-0005-0000-0000-0000B7450000}"/>
    <cellStyle name="汇总 2 5 3 14" xfId="17805" xr:uid="{00000000-0005-0000-0000-0000BD450000}"/>
    <cellStyle name="汇总 2 5 3 15" xfId="7872" xr:uid="{00000000-0005-0000-0000-0000F01E0000}"/>
    <cellStyle name="汇总 2 5 3 16" xfId="7895" xr:uid="{00000000-0005-0000-0000-0000071F0000}"/>
    <cellStyle name="汇总 2 5 3 2" xfId="14535" xr:uid="{00000000-0005-0000-0000-0000F7380000}"/>
    <cellStyle name="汇总 2 5 3 2 2" xfId="17808" xr:uid="{00000000-0005-0000-0000-0000C0450000}"/>
    <cellStyle name="汇总 2 5 3 2 2 2" xfId="7169" xr:uid="{00000000-0005-0000-0000-0000311C0000}"/>
    <cellStyle name="汇总 2 5 3 2 3" xfId="17810" xr:uid="{00000000-0005-0000-0000-0000C2450000}"/>
    <cellStyle name="汇总 2 5 3 2 3 2" xfId="7223" xr:uid="{00000000-0005-0000-0000-0000671C0000}"/>
    <cellStyle name="汇总 2 5 3 2 4" xfId="17812" xr:uid="{00000000-0005-0000-0000-0000C4450000}"/>
    <cellStyle name="汇总 2 5 3 2 4 2" xfId="7265" xr:uid="{00000000-0005-0000-0000-0000911C0000}"/>
    <cellStyle name="汇总 2 5 3 2 5" xfId="324" xr:uid="{00000000-0005-0000-0000-000064010000}"/>
    <cellStyle name="汇总 2 5 3 2 5 2" xfId="7298" xr:uid="{00000000-0005-0000-0000-0000B21C0000}"/>
    <cellStyle name="汇总 2 5 3 2 6" xfId="17815" xr:uid="{00000000-0005-0000-0000-0000C7450000}"/>
    <cellStyle name="汇总 2 5 3 2 7" xfId="17817" xr:uid="{00000000-0005-0000-0000-0000C9450000}"/>
    <cellStyle name="汇总 2 5 3 2 8" xfId="9310" xr:uid="{00000000-0005-0000-0000-00008E240000}"/>
    <cellStyle name="汇总 2 5 3 2 9" xfId="17821" xr:uid="{00000000-0005-0000-0000-0000CD450000}"/>
    <cellStyle name="汇总 2 5 3 3" xfId="17822" xr:uid="{00000000-0005-0000-0000-0000CE450000}"/>
    <cellStyle name="汇总 2 5 3 3 2" xfId="17827" xr:uid="{00000000-0005-0000-0000-0000D3450000}"/>
    <cellStyle name="汇总 2 5 3 3 2 2" xfId="13643" xr:uid="{00000000-0005-0000-0000-00007B350000}"/>
    <cellStyle name="汇总 2 5 3 3 3" xfId="17829" xr:uid="{00000000-0005-0000-0000-0000D5450000}"/>
    <cellStyle name="汇总 2 5 3 3 3 2" xfId="17831" xr:uid="{00000000-0005-0000-0000-0000D7450000}"/>
    <cellStyle name="汇总 2 5 3 3 4" xfId="17833" xr:uid="{00000000-0005-0000-0000-0000D9450000}"/>
    <cellStyle name="汇总 2 5 3 3 4 2" xfId="17835" xr:uid="{00000000-0005-0000-0000-0000DB450000}"/>
    <cellStyle name="汇总 2 5 3 3 5" xfId="16193" xr:uid="{00000000-0005-0000-0000-0000713F0000}"/>
    <cellStyle name="汇总 2 5 3 3 5 2" xfId="17838" xr:uid="{00000000-0005-0000-0000-0000DE450000}"/>
    <cellStyle name="汇总 2 5 3 3 6" xfId="17840" xr:uid="{00000000-0005-0000-0000-0000E0450000}"/>
    <cellStyle name="汇总 2 5 3 4" xfId="17844" xr:uid="{00000000-0005-0000-0000-0000E4450000}"/>
    <cellStyle name="汇总 2 5 3 4 2" xfId="17846" xr:uid="{00000000-0005-0000-0000-0000E6450000}"/>
    <cellStyle name="汇总 2 5 3 4 2 2" xfId="17850" xr:uid="{00000000-0005-0000-0000-0000EA450000}"/>
    <cellStyle name="汇总 2 5 3 4 3" xfId="17852" xr:uid="{00000000-0005-0000-0000-0000EC450000}"/>
    <cellStyle name="汇总 2 5 3 4 3 2" xfId="17854" xr:uid="{00000000-0005-0000-0000-0000EE450000}"/>
    <cellStyle name="汇总 2 5 3 4 4" xfId="17857" xr:uid="{00000000-0005-0000-0000-0000F1450000}"/>
    <cellStyle name="汇总 2 5 3 4 4 2" xfId="17858" xr:uid="{00000000-0005-0000-0000-0000F2450000}"/>
    <cellStyle name="汇总 2 5 3 4 5" xfId="17861" xr:uid="{00000000-0005-0000-0000-0000F5450000}"/>
    <cellStyle name="汇总 2 5 3 4 5 2" xfId="17863" xr:uid="{00000000-0005-0000-0000-0000F7450000}"/>
    <cellStyle name="汇总 2 5 3 4 6" xfId="17865" xr:uid="{00000000-0005-0000-0000-0000F9450000}"/>
    <cellStyle name="汇总 2 5 3 5" xfId="17868" xr:uid="{00000000-0005-0000-0000-0000FC450000}"/>
    <cellStyle name="汇总 2 5 3 5 2" xfId="17265" xr:uid="{00000000-0005-0000-0000-0000A1430000}"/>
    <cellStyle name="汇总 2 5 3 5 2 2" xfId="17873" xr:uid="{00000000-0005-0000-0000-000001460000}"/>
    <cellStyle name="汇总 2 5 3 5 3" xfId="17268" xr:uid="{00000000-0005-0000-0000-0000A4430000}"/>
    <cellStyle name="汇总 2 5 3 5 3 2" xfId="17874" xr:uid="{00000000-0005-0000-0000-000002460000}"/>
    <cellStyle name="汇总 2 5 3 5 4" xfId="17271" xr:uid="{00000000-0005-0000-0000-0000A7430000}"/>
    <cellStyle name="汇总 2 5 3 5 4 2" xfId="17875" xr:uid="{00000000-0005-0000-0000-000003460000}"/>
    <cellStyle name="汇总 2 5 3 5 5" xfId="17877" xr:uid="{00000000-0005-0000-0000-000005460000}"/>
    <cellStyle name="汇总 2 5 3 5 5 2" xfId="13075" xr:uid="{00000000-0005-0000-0000-000043330000}"/>
    <cellStyle name="汇总 2 5 3 5 6" xfId="17879" xr:uid="{00000000-0005-0000-0000-000007460000}"/>
    <cellStyle name="汇总 2 5 3 6" xfId="17883" xr:uid="{00000000-0005-0000-0000-00000B460000}"/>
    <cellStyle name="汇总 2 5 3 6 2" xfId="115" xr:uid="{00000000-0005-0000-0000-00007D000000}"/>
    <cellStyle name="汇总 2 5 3 6 2 2" xfId="2287" xr:uid="{00000000-0005-0000-0000-00001F090000}"/>
    <cellStyle name="汇总 2 5 3 6 3" xfId="17887" xr:uid="{00000000-0005-0000-0000-00000F460000}"/>
    <cellStyle name="汇总 2 5 3 6 3 2" xfId="17894" xr:uid="{00000000-0005-0000-0000-000016460000}"/>
    <cellStyle name="汇总 2 5 3 6 4" xfId="17896" xr:uid="{00000000-0005-0000-0000-000018460000}"/>
    <cellStyle name="汇总 2 5 3 6 4 2" xfId="17898" xr:uid="{00000000-0005-0000-0000-00001A460000}"/>
    <cellStyle name="汇总 2 5 3 6 5" xfId="6052" xr:uid="{00000000-0005-0000-0000-0000D4170000}"/>
    <cellStyle name="汇总 2 5 3 6 5 2" xfId="13505" xr:uid="{00000000-0005-0000-0000-0000F1340000}"/>
    <cellStyle name="汇总 2 5 3 6 6" xfId="17903" xr:uid="{00000000-0005-0000-0000-00001F460000}"/>
    <cellStyle name="汇总 2 5 3 7" xfId="17911" xr:uid="{00000000-0005-0000-0000-000027460000}"/>
    <cellStyle name="汇总 2 5 3 7 2" xfId="17916" xr:uid="{00000000-0005-0000-0000-00002C460000}"/>
    <cellStyle name="汇总 2 5 3 7 2 2" xfId="3793" xr:uid="{00000000-0005-0000-0000-0000010F0000}"/>
    <cellStyle name="汇总 2 5 3 7 3" xfId="17919" xr:uid="{00000000-0005-0000-0000-00002F460000}"/>
    <cellStyle name="汇总 2 5 3 7 3 2" xfId="3874" xr:uid="{00000000-0005-0000-0000-0000520F0000}"/>
    <cellStyle name="汇总 2 5 3 7 4" xfId="17922" xr:uid="{00000000-0005-0000-0000-000032460000}"/>
    <cellStyle name="汇总 2 5 3 7 4 2" xfId="17520" xr:uid="{00000000-0005-0000-0000-0000A0440000}"/>
    <cellStyle name="汇总 2 5 3 7 5" xfId="10553" xr:uid="{00000000-0005-0000-0000-000069290000}"/>
    <cellStyle name="汇总 2 5 3 7 5 2" xfId="17538" xr:uid="{00000000-0005-0000-0000-0000B2440000}"/>
    <cellStyle name="汇总 2 5 3 7 6" xfId="17926" xr:uid="{00000000-0005-0000-0000-000036460000}"/>
    <cellStyle name="汇总 2 5 3 8" xfId="17929" xr:uid="{00000000-0005-0000-0000-000039460000}"/>
    <cellStyle name="汇总 2 5 3 8 2" xfId="17932" xr:uid="{00000000-0005-0000-0000-00003C460000}"/>
    <cellStyle name="汇总 2 5 3 8 2 2" xfId="4314" xr:uid="{00000000-0005-0000-0000-00000A110000}"/>
    <cellStyle name="汇总 2 5 3 8 3" xfId="17935" xr:uid="{00000000-0005-0000-0000-00003F460000}"/>
    <cellStyle name="汇总 2 5 3 8 3 2" xfId="4342" xr:uid="{00000000-0005-0000-0000-000026110000}"/>
    <cellStyle name="汇总 2 5 3 8 4" xfId="17938" xr:uid="{00000000-0005-0000-0000-000042460000}"/>
    <cellStyle name="汇总 2 5 3 8 4 2" xfId="17942" xr:uid="{00000000-0005-0000-0000-000046460000}"/>
    <cellStyle name="汇总 2 5 3 8 5" xfId="10573" xr:uid="{00000000-0005-0000-0000-00007D290000}"/>
    <cellStyle name="汇总 2 5 3 9" xfId="17944" xr:uid="{00000000-0005-0000-0000-000048460000}"/>
    <cellStyle name="汇总 2 5 3 9 2" xfId="17946" xr:uid="{00000000-0005-0000-0000-00004A460000}"/>
    <cellStyle name="汇总 2 5 4" xfId="14537" xr:uid="{00000000-0005-0000-0000-0000F9380000}"/>
    <cellStyle name="汇总 2 5 4 10" xfId="16379" xr:uid="{00000000-0005-0000-0000-00002B400000}"/>
    <cellStyle name="汇总 2 5 4 10 2" xfId="2858" xr:uid="{00000000-0005-0000-0000-00005A0B0000}"/>
    <cellStyle name="汇总 2 5 4 11" xfId="17948" xr:uid="{00000000-0005-0000-0000-00004C460000}"/>
    <cellStyle name="汇总 2 5 4 11 2" xfId="14328" xr:uid="{00000000-0005-0000-0000-000028380000}"/>
    <cellStyle name="汇总 2 5 4 12" xfId="13728" xr:uid="{00000000-0005-0000-0000-0000D0350000}"/>
    <cellStyle name="汇总 2 5 4 12 2" xfId="14345" xr:uid="{00000000-0005-0000-0000-000039380000}"/>
    <cellStyle name="汇总 2 5 4 13" xfId="11797" xr:uid="{00000000-0005-0000-0000-0000452E0000}"/>
    <cellStyle name="汇总 2 5 4 14" xfId="17957" xr:uid="{00000000-0005-0000-0000-000055460000}"/>
    <cellStyle name="汇总 2 5 4 15" xfId="17961" xr:uid="{00000000-0005-0000-0000-000059460000}"/>
    <cellStyle name="汇总 2 5 4 16" xfId="17964" xr:uid="{00000000-0005-0000-0000-00005C460000}"/>
    <cellStyle name="汇总 2 5 4 2" xfId="14547" xr:uid="{00000000-0005-0000-0000-000003390000}"/>
    <cellStyle name="汇总 2 5 4 2 2" xfId="17966" xr:uid="{00000000-0005-0000-0000-00005E460000}"/>
    <cellStyle name="汇总 2 5 4 2 2 2" xfId="15209" xr:uid="{00000000-0005-0000-0000-0000993B0000}"/>
    <cellStyle name="汇总 2 5 4 2 3" xfId="8734" xr:uid="{00000000-0005-0000-0000-00004E220000}"/>
    <cellStyle name="汇总 2 5 4 2 3 2" xfId="17970" xr:uid="{00000000-0005-0000-0000-000062460000}"/>
    <cellStyle name="汇总 2 5 4 2 4" xfId="17972" xr:uid="{00000000-0005-0000-0000-000064460000}"/>
    <cellStyle name="汇总 2 5 4 2 4 2" xfId="17975" xr:uid="{00000000-0005-0000-0000-000067460000}"/>
    <cellStyle name="汇总 2 5 4 2 5" xfId="16219" xr:uid="{00000000-0005-0000-0000-00008B3F0000}"/>
    <cellStyle name="汇总 2 5 4 2 5 2" xfId="17977" xr:uid="{00000000-0005-0000-0000-000069460000}"/>
    <cellStyle name="汇总 2 5 4 2 6" xfId="17980" xr:uid="{00000000-0005-0000-0000-00006C460000}"/>
    <cellStyle name="汇总 2 5 4 2 7" xfId="17982" xr:uid="{00000000-0005-0000-0000-00006E460000}"/>
    <cellStyle name="汇总 2 5 4 2 8" xfId="11613" xr:uid="{00000000-0005-0000-0000-00008D2D0000}"/>
    <cellStyle name="汇总 2 5 4 2 9" xfId="6155" xr:uid="{00000000-0005-0000-0000-00003B180000}"/>
    <cellStyle name="汇总 2 5 4 3" xfId="17983" xr:uid="{00000000-0005-0000-0000-00006F460000}"/>
    <cellStyle name="汇总 2 5 4 3 2" xfId="17989" xr:uid="{00000000-0005-0000-0000-000075460000}"/>
    <cellStyle name="汇总 2 5 4 3 2 2" xfId="15424" xr:uid="{00000000-0005-0000-0000-0000703C0000}"/>
    <cellStyle name="汇总 2 5 4 3 3" xfId="17991" xr:uid="{00000000-0005-0000-0000-000077460000}"/>
    <cellStyle name="汇总 2 5 4 3 3 2" xfId="17993" xr:uid="{00000000-0005-0000-0000-000079460000}"/>
    <cellStyle name="汇总 2 5 4 3 4" xfId="17995" xr:uid="{00000000-0005-0000-0000-00007B460000}"/>
    <cellStyle name="汇总 2 5 4 3 4 2" xfId="17997" xr:uid="{00000000-0005-0000-0000-00007D460000}"/>
    <cellStyle name="汇总 2 5 4 3 5" xfId="16222" xr:uid="{00000000-0005-0000-0000-00008E3F0000}"/>
    <cellStyle name="汇总 2 5 4 3 5 2" xfId="18000" xr:uid="{00000000-0005-0000-0000-000080460000}"/>
    <cellStyle name="汇总 2 5 4 3 6" xfId="18002" xr:uid="{00000000-0005-0000-0000-000082460000}"/>
    <cellStyle name="汇总 2 5 4 4" xfId="18006" xr:uid="{00000000-0005-0000-0000-000086460000}"/>
    <cellStyle name="汇总 2 5 4 4 2" xfId="18009" xr:uid="{00000000-0005-0000-0000-000089460000}"/>
    <cellStyle name="汇总 2 5 4 4 2 2" xfId="18014" xr:uid="{00000000-0005-0000-0000-00008E460000}"/>
    <cellStyle name="汇总 2 5 4 4 3" xfId="18017" xr:uid="{00000000-0005-0000-0000-000091460000}"/>
    <cellStyle name="汇总 2 5 4 4 3 2" xfId="18019" xr:uid="{00000000-0005-0000-0000-000093460000}"/>
    <cellStyle name="汇总 2 5 4 4 4" xfId="18027" xr:uid="{00000000-0005-0000-0000-00009B460000}"/>
    <cellStyle name="汇总 2 5 4 4 4 2" xfId="18029" xr:uid="{00000000-0005-0000-0000-00009D460000}"/>
    <cellStyle name="汇总 2 5 4 4 5" xfId="18036" xr:uid="{00000000-0005-0000-0000-0000A4460000}"/>
    <cellStyle name="汇总 2 5 4 4 5 2" xfId="18041" xr:uid="{00000000-0005-0000-0000-0000A9460000}"/>
    <cellStyle name="汇总 2 5 4 4 6" xfId="18047" xr:uid="{00000000-0005-0000-0000-0000AF460000}"/>
    <cellStyle name="汇总 2 5 4 5" xfId="18050" xr:uid="{00000000-0005-0000-0000-0000B2460000}"/>
    <cellStyle name="汇总 2 5 4 5 2" xfId="18055" xr:uid="{00000000-0005-0000-0000-0000B7460000}"/>
    <cellStyle name="汇总 2 5 4 5 2 2" xfId="18059" xr:uid="{00000000-0005-0000-0000-0000BB460000}"/>
    <cellStyle name="汇总 2 5 4 5 3" xfId="18061" xr:uid="{00000000-0005-0000-0000-0000BD460000}"/>
    <cellStyle name="汇总 2 5 4 5 3 2" xfId="18063" xr:uid="{00000000-0005-0000-0000-0000BF460000}"/>
    <cellStyle name="汇总 2 5 4 5 4" xfId="18065" xr:uid="{00000000-0005-0000-0000-0000C1460000}"/>
    <cellStyle name="汇总 2 5 4 5 4 2" xfId="18067" xr:uid="{00000000-0005-0000-0000-0000C3460000}"/>
    <cellStyle name="汇总 2 5 4 5 5" xfId="18070" xr:uid="{00000000-0005-0000-0000-0000C6460000}"/>
    <cellStyle name="汇总 2 5 4 5 5 2" xfId="18076" xr:uid="{00000000-0005-0000-0000-0000CC460000}"/>
    <cellStyle name="汇总 2 5 4 5 6" xfId="18079" xr:uid="{00000000-0005-0000-0000-0000CF460000}"/>
    <cellStyle name="汇总 2 5 4 6" xfId="18083" xr:uid="{00000000-0005-0000-0000-0000D3460000}"/>
    <cellStyle name="汇总 2 5 4 6 2" xfId="18092" xr:uid="{00000000-0005-0000-0000-0000DC460000}"/>
    <cellStyle name="汇总 2 5 4 6 2 2" xfId="18101" xr:uid="{00000000-0005-0000-0000-0000E5460000}"/>
    <cellStyle name="汇总 2 5 4 6 3" xfId="18105" xr:uid="{00000000-0005-0000-0000-0000E9460000}"/>
    <cellStyle name="汇总 2 5 4 6 3 2" xfId="18108" xr:uid="{00000000-0005-0000-0000-0000EC460000}"/>
    <cellStyle name="汇总 2 5 4 6 4" xfId="18111" xr:uid="{00000000-0005-0000-0000-0000EF460000}"/>
    <cellStyle name="汇总 2 5 4 6 4 2" xfId="18114" xr:uid="{00000000-0005-0000-0000-0000F2460000}"/>
    <cellStyle name="汇总 2 5 4 6 5" xfId="6095" xr:uid="{00000000-0005-0000-0000-0000FF170000}"/>
    <cellStyle name="汇总 2 5 4 6 5 2" xfId="18119" xr:uid="{00000000-0005-0000-0000-0000F7460000}"/>
    <cellStyle name="汇总 2 5 4 6 6" xfId="18122" xr:uid="{00000000-0005-0000-0000-0000FA460000}"/>
    <cellStyle name="汇总 2 5 4 7" xfId="18129" xr:uid="{00000000-0005-0000-0000-000001470000}"/>
    <cellStyle name="汇总 2 5 4 7 2" xfId="18139" xr:uid="{00000000-0005-0000-0000-00000B470000}"/>
    <cellStyle name="汇总 2 5 4 7 2 2" xfId="7596" xr:uid="{00000000-0005-0000-0000-0000DC1D0000}"/>
    <cellStyle name="汇总 2 5 4 7 3" xfId="18147" xr:uid="{00000000-0005-0000-0000-000013470000}"/>
    <cellStyle name="汇总 2 5 4 7 3 2" xfId="7679" xr:uid="{00000000-0005-0000-0000-00002F1E0000}"/>
    <cellStyle name="汇总 2 5 4 7 4" xfId="18153" xr:uid="{00000000-0005-0000-0000-000019470000}"/>
    <cellStyle name="汇总 2 5 4 7 4 2" xfId="18160" xr:uid="{00000000-0005-0000-0000-000020470000}"/>
    <cellStyle name="汇总 2 5 4 7 5" xfId="10609" xr:uid="{00000000-0005-0000-0000-0000A1290000}"/>
    <cellStyle name="汇总 2 5 4 7 5 2" xfId="18165" xr:uid="{00000000-0005-0000-0000-000025470000}"/>
    <cellStyle name="汇总 2 5 4 7 6" xfId="18168" xr:uid="{00000000-0005-0000-0000-000028470000}"/>
    <cellStyle name="汇总 2 5 4 8" xfId="15641" xr:uid="{00000000-0005-0000-0000-0000493D0000}"/>
    <cellStyle name="汇总 2 5 4 8 2" xfId="18176" xr:uid="{00000000-0005-0000-0000-000030470000}"/>
    <cellStyle name="汇总 2 5 4 8 2 2" xfId="3422" xr:uid="{00000000-0005-0000-0000-00008E0D0000}"/>
    <cellStyle name="汇总 2 5 4 8 3" xfId="18184" xr:uid="{00000000-0005-0000-0000-000038470000}"/>
    <cellStyle name="汇总 2 5 4 8 3 2" xfId="3472" xr:uid="{00000000-0005-0000-0000-0000C00D0000}"/>
    <cellStyle name="汇总 2 5 4 8 4" xfId="18188" xr:uid="{00000000-0005-0000-0000-00003C470000}"/>
    <cellStyle name="汇总 2 5 4 8 4 2" xfId="18194" xr:uid="{00000000-0005-0000-0000-000042470000}"/>
    <cellStyle name="汇总 2 5 4 8 5" xfId="10627" xr:uid="{00000000-0005-0000-0000-0000B3290000}"/>
    <cellStyle name="汇总 2 5 4 9" xfId="18197" xr:uid="{00000000-0005-0000-0000-000045470000}"/>
    <cellStyle name="汇总 2 5 4 9 2" xfId="18201" xr:uid="{00000000-0005-0000-0000-000049470000}"/>
    <cellStyle name="汇总 2 5 5" xfId="14552" xr:uid="{00000000-0005-0000-0000-000008390000}"/>
    <cellStyle name="汇总 2 5 5 10" xfId="6466" xr:uid="{00000000-0005-0000-0000-000072190000}"/>
    <cellStyle name="汇总 2 5 5 10 2" xfId="15083" xr:uid="{00000000-0005-0000-0000-00001B3B0000}"/>
    <cellStyle name="汇总 2 5 5 11" xfId="1448" xr:uid="{00000000-0005-0000-0000-0000D8050000}"/>
    <cellStyle name="汇总 2 5 5 11 2" xfId="15105" xr:uid="{00000000-0005-0000-0000-0000313B0000}"/>
    <cellStyle name="汇总 2 5 5 12" xfId="17705" xr:uid="{00000000-0005-0000-0000-000059450000}"/>
    <cellStyle name="汇总 2 5 5 12 2" xfId="15123" xr:uid="{00000000-0005-0000-0000-0000433B0000}"/>
    <cellStyle name="汇总 2 5 5 13" xfId="18203" xr:uid="{00000000-0005-0000-0000-00004B470000}"/>
    <cellStyle name="汇总 2 5 5 14" xfId="18206" xr:uid="{00000000-0005-0000-0000-00004E470000}"/>
    <cellStyle name="汇总 2 5 5 15" xfId="15137" xr:uid="{00000000-0005-0000-0000-0000513B0000}"/>
    <cellStyle name="汇总 2 5 5 16" xfId="17967" xr:uid="{00000000-0005-0000-0000-00005F460000}"/>
    <cellStyle name="汇总 2 5 5 2" xfId="2" xr:uid="{00000000-0005-0000-0000-000002000000}"/>
    <cellStyle name="汇总 2 5 5 2 2" xfId="18208" xr:uid="{00000000-0005-0000-0000-000050470000}"/>
    <cellStyle name="汇总 2 5 5 2 2 2" xfId="17028" xr:uid="{00000000-0005-0000-0000-0000B4420000}"/>
    <cellStyle name="汇总 2 5 5 2 3" xfId="184" xr:uid="{00000000-0005-0000-0000-0000C7000000}"/>
    <cellStyle name="汇总 2 5 5 2 3 2" xfId="18211" xr:uid="{00000000-0005-0000-0000-000053470000}"/>
    <cellStyle name="汇总 2 5 5 2 4" xfId="18213" xr:uid="{00000000-0005-0000-0000-000055470000}"/>
    <cellStyle name="汇总 2 5 5 2 4 2" xfId="18217" xr:uid="{00000000-0005-0000-0000-000059470000}"/>
    <cellStyle name="汇总 2 5 5 2 5" xfId="16241" xr:uid="{00000000-0005-0000-0000-0000A13F0000}"/>
    <cellStyle name="汇总 2 5 5 2 5 2" xfId="18219" xr:uid="{00000000-0005-0000-0000-00005B470000}"/>
    <cellStyle name="汇总 2 5 5 2 6" xfId="18222" xr:uid="{00000000-0005-0000-0000-00005E470000}"/>
    <cellStyle name="汇总 2 5 5 2 7" xfId="18224" xr:uid="{00000000-0005-0000-0000-000060470000}"/>
    <cellStyle name="汇总 2 5 5 2 8" xfId="11645" xr:uid="{00000000-0005-0000-0000-0000AD2D0000}"/>
    <cellStyle name="汇总 2 5 5 2 9" xfId="18229" xr:uid="{00000000-0005-0000-0000-000065470000}"/>
    <cellStyle name="汇总 2 5 5 3" xfId="18230" xr:uid="{00000000-0005-0000-0000-000066470000}"/>
    <cellStyle name="汇总 2 5 5 3 2" xfId="18239" xr:uid="{00000000-0005-0000-0000-00006F470000}"/>
    <cellStyle name="汇总 2 5 5 3 2 2" xfId="17248" xr:uid="{00000000-0005-0000-0000-000090430000}"/>
    <cellStyle name="汇总 2 5 5 3 3" xfId="18243" xr:uid="{00000000-0005-0000-0000-000073470000}"/>
    <cellStyle name="汇总 2 5 5 3 3 2" xfId="18249" xr:uid="{00000000-0005-0000-0000-000079470000}"/>
    <cellStyle name="汇总 2 5 5 3 4" xfId="18253" xr:uid="{00000000-0005-0000-0000-00007D470000}"/>
    <cellStyle name="汇总 2 5 5 3 4 2" xfId="18257" xr:uid="{00000000-0005-0000-0000-000081470000}"/>
    <cellStyle name="汇总 2 5 5 3 5" xfId="16250" xr:uid="{00000000-0005-0000-0000-0000AA3F0000}"/>
    <cellStyle name="汇总 2 5 5 3 5 2" xfId="18263" xr:uid="{00000000-0005-0000-0000-000087470000}"/>
    <cellStyle name="汇总 2 5 5 3 6" xfId="18267" xr:uid="{00000000-0005-0000-0000-00008B470000}"/>
    <cellStyle name="汇总 2 5 5 4" xfId="18271" xr:uid="{00000000-0005-0000-0000-00008F470000}"/>
    <cellStyle name="汇总 2 5 5 4 2" xfId="18277" xr:uid="{00000000-0005-0000-0000-000095470000}"/>
    <cellStyle name="汇总 2 5 5 4 2 2" xfId="18284" xr:uid="{00000000-0005-0000-0000-00009C470000}"/>
    <cellStyle name="汇总 2 5 5 4 3" xfId="18290" xr:uid="{00000000-0005-0000-0000-0000A2470000}"/>
    <cellStyle name="汇总 2 5 5 4 3 2" xfId="16054" xr:uid="{00000000-0005-0000-0000-0000E63E0000}"/>
    <cellStyle name="汇总 2 5 5 4 4" xfId="18294" xr:uid="{00000000-0005-0000-0000-0000A6470000}"/>
    <cellStyle name="汇总 2 5 5 4 4 2" xfId="7745" xr:uid="{00000000-0005-0000-0000-0000711E0000}"/>
    <cellStyle name="汇总 2 5 5 4 5" xfId="18301" xr:uid="{00000000-0005-0000-0000-0000AD470000}"/>
    <cellStyle name="汇总 2 5 5 4 5 2" xfId="18309" xr:uid="{00000000-0005-0000-0000-0000B5470000}"/>
    <cellStyle name="汇总 2 5 5 4 6" xfId="18312" xr:uid="{00000000-0005-0000-0000-0000B8470000}"/>
    <cellStyle name="汇总 2 5 5 5" xfId="18314" xr:uid="{00000000-0005-0000-0000-0000BA470000}"/>
    <cellStyle name="汇总 2 5 5 5 2" xfId="18321" xr:uid="{00000000-0005-0000-0000-0000C1470000}"/>
    <cellStyle name="汇总 2 5 5 5 2 2" xfId="18327" xr:uid="{00000000-0005-0000-0000-0000C7470000}"/>
    <cellStyle name="汇总 2 5 5 5 3" xfId="18333" xr:uid="{00000000-0005-0000-0000-0000CD470000}"/>
    <cellStyle name="汇总 2 5 5 5 3 2" xfId="16738" xr:uid="{00000000-0005-0000-0000-000092410000}"/>
    <cellStyle name="汇总 2 5 5 5 4" xfId="18336" xr:uid="{00000000-0005-0000-0000-0000D0470000}"/>
    <cellStyle name="汇总 2 5 5 5 4 2" xfId="8840" xr:uid="{00000000-0005-0000-0000-0000B8220000}"/>
    <cellStyle name="汇总 2 5 5 5 5" xfId="18342" xr:uid="{00000000-0005-0000-0000-0000D6470000}"/>
    <cellStyle name="汇总 2 5 5 5 5 2" xfId="18349" xr:uid="{00000000-0005-0000-0000-0000DD470000}"/>
    <cellStyle name="汇总 2 5 5 5 6" xfId="18352" xr:uid="{00000000-0005-0000-0000-0000E0470000}"/>
    <cellStyle name="汇总 2 5 5 6" xfId="18357" xr:uid="{00000000-0005-0000-0000-0000E5470000}"/>
    <cellStyle name="汇总 2 5 5 6 2" xfId="18370" xr:uid="{00000000-0005-0000-0000-0000F2470000}"/>
    <cellStyle name="汇总 2 5 5 6 2 2" xfId="18378" xr:uid="{00000000-0005-0000-0000-0000FA470000}"/>
    <cellStyle name="汇总 2 5 5 6 3" xfId="18386" xr:uid="{00000000-0005-0000-0000-000002480000}"/>
    <cellStyle name="汇总 2 5 5 6 3 2" xfId="18392" xr:uid="{00000000-0005-0000-0000-000008480000}"/>
    <cellStyle name="汇总 2 5 5 6 4" xfId="18395" xr:uid="{00000000-0005-0000-0000-00000B480000}"/>
    <cellStyle name="汇总 2 5 5 6 4 2" xfId="18401" xr:uid="{00000000-0005-0000-0000-000011480000}"/>
    <cellStyle name="汇总 2 5 5 6 5" xfId="10654" xr:uid="{00000000-0005-0000-0000-0000CE290000}"/>
    <cellStyle name="汇总 2 5 5 6 5 2" xfId="18408" xr:uid="{00000000-0005-0000-0000-000018480000}"/>
    <cellStyle name="汇总 2 5 5 6 6" xfId="18412" xr:uid="{00000000-0005-0000-0000-00001C480000}"/>
    <cellStyle name="汇总 2 5 5 7" xfId="18418" xr:uid="{00000000-0005-0000-0000-000022480000}"/>
    <cellStyle name="汇总 2 5 5 7 2" xfId="18432" xr:uid="{00000000-0005-0000-0000-000030480000}"/>
    <cellStyle name="汇总 2 5 5 7 2 2" xfId="393" xr:uid="{00000000-0005-0000-0000-0000AF010000}"/>
    <cellStyle name="汇总 2 5 5 7 3" xfId="18442" xr:uid="{00000000-0005-0000-0000-00003A480000}"/>
    <cellStyle name="汇总 2 5 5 7 3 2" xfId="9808" xr:uid="{00000000-0005-0000-0000-000080260000}"/>
    <cellStyle name="汇总 2 5 5 7 4" xfId="18447" xr:uid="{00000000-0005-0000-0000-00003F480000}"/>
    <cellStyle name="汇总 2 5 5 7 4 2" xfId="18454" xr:uid="{00000000-0005-0000-0000-000046480000}"/>
    <cellStyle name="汇总 2 5 5 7 5" xfId="10671" xr:uid="{00000000-0005-0000-0000-0000DF290000}"/>
    <cellStyle name="汇总 2 5 5 7 5 2" xfId="18460" xr:uid="{00000000-0005-0000-0000-00004C480000}"/>
    <cellStyle name="汇总 2 5 5 7 6" xfId="18463" xr:uid="{00000000-0005-0000-0000-00004F480000}"/>
    <cellStyle name="汇总 2 5 5 8" xfId="15650" xr:uid="{00000000-0005-0000-0000-0000523D0000}"/>
    <cellStyle name="汇总 2 5 5 8 2" xfId="18476" xr:uid="{00000000-0005-0000-0000-00005C480000}"/>
    <cellStyle name="汇总 2 5 5 8 2 2" xfId="10085" xr:uid="{00000000-0005-0000-0000-000095270000}"/>
    <cellStyle name="汇总 2 5 5 8 3" xfId="18487" xr:uid="{00000000-0005-0000-0000-000067480000}"/>
    <cellStyle name="汇总 2 5 5 8 3 2" xfId="10136" xr:uid="{00000000-0005-0000-0000-0000C8270000}"/>
    <cellStyle name="汇总 2 5 5 8 4" xfId="18492" xr:uid="{00000000-0005-0000-0000-00006C480000}"/>
    <cellStyle name="汇总 2 5 5 8 4 2" xfId="18499" xr:uid="{00000000-0005-0000-0000-000073480000}"/>
    <cellStyle name="汇总 2 5 5 8 5" xfId="10691" xr:uid="{00000000-0005-0000-0000-0000F3290000}"/>
    <cellStyle name="汇总 2 5 5 9" xfId="3711" xr:uid="{00000000-0005-0000-0000-0000AF0E0000}"/>
    <cellStyle name="汇总 2 5 5 9 2" xfId="18509" xr:uid="{00000000-0005-0000-0000-00007D480000}"/>
    <cellStyle name="汇总 2 5 6" xfId="18514" xr:uid="{00000000-0005-0000-0000-000082480000}"/>
    <cellStyle name="汇总 2 5 6 10" xfId="10518" xr:uid="{00000000-0005-0000-0000-000046290000}"/>
    <cellStyle name="汇总 2 5 6 10 2" xfId="18516" xr:uid="{00000000-0005-0000-0000-000084480000}"/>
    <cellStyle name="汇总 2 5 6 11" xfId="10525" xr:uid="{00000000-0005-0000-0000-00004D290000}"/>
    <cellStyle name="汇总 2 5 6 11 2" xfId="17397" xr:uid="{00000000-0005-0000-0000-000025440000}"/>
    <cellStyle name="汇总 2 5 6 12" xfId="10531" xr:uid="{00000000-0005-0000-0000-000053290000}"/>
    <cellStyle name="汇总 2 5 6 12 2" xfId="7367" xr:uid="{00000000-0005-0000-0000-0000F71C0000}"/>
    <cellStyle name="汇总 2 5 6 13" xfId="10541" xr:uid="{00000000-0005-0000-0000-00005D290000}"/>
    <cellStyle name="汇总 2 5 6 14" xfId="16026" xr:uid="{00000000-0005-0000-0000-0000CA3E0000}"/>
    <cellStyle name="汇总 2 5 6 15" xfId="17404" xr:uid="{00000000-0005-0000-0000-00002C440000}"/>
    <cellStyle name="汇总 2 5 6 16" xfId="18140" xr:uid="{00000000-0005-0000-0000-00000C470000}"/>
    <cellStyle name="汇总 2 5 6 2" xfId="18519" xr:uid="{00000000-0005-0000-0000-000087480000}"/>
    <cellStyle name="汇总 2 5 6 2 2" xfId="18521" xr:uid="{00000000-0005-0000-0000-000089480000}"/>
    <cellStyle name="汇总 2 5 6 2 2 2" xfId="18525" xr:uid="{00000000-0005-0000-0000-00008D480000}"/>
    <cellStyle name="汇总 2 5 6 2 3" xfId="8774" xr:uid="{00000000-0005-0000-0000-000076220000}"/>
    <cellStyle name="汇总 2 5 6 2 3 2" xfId="18527" xr:uid="{00000000-0005-0000-0000-00008F480000}"/>
    <cellStyle name="汇总 2 5 6 2 4" xfId="18530" xr:uid="{00000000-0005-0000-0000-000092480000}"/>
    <cellStyle name="汇总 2 5 6 2 4 2" xfId="18533" xr:uid="{00000000-0005-0000-0000-000095480000}"/>
    <cellStyle name="汇总 2 5 6 2 5" xfId="16274" xr:uid="{00000000-0005-0000-0000-0000C23F0000}"/>
    <cellStyle name="汇总 2 5 6 2 5 2" xfId="18536" xr:uid="{00000000-0005-0000-0000-000098480000}"/>
    <cellStyle name="汇总 2 5 6 2 6" xfId="18540" xr:uid="{00000000-0005-0000-0000-00009C480000}"/>
    <cellStyle name="汇总 2 5 6 2 7" xfId="18542" xr:uid="{00000000-0005-0000-0000-00009E480000}"/>
    <cellStyle name="汇总 2 5 6 2 8" xfId="11689" xr:uid="{00000000-0005-0000-0000-0000D92D0000}"/>
    <cellStyle name="汇总 2 5 6 2 9" xfId="18550" xr:uid="{00000000-0005-0000-0000-0000A6480000}"/>
    <cellStyle name="汇总 2 5 6 3" xfId="18552" xr:uid="{00000000-0005-0000-0000-0000A8480000}"/>
    <cellStyle name="汇总 2 5 6 3 2" xfId="18557" xr:uid="{00000000-0005-0000-0000-0000AD480000}"/>
    <cellStyle name="汇总 2 5 6 3 2 2" xfId="18565" xr:uid="{00000000-0005-0000-0000-0000B5480000}"/>
    <cellStyle name="汇总 2 5 6 3 3" xfId="13659" xr:uid="{00000000-0005-0000-0000-00008B350000}"/>
    <cellStyle name="汇总 2 5 6 3 3 2" xfId="13663" xr:uid="{00000000-0005-0000-0000-00008F350000}"/>
    <cellStyle name="汇总 2 5 6 3 4" xfId="13669" xr:uid="{00000000-0005-0000-0000-000095350000}"/>
    <cellStyle name="汇总 2 5 6 3 4 2" xfId="13675" xr:uid="{00000000-0005-0000-0000-00009B350000}"/>
    <cellStyle name="汇总 2 5 6 3 5" xfId="13683" xr:uid="{00000000-0005-0000-0000-0000A3350000}"/>
    <cellStyle name="汇总 2 5 6 3 5 2" xfId="13691" xr:uid="{00000000-0005-0000-0000-0000AB350000}"/>
    <cellStyle name="汇总 2 5 6 3 6" xfId="13697" xr:uid="{00000000-0005-0000-0000-0000B1350000}"/>
    <cellStyle name="汇总 2 5 6 4" xfId="18569" xr:uid="{00000000-0005-0000-0000-0000B9480000}"/>
    <cellStyle name="汇总 2 5 6 4 2" xfId="18571" xr:uid="{00000000-0005-0000-0000-0000BB480000}"/>
    <cellStyle name="汇总 2 5 6 4 2 2" xfId="18581" xr:uid="{00000000-0005-0000-0000-0000C5480000}"/>
    <cellStyle name="汇总 2 5 6 4 3" xfId="18585" xr:uid="{00000000-0005-0000-0000-0000C9480000}"/>
    <cellStyle name="汇总 2 5 6 4 3 2" xfId="18592" xr:uid="{00000000-0005-0000-0000-0000D0480000}"/>
    <cellStyle name="汇总 2 5 6 4 4" xfId="18598" xr:uid="{00000000-0005-0000-0000-0000D6480000}"/>
    <cellStyle name="汇总 2 5 6 4 4 2" xfId="18604" xr:uid="{00000000-0005-0000-0000-0000DC480000}"/>
    <cellStyle name="汇总 2 5 6 4 5" xfId="18610" xr:uid="{00000000-0005-0000-0000-0000E2480000}"/>
    <cellStyle name="汇总 2 5 6 4 5 2" xfId="18618" xr:uid="{00000000-0005-0000-0000-0000EA480000}"/>
    <cellStyle name="汇总 2 5 6 4 6" xfId="18624" xr:uid="{00000000-0005-0000-0000-0000F0480000}"/>
    <cellStyle name="汇总 2 5 6 5" xfId="18626" xr:uid="{00000000-0005-0000-0000-0000F2480000}"/>
    <cellStyle name="汇总 2 5 6 5 2" xfId="18630" xr:uid="{00000000-0005-0000-0000-0000F6480000}"/>
    <cellStyle name="汇总 2 5 6 5 2 2" xfId="18639" xr:uid="{00000000-0005-0000-0000-0000FF480000}"/>
    <cellStyle name="汇总 2 5 6 5 3" xfId="18643" xr:uid="{00000000-0005-0000-0000-000003490000}"/>
    <cellStyle name="汇总 2 5 6 5 3 2" xfId="18649" xr:uid="{00000000-0005-0000-0000-000009490000}"/>
    <cellStyle name="汇总 2 5 6 5 4" xfId="18655" xr:uid="{00000000-0005-0000-0000-00000F490000}"/>
    <cellStyle name="汇总 2 5 6 5 4 2" xfId="18661" xr:uid="{00000000-0005-0000-0000-000015490000}"/>
    <cellStyle name="汇总 2 5 6 5 5" xfId="18667" xr:uid="{00000000-0005-0000-0000-00001B490000}"/>
    <cellStyle name="汇总 2 5 6 5 5 2" xfId="18674" xr:uid="{00000000-0005-0000-0000-000022490000}"/>
    <cellStyle name="汇总 2 5 6 5 6" xfId="18680" xr:uid="{00000000-0005-0000-0000-000028490000}"/>
    <cellStyle name="汇总 2 5 6 6" xfId="18685" xr:uid="{00000000-0005-0000-0000-00002D490000}"/>
    <cellStyle name="汇总 2 5 6 6 2" xfId="18691" xr:uid="{00000000-0005-0000-0000-000033490000}"/>
    <cellStyle name="汇总 2 5 6 6 2 2" xfId="18699" xr:uid="{00000000-0005-0000-0000-00003B490000}"/>
    <cellStyle name="汇总 2 5 6 6 3" xfId="18710" xr:uid="{00000000-0005-0000-0000-000046490000}"/>
    <cellStyle name="汇总 2 5 6 6 3 2" xfId="18713" xr:uid="{00000000-0005-0000-0000-000049490000}"/>
    <cellStyle name="汇总 2 5 6 6 4" xfId="18720" xr:uid="{00000000-0005-0000-0000-000050490000}"/>
    <cellStyle name="汇总 2 5 6 6 4 2" xfId="18726" xr:uid="{00000000-0005-0000-0000-000056490000}"/>
    <cellStyle name="汇总 2 5 6 6 5" xfId="10727" xr:uid="{00000000-0005-0000-0000-0000172A0000}"/>
    <cellStyle name="汇总 2 5 6 6 5 2" xfId="18734" xr:uid="{00000000-0005-0000-0000-00005E490000}"/>
    <cellStyle name="汇总 2 5 6 6 6" xfId="18740" xr:uid="{00000000-0005-0000-0000-000064490000}"/>
    <cellStyle name="汇总 2 5 6 7" xfId="18743" xr:uid="{00000000-0005-0000-0000-000067490000}"/>
    <cellStyle name="汇总 2 5 6 7 2" xfId="18749" xr:uid="{00000000-0005-0000-0000-00006D490000}"/>
    <cellStyle name="汇总 2 5 6 7 2 2" xfId="18756" xr:uid="{00000000-0005-0000-0000-000074490000}"/>
    <cellStyle name="汇总 2 5 6 7 3" xfId="18762" xr:uid="{00000000-0005-0000-0000-00007A490000}"/>
    <cellStyle name="汇总 2 5 6 7 3 2" xfId="18768" xr:uid="{00000000-0005-0000-0000-000080490000}"/>
    <cellStyle name="汇总 2 5 6 7 4" xfId="18772" xr:uid="{00000000-0005-0000-0000-000084490000}"/>
    <cellStyle name="汇总 2 5 6 7 4 2" xfId="18781" xr:uid="{00000000-0005-0000-0000-00008D490000}"/>
    <cellStyle name="汇总 2 5 6 7 5" xfId="10750" xr:uid="{00000000-0005-0000-0000-00002E2A0000}"/>
    <cellStyle name="汇总 2 5 6 7 5 2" xfId="18784" xr:uid="{00000000-0005-0000-0000-000090490000}"/>
    <cellStyle name="汇总 2 5 6 7 6" xfId="18789" xr:uid="{00000000-0005-0000-0000-000095490000}"/>
    <cellStyle name="汇总 2 5 6 8" xfId="15658" xr:uid="{00000000-0005-0000-0000-00005A3D0000}"/>
    <cellStyle name="汇总 2 5 6 8 2" xfId="18797" xr:uid="{00000000-0005-0000-0000-00009D490000}"/>
    <cellStyle name="汇总 2 5 6 8 2 2" xfId="18805" xr:uid="{00000000-0005-0000-0000-0000A5490000}"/>
    <cellStyle name="汇总 2 5 6 8 3" xfId="13825" xr:uid="{00000000-0005-0000-0000-000031360000}"/>
    <cellStyle name="汇总 2 5 6 8 3 2" xfId="13832" xr:uid="{00000000-0005-0000-0000-000038360000}"/>
    <cellStyle name="汇总 2 5 6 8 4" xfId="13839" xr:uid="{00000000-0005-0000-0000-00003F360000}"/>
    <cellStyle name="汇总 2 5 6 8 4 2" xfId="13845" xr:uid="{00000000-0005-0000-0000-000045360000}"/>
    <cellStyle name="汇总 2 5 6 8 5" xfId="10766" xr:uid="{00000000-0005-0000-0000-00003E2A0000}"/>
    <cellStyle name="汇总 2 5 6 9" xfId="5294" xr:uid="{00000000-0005-0000-0000-0000DE140000}"/>
    <cellStyle name="汇总 2 5 6 9 2" xfId="18812" xr:uid="{00000000-0005-0000-0000-0000AC490000}"/>
    <cellStyle name="汇总 2 5 7" xfId="8633" xr:uid="{00000000-0005-0000-0000-0000E9210000}"/>
    <cellStyle name="汇总 2 5 7 10" xfId="10830" xr:uid="{00000000-0005-0000-0000-00007E2A0000}"/>
    <cellStyle name="汇总 2 5 7 10 2" xfId="18814" xr:uid="{00000000-0005-0000-0000-0000AE490000}"/>
    <cellStyle name="汇总 2 5 7 11" xfId="17494" xr:uid="{00000000-0005-0000-0000-000086440000}"/>
    <cellStyle name="汇总 2 5 7 11 2" xfId="18815" xr:uid="{00000000-0005-0000-0000-0000AF490000}"/>
    <cellStyle name="汇总 2 5 7 12" xfId="18817" xr:uid="{00000000-0005-0000-0000-0000B1490000}"/>
    <cellStyle name="汇总 2 5 7 12 2" xfId="8738" xr:uid="{00000000-0005-0000-0000-000052220000}"/>
    <cellStyle name="汇总 2 5 7 13" xfId="18820" xr:uid="{00000000-0005-0000-0000-0000B4490000}"/>
    <cellStyle name="汇总 2 5 7 14" xfId="8501" xr:uid="{00000000-0005-0000-0000-000065210000}"/>
    <cellStyle name="汇总 2 5 7 15" xfId="6165" xr:uid="{00000000-0005-0000-0000-000045180000}"/>
    <cellStyle name="汇总 2 5 7 16" xfId="7400" xr:uid="{00000000-0005-0000-0000-0000181D0000}"/>
    <cellStyle name="汇总 2 5 7 2" xfId="4661" xr:uid="{00000000-0005-0000-0000-000065120000}"/>
    <cellStyle name="汇总 2 5 7 2 2" xfId="18824" xr:uid="{00000000-0005-0000-0000-0000B8490000}"/>
    <cellStyle name="汇总 2 5 7 2 2 2" xfId="18826" xr:uid="{00000000-0005-0000-0000-0000BA490000}"/>
    <cellStyle name="汇总 2 5 7 2 3" xfId="1147" xr:uid="{00000000-0005-0000-0000-0000AB040000}"/>
    <cellStyle name="汇总 2 5 7 2 3 2" xfId="2879" xr:uid="{00000000-0005-0000-0000-00006F0B0000}"/>
    <cellStyle name="汇总 2 5 7 2 4" xfId="3521" xr:uid="{00000000-0005-0000-0000-0000F10D0000}"/>
    <cellStyle name="汇总 2 5 7 2 4 2" xfId="3526" xr:uid="{00000000-0005-0000-0000-0000F60D0000}"/>
    <cellStyle name="汇总 2 5 7 2 5" xfId="3530" xr:uid="{00000000-0005-0000-0000-0000FA0D0000}"/>
    <cellStyle name="汇总 2 5 7 2 5 2" xfId="2265" xr:uid="{00000000-0005-0000-0000-000009090000}"/>
    <cellStyle name="汇总 2 5 7 2 6" xfId="1998" xr:uid="{00000000-0005-0000-0000-0000FE070000}"/>
    <cellStyle name="汇总 2 5 7 2 7" xfId="13999" xr:uid="{00000000-0005-0000-0000-0000DF360000}"/>
    <cellStyle name="汇总 2 5 7 2 8" xfId="13568" xr:uid="{00000000-0005-0000-0000-000030350000}"/>
    <cellStyle name="汇总 2 5 7 2 9" xfId="14004" xr:uid="{00000000-0005-0000-0000-0000E4360000}"/>
    <cellStyle name="汇总 2 5 7 3" xfId="18828" xr:uid="{00000000-0005-0000-0000-0000BC490000}"/>
    <cellStyle name="汇总 2 5 7 3 2" xfId="18833" xr:uid="{00000000-0005-0000-0000-0000C1490000}"/>
    <cellStyle name="汇总 2 5 7 3 2 2" xfId="18834" xr:uid="{00000000-0005-0000-0000-0000C2490000}"/>
    <cellStyle name="汇总 2 5 7 3 3" xfId="18838" xr:uid="{00000000-0005-0000-0000-0000C6490000}"/>
    <cellStyle name="汇总 2 5 7 3 3 2" xfId="18839" xr:uid="{00000000-0005-0000-0000-0000C7490000}"/>
    <cellStyle name="汇总 2 5 7 3 4" xfId="18842" xr:uid="{00000000-0005-0000-0000-0000CA490000}"/>
    <cellStyle name="汇总 2 5 7 3 4 2" xfId="11507" xr:uid="{00000000-0005-0000-0000-0000232D0000}"/>
    <cellStyle name="汇总 2 5 7 3 5" xfId="14015" xr:uid="{00000000-0005-0000-0000-0000EF360000}"/>
    <cellStyle name="汇总 2 5 7 3 5 2" xfId="14022" xr:uid="{00000000-0005-0000-0000-0000F6360000}"/>
    <cellStyle name="汇总 2 5 7 3 6" xfId="14024" xr:uid="{00000000-0005-0000-0000-0000F8360000}"/>
    <cellStyle name="汇总 2 5 7 4" xfId="18843" xr:uid="{00000000-0005-0000-0000-0000CB490000}"/>
    <cellStyle name="汇总 2 5 7 4 2" xfId="18845" xr:uid="{00000000-0005-0000-0000-0000CD490000}"/>
    <cellStyle name="汇总 2 5 7 4 2 2" xfId="18848" xr:uid="{00000000-0005-0000-0000-0000D0490000}"/>
    <cellStyle name="汇总 2 5 7 4 3" xfId="18851" xr:uid="{00000000-0005-0000-0000-0000D3490000}"/>
    <cellStyle name="汇总 2 5 7 4 3 2" xfId="18853" xr:uid="{00000000-0005-0000-0000-0000D5490000}"/>
    <cellStyle name="汇总 2 5 7 4 4" xfId="18857" xr:uid="{00000000-0005-0000-0000-0000D9490000}"/>
    <cellStyle name="汇总 2 5 7 4 4 2" xfId="18859" xr:uid="{00000000-0005-0000-0000-0000DB490000}"/>
    <cellStyle name="汇总 2 5 7 4 5" xfId="14043" xr:uid="{00000000-0005-0000-0000-00000B370000}"/>
    <cellStyle name="汇总 2 5 7 4 5 2" xfId="14053" xr:uid="{00000000-0005-0000-0000-000015370000}"/>
    <cellStyle name="汇总 2 5 7 4 6" xfId="14057" xr:uid="{00000000-0005-0000-0000-000019370000}"/>
    <cellStyle name="汇总 2 5 7 5" xfId="18861" xr:uid="{00000000-0005-0000-0000-0000DD490000}"/>
    <cellStyle name="汇总 2 5 7 5 2" xfId="18863" xr:uid="{00000000-0005-0000-0000-0000DF490000}"/>
    <cellStyle name="汇总 2 5 7 5 2 2" xfId="18865" xr:uid="{00000000-0005-0000-0000-0000E1490000}"/>
    <cellStyle name="汇总 2 5 7 5 3" xfId="18868" xr:uid="{00000000-0005-0000-0000-0000E4490000}"/>
    <cellStyle name="汇总 2 5 7 5 3 2" xfId="18869" xr:uid="{00000000-0005-0000-0000-0000E5490000}"/>
    <cellStyle name="汇总 2 5 7 5 4" xfId="18871" xr:uid="{00000000-0005-0000-0000-0000E7490000}"/>
    <cellStyle name="汇总 2 5 7 5 4 2" xfId="18873" xr:uid="{00000000-0005-0000-0000-0000E9490000}"/>
    <cellStyle name="汇总 2 5 7 5 5" xfId="14092" xr:uid="{00000000-0005-0000-0000-00003C370000}"/>
    <cellStyle name="汇总 2 5 7 5 5 2" xfId="14108" xr:uid="{00000000-0005-0000-0000-00004C370000}"/>
    <cellStyle name="汇总 2 5 7 5 6" xfId="14110" xr:uid="{00000000-0005-0000-0000-00004E370000}"/>
    <cellStyle name="汇总 2 5 7 6" xfId="18876" xr:uid="{00000000-0005-0000-0000-0000EC490000}"/>
    <cellStyle name="汇总 2 5 7 6 2" xfId="1705" xr:uid="{00000000-0005-0000-0000-0000D9060000}"/>
    <cellStyle name="汇总 2 5 7 6 2 2" xfId="18879" xr:uid="{00000000-0005-0000-0000-0000EF490000}"/>
    <cellStyle name="汇总 2 5 7 6 3" xfId="1725" xr:uid="{00000000-0005-0000-0000-0000ED060000}"/>
    <cellStyle name="汇总 2 5 7 6 3 2" xfId="18885" xr:uid="{00000000-0005-0000-0000-0000F5490000}"/>
    <cellStyle name="汇总 2 5 7 6 4" xfId="1748" xr:uid="{00000000-0005-0000-0000-000004070000}"/>
    <cellStyle name="汇总 2 5 7 6 4 2" xfId="18887" xr:uid="{00000000-0005-0000-0000-0000F7490000}"/>
    <cellStyle name="汇总 2 5 7 6 5" xfId="1790" xr:uid="{00000000-0005-0000-0000-00002E070000}"/>
    <cellStyle name="汇总 2 5 7 6 5 2" xfId="14139" xr:uid="{00000000-0005-0000-0000-00006B370000}"/>
    <cellStyle name="汇总 2 5 7 6 6" xfId="1816" xr:uid="{00000000-0005-0000-0000-000048070000}"/>
    <cellStyle name="汇总 2 5 7 7" xfId="1242" xr:uid="{00000000-0005-0000-0000-00000A050000}"/>
    <cellStyle name="汇总 2 5 7 7 2" xfId="18891" xr:uid="{00000000-0005-0000-0000-0000FB490000}"/>
    <cellStyle name="汇总 2 5 7 7 2 2" xfId="18896" xr:uid="{00000000-0005-0000-0000-0000004A0000}"/>
    <cellStyle name="汇总 2 5 7 7 3" xfId="18899" xr:uid="{00000000-0005-0000-0000-0000034A0000}"/>
    <cellStyle name="汇总 2 5 7 7 3 2" xfId="18904" xr:uid="{00000000-0005-0000-0000-0000084A0000}"/>
    <cellStyle name="汇总 2 5 7 7 4" xfId="18907" xr:uid="{00000000-0005-0000-0000-00000B4A0000}"/>
    <cellStyle name="汇总 2 5 7 7 4 2" xfId="18909" xr:uid="{00000000-0005-0000-0000-00000D4A0000}"/>
    <cellStyle name="汇总 2 5 7 7 5" xfId="10807" xr:uid="{00000000-0005-0000-0000-0000672A0000}"/>
    <cellStyle name="汇总 2 5 7 7 5 2" xfId="11822" xr:uid="{00000000-0005-0000-0000-00005E2E0000}"/>
    <cellStyle name="汇总 2 5 7 7 6" xfId="18913" xr:uid="{00000000-0005-0000-0000-0000114A0000}"/>
    <cellStyle name="汇总 2 5 7 8" xfId="15667" xr:uid="{00000000-0005-0000-0000-0000633D0000}"/>
    <cellStyle name="汇总 2 5 7 8 2" xfId="18918" xr:uid="{00000000-0005-0000-0000-0000164A0000}"/>
    <cellStyle name="汇总 2 5 7 8 2 2" xfId="18922" xr:uid="{00000000-0005-0000-0000-00001A4A0000}"/>
    <cellStyle name="汇总 2 5 7 8 3" xfId="18926" xr:uid="{00000000-0005-0000-0000-00001E4A0000}"/>
    <cellStyle name="汇总 2 5 7 8 3 2" xfId="18928" xr:uid="{00000000-0005-0000-0000-0000204A0000}"/>
    <cellStyle name="汇总 2 5 7 8 4" xfId="18931" xr:uid="{00000000-0005-0000-0000-0000234A0000}"/>
    <cellStyle name="汇总 2 5 7 8 4 2" xfId="18933" xr:uid="{00000000-0005-0000-0000-0000254A0000}"/>
    <cellStyle name="汇总 2 5 7 8 5" xfId="10820" xr:uid="{00000000-0005-0000-0000-0000742A0000}"/>
    <cellStyle name="汇总 2 5 7 9" xfId="5314" xr:uid="{00000000-0005-0000-0000-0000F2140000}"/>
    <cellStyle name="汇总 2 5 7 9 2" xfId="18937" xr:uid="{00000000-0005-0000-0000-0000294A0000}"/>
    <cellStyle name="汇总 2 5 8" xfId="8642" xr:uid="{00000000-0005-0000-0000-0000F2210000}"/>
    <cellStyle name="汇总 2 5 8 10" xfId="14244" xr:uid="{00000000-0005-0000-0000-0000D4370000}"/>
    <cellStyle name="汇总 2 5 8 10 2" xfId="14247" xr:uid="{00000000-0005-0000-0000-0000D7370000}"/>
    <cellStyle name="汇总 2 5 8 11" xfId="14250" xr:uid="{00000000-0005-0000-0000-0000DA370000}"/>
    <cellStyle name="汇总 2 5 8 11 2" xfId="14253" xr:uid="{00000000-0005-0000-0000-0000DD370000}"/>
    <cellStyle name="汇总 2 5 8 12" xfId="5330" xr:uid="{00000000-0005-0000-0000-000002150000}"/>
    <cellStyle name="汇总 2 5 8 12 2" xfId="14257" xr:uid="{00000000-0005-0000-0000-0000E1370000}"/>
    <cellStyle name="汇总 2 5 8 13" xfId="14262" xr:uid="{00000000-0005-0000-0000-0000E6370000}"/>
    <cellStyle name="汇总 2 5 8 14" xfId="11530" xr:uid="{00000000-0005-0000-0000-00003A2D0000}"/>
    <cellStyle name="汇总 2 5 8 15" xfId="8072" xr:uid="{00000000-0005-0000-0000-0000B81F0000}"/>
    <cellStyle name="汇总 2 5 8 16" xfId="8088" xr:uid="{00000000-0005-0000-0000-0000C81F0000}"/>
    <cellStyle name="汇总 2 5 8 2" xfId="8653" xr:uid="{00000000-0005-0000-0000-0000FD210000}"/>
    <cellStyle name="汇总 2 5 8 2 2" xfId="18941" xr:uid="{00000000-0005-0000-0000-00002D4A0000}"/>
    <cellStyle name="汇总 2 5 8 2 2 2" xfId="4638" xr:uid="{00000000-0005-0000-0000-00004E120000}"/>
    <cellStyle name="汇总 2 5 8 2 3" xfId="975" xr:uid="{00000000-0005-0000-0000-0000FF030000}"/>
    <cellStyle name="汇总 2 5 8 2 3 2" xfId="4673" xr:uid="{00000000-0005-0000-0000-000071120000}"/>
    <cellStyle name="汇总 2 5 8 2 4" xfId="18945" xr:uid="{00000000-0005-0000-0000-0000314A0000}"/>
    <cellStyle name="汇总 2 5 8 2 4 2" xfId="18951" xr:uid="{00000000-0005-0000-0000-0000374A0000}"/>
    <cellStyle name="汇总 2 5 8 2 5" xfId="16292" xr:uid="{00000000-0005-0000-0000-0000D43F0000}"/>
    <cellStyle name="汇总 2 5 8 2 5 2" xfId="18955" xr:uid="{00000000-0005-0000-0000-00003B4A0000}"/>
    <cellStyle name="汇总 2 5 8 2 6" xfId="18956" xr:uid="{00000000-0005-0000-0000-00003C4A0000}"/>
    <cellStyle name="汇总 2 5 8 2 7" xfId="18957" xr:uid="{00000000-0005-0000-0000-00003D4A0000}"/>
    <cellStyle name="汇总 2 5 8 2 8" xfId="13603" xr:uid="{00000000-0005-0000-0000-000053350000}"/>
    <cellStyle name="汇总 2 5 8 2 9" xfId="18959" xr:uid="{00000000-0005-0000-0000-00003F4A0000}"/>
    <cellStyle name="汇总 2 5 8 3" xfId="18963" xr:uid="{00000000-0005-0000-0000-0000434A0000}"/>
    <cellStyle name="汇总 2 5 8 3 2" xfId="18968" xr:uid="{00000000-0005-0000-0000-0000484A0000}"/>
    <cellStyle name="汇总 2 5 8 3 2 2" xfId="4857" xr:uid="{00000000-0005-0000-0000-000029130000}"/>
    <cellStyle name="汇总 2 5 8 3 3" xfId="18971" xr:uid="{00000000-0005-0000-0000-00004B4A0000}"/>
    <cellStyle name="汇总 2 5 8 3 3 2" xfId="4895" xr:uid="{00000000-0005-0000-0000-00004F130000}"/>
    <cellStyle name="汇总 2 5 8 3 4" xfId="18974" xr:uid="{00000000-0005-0000-0000-00004E4A0000}"/>
    <cellStyle name="汇总 2 5 8 3 4 2" xfId="13979" xr:uid="{00000000-0005-0000-0000-0000CB360000}"/>
    <cellStyle name="汇总 2 5 8 3 5" xfId="16295" xr:uid="{00000000-0005-0000-0000-0000D73F0000}"/>
    <cellStyle name="汇总 2 5 8 3 5 2" xfId="3545" xr:uid="{00000000-0005-0000-0000-0000090E0000}"/>
    <cellStyle name="汇总 2 5 8 3 6" xfId="18975" xr:uid="{00000000-0005-0000-0000-00004F4A0000}"/>
    <cellStyle name="汇总 2 5 8 4" xfId="16150" xr:uid="{00000000-0005-0000-0000-0000463F0000}"/>
    <cellStyle name="汇总 2 5 8 4 2" xfId="18978" xr:uid="{00000000-0005-0000-0000-0000524A0000}"/>
    <cellStyle name="汇总 2 5 8 4 2 2" xfId="5174" xr:uid="{00000000-0005-0000-0000-000066140000}"/>
    <cellStyle name="汇总 2 5 8 4 3" xfId="18982" xr:uid="{00000000-0005-0000-0000-0000564A0000}"/>
    <cellStyle name="汇总 2 5 8 4 3 2" xfId="3802" xr:uid="{00000000-0005-0000-0000-00000A0F0000}"/>
    <cellStyle name="汇总 2 5 8 4 4" xfId="18987" xr:uid="{00000000-0005-0000-0000-00005B4A0000}"/>
    <cellStyle name="汇总 2 5 8 4 4 2" xfId="18990" xr:uid="{00000000-0005-0000-0000-00005E4A0000}"/>
    <cellStyle name="汇总 2 5 8 4 5" xfId="18995" xr:uid="{00000000-0005-0000-0000-0000634A0000}"/>
    <cellStyle name="汇总 2 5 8 4 5 2" xfId="18996" xr:uid="{00000000-0005-0000-0000-0000644A0000}"/>
    <cellStyle name="汇总 2 5 8 4 6" xfId="18998" xr:uid="{00000000-0005-0000-0000-0000664A0000}"/>
    <cellStyle name="汇总 2 5 8 5" xfId="18999" xr:uid="{00000000-0005-0000-0000-0000674A0000}"/>
    <cellStyle name="汇总 2 5 8 5 2" xfId="19002" xr:uid="{00000000-0005-0000-0000-00006A4A0000}"/>
    <cellStyle name="汇总 2 5 8 5 2 2" xfId="58" xr:uid="{00000000-0005-0000-0000-00003F000000}"/>
    <cellStyle name="汇总 2 5 8 5 3" xfId="19006" xr:uid="{00000000-0005-0000-0000-00006E4A0000}"/>
    <cellStyle name="汇总 2 5 8 5 3 2" xfId="5399" xr:uid="{00000000-0005-0000-0000-000047150000}"/>
    <cellStyle name="汇总 2 5 8 5 4" xfId="19009" xr:uid="{00000000-0005-0000-0000-0000714A0000}"/>
    <cellStyle name="汇总 2 5 8 5 4 2" xfId="19011" xr:uid="{00000000-0005-0000-0000-0000734A0000}"/>
    <cellStyle name="汇总 2 5 8 5 5" xfId="19014" xr:uid="{00000000-0005-0000-0000-0000764A0000}"/>
    <cellStyle name="汇总 2 5 8 5 5 2" xfId="19015" xr:uid="{00000000-0005-0000-0000-0000774A0000}"/>
    <cellStyle name="汇总 2 5 8 5 6" xfId="19016" xr:uid="{00000000-0005-0000-0000-0000784A0000}"/>
    <cellStyle name="汇总 2 5 8 6" xfId="19018" xr:uid="{00000000-0005-0000-0000-00007A4A0000}"/>
    <cellStyle name="汇总 2 5 8 6 2" xfId="19021" xr:uid="{00000000-0005-0000-0000-00007D4A0000}"/>
    <cellStyle name="汇总 2 5 8 6 2 2" xfId="193" xr:uid="{00000000-0005-0000-0000-0000D0000000}"/>
    <cellStyle name="汇总 2 5 8 6 3" xfId="19024" xr:uid="{00000000-0005-0000-0000-0000804A0000}"/>
    <cellStyle name="汇总 2 5 8 6 3 2" xfId="5589" xr:uid="{00000000-0005-0000-0000-000005160000}"/>
    <cellStyle name="汇总 2 5 8 6 4" xfId="19027" xr:uid="{00000000-0005-0000-0000-0000834A0000}"/>
    <cellStyle name="汇总 2 5 8 6 4 2" xfId="19029" xr:uid="{00000000-0005-0000-0000-0000854A0000}"/>
    <cellStyle name="汇总 2 5 8 6 5" xfId="10837" xr:uid="{00000000-0005-0000-0000-0000852A0000}"/>
    <cellStyle name="汇总 2 5 8 6 5 2" xfId="19032" xr:uid="{00000000-0005-0000-0000-0000884A0000}"/>
    <cellStyle name="汇总 2 5 8 6 6" xfId="19033" xr:uid="{00000000-0005-0000-0000-0000894A0000}"/>
    <cellStyle name="汇总 2 5 8 7" xfId="3081" xr:uid="{00000000-0005-0000-0000-0000390C0000}"/>
    <cellStyle name="汇总 2 5 8 7 2" xfId="19036" xr:uid="{00000000-0005-0000-0000-00008C4A0000}"/>
    <cellStyle name="汇总 2 5 8 7 2 2" xfId="5441" xr:uid="{00000000-0005-0000-0000-000071150000}"/>
    <cellStyle name="汇总 2 5 8 7 3" xfId="19039" xr:uid="{00000000-0005-0000-0000-00008F4A0000}"/>
    <cellStyle name="汇总 2 5 8 7 3 2" xfId="6106" xr:uid="{00000000-0005-0000-0000-00000A180000}"/>
    <cellStyle name="汇总 2 5 8 7 4" xfId="19042" xr:uid="{00000000-0005-0000-0000-0000924A0000}"/>
    <cellStyle name="汇总 2 5 8 7 4 2" xfId="19044" xr:uid="{00000000-0005-0000-0000-0000944A0000}"/>
    <cellStyle name="汇总 2 5 8 7 5" xfId="10844" xr:uid="{00000000-0005-0000-0000-00008C2A0000}"/>
    <cellStyle name="汇总 2 5 8 7 5 2" xfId="19048" xr:uid="{00000000-0005-0000-0000-0000984A0000}"/>
    <cellStyle name="汇总 2 5 8 7 6" xfId="19051" xr:uid="{00000000-0005-0000-0000-00009B4A0000}"/>
    <cellStyle name="汇总 2 5 8 8" xfId="19055" xr:uid="{00000000-0005-0000-0000-00009F4A0000}"/>
    <cellStyle name="汇总 2 5 8 8 2" xfId="19058" xr:uid="{00000000-0005-0000-0000-0000A24A0000}"/>
    <cellStyle name="汇总 2 5 8 8 2 2" xfId="15591" xr:uid="{00000000-0005-0000-0000-0000173D0000}"/>
    <cellStyle name="汇总 2 5 8 8 3" xfId="19061" xr:uid="{00000000-0005-0000-0000-0000A54A0000}"/>
    <cellStyle name="汇总 2 5 8 8 3 2" xfId="15844" xr:uid="{00000000-0005-0000-0000-0000143E0000}"/>
    <cellStyle name="汇总 2 5 8 8 4" xfId="18524" xr:uid="{00000000-0005-0000-0000-00008C480000}"/>
    <cellStyle name="汇总 2 5 8 8 4 2" xfId="15874" xr:uid="{00000000-0005-0000-0000-0000323E0000}"/>
    <cellStyle name="汇总 2 5 8 8 5" xfId="10853" xr:uid="{00000000-0005-0000-0000-0000952A0000}"/>
    <cellStyle name="汇总 2 5 8 9" xfId="2343" xr:uid="{00000000-0005-0000-0000-000057090000}"/>
    <cellStyle name="汇总 2 5 8 9 2" xfId="19065" xr:uid="{00000000-0005-0000-0000-0000A94A0000}"/>
    <cellStyle name="汇总 2 5 9" xfId="8656" xr:uid="{00000000-0005-0000-0000-000000220000}"/>
    <cellStyle name="汇总 2 5 9 10" xfId="16402" xr:uid="{00000000-0005-0000-0000-000042400000}"/>
    <cellStyle name="汇总 2 5 9 10 2" xfId="6577" xr:uid="{00000000-0005-0000-0000-0000E1190000}"/>
    <cellStyle name="汇总 2 5 9 11" xfId="19067" xr:uid="{00000000-0005-0000-0000-0000AB4A0000}"/>
    <cellStyle name="汇总 2 5 9 11 2" xfId="16215" xr:uid="{00000000-0005-0000-0000-0000873F0000}"/>
    <cellStyle name="汇总 2 5 9 12" xfId="13758" xr:uid="{00000000-0005-0000-0000-0000EE350000}"/>
    <cellStyle name="汇总 2 5 9 12 2" xfId="16237" xr:uid="{00000000-0005-0000-0000-00009D3F0000}"/>
    <cellStyle name="汇总 2 5 9 13" xfId="11806" xr:uid="{00000000-0005-0000-0000-00004E2E0000}"/>
    <cellStyle name="汇总 2 5 9 14" xfId="8430" xr:uid="{00000000-0005-0000-0000-00001E210000}"/>
    <cellStyle name="汇总 2 5 9 15" xfId="10869" xr:uid="{00000000-0005-0000-0000-0000A52A0000}"/>
    <cellStyle name="汇总 2 5 9 16" xfId="12389" xr:uid="{00000000-0005-0000-0000-000095300000}"/>
    <cellStyle name="汇总 2 5 9 2" xfId="8662" xr:uid="{00000000-0005-0000-0000-000006220000}"/>
    <cellStyle name="汇总 2 5 9 2 2" xfId="19072" xr:uid="{00000000-0005-0000-0000-0000B04A0000}"/>
    <cellStyle name="汇总 2 5 9 2 2 2" xfId="8086" xr:uid="{00000000-0005-0000-0000-0000C61F0000}"/>
    <cellStyle name="汇总 2 5 9 2 3" xfId="8799" xr:uid="{00000000-0005-0000-0000-00008F220000}"/>
    <cellStyle name="汇总 2 5 9 2 3 2" xfId="8126" xr:uid="{00000000-0005-0000-0000-0000EE1F0000}"/>
    <cellStyle name="汇总 2 5 9 2 4" xfId="19076" xr:uid="{00000000-0005-0000-0000-0000B44A0000}"/>
    <cellStyle name="汇总 2 5 9 2 4 2" xfId="11882" xr:uid="{00000000-0005-0000-0000-00009A2E0000}"/>
    <cellStyle name="汇总 2 5 9 2 5" xfId="16316" xr:uid="{00000000-0005-0000-0000-0000EC3F0000}"/>
    <cellStyle name="汇总 2 5 9 2 5 2" xfId="12086" xr:uid="{00000000-0005-0000-0000-0000662F0000}"/>
    <cellStyle name="汇总 2 5 9 2 6" xfId="19077" xr:uid="{00000000-0005-0000-0000-0000B54A0000}"/>
    <cellStyle name="汇总 2 5 9 2 7" xfId="19078" xr:uid="{00000000-0005-0000-0000-0000B64A0000}"/>
    <cellStyle name="汇总 2 5 9 2 8" xfId="13627" xr:uid="{00000000-0005-0000-0000-00006B350000}"/>
    <cellStyle name="汇总 2 5 9 2 9" xfId="19081" xr:uid="{00000000-0005-0000-0000-0000B94A0000}"/>
    <cellStyle name="汇总 2 5 9 3" xfId="19087" xr:uid="{00000000-0005-0000-0000-0000BF4A0000}"/>
    <cellStyle name="汇总 2 5 9 3 2" xfId="19090" xr:uid="{00000000-0005-0000-0000-0000C24A0000}"/>
    <cellStyle name="汇总 2 5 9 3 2 2" xfId="8426" xr:uid="{00000000-0005-0000-0000-00001A210000}"/>
    <cellStyle name="汇总 2 5 9 3 3" xfId="19093" xr:uid="{00000000-0005-0000-0000-0000C54A0000}"/>
    <cellStyle name="汇总 2 5 9 3 3 2" xfId="8472" xr:uid="{00000000-0005-0000-0000-000048210000}"/>
    <cellStyle name="汇总 2 5 9 3 4" xfId="19096" xr:uid="{00000000-0005-0000-0000-0000C84A0000}"/>
    <cellStyle name="汇总 2 5 9 3 4 2" xfId="19098" xr:uid="{00000000-0005-0000-0000-0000CA4A0000}"/>
    <cellStyle name="汇总 2 5 9 3 5" xfId="19100" xr:uid="{00000000-0005-0000-0000-0000CC4A0000}"/>
    <cellStyle name="汇总 2 5 9 3 5 2" xfId="19101" xr:uid="{00000000-0005-0000-0000-0000CD4A0000}"/>
    <cellStyle name="汇总 2 5 9 3 6" xfId="19104" xr:uid="{00000000-0005-0000-0000-0000D04A0000}"/>
    <cellStyle name="汇总 2 5 9 4" xfId="16154" xr:uid="{00000000-0005-0000-0000-00004A3F0000}"/>
    <cellStyle name="汇总 2 5 9 4 2" xfId="19107" xr:uid="{00000000-0005-0000-0000-0000D34A0000}"/>
    <cellStyle name="汇总 2 5 9 4 2 2" xfId="8676" xr:uid="{00000000-0005-0000-0000-000014220000}"/>
    <cellStyle name="汇总 2 5 9 4 3" xfId="19112" xr:uid="{00000000-0005-0000-0000-0000D84A0000}"/>
    <cellStyle name="汇总 2 5 9 4 3 2" xfId="8702" xr:uid="{00000000-0005-0000-0000-00002E220000}"/>
    <cellStyle name="汇总 2 5 9 4 4" xfId="19116" xr:uid="{00000000-0005-0000-0000-0000DC4A0000}"/>
    <cellStyle name="汇总 2 5 9 4 4 2" xfId="19119" xr:uid="{00000000-0005-0000-0000-0000DF4A0000}"/>
    <cellStyle name="汇总 2 5 9 4 5" xfId="19123" xr:uid="{00000000-0005-0000-0000-0000E34A0000}"/>
    <cellStyle name="汇总 2 5 9 4 5 2" xfId="19124" xr:uid="{00000000-0005-0000-0000-0000E44A0000}"/>
    <cellStyle name="汇总 2 5 9 4 6" xfId="1202" xr:uid="{00000000-0005-0000-0000-0000E2040000}"/>
    <cellStyle name="汇总 2 5 9 5" xfId="19125" xr:uid="{00000000-0005-0000-0000-0000E54A0000}"/>
    <cellStyle name="汇总 2 5 9 5 2" xfId="19129" xr:uid="{00000000-0005-0000-0000-0000E94A0000}"/>
    <cellStyle name="汇总 2 5 9 5 2 2" xfId="8786" xr:uid="{00000000-0005-0000-0000-000082220000}"/>
    <cellStyle name="汇总 2 5 9 5 3" xfId="19134" xr:uid="{00000000-0005-0000-0000-0000EE4A0000}"/>
    <cellStyle name="汇总 2 5 9 5 3 2" xfId="8803" xr:uid="{00000000-0005-0000-0000-000093220000}"/>
    <cellStyle name="汇总 2 5 9 5 4" xfId="19137" xr:uid="{00000000-0005-0000-0000-0000F14A0000}"/>
    <cellStyle name="汇总 2 5 9 5 4 2" xfId="19139" xr:uid="{00000000-0005-0000-0000-0000F34A0000}"/>
    <cellStyle name="汇总 2 5 9 5 5" xfId="19141" xr:uid="{00000000-0005-0000-0000-0000F54A0000}"/>
    <cellStyle name="汇总 2 5 9 5 5 2" xfId="7183" xr:uid="{00000000-0005-0000-0000-00003F1C0000}"/>
    <cellStyle name="汇总 2 5 9 5 6" xfId="19142" xr:uid="{00000000-0005-0000-0000-0000F64A0000}"/>
    <cellStyle name="汇总 2 5 9 6" xfId="19143" xr:uid="{00000000-0005-0000-0000-0000F74A0000}"/>
    <cellStyle name="汇总 2 5 9 6 2" xfId="19146" xr:uid="{00000000-0005-0000-0000-0000FA4A0000}"/>
    <cellStyle name="汇总 2 5 9 6 2 2" xfId="9109" xr:uid="{00000000-0005-0000-0000-0000C5230000}"/>
    <cellStyle name="汇总 2 5 9 6 3" xfId="19149" xr:uid="{00000000-0005-0000-0000-0000FD4A0000}"/>
    <cellStyle name="汇总 2 5 9 6 3 2" xfId="9160" xr:uid="{00000000-0005-0000-0000-0000F8230000}"/>
    <cellStyle name="汇总 2 5 9 6 4" xfId="19151" xr:uid="{00000000-0005-0000-0000-0000FF4A0000}"/>
    <cellStyle name="汇总 2 5 9 6 4 2" xfId="19152" xr:uid="{00000000-0005-0000-0000-0000004B0000}"/>
    <cellStyle name="汇总 2 5 9 6 5" xfId="19154" xr:uid="{00000000-0005-0000-0000-0000024B0000}"/>
    <cellStyle name="汇总 2 5 9 6 5 2" xfId="19155" xr:uid="{00000000-0005-0000-0000-0000034B0000}"/>
    <cellStyle name="汇总 2 5 9 6 6" xfId="19156" xr:uid="{00000000-0005-0000-0000-0000044B0000}"/>
    <cellStyle name="汇总 2 5 9 7" xfId="7050" xr:uid="{00000000-0005-0000-0000-0000BA1B0000}"/>
    <cellStyle name="汇总 2 5 9 7 2" xfId="15470" xr:uid="{00000000-0005-0000-0000-00009E3C0000}"/>
    <cellStyle name="汇总 2 5 9 7 2 2" xfId="9322" xr:uid="{00000000-0005-0000-0000-00009A240000}"/>
    <cellStyle name="汇总 2 5 9 7 3" xfId="19158" xr:uid="{00000000-0005-0000-0000-0000064B0000}"/>
    <cellStyle name="汇总 2 5 9 7 3 2" xfId="9346" xr:uid="{00000000-0005-0000-0000-0000B2240000}"/>
    <cellStyle name="汇总 2 5 9 7 4" xfId="19161" xr:uid="{00000000-0005-0000-0000-0000094B0000}"/>
    <cellStyle name="汇总 2 5 9 7 4 2" xfId="19166" xr:uid="{00000000-0005-0000-0000-00000E4B0000}"/>
    <cellStyle name="汇总 2 5 9 7 5" xfId="19168" xr:uid="{00000000-0005-0000-0000-0000104B0000}"/>
    <cellStyle name="汇总 2 5 9 7 5 2" xfId="19169" xr:uid="{00000000-0005-0000-0000-0000114B0000}"/>
    <cellStyle name="汇总 2 5 9 7 6" xfId="19171" xr:uid="{00000000-0005-0000-0000-0000134B0000}"/>
    <cellStyle name="汇总 2 5 9 8" xfId="15477" xr:uid="{00000000-0005-0000-0000-0000A53C0000}"/>
    <cellStyle name="汇总 2 5 9 8 2" xfId="15480" xr:uid="{00000000-0005-0000-0000-0000A83C0000}"/>
    <cellStyle name="汇总 2 5 9 8 2 2" xfId="19173" xr:uid="{00000000-0005-0000-0000-0000154B0000}"/>
    <cellStyle name="汇总 2 5 9 8 3" xfId="5008" xr:uid="{00000000-0005-0000-0000-0000C0130000}"/>
    <cellStyle name="汇总 2 5 9 8 3 2" xfId="19174" xr:uid="{00000000-0005-0000-0000-0000164B0000}"/>
    <cellStyle name="汇总 2 5 9 8 4" xfId="18566" xr:uid="{00000000-0005-0000-0000-0000B6480000}"/>
    <cellStyle name="汇总 2 5 9 8 4 2" xfId="19175" xr:uid="{00000000-0005-0000-0000-0000174B0000}"/>
    <cellStyle name="汇总 2 5 9 8 5" xfId="19176" xr:uid="{00000000-0005-0000-0000-0000184B0000}"/>
    <cellStyle name="汇总 2 5 9 9" xfId="15485" xr:uid="{00000000-0005-0000-0000-0000AD3C0000}"/>
    <cellStyle name="汇总 2 5 9 9 2" xfId="15489" xr:uid="{00000000-0005-0000-0000-0000B13C0000}"/>
    <cellStyle name="汇总 2 6" xfId="6660" xr:uid="{00000000-0005-0000-0000-0000341A0000}"/>
    <cellStyle name="汇总 2 6 10" xfId="385" xr:uid="{00000000-0005-0000-0000-0000A6010000}"/>
    <cellStyle name="汇总 2 6 10 10" xfId="7317" xr:uid="{00000000-0005-0000-0000-0000C51C0000}"/>
    <cellStyle name="汇总 2 6 10 10 2" xfId="7325" xr:uid="{00000000-0005-0000-0000-0000CD1C0000}"/>
    <cellStyle name="汇总 2 6 10 11" xfId="7335" xr:uid="{00000000-0005-0000-0000-0000D71C0000}"/>
    <cellStyle name="汇总 2 6 10 11 2" xfId="7340" xr:uid="{00000000-0005-0000-0000-0000DC1C0000}"/>
    <cellStyle name="汇总 2 6 10 12" xfId="5638" xr:uid="{00000000-0005-0000-0000-000036160000}"/>
    <cellStyle name="汇总 2 6 10 12 2" xfId="7350" xr:uid="{00000000-0005-0000-0000-0000E61C0000}"/>
    <cellStyle name="汇总 2 6 10 13" xfId="7357" xr:uid="{00000000-0005-0000-0000-0000ED1C0000}"/>
    <cellStyle name="汇总 2 6 10 14" xfId="7372" xr:uid="{00000000-0005-0000-0000-0000FC1C0000}"/>
    <cellStyle name="汇总 2 6 10 15" xfId="7374" xr:uid="{00000000-0005-0000-0000-0000FE1C0000}"/>
    <cellStyle name="汇总 2 6 10 16" xfId="7378" xr:uid="{00000000-0005-0000-0000-0000021D0000}"/>
    <cellStyle name="汇总 2 6 10 2" xfId="653" xr:uid="{00000000-0005-0000-0000-0000BD020000}"/>
    <cellStyle name="汇总 2 6 10 2 2" xfId="2399" xr:uid="{00000000-0005-0000-0000-00008F090000}"/>
    <cellStyle name="汇总 2 6 10 2 2 2" xfId="14923" xr:uid="{00000000-0005-0000-0000-00007B3A0000}"/>
    <cellStyle name="汇总 2 6 10 2 3" xfId="14105" xr:uid="{00000000-0005-0000-0000-000049370000}"/>
    <cellStyle name="汇总 2 6 10 2 3 2" xfId="14652" xr:uid="{00000000-0005-0000-0000-00006C390000}"/>
    <cellStyle name="汇总 2 6 10 2 4" xfId="14373" xr:uid="{00000000-0005-0000-0000-000055380000}"/>
    <cellStyle name="汇总 2 6 10 2 4 2" xfId="15190" xr:uid="{00000000-0005-0000-0000-0000863B0000}"/>
    <cellStyle name="汇总 2 6 10 2 5" xfId="17580" xr:uid="{00000000-0005-0000-0000-0000DC440000}"/>
    <cellStyle name="汇总 2 6 10 2 5 2" xfId="7881" xr:uid="{00000000-0005-0000-0000-0000F91E0000}"/>
    <cellStyle name="汇总 2 6 10 2 6" xfId="19178" xr:uid="{00000000-0005-0000-0000-00001A4B0000}"/>
    <cellStyle name="汇总 2 6 10 2 7" xfId="19180" xr:uid="{00000000-0005-0000-0000-00001C4B0000}"/>
    <cellStyle name="汇总 2 6 10 2 8" xfId="19182" xr:uid="{00000000-0005-0000-0000-00001E4B0000}"/>
    <cellStyle name="汇总 2 6 10 2 9" xfId="19183" xr:uid="{00000000-0005-0000-0000-00001F4B0000}"/>
    <cellStyle name="汇总 2 6 10 3" xfId="573" xr:uid="{00000000-0005-0000-0000-00006D020000}"/>
    <cellStyle name="汇总 2 6 10 3 2" xfId="2097" xr:uid="{00000000-0005-0000-0000-000061080000}"/>
    <cellStyle name="汇总 2 6 10 3 2 2" xfId="2114" xr:uid="{00000000-0005-0000-0000-000072080000}"/>
    <cellStyle name="汇总 2 6 10 3 3" xfId="2115" xr:uid="{00000000-0005-0000-0000-000073080000}"/>
    <cellStyle name="汇总 2 6 10 3 3 2" xfId="15635" xr:uid="{00000000-0005-0000-0000-0000433D0000}"/>
    <cellStyle name="汇总 2 6 10 3 4" xfId="1872" xr:uid="{00000000-0005-0000-0000-000080070000}"/>
    <cellStyle name="汇总 2 6 10 3 4 2" xfId="17013" xr:uid="{00000000-0005-0000-0000-0000A5420000}"/>
    <cellStyle name="汇总 2 6 10 3 5" xfId="2130" xr:uid="{00000000-0005-0000-0000-000082080000}"/>
    <cellStyle name="汇总 2 6 10 3 5 2" xfId="7953" xr:uid="{00000000-0005-0000-0000-0000411F0000}"/>
    <cellStyle name="汇总 2 6 10 3 6" xfId="33" xr:uid="{00000000-0005-0000-0000-000025000000}"/>
    <cellStyle name="汇总 2 6 10 4" xfId="19184" xr:uid="{00000000-0005-0000-0000-0000204B0000}"/>
    <cellStyle name="汇总 2 6 10 4 2" xfId="15654" xr:uid="{00000000-0005-0000-0000-0000563D0000}"/>
    <cellStyle name="汇总 2 6 10 4 2 2" xfId="15657" xr:uid="{00000000-0005-0000-0000-0000593D0000}"/>
    <cellStyle name="汇总 2 6 10 4 3" xfId="14119" xr:uid="{00000000-0005-0000-0000-000057370000}"/>
    <cellStyle name="汇总 2 6 10 4 3 2" xfId="15662" xr:uid="{00000000-0005-0000-0000-00005E3D0000}"/>
    <cellStyle name="汇总 2 6 10 4 4" xfId="15669" xr:uid="{00000000-0005-0000-0000-0000653D0000}"/>
    <cellStyle name="汇总 2 6 10 4 4 2" xfId="19053" xr:uid="{00000000-0005-0000-0000-00009D4A0000}"/>
    <cellStyle name="汇总 2 6 10 4 5" xfId="17587" xr:uid="{00000000-0005-0000-0000-0000E3440000}"/>
    <cellStyle name="汇总 2 6 10 4 5 2" xfId="15474" xr:uid="{00000000-0005-0000-0000-0000A23C0000}"/>
    <cellStyle name="汇总 2 6 10 4 6" xfId="19186" xr:uid="{00000000-0005-0000-0000-0000224B0000}"/>
    <cellStyle name="汇总 2 6 10 5" xfId="19188" xr:uid="{00000000-0005-0000-0000-0000244B0000}"/>
    <cellStyle name="汇总 2 6 10 5 2" xfId="15696" xr:uid="{00000000-0005-0000-0000-0000803D0000}"/>
    <cellStyle name="汇总 2 6 10 5 2 2" xfId="15709" xr:uid="{00000000-0005-0000-0000-00008D3D0000}"/>
    <cellStyle name="汇总 2 6 10 5 3" xfId="14127" xr:uid="{00000000-0005-0000-0000-00005F370000}"/>
    <cellStyle name="汇总 2 6 10 5 3 2" xfId="15714" xr:uid="{00000000-0005-0000-0000-0000923D0000}"/>
    <cellStyle name="汇总 2 6 10 5 4" xfId="15716" xr:uid="{00000000-0005-0000-0000-0000943D0000}"/>
    <cellStyle name="汇总 2 6 10 5 4 2" xfId="19191" xr:uid="{00000000-0005-0000-0000-0000274B0000}"/>
    <cellStyle name="汇总 2 6 10 5 5" xfId="19193" xr:uid="{00000000-0005-0000-0000-0000294B0000}"/>
    <cellStyle name="汇总 2 6 10 5 5 2" xfId="2086" xr:uid="{00000000-0005-0000-0000-000056080000}"/>
    <cellStyle name="汇总 2 6 10 5 6" xfId="19195" xr:uid="{00000000-0005-0000-0000-00002B4B0000}"/>
    <cellStyle name="汇总 2 6 10 6" xfId="19196" xr:uid="{00000000-0005-0000-0000-00002C4B0000}"/>
    <cellStyle name="汇总 2 6 10 6 2" xfId="15739" xr:uid="{00000000-0005-0000-0000-0000AB3D0000}"/>
    <cellStyle name="汇总 2 6 10 6 2 2" xfId="15742" xr:uid="{00000000-0005-0000-0000-0000AE3D0000}"/>
    <cellStyle name="汇总 2 6 10 6 3" xfId="15751" xr:uid="{00000000-0005-0000-0000-0000B73D0000}"/>
    <cellStyle name="汇总 2 6 10 6 3 2" xfId="15755" xr:uid="{00000000-0005-0000-0000-0000BB3D0000}"/>
    <cellStyle name="汇总 2 6 10 6 4" xfId="8363" xr:uid="{00000000-0005-0000-0000-0000DB200000}"/>
    <cellStyle name="汇总 2 6 10 6 4 2" xfId="19198" xr:uid="{00000000-0005-0000-0000-00002E4B0000}"/>
    <cellStyle name="汇总 2 6 10 6 5" xfId="19204" xr:uid="{00000000-0005-0000-0000-0000344B0000}"/>
    <cellStyle name="汇总 2 6 10 6 5 2" xfId="485" xr:uid="{00000000-0005-0000-0000-000011020000}"/>
    <cellStyle name="汇总 2 6 10 6 6" xfId="19206" xr:uid="{00000000-0005-0000-0000-0000364B0000}"/>
    <cellStyle name="汇总 2 6 10 7" xfId="19207" xr:uid="{00000000-0005-0000-0000-0000374B0000}"/>
    <cellStyle name="汇总 2 6 10 7 2" xfId="15780" xr:uid="{00000000-0005-0000-0000-0000D43D0000}"/>
    <cellStyle name="汇总 2 6 10 7 2 2" xfId="15783" xr:uid="{00000000-0005-0000-0000-0000D73D0000}"/>
    <cellStyle name="汇总 2 6 10 7 3" xfId="15794" xr:uid="{00000000-0005-0000-0000-0000E23D0000}"/>
    <cellStyle name="汇总 2 6 10 7 3 2" xfId="15798" xr:uid="{00000000-0005-0000-0000-0000E63D0000}"/>
    <cellStyle name="汇总 2 6 10 7 4" xfId="8378" xr:uid="{00000000-0005-0000-0000-0000EA200000}"/>
    <cellStyle name="汇总 2 6 10 7 4 2" xfId="11502" xr:uid="{00000000-0005-0000-0000-00001E2D0000}"/>
    <cellStyle name="汇总 2 6 10 7 5" xfId="19211" xr:uid="{00000000-0005-0000-0000-00003B4B0000}"/>
    <cellStyle name="汇总 2 6 10 7 5 2" xfId="19214" xr:uid="{00000000-0005-0000-0000-00003E4B0000}"/>
    <cellStyle name="汇总 2 6 10 7 6" xfId="19217" xr:uid="{00000000-0005-0000-0000-0000414B0000}"/>
    <cellStyle name="汇总 2 6 10 8" xfId="2862" xr:uid="{00000000-0005-0000-0000-00005E0B0000}"/>
    <cellStyle name="汇总 2 6 10 8 2" xfId="15828" xr:uid="{00000000-0005-0000-0000-0000043E0000}"/>
    <cellStyle name="汇总 2 6 10 8 2 2" xfId="15831" xr:uid="{00000000-0005-0000-0000-0000073E0000}"/>
    <cellStyle name="汇总 2 6 10 8 3" xfId="4934" xr:uid="{00000000-0005-0000-0000-000076130000}"/>
    <cellStyle name="汇总 2 6 10 8 3 2" xfId="15837" xr:uid="{00000000-0005-0000-0000-00000D3E0000}"/>
    <cellStyle name="汇总 2 6 10 8 4" xfId="8391" xr:uid="{00000000-0005-0000-0000-0000F7200000}"/>
    <cellStyle name="汇总 2 6 10 8 4 2" xfId="19218" xr:uid="{00000000-0005-0000-0000-0000424B0000}"/>
    <cellStyle name="汇总 2 6 10 8 5" xfId="19220" xr:uid="{00000000-0005-0000-0000-0000444B0000}"/>
    <cellStyle name="汇总 2 6 10 9" xfId="11976" xr:uid="{00000000-0005-0000-0000-0000F82E0000}"/>
    <cellStyle name="汇总 2 6 10 9 2" xfId="11981" xr:uid="{00000000-0005-0000-0000-0000FD2E0000}"/>
    <cellStyle name="汇总 2 6 11" xfId="19222" xr:uid="{00000000-0005-0000-0000-0000464B0000}"/>
    <cellStyle name="汇总 2 6 11 10" xfId="7613" xr:uid="{00000000-0005-0000-0000-0000ED1D0000}"/>
    <cellStyle name="汇总 2 6 11 10 2" xfId="7622" xr:uid="{00000000-0005-0000-0000-0000F61D0000}"/>
    <cellStyle name="汇总 2 6 11 11" xfId="7631" xr:uid="{00000000-0005-0000-0000-0000FF1D0000}"/>
    <cellStyle name="汇总 2 6 11 11 2" xfId="7638" xr:uid="{00000000-0005-0000-0000-0000061E0000}"/>
    <cellStyle name="汇总 2 6 11 12" xfId="7651" xr:uid="{00000000-0005-0000-0000-0000131E0000}"/>
    <cellStyle name="汇总 2 6 11 12 2" xfId="7659" xr:uid="{00000000-0005-0000-0000-00001B1E0000}"/>
    <cellStyle name="汇总 2 6 11 13" xfId="3452" xr:uid="{00000000-0005-0000-0000-0000AC0D0000}"/>
    <cellStyle name="汇总 2 6 11 14" xfId="7682" xr:uid="{00000000-0005-0000-0000-0000321E0000}"/>
    <cellStyle name="汇总 2 6 11 15" xfId="19223" xr:uid="{00000000-0005-0000-0000-0000474B0000}"/>
    <cellStyle name="汇总 2 6 11 16" xfId="19224" xr:uid="{00000000-0005-0000-0000-0000484B0000}"/>
    <cellStyle name="汇总 2 6 11 2" xfId="657" xr:uid="{00000000-0005-0000-0000-0000C1020000}"/>
    <cellStyle name="汇总 2 6 11 2 2" xfId="5335" xr:uid="{00000000-0005-0000-0000-000007150000}"/>
    <cellStyle name="汇总 2 6 11 2 2 2" xfId="19226" xr:uid="{00000000-0005-0000-0000-00004A4B0000}"/>
    <cellStyle name="汇总 2 6 11 2 3" xfId="14136" xr:uid="{00000000-0005-0000-0000-000068370000}"/>
    <cellStyle name="汇总 2 6 11 2 3 2" xfId="19229" xr:uid="{00000000-0005-0000-0000-00004D4B0000}"/>
    <cellStyle name="汇总 2 6 11 2 4" xfId="14397" xr:uid="{00000000-0005-0000-0000-00006D380000}"/>
    <cellStyle name="汇总 2 6 11 2 4 2" xfId="19231" xr:uid="{00000000-0005-0000-0000-00004F4B0000}"/>
    <cellStyle name="汇总 2 6 11 2 5" xfId="17599" xr:uid="{00000000-0005-0000-0000-0000EF440000}"/>
    <cellStyle name="汇总 2 6 11 2 5 2" xfId="19234" xr:uid="{00000000-0005-0000-0000-0000524B0000}"/>
    <cellStyle name="汇总 2 6 11 2 6" xfId="19236" xr:uid="{00000000-0005-0000-0000-0000544B0000}"/>
    <cellStyle name="汇总 2 6 11 3" xfId="320" xr:uid="{00000000-0005-0000-0000-00005F010000}"/>
    <cellStyle name="汇总 2 6 11 3 2" xfId="527" xr:uid="{00000000-0005-0000-0000-00003E020000}"/>
    <cellStyle name="汇总 2 6 11 3 2 2" xfId="13911" xr:uid="{00000000-0005-0000-0000-000087360000}"/>
    <cellStyle name="汇总 2 6 11 3 3" xfId="14142" xr:uid="{00000000-0005-0000-0000-00006E370000}"/>
    <cellStyle name="汇总 2 6 11 3 3 2" xfId="13976" xr:uid="{00000000-0005-0000-0000-0000C8360000}"/>
    <cellStyle name="汇总 2 6 11 3 4" xfId="14402" xr:uid="{00000000-0005-0000-0000-000072380000}"/>
    <cellStyle name="汇总 2 6 11 3 4 2" xfId="13988" xr:uid="{00000000-0005-0000-0000-0000D4360000}"/>
    <cellStyle name="汇总 2 6 11 3 5" xfId="17605" xr:uid="{00000000-0005-0000-0000-0000F5440000}"/>
    <cellStyle name="汇总 2 6 11 3 5 2" xfId="13994" xr:uid="{00000000-0005-0000-0000-0000DA360000}"/>
    <cellStyle name="汇总 2 6 11 3 6" xfId="19238" xr:uid="{00000000-0005-0000-0000-0000564B0000}"/>
    <cellStyle name="汇总 2 6 11 4" xfId="19239" xr:uid="{00000000-0005-0000-0000-0000574B0000}"/>
    <cellStyle name="汇总 2 6 11 4 2" xfId="19241" xr:uid="{00000000-0005-0000-0000-0000594B0000}"/>
    <cellStyle name="汇总 2 6 11 4 2 2" xfId="19243" xr:uid="{00000000-0005-0000-0000-00005B4B0000}"/>
    <cellStyle name="汇总 2 6 11 4 3" xfId="14145" xr:uid="{00000000-0005-0000-0000-000071370000}"/>
    <cellStyle name="汇总 2 6 11 4 3 2" xfId="19246" xr:uid="{00000000-0005-0000-0000-00005E4B0000}"/>
    <cellStyle name="汇总 2 6 11 4 4" xfId="19250" xr:uid="{00000000-0005-0000-0000-0000624B0000}"/>
    <cellStyle name="汇总 2 6 11 4 4 2" xfId="19253" xr:uid="{00000000-0005-0000-0000-0000654B0000}"/>
    <cellStyle name="汇总 2 6 11 4 5" xfId="17614" xr:uid="{00000000-0005-0000-0000-0000FE440000}"/>
    <cellStyle name="汇总 2 6 11 4 5 2" xfId="19256" xr:uid="{00000000-0005-0000-0000-0000684B0000}"/>
    <cellStyle name="汇总 2 6 11 4 6" xfId="19258" xr:uid="{00000000-0005-0000-0000-00006A4B0000}"/>
    <cellStyle name="汇总 2 6 11 5" xfId="19259" xr:uid="{00000000-0005-0000-0000-00006B4B0000}"/>
    <cellStyle name="汇总 2 6 11 5 2" xfId="19260" xr:uid="{00000000-0005-0000-0000-00006C4B0000}"/>
    <cellStyle name="汇总 2 6 11 5 2 2" xfId="19262" xr:uid="{00000000-0005-0000-0000-00006E4B0000}"/>
    <cellStyle name="汇总 2 6 11 5 3" xfId="1843" xr:uid="{00000000-0005-0000-0000-000063070000}"/>
    <cellStyle name="汇总 2 6 11 5 3 2" xfId="19264" xr:uid="{00000000-0005-0000-0000-0000704B0000}"/>
    <cellStyle name="汇总 2 6 11 5 4" xfId="19268" xr:uid="{00000000-0005-0000-0000-0000744B0000}"/>
    <cellStyle name="汇总 2 6 11 5 4 2" xfId="19270" xr:uid="{00000000-0005-0000-0000-0000764B0000}"/>
    <cellStyle name="汇总 2 6 11 5 5" xfId="19272" xr:uid="{00000000-0005-0000-0000-0000784B0000}"/>
    <cellStyle name="汇总 2 6 11 5 5 2" xfId="19274" xr:uid="{00000000-0005-0000-0000-00007A4B0000}"/>
    <cellStyle name="汇总 2 6 11 5 6" xfId="19276" xr:uid="{00000000-0005-0000-0000-00007C4B0000}"/>
    <cellStyle name="汇总 2 6 11 6" xfId="19277" xr:uid="{00000000-0005-0000-0000-00007D4B0000}"/>
    <cellStyle name="汇总 2 6 11 6 2" xfId="19278" xr:uid="{00000000-0005-0000-0000-00007E4B0000}"/>
    <cellStyle name="汇总 2 6 11 6 2 2" xfId="19280" xr:uid="{00000000-0005-0000-0000-0000804B0000}"/>
    <cellStyle name="汇总 2 6 11 6 3" xfId="19282" xr:uid="{00000000-0005-0000-0000-0000824B0000}"/>
    <cellStyle name="汇总 2 6 11 6 3 2" xfId="19285" xr:uid="{00000000-0005-0000-0000-0000854B0000}"/>
    <cellStyle name="汇总 2 6 11 6 4" xfId="8413" xr:uid="{00000000-0005-0000-0000-00000D210000}"/>
    <cellStyle name="汇总 2 6 11 6 4 2" xfId="19288" xr:uid="{00000000-0005-0000-0000-0000884B0000}"/>
    <cellStyle name="汇总 2 6 11 6 5" xfId="19295" xr:uid="{00000000-0005-0000-0000-00008F4B0000}"/>
    <cellStyle name="汇总 2 6 11 6 5 2" xfId="19298" xr:uid="{00000000-0005-0000-0000-0000924B0000}"/>
    <cellStyle name="汇总 2 6 11 6 6" xfId="19300" xr:uid="{00000000-0005-0000-0000-0000944B0000}"/>
    <cellStyle name="汇总 2 6 11 7" xfId="17047" xr:uid="{00000000-0005-0000-0000-0000C7420000}"/>
    <cellStyle name="汇总 2 6 11 7 2" xfId="19301" xr:uid="{00000000-0005-0000-0000-0000954B0000}"/>
    <cellStyle name="汇总 2 6 11 7 2 2" xfId="19302" xr:uid="{00000000-0005-0000-0000-0000964B0000}"/>
    <cellStyle name="汇总 2 6 11 7 3" xfId="19304" xr:uid="{00000000-0005-0000-0000-0000984B0000}"/>
    <cellStyle name="汇总 2 6 11 7 3 2" xfId="19307" xr:uid="{00000000-0005-0000-0000-00009B4B0000}"/>
    <cellStyle name="汇总 2 6 11 7 4" xfId="8440" xr:uid="{00000000-0005-0000-0000-000028210000}"/>
    <cellStyle name="汇总 2 6 11 7 4 2" xfId="19309" xr:uid="{00000000-0005-0000-0000-00009D4B0000}"/>
    <cellStyle name="汇总 2 6 11 7 5" xfId="10882" xr:uid="{00000000-0005-0000-0000-0000B22A0000}"/>
    <cellStyle name="汇总 2 6 11 7 5 2" xfId="19311" xr:uid="{00000000-0005-0000-0000-00009F4B0000}"/>
    <cellStyle name="汇总 2 6 11 7 6" xfId="19313" xr:uid="{00000000-0005-0000-0000-0000A14B0000}"/>
    <cellStyle name="汇总 2 6 11 8" xfId="9178" xr:uid="{00000000-0005-0000-0000-00000A240000}"/>
    <cellStyle name="汇总 2 6 11 8 2" xfId="19314" xr:uid="{00000000-0005-0000-0000-0000A24B0000}"/>
    <cellStyle name="汇总 2 6 11 8 2 2" xfId="15760" xr:uid="{00000000-0005-0000-0000-0000C03D0000}"/>
    <cellStyle name="汇总 2 6 11 8 3" xfId="19316" xr:uid="{00000000-0005-0000-0000-0000A44B0000}"/>
    <cellStyle name="汇总 2 6 11 8 3 2" xfId="15870" xr:uid="{00000000-0005-0000-0000-00002E3E0000}"/>
    <cellStyle name="汇总 2 6 11 8 4" xfId="8460" xr:uid="{00000000-0005-0000-0000-00003C210000}"/>
    <cellStyle name="汇总 2 6 11 8 4 2" xfId="15892" xr:uid="{00000000-0005-0000-0000-0000443E0000}"/>
    <cellStyle name="汇总 2 6 11 8 5" xfId="10890" xr:uid="{00000000-0005-0000-0000-0000BA2A0000}"/>
    <cellStyle name="汇总 2 6 11 9" xfId="19317" xr:uid="{00000000-0005-0000-0000-0000A54B0000}"/>
    <cellStyle name="汇总 2 6 11 9 2" xfId="19318" xr:uid="{00000000-0005-0000-0000-0000A64B0000}"/>
    <cellStyle name="汇总 2 6 12" xfId="19319" xr:uid="{00000000-0005-0000-0000-0000A74B0000}"/>
    <cellStyle name="汇总 2 6 12 2" xfId="672" xr:uid="{00000000-0005-0000-0000-0000D0020000}"/>
    <cellStyle name="汇总 2 6 12 2 2" xfId="5342" xr:uid="{00000000-0005-0000-0000-00000E150000}"/>
    <cellStyle name="汇总 2 6 12 3" xfId="693" xr:uid="{00000000-0005-0000-0000-0000E5020000}"/>
    <cellStyle name="汇总 2 6 12 3 2" xfId="19320" xr:uid="{00000000-0005-0000-0000-0000A84B0000}"/>
    <cellStyle name="汇总 2 6 12 4" xfId="19323" xr:uid="{00000000-0005-0000-0000-0000AB4B0000}"/>
    <cellStyle name="汇总 2 6 12 4 2" xfId="19325" xr:uid="{00000000-0005-0000-0000-0000AD4B0000}"/>
    <cellStyle name="汇总 2 6 12 5" xfId="19327" xr:uid="{00000000-0005-0000-0000-0000AF4B0000}"/>
    <cellStyle name="汇总 2 6 12 5 2" xfId="19330" xr:uid="{00000000-0005-0000-0000-0000B24B0000}"/>
    <cellStyle name="汇总 2 6 12 6" xfId="19332" xr:uid="{00000000-0005-0000-0000-0000B44B0000}"/>
    <cellStyle name="汇总 2 6 12 7" xfId="17050" xr:uid="{00000000-0005-0000-0000-0000CA420000}"/>
    <cellStyle name="汇总 2 6 12 8" xfId="12772" xr:uid="{00000000-0005-0000-0000-000014320000}"/>
    <cellStyle name="汇总 2 6 12 9" xfId="19334" xr:uid="{00000000-0005-0000-0000-0000B64B0000}"/>
    <cellStyle name="汇总 2 6 13" xfId="19337" xr:uid="{00000000-0005-0000-0000-0000B94B0000}"/>
    <cellStyle name="汇总 2 6 13 2" xfId="727" xr:uid="{00000000-0005-0000-0000-000007030000}"/>
    <cellStyle name="汇总 2 6 13 2 2" xfId="5375" xr:uid="{00000000-0005-0000-0000-00002F150000}"/>
    <cellStyle name="汇总 2 6 13 3" xfId="554" xr:uid="{00000000-0005-0000-0000-00005A020000}"/>
    <cellStyle name="汇总 2 6 13 3 2" xfId="19338" xr:uid="{00000000-0005-0000-0000-0000BA4B0000}"/>
    <cellStyle name="汇总 2 6 13 4" xfId="19340" xr:uid="{00000000-0005-0000-0000-0000BC4B0000}"/>
    <cellStyle name="汇总 2 6 13 4 2" xfId="19343" xr:uid="{00000000-0005-0000-0000-0000BF4B0000}"/>
    <cellStyle name="汇总 2 6 13 5" xfId="19346" xr:uid="{00000000-0005-0000-0000-0000C24B0000}"/>
    <cellStyle name="汇总 2 6 13 5 2" xfId="19349" xr:uid="{00000000-0005-0000-0000-0000C54B0000}"/>
    <cellStyle name="汇总 2 6 13 6" xfId="19353" xr:uid="{00000000-0005-0000-0000-0000C94B0000}"/>
    <cellStyle name="汇总 2 6 14" xfId="19355" xr:uid="{00000000-0005-0000-0000-0000CB4B0000}"/>
    <cellStyle name="汇总 2 6 14 2" xfId="746" xr:uid="{00000000-0005-0000-0000-00001A030000}"/>
    <cellStyle name="汇总 2 6 14 2 2" xfId="19356" xr:uid="{00000000-0005-0000-0000-0000CC4B0000}"/>
    <cellStyle name="汇总 2 6 14 3" xfId="606" xr:uid="{00000000-0005-0000-0000-00008E020000}"/>
    <cellStyle name="汇总 2 6 14 3 2" xfId="19358" xr:uid="{00000000-0005-0000-0000-0000CE4B0000}"/>
    <cellStyle name="汇总 2 6 14 4" xfId="19360" xr:uid="{00000000-0005-0000-0000-0000D04B0000}"/>
    <cellStyle name="汇总 2 6 14 4 2" xfId="19365" xr:uid="{00000000-0005-0000-0000-0000D54B0000}"/>
    <cellStyle name="汇总 2 6 14 5" xfId="19367" xr:uid="{00000000-0005-0000-0000-0000D74B0000}"/>
    <cellStyle name="汇总 2 6 14 5 2" xfId="19370" xr:uid="{00000000-0005-0000-0000-0000DA4B0000}"/>
    <cellStyle name="汇总 2 6 14 6" xfId="19376" xr:uid="{00000000-0005-0000-0000-0000E04B0000}"/>
    <cellStyle name="汇总 2 6 15" xfId="19378" xr:uid="{00000000-0005-0000-0000-0000E24B0000}"/>
    <cellStyle name="汇总 2 6 15 2" xfId="17656" xr:uid="{00000000-0005-0000-0000-000028450000}"/>
    <cellStyle name="汇总 2 6 15 2 2" xfId="17660" xr:uid="{00000000-0005-0000-0000-00002C450000}"/>
    <cellStyle name="汇总 2 6 15 3" xfId="17670" xr:uid="{00000000-0005-0000-0000-000036450000}"/>
    <cellStyle name="汇总 2 6 15 3 2" xfId="17675" xr:uid="{00000000-0005-0000-0000-00003B450000}"/>
    <cellStyle name="汇总 2 6 15 4" xfId="17689" xr:uid="{00000000-0005-0000-0000-000049450000}"/>
    <cellStyle name="汇总 2 6 15 4 2" xfId="17692" xr:uid="{00000000-0005-0000-0000-00004C450000}"/>
    <cellStyle name="汇总 2 6 15 5" xfId="17703" xr:uid="{00000000-0005-0000-0000-000057450000}"/>
    <cellStyle name="汇总 2 6 15 5 2" xfId="13744" xr:uid="{00000000-0005-0000-0000-0000E0350000}"/>
    <cellStyle name="汇总 2 6 15 6" xfId="17725" xr:uid="{00000000-0005-0000-0000-00006D450000}"/>
    <cellStyle name="汇总 2 6 16" xfId="19381" xr:uid="{00000000-0005-0000-0000-0000E54B0000}"/>
    <cellStyle name="汇总 2 6 16 2" xfId="17824" xr:uid="{00000000-0005-0000-0000-0000D0450000}"/>
    <cellStyle name="汇总 2 6 16 2 2" xfId="17828" xr:uid="{00000000-0005-0000-0000-0000D4450000}"/>
    <cellStyle name="汇总 2 6 16 3" xfId="17841" xr:uid="{00000000-0005-0000-0000-0000E1450000}"/>
    <cellStyle name="汇总 2 6 16 3 2" xfId="17847" xr:uid="{00000000-0005-0000-0000-0000E7450000}"/>
    <cellStyle name="汇总 2 6 16 4" xfId="17870" xr:uid="{00000000-0005-0000-0000-0000FE450000}"/>
    <cellStyle name="汇总 2 6 16 4 2" xfId="17266" xr:uid="{00000000-0005-0000-0000-0000A2430000}"/>
    <cellStyle name="汇总 2 6 16 5" xfId="17885" xr:uid="{00000000-0005-0000-0000-00000D460000}"/>
    <cellStyle name="汇总 2 6 16 5 2" xfId="119" xr:uid="{00000000-0005-0000-0000-000081000000}"/>
    <cellStyle name="汇总 2 6 16 6" xfId="17913" xr:uid="{00000000-0005-0000-0000-000029460000}"/>
    <cellStyle name="汇总 2 6 17" xfId="19385" xr:uid="{00000000-0005-0000-0000-0000E94B0000}"/>
    <cellStyle name="汇总 2 6 17 2" xfId="17985" xr:uid="{00000000-0005-0000-0000-000071460000}"/>
    <cellStyle name="汇总 2 6 17 2 2" xfId="17990" xr:uid="{00000000-0005-0000-0000-000076460000}"/>
    <cellStyle name="汇总 2 6 17 3" xfId="18003" xr:uid="{00000000-0005-0000-0000-000083460000}"/>
    <cellStyle name="汇总 2 6 17 3 2" xfId="18010" xr:uid="{00000000-0005-0000-0000-00008A460000}"/>
    <cellStyle name="汇总 2 6 17 4" xfId="18051" xr:uid="{00000000-0005-0000-0000-0000B3460000}"/>
    <cellStyle name="汇总 2 6 17 4 2" xfId="18056" xr:uid="{00000000-0005-0000-0000-0000B8460000}"/>
    <cellStyle name="汇总 2 6 17 5" xfId="18086" xr:uid="{00000000-0005-0000-0000-0000D6460000}"/>
    <cellStyle name="汇总 2 6 17 5 2" xfId="18096" xr:uid="{00000000-0005-0000-0000-0000E0460000}"/>
    <cellStyle name="汇总 2 6 17 6" xfId="18131" xr:uid="{00000000-0005-0000-0000-000003470000}"/>
    <cellStyle name="汇总 2 6 18" xfId="19388" xr:uid="{00000000-0005-0000-0000-0000EC4B0000}"/>
    <cellStyle name="汇总 2 6 18 2" xfId="18233" xr:uid="{00000000-0005-0000-0000-000069470000}"/>
    <cellStyle name="汇总 2 6 18 2 2" xfId="18236" xr:uid="{00000000-0005-0000-0000-00006C470000}"/>
    <cellStyle name="汇总 2 6 18 3" xfId="18268" xr:uid="{00000000-0005-0000-0000-00008C470000}"/>
    <cellStyle name="汇总 2 6 18 3 2" xfId="18273" xr:uid="{00000000-0005-0000-0000-000091470000}"/>
    <cellStyle name="汇总 2 6 18 4" xfId="18315" xr:uid="{00000000-0005-0000-0000-0000BB470000}"/>
    <cellStyle name="汇总 2 6 18 4 2" xfId="18317" xr:uid="{00000000-0005-0000-0000-0000BD470000}"/>
    <cellStyle name="汇总 2 6 18 5" xfId="18361" xr:uid="{00000000-0005-0000-0000-0000E9470000}"/>
    <cellStyle name="汇总 2 6 18 5 2" xfId="18368" xr:uid="{00000000-0005-0000-0000-0000F0470000}"/>
    <cellStyle name="汇总 2 6 18 6" xfId="18420" xr:uid="{00000000-0005-0000-0000-000024480000}"/>
    <cellStyle name="汇总 2 6 19" xfId="19391" xr:uid="{00000000-0005-0000-0000-0000EF4B0000}"/>
    <cellStyle name="汇总 2 6 19 2" xfId="18555" xr:uid="{00000000-0005-0000-0000-0000AB480000}"/>
    <cellStyle name="汇总 2 6 19 2 2" xfId="18558" xr:uid="{00000000-0005-0000-0000-0000AE480000}"/>
    <cellStyle name="汇总 2 6 19 3" xfId="18568" xr:uid="{00000000-0005-0000-0000-0000B8480000}"/>
    <cellStyle name="汇总 2 6 19 3 2" xfId="18573" xr:uid="{00000000-0005-0000-0000-0000BD480000}"/>
    <cellStyle name="汇总 2 6 19 4" xfId="18627" xr:uid="{00000000-0005-0000-0000-0000F3480000}"/>
    <cellStyle name="汇总 2 6 19 4 2" xfId="18631" xr:uid="{00000000-0005-0000-0000-0000F7480000}"/>
    <cellStyle name="汇总 2 6 19 5" xfId="18689" xr:uid="{00000000-0005-0000-0000-000031490000}"/>
    <cellStyle name="汇总 2 6 2" xfId="14559" xr:uid="{00000000-0005-0000-0000-00000F390000}"/>
    <cellStyle name="汇总 2 6 2 10" xfId="6243" xr:uid="{00000000-0005-0000-0000-000093180000}"/>
    <cellStyle name="汇总 2 6 2 10 2" xfId="19396" xr:uid="{00000000-0005-0000-0000-0000F44B0000}"/>
    <cellStyle name="汇总 2 6 2 11" xfId="19398" xr:uid="{00000000-0005-0000-0000-0000F64B0000}"/>
    <cellStyle name="汇总 2 6 2 11 2" xfId="13399" xr:uid="{00000000-0005-0000-0000-000087340000}"/>
    <cellStyle name="汇总 2 6 2 12" xfId="19402" xr:uid="{00000000-0005-0000-0000-0000FA4B0000}"/>
    <cellStyle name="汇总 2 6 2 12 2" xfId="19407" xr:uid="{00000000-0005-0000-0000-0000FF4B0000}"/>
    <cellStyle name="汇总 2 6 2 13" xfId="19411" xr:uid="{00000000-0005-0000-0000-0000034C0000}"/>
    <cellStyle name="汇总 2 6 2 14" xfId="3125" xr:uid="{00000000-0005-0000-0000-0000650C0000}"/>
    <cellStyle name="汇总 2 6 2 15" xfId="8880" xr:uid="{00000000-0005-0000-0000-0000E0220000}"/>
    <cellStyle name="汇总 2 6 2 16" xfId="7624" xr:uid="{00000000-0005-0000-0000-0000F81D0000}"/>
    <cellStyle name="汇总 2 6 2 2" xfId="14562" xr:uid="{00000000-0005-0000-0000-000012390000}"/>
    <cellStyle name="汇总 2 6 2 2 2" xfId="19416" xr:uid="{00000000-0005-0000-0000-0000084C0000}"/>
    <cellStyle name="汇总 2 6 2 2 2 2" xfId="19417" xr:uid="{00000000-0005-0000-0000-0000094C0000}"/>
    <cellStyle name="汇总 2 6 2 2 3" xfId="19418" xr:uid="{00000000-0005-0000-0000-00000A4C0000}"/>
    <cellStyle name="汇总 2 6 2 2 3 2" xfId="19419" xr:uid="{00000000-0005-0000-0000-00000B4C0000}"/>
    <cellStyle name="汇总 2 6 2 2 4" xfId="19421" xr:uid="{00000000-0005-0000-0000-00000D4C0000}"/>
    <cellStyle name="汇总 2 6 2 2 4 2" xfId="19422" xr:uid="{00000000-0005-0000-0000-00000E4C0000}"/>
    <cellStyle name="汇总 2 6 2 2 5" xfId="19428" xr:uid="{00000000-0005-0000-0000-0000144C0000}"/>
    <cellStyle name="汇总 2 6 2 2 5 2" xfId="19431" xr:uid="{00000000-0005-0000-0000-0000174C0000}"/>
    <cellStyle name="汇总 2 6 2 2 6" xfId="19435" xr:uid="{00000000-0005-0000-0000-00001B4C0000}"/>
    <cellStyle name="汇总 2 6 2 2 7" xfId="19439" xr:uid="{00000000-0005-0000-0000-00001F4C0000}"/>
    <cellStyle name="汇总 2 6 2 2 8" xfId="11200" xr:uid="{00000000-0005-0000-0000-0000F02B0000}"/>
    <cellStyle name="汇总 2 6 2 2 9" xfId="19443" xr:uid="{00000000-0005-0000-0000-0000234C0000}"/>
    <cellStyle name="汇总 2 6 2 3" xfId="19444" xr:uid="{00000000-0005-0000-0000-0000244C0000}"/>
    <cellStyle name="汇总 2 6 2 3 2" xfId="19445" xr:uid="{00000000-0005-0000-0000-0000254C0000}"/>
    <cellStyle name="汇总 2 6 2 3 2 2" xfId="19446" xr:uid="{00000000-0005-0000-0000-0000264C0000}"/>
    <cellStyle name="汇总 2 6 2 3 3" xfId="19447" xr:uid="{00000000-0005-0000-0000-0000274C0000}"/>
    <cellStyle name="汇总 2 6 2 3 3 2" xfId="19448" xr:uid="{00000000-0005-0000-0000-0000284C0000}"/>
    <cellStyle name="汇总 2 6 2 3 4" xfId="19449" xr:uid="{00000000-0005-0000-0000-0000294C0000}"/>
    <cellStyle name="汇总 2 6 2 3 4 2" xfId="19450" xr:uid="{00000000-0005-0000-0000-00002A4C0000}"/>
    <cellStyle name="汇总 2 6 2 3 5" xfId="19457" xr:uid="{00000000-0005-0000-0000-0000314C0000}"/>
    <cellStyle name="汇总 2 6 2 3 5 2" xfId="19460" xr:uid="{00000000-0005-0000-0000-0000344C0000}"/>
    <cellStyle name="汇总 2 6 2 3 6" xfId="19465" xr:uid="{00000000-0005-0000-0000-0000394C0000}"/>
    <cellStyle name="汇总 2 6 2 4" xfId="19466" xr:uid="{00000000-0005-0000-0000-00003A4C0000}"/>
    <cellStyle name="汇总 2 6 2 4 2" xfId="19471" xr:uid="{00000000-0005-0000-0000-00003F4C0000}"/>
    <cellStyle name="汇总 2 6 2 4 2 2" xfId="19474" xr:uid="{00000000-0005-0000-0000-0000424C0000}"/>
    <cellStyle name="汇总 2 6 2 4 3" xfId="19480" xr:uid="{00000000-0005-0000-0000-0000484C0000}"/>
    <cellStyle name="汇总 2 6 2 4 3 2" xfId="19482" xr:uid="{00000000-0005-0000-0000-00004A4C0000}"/>
    <cellStyle name="汇总 2 6 2 4 4" xfId="19486" xr:uid="{00000000-0005-0000-0000-00004E4C0000}"/>
    <cellStyle name="汇总 2 6 2 4 4 2" xfId="19488" xr:uid="{00000000-0005-0000-0000-0000504C0000}"/>
    <cellStyle name="汇总 2 6 2 4 5" xfId="19496" xr:uid="{00000000-0005-0000-0000-0000584C0000}"/>
    <cellStyle name="汇总 2 6 2 4 5 2" xfId="19500" xr:uid="{00000000-0005-0000-0000-00005C4C0000}"/>
    <cellStyle name="汇总 2 6 2 4 6" xfId="19510" xr:uid="{00000000-0005-0000-0000-0000664C0000}"/>
    <cellStyle name="汇总 2 6 2 5" xfId="19513" xr:uid="{00000000-0005-0000-0000-0000694C0000}"/>
    <cellStyle name="汇总 2 6 2 5 2" xfId="19516" xr:uid="{00000000-0005-0000-0000-00006C4C0000}"/>
    <cellStyle name="汇总 2 6 2 5 2 2" xfId="19518" xr:uid="{00000000-0005-0000-0000-00006E4C0000}"/>
    <cellStyle name="汇总 2 6 2 5 3" xfId="19519" xr:uid="{00000000-0005-0000-0000-00006F4C0000}"/>
    <cellStyle name="汇总 2 6 2 5 3 2" xfId="19520" xr:uid="{00000000-0005-0000-0000-0000704C0000}"/>
    <cellStyle name="汇总 2 6 2 5 4" xfId="19521" xr:uid="{00000000-0005-0000-0000-0000714C0000}"/>
    <cellStyle name="汇总 2 6 2 5 4 2" xfId="19522" xr:uid="{00000000-0005-0000-0000-0000724C0000}"/>
    <cellStyle name="汇总 2 6 2 5 5" xfId="19530" xr:uid="{00000000-0005-0000-0000-00007A4C0000}"/>
    <cellStyle name="汇总 2 6 2 5 5 2" xfId="19533" xr:uid="{00000000-0005-0000-0000-00007D4C0000}"/>
    <cellStyle name="汇总 2 6 2 5 6" xfId="19537" xr:uid="{00000000-0005-0000-0000-0000814C0000}"/>
    <cellStyle name="汇总 2 6 2 6" xfId="19540" xr:uid="{00000000-0005-0000-0000-0000844C0000}"/>
    <cellStyle name="汇总 2 6 2 6 2" xfId="19544" xr:uid="{00000000-0005-0000-0000-0000884C0000}"/>
    <cellStyle name="汇总 2 6 2 6 2 2" xfId="19546" xr:uid="{00000000-0005-0000-0000-00008A4C0000}"/>
    <cellStyle name="汇总 2 6 2 6 3" xfId="19547" xr:uid="{00000000-0005-0000-0000-00008B4C0000}"/>
    <cellStyle name="汇总 2 6 2 6 3 2" xfId="19548" xr:uid="{00000000-0005-0000-0000-00008C4C0000}"/>
    <cellStyle name="汇总 2 6 2 6 4" xfId="19549" xr:uid="{00000000-0005-0000-0000-00008D4C0000}"/>
    <cellStyle name="汇总 2 6 2 6 4 2" xfId="19550" xr:uid="{00000000-0005-0000-0000-00008E4C0000}"/>
    <cellStyle name="汇总 2 6 2 6 5" xfId="6301" xr:uid="{00000000-0005-0000-0000-0000CD180000}"/>
    <cellStyle name="汇总 2 6 2 6 5 2" xfId="19553" xr:uid="{00000000-0005-0000-0000-0000914C0000}"/>
    <cellStyle name="汇总 2 6 2 6 6" xfId="19561" xr:uid="{00000000-0005-0000-0000-0000994C0000}"/>
    <cellStyle name="汇总 2 6 2 7" xfId="19565" xr:uid="{00000000-0005-0000-0000-00009D4C0000}"/>
    <cellStyle name="汇总 2 6 2 7 2" xfId="19573" xr:uid="{00000000-0005-0000-0000-0000A54C0000}"/>
    <cellStyle name="汇总 2 6 2 7 2 2" xfId="19577" xr:uid="{00000000-0005-0000-0000-0000A94C0000}"/>
    <cellStyle name="汇总 2 6 2 7 3" xfId="19578" xr:uid="{00000000-0005-0000-0000-0000AA4C0000}"/>
    <cellStyle name="汇总 2 6 2 7 3 2" xfId="19580" xr:uid="{00000000-0005-0000-0000-0000AC4C0000}"/>
    <cellStyle name="汇总 2 6 2 7 4" xfId="19581" xr:uid="{00000000-0005-0000-0000-0000AD4C0000}"/>
    <cellStyle name="汇总 2 6 2 7 4 2" xfId="19582" xr:uid="{00000000-0005-0000-0000-0000AE4C0000}"/>
    <cellStyle name="汇总 2 6 2 7 5" xfId="5485" xr:uid="{00000000-0005-0000-0000-00009D150000}"/>
    <cellStyle name="汇总 2 6 2 7 5 2" xfId="19583" xr:uid="{00000000-0005-0000-0000-0000AF4C0000}"/>
    <cellStyle name="汇总 2 6 2 7 6" xfId="3280" xr:uid="{00000000-0005-0000-0000-0000000D0000}"/>
    <cellStyle name="汇总 2 6 2 8" xfId="19585" xr:uid="{00000000-0005-0000-0000-0000B14C0000}"/>
    <cellStyle name="汇总 2 6 2 8 2" xfId="19592" xr:uid="{00000000-0005-0000-0000-0000B84C0000}"/>
    <cellStyle name="汇总 2 6 2 8 2 2" xfId="6119" xr:uid="{00000000-0005-0000-0000-000017180000}"/>
    <cellStyle name="汇总 2 6 2 8 3" xfId="19595" xr:uid="{00000000-0005-0000-0000-0000BB4C0000}"/>
    <cellStyle name="汇总 2 6 2 8 3 2" xfId="8946" xr:uid="{00000000-0005-0000-0000-000022230000}"/>
    <cellStyle name="汇总 2 6 2 8 4" xfId="19596" xr:uid="{00000000-0005-0000-0000-0000BC4C0000}"/>
    <cellStyle name="汇总 2 6 2 8 4 2" xfId="8984" xr:uid="{00000000-0005-0000-0000-000048230000}"/>
    <cellStyle name="汇总 2 6 2 8 5" xfId="6338" xr:uid="{00000000-0005-0000-0000-0000F2180000}"/>
    <cellStyle name="汇总 2 6 2 9" xfId="13217" xr:uid="{00000000-0005-0000-0000-0000D1330000}"/>
    <cellStyle name="汇总 2 6 2 9 2" xfId="19601" xr:uid="{00000000-0005-0000-0000-0000C14C0000}"/>
    <cellStyle name="汇总 2 6 20" xfId="19379" xr:uid="{00000000-0005-0000-0000-0000E34B0000}"/>
    <cellStyle name="汇总 2 6 20 2" xfId="17657" xr:uid="{00000000-0005-0000-0000-000029450000}"/>
    <cellStyle name="汇总 2 6 21" xfId="19382" xr:uid="{00000000-0005-0000-0000-0000E64B0000}"/>
    <cellStyle name="汇总 2 6 21 2" xfId="17825" xr:uid="{00000000-0005-0000-0000-0000D1450000}"/>
    <cellStyle name="汇总 2 6 22" xfId="19386" xr:uid="{00000000-0005-0000-0000-0000EA4B0000}"/>
    <cellStyle name="汇总 2 6 22 2" xfId="17986" xr:uid="{00000000-0005-0000-0000-000072460000}"/>
    <cellStyle name="汇总 2 6 23" xfId="19389" xr:uid="{00000000-0005-0000-0000-0000ED4B0000}"/>
    <cellStyle name="汇总 2 6 23 2" xfId="18234" xr:uid="{00000000-0005-0000-0000-00006A470000}"/>
    <cellStyle name="汇总 2 6 24" xfId="19392" xr:uid="{00000000-0005-0000-0000-0000F04B0000}"/>
    <cellStyle name="汇总 2 6 25" xfId="19604" xr:uid="{00000000-0005-0000-0000-0000C44C0000}"/>
    <cellStyle name="汇总 2 6 26" xfId="19606" xr:uid="{00000000-0005-0000-0000-0000C64C0000}"/>
    <cellStyle name="汇总 2 6 27" xfId="19608" xr:uid="{00000000-0005-0000-0000-0000C84C0000}"/>
    <cellStyle name="汇总 2 6 3" xfId="14565" xr:uid="{00000000-0005-0000-0000-000015390000}"/>
    <cellStyle name="汇总 2 6 3 10" xfId="14882" xr:uid="{00000000-0005-0000-0000-0000523A0000}"/>
    <cellStyle name="汇总 2 6 3 10 2" xfId="14885" xr:uid="{00000000-0005-0000-0000-0000553A0000}"/>
    <cellStyle name="汇总 2 6 3 11" xfId="14887" xr:uid="{00000000-0005-0000-0000-0000573A0000}"/>
    <cellStyle name="汇总 2 6 3 11 2" xfId="14892" xr:uid="{00000000-0005-0000-0000-00005C3A0000}"/>
    <cellStyle name="汇总 2 6 3 12" xfId="10042" xr:uid="{00000000-0005-0000-0000-00006A270000}"/>
    <cellStyle name="汇总 2 6 3 12 2" xfId="14898" xr:uid="{00000000-0005-0000-0000-0000623A0000}"/>
    <cellStyle name="汇总 2 6 3 13" xfId="14902" xr:uid="{00000000-0005-0000-0000-0000663A0000}"/>
    <cellStyle name="汇总 2 6 3 14" xfId="19610" xr:uid="{00000000-0005-0000-0000-0000CA4C0000}"/>
    <cellStyle name="汇总 2 6 3 15" xfId="5845" xr:uid="{00000000-0005-0000-0000-000005170000}"/>
    <cellStyle name="汇总 2 6 3 16" xfId="9113" xr:uid="{00000000-0005-0000-0000-0000C9230000}"/>
    <cellStyle name="汇总 2 6 3 2" xfId="14569" xr:uid="{00000000-0005-0000-0000-000019390000}"/>
    <cellStyle name="汇总 2 6 3 2 2" xfId="19614" xr:uid="{00000000-0005-0000-0000-0000CE4C0000}"/>
    <cellStyle name="汇总 2 6 3 2 2 2" xfId="5613" xr:uid="{00000000-0005-0000-0000-00001D160000}"/>
    <cellStyle name="汇总 2 6 3 2 3" xfId="19615" xr:uid="{00000000-0005-0000-0000-0000CF4C0000}"/>
    <cellStyle name="汇总 2 6 3 2 3 2" xfId="19616" xr:uid="{00000000-0005-0000-0000-0000D04C0000}"/>
    <cellStyle name="汇总 2 6 3 2 4" xfId="19618" xr:uid="{00000000-0005-0000-0000-0000D24C0000}"/>
    <cellStyle name="汇总 2 6 3 2 4 2" xfId="19621" xr:uid="{00000000-0005-0000-0000-0000D54C0000}"/>
    <cellStyle name="汇总 2 6 3 2 5" xfId="16336" xr:uid="{00000000-0005-0000-0000-000000400000}"/>
    <cellStyle name="汇总 2 6 3 2 5 2" xfId="19623" xr:uid="{00000000-0005-0000-0000-0000D74C0000}"/>
    <cellStyle name="汇总 2 6 3 2 6" xfId="19625" xr:uid="{00000000-0005-0000-0000-0000D94C0000}"/>
    <cellStyle name="汇总 2 6 3 2 7" xfId="19627" xr:uid="{00000000-0005-0000-0000-0000DB4C0000}"/>
    <cellStyle name="汇总 2 6 3 2 8" xfId="11452" xr:uid="{00000000-0005-0000-0000-0000EC2C0000}"/>
    <cellStyle name="汇总 2 6 3 2 9" xfId="19629" xr:uid="{00000000-0005-0000-0000-0000DD4C0000}"/>
    <cellStyle name="汇总 2 6 3 3" xfId="19630" xr:uid="{00000000-0005-0000-0000-0000DE4C0000}"/>
    <cellStyle name="汇总 2 6 3 3 2" xfId="19631" xr:uid="{00000000-0005-0000-0000-0000DF4C0000}"/>
    <cellStyle name="汇总 2 6 3 3 2 2" xfId="19240" xr:uid="{00000000-0005-0000-0000-0000584B0000}"/>
    <cellStyle name="汇总 2 6 3 3 3" xfId="19632" xr:uid="{00000000-0005-0000-0000-0000E04C0000}"/>
    <cellStyle name="汇总 2 6 3 3 3 2" xfId="19324" xr:uid="{00000000-0005-0000-0000-0000AC4B0000}"/>
    <cellStyle name="汇总 2 6 3 3 4" xfId="19634" xr:uid="{00000000-0005-0000-0000-0000E24C0000}"/>
    <cellStyle name="汇总 2 6 3 3 4 2" xfId="19341" xr:uid="{00000000-0005-0000-0000-0000BD4B0000}"/>
    <cellStyle name="汇总 2 6 3 3 5" xfId="16339" xr:uid="{00000000-0005-0000-0000-000003400000}"/>
    <cellStyle name="汇总 2 6 3 3 5 2" xfId="19362" xr:uid="{00000000-0005-0000-0000-0000D24B0000}"/>
    <cellStyle name="汇总 2 6 3 3 6" xfId="19636" xr:uid="{00000000-0005-0000-0000-0000E44C0000}"/>
    <cellStyle name="汇总 2 6 3 4" xfId="19639" xr:uid="{00000000-0005-0000-0000-0000E74C0000}"/>
    <cellStyle name="汇总 2 6 3 4 2" xfId="19643" xr:uid="{00000000-0005-0000-0000-0000EB4C0000}"/>
    <cellStyle name="汇总 2 6 3 4 2 2" xfId="19645" xr:uid="{00000000-0005-0000-0000-0000ED4C0000}"/>
    <cellStyle name="汇总 2 6 3 4 3" xfId="19648" xr:uid="{00000000-0005-0000-0000-0000F04C0000}"/>
    <cellStyle name="汇总 2 6 3 4 3 2" xfId="19649" xr:uid="{00000000-0005-0000-0000-0000F14C0000}"/>
    <cellStyle name="汇总 2 6 3 4 4" xfId="19653" xr:uid="{00000000-0005-0000-0000-0000F54C0000}"/>
    <cellStyle name="汇总 2 6 3 4 4 2" xfId="19654" xr:uid="{00000000-0005-0000-0000-0000F64C0000}"/>
    <cellStyle name="汇总 2 6 3 4 5" xfId="19658" xr:uid="{00000000-0005-0000-0000-0000FA4C0000}"/>
    <cellStyle name="汇总 2 6 3 4 5 2" xfId="19660" xr:uid="{00000000-0005-0000-0000-0000FC4C0000}"/>
    <cellStyle name="汇总 2 6 3 4 6" xfId="19663" xr:uid="{00000000-0005-0000-0000-0000FF4C0000}"/>
    <cellStyle name="汇总 2 6 3 5" xfId="19667" xr:uid="{00000000-0005-0000-0000-0000034D0000}"/>
    <cellStyle name="汇总 2 6 3 5 2" xfId="10423" xr:uid="{00000000-0005-0000-0000-0000E7280000}"/>
    <cellStyle name="汇总 2 6 3 5 2 2" xfId="19669" xr:uid="{00000000-0005-0000-0000-0000054D0000}"/>
    <cellStyle name="汇总 2 6 3 5 3" xfId="12527" xr:uid="{00000000-0005-0000-0000-00001F310000}"/>
    <cellStyle name="汇总 2 6 3 5 3 2" xfId="19670" xr:uid="{00000000-0005-0000-0000-0000064D0000}"/>
    <cellStyle name="汇总 2 6 3 5 4" xfId="19671" xr:uid="{00000000-0005-0000-0000-0000074D0000}"/>
    <cellStyle name="汇总 2 6 3 5 4 2" xfId="19672" xr:uid="{00000000-0005-0000-0000-0000084D0000}"/>
    <cellStyle name="汇总 2 6 3 5 5" xfId="19674" xr:uid="{00000000-0005-0000-0000-00000A4D0000}"/>
    <cellStyle name="汇总 2 6 3 5 5 2" xfId="19676" xr:uid="{00000000-0005-0000-0000-00000C4D0000}"/>
    <cellStyle name="汇总 2 6 3 5 6" xfId="19678" xr:uid="{00000000-0005-0000-0000-00000E4D0000}"/>
    <cellStyle name="汇总 2 6 3 6" xfId="19682" xr:uid="{00000000-0005-0000-0000-0000124D0000}"/>
    <cellStyle name="汇总 2 6 3 6 2" xfId="19685" xr:uid="{00000000-0005-0000-0000-0000154D0000}"/>
    <cellStyle name="汇总 2 6 3 6 2 2" xfId="6333" xr:uid="{00000000-0005-0000-0000-0000ED180000}"/>
    <cellStyle name="汇总 2 6 3 6 3" xfId="19687" xr:uid="{00000000-0005-0000-0000-0000174D0000}"/>
    <cellStyle name="汇总 2 6 3 6 3 2" xfId="19688" xr:uid="{00000000-0005-0000-0000-0000184D0000}"/>
    <cellStyle name="汇总 2 6 3 6 4" xfId="19689" xr:uid="{00000000-0005-0000-0000-0000194D0000}"/>
    <cellStyle name="汇总 2 6 3 6 4 2" xfId="19690" xr:uid="{00000000-0005-0000-0000-00001A4D0000}"/>
    <cellStyle name="汇总 2 6 3 6 5" xfId="2365" xr:uid="{00000000-0005-0000-0000-00006D090000}"/>
    <cellStyle name="汇总 2 6 3 6 5 2" xfId="19692" xr:uid="{00000000-0005-0000-0000-00001C4D0000}"/>
    <cellStyle name="汇总 2 6 3 6 6" xfId="19697" xr:uid="{00000000-0005-0000-0000-0000214D0000}"/>
    <cellStyle name="汇总 2 6 3 7" xfId="19705" xr:uid="{00000000-0005-0000-0000-0000294D0000}"/>
    <cellStyle name="汇总 2 6 3 7 2" xfId="19708" xr:uid="{00000000-0005-0000-0000-00002C4D0000}"/>
    <cellStyle name="汇总 2 6 3 7 2 2" xfId="6710" xr:uid="{00000000-0005-0000-0000-0000661A0000}"/>
    <cellStyle name="汇总 2 6 3 7 3" xfId="19710" xr:uid="{00000000-0005-0000-0000-00002E4D0000}"/>
    <cellStyle name="汇总 2 6 3 7 3 2" xfId="19711" xr:uid="{00000000-0005-0000-0000-00002F4D0000}"/>
    <cellStyle name="汇总 2 6 3 7 4" xfId="19713" xr:uid="{00000000-0005-0000-0000-0000314D0000}"/>
    <cellStyle name="汇总 2 6 3 7 4 2" xfId="19714" xr:uid="{00000000-0005-0000-0000-0000324D0000}"/>
    <cellStyle name="汇总 2 6 3 7 5" xfId="2036" xr:uid="{00000000-0005-0000-0000-000024080000}"/>
    <cellStyle name="汇总 2 6 3 7 5 2" xfId="19715" xr:uid="{00000000-0005-0000-0000-0000334D0000}"/>
    <cellStyle name="汇总 2 6 3 7 6" xfId="2064" xr:uid="{00000000-0005-0000-0000-000040080000}"/>
    <cellStyle name="汇总 2 6 3 8" xfId="19716" xr:uid="{00000000-0005-0000-0000-0000344D0000}"/>
    <cellStyle name="汇总 2 6 3 8 2" xfId="19720" xr:uid="{00000000-0005-0000-0000-0000384D0000}"/>
    <cellStyle name="汇总 2 6 3 8 2 2" xfId="19721" xr:uid="{00000000-0005-0000-0000-0000394D0000}"/>
    <cellStyle name="汇总 2 6 3 8 3" xfId="19723" xr:uid="{00000000-0005-0000-0000-00003B4D0000}"/>
    <cellStyle name="汇总 2 6 3 8 3 2" xfId="19724" xr:uid="{00000000-0005-0000-0000-00003C4D0000}"/>
    <cellStyle name="汇总 2 6 3 8 4" xfId="19727" xr:uid="{00000000-0005-0000-0000-00003F4D0000}"/>
    <cellStyle name="汇总 2 6 3 8 4 2" xfId="19728" xr:uid="{00000000-0005-0000-0000-0000404D0000}"/>
    <cellStyle name="汇总 2 6 3 8 5" xfId="2374" xr:uid="{00000000-0005-0000-0000-000076090000}"/>
    <cellStyle name="汇总 2 6 3 9" xfId="19732" xr:uid="{00000000-0005-0000-0000-0000444D0000}"/>
    <cellStyle name="汇总 2 6 3 9 2" xfId="19734" xr:uid="{00000000-0005-0000-0000-0000464D0000}"/>
    <cellStyle name="汇总 2 6 4" xfId="5370" xr:uid="{00000000-0005-0000-0000-00002A150000}"/>
    <cellStyle name="汇总 2 6 4 10" xfId="19735" xr:uid="{00000000-0005-0000-0000-0000474D0000}"/>
    <cellStyle name="汇总 2 6 4 10 2" xfId="19738" xr:uid="{00000000-0005-0000-0000-00004A4D0000}"/>
    <cellStyle name="汇总 2 6 4 11" xfId="19740" xr:uid="{00000000-0005-0000-0000-00004C4D0000}"/>
    <cellStyle name="汇总 2 6 4 11 2" xfId="16752" xr:uid="{00000000-0005-0000-0000-0000A0410000}"/>
    <cellStyle name="汇总 2 6 4 12" xfId="13805" xr:uid="{00000000-0005-0000-0000-00001D360000}"/>
    <cellStyle name="汇总 2 6 4 12 2" xfId="19744" xr:uid="{00000000-0005-0000-0000-0000504D0000}"/>
    <cellStyle name="汇总 2 6 4 13" xfId="19745" xr:uid="{00000000-0005-0000-0000-0000514D0000}"/>
    <cellStyle name="汇总 2 6 4 14" xfId="19748" xr:uid="{00000000-0005-0000-0000-0000544D0000}"/>
    <cellStyle name="汇总 2 6 4 15" xfId="19749" xr:uid="{00000000-0005-0000-0000-0000554D0000}"/>
    <cellStyle name="汇总 2 6 4 16" xfId="19750" xr:uid="{00000000-0005-0000-0000-0000564D0000}"/>
    <cellStyle name="汇总 2 6 4 2" xfId="14571" xr:uid="{00000000-0005-0000-0000-00001B390000}"/>
    <cellStyle name="汇总 2 6 4 2 2" xfId="19751" xr:uid="{00000000-0005-0000-0000-0000574D0000}"/>
    <cellStyle name="汇总 2 6 4 2 2 2" xfId="19753" xr:uid="{00000000-0005-0000-0000-0000594D0000}"/>
    <cellStyle name="汇总 2 6 4 2 3" xfId="8913" xr:uid="{00000000-0005-0000-0000-000001230000}"/>
    <cellStyle name="汇总 2 6 4 2 3 2" xfId="19754" xr:uid="{00000000-0005-0000-0000-00005A4D0000}"/>
    <cellStyle name="汇总 2 6 4 2 4" xfId="19756" xr:uid="{00000000-0005-0000-0000-00005C4D0000}"/>
    <cellStyle name="汇总 2 6 4 2 4 2" xfId="19758" xr:uid="{00000000-0005-0000-0000-00005E4D0000}"/>
    <cellStyle name="汇总 2 6 4 2 5" xfId="16359" xr:uid="{00000000-0005-0000-0000-000017400000}"/>
    <cellStyle name="汇总 2 6 4 2 5 2" xfId="1250" xr:uid="{00000000-0005-0000-0000-000012050000}"/>
    <cellStyle name="汇总 2 6 4 2 6" xfId="19760" xr:uid="{00000000-0005-0000-0000-0000604D0000}"/>
    <cellStyle name="汇总 2 6 4 2 7" xfId="19762" xr:uid="{00000000-0005-0000-0000-0000624D0000}"/>
    <cellStyle name="汇总 2 6 4 2 8" xfId="11769" xr:uid="{00000000-0005-0000-0000-0000292E0000}"/>
    <cellStyle name="汇总 2 6 4 2 9" xfId="19765" xr:uid="{00000000-0005-0000-0000-0000654D0000}"/>
    <cellStyle name="汇总 2 6 4 3" xfId="19766" xr:uid="{00000000-0005-0000-0000-0000664D0000}"/>
    <cellStyle name="汇总 2 6 4 3 2" xfId="1102" xr:uid="{00000000-0005-0000-0000-00007E040000}"/>
    <cellStyle name="汇总 2 6 4 3 2 2" xfId="3939" xr:uid="{00000000-0005-0000-0000-0000930F0000}"/>
    <cellStyle name="汇总 2 6 4 3 3" xfId="19767" xr:uid="{00000000-0005-0000-0000-0000674D0000}"/>
    <cellStyle name="汇总 2 6 4 3 3 2" xfId="19768" xr:uid="{00000000-0005-0000-0000-0000684D0000}"/>
    <cellStyle name="汇总 2 6 4 3 4" xfId="19770" xr:uid="{00000000-0005-0000-0000-00006A4D0000}"/>
    <cellStyle name="汇总 2 6 4 3 4 2" xfId="19771" xr:uid="{00000000-0005-0000-0000-00006B4D0000}"/>
    <cellStyle name="汇总 2 6 4 3 5" xfId="16362" xr:uid="{00000000-0005-0000-0000-00001A400000}"/>
    <cellStyle name="汇总 2 6 4 3 5 2" xfId="12693" xr:uid="{00000000-0005-0000-0000-0000C5310000}"/>
    <cellStyle name="汇总 2 6 4 3 6" xfId="19773" xr:uid="{00000000-0005-0000-0000-00006D4D0000}"/>
    <cellStyle name="汇总 2 6 4 4" xfId="19776" xr:uid="{00000000-0005-0000-0000-0000704D0000}"/>
    <cellStyle name="汇总 2 6 4 4 2" xfId="1124" xr:uid="{00000000-0005-0000-0000-000094040000}"/>
    <cellStyle name="汇总 2 6 4 4 2 2" xfId="19778" xr:uid="{00000000-0005-0000-0000-0000724D0000}"/>
    <cellStyle name="汇总 2 6 4 4 3" xfId="19780" xr:uid="{00000000-0005-0000-0000-0000744D0000}"/>
    <cellStyle name="汇总 2 6 4 4 3 2" xfId="19781" xr:uid="{00000000-0005-0000-0000-0000754D0000}"/>
    <cellStyle name="汇总 2 6 4 4 4" xfId="19784" xr:uid="{00000000-0005-0000-0000-0000784D0000}"/>
    <cellStyle name="汇总 2 6 4 4 4 2" xfId="19785" xr:uid="{00000000-0005-0000-0000-0000794D0000}"/>
    <cellStyle name="汇总 2 6 4 4 5" xfId="19790" xr:uid="{00000000-0005-0000-0000-00007E4D0000}"/>
    <cellStyle name="汇总 2 6 4 4 5 2" xfId="12733" xr:uid="{00000000-0005-0000-0000-0000ED310000}"/>
    <cellStyle name="汇总 2 6 4 4 6" xfId="19792" xr:uid="{00000000-0005-0000-0000-0000804D0000}"/>
    <cellStyle name="汇总 2 6 4 5" xfId="19796" xr:uid="{00000000-0005-0000-0000-0000844D0000}"/>
    <cellStyle name="汇总 2 6 4 5 2" xfId="1155" xr:uid="{00000000-0005-0000-0000-0000B3040000}"/>
    <cellStyle name="汇总 2 6 4 5 2 2" xfId="4148" xr:uid="{00000000-0005-0000-0000-000064100000}"/>
    <cellStyle name="汇总 2 6 4 5 3" xfId="13514" xr:uid="{00000000-0005-0000-0000-0000FA340000}"/>
    <cellStyle name="汇总 2 6 4 5 3 2" xfId="4506" xr:uid="{00000000-0005-0000-0000-0000CA110000}"/>
    <cellStyle name="汇总 2 6 4 5 4" xfId="19798" xr:uid="{00000000-0005-0000-0000-0000864D0000}"/>
    <cellStyle name="汇总 2 6 4 5 4 2" xfId="2277" xr:uid="{00000000-0005-0000-0000-000015090000}"/>
    <cellStyle name="汇总 2 6 4 5 5" xfId="19802" xr:uid="{00000000-0005-0000-0000-00008A4D0000}"/>
    <cellStyle name="汇总 2 6 4 5 5 2" xfId="2008" xr:uid="{00000000-0005-0000-0000-000008080000}"/>
    <cellStyle name="汇总 2 6 4 5 6" xfId="19804" xr:uid="{00000000-0005-0000-0000-00008C4D0000}"/>
    <cellStyle name="汇总 2 6 4 6" xfId="19808" xr:uid="{00000000-0005-0000-0000-0000904D0000}"/>
    <cellStyle name="汇总 2 6 4 6 2" xfId="1165" xr:uid="{00000000-0005-0000-0000-0000BD040000}"/>
    <cellStyle name="汇总 2 6 4 6 2 2" xfId="7793" xr:uid="{00000000-0005-0000-0000-0000A11E0000}"/>
    <cellStyle name="汇总 2 6 4 6 3" xfId="19810" xr:uid="{00000000-0005-0000-0000-0000924D0000}"/>
    <cellStyle name="汇总 2 6 4 6 3 2" xfId="6175" xr:uid="{00000000-0005-0000-0000-00004F180000}"/>
    <cellStyle name="汇总 2 6 4 6 4" xfId="19811" xr:uid="{00000000-0005-0000-0000-0000934D0000}"/>
    <cellStyle name="汇总 2 6 4 6 4 2" xfId="6757" xr:uid="{00000000-0005-0000-0000-0000951A0000}"/>
    <cellStyle name="汇总 2 6 4 6 5" xfId="6393" xr:uid="{00000000-0005-0000-0000-000029190000}"/>
    <cellStyle name="汇总 2 6 4 6 5 2" xfId="6766" xr:uid="{00000000-0005-0000-0000-00009E1A0000}"/>
    <cellStyle name="汇总 2 6 4 6 6" xfId="19815" xr:uid="{00000000-0005-0000-0000-0000974D0000}"/>
    <cellStyle name="汇总 2 6 4 7" xfId="19818" xr:uid="{00000000-0005-0000-0000-00009A4D0000}"/>
    <cellStyle name="汇总 2 6 4 7 2" xfId="19821" xr:uid="{00000000-0005-0000-0000-00009D4D0000}"/>
    <cellStyle name="汇总 2 6 4 7 2 2" xfId="429" xr:uid="{00000000-0005-0000-0000-0000D6010000}"/>
    <cellStyle name="汇总 2 6 4 7 3" xfId="19822" xr:uid="{00000000-0005-0000-0000-00009E4D0000}"/>
    <cellStyle name="汇总 2 6 4 7 3 2" xfId="10235" xr:uid="{00000000-0005-0000-0000-00002B280000}"/>
    <cellStyle name="汇总 2 6 4 7 4" xfId="19823" xr:uid="{00000000-0005-0000-0000-00009F4D0000}"/>
    <cellStyle name="汇总 2 6 4 7 4 2" xfId="10547" xr:uid="{00000000-0005-0000-0000-000063290000}"/>
    <cellStyle name="汇总 2 6 4 7 5" xfId="6418" xr:uid="{00000000-0005-0000-0000-000042190000}"/>
    <cellStyle name="汇总 2 6 4 7 5 2" xfId="6360" xr:uid="{00000000-0005-0000-0000-000008190000}"/>
    <cellStyle name="汇总 2 6 4 7 6" xfId="457" xr:uid="{00000000-0005-0000-0000-0000F3010000}"/>
    <cellStyle name="汇总 2 6 4 8" xfId="15675" xr:uid="{00000000-0005-0000-0000-00006B3D0000}"/>
    <cellStyle name="汇总 2 6 4 8 2" xfId="19825" xr:uid="{00000000-0005-0000-0000-0000A14D0000}"/>
    <cellStyle name="汇总 2 6 4 8 2 2" xfId="11569" xr:uid="{00000000-0005-0000-0000-0000612D0000}"/>
    <cellStyle name="汇总 2 6 4 8 3" xfId="19826" xr:uid="{00000000-0005-0000-0000-0000A24D0000}"/>
    <cellStyle name="汇总 2 6 4 8 3 2" xfId="11590" xr:uid="{00000000-0005-0000-0000-0000762D0000}"/>
    <cellStyle name="汇总 2 6 4 8 4" xfId="19827" xr:uid="{00000000-0005-0000-0000-0000A34D0000}"/>
    <cellStyle name="汇总 2 6 4 8 4 2" xfId="11599" xr:uid="{00000000-0005-0000-0000-00007F2D0000}"/>
    <cellStyle name="汇总 2 6 4 8 5" xfId="6425" xr:uid="{00000000-0005-0000-0000-000049190000}"/>
    <cellStyle name="汇总 2 6 4 9" xfId="19828" xr:uid="{00000000-0005-0000-0000-0000A44D0000}"/>
    <cellStyle name="汇总 2 6 4 9 2" xfId="19830" xr:uid="{00000000-0005-0000-0000-0000A64D0000}"/>
    <cellStyle name="汇总 2 6 5" xfId="14576" xr:uid="{00000000-0005-0000-0000-000020390000}"/>
    <cellStyle name="汇总 2 6 5 10" xfId="19831" xr:uid="{00000000-0005-0000-0000-0000A74D0000}"/>
    <cellStyle name="汇总 2 6 5 10 2" xfId="19833" xr:uid="{00000000-0005-0000-0000-0000A94D0000}"/>
    <cellStyle name="汇总 2 6 5 11" xfId="19834" xr:uid="{00000000-0005-0000-0000-0000AA4D0000}"/>
    <cellStyle name="汇总 2 6 5 11 2" xfId="7398" xr:uid="{00000000-0005-0000-0000-0000161D0000}"/>
    <cellStyle name="汇总 2 6 5 12" xfId="19836" xr:uid="{00000000-0005-0000-0000-0000AC4D0000}"/>
    <cellStyle name="汇总 2 6 5 12 2" xfId="7088" xr:uid="{00000000-0005-0000-0000-0000E01B0000}"/>
    <cellStyle name="汇总 2 6 5 13" xfId="19420" xr:uid="{00000000-0005-0000-0000-00000C4C0000}"/>
    <cellStyle name="汇总 2 6 5 14" xfId="19838" xr:uid="{00000000-0005-0000-0000-0000AE4D0000}"/>
    <cellStyle name="汇总 2 6 5 15" xfId="19840" xr:uid="{00000000-0005-0000-0000-0000B04D0000}"/>
    <cellStyle name="汇总 2 6 5 16" xfId="19073" xr:uid="{00000000-0005-0000-0000-0000B14A0000}"/>
    <cellStyle name="汇总 2 6 5 2" xfId="19842" xr:uid="{00000000-0005-0000-0000-0000B24D0000}"/>
    <cellStyle name="汇总 2 6 5 2 2" xfId="17504" xr:uid="{00000000-0005-0000-0000-000090440000}"/>
    <cellStyle name="汇总 2 6 5 2 2 2" xfId="19843" xr:uid="{00000000-0005-0000-0000-0000B34D0000}"/>
    <cellStyle name="汇总 2 6 5 2 3" xfId="8966" xr:uid="{00000000-0005-0000-0000-000036230000}"/>
    <cellStyle name="汇总 2 6 5 2 3 2" xfId="19845" xr:uid="{00000000-0005-0000-0000-0000B54D0000}"/>
    <cellStyle name="汇总 2 6 5 2 4" xfId="17511" xr:uid="{00000000-0005-0000-0000-000097440000}"/>
    <cellStyle name="汇总 2 6 5 2 4 2" xfId="19846" xr:uid="{00000000-0005-0000-0000-0000B64D0000}"/>
    <cellStyle name="汇总 2 6 5 2 5" xfId="16382" xr:uid="{00000000-0005-0000-0000-00002E400000}"/>
    <cellStyle name="汇总 2 6 5 2 5 2" xfId="2859" xr:uid="{00000000-0005-0000-0000-00005B0B0000}"/>
    <cellStyle name="汇总 2 6 5 2 6" xfId="17951" xr:uid="{00000000-0005-0000-0000-00004F460000}"/>
    <cellStyle name="汇总 2 6 5 2 7" xfId="13731" xr:uid="{00000000-0005-0000-0000-0000D3350000}"/>
    <cellStyle name="汇总 2 6 5 2 8" xfId="11798" xr:uid="{00000000-0005-0000-0000-0000462E0000}"/>
    <cellStyle name="汇总 2 6 5 2 9" xfId="17954" xr:uid="{00000000-0005-0000-0000-000052460000}"/>
    <cellStyle name="汇总 2 6 5 3" xfId="19847" xr:uid="{00000000-0005-0000-0000-0000B74D0000}"/>
    <cellStyle name="汇总 2 6 5 3 2" xfId="19849" xr:uid="{00000000-0005-0000-0000-0000B94D0000}"/>
    <cellStyle name="汇总 2 6 5 3 2 2" xfId="19850" xr:uid="{00000000-0005-0000-0000-0000BA4D0000}"/>
    <cellStyle name="汇总 2 6 5 3 3" xfId="10452" xr:uid="{00000000-0005-0000-0000-000004290000}"/>
    <cellStyle name="汇总 2 6 5 3 3 2" xfId="10454" xr:uid="{00000000-0005-0000-0000-000006290000}"/>
    <cellStyle name="汇总 2 6 5 3 4" xfId="10456" xr:uid="{00000000-0005-0000-0000-000008290000}"/>
    <cellStyle name="汇总 2 6 5 3 4 2" xfId="10459" xr:uid="{00000000-0005-0000-0000-00000B290000}"/>
    <cellStyle name="汇总 2 6 5 3 5" xfId="10461" xr:uid="{00000000-0005-0000-0000-00000D290000}"/>
    <cellStyle name="汇总 2 6 5 3 5 2" xfId="10472" xr:uid="{00000000-0005-0000-0000-000018290000}"/>
    <cellStyle name="汇总 2 6 5 3 6" xfId="10477" xr:uid="{00000000-0005-0000-0000-00001D290000}"/>
    <cellStyle name="汇总 2 6 5 4" xfId="19853" xr:uid="{00000000-0005-0000-0000-0000BD4D0000}"/>
    <cellStyle name="汇总 2 6 5 4 2" xfId="19854" xr:uid="{00000000-0005-0000-0000-0000BE4D0000}"/>
    <cellStyle name="汇总 2 6 5 4 2 2" xfId="19855" xr:uid="{00000000-0005-0000-0000-0000BF4D0000}"/>
    <cellStyle name="汇总 2 6 5 4 3" xfId="19856" xr:uid="{00000000-0005-0000-0000-0000C04D0000}"/>
    <cellStyle name="汇总 2 6 5 4 3 2" xfId="19857" xr:uid="{00000000-0005-0000-0000-0000C14D0000}"/>
    <cellStyle name="汇总 2 6 5 4 4" xfId="19859" xr:uid="{00000000-0005-0000-0000-0000C34D0000}"/>
    <cellStyle name="汇总 2 6 5 4 4 2" xfId="19860" xr:uid="{00000000-0005-0000-0000-0000C44D0000}"/>
    <cellStyle name="汇总 2 6 5 4 5" xfId="19865" xr:uid="{00000000-0005-0000-0000-0000C94D0000}"/>
    <cellStyle name="汇总 2 6 5 4 5 2" xfId="14664" xr:uid="{00000000-0005-0000-0000-000078390000}"/>
    <cellStyle name="汇总 2 6 5 4 6" xfId="19867" xr:uid="{00000000-0005-0000-0000-0000CB4D0000}"/>
    <cellStyle name="汇总 2 6 5 5" xfId="19870" xr:uid="{00000000-0005-0000-0000-0000CE4D0000}"/>
    <cellStyle name="汇总 2 6 5 5 2" xfId="19871" xr:uid="{00000000-0005-0000-0000-0000CF4D0000}"/>
    <cellStyle name="汇总 2 6 5 5 2 2" xfId="11726" xr:uid="{00000000-0005-0000-0000-0000FE2D0000}"/>
    <cellStyle name="汇总 2 6 5 5 3" xfId="19873" xr:uid="{00000000-0005-0000-0000-0000D14D0000}"/>
    <cellStyle name="汇总 2 6 5 5 3 2" xfId="19875" xr:uid="{00000000-0005-0000-0000-0000D34D0000}"/>
    <cellStyle name="汇总 2 6 5 5 4" xfId="19877" xr:uid="{00000000-0005-0000-0000-0000D54D0000}"/>
    <cellStyle name="汇总 2 6 5 5 4 2" xfId="19401" xr:uid="{00000000-0005-0000-0000-0000F94B0000}"/>
    <cellStyle name="汇总 2 6 5 5 5" xfId="19883" xr:uid="{00000000-0005-0000-0000-0000DB4D0000}"/>
    <cellStyle name="汇总 2 6 5 5 5 2" xfId="14809" xr:uid="{00000000-0005-0000-0000-0000093A0000}"/>
    <cellStyle name="汇总 2 6 5 5 6" xfId="19886" xr:uid="{00000000-0005-0000-0000-0000DE4D0000}"/>
    <cellStyle name="汇总 2 6 5 6" xfId="19892" xr:uid="{00000000-0005-0000-0000-0000E44D0000}"/>
    <cellStyle name="汇总 2 6 5 6 2" xfId="19894" xr:uid="{00000000-0005-0000-0000-0000E64D0000}"/>
    <cellStyle name="汇总 2 6 5 6 2 2" xfId="19896" xr:uid="{00000000-0005-0000-0000-0000E84D0000}"/>
    <cellStyle name="汇总 2 6 5 6 3" xfId="19898" xr:uid="{00000000-0005-0000-0000-0000EA4D0000}"/>
    <cellStyle name="汇总 2 6 5 6 3 2" xfId="19899" xr:uid="{00000000-0005-0000-0000-0000EB4D0000}"/>
    <cellStyle name="汇总 2 6 5 6 4" xfId="19900" xr:uid="{00000000-0005-0000-0000-0000EC4D0000}"/>
    <cellStyle name="汇总 2 6 5 6 4 2" xfId="19901" xr:uid="{00000000-0005-0000-0000-0000ED4D0000}"/>
    <cellStyle name="汇总 2 6 5 6 5" xfId="6452" xr:uid="{00000000-0005-0000-0000-000064190000}"/>
    <cellStyle name="汇总 2 6 5 6 5 2" xfId="14951" xr:uid="{00000000-0005-0000-0000-0000973A0000}"/>
    <cellStyle name="汇总 2 6 5 6 6" xfId="19907" xr:uid="{00000000-0005-0000-0000-0000F34D0000}"/>
    <cellStyle name="汇总 2 6 5 7" xfId="19910" xr:uid="{00000000-0005-0000-0000-0000F64D0000}"/>
    <cellStyle name="汇总 2 6 5 7 2" xfId="19911" xr:uid="{00000000-0005-0000-0000-0000F74D0000}"/>
    <cellStyle name="汇总 2 6 5 7 2 2" xfId="19200" xr:uid="{00000000-0005-0000-0000-0000304B0000}"/>
    <cellStyle name="汇总 2 6 5 7 3" xfId="19912" xr:uid="{00000000-0005-0000-0000-0000F84D0000}"/>
    <cellStyle name="汇总 2 6 5 7 3 2" xfId="19209" xr:uid="{00000000-0005-0000-0000-0000394B0000}"/>
    <cellStyle name="汇总 2 6 5 7 4" xfId="19913" xr:uid="{00000000-0005-0000-0000-0000F94D0000}"/>
    <cellStyle name="汇总 2 6 5 7 4 2" xfId="19219" xr:uid="{00000000-0005-0000-0000-0000434B0000}"/>
    <cellStyle name="汇总 2 6 5 7 5" xfId="6468" xr:uid="{00000000-0005-0000-0000-000074190000}"/>
    <cellStyle name="汇总 2 6 5 7 5 2" xfId="15082" xr:uid="{00000000-0005-0000-0000-00001A3B0000}"/>
    <cellStyle name="汇总 2 6 5 7 6" xfId="1450" xr:uid="{00000000-0005-0000-0000-0000DA050000}"/>
    <cellStyle name="汇总 2 6 5 8" xfId="15688" xr:uid="{00000000-0005-0000-0000-0000783D0000}"/>
    <cellStyle name="汇总 2 6 5 8 2" xfId="19914" xr:uid="{00000000-0005-0000-0000-0000FA4D0000}"/>
    <cellStyle name="汇总 2 6 5 8 2 2" xfId="19293" xr:uid="{00000000-0005-0000-0000-00008D4B0000}"/>
    <cellStyle name="汇总 2 6 5 8 3" xfId="10865" xr:uid="{00000000-0005-0000-0000-0000A12A0000}"/>
    <cellStyle name="汇总 2 6 5 8 3 2" xfId="10878" xr:uid="{00000000-0005-0000-0000-0000AE2A0000}"/>
    <cellStyle name="汇总 2 6 5 8 4" xfId="10884" xr:uid="{00000000-0005-0000-0000-0000B42A0000}"/>
    <cellStyle name="汇总 2 6 5 8 4 2" xfId="10887" xr:uid="{00000000-0005-0000-0000-0000B72A0000}"/>
    <cellStyle name="汇总 2 6 5 8 5" xfId="6473" xr:uid="{00000000-0005-0000-0000-000079190000}"/>
    <cellStyle name="汇总 2 6 5 9" xfId="3779" xr:uid="{00000000-0005-0000-0000-0000F30E0000}"/>
    <cellStyle name="汇总 2 6 5 9 2" xfId="19915" xr:uid="{00000000-0005-0000-0000-0000FB4D0000}"/>
    <cellStyle name="汇总 2 6 6" xfId="19918" xr:uid="{00000000-0005-0000-0000-0000FE4D0000}"/>
    <cellStyle name="汇总 2 6 6 10" xfId="14353" xr:uid="{00000000-0005-0000-0000-000041380000}"/>
    <cellStyle name="汇总 2 6 6 10 2" xfId="19920" xr:uid="{00000000-0005-0000-0000-0000004E0000}"/>
    <cellStyle name="汇总 2 6 6 11" xfId="15496" xr:uid="{00000000-0005-0000-0000-0000B83C0000}"/>
    <cellStyle name="汇总 2 6 6 11 2" xfId="7698" xr:uid="{00000000-0005-0000-0000-0000421E0000}"/>
    <cellStyle name="汇总 2 6 6 12" xfId="15499" xr:uid="{00000000-0005-0000-0000-0000BB3C0000}"/>
    <cellStyle name="汇总 2 6 6 12 2" xfId="7706" xr:uid="{00000000-0005-0000-0000-00004A1E0000}"/>
    <cellStyle name="汇总 2 6 6 13" xfId="15505" xr:uid="{00000000-0005-0000-0000-0000C13C0000}"/>
    <cellStyle name="汇总 2 6 6 14" xfId="19923" xr:uid="{00000000-0005-0000-0000-0000034E0000}"/>
    <cellStyle name="汇总 2 6 6 15" xfId="19926" xr:uid="{00000000-0005-0000-0000-0000064E0000}"/>
    <cellStyle name="汇总 2 6 6 16" xfId="15469" xr:uid="{00000000-0005-0000-0000-00009D3C0000}"/>
    <cellStyle name="汇总 2 6 6 2" xfId="19928" xr:uid="{00000000-0005-0000-0000-0000084E0000}"/>
    <cellStyle name="汇总 2 6 6 2 2" xfId="17773" xr:uid="{00000000-0005-0000-0000-00009D450000}"/>
    <cellStyle name="汇总 2 6 6 2 2 2" xfId="19929" xr:uid="{00000000-0005-0000-0000-0000094E0000}"/>
    <cellStyle name="汇总 2 6 6 2 3" xfId="2614" xr:uid="{00000000-0005-0000-0000-0000660A0000}"/>
    <cellStyle name="汇总 2 6 6 2 3 2" xfId="19930" xr:uid="{00000000-0005-0000-0000-00000A4E0000}"/>
    <cellStyle name="汇总 2 6 6 2 4" xfId="17778" xr:uid="{00000000-0005-0000-0000-0000A2450000}"/>
    <cellStyle name="汇总 2 6 6 2 4 2" xfId="9026" xr:uid="{00000000-0005-0000-0000-000072230000}"/>
    <cellStyle name="汇总 2 6 6 2 5" xfId="16405" xr:uid="{00000000-0005-0000-0000-000045400000}"/>
    <cellStyle name="汇总 2 6 6 2 5 2" xfId="6574" xr:uid="{00000000-0005-0000-0000-0000DE190000}"/>
    <cellStyle name="汇总 2 6 6 2 6" xfId="19070" xr:uid="{00000000-0005-0000-0000-0000AE4A0000}"/>
    <cellStyle name="汇总 2 6 6 2 7" xfId="13761" xr:uid="{00000000-0005-0000-0000-0000F1350000}"/>
    <cellStyle name="汇总 2 6 6 2 8" xfId="11807" xr:uid="{00000000-0005-0000-0000-00004F2E0000}"/>
    <cellStyle name="汇总 2 6 6 2 9" xfId="8433" xr:uid="{00000000-0005-0000-0000-000021210000}"/>
    <cellStyle name="汇总 2 6 6 3" xfId="19931" xr:uid="{00000000-0005-0000-0000-00000B4E0000}"/>
    <cellStyle name="汇总 2 6 6 3 2" xfId="19934" xr:uid="{00000000-0005-0000-0000-00000E4E0000}"/>
    <cellStyle name="汇总 2 6 6 3 2 2" xfId="19936" xr:uid="{00000000-0005-0000-0000-0000104E0000}"/>
    <cellStyle name="汇总 2 6 6 3 3" xfId="15439" xr:uid="{00000000-0005-0000-0000-00007F3C0000}"/>
    <cellStyle name="汇总 2 6 6 3 3 2" xfId="15441" xr:uid="{00000000-0005-0000-0000-0000813C0000}"/>
    <cellStyle name="汇总 2 6 6 3 4" xfId="15443" xr:uid="{00000000-0005-0000-0000-0000833C0000}"/>
    <cellStyle name="汇总 2 6 6 3 4 2" xfId="15446" xr:uid="{00000000-0005-0000-0000-0000863C0000}"/>
    <cellStyle name="汇总 2 6 6 3 5" xfId="15451" xr:uid="{00000000-0005-0000-0000-00008B3C0000}"/>
    <cellStyle name="汇总 2 6 6 3 5 2" xfId="15460" xr:uid="{00000000-0005-0000-0000-0000943C0000}"/>
    <cellStyle name="汇总 2 6 6 3 6" xfId="15464" xr:uid="{00000000-0005-0000-0000-0000983C0000}"/>
    <cellStyle name="汇总 2 6 6 4" xfId="19938" xr:uid="{00000000-0005-0000-0000-0000124E0000}"/>
    <cellStyle name="汇总 2 6 6 4 2" xfId="19939" xr:uid="{00000000-0005-0000-0000-0000134E0000}"/>
    <cellStyle name="汇总 2 6 6 4 2 2" xfId="39" xr:uid="{00000000-0005-0000-0000-00002B000000}"/>
    <cellStyle name="汇总 2 6 6 4 3" xfId="19941" xr:uid="{00000000-0005-0000-0000-0000154E0000}"/>
    <cellStyle name="汇总 2 6 6 4 3 2" xfId="11668" xr:uid="{00000000-0005-0000-0000-0000C42D0000}"/>
    <cellStyle name="汇总 2 6 6 4 4" xfId="19943" xr:uid="{00000000-0005-0000-0000-0000174E0000}"/>
    <cellStyle name="汇总 2 6 6 4 4 2" xfId="13522" xr:uid="{00000000-0005-0000-0000-000002350000}"/>
    <cellStyle name="汇总 2 6 6 4 5" xfId="19948" xr:uid="{00000000-0005-0000-0000-00001C4E0000}"/>
    <cellStyle name="汇总 2 6 6 4 5 2" xfId="16502" xr:uid="{00000000-0005-0000-0000-0000A6400000}"/>
    <cellStyle name="汇总 2 6 6 4 6" xfId="19950" xr:uid="{00000000-0005-0000-0000-00001E4E0000}"/>
    <cellStyle name="汇总 2 6 6 5" xfId="19952" xr:uid="{00000000-0005-0000-0000-0000204E0000}"/>
    <cellStyle name="汇总 2 6 6 5 2" xfId="19955" xr:uid="{00000000-0005-0000-0000-0000234E0000}"/>
    <cellStyle name="汇总 2 6 6 5 2 2" xfId="14630" xr:uid="{00000000-0005-0000-0000-000056390000}"/>
    <cellStyle name="汇总 2 6 6 5 3" xfId="19957" xr:uid="{00000000-0005-0000-0000-0000254E0000}"/>
    <cellStyle name="汇总 2 6 6 5 3 2" xfId="4968" xr:uid="{00000000-0005-0000-0000-000098130000}"/>
    <cellStyle name="汇总 2 6 6 5 4" xfId="19959" xr:uid="{00000000-0005-0000-0000-0000274E0000}"/>
    <cellStyle name="汇总 2 6 6 5 4 2" xfId="1912" xr:uid="{00000000-0005-0000-0000-0000A8070000}"/>
    <cellStyle name="汇总 2 6 6 5 5" xfId="19965" xr:uid="{00000000-0005-0000-0000-00002D4E0000}"/>
    <cellStyle name="汇总 2 6 6 5 5 2" xfId="16661" xr:uid="{00000000-0005-0000-0000-000045410000}"/>
    <cellStyle name="汇总 2 6 6 5 6" xfId="19970" xr:uid="{00000000-0005-0000-0000-0000324E0000}"/>
    <cellStyle name="汇总 2 6 6 6" xfId="19976" xr:uid="{00000000-0005-0000-0000-0000384E0000}"/>
    <cellStyle name="汇总 2 6 6 6 2" xfId="19978" xr:uid="{00000000-0005-0000-0000-00003A4E0000}"/>
    <cellStyle name="汇总 2 6 6 6 2 2" xfId="16776" xr:uid="{00000000-0005-0000-0000-0000B8410000}"/>
    <cellStyle name="汇总 2 6 6 6 3" xfId="19981" xr:uid="{00000000-0005-0000-0000-00003D4E0000}"/>
    <cellStyle name="汇总 2 6 6 6 3 2" xfId="16928" xr:uid="{00000000-0005-0000-0000-000050420000}"/>
    <cellStyle name="汇总 2 6 6 6 4" xfId="19982" xr:uid="{00000000-0005-0000-0000-00003E4E0000}"/>
    <cellStyle name="汇总 2 6 6 6 4 2" xfId="17061" xr:uid="{00000000-0005-0000-0000-0000D5420000}"/>
    <cellStyle name="汇总 2 6 6 6 5" xfId="6486" xr:uid="{00000000-0005-0000-0000-000086190000}"/>
    <cellStyle name="汇总 2 6 6 6 5 2" xfId="16761" xr:uid="{00000000-0005-0000-0000-0000A9410000}"/>
    <cellStyle name="汇总 2 6 6 6 6" xfId="19986" xr:uid="{00000000-0005-0000-0000-0000424E0000}"/>
    <cellStyle name="汇总 2 6 6 7" xfId="19988" xr:uid="{00000000-0005-0000-0000-0000444E0000}"/>
    <cellStyle name="汇总 2 6 6 7 2" xfId="19605" xr:uid="{00000000-0005-0000-0000-0000C54C0000}"/>
    <cellStyle name="汇总 2 6 6 7 2 2" xfId="18831" xr:uid="{00000000-0005-0000-0000-0000BF490000}"/>
    <cellStyle name="汇总 2 6 6 7 3" xfId="19607" xr:uid="{00000000-0005-0000-0000-0000C74C0000}"/>
    <cellStyle name="汇总 2 6 6 7 3 2" xfId="18966" xr:uid="{00000000-0005-0000-0000-0000464A0000}"/>
    <cellStyle name="汇总 2 6 6 7 4" xfId="19609" xr:uid="{00000000-0005-0000-0000-0000C94C0000}"/>
    <cellStyle name="汇总 2 6 6 7 4 2" xfId="19088" xr:uid="{00000000-0005-0000-0000-0000C04A0000}"/>
    <cellStyle name="汇总 2 6 6 7 5" xfId="6493" xr:uid="{00000000-0005-0000-0000-00008D190000}"/>
    <cellStyle name="汇总 2 6 6 7 5 2" xfId="16920" xr:uid="{00000000-0005-0000-0000-000048420000}"/>
    <cellStyle name="汇总 2 6 6 7 6" xfId="3744" xr:uid="{00000000-0005-0000-0000-0000D00E0000}"/>
    <cellStyle name="汇总 2 6 6 8" xfId="15702" xr:uid="{00000000-0005-0000-0000-0000863D0000}"/>
    <cellStyle name="汇总 2 6 6 8 2" xfId="19989" xr:uid="{00000000-0005-0000-0000-0000454E0000}"/>
    <cellStyle name="汇总 2 6 6 8 2 2" xfId="19991" xr:uid="{00000000-0005-0000-0000-0000474E0000}"/>
    <cellStyle name="汇总 2 6 6 8 3" xfId="15610" xr:uid="{00000000-0005-0000-0000-00002A3D0000}"/>
    <cellStyle name="汇总 2 6 6 8 3 2" xfId="15614" xr:uid="{00000000-0005-0000-0000-00002E3D0000}"/>
    <cellStyle name="汇总 2 6 6 8 4" xfId="15616" xr:uid="{00000000-0005-0000-0000-0000303D0000}"/>
    <cellStyle name="汇总 2 6 6 8 4 2" xfId="1657" xr:uid="{00000000-0005-0000-0000-0000A9060000}"/>
    <cellStyle name="汇总 2 6 6 8 5" xfId="6504" xr:uid="{00000000-0005-0000-0000-000098190000}"/>
    <cellStyle name="汇总 2 6 6 9" xfId="5317" xr:uid="{00000000-0005-0000-0000-0000F5140000}"/>
    <cellStyle name="汇总 2 6 6 9 2" xfId="19995" xr:uid="{00000000-0005-0000-0000-00004B4E0000}"/>
    <cellStyle name="汇总 2 6 7" xfId="5671" xr:uid="{00000000-0005-0000-0000-000057160000}"/>
    <cellStyle name="汇总 2 6 7 10" xfId="8339" xr:uid="{00000000-0005-0000-0000-0000C3200000}"/>
    <cellStyle name="汇总 2 6 7 10 2" xfId="19998" xr:uid="{00000000-0005-0000-0000-00004E4E0000}"/>
    <cellStyle name="汇总 2 6 7 11" xfId="19903" xr:uid="{00000000-0005-0000-0000-0000EF4D0000}"/>
    <cellStyle name="汇总 2 6 7 11 2" xfId="20000" xr:uid="{00000000-0005-0000-0000-0000504E0000}"/>
    <cellStyle name="汇总 2 6 7 12" xfId="20002" xr:uid="{00000000-0005-0000-0000-0000524E0000}"/>
    <cellStyle name="汇总 2 6 7 12 2" xfId="20004" xr:uid="{00000000-0005-0000-0000-0000544E0000}"/>
    <cellStyle name="汇总 2 6 7 13" xfId="20006" xr:uid="{00000000-0005-0000-0000-0000564E0000}"/>
    <cellStyle name="汇总 2 6 7 14" xfId="3193" xr:uid="{00000000-0005-0000-0000-0000A90C0000}"/>
    <cellStyle name="汇总 2 6 7 15" xfId="6531" xr:uid="{00000000-0005-0000-0000-0000B3190000}"/>
    <cellStyle name="汇总 2 6 7 16" xfId="7696" xr:uid="{00000000-0005-0000-0000-0000401E0000}"/>
    <cellStyle name="汇总 2 6 7 2" xfId="4879" xr:uid="{00000000-0005-0000-0000-00003F130000}"/>
    <cellStyle name="汇总 2 6 7 2 2" xfId="20008" xr:uid="{00000000-0005-0000-0000-0000584E0000}"/>
    <cellStyle name="汇总 2 6 7 2 2 2" xfId="20009" xr:uid="{00000000-0005-0000-0000-0000594E0000}"/>
    <cellStyle name="汇总 2 6 7 2 3" xfId="350" xr:uid="{00000000-0005-0000-0000-000080010000}"/>
    <cellStyle name="汇总 2 6 7 2 3 2" xfId="20010" xr:uid="{00000000-0005-0000-0000-00005A4E0000}"/>
    <cellStyle name="汇总 2 6 7 2 4" xfId="20012" xr:uid="{00000000-0005-0000-0000-00005C4E0000}"/>
    <cellStyle name="汇总 2 6 7 2 4 2" xfId="20015" xr:uid="{00000000-0005-0000-0000-00005F4E0000}"/>
    <cellStyle name="汇总 2 6 7 2 5" xfId="16429" xr:uid="{00000000-0005-0000-0000-00005D400000}"/>
    <cellStyle name="汇总 2 6 7 2 5 2" xfId="17813" xr:uid="{00000000-0005-0000-0000-0000C5450000}"/>
    <cellStyle name="汇总 2 6 7 2 6" xfId="20016" xr:uid="{00000000-0005-0000-0000-0000604E0000}"/>
    <cellStyle name="汇总 2 6 7 2 7" xfId="13771" xr:uid="{00000000-0005-0000-0000-0000FB350000}"/>
    <cellStyle name="汇总 2 6 7 2 8" xfId="20018" xr:uid="{00000000-0005-0000-0000-0000624E0000}"/>
    <cellStyle name="汇总 2 6 7 2 9" xfId="20021" xr:uid="{00000000-0005-0000-0000-0000654E0000}"/>
    <cellStyle name="汇总 2 6 7 3" xfId="19992" xr:uid="{00000000-0005-0000-0000-0000484E0000}"/>
    <cellStyle name="汇总 2 6 7 3 2" xfId="20025" xr:uid="{00000000-0005-0000-0000-0000694E0000}"/>
    <cellStyle name="汇总 2 6 7 3 2 2" xfId="20027" xr:uid="{00000000-0005-0000-0000-00006B4E0000}"/>
    <cellStyle name="汇总 2 6 7 3 3" xfId="20029" xr:uid="{00000000-0005-0000-0000-00006D4E0000}"/>
    <cellStyle name="汇总 2 6 7 3 3 2" xfId="20030" xr:uid="{00000000-0005-0000-0000-00006E4E0000}"/>
    <cellStyle name="汇总 2 6 7 3 4" xfId="20032" xr:uid="{00000000-0005-0000-0000-0000704E0000}"/>
    <cellStyle name="汇总 2 6 7 3 4 2" xfId="20033" xr:uid="{00000000-0005-0000-0000-0000714E0000}"/>
    <cellStyle name="汇总 2 6 7 3 5" xfId="16433" xr:uid="{00000000-0005-0000-0000-000061400000}"/>
    <cellStyle name="汇总 2 6 7 3 5 2" xfId="17974" xr:uid="{00000000-0005-0000-0000-000066460000}"/>
    <cellStyle name="汇总 2 6 7 3 6" xfId="20034" xr:uid="{00000000-0005-0000-0000-0000724E0000}"/>
    <cellStyle name="汇总 2 6 7 4" xfId="20035" xr:uid="{00000000-0005-0000-0000-0000734E0000}"/>
    <cellStyle name="汇总 2 6 7 4 2" xfId="20039" xr:uid="{00000000-0005-0000-0000-0000774E0000}"/>
    <cellStyle name="汇总 2 6 7 4 2 2" xfId="20044" xr:uid="{00000000-0005-0000-0000-00007C4E0000}"/>
    <cellStyle name="汇总 2 6 7 4 3" xfId="20050" xr:uid="{00000000-0005-0000-0000-0000824E0000}"/>
    <cellStyle name="汇总 2 6 7 4 3 2" xfId="20053" xr:uid="{00000000-0005-0000-0000-0000854E0000}"/>
    <cellStyle name="汇总 2 6 7 4 4" xfId="20059" xr:uid="{00000000-0005-0000-0000-00008B4E0000}"/>
    <cellStyle name="汇总 2 6 7 4 4 2" xfId="20060" xr:uid="{00000000-0005-0000-0000-00008C4E0000}"/>
    <cellStyle name="汇总 2 6 7 4 5" xfId="20065" xr:uid="{00000000-0005-0000-0000-0000914E0000}"/>
    <cellStyle name="汇总 2 6 7 4 5 2" xfId="18215" xr:uid="{00000000-0005-0000-0000-000057470000}"/>
    <cellStyle name="汇总 2 6 7 4 6" xfId="20068" xr:uid="{00000000-0005-0000-0000-0000944E0000}"/>
    <cellStyle name="汇总 2 6 7 5" xfId="20070" xr:uid="{00000000-0005-0000-0000-0000964E0000}"/>
    <cellStyle name="汇总 2 6 7 5 2" xfId="12979" xr:uid="{00000000-0005-0000-0000-0000E3320000}"/>
    <cellStyle name="汇总 2 6 7 5 2 2" xfId="12983" xr:uid="{00000000-0005-0000-0000-0000E7320000}"/>
    <cellStyle name="汇总 2 6 7 5 3" xfId="13005" xr:uid="{00000000-0005-0000-0000-0000FD320000}"/>
    <cellStyle name="汇总 2 6 7 5 3 2" xfId="13011" xr:uid="{00000000-0005-0000-0000-000003330000}"/>
    <cellStyle name="汇总 2 6 7 5 4" xfId="20071" xr:uid="{00000000-0005-0000-0000-0000974E0000}"/>
    <cellStyle name="汇总 2 6 7 5 4 2" xfId="20072" xr:uid="{00000000-0005-0000-0000-0000984E0000}"/>
    <cellStyle name="汇总 2 6 7 5 5" xfId="20076" xr:uid="{00000000-0005-0000-0000-00009C4E0000}"/>
    <cellStyle name="汇总 2 6 7 5 5 2" xfId="18531" xr:uid="{00000000-0005-0000-0000-000093480000}"/>
    <cellStyle name="汇总 2 6 7 5 6" xfId="20078" xr:uid="{00000000-0005-0000-0000-00009E4E0000}"/>
    <cellStyle name="汇总 2 6 7 6" xfId="20083" xr:uid="{00000000-0005-0000-0000-0000A34E0000}"/>
    <cellStyle name="汇总 2 6 7 6 2" xfId="13060" xr:uid="{00000000-0005-0000-0000-000034330000}"/>
    <cellStyle name="汇总 2 6 7 6 2 2" xfId="3352" xr:uid="{00000000-0005-0000-0000-0000480D0000}"/>
    <cellStyle name="汇总 2 6 7 6 3" xfId="13065" xr:uid="{00000000-0005-0000-0000-000039330000}"/>
    <cellStyle name="汇总 2 6 7 6 3 2" xfId="2147" xr:uid="{00000000-0005-0000-0000-000093080000}"/>
    <cellStyle name="汇总 2 6 7 6 4" xfId="20085" xr:uid="{00000000-0005-0000-0000-0000A54E0000}"/>
    <cellStyle name="汇总 2 6 7 6 4 2" xfId="3503" xr:uid="{00000000-0005-0000-0000-0000DF0D0000}"/>
    <cellStyle name="汇总 2 6 7 6 5" xfId="8143" xr:uid="{00000000-0005-0000-0000-0000FF1F0000}"/>
    <cellStyle name="汇总 2 6 7 6 5 2" xfId="3520" xr:uid="{00000000-0005-0000-0000-0000F00D0000}"/>
    <cellStyle name="汇总 2 6 7 6 6" xfId="20088" xr:uid="{00000000-0005-0000-0000-0000A84E0000}"/>
    <cellStyle name="汇总 2 6 7 7" xfId="7115" xr:uid="{00000000-0005-0000-0000-0000FB1B0000}"/>
    <cellStyle name="汇总 2 6 7 7 2" xfId="8847" xr:uid="{00000000-0005-0000-0000-0000BF220000}"/>
    <cellStyle name="汇总 2 6 7 7 2 2" xfId="13173" xr:uid="{00000000-0005-0000-0000-0000A5330000}"/>
    <cellStyle name="汇总 2 6 7 7 3" xfId="8854" xr:uid="{00000000-0005-0000-0000-0000C6220000}"/>
    <cellStyle name="汇总 2 6 7 7 3 2" xfId="9472" xr:uid="{00000000-0005-0000-0000-000030250000}"/>
    <cellStyle name="汇总 2 6 7 7 4" xfId="20091" xr:uid="{00000000-0005-0000-0000-0000AB4E0000}"/>
    <cellStyle name="汇总 2 6 7 7 4 2" xfId="20093" xr:uid="{00000000-0005-0000-0000-0000AD4E0000}"/>
    <cellStyle name="汇总 2 6 7 7 5" xfId="8862" xr:uid="{00000000-0005-0000-0000-0000CE220000}"/>
    <cellStyle name="汇总 2 6 7 7 5 2" xfId="18947" xr:uid="{00000000-0005-0000-0000-0000334A0000}"/>
    <cellStyle name="汇总 2 6 7 7 6" xfId="3814" xr:uid="{00000000-0005-0000-0000-0000160F0000}"/>
    <cellStyle name="汇总 2 6 7 8" xfId="15710" xr:uid="{00000000-0005-0000-0000-00008E3D0000}"/>
    <cellStyle name="汇总 2 6 7 8 2" xfId="13303" xr:uid="{00000000-0005-0000-0000-000027340000}"/>
    <cellStyle name="汇总 2 6 7 8 2 2" xfId="13307" xr:uid="{00000000-0005-0000-0000-00002B340000}"/>
    <cellStyle name="汇总 2 6 7 8 3" xfId="13315" xr:uid="{00000000-0005-0000-0000-000033340000}"/>
    <cellStyle name="汇总 2 6 7 8 3 2" xfId="13318" xr:uid="{00000000-0005-0000-0000-000036340000}"/>
    <cellStyle name="汇总 2 6 7 8 4" xfId="20094" xr:uid="{00000000-0005-0000-0000-0000AE4E0000}"/>
    <cellStyle name="汇总 2 6 7 8 4 2" xfId="20095" xr:uid="{00000000-0005-0000-0000-0000AF4E0000}"/>
    <cellStyle name="汇总 2 6 7 8 5" xfId="10922" xr:uid="{00000000-0005-0000-0000-0000DA2A0000}"/>
    <cellStyle name="汇总 2 6 7 9" xfId="5322" xr:uid="{00000000-0005-0000-0000-0000FA140000}"/>
    <cellStyle name="汇总 2 6 7 9 2" xfId="13374" xr:uid="{00000000-0005-0000-0000-00006E340000}"/>
    <cellStyle name="汇总 2 6 8" xfId="8674" xr:uid="{00000000-0005-0000-0000-000012220000}"/>
    <cellStyle name="汇总 2 6 8 10" xfId="15011" xr:uid="{00000000-0005-0000-0000-0000D33A0000}"/>
    <cellStyle name="汇总 2 6 8 10 2" xfId="15014" xr:uid="{00000000-0005-0000-0000-0000D63A0000}"/>
    <cellStyle name="汇总 2 6 8 11" xfId="15017" xr:uid="{00000000-0005-0000-0000-0000D93A0000}"/>
    <cellStyle name="汇总 2 6 8 11 2" xfId="15019" xr:uid="{00000000-0005-0000-0000-0000DB3A0000}"/>
    <cellStyle name="汇总 2 6 8 12" xfId="10100" xr:uid="{00000000-0005-0000-0000-0000A4270000}"/>
    <cellStyle name="汇总 2 6 8 12 2" xfId="15024" xr:uid="{00000000-0005-0000-0000-0000E03A0000}"/>
    <cellStyle name="汇总 2 6 8 13" xfId="15028" xr:uid="{00000000-0005-0000-0000-0000E43A0000}"/>
    <cellStyle name="汇总 2 6 8 14" xfId="20096" xr:uid="{00000000-0005-0000-0000-0000B04E0000}"/>
    <cellStyle name="汇总 2 6 8 15" xfId="681" xr:uid="{00000000-0005-0000-0000-0000D9020000}"/>
    <cellStyle name="汇总 2 6 8 16" xfId="9326" xr:uid="{00000000-0005-0000-0000-00009E240000}"/>
    <cellStyle name="汇总 2 6 8 2" xfId="8687" xr:uid="{00000000-0005-0000-0000-00001F220000}"/>
    <cellStyle name="汇总 2 6 8 2 2" xfId="20098" xr:uid="{00000000-0005-0000-0000-0000B24E0000}"/>
    <cellStyle name="汇总 2 6 8 2 2 2" xfId="20100" xr:uid="{00000000-0005-0000-0000-0000B44E0000}"/>
    <cellStyle name="汇总 2 6 8 2 3" xfId="9092" xr:uid="{00000000-0005-0000-0000-0000B4230000}"/>
    <cellStyle name="汇总 2 6 8 2 3 2" xfId="20101" xr:uid="{00000000-0005-0000-0000-0000B54E0000}"/>
    <cellStyle name="汇总 2 6 8 2 4" xfId="20103" xr:uid="{00000000-0005-0000-0000-0000B74E0000}"/>
    <cellStyle name="汇总 2 6 8 2 4 2" xfId="20108" xr:uid="{00000000-0005-0000-0000-0000BC4E0000}"/>
    <cellStyle name="汇总 2 6 8 2 5" xfId="16456" xr:uid="{00000000-0005-0000-0000-000078400000}"/>
    <cellStyle name="汇总 2 6 8 2 5 2" xfId="19620" xr:uid="{00000000-0005-0000-0000-0000D44C0000}"/>
    <cellStyle name="汇总 2 6 8 2 6" xfId="20109" xr:uid="{00000000-0005-0000-0000-0000BD4E0000}"/>
    <cellStyle name="汇总 2 6 8 2 7" xfId="13785" xr:uid="{00000000-0005-0000-0000-000009360000}"/>
    <cellStyle name="汇总 2 6 8 2 8" xfId="20110" xr:uid="{00000000-0005-0000-0000-0000BE4E0000}"/>
    <cellStyle name="汇总 2 6 8 2 9" xfId="20112" xr:uid="{00000000-0005-0000-0000-0000C04E0000}"/>
    <cellStyle name="汇总 2 6 8 3" xfId="15613" xr:uid="{00000000-0005-0000-0000-00002D3D0000}"/>
    <cellStyle name="汇总 2 6 8 3 2" xfId="20115" xr:uid="{00000000-0005-0000-0000-0000C34E0000}"/>
    <cellStyle name="汇总 2 6 8 3 2 2" xfId="20116" xr:uid="{00000000-0005-0000-0000-0000C44E0000}"/>
    <cellStyle name="汇总 2 6 8 3 3" xfId="20118" xr:uid="{00000000-0005-0000-0000-0000C64E0000}"/>
    <cellStyle name="汇总 2 6 8 3 3 2" xfId="20119" xr:uid="{00000000-0005-0000-0000-0000C74E0000}"/>
    <cellStyle name="汇总 2 6 8 3 4" xfId="20121" xr:uid="{00000000-0005-0000-0000-0000C94E0000}"/>
    <cellStyle name="汇总 2 6 8 3 4 2" xfId="20122" xr:uid="{00000000-0005-0000-0000-0000CA4E0000}"/>
    <cellStyle name="汇总 2 6 8 3 5" xfId="16458" xr:uid="{00000000-0005-0000-0000-00007A400000}"/>
    <cellStyle name="汇总 2 6 8 3 5 2" xfId="19757" xr:uid="{00000000-0005-0000-0000-00005D4D0000}"/>
    <cellStyle name="汇总 2 6 8 3 6" xfId="20123" xr:uid="{00000000-0005-0000-0000-0000CB4E0000}"/>
    <cellStyle name="汇总 2 6 8 4" xfId="16159" xr:uid="{00000000-0005-0000-0000-00004F3F0000}"/>
    <cellStyle name="汇总 2 6 8 4 2" xfId="20125" xr:uid="{00000000-0005-0000-0000-0000CD4E0000}"/>
    <cellStyle name="汇总 2 6 8 4 2 2" xfId="20127" xr:uid="{00000000-0005-0000-0000-0000CF4E0000}"/>
    <cellStyle name="汇总 2 6 8 4 3" xfId="20131" xr:uid="{00000000-0005-0000-0000-0000D34E0000}"/>
    <cellStyle name="汇总 2 6 8 4 3 2" xfId="17313" xr:uid="{00000000-0005-0000-0000-0000D1430000}"/>
    <cellStyle name="汇总 2 6 8 4 4" xfId="20134" xr:uid="{00000000-0005-0000-0000-0000D64E0000}"/>
    <cellStyle name="汇总 2 6 8 4 4 2" xfId="17491" xr:uid="{00000000-0005-0000-0000-000083440000}"/>
    <cellStyle name="汇总 2 6 8 4 5" xfId="20138" xr:uid="{00000000-0005-0000-0000-0000DA4E0000}"/>
    <cellStyle name="汇总 2 6 8 4 5 2" xfId="17508" xr:uid="{00000000-0005-0000-0000-000094440000}"/>
    <cellStyle name="汇总 2 6 8 4 6" xfId="20140" xr:uid="{00000000-0005-0000-0000-0000DC4E0000}"/>
    <cellStyle name="汇总 2 6 8 5" xfId="20141" xr:uid="{00000000-0005-0000-0000-0000DD4E0000}"/>
    <cellStyle name="汇总 2 6 8 5 2" xfId="14274" xr:uid="{00000000-0005-0000-0000-0000F2370000}"/>
    <cellStyle name="汇总 2 6 8 5 2 2" xfId="14279" xr:uid="{00000000-0005-0000-0000-0000F7370000}"/>
    <cellStyle name="汇总 2 6 8 5 3" xfId="14288" xr:uid="{00000000-0005-0000-0000-000000380000}"/>
    <cellStyle name="汇总 2 6 8 5 3 2" xfId="14295" xr:uid="{00000000-0005-0000-0000-000007380000}"/>
    <cellStyle name="汇总 2 6 8 5 4" xfId="20142" xr:uid="{00000000-0005-0000-0000-0000DE4E0000}"/>
    <cellStyle name="汇总 2 6 8 5 4 2" xfId="20143" xr:uid="{00000000-0005-0000-0000-0000DF4E0000}"/>
    <cellStyle name="汇总 2 6 8 5 5" xfId="20146" xr:uid="{00000000-0005-0000-0000-0000E24E0000}"/>
    <cellStyle name="汇总 2 6 8 5 5 2" xfId="17779" xr:uid="{00000000-0005-0000-0000-0000A3450000}"/>
    <cellStyle name="汇总 2 6 8 5 6" xfId="20147" xr:uid="{00000000-0005-0000-0000-0000E34E0000}"/>
    <cellStyle name="汇总 2 6 8 6" xfId="20149" xr:uid="{00000000-0005-0000-0000-0000E54E0000}"/>
    <cellStyle name="汇总 2 6 8 6 2" xfId="14438" xr:uid="{00000000-0005-0000-0000-000096380000}"/>
    <cellStyle name="汇总 2 6 8 6 2 2" xfId="14441" xr:uid="{00000000-0005-0000-0000-000099380000}"/>
    <cellStyle name="汇总 2 6 8 6 3" xfId="14457" xr:uid="{00000000-0005-0000-0000-0000A9380000}"/>
    <cellStyle name="汇总 2 6 8 6 3 2" xfId="14460" xr:uid="{00000000-0005-0000-0000-0000AC380000}"/>
    <cellStyle name="汇总 2 6 8 6 4" xfId="20151" xr:uid="{00000000-0005-0000-0000-0000E74E0000}"/>
    <cellStyle name="汇总 2 6 8 6 4 2" xfId="20152" xr:uid="{00000000-0005-0000-0000-0000E84E0000}"/>
    <cellStyle name="汇总 2 6 8 6 5" xfId="10930" xr:uid="{00000000-0005-0000-0000-0000E22A0000}"/>
    <cellStyle name="汇总 2 6 8 6 5 2" xfId="20013" xr:uid="{00000000-0005-0000-0000-00005D4E0000}"/>
    <cellStyle name="汇总 2 6 8 6 6" xfId="20153" xr:uid="{00000000-0005-0000-0000-0000E94E0000}"/>
    <cellStyle name="汇总 2 6 8 7" xfId="7119" xr:uid="{00000000-0005-0000-0000-0000FF1B0000}"/>
    <cellStyle name="汇总 2 6 8 7 2" xfId="14607" xr:uid="{00000000-0005-0000-0000-00003F390000}"/>
    <cellStyle name="汇总 2 6 8 7 2 2" xfId="14610" xr:uid="{00000000-0005-0000-0000-000042390000}"/>
    <cellStyle name="汇总 2 6 8 7 3" xfId="14624" xr:uid="{00000000-0005-0000-0000-000050390000}"/>
    <cellStyle name="汇总 2 6 8 7 3 2" xfId="14627" xr:uid="{00000000-0005-0000-0000-000053390000}"/>
    <cellStyle name="汇总 2 6 8 7 4" xfId="20155" xr:uid="{00000000-0005-0000-0000-0000EB4E0000}"/>
    <cellStyle name="汇总 2 6 8 7 4 2" xfId="20157" xr:uid="{00000000-0005-0000-0000-0000ED4E0000}"/>
    <cellStyle name="汇总 2 6 8 7 5" xfId="2827" xr:uid="{00000000-0005-0000-0000-00003B0B0000}"/>
    <cellStyle name="汇总 2 6 8 7 5 2" xfId="20105" xr:uid="{00000000-0005-0000-0000-0000B94E0000}"/>
    <cellStyle name="汇总 2 6 8 7 6" xfId="3900" xr:uid="{00000000-0005-0000-0000-00006C0F0000}"/>
    <cellStyle name="汇总 2 6 8 8" xfId="19189" xr:uid="{00000000-0005-0000-0000-0000254B0000}"/>
    <cellStyle name="汇总 2 6 8 8 2" xfId="14749" xr:uid="{00000000-0005-0000-0000-0000CD390000}"/>
    <cellStyle name="汇总 2 6 8 8 2 2" xfId="14752" xr:uid="{00000000-0005-0000-0000-0000D0390000}"/>
    <cellStyle name="汇总 2 6 8 8 3" xfId="14765" xr:uid="{00000000-0005-0000-0000-0000DD390000}"/>
    <cellStyle name="汇总 2 6 8 8 3 2" xfId="6147" xr:uid="{00000000-0005-0000-0000-000033180000}"/>
    <cellStyle name="汇总 2 6 8 8 4" xfId="18827" xr:uid="{00000000-0005-0000-0000-0000BB490000}"/>
    <cellStyle name="汇总 2 6 8 8 4 2" xfId="20158" xr:uid="{00000000-0005-0000-0000-0000EE4E0000}"/>
    <cellStyle name="汇总 2 6 8 8 5" xfId="2842" xr:uid="{00000000-0005-0000-0000-00004A0B0000}"/>
    <cellStyle name="汇总 2 6 8 9" xfId="2397" xr:uid="{00000000-0005-0000-0000-00008D090000}"/>
    <cellStyle name="汇总 2 6 8 9 2" xfId="14920" xr:uid="{00000000-0005-0000-0000-0000783A0000}"/>
    <cellStyle name="汇总 2 6 9" xfId="8690" xr:uid="{00000000-0005-0000-0000-000022220000}"/>
    <cellStyle name="汇总 2 6 9 10" xfId="20159" xr:uid="{00000000-0005-0000-0000-0000EF4E0000}"/>
    <cellStyle name="汇总 2 6 9 10 2" xfId="20162" xr:uid="{00000000-0005-0000-0000-0000F24E0000}"/>
    <cellStyle name="汇总 2 6 9 11" xfId="20164" xr:uid="{00000000-0005-0000-0000-0000F44E0000}"/>
    <cellStyle name="汇总 2 6 9 11 2" xfId="20168" xr:uid="{00000000-0005-0000-0000-0000F84E0000}"/>
    <cellStyle name="汇总 2 6 9 12" xfId="13817" xr:uid="{00000000-0005-0000-0000-000029360000}"/>
    <cellStyle name="汇总 2 6 9 12 2" xfId="20171" xr:uid="{00000000-0005-0000-0000-0000FB4E0000}"/>
    <cellStyle name="汇总 2 6 9 13" xfId="20172" xr:uid="{00000000-0005-0000-0000-0000FC4E0000}"/>
    <cellStyle name="汇总 2 6 9 14" xfId="20175" xr:uid="{00000000-0005-0000-0000-0000FF4E0000}"/>
    <cellStyle name="汇总 2 6 9 15" xfId="20176" xr:uid="{00000000-0005-0000-0000-0000004F0000}"/>
    <cellStyle name="汇总 2 6 9 16" xfId="20177" xr:uid="{00000000-0005-0000-0000-0000014F0000}"/>
    <cellStyle name="汇总 2 6 9 2" xfId="1387" xr:uid="{00000000-0005-0000-0000-00009B050000}"/>
    <cellStyle name="汇总 2 6 9 2 2" xfId="1400" xr:uid="{00000000-0005-0000-0000-0000A8050000}"/>
    <cellStyle name="汇总 2 6 9 2 2 2" xfId="1418" xr:uid="{00000000-0005-0000-0000-0000BA050000}"/>
    <cellStyle name="汇总 2 6 9 2 3" xfId="1555" xr:uid="{00000000-0005-0000-0000-000043060000}"/>
    <cellStyle name="汇总 2 6 9 2 3 2" xfId="20178" xr:uid="{00000000-0005-0000-0000-0000024F0000}"/>
    <cellStyle name="汇总 2 6 9 2 4" xfId="1569" xr:uid="{00000000-0005-0000-0000-000051060000}"/>
    <cellStyle name="汇总 2 6 9 2 4 2" xfId="618" xr:uid="{00000000-0005-0000-0000-00009A020000}"/>
    <cellStyle name="汇总 2 6 9 2 5" xfId="1582" xr:uid="{00000000-0005-0000-0000-00005E060000}"/>
    <cellStyle name="汇总 2 6 9 2 5 2" xfId="1595" xr:uid="{00000000-0005-0000-0000-00006B060000}"/>
    <cellStyle name="汇总 2 6 9 2 6" xfId="1609" xr:uid="{00000000-0005-0000-0000-000079060000}"/>
    <cellStyle name="汇总 2 6 9 2 7" xfId="1620" xr:uid="{00000000-0005-0000-0000-000084060000}"/>
    <cellStyle name="汇总 2 6 9 2 8" xfId="1632" xr:uid="{00000000-0005-0000-0000-000090060000}"/>
    <cellStyle name="汇总 2 6 9 2 9" xfId="1642" xr:uid="{00000000-0005-0000-0000-00009A060000}"/>
    <cellStyle name="汇总 2 6 9 3" xfId="1652" xr:uid="{00000000-0005-0000-0000-0000A4060000}"/>
    <cellStyle name="汇总 2 6 9 3 2" xfId="2000" xr:uid="{00000000-0005-0000-0000-000000080000}"/>
    <cellStyle name="汇总 2 6 9 3 2 2" xfId="2013" xr:uid="{00000000-0005-0000-0000-00000D080000}"/>
    <cellStyle name="汇总 2 6 9 3 3" xfId="1403" xr:uid="{00000000-0005-0000-0000-0000AB050000}"/>
    <cellStyle name="汇总 2 6 9 3 3 2" xfId="1427" xr:uid="{00000000-0005-0000-0000-0000C3050000}"/>
    <cellStyle name="汇总 2 6 9 3 4" xfId="1439" xr:uid="{00000000-0005-0000-0000-0000CF050000}"/>
    <cellStyle name="汇总 2 6 9 3 4 2" xfId="20180" xr:uid="{00000000-0005-0000-0000-0000044F0000}"/>
    <cellStyle name="汇总 2 6 9 3 5" xfId="1464" xr:uid="{00000000-0005-0000-0000-0000E8050000}"/>
    <cellStyle name="汇总 2 6 9 3 5 2" xfId="20183" xr:uid="{00000000-0005-0000-0000-0000074F0000}"/>
    <cellStyle name="汇总 2 6 9 3 6" xfId="1502" xr:uid="{00000000-0005-0000-0000-00000E060000}"/>
    <cellStyle name="汇总 2 6 9 4" xfId="2018" xr:uid="{00000000-0005-0000-0000-000012080000}"/>
    <cellStyle name="汇总 2 6 9 4 2" xfId="20186" xr:uid="{00000000-0005-0000-0000-00000A4F0000}"/>
    <cellStyle name="汇总 2 6 9 4 2 2" xfId="20189" xr:uid="{00000000-0005-0000-0000-00000D4F0000}"/>
    <cellStyle name="汇总 2 6 9 4 3" xfId="20192" xr:uid="{00000000-0005-0000-0000-0000104F0000}"/>
    <cellStyle name="汇总 2 6 9 4 3 2" xfId="20193" xr:uid="{00000000-0005-0000-0000-0000114F0000}"/>
    <cellStyle name="汇总 2 6 9 4 4" xfId="20196" xr:uid="{00000000-0005-0000-0000-0000144F0000}"/>
    <cellStyle name="汇总 2 6 9 4 4 2" xfId="20197" xr:uid="{00000000-0005-0000-0000-0000154F0000}"/>
    <cellStyle name="汇总 2 6 9 4 5" xfId="20201" xr:uid="{00000000-0005-0000-0000-0000194F0000}"/>
    <cellStyle name="汇总 2 6 9 4 5 2" xfId="20203" xr:uid="{00000000-0005-0000-0000-00001B4F0000}"/>
    <cellStyle name="汇总 2 6 9 4 6" xfId="20207" xr:uid="{00000000-0005-0000-0000-00001F4F0000}"/>
    <cellStyle name="汇总 2 6 9 5" xfId="254" xr:uid="{00000000-0005-0000-0000-000017010000}"/>
    <cellStyle name="汇总 2 6 9 5 2" xfId="15261" xr:uid="{00000000-0005-0000-0000-0000CD3B0000}"/>
    <cellStyle name="汇总 2 6 9 5 2 2" xfId="16156" xr:uid="{00000000-0005-0000-0000-00004C3F0000}"/>
    <cellStyle name="汇总 2 6 9 5 3" xfId="15265" xr:uid="{00000000-0005-0000-0000-0000D13B0000}"/>
    <cellStyle name="汇总 2 6 9 5 3 2" xfId="16163" xr:uid="{00000000-0005-0000-0000-0000533F0000}"/>
    <cellStyle name="汇总 2 6 9 5 4" xfId="481" xr:uid="{00000000-0005-0000-0000-00000D020000}"/>
    <cellStyle name="汇总 2 6 9 5 4 2" xfId="866" xr:uid="{00000000-0005-0000-0000-000092030000}"/>
    <cellStyle name="汇总 2 6 9 5 5" xfId="523" xr:uid="{00000000-0005-0000-0000-000039020000}"/>
    <cellStyle name="汇总 2 6 9 5 5 2" xfId="907" xr:uid="{00000000-0005-0000-0000-0000BB030000}"/>
    <cellStyle name="汇总 2 6 9 5 6" xfId="9417" xr:uid="{00000000-0005-0000-0000-0000F9240000}"/>
    <cellStyle name="汇总 2 6 9 6" xfId="2028" xr:uid="{00000000-0005-0000-0000-00001C080000}"/>
    <cellStyle name="汇总 2 6 9 6 2" xfId="16308" xr:uid="{00000000-0005-0000-0000-0000E43F0000}"/>
    <cellStyle name="汇总 2 6 9 6 2 2" xfId="16310" xr:uid="{00000000-0005-0000-0000-0000E63F0000}"/>
    <cellStyle name="汇总 2 6 9 6 3" xfId="16319" xr:uid="{00000000-0005-0000-0000-0000EF3F0000}"/>
    <cellStyle name="汇总 2 6 9 6 3 2" xfId="16322" xr:uid="{00000000-0005-0000-0000-0000F23F0000}"/>
    <cellStyle name="汇总 2 6 9 6 4" xfId="20208" xr:uid="{00000000-0005-0000-0000-0000204F0000}"/>
    <cellStyle name="汇总 2 6 9 6 4 2" xfId="20209" xr:uid="{00000000-0005-0000-0000-0000214F0000}"/>
    <cellStyle name="汇总 2 6 9 6 5" xfId="20211" xr:uid="{00000000-0005-0000-0000-0000234F0000}"/>
    <cellStyle name="汇总 2 6 9 6 5 2" xfId="15879" xr:uid="{00000000-0005-0000-0000-0000373E0000}"/>
    <cellStyle name="汇总 2 6 9 6 6" xfId="20212" xr:uid="{00000000-0005-0000-0000-0000244F0000}"/>
    <cellStyle name="汇总 2 6 9 7" xfId="2049" xr:uid="{00000000-0005-0000-0000-000031080000}"/>
    <cellStyle name="汇总 2 6 9 7 2" xfId="1800" xr:uid="{00000000-0005-0000-0000-000038070000}"/>
    <cellStyle name="汇总 2 6 9 7 2 2" xfId="2076" xr:uid="{00000000-0005-0000-0000-00004C080000}"/>
    <cellStyle name="汇总 2 6 9 7 3" xfId="16471" xr:uid="{00000000-0005-0000-0000-000087400000}"/>
    <cellStyle name="汇总 2 6 9 7 3 2" xfId="16473" xr:uid="{00000000-0005-0000-0000-000089400000}"/>
    <cellStyle name="汇总 2 6 9 7 4" xfId="20214" xr:uid="{00000000-0005-0000-0000-0000264F0000}"/>
    <cellStyle name="汇总 2 6 9 7 4 2" xfId="20216" xr:uid="{00000000-0005-0000-0000-0000284F0000}"/>
    <cellStyle name="汇总 2 6 9 7 5" xfId="20218" xr:uid="{00000000-0005-0000-0000-00002A4F0000}"/>
    <cellStyle name="汇总 2 6 9 7 5 2" xfId="20222" xr:uid="{00000000-0005-0000-0000-00002E4F0000}"/>
    <cellStyle name="汇总 2 6 9 7 6" xfId="20224" xr:uid="{00000000-0005-0000-0000-0000304F0000}"/>
    <cellStyle name="汇总 2 6 9 8" xfId="2084" xr:uid="{00000000-0005-0000-0000-000054080000}"/>
    <cellStyle name="汇总 2 6 9 8 2" xfId="15631" xr:uid="{00000000-0005-0000-0000-00003F3D0000}"/>
    <cellStyle name="汇总 2 6 9 8 2 2" xfId="16629" xr:uid="{00000000-0005-0000-0000-000025410000}"/>
    <cellStyle name="汇总 2 6 9 8 3" xfId="3671" xr:uid="{00000000-0005-0000-0000-0000870E0000}"/>
    <cellStyle name="汇总 2 6 9 8 3 2" xfId="16638" xr:uid="{00000000-0005-0000-0000-00002E410000}"/>
    <cellStyle name="汇总 2 6 9 8 4" xfId="18835" xr:uid="{00000000-0005-0000-0000-0000C3490000}"/>
    <cellStyle name="汇总 2 6 9 8 4 2" xfId="3955" xr:uid="{00000000-0005-0000-0000-0000A30F0000}"/>
    <cellStyle name="汇总 2 6 9 8 5" xfId="20226" xr:uid="{00000000-0005-0000-0000-0000324F0000}"/>
    <cellStyle name="汇总 2 6 9 9" xfId="2094" xr:uid="{00000000-0005-0000-0000-00005E080000}"/>
    <cellStyle name="汇总 2 6 9 9 2" xfId="2109" xr:uid="{00000000-0005-0000-0000-00006D080000}"/>
    <cellStyle name="汇总 2 7" xfId="20228" xr:uid="{00000000-0005-0000-0000-0000344F0000}"/>
    <cellStyle name="汇总 2 7 10" xfId="20231" xr:uid="{00000000-0005-0000-0000-0000374F0000}"/>
    <cellStyle name="汇总 2 7 10 10" xfId="5126" xr:uid="{00000000-0005-0000-0000-000036140000}"/>
    <cellStyle name="汇总 2 7 10 10 2" xfId="5141" xr:uid="{00000000-0005-0000-0000-000045140000}"/>
    <cellStyle name="汇总 2 7 10 11" xfId="1070" xr:uid="{00000000-0005-0000-0000-00005E040000}"/>
    <cellStyle name="汇总 2 7 10 11 2" xfId="9555" xr:uid="{00000000-0005-0000-0000-000083250000}"/>
    <cellStyle name="汇总 2 7 10 12" xfId="5609" xr:uid="{00000000-0005-0000-0000-000019160000}"/>
    <cellStyle name="汇总 2 7 10 12 2" xfId="9565" xr:uid="{00000000-0005-0000-0000-00008D250000}"/>
    <cellStyle name="汇总 2 7 10 13" xfId="2168" xr:uid="{00000000-0005-0000-0000-0000A8080000}"/>
    <cellStyle name="汇总 2 7 10 14" xfId="5619" xr:uid="{00000000-0005-0000-0000-000023160000}"/>
    <cellStyle name="汇总 2 7 10 15" xfId="9581" xr:uid="{00000000-0005-0000-0000-00009D250000}"/>
    <cellStyle name="汇总 2 7 10 16" xfId="9137" xr:uid="{00000000-0005-0000-0000-0000E1230000}"/>
    <cellStyle name="汇总 2 7 10 2" xfId="20232" xr:uid="{00000000-0005-0000-0000-0000384F0000}"/>
    <cellStyle name="汇总 2 7 10 2 2" xfId="20235" xr:uid="{00000000-0005-0000-0000-00003B4F0000}"/>
    <cellStyle name="汇总 2 7 10 2 2 2" xfId="20238" xr:uid="{00000000-0005-0000-0000-00003E4F0000}"/>
    <cellStyle name="汇总 2 7 10 2 3" xfId="15996" xr:uid="{00000000-0005-0000-0000-0000AC3E0000}"/>
    <cellStyle name="汇总 2 7 10 2 3 2" xfId="20239" xr:uid="{00000000-0005-0000-0000-00003F4F0000}"/>
    <cellStyle name="汇总 2 7 10 2 4" xfId="15146" xr:uid="{00000000-0005-0000-0000-00005A3B0000}"/>
    <cellStyle name="汇总 2 7 10 2 4 2" xfId="20240" xr:uid="{00000000-0005-0000-0000-0000404F0000}"/>
    <cellStyle name="汇总 2 7 10 2 5" xfId="18007" xr:uid="{00000000-0005-0000-0000-000087460000}"/>
    <cellStyle name="汇总 2 7 10 2 5 2" xfId="18011" xr:uid="{00000000-0005-0000-0000-00008B460000}"/>
    <cellStyle name="汇总 2 7 10 2 6" xfId="18015" xr:uid="{00000000-0005-0000-0000-00008F460000}"/>
    <cellStyle name="汇总 2 7 10 2 7" xfId="18023" xr:uid="{00000000-0005-0000-0000-000097460000}"/>
    <cellStyle name="汇总 2 7 10 2 8" xfId="18031" xr:uid="{00000000-0005-0000-0000-00009F460000}"/>
    <cellStyle name="汇总 2 7 10 2 9" xfId="18044" xr:uid="{00000000-0005-0000-0000-0000AC460000}"/>
    <cellStyle name="汇总 2 7 10 3" xfId="20242" xr:uid="{00000000-0005-0000-0000-0000424F0000}"/>
    <cellStyle name="汇总 2 7 10 3 2" xfId="17338" xr:uid="{00000000-0005-0000-0000-0000EA430000}"/>
    <cellStyle name="汇总 2 7 10 3 2 2" xfId="17345" xr:uid="{00000000-0005-0000-0000-0000F1430000}"/>
    <cellStyle name="汇总 2 7 10 3 3" xfId="16001" xr:uid="{00000000-0005-0000-0000-0000B13E0000}"/>
    <cellStyle name="汇总 2 7 10 3 3 2" xfId="17350" xr:uid="{00000000-0005-0000-0000-0000F6430000}"/>
    <cellStyle name="汇总 2 7 10 3 4" xfId="15149" xr:uid="{00000000-0005-0000-0000-00005D3B0000}"/>
    <cellStyle name="汇总 2 7 10 3 4 2" xfId="20244" xr:uid="{00000000-0005-0000-0000-0000444F0000}"/>
    <cellStyle name="汇总 2 7 10 3 5" xfId="18053" xr:uid="{00000000-0005-0000-0000-0000B5460000}"/>
    <cellStyle name="汇总 2 7 10 3 5 2" xfId="18057" xr:uid="{00000000-0005-0000-0000-0000B9460000}"/>
    <cellStyle name="汇总 2 7 10 3 6" xfId="18060" xr:uid="{00000000-0005-0000-0000-0000BC460000}"/>
    <cellStyle name="汇总 2 7 10 4" xfId="20245" xr:uid="{00000000-0005-0000-0000-0000454F0000}"/>
    <cellStyle name="汇总 2 7 10 4 2" xfId="17367" xr:uid="{00000000-0005-0000-0000-000007440000}"/>
    <cellStyle name="汇总 2 7 10 4 2 2" xfId="17374" xr:uid="{00000000-0005-0000-0000-00000E440000}"/>
    <cellStyle name="汇总 2 7 10 4 3" xfId="16015" xr:uid="{00000000-0005-0000-0000-0000BF3E0000}"/>
    <cellStyle name="汇总 2 7 10 4 3 2" xfId="17381" xr:uid="{00000000-0005-0000-0000-000015440000}"/>
    <cellStyle name="汇总 2 7 10 4 4" xfId="17390" xr:uid="{00000000-0005-0000-0000-00001E440000}"/>
    <cellStyle name="汇总 2 7 10 4 4 2" xfId="20248" xr:uid="{00000000-0005-0000-0000-0000484F0000}"/>
    <cellStyle name="汇总 2 7 10 4 5" xfId="18089" xr:uid="{00000000-0005-0000-0000-0000D9460000}"/>
    <cellStyle name="汇总 2 7 10 4 5 2" xfId="18099" xr:uid="{00000000-0005-0000-0000-0000E3460000}"/>
    <cellStyle name="汇总 2 7 10 4 6" xfId="18103" xr:uid="{00000000-0005-0000-0000-0000E7460000}"/>
    <cellStyle name="汇总 2 7 10 5" xfId="20250" xr:uid="{00000000-0005-0000-0000-00004A4F0000}"/>
    <cellStyle name="汇总 2 7 10 5 2" xfId="10537" xr:uid="{00000000-0005-0000-0000-000059290000}"/>
    <cellStyle name="汇总 2 7 10 5 2 2" xfId="7421" xr:uid="{00000000-0005-0000-0000-00002D1D0000}"/>
    <cellStyle name="汇总 2 7 10 5 3" xfId="16024" xr:uid="{00000000-0005-0000-0000-0000C83E0000}"/>
    <cellStyle name="汇总 2 7 10 5 3 2" xfId="7486" xr:uid="{00000000-0005-0000-0000-00006E1D0000}"/>
    <cellStyle name="汇总 2 7 10 5 4" xfId="17400" xr:uid="{00000000-0005-0000-0000-000028440000}"/>
    <cellStyle name="汇总 2 7 10 5 4 2" xfId="7550" xr:uid="{00000000-0005-0000-0000-0000AE1D0000}"/>
    <cellStyle name="汇总 2 7 10 5 5" xfId="18134" xr:uid="{00000000-0005-0000-0000-000006470000}"/>
    <cellStyle name="汇总 2 7 10 5 5 2" xfId="7599" xr:uid="{00000000-0005-0000-0000-0000DF1D0000}"/>
    <cellStyle name="汇总 2 7 10 5 6" xfId="18142" xr:uid="{00000000-0005-0000-0000-00000E470000}"/>
    <cellStyle name="汇总 2 7 10 6" xfId="20254" xr:uid="{00000000-0005-0000-0000-00004E4F0000}"/>
    <cellStyle name="汇总 2 7 10 6 2" xfId="10952" xr:uid="{00000000-0005-0000-0000-0000F82A0000}"/>
    <cellStyle name="汇总 2 7 10 6 2 2" xfId="3204" xr:uid="{00000000-0005-0000-0000-0000B40C0000}"/>
    <cellStyle name="汇总 2 7 10 6 3" xfId="10963" xr:uid="{00000000-0005-0000-0000-0000032B0000}"/>
    <cellStyle name="汇总 2 7 10 6 3 2" xfId="3326" xr:uid="{00000000-0005-0000-0000-00002E0D0000}"/>
    <cellStyle name="汇总 2 7 10 6 4" xfId="17413" xr:uid="{00000000-0005-0000-0000-000035440000}"/>
    <cellStyle name="汇总 2 7 10 6 4 2" xfId="3380" xr:uid="{00000000-0005-0000-0000-0000640D0000}"/>
    <cellStyle name="汇总 2 7 10 6 5" xfId="18173" xr:uid="{00000000-0005-0000-0000-00002D470000}"/>
    <cellStyle name="汇总 2 7 10 6 5 2" xfId="3419" xr:uid="{00000000-0005-0000-0000-00008B0D0000}"/>
    <cellStyle name="汇总 2 7 10 6 6" xfId="18179" xr:uid="{00000000-0005-0000-0000-000033470000}"/>
    <cellStyle name="汇总 2 7 10 7" xfId="20256" xr:uid="{00000000-0005-0000-0000-0000504F0000}"/>
    <cellStyle name="汇总 2 7 10 7 2" xfId="17434" xr:uid="{00000000-0005-0000-0000-00004A440000}"/>
    <cellStyle name="汇总 2 7 10 7 2 2" xfId="7234" xr:uid="{00000000-0005-0000-0000-0000721C0000}"/>
    <cellStyle name="汇总 2 7 10 7 3" xfId="17440" xr:uid="{00000000-0005-0000-0000-000050440000}"/>
    <cellStyle name="汇总 2 7 10 7 3 2" xfId="5220" xr:uid="{00000000-0005-0000-0000-000094140000}"/>
    <cellStyle name="汇总 2 7 10 7 4" xfId="17444" xr:uid="{00000000-0005-0000-0000-000054440000}"/>
    <cellStyle name="汇总 2 7 10 7 4 2" xfId="8034" xr:uid="{00000000-0005-0000-0000-0000921F0000}"/>
    <cellStyle name="汇总 2 7 10 7 5" xfId="18198" xr:uid="{00000000-0005-0000-0000-000046470000}"/>
    <cellStyle name="汇总 2 7 10 7 5 2" xfId="8067" xr:uid="{00000000-0005-0000-0000-0000B31F0000}"/>
    <cellStyle name="汇总 2 7 10 7 6" xfId="16715" xr:uid="{00000000-0005-0000-0000-00007B410000}"/>
    <cellStyle name="汇总 2 7 10 8" xfId="20266" xr:uid="{00000000-0005-0000-0000-00005A4F0000}"/>
    <cellStyle name="汇总 2 7 10 8 2" xfId="17466" xr:uid="{00000000-0005-0000-0000-00006A440000}"/>
    <cellStyle name="汇总 2 7 10 8 2 2" xfId="8251" xr:uid="{00000000-0005-0000-0000-00006B200000}"/>
    <cellStyle name="汇总 2 7 10 8 3" xfId="8485" xr:uid="{00000000-0005-0000-0000-000055210000}"/>
    <cellStyle name="汇总 2 7 10 8 3 2" xfId="8299" xr:uid="{00000000-0005-0000-0000-00009B200000}"/>
    <cellStyle name="汇总 2 7 10 8 4" xfId="17472" xr:uid="{00000000-0005-0000-0000-000070440000}"/>
    <cellStyle name="汇总 2 7 10 8 4 2" xfId="8357" xr:uid="{00000000-0005-0000-0000-0000D5200000}"/>
    <cellStyle name="汇总 2 7 10 8 5" xfId="20268" xr:uid="{00000000-0005-0000-0000-00005C4F0000}"/>
    <cellStyle name="汇总 2 7 10 9" xfId="11142" xr:uid="{00000000-0005-0000-0000-0000B62B0000}"/>
    <cellStyle name="汇总 2 7 10 9 2" xfId="17486" xr:uid="{00000000-0005-0000-0000-00007E440000}"/>
    <cellStyle name="汇总 2 7 11" xfId="20270" xr:uid="{00000000-0005-0000-0000-00005E4F0000}"/>
    <cellStyle name="汇总 2 7 11 10" xfId="9750" xr:uid="{00000000-0005-0000-0000-000046260000}"/>
    <cellStyle name="汇总 2 7 11 10 2" xfId="9755" xr:uid="{00000000-0005-0000-0000-00004B260000}"/>
    <cellStyle name="汇总 2 7 11 11" xfId="9766" xr:uid="{00000000-0005-0000-0000-000056260000}"/>
    <cellStyle name="汇总 2 7 11 11 2" xfId="9771" xr:uid="{00000000-0005-0000-0000-00005B260000}"/>
    <cellStyle name="汇总 2 7 11 12" xfId="9782" xr:uid="{00000000-0005-0000-0000-000066260000}"/>
    <cellStyle name="汇总 2 7 11 12 2" xfId="9792" xr:uid="{00000000-0005-0000-0000-000070260000}"/>
    <cellStyle name="汇总 2 7 11 13" xfId="2450" xr:uid="{00000000-0005-0000-0000-0000C2090000}"/>
    <cellStyle name="汇总 2 7 11 14" xfId="9805" xr:uid="{00000000-0005-0000-0000-00007D260000}"/>
    <cellStyle name="汇总 2 7 11 15" xfId="10177" xr:uid="{00000000-0005-0000-0000-0000F1270000}"/>
    <cellStyle name="汇总 2 7 11 16" xfId="20271" xr:uid="{00000000-0005-0000-0000-00005F4F0000}"/>
    <cellStyle name="汇总 2 7 11 2" xfId="20274" xr:uid="{00000000-0005-0000-0000-0000624F0000}"/>
    <cellStyle name="汇总 2 7 11 2 2" xfId="20276" xr:uid="{00000000-0005-0000-0000-0000644F0000}"/>
    <cellStyle name="汇总 2 7 11 2 2 2" xfId="2586" xr:uid="{00000000-0005-0000-0000-00004A0A0000}"/>
    <cellStyle name="汇总 2 7 11 2 3" xfId="16037" xr:uid="{00000000-0005-0000-0000-0000D53E0000}"/>
    <cellStyle name="汇总 2 7 11 2 3 2" xfId="2674" xr:uid="{00000000-0005-0000-0000-0000A20A0000}"/>
    <cellStyle name="汇总 2 7 11 2 4" xfId="15165" xr:uid="{00000000-0005-0000-0000-00006D3B0000}"/>
    <cellStyle name="汇总 2 7 11 2 4 2" xfId="2772" xr:uid="{00000000-0005-0000-0000-0000040B0000}"/>
    <cellStyle name="汇总 2 7 11 2 5" xfId="18272" xr:uid="{00000000-0005-0000-0000-000090470000}"/>
    <cellStyle name="汇总 2 7 11 2 5 2" xfId="18278" xr:uid="{00000000-0005-0000-0000-000096470000}"/>
    <cellStyle name="汇总 2 7 11 2 6" xfId="18285" xr:uid="{00000000-0005-0000-0000-00009D470000}"/>
    <cellStyle name="汇总 2 7 11 3" xfId="7889" xr:uid="{00000000-0005-0000-0000-0000011F0000}"/>
    <cellStyle name="汇总 2 7 11 3 2" xfId="6254" xr:uid="{00000000-0005-0000-0000-00009E180000}"/>
    <cellStyle name="汇总 2 7 11 3 2 2" xfId="3180" xr:uid="{00000000-0005-0000-0000-00009C0C0000}"/>
    <cellStyle name="汇总 2 7 11 3 3" xfId="16043" xr:uid="{00000000-0005-0000-0000-0000DB3E0000}"/>
    <cellStyle name="汇总 2 7 11 3 3 2" xfId="1184" xr:uid="{00000000-0005-0000-0000-0000D0040000}"/>
    <cellStyle name="汇总 2 7 11 3 4" xfId="15168" xr:uid="{00000000-0005-0000-0000-0000703B0000}"/>
    <cellStyle name="汇总 2 7 11 3 4 2" xfId="2943" xr:uid="{00000000-0005-0000-0000-0000AF0B0000}"/>
    <cellStyle name="汇总 2 7 11 3 5" xfId="18316" xr:uid="{00000000-0005-0000-0000-0000BC470000}"/>
    <cellStyle name="汇总 2 7 11 3 5 2" xfId="18322" xr:uid="{00000000-0005-0000-0000-0000C2470000}"/>
    <cellStyle name="汇总 2 7 11 3 6" xfId="18328" xr:uid="{00000000-0005-0000-0000-0000C8470000}"/>
    <cellStyle name="汇总 2 7 11 4" xfId="19722" xr:uid="{00000000-0005-0000-0000-00003A4D0000}"/>
    <cellStyle name="汇总 2 7 11 4 2" xfId="20280" xr:uid="{00000000-0005-0000-0000-0000684F0000}"/>
    <cellStyle name="汇总 2 7 11 4 2 2" xfId="20283" xr:uid="{00000000-0005-0000-0000-00006B4F0000}"/>
    <cellStyle name="汇总 2 7 11 4 3" xfId="16052" xr:uid="{00000000-0005-0000-0000-0000E43E0000}"/>
    <cellStyle name="汇总 2 7 11 4 3 2" xfId="20286" xr:uid="{00000000-0005-0000-0000-00006E4F0000}"/>
    <cellStyle name="汇总 2 7 11 4 4" xfId="20289" xr:uid="{00000000-0005-0000-0000-0000714F0000}"/>
    <cellStyle name="汇总 2 7 11 4 4 2" xfId="20291" xr:uid="{00000000-0005-0000-0000-0000734F0000}"/>
    <cellStyle name="汇总 2 7 11 4 5" xfId="18363" xr:uid="{00000000-0005-0000-0000-0000EB470000}"/>
    <cellStyle name="汇总 2 7 11 4 5 2" xfId="18373" xr:uid="{00000000-0005-0000-0000-0000F5470000}"/>
    <cellStyle name="汇总 2 7 11 4 6" xfId="18381" xr:uid="{00000000-0005-0000-0000-0000FD470000}"/>
    <cellStyle name="汇总 2 7 11 5" xfId="20293" xr:uid="{00000000-0005-0000-0000-0000754F0000}"/>
    <cellStyle name="汇总 2 7 11 5 2" xfId="10915" xr:uid="{00000000-0005-0000-0000-0000D32A0000}"/>
    <cellStyle name="汇总 2 7 11 5 2 2" xfId="9597" xr:uid="{00000000-0005-0000-0000-0000AD250000}"/>
    <cellStyle name="汇总 2 7 11 5 3" xfId="20294" xr:uid="{00000000-0005-0000-0000-0000764F0000}"/>
    <cellStyle name="汇总 2 7 11 5 3 2" xfId="9636" xr:uid="{00000000-0005-0000-0000-0000D4250000}"/>
    <cellStyle name="汇总 2 7 11 5 4" xfId="20297" xr:uid="{00000000-0005-0000-0000-0000794F0000}"/>
    <cellStyle name="汇总 2 7 11 5 4 2" xfId="9692" xr:uid="{00000000-0005-0000-0000-00000C260000}"/>
    <cellStyle name="汇总 2 7 11 5 5" xfId="18423" xr:uid="{00000000-0005-0000-0000-000027480000}"/>
    <cellStyle name="汇总 2 7 11 5 5 2" xfId="391" xr:uid="{00000000-0005-0000-0000-0000AC010000}"/>
    <cellStyle name="汇总 2 7 11 5 6" xfId="18434" xr:uid="{00000000-0005-0000-0000-000032480000}"/>
    <cellStyle name="汇总 2 7 11 6" xfId="20300" xr:uid="{00000000-0005-0000-0000-00007C4F0000}"/>
    <cellStyle name="汇总 2 7 11 6 2" xfId="2414" xr:uid="{00000000-0005-0000-0000-00009E090000}"/>
    <cellStyle name="汇总 2 7 11 6 2 2" xfId="9931" xr:uid="{00000000-0005-0000-0000-0000FB260000}"/>
    <cellStyle name="汇总 2 7 11 6 3" xfId="20301" xr:uid="{00000000-0005-0000-0000-00007D4F0000}"/>
    <cellStyle name="汇总 2 7 11 6 3 2" xfId="9971" xr:uid="{00000000-0005-0000-0000-000023270000}"/>
    <cellStyle name="汇总 2 7 11 6 4" xfId="20303" xr:uid="{00000000-0005-0000-0000-00007F4F0000}"/>
    <cellStyle name="汇总 2 7 11 6 4 2" xfId="10025" xr:uid="{00000000-0005-0000-0000-000059270000}"/>
    <cellStyle name="汇总 2 7 11 6 5" xfId="18468" xr:uid="{00000000-0005-0000-0000-000054480000}"/>
    <cellStyle name="汇总 2 7 11 6 5 2" xfId="10082" xr:uid="{00000000-0005-0000-0000-000092270000}"/>
    <cellStyle name="汇总 2 7 11 6 6" xfId="18479" xr:uid="{00000000-0005-0000-0000-00005F480000}"/>
    <cellStyle name="汇总 2 7 11 7" xfId="17197" xr:uid="{00000000-0005-0000-0000-00005D430000}"/>
    <cellStyle name="汇总 2 7 11 7 2" xfId="20306" xr:uid="{00000000-0005-0000-0000-0000824F0000}"/>
    <cellStyle name="汇总 2 7 11 7 2 2" xfId="9512" xr:uid="{00000000-0005-0000-0000-000058250000}"/>
    <cellStyle name="汇总 2 7 11 7 3" xfId="20308" xr:uid="{00000000-0005-0000-0000-0000844F0000}"/>
    <cellStyle name="汇总 2 7 11 7 3 2" xfId="10276" xr:uid="{00000000-0005-0000-0000-000054280000}"/>
    <cellStyle name="汇总 2 7 11 7 4" xfId="20309" xr:uid="{00000000-0005-0000-0000-0000854F0000}"/>
    <cellStyle name="汇总 2 7 11 7 4 2" xfId="10329" xr:uid="{00000000-0005-0000-0000-000089280000}"/>
    <cellStyle name="汇总 2 7 11 7 5" xfId="18503" xr:uid="{00000000-0005-0000-0000-000077480000}"/>
    <cellStyle name="汇总 2 7 11 7 5 2" xfId="10383" xr:uid="{00000000-0005-0000-0000-0000BF280000}"/>
    <cellStyle name="汇总 2 7 11 7 6" xfId="16731" xr:uid="{00000000-0005-0000-0000-00008B410000}"/>
    <cellStyle name="汇总 2 7 11 8" xfId="20312" xr:uid="{00000000-0005-0000-0000-0000884F0000}"/>
    <cellStyle name="汇总 2 7 11 8 2" xfId="20316" xr:uid="{00000000-0005-0000-0000-00008C4F0000}"/>
    <cellStyle name="汇总 2 7 11 8 2 2" xfId="10601" xr:uid="{00000000-0005-0000-0000-000099290000}"/>
    <cellStyle name="汇总 2 7 11 8 3" xfId="20318" xr:uid="{00000000-0005-0000-0000-00008E4F0000}"/>
    <cellStyle name="汇总 2 7 11 8 3 2" xfId="10646" xr:uid="{00000000-0005-0000-0000-0000C6290000}"/>
    <cellStyle name="汇总 2 7 11 8 4" xfId="20320" xr:uid="{00000000-0005-0000-0000-0000904F0000}"/>
    <cellStyle name="汇总 2 7 11 8 4 2" xfId="10715" xr:uid="{00000000-0005-0000-0000-00000B2A0000}"/>
    <cellStyle name="汇总 2 7 11 8 5" xfId="20322" xr:uid="{00000000-0005-0000-0000-0000924F0000}"/>
    <cellStyle name="汇总 2 7 11 9" xfId="11098" xr:uid="{00000000-0005-0000-0000-00008A2B0000}"/>
    <cellStyle name="汇总 2 7 11 9 2" xfId="20324" xr:uid="{00000000-0005-0000-0000-0000944F0000}"/>
    <cellStyle name="汇总 2 7 12" xfId="20325" xr:uid="{00000000-0005-0000-0000-0000954F0000}"/>
    <cellStyle name="汇总 2 7 12 2" xfId="20326" xr:uid="{00000000-0005-0000-0000-0000964F0000}"/>
    <cellStyle name="汇总 2 7 12 2 2" xfId="20327" xr:uid="{00000000-0005-0000-0000-0000974F0000}"/>
    <cellStyle name="汇总 2 7 12 3" xfId="7911" xr:uid="{00000000-0005-0000-0000-0000171F0000}"/>
    <cellStyle name="汇总 2 7 12 3 2" xfId="20330" xr:uid="{00000000-0005-0000-0000-00009A4F0000}"/>
    <cellStyle name="汇总 2 7 12 4" xfId="19726" xr:uid="{00000000-0005-0000-0000-00003E4D0000}"/>
    <cellStyle name="汇总 2 7 12 4 2" xfId="20333" xr:uid="{00000000-0005-0000-0000-00009D4F0000}"/>
    <cellStyle name="汇总 2 7 12 5" xfId="1436" xr:uid="{00000000-0005-0000-0000-0000CC050000}"/>
    <cellStyle name="汇总 2 7 12 5 2" xfId="10986" xr:uid="{00000000-0005-0000-0000-00001A2B0000}"/>
    <cellStyle name="汇总 2 7 12 6" xfId="20339" xr:uid="{00000000-0005-0000-0000-0000A34F0000}"/>
    <cellStyle name="汇总 2 7 12 7" xfId="17210" xr:uid="{00000000-0005-0000-0000-00006A430000}"/>
    <cellStyle name="汇总 2 7 12 8" xfId="13282" xr:uid="{00000000-0005-0000-0000-000012340000}"/>
    <cellStyle name="汇总 2 7 12 9" xfId="20341" xr:uid="{00000000-0005-0000-0000-0000A54F0000}"/>
    <cellStyle name="汇总 2 7 13" xfId="20342" xr:uid="{00000000-0005-0000-0000-0000A64F0000}"/>
    <cellStyle name="汇总 2 7 13 2" xfId="20343" xr:uid="{00000000-0005-0000-0000-0000A74F0000}"/>
    <cellStyle name="汇总 2 7 13 2 2" xfId="20344" xr:uid="{00000000-0005-0000-0000-0000A84F0000}"/>
    <cellStyle name="汇总 2 7 13 3" xfId="7928" xr:uid="{00000000-0005-0000-0000-0000281F0000}"/>
    <cellStyle name="汇总 2 7 13 3 2" xfId="20345" xr:uid="{00000000-0005-0000-0000-0000A94F0000}"/>
    <cellStyle name="汇总 2 7 13 4" xfId="19731" xr:uid="{00000000-0005-0000-0000-0000434D0000}"/>
    <cellStyle name="汇总 2 7 13 4 2" xfId="20346" xr:uid="{00000000-0005-0000-0000-0000AA4F0000}"/>
    <cellStyle name="汇总 2 7 13 5" xfId="1460" xr:uid="{00000000-0005-0000-0000-0000E4050000}"/>
    <cellStyle name="汇总 2 7 13 5 2" xfId="11102" xr:uid="{00000000-0005-0000-0000-00008E2B0000}"/>
    <cellStyle name="汇总 2 7 13 6" xfId="20349" xr:uid="{00000000-0005-0000-0000-0000AD4F0000}"/>
    <cellStyle name="汇总 2 7 14" xfId="6953" xr:uid="{00000000-0005-0000-0000-0000591B0000}"/>
    <cellStyle name="汇总 2 7 14 2" xfId="20351" xr:uid="{00000000-0005-0000-0000-0000AF4F0000}"/>
    <cellStyle name="汇总 2 7 14 2 2" xfId="20353" xr:uid="{00000000-0005-0000-0000-0000B14F0000}"/>
    <cellStyle name="汇总 2 7 14 3" xfId="7940" xr:uid="{00000000-0005-0000-0000-0000341F0000}"/>
    <cellStyle name="汇总 2 7 14 3 2" xfId="11166" xr:uid="{00000000-0005-0000-0000-0000CE2B0000}"/>
    <cellStyle name="汇总 2 7 14 4" xfId="20355" xr:uid="{00000000-0005-0000-0000-0000B34F0000}"/>
    <cellStyle name="汇总 2 7 14 4 2" xfId="20357" xr:uid="{00000000-0005-0000-0000-0000B54F0000}"/>
    <cellStyle name="汇总 2 7 14 5" xfId="11183" xr:uid="{00000000-0005-0000-0000-0000DF2B0000}"/>
    <cellStyle name="汇总 2 7 14 5 2" xfId="20359" xr:uid="{00000000-0005-0000-0000-0000B74F0000}"/>
    <cellStyle name="汇总 2 7 14 6" xfId="20361" xr:uid="{00000000-0005-0000-0000-0000B94F0000}"/>
    <cellStyle name="汇总 2 7 15" xfId="15448" xr:uid="{00000000-0005-0000-0000-0000883C0000}"/>
    <cellStyle name="汇总 2 7 15 2" xfId="19426" xr:uid="{00000000-0005-0000-0000-0000124C0000}"/>
    <cellStyle name="汇总 2 7 15 2 2" xfId="19429" xr:uid="{00000000-0005-0000-0000-0000154C0000}"/>
    <cellStyle name="汇总 2 7 15 3" xfId="19433" xr:uid="{00000000-0005-0000-0000-0000194C0000}"/>
    <cellStyle name="汇总 2 7 15 3 2" xfId="20363" xr:uid="{00000000-0005-0000-0000-0000BB4F0000}"/>
    <cellStyle name="汇总 2 7 15 4" xfId="19437" xr:uid="{00000000-0005-0000-0000-00001D4C0000}"/>
    <cellStyle name="汇总 2 7 15 4 2" xfId="20364" xr:uid="{00000000-0005-0000-0000-0000BC4F0000}"/>
    <cellStyle name="汇总 2 7 15 5" xfId="11199" xr:uid="{00000000-0005-0000-0000-0000EF2B0000}"/>
    <cellStyle name="汇总 2 7 15 5 2" xfId="15503" xr:uid="{00000000-0005-0000-0000-0000BF3C0000}"/>
    <cellStyle name="汇总 2 7 15 6" xfId="19440" xr:uid="{00000000-0005-0000-0000-0000204C0000}"/>
    <cellStyle name="汇总 2 7 16" xfId="16093" xr:uid="{00000000-0005-0000-0000-00000D3F0000}"/>
    <cellStyle name="汇总 2 7 16 2" xfId="19454" xr:uid="{00000000-0005-0000-0000-00002E4C0000}"/>
    <cellStyle name="汇总 2 7 16 2 2" xfId="19458" xr:uid="{00000000-0005-0000-0000-0000324C0000}"/>
    <cellStyle name="汇总 2 7 16 3" xfId="19463" xr:uid="{00000000-0005-0000-0000-0000374C0000}"/>
    <cellStyle name="汇总 2 7 16 3 2" xfId="20365" xr:uid="{00000000-0005-0000-0000-0000BD4F0000}"/>
    <cellStyle name="汇总 2 7 16 4" xfId="20366" xr:uid="{00000000-0005-0000-0000-0000BE4F0000}"/>
    <cellStyle name="汇总 2 7 16 4 2" xfId="19181" xr:uid="{00000000-0005-0000-0000-00001D4B0000}"/>
    <cellStyle name="汇总 2 7 16 5" xfId="11214" xr:uid="{00000000-0005-0000-0000-0000FE2B0000}"/>
    <cellStyle name="汇总 2 7 16 5 2" xfId="2136" xr:uid="{00000000-0005-0000-0000-000088080000}"/>
    <cellStyle name="汇总 2 7 16 6" xfId="20367" xr:uid="{00000000-0005-0000-0000-0000BF4F0000}"/>
    <cellStyle name="汇总 2 7 17" xfId="20371" xr:uid="{00000000-0005-0000-0000-0000C34F0000}"/>
    <cellStyle name="汇总 2 7 17 2" xfId="19491" xr:uid="{00000000-0005-0000-0000-0000534C0000}"/>
    <cellStyle name="汇总 2 7 17 2 2" xfId="19497" xr:uid="{00000000-0005-0000-0000-0000594C0000}"/>
    <cellStyle name="汇总 2 7 17 3" xfId="19505" xr:uid="{00000000-0005-0000-0000-0000614C0000}"/>
    <cellStyle name="汇总 2 7 17 3 2" xfId="20373" xr:uid="{00000000-0005-0000-0000-0000C54F0000}"/>
    <cellStyle name="汇总 2 7 17 4" xfId="20374" xr:uid="{00000000-0005-0000-0000-0000C64F0000}"/>
    <cellStyle name="汇总 2 7 17 4 2" xfId="20375" xr:uid="{00000000-0005-0000-0000-0000C74F0000}"/>
    <cellStyle name="汇总 2 7 17 5" xfId="11226" xr:uid="{00000000-0005-0000-0000-00000A2C0000}"/>
    <cellStyle name="汇总 2 7 17 5 2" xfId="20376" xr:uid="{00000000-0005-0000-0000-0000C84F0000}"/>
    <cellStyle name="汇总 2 7 17 6" xfId="20379" xr:uid="{00000000-0005-0000-0000-0000CB4F0000}"/>
    <cellStyle name="汇总 2 7 18" xfId="20383" xr:uid="{00000000-0005-0000-0000-0000CF4F0000}"/>
    <cellStyle name="汇总 2 7 18 2" xfId="19527" xr:uid="{00000000-0005-0000-0000-0000774C0000}"/>
    <cellStyle name="汇总 2 7 18 2 2" xfId="19531" xr:uid="{00000000-0005-0000-0000-00007B4C0000}"/>
    <cellStyle name="汇总 2 7 18 3" xfId="19535" xr:uid="{00000000-0005-0000-0000-00007F4C0000}"/>
    <cellStyle name="汇总 2 7 18 3 2" xfId="20385" xr:uid="{00000000-0005-0000-0000-0000D14F0000}"/>
    <cellStyle name="汇总 2 7 18 4" xfId="20386" xr:uid="{00000000-0005-0000-0000-0000D24F0000}"/>
    <cellStyle name="汇总 2 7 18 4 2" xfId="8443" xr:uid="{00000000-0005-0000-0000-00002B210000}"/>
    <cellStyle name="汇总 2 7 18 5" xfId="20388" xr:uid="{00000000-0005-0000-0000-0000D44F0000}"/>
    <cellStyle name="汇总 2 7 18 5 2" xfId="20390" xr:uid="{00000000-0005-0000-0000-0000D64F0000}"/>
    <cellStyle name="汇总 2 7 18 6" xfId="20394" xr:uid="{00000000-0005-0000-0000-0000DA4F0000}"/>
    <cellStyle name="汇总 2 7 19" xfId="6291" xr:uid="{00000000-0005-0000-0000-0000C3180000}"/>
    <cellStyle name="汇总 2 7 19 2" xfId="6304" xr:uid="{00000000-0005-0000-0000-0000D0180000}"/>
    <cellStyle name="汇总 2 7 19 2 2" xfId="19551" xr:uid="{00000000-0005-0000-0000-00008F4C0000}"/>
    <cellStyle name="汇总 2 7 19 3" xfId="19555" xr:uid="{00000000-0005-0000-0000-0000934C0000}"/>
    <cellStyle name="汇总 2 7 19 3 2" xfId="20396" xr:uid="{00000000-0005-0000-0000-0000DC4F0000}"/>
    <cellStyle name="汇总 2 7 19 4" xfId="20397" xr:uid="{00000000-0005-0000-0000-0000DD4F0000}"/>
    <cellStyle name="汇总 2 7 19 4 2" xfId="20398" xr:uid="{00000000-0005-0000-0000-0000DE4F0000}"/>
    <cellStyle name="汇总 2 7 19 5" xfId="20402" xr:uid="{00000000-0005-0000-0000-0000E24F0000}"/>
    <cellStyle name="汇总 2 7 2" xfId="14588" xr:uid="{00000000-0005-0000-0000-00002C390000}"/>
    <cellStyle name="汇总 2 7 2 10" xfId="20405" xr:uid="{00000000-0005-0000-0000-0000E54F0000}"/>
    <cellStyle name="汇总 2 7 2 10 2" xfId="20406" xr:uid="{00000000-0005-0000-0000-0000E64F0000}"/>
    <cellStyle name="汇总 2 7 2 11" xfId="20407" xr:uid="{00000000-0005-0000-0000-0000E74F0000}"/>
    <cellStyle name="汇总 2 7 2 11 2" xfId="20409" xr:uid="{00000000-0005-0000-0000-0000E94F0000}"/>
    <cellStyle name="汇总 2 7 2 12" xfId="20411" xr:uid="{00000000-0005-0000-0000-0000EB4F0000}"/>
    <cellStyle name="汇总 2 7 2 12 2" xfId="20413" xr:uid="{00000000-0005-0000-0000-0000ED4F0000}"/>
    <cellStyle name="汇总 2 7 2 13" xfId="20416" xr:uid="{00000000-0005-0000-0000-0000F04F0000}"/>
    <cellStyle name="汇总 2 7 2 14" xfId="20418" xr:uid="{00000000-0005-0000-0000-0000F24F0000}"/>
    <cellStyle name="汇总 2 7 2 15" xfId="20422" xr:uid="{00000000-0005-0000-0000-0000F64F0000}"/>
    <cellStyle name="汇总 2 7 2 16" xfId="20423" xr:uid="{00000000-0005-0000-0000-0000F74F0000}"/>
    <cellStyle name="汇总 2 7 2 2" xfId="20424" xr:uid="{00000000-0005-0000-0000-0000F84F0000}"/>
    <cellStyle name="汇总 2 7 2 2 2" xfId="20425" xr:uid="{00000000-0005-0000-0000-0000F94F0000}"/>
    <cellStyle name="汇总 2 7 2 2 2 2" xfId="20427" xr:uid="{00000000-0005-0000-0000-0000FB4F0000}"/>
    <cellStyle name="汇总 2 7 2 2 3" xfId="20428" xr:uid="{00000000-0005-0000-0000-0000FC4F0000}"/>
    <cellStyle name="汇总 2 7 2 2 3 2" xfId="20430" xr:uid="{00000000-0005-0000-0000-0000FE4F0000}"/>
    <cellStyle name="汇总 2 7 2 2 4" xfId="20431" xr:uid="{00000000-0005-0000-0000-0000FF4F0000}"/>
    <cellStyle name="汇总 2 7 2 2 4 2" xfId="20433" xr:uid="{00000000-0005-0000-0000-000001500000}"/>
    <cellStyle name="汇总 2 7 2 2 5" xfId="20434" xr:uid="{00000000-0005-0000-0000-000002500000}"/>
    <cellStyle name="汇总 2 7 2 2 5 2" xfId="20435" xr:uid="{00000000-0005-0000-0000-000003500000}"/>
    <cellStyle name="汇总 2 7 2 2 6" xfId="11639" xr:uid="{00000000-0005-0000-0000-0000A72D0000}"/>
    <cellStyle name="汇总 2 7 2 2 7" xfId="11644" xr:uid="{00000000-0005-0000-0000-0000AC2D0000}"/>
    <cellStyle name="汇总 2 7 2 2 8" xfId="11657" xr:uid="{00000000-0005-0000-0000-0000B92D0000}"/>
    <cellStyle name="汇总 2 7 2 2 9" xfId="8562" xr:uid="{00000000-0005-0000-0000-0000A2210000}"/>
    <cellStyle name="汇总 2 7 2 3" xfId="20436" xr:uid="{00000000-0005-0000-0000-000004500000}"/>
    <cellStyle name="汇总 2 7 2 3 2" xfId="20437" xr:uid="{00000000-0005-0000-0000-000005500000}"/>
    <cellStyle name="汇总 2 7 2 3 2 2" xfId="12950" xr:uid="{00000000-0005-0000-0000-0000C6320000}"/>
    <cellStyle name="汇总 2 7 2 3 3" xfId="20438" xr:uid="{00000000-0005-0000-0000-000006500000}"/>
    <cellStyle name="汇总 2 7 2 3 3 2" xfId="12977" xr:uid="{00000000-0005-0000-0000-0000E1320000}"/>
    <cellStyle name="汇总 2 7 2 3 4" xfId="20439" xr:uid="{00000000-0005-0000-0000-000007500000}"/>
    <cellStyle name="汇总 2 7 2 3 4 2" xfId="20441" xr:uid="{00000000-0005-0000-0000-000009500000}"/>
    <cellStyle name="汇总 2 7 2 3 5" xfId="20443" xr:uid="{00000000-0005-0000-0000-00000B500000}"/>
    <cellStyle name="汇总 2 7 2 3 5 2" xfId="20445" xr:uid="{00000000-0005-0000-0000-00000D500000}"/>
    <cellStyle name="汇总 2 7 2 3 6" xfId="11679" xr:uid="{00000000-0005-0000-0000-0000CF2D0000}"/>
    <cellStyle name="汇总 2 7 2 4" xfId="20446" xr:uid="{00000000-0005-0000-0000-00000E500000}"/>
    <cellStyle name="汇总 2 7 2 4 2" xfId="20448" xr:uid="{00000000-0005-0000-0000-000010500000}"/>
    <cellStyle name="汇总 2 7 2 4 2 2" xfId="13047" xr:uid="{00000000-0005-0000-0000-000027330000}"/>
    <cellStyle name="汇总 2 7 2 4 3" xfId="20450" xr:uid="{00000000-0005-0000-0000-000012500000}"/>
    <cellStyle name="汇总 2 7 2 4 3 2" xfId="13058" xr:uid="{00000000-0005-0000-0000-000032330000}"/>
    <cellStyle name="汇总 2 7 2 4 4" xfId="20452" xr:uid="{00000000-0005-0000-0000-000014500000}"/>
    <cellStyle name="汇总 2 7 2 4 4 2" xfId="20454" xr:uid="{00000000-0005-0000-0000-000016500000}"/>
    <cellStyle name="汇总 2 7 2 4 5" xfId="20457" xr:uid="{00000000-0005-0000-0000-000019500000}"/>
    <cellStyle name="汇总 2 7 2 4 5 2" xfId="20459" xr:uid="{00000000-0005-0000-0000-00001B500000}"/>
    <cellStyle name="汇总 2 7 2 4 6" xfId="11718" xr:uid="{00000000-0005-0000-0000-0000F62D0000}"/>
    <cellStyle name="汇总 2 7 2 5" xfId="20461" xr:uid="{00000000-0005-0000-0000-00001D500000}"/>
    <cellStyle name="汇总 2 7 2 5 2" xfId="20463" xr:uid="{00000000-0005-0000-0000-00001F500000}"/>
    <cellStyle name="汇总 2 7 2 5 2 2" xfId="13156" xr:uid="{00000000-0005-0000-0000-000094330000}"/>
    <cellStyle name="汇总 2 7 2 5 3" xfId="20465" xr:uid="{00000000-0005-0000-0000-000021500000}"/>
    <cellStyle name="汇总 2 7 2 5 3 2" xfId="13170" xr:uid="{00000000-0005-0000-0000-0000A2330000}"/>
    <cellStyle name="汇总 2 7 2 5 4" xfId="20467" xr:uid="{00000000-0005-0000-0000-000023500000}"/>
    <cellStyle name="汇总 2 7 2 5 4 2" xfId="20470" xr:uid="{00000000-0005-0000-0000-000026500000}"/>
    <cellStyle name="汇总 2 7 2 5 5" xfId="20472" xr:uid="{00000000-0005-0000-0000-000028500000}"/>
    <cellStyle name="汇总 2 7 2 5 5 2" xfId="20474" xr:uid="{00000000-0005-0000-0000-00002A500000}"/>
    <cellStyle name="汇总 2 7 2 5 6" xfId="20476" xr:uid="{00000000-0005-0000-0000-00002C500000}"/>
    <cellStyle name="汇总 2 7 2 6" xfId="20478" xr:uid="{00000000-0005-0000-0000-00002E500000}"/>
    <cellStyle name="汇总 2 7 2 6 2" xfId="20480" xr:uid="{00000000-0005-0000-0000-000030500000}"/>
    <cellStyle name="汇总 2 7 2 6 2 2" xfId="13278" xr:uid="{00000000-0005-0000-0000-00000E340000}"/>
    <cellStyle name="汇总 2 7 2 6 3" xfId="20482" xr:uid="{00000000-0005-0000-0000-000032500000}"/>
    <cellStyle name="汇总 2 7 2 6 3 2" xfId="13300" xr:uid="{00000000-0005-0000-0000-000024340000}"/>
    <cellStyle name="汇总 2 7 2 6 4" xfId="20484" xr:uid="{00000000-0005-0000-0000-000034500000}"/>
    <cellStyle name="汇总 2 7 2 6 4 2" xfId="20487" xr:uid="{00000000-0005-0000-0000-000037500000}"/>
    <cellStyle name="汇总 2 7 2 6 5" xfId="20489" xr:uid="{00000000-0005-0000-0000-000039500000}"/>
    <cellStyle name="汇总 2 7 2 6 5 2" xfId="20491" xr:uid="{00000000-0005-0000-0000-00003B500000}"/>
    <cellStyle name="汇总 2 7 2 6 6" xfId="20494" xr:uid="{00000000-0005-0000-0000-00003E500000}"/>
    <cellStyle name="汇总 2 7 2 7" xfId="20499" xr:uid="{00000000-0005-0000-0000-000043500000}"/>
    <cellStyle name="汇总 2 7 2 7 2" xfId="160" xr:uid="{00000000-0005-0000-0000-0000AD000000}"/>
    <cellStyle name="汇总 2 7 2 7 2 2" xfId="13348" xr:uid="{00000000-0005-0000-0000-000054340000}"/>
    <cellStyle name="汇总 2 7 2 7 3" xfId="2251" xr:uid="{00000000-0005-0000-0000-0000FB080000}"/>
    <cellStyle name="汇总 2 7 2 7 3 2" xfId="13371" xr:uid="{00000000-0005-0000-0000-00006B340000}"/>
    <cellStyle name="汇总 2 7 2 7 4" xfId="2263" xr:uid="{00000000-0005-0000-0000-000007090000}"/>
    <cellStyle name="汇总 2 7 2 7 4 2" xfId="20502" xr:uid="{00000000-0005-0000-0000-000046500000}"/>
    <cellStyle name="汇总 2 7 2 7 5" xfId="2275" xr:uid="{00000000-0005-0000-0000-000013090000}"/>
    <cellStyle name="汇总 2 7 2 7 5 2" xfId="775" xr:uid="{00000000-0005-0000-0000-000037030000}"/>
    <cellStyle name="汇总 2 7 2 7 6" xfId="4037" xr:uid="{00000000-0005-0000-0000-0000F50F0000}"/>
    <cellStyle name="汇总 2 7 2 8" xfId="20503" xr:uid="{00000000-0005-0000-0000-000047500000}"/>
    <cellStyle name="汇总 2 7 2 8 2" xfId="20506" xr:uid="{00000000-0005-0000-0000-00004A500000}"/>
    <cellStyle name="汇总 2 7 2 8 2 2" xfId="13432" xr:uid="{00000000-0005-0000-0000-0000A8340000}"/>
    <cellStyle name="汇总 2 7 2 8 3" xfId="20508" xr:uid="{00000000-0005-0000-0000-00004C500000}"/>
    <cellStyle name="汇总 2 7 2 8 3 2" xfId="13441" xr:uid="{00000000-0005-0000-0000-0000B1340000}"/>
    <cellStyle name="汇总 2 7 2 8 4" xfId="20510" xr:uid="{00000000-0005-0000-0000-00004E500000}"/>
    <cellStyle name="汇总 2 7 2 8 4 2" xfId="20513" xr:uid="{00000000-0005-0000-0000-000051500000}"/>
    <cellStyle name="汇总 2 7 2 8 5" xfId="20516" xr:uid="{00000000-0005-0000-0000-000054500000}"/>
    <cellStyle name="汇总 2 7 2 9" xfId="20517" xr:uid="{00000000-0005-0000-0000-000055500000}"/>
    <cellStyle name="汇总 2 7 2 9 2" xfId="20519" xr:uid="{00000000-0005-0000-0000-000057500000}"/>
    <cellStyle name="汇总 2 7 20" xfId="15449" xr:uid="{00000000-0005-0000-0000-0000893C0000}"/>
    <cellStyle name="汇总 2 7 20 2" xfId="19425" xr:uid="{00000000-0005-0000-0000-0000114C0000}"/>
    <cellStyle name="汇总 2 7 21" xfId="16094" xr:uid="{00000000-0005-0000-0000-00000E3F0000}"/>
    <cellStyle name="汇总 2 7 21 2" xfId="19453" xr:uid="{00000000-0005-0000-0000-00002D4C0000}"/>
    <cellStyle name="汇总 2 7 22" xfId="20370" xr:uid="{00000000-0005-0000-0000-0000C24F0000}"/>
    <cellStyle name="汇总 2 7 22 2" xfId="19490" xr:uid="{00000000-0005-0000-0000-0000524C0000}"/>
    <cellStyle name="汇总 2 7 23" xfId="20382" xr:uid="{00000000-0005-0000-0000-0000CE4F0000}"/>
    <cellStyle name="汇总 2 7 23 2" xfId="19526" xr:uid="{00000000-0005-0000-0000-0000764C0000}"/>
    <cellStyle name="汇总 2 7 24" xfId="6289" xr:uid="{00000000-0005-0000-0000-0000C1180000}"/>
    <cellStyle name="汇总 2 7 25" xfId="6316" xr:uid="{00000000-0005-0000-0000-0000DC180000}"/>
    <cellStyle name="汇总 2 7 26" xfId="6326" xr:uid="{00000000-0005-0000-0000-0000E6180000}"/>
    <cellStyle name="汇总 2 7 27" xfId="3502" xr:uid="{00000000-0005-0000-0000-0000DE0D0000}"/>
    <cellStyle name="汇总 2 7 3" xfId="20521" xr:uid="{00000000-0005-0000-0000-000059500000}"/>
    <cellStyle name="汇总 2 7 3 10" xfId="20527" xr:uid="{00000000-0005-0000-0000-00005F500000}"/>
    <cellStyle name="汇总 2 7 3 10 2" xfId="20531" xr:uid="{00000000-0005-0000-0000-000063500000}"/>
    <cellStyle name="汇总 2 7 3 11" xfId="17355" xr:uid="{00000000-0005-0000-0000-0000FB430000}"/>
    <cellStyle name="汇总 2 7 3 11 2" xfId="20533" xr:uid="{00000000-0005-0000-0000-000065500000}"/>
    <cellStyle name="汇总 2 7 3 12" xfId="20535" xr:uid="{00000000-0005-0000-0000-000067500000}"/>
    <cellStyle name="汇总 2 7 3 12 2" xfId="20540" xr:uid="{00000000-0005-0000-0000-00006C500000}"/>
    <cellStyle name="汇总 2 7 3 13" xfId="20542" xr:uid="{00000000-0005-0000-0000-00006E500000}"/>
    <cellStyle name="汇总 2 7 3 14" xfId="20546" xr:uid="{00000000-0005-0000-0000-000072500000}"/>
    <cellStyle name="汇总 2 7 3 15" xfId="20548" xr:uid="{00000000-0005-0000-0000-000074500000}"/>
    <cellStyle name="汇总 2 7 3 16" xfId="20550" xr:uid="{00000000-0005-0000-0000-000076500000}"/>
    <cellStyle name="汇总 2 7 3 2" xfId="20555" xr:uid="{00000000-0005-0000-0000-00007B500000}"/>
    <cellStyle name="汇总 2 7 3 2 2" xfId="20557" xr:uid="{00000000-0005-0000-0000-00007D500000}"/>
    <cellStyle name="汇总 2 7 3 2 2 2" xfId="17798" xr:uid="{00000000-0005-0000-0000-0000B6450000}"/>
    <cellStyle name="汇总 2 7 3 2 3" xfId="20559" xr:uid="{00000000-0005-0000-0000-00007F500000}"/>
    <cellStyle name="汇总 2 7 3 2 3 2" xfId="2124" xr:uid="{00000000-0005-0000-0000-00007C080000}"/>
    <cellStyle name="汇总 2 7 3 2 4" xfId="1593" xr:uid="{00000000-0005-0000-0000-000069060000}"/>
    <cellStyle name="汇总 2 7 3 2 4 2" xfId="20562" xr:uid="{00000000-0005-0000-0000-000082500000}"/>
    <cellStyle name="汇总 2 7 3 2 5" xfId="20564" xr:uid="{00000000-0005-0000-0000-000084500000}"/>
    <cellStyle name="汇总 2 7 3 2 5 2" xfId="20568" xr:uid="{00000000-0005-0000-0000-000088500000}"/>
    <cellStyle name="汇总 2 7 3 2 6" xfId="11789" xr:uid="{00000000-0005-0000-0000-00003D2E0000}"/>
    <cellStyle name="汇总 2 7 3 2 7" xfId="11795" xr:uid="{00000000-0005-0000-0000-0000432E0000}"/>
    <cellStyle name="汇总 2 7 3 2 8" xfId="3927" xr:uid="{00000000-0005-0000-0000-0000870F0000}"/>
    <cellStyle name="汇总 2 7 3 2 9" xfId="4940" xr:uid="{00000000-0005-0000-0000-00007C130000}"/>
    <cellStyle name="汇总 2 7 3 3" xfId="20570" xr:uid="{00000000-0005-0000-0000-00008A500000}"/>
    <cellStyle name="汇总 2 7 3 3 2" xfId="20572" xr:uid="{00000000-0005-0000-0000-00008C500000}"/>
    <cellStyle name="汇总 2 7 3 3 2 2" xfId="14263" xr:uid="{00000000-0005-0000-0000-0000E7370000}"/>
    <cellStyle name="汇总 2 7 3 3 3" xfId="20574" xr:uid="{00000000-0005-0000-0000-00008E500000}"/>
    <cellStyle name="汇总 2 7 3 3 3 2" xfId="11250" xr:uid="{00000000-0005-0000-0000-0000222C0000}"/>
    <cellStyle name="汇总 2 7 3 3 4" xfId="1611" xr:uid="{00000000-0005-0000-0000-00007B060000}"/>
    <cellStyle name="汇总 2 7 3 3 4 2" xfId="20577" xr:uid="{00000000-0005-0000-0000-000091500000}"/>
    <cellStyle name="汇总 2 7 3 3 5" xfId="20579" xr:uid="{00000000-0005-0000-0000-000093500000}"/>
    <cellStyle name="汇总 2 7 3 3 5 2" xfId="20583" xr:uid="{00000000-0005-0000-0000-000097500000}"/>
    <cellStyle name="汇总 2 7 3 3 6" xfId="1825" xr:uid="{00000000-0005-0000-0000-000051070000}"/>
    <cellStyle name="汇总 2 7 3 4" xfId="20589" xr:uid="{00000000-0005-0000-0000-00009D500000}"/>
    <cellStyle name="汇总 2 7 3 4 2" xfId="20592" xr:uid="{00000000-0005-0000-0000-0000A0500000}"/>
    <cellStyle name="汇总 2 7 3 4 2 2" xfId="14415" xr:uid="{00000000-0005-0000-0000-00007F380000}"/>
    <cellStyle name="汇总 2 7 3 4 3" xfId="20595" xr:uid="{00000000-0005-0000-0000-0000A3500000}"/>
    <cellStyle name="汇总 2 7 3 4 3 2" xfId="14435" xr:uid="{00000000-0005-0000-0000-000093380000}"/>
    <cellStyle name="汇总 2 7 3 4 4" xfId="20598" xr:uid="{00000000-0005-0000-0000-0000A6500000}"/>
    <cellStyle name="汇总 2 7 3 4 4 2" xfId="20601" xr:uid="{00000000-0005-0000-0000-0000A9500000}"/>
    <cellStyle name="汇总 2 7 3 4 5" xfId="20604" xr:uid="{00000000-0005-0000-0000-0000AC500000}"/>
    <cellStyle name="汇总 2 7 3 4 5 2" xfId="20607" xr:uid="{00000000-0005-0000-0000-0000AF500000}"/>
    <cellStyle name="汇总 2 7 3 4 6" xfId="11819" xr:uid="{00000000-0005-0000-0000-00005B2E0000}"/>
    <cellStyle name="汇总 2 7 3 5" xfId="20612" xr:uid="{00000000-0005-0000-0000-0000B4500000}"/>
    <cellStyle name="汇总 2 7 3 5 2" xfId="20616" xr:uid="{00000000-0005-0000-0000-0000B8500000}"/>
    <cellStyle name="汇总 2 7 3 5 2 2" xfId="14582" xr:uid="{00000000-0005-0000-0000-000026390000}"/>
    <cellStyle name="汇总 2 7 3 5 3" xfId="20619" xr:uid="{00000000-0005-0000-0000-0000BB500000}"/>
    <cellStyle name="汇总 2 7 3 5 3 2" xfId="14604" xr:uid="{00000000-0005-0000-0000-00003C390000}"/>
    <cellStyle name="汇总 2 7 3 5 4" xfId="20621" xr:uid="{00000000-0005-0000-0000-0000BD500000}"/>
    <cellStyle name="汇总 2 7 3 5 4 2" xfId="20625" xr:uid="{00000000-0005-0000-0000-0000C1500000}"/>
    <cellStyle name="汇总 2 7 3 5 5" xfId="20627" xr:uid="{00000000-0005-0000-0000-0000C3500000}"/>
    <cellStyle name="汇总 2 7 3 5 5 2" xfId="20630" xr:uid="{00000000-0005-0000-0000-0000C6500000}"/>
    <cellStyle name="汇总 2 7 3 5 6" xfId="20632" xr:uid="{00000000-0005-0000-0000-0000C8500000}"/>
    <cellStyle name="汇总 2 7 3 6" xfId="20637" xr:uid="{00000000-0005-0000-0000-0000CD500000}"/>
    <cellStyle name="汇总 2 7 3 6 2" xfId="20641" xr:uid="{00000000-0005-0000-0000-0000D1500000}"/>
    <cellStyle name="汇总 2 7 3 6 2 2" xfId="14729" xr:uid="{00000000-0005-0000-0000-0000B9390000}"/>
    <cellStyle name="汇总 2 7 3 6 3" xfId="20644" xr:uid="{00000000-0005-0000-0000-0000D4500000}"/>
    <cellStyle name="汇总 2 7 3 6 3 2" xfId="14746" xr:uid="{00000000-0005-0000-0000-0000CA390000}"/>
    <cellStyle name="汇总 2 7 3 6 4" xfId="20646" xr:uid="{00000000-0005-0000-0000-0000D6500000}"/>
    <cellStyle name="汇总 2 7 3 6 4 2" xfId="20650" xr:uid="{00000000-0005-0000-0000-0000DA500000}"/>
    <cellStyle name="汇总 2 7 3 6 5" xfId="20652" xr:uid="{00000000-0005-0000-0000-0000DC500000}"/>
    <cellStyle name="汇总 2 7 3 6 5 2" xfId="6192" xr:uid="{00000000-0005-0000-0000-000060180000}"/>
    <cellStyle name="汇总 2 7 3 6 6" xfId="20655" xr:uid="{00000000-0005-0000-0000-0000DF500000}"/>
    <cellStyle name="汇总 2 7 3 7" xfId="20663" xr:uid="{00000000-0005-0000-0000-0000E7500000}"/>
    <cellStyle name="汇总 2 7 3 7 2" xfId="20668" xr:uid="{00000000-0005-0000-0000-0000EC500000}"/>
    <cellStyle name="汇总 2 7 3 7 2 2" xfId="14903" xr:uid="{00000000-0005-0000-0000-0000673A0000}"/>
    <cellStyle name="汇总 2 7 3 7 3" xfId="20671" xr:uid="{00000000-0005-0000-0000-0000EF500000}"/>
    <cellStyle name="汇总 2 7 3 7 3 2" xfId="14917" xr:uid="{00000000-0005-0000-0000-0000753A0000}"/>
    <cellStyle name="汇总 2 7 3 7 4" xfId="20673" xr:uid="{00000000-0005-0000-0000-0000F1500000}"/>
    <cellStyle name="汇总 2 7 3 7 4 2" xfId="20676" xr:uid="{00000000-0005-0000-0000-0000F4500000}"/>
    <cellStyle name="汇总 2 7 3 7 5" xfId="20678" xr:uid="{00000000-0005-0000-0000-0000F6500000}"/>
    <cellStyle name="汇总 2 7 3 7 5 2" xfId="11992" xr:uid="{00000000-0005-0000-0000-0000082F0000}"/>
    <cellStyle name="汇总 2 7 3 7 6" xfId="283" xr:uid="{00000000-0005-0000-0000-000037010000}"/>
    <cellStyle name="汇总 2 7 3 8" xfId="20682" xr:uid="{00000000-0005-0000-0000-0000FA500000}"/>
    <cellStyle name="汇总 2 7 3 8 2" xfId="20688" xr:uid="{00000000-0005-0000-0000-000000510000}"/>
    <cellStyle name="汇总 2 7 3 8 2 2" xfId="15030" xr:uid="{00000000-0005-0000-0000-0000E63A0000}"/>
    <cellStyle name="汇总 2 7 3 8 3" xfId="20691" xr:uid="{00000000-0005-0000-0000-000003510000}"/>
    <cellStyle name="汇总 2 7 3 8 3 2" xfId="15049" xr:uid="{00000000-0005-0000-0000-0000F93A0000}"/>
    <cellStyle name="汇总 2 7 3 8 4" xfId="20693" xr:uid="{00000000-0005-0000-0000-000005510000}"/>
    <cellStyle name="汇总 2 7 3 8 4 2" xfId="20696" xr:uid="{00000000-0005-0000-0000-000008510000}"/>
    <cellStyle name="汇总 2 7 3 8 5" xfId="20698" xr:uid="{00000000-0005-0000-0000-00000A510000}"/>
    <cellStyle name="汇总 2 7 3 9" xfId="20702" xr:uid="{00000000-0005-0000-0000-00000E510000}"/>
    <cellStyle name="汇总 2 7 3 9 2" xfId="20706" xr:uid="{00000000-0005-0000-0000-000012510000}"/>
    <cellStyle name="汇总 2 7 4" xfId="9944" xr:uid="{00000000-0005-0000-0000-000008270000}"/>
    <cellStyle name="汇总 2 7 4 10" xfId="20708" xr:uid="{00000000-0005-0000-0000-000014510000}"/>
    <cellStyle name="汇总 2 7 4 10 2" xfId="20710" xr:uid="{00000000-0005-0000-0000-000016510000}"/>
    <cellStyle name="汇总 2 7 4 11" xfId="18075" xr:uid="{00000000-0005-0000-0000-0000CB460000}"/>
    <cellStyle name="汇总 2 7 4 11 2" xfId="13186" xr:uid="{00000000-0005-0000-0000-0000B2330000}"/>
    <cellStyle name="汇总 2 7 4 12" xfId="20713" xr:uid="{00000000-0005-0000-0000-000019510000}"/>
    <cellStyle name="汇总 2 7 4 12 2" xfId="14479" xr:uid="{00000000-0005-0000-0000-0000BF380000}"/>
    <cellStyle name="汇总 2 7 4 13" xfId="20716" xr:uid="{00000000-0005-0000-0000-00001C510000}"/>
    <cellStyle name="汇总 2 7 4 14" xfId="20718" xr:uid="{00000000-0005-0000-0000-00001E510000}"/>
    <cellStyle name="汇总 2 7 4 15" xfId="20723" xr:uid="{00000000-0005-0000-0000-000023510000}"/>
    <cellStyle name="汇总 2 7 4 16" xfId="20726" xr:uid="{00000000-0005-0000-0000-000026510000}"/>
    <cellStyle name="汇总 2 7 4 2" xfId="20727" xr:uid="{00000000-0005-0000-0000-000027510000}"/>
    <cellStyle name="汇总 2 7 4 2 2" xfId="20728" xr:uid="{00000000-0005-0000-0000-000028510000}"/>
    <cellStyle name="汇总 2 7 4 2 2 2" xfId="12014" xr:uid="{00000000-0005-0000-0000-00001E2F0000}"/>
    <cellStyle name="汇总 2 7 4 2 3" xfId="20729" xr:uid="{00000000-0005-0000-0000-000029510000}"/>
    <cellStyle name="汇总 2 7 4 2 3 2" xfId="12061" xr:uid="{00000000-0005-0000-0000-00004D2F0000}"/>
    <cellStyle name="汇总 2 7 4 2 4" xfId="20182" xr:uid="{00000000-0005-0000-0000-0000064F0000}"/>
    <cellStyle name="汇总 2 7 4 2 4 2" xfId="12112" xr:uid="{00000000-0005-0000-0000-0000802F0000}"/>
    <cellStyle name="汇总 2 7 4 2 5" xfId="20730" xr:uid="{00000000-0005-0000-0000-00002A510000}"/>
    <cellStyle name="汇总 2 7 4 2 5 2" xfId="12152" xr:uid="{00000000-0005-0000-0000-0000A82F0000}"/>
    <cellStyle name="汇总 2 7 4 2 6" xfId="11943" xr:uid="{00000000-0005-0000-0000-0000D72E0000}"/>
    <cellStyle name="汇总 2 7 4 2 7" xfId="11951" xr:uid="{00000000-0005-0000-0000-0000DF2E0000}"/>
    <cellStyle name="汇总 2 7 4 2 8" xfId="11935" xr:uid="{00000000-0005-0000-0000-0000CF2E0000}"/>
    <cellStyle name="汇总 2 7 4 2 9" xfId="8608" xr:uid="{00000000-0005-0000-0000-0000D0210000}"/>
    <cellStyle name="汇总 2 7 4 3" xfId="20731" xr:uid="{00000000-0005-0000-0000-00002B510000}"/>
    <cellStyle name="汇总 2 7 4 3 2" xfId="20733" xr:uid="{00000000-0005-0000-0000-00002D510000}"/>
    <cellStyle name="汇总 2 7 4 3 2 2" xfId="12255" xr:uid="{00000000-0005-0000-0000-00000F300000}"/>
    <cellStyle name="汇总 2 7 4 3 3" xfId="20734" xr:uid="{00000000-0005-0000-0000-00002E510000}"/>
    <cellStyle name="汇总 2 7 4 3 3 2" xfId="12300" xr:uid="{00000000-0005-0000-0000-00003C300000}"/>
    <cellStyle name="汇总 2 7 4 3 4" xfId="20735" xr:uid="{00000000-0005-0000-0000-00002F510000}"/>
    <cellStyle name="汇总 2 7 4 3 4 2" xfId="12342" xr:uid="{00000000-0005-0000-0000-000066300000}"/>
    <cellStyle name="汇总 2 7 4 3 5" xfId="20736" xr:uid="{00000000-0005-0000-0000-000030510000}"/>
    <cellStyle name="汇总 2 7 4 3 5 2" xfId="12368" xr:uid="{00000000-0005-0000-0000-000080300000}"/>
    <cellStyle name="汇总 2 7 4 3 6" xfId="11961" xr:uid="{00000000-0005-0000-0000-0000E92E0000}"/>
    <cellStyle name="汇总 2 7 4 4" xfId="20740" xr:uid="{00000000-0005-0000-0000-000034510000}"/>
    <cellStyle name="汇总 2 7 4 4 2" xfId="20742" xr:uid="{00000000-0005-0000-0000-000036510000}"/>
    <cellStyle name="汇总 2 7 4 4 2 2" xfId="14040" xr:uid="{00000000-0005-0000-0000-000008370000}"/>
    <cellStyle name="汇总 2 7 4 4 3" xfId="20744" xr:uid="{00000000-0005-0000-0000-000038510000}"/>
    <cellStyle name="汇总 2 7 4 4 3 2" xfId="16304" xr:uid="{00000000-0005-0000-0000-0000E03F0000}"/>
    <cellStyle name="汇总 2 7 4 4 4" xfId="20746" xr:uid="{00000000-0005-0000-0000-00003A510000}"/>
    <cellStyle name="汇总 2 7 4 4 4 2" xfId="20748" xr:uid="{00000000-0005-0000-0000-00003C510000}"/>
    <cellStyle name="汇总 2 7 4 4 5" xfId="20750" xr:uid="{00000000-0005-0000-0000-00003E510000}"/>
    <cellStyle name="汇总 2 7 4 4 5 2" xfId="20751" xr:uid="{00000000-0005-0000-0000-00003F510000}"/>
    <cellStyle name="汇总 2 7 4 4 6" xfId="11968" xr:uid="{00000000-0005-0000-0000-0000F02E0000}"/>
    <cellStyle name="汇总 2 7 4 5" xfId="20753" xr:uid="{00000000-0005-0000-0000-000041510000}"/>
    <cellStyle name="汇总 2 7 4 5 2" xfId="20755" xr:uid="{00000000-0005-0000-0000-000043510000}"/>
    <cellStyle name="汇总 2 7 4 5 2 2" xfId="16446" xr:uid="{00000000-0005-0000-0000-00006E400000}"/>
    <cellStyle name="汇总 2 7 4 5 3" xfId="20757" xr:uid="{00000000-0005-0000-0000-000045510000}"/>
    <cellStyle name="汇总 2 7 4 5 3 2" xfId="16462" xr:uid="{00000000-0005-0000-0000-00007E400000}"/>
    <cellStyle name="汇总 2 7 4 5 4" xfId="20758" xr:uid="{00000000-0005-0000-0000-000046510000}"/>
    <cellStyle name="汇总 2 7 4 5 4 2" xfId="20760" xr:uid="{00000000-0005-0000-0000-000048510000}"/>
    <cellStyle name="汇总 2 7 4 5 5" xfId="20761" xr:uid="{00000000-0005-0000-0000-000049510000}"/>
    <cellStyle name="汇总 2 7 4 5 5 2" xfId="20762" xr:uid="{00000000-0005-0000-0000-00004A510000}"/>
    <cellStyle name="汇总 2 7 4 5 6" xfId="20763" xr:uid="{00000000-0005-0000-0000-00004B510000}"/>
    <cellStyle name="汇总 2 7 4 6" xfId="20767" xr:uid="{00000000-0005-0000-0000-00004F510000}"/>
    <cellStyle name="汇总 2 7 4 6 2" xfId="20769" xr:uid="{00000000-0005-0000-0000-000051510000}"/>
    <cellStyle name="汇总 2 7 4 6 2 2" xfId="16604" xr:uid="{00000000-0005-0000-0000-00000C410000}"/>
    <cellStyle name="汇总 2 7 4 6 3" xfId="20771" xr:uid="{00000000-0005-0000-0000-000053510000}"/>
    <cellStyle name="汇总 2 7 4 6 3 2" xfId="16621" xr:uid="{00000000-0005-0000-0000-00001D410000}"/>
    <cellStyle name="汇总 2 7 4 6 4" xfId="20772" xr:uid="{00000000-0005-0000-0000-000054510000}"/>
    <cellStyle name="汇总 2 7 4 6 4 2" xfId="20774" xr:uid="{00000000-0005-0000-0000-000056510000}"/>
    <cellStyle name="汇总 2 7 4 6 5" xfId="20777" xr:uid="{00000000-0005-0000-0000-000059510000}"/>
    <cellStyle name="汇总 2 7 4 6 5 2" xfId="20778" xr:uid="{00000000-0005-0000-0000-00005A510000}"/>
    <cellStyle name="汇总 2 7 4 6 6" xfId="20783" xr:uid="{00000000-0005-0000-0000-00005F510000}"/>
    <cellStyle name="汇总 2 7 4 7" xfId="20785" xr:uid="{00000000-0005-0000-0000-000061510000}"/>
    <cellStyle name="汇总 2 7 4 7 2" xfId="20787" xr:uid="{00000000-0005-0000-0000-000063510000}"/>
    <cellStyle name="汇总 2 7 4 7 2 2" xfId="16707" xr:uid="{00000000-0005-0000-0000-000073410000}"/>
    <cellStyle name="汇总 2 7 4 7 3" xfId="20789" xr:uid="{00000000-0005-0000-0000-000065510000}"/>
    <cellStyle name="汇总 2 7 4 7 3 2" xfId="16726" xr:uid="{00000000-0005-0000-0000-000086410000}"/>
    <cellStyle name="汇总 2 7 4 7 4" xfId="20790" xr:uid="{00000000-0005-0000-0000-000066510000}"/>
    <cellStyle name="汇总 2 7 4 7 4 2" xfId="12551" xr:uid="{00000000-0005-0000-0000-000037310000}"/>
    <cellStyle name="汇总 2 7 4 7 5" xfId="20791" xr:uid="{00000000-0005-0000-0000-000067510000}"/>
    <cellStyle name="汇总 2 7 4 7 5 2" xfId="20792" xr:uid="{00000000-0005-0000-0000-000068510000}"/>
    <cellStyle name="汇总 2 7 4 7 6" xfId="783" xr:uid="{00000000-0005-0000-0000-00003F030000}"/>
    <cellStyle name="汇总 2 7 4 8" xfId="15728" xr:uid="{00000000-0005-0000-0000-0000A03D0000}"/>
    <cellStyle name="汇总 2 7 4 8 2" xfId="20794" xr:uid="{00000000-0005-0000-0000-00006A510000}"/>
    <cellStyle name="汇总 2 7 4 8 2 2" xfId="12502" xr:uid="{00000000-0005-0000-0000-000006310000}"/>
    <cellStyle name="汇总 2 7 4 8 3" xfId="20796" xr:uid="{00000000-0005-0000-0000-00006C510000}"/>
    <cellStyle name="汇总 2 7 4 8 3 2" xfId="12515" xr:uid="{00000000-0005-0000-0000-000013310000}"/>
    <cellStyle name="汇总 2 7 4 8 4" xfId="20797" xr:uid="{00000000-0005-0000-0000-00006D510000}"/>
    <cellStyle name="汇总 2 7 4 8 4 2" xfId="20799" xr:uid="{00000000-0005-0000-0000-00006F510000}"/>
    <cellStyle name="汇总 2 7 4 8 5" xfId="20801" xr:uid="{00000000-0005-0000-0000-000071510000}"/>
    <cellStyle name="汇总 2 7 4 9" xfId="20802" xr:uid="{00000000-0005-0000-0000-000072510000}"/>
    <cellStyle name="汇总 2 7 4 9 2" xfId="20804" xr:uid="{00000000-0005-0000-0000-000074510000}"/>
    <cellStyle name="汇总 2 7 5" xfId="20807" xr:uid="{00000000-0005-0000-0000-000077510000}"/>
    <cellStyle name="汇总 2 7 5 10" xfId="20808" xr:uid="{00000000-0005-0000-0000-000078510000}"/>
    <cellStyle name="汇总 2 7 5 10 2" xfId="20809" xr:uid="{00000000-0005-0000-0000-000079510000}"/>
    <cellStyle name="汇总 2 7 5 11" xfId="20810" xr:uid="{00000000-0005-0000-0000-00007A510000}"/>
    <cellStyle name="汇总 2 7 5 11 2" xfId="20811" xr:uid="{00000000-0005-0000-0000-00007B510000}"/>
    <cellStyle name="汇总 2 7 5 12" xfId="20814" xr:uid="{00000000-0005-0000-0000-00007E510000}"/>
    <cellStyle name="汇总 2 7 5 12 2" xfId="20817" xr:uid="{00000000-0005-0000-0000-000081510000}"/>
    <cellStyle name="汇总 2 7 5 13" xfId="19579" xr:uid="{00000000-0005-0000-0000-0000AB4C0000}"/>
    <cellStyle name="汇总 2 7 5 14" xfId="20818" xr:uid="{00000000-0005-0000-0000-000082510000}"/>
    <cellStyle name="汇总 2 7 5 15" xfId="20820" xr:uid="{00000000-0005-0000-0000-000084510000}"/>
    <cellStyle name="汇总 2 7 5 16" xfId="16994" xr:uid="{00000000-0005-0000-0000-000092420000}"/>
    <cellStyle name="汇总 2 7 5 2" xfId="20823" xr:uid="{00000000-0005-0000-0000-000087510000}"/>
    <cellStyle name="汇总 2 7 5 2 2" xfId="20824" xr:uid="{00000000-0005-0000-0000-000088510000}"/>
    <cellStyle name="汇总 2 7 5 2 2 2" xfId="20826" xr:uid="{00000000-0005-0000-0000-00008A510000}"/>
    <cellStyle name="汇总 2 7 5 2 3" xfId="20827" xr:uid="{00000000-0005-0000-0000-00008B510000}"/>
    <cellStyle name="汇总 2 7 5 2 3 2" xfId="20829" xr:uid="{00000000-0005-0000-0000-00008D510000}"/>
    <cellStyle name="汇总 2 7 5 2 4" xfId="20202" xr:uid="{00000000-0005-0000-0000-00001A4F0000}"/>
    <cellStyle name="汇总 2 7 5 2 4 2" xfId="20831" xr:uid="{00000000-0005-0000-0000-00008F510000}"/>
    <cellStyle name="汇总 2 7 5 2 5" xfId="20832" xr:uid="{00000000-0005-0000-0000-000090510000}"/>
    <cellStyle name="汇总 2 7 5 2 5 2" xfId="20833" xr:uid="{00000000-0005-0000-0000-000091510000}"/>
    <cellStyle name="汇总 2 7 5 2 6" xfId="12182" xr:uid="{00000000-0005-0000-0000-0000C62F0000}"/>
    <cellStyle name="汇总 2 7 5 2 7" xfId="12190" xr:uid="{00000000-0005-0000-0000-0000CE2F0000}"/>
    <cellStyle name="汇总 2 7 5 2 8" xfId="11953" xr:uid="{00000000-0005-0000-0000-0000E12E0000}"/>
    <cellStyle name="汇总 2 7 5 2 9" xfId="8651" xr:uid="{00000000-0005-0000-0000-0000FB210000}"/>
    <cellStyle name="汇总 2 7 5 3" xfId="20834" xr:uid="{00000000-0005-0000-0000-000092510000}"/>
    <cellStyle name="汇总 2 7 5 3 2" xfId="20835" xr:uid="{00000000-0005-0000-0000-000093510000}"/>
    <cellStyle name="汇总 2 7 5 3 2 2" xfId="12830" xr:uid="{00000000-0005-0000-0000-00004E320000}"/>
    <cellStyle name="汇总 2 7 5 3 3" xfId="20836" xr:uid="{00000000-0005-0000-0000-000094510000}"/>
    <cellStyle name="汇总 2 7 5 3 3 2" xfId="17742" xr:uid="{00000000-0005-0000-0000-00007E450000}"/>
    <cellStyle name="汇总 2 7 5 3 4" xfId="20837" xr:uid="{00000000-0005-0000-0000-000095510000}"/>
    <cellStyle name="汇总 2 7 5 3 4 2" xfId="20839" xr:uid="{00000000-0005-0000-0000-000097510000}"/>
    <cellStyle name="汇总 2 7 5 3 5" xfId="20840" xr:uid="{00000000-0005-0000-0000-000098510000}"/>
    <cellStyle name="汇总 2 7 5 3 5 2" xfId="20841" xr:uid="{00000000-0005-0000-0000-000099510000}"/>
    <cellStyle name="汇总 2 7 5 3 6" xfId="12196" xr:uid="{00000000-0005-0000-0000-0000D42F0000}"/>
    <cellStyle name="汇总 2 7 5 4" xfId="20844" xr:uid="{00000000-0005-0000-0000-00009C510000}"/>
    <cellStyle name="汇总 2 7 5 4 2" xfId="20845" xr:uid="{00000000-0005-0000-0000-00009D510000}"/>
    <cellStyle name="汇总 2 7 5 4 2 2" xfId="17901" xr:uid="{00000000-0005-0000-0000-00001D460000}"/>
    <cellStyle name="汇总 2 7 5 4 3" xfId="20846" xr:uid="{00000000-0005-0000-0000-00009E510000}"/>
    <cellStyle name="汇总 2 7 5 4 3 2" xfId="17925" xr:uid="{00000000-0005-0000-0000-000035460000}"/>
    <cellStyle name="汇总 2 7 5 4 4" xfId="20847" xr:uid="{00000000-0005-0000-0000-00009F510000}"/>
    <cellStyle name="汇总 2 7 5 4 4 2" xfId="20849" xr:uid="{00000000-0005-0000-0000-0000A1510000}"/>
    <cellStyle name="汇总 2 7 5 4 5" xfId="20850" xr:uid="{00000000-0005-0000-0000-0000A2510000}"/>
    <cellStyle name="汇总 2 7 5 4 5 2" xfId="20851" xr:uid="{00000000-0005-0000-0000-0000A3510000}"/>
    <cellStyle name="汇总 2 7 5 4 6" xfId="12210" xr:uid="{00000000-0005-0000-0000-0000E22F0000}"/>
    <cellStyle name="汇总 2 7 5 5" xfId="20852" xr:uid="{00000000-0005-0000-0000-0000A4510000}"/>
    <cellStyle name="汇总 2 7 5 5 2" xfId="20853" xr:uid="{00000000-0005-0000-0000-0000A5510000}"/>
    <cellStyle name="汇总 2 7 5 5 2 2" xfId="18126" xr:uid="{00000000-0005-0000-0000-0000FE460000}"/>
    <cellStyle name="汇总 2 7 5 5 3" xfId="20855" xr:uid="{00000000-0005-0000-0000-0000A7510000}"/>
    <cellStyle name="汇总 2 7 5 5 3 2" xfId="18172" xr:uid="{00000000-0005-0000-0000-00002C470000}"/>
    <cellStyle name="汇总 2 7 5 5 4" xfId="20856" xr:uid="{00000000-0005-0000-0000-0000A8510000}"/>
    <cellStyle name="汇总 2 7 5 5 4 2" xfId="20861" xr:uid="{00000000-0005-0000-0000-0000AD510000}"/>
    <cellStyle name="汇总 2 7 5 5 5" xfId="20862" xr:uid="{00000000-0005-0000-0000-0000AE510000}"/>
    <cellStyle name="汇总 2 7 5 5 5 2" xfId="104" xr:uid="{00000000-0005-0000-0000-000070000000}"/>
    <cellStyle name="汇总 2 7 5 5 6" xfId="20863" xr:uid="{00000000-0005-0000-0000-0000AF510000}"/>
    <cellStyle name="汇总 2 7 5 6" xfId="20868" xr:uid="{00000000-0005-0000-0000-0000B4510000}"/>
    <cellStyle name="汇总 2 7 5 6 2" xfId="20870" xr:uid="{00000000-0005-0000-0000-0000B6510000}"/>
    <cellStyle name="汇总 2 7 5 6 2 2" xfId="18416" xr:uid="{00000000-0005-0000-0000-000020480000}"/>
    <cellStyle name="汇总 2 7 5 6 3" xfId="20872" xr:uid="{00000000-0005-0000-0000-0000B8510000}"/>
    <cellStyle name="汇总 2 7 5 6 3 2" xfId="18467" xr:uid="{00000000-0005-0000-0000-000053480000}"/>
    <cellStyle name="汇总 2 7 5 6 4" xfId="20873" xr:uid="{00000000-0005-0000-0000-0000B9510000}"/>
    <cellStyle name="汇总 2 7 5 6 4 2" xfId="20878" xr:uid="{00000000-0005-0000-0000-0000BE510000}"/>
    <cellStyle name="汇总 2 7 5 6 5" xfId="20881" xr:uid="{00000000-0005-0000-0000-0000C1510000}"/>
    <cellStyle name="汇总 2 7 5 6 5 2" xfId="20884" xr:uid="{00000000-0005-0000-0000-0000C4510000}"/>
    <cellStyle name="汇总 2 7 5 6 6" xfId="20887" xr:uid="{00000000-0005-0000-0000-0000C7510000}"/>
    <cellStyle name="汇总 2 7 5 7" xfId="20889" xr:uid="{00000000-0005-0000-0000-0000C9510000}"/>
    <cellStyle name="汇总 2 7 5 7 2" xfId="20890" xr:uid="{00000000-0005-0000-0000-0000CA510000}"/>
    <cellStyle name="汇总 2 7 5 7 2 2" xfId="18737" xr:uid="{00000000-0005-0000-0000-000061490000}"/>
    <cellStyle name="汇总 2 7 5 7 3" xfId="20893" xr:uid="{00000000-0005-0000-0000-0000CD510000}"/>
    <cellStyle name="汇总 2 7 5 7 3 2" xfId="18787" xr:uid="{00000000-0005-0000-0000-000093490000}"/>
    <cellStyle name="汇总 2 7 5 7 4" xfId="20895" xr:uid="{00000000-0005-0000-0000-0000CF510000}"/>
    <cellStyle name="汇总 2 7 5 7 4 2" xfId="13855" xr:uid="{00000000-0005-0000-0000-00004F360000}"/>
    <cellStyle name="汇总 2 7 5 7 5" xfId="20897" xr:uid="{00000000-0005-0000-0000-0000D1510000}"/>
    <cellStyle name="汇总 2 7 5 7 5 2" xfId="20899" xr:uid="{00000000-0005-0000-0000-0000D3510000}"/>
    <cellStyle name="汇总 2 7 5 7 6" xfId="4248" xr:uid="{00000000-0005-0000-0000-0000C8100000}"/>
    <cellStyle name="汇总 2 7 5 8" xfId="15738" xr:uid="{00000000-0005-0000-0000-0000AA3D0000}"/>
    <cellStyle name="汇总 2 7 5 8 2" xfId="20901" xr:uid="{00000000-0005-0000-0000-0000D5510000}"/>
    <cellStyle name="汇总 2 7 5 8 2 2" xfId="1813" xr:uid="{00000000-0005-0000-0000-000045070000}"/>
    <cellStyle name="汇总 2 7 5 8 3" xfId="20903" xr:uid="{00000000-0005-0000-0000-0000D7510000}"/>
    <cellStyle name="汇总 2 7 5 8 3 2" xfId="18912" xr:uid="{00000000-0005-0000-0000-0000104A0000}"/>
    <cellStyle name="汇总 2 7 5 8 4" xfId="20904" xr:uid="{00000000-0005-0000-0000-0000D8510000}"/>
    <cellStyle name="汇总 2 7 5 8 4 2" xfId="20906" xr:uid="{00000000-0005-0000-0000-0000DA510000}"/>
    <cellStyle name="汇总 2 7 5 8 5" xfId="20908" xr:uid="{00000000-0005-0000-0000-0000DC510000}"/>
    <cellStyle name="汇总 2 7 5 9" xfId="20909" xr:uid="{00000000-0005-0000-0000-0000DD510000}"/>
    <cellStyle name="汇总 2 7 5 9 2" xfId="20910" xr:uid="{00000000-0005-0000-0000-0000DE510000}"/>
    <cellStyle name="汇总 2 7 6" xfId="20912" xr:uid="{00000000-0005-0000-0000-0000E0510000}"/>
    <cellStyle name="汇总 2 7 6 10" xfId="20914" xr:uid="{00000000-0005-0000-0000-0000E2510000}"/>
    <cellStyle name="汇总 2 7 6 10 2" xfId="20915" xr:uid="{00000000-0005-0000-0000-0000E3510000}"/>
    <cellStyle name="汇总 2 7 6 11" xfId="20916" xr:uid="{00000000-0005-0000-0000-0000E4510000}"/>
    <cellStyle name="汇总 2 7 6 11 2" xfId="20917" xr:uid="{00000000-0005-0000-0000-0000E5510000}"/>
    <cellStyle name="汇总 2 7 6 12" xfId="20919" xr:uid="{00000000-0005-0000-0000-0000E7510000}"/>
    <cellStyle name="汇总 2 7 6 12 2" xfId="20922" xr:uid="{00000000-0005-0000-0000-0000EA510000}"/>
    <cellStyle name="汇总 2 7 6 13" xfId="20927" xr:uid="{00000000-0005-0000-0000-0000EF510000}"/>
    <cellStyle name="汇总 2 7 6 14" xfId="20934" xr:uid="{00000000-0005-0000-0000-0000F6510000}"/>
    <cellStyle name="汇总 2 7 6 15" xfId="20940" xr:uid="{00000000-0005-0000-0000-0000FC510000}"/>
    <cellStyle name="汇总 2 7 6 16" xfId="12699" xr:uid="{00000000-0005-0000-0000-0000CB310000}"/>
    <cellStyle name="汇总 2 7 6 2" xfId="20943" xr:uid="{00000000-0005-0000-0000-0000FF510000}"/>
    <cellStyle name="汇总 2 7 6 2 2" xfId="20944" xr:uid="{00000000-0005-0000-0000-000000520000}"/>
    <cellStyle name="汇总 2 7 6 2 2 2" xfId="20947" xr:uid="{00000000-0005-0000-0000-000003520000}"/>
    <cellStyle name="汇总 2 7 6 2 3" xfId="20949" xr:uid="{00000000-0005-0000-0000-000005520000}"/>
    <cellStyle name="汇总 2 7 6 2 3 2" xfId="20952" xr:uid="{00000000-0005-0000-0000-000008520000}"/>
    <cellStyle name="汇总 2 7 6 2 4" xfId="910" xr:uid="{00000000-0005-0000-0000-0000BE030000}"/>
    <cellStyle name="汇总 2 7 6 2 4 2" xfId="9381" xr:uid="{00000000-0005-0000-0000-0000D5240000}"/>
    <cellStyle name="汇总 2 7 6 2 5" xfId="921" xr:uid="{00000000-0005-0000-0000-0000C9030000}"/>
    <cellStyle name="汇总 2 7 6 2 5 2" xfId="9386" xr:uid="{00000000-0005-0000-0000-0000DA240000}"/>
    <cellStyle name="汇总 2 7 6 2 6" xfId="9391" xr:uid="{00000000-0005-0000-0000-0000DF240000}"/>
    <cellStyle name="汇总 2 7 6 2 7" xfId="9407" xr:uid="{00000000-0005-0000-0000-0000EF240000}"/>
    <cellStyle name="汇总 2 7 6 2 8" xfId="9415" xr:uid="{00000000-0005-0000-0000-0000F7240000}"/>
    <cellStyle name="汇总 2 7 6 2 9" xfId="8685" xr:uid="{00000000-0005-0000-0000-00001D220000}"/>
    <cellStyle name="汇总 2 7 6 3" xfId="20954" xr:uid="{00000000-0005-0000-0000-00000A520000}"/>
    <cellStyle name="汇总 2 7 6 3 2" xfId="20956" xr:uid="{00000000-0005-0000-0000-00000C520000}"/>
    <cellStyle name="汇总 2 7 6 3 2 2" xfId="19558" xr:uid="{00000000-0005-0000-0000-0000964C0000}"/>
    <cellStyle name="汇总 2 7 6 3 3" xfId="1300" xr:uid="{00000000-0005-0000-0000-000044050000}"/>
    <cellStyle name="汇总 2 7 6 3 3 2" xfId="3283" xr:uid="{00000000-0005-0000-0000-0000030D0000}"/>
    <cellStyle name="汇总 2 7 6 3 4" xfId="1307" xr:uid="{00000000-0005-0000-0000-00004B050000}"/>
    <cellStyle name="汇总 2 7 6 3 4 2" xfId="3367" xr:uid="{00000000-0005-0000-0000-0000570D0000}"/>
    <cellStyle name="汇总 2 7 6 3 5" xfId="1328" xr:uid="{00000000-0005-0000-0000-000060050000}"/>
    <cellStyle name="汇总 2 7 6 3 5 2" xfId="3397" xr:uid="{00000000-0005-0000-0000-0000750D0000}"/>
    <cellStyle name="汇总 2 7 6 3 6" xfId="1334" xr:uid="{00000000-0005-0000-0000-000066050000}"/>
    <cellStyle name="汇总 2 7 6 4" xfId="20960" xr:uid="{00000000-0005-0000-0000-000010520000}"/>
    <cellStyle name="汇总 2 7 6 4 2" xfId="20961" xr:uid="{00000000-0005-0000-0000-000011520000}"/>
    <cellStyle name="汇总 2 7 6 4 2 2" xfId="19695" xr:uid="{00000000-0005-0000-0000-00001F4D0000}"/>
    <cellStyle name="汇总 2 7 6 4 3" xfId="2211" xr:uid="{00000000-0005-0000-0000-0000D3080000}"/>
    <cellStyle name="汇总 2 7 6 4 3 2" xfId="2066" xr:uid="{00000000-0005-0000-0000-000042080000}"/>
    <cellStyle name="汇总 2 7 6 4 4" xfId="2219" xr:uid="{00000000-0005-0000-0000-0000DB080000}"/>
    <cellStyle name="汇总 2 7 6 4 4 2" xfId="3621" xr:uid="{00000000-0005-0000-0000-0000550E0000}"/>
    <cellStyle name="汇总 2 7 6 4 5" xfId="2224" xr:uid="{00000000-0005-0000-0000-0000E0080000}"/>
    <cellStyle name="汇总 2 7 6 4 5 2" xfId="3633" xr:uid="{00000000-0005-0000-0000-0000610E0000}"/>
    <cellStyle name="汇总 2 7 6 4 6" xfId="3543" xr:uid="{00000000-0005-0000-0000-0000070E0000}"/>
    <cellStyle name="汇总 2 7 6 5" xfId="20962" xr:uid="{00000000-0005-0000-0000-000012520000}"/>
    <cellStyle name="汇总 2 7 6 5 2" xfId="20963" xr:uid="{00000000-0005-0000-0000-000013520000}"/>
    <cellStyle name="汇总 2 7 6 5 2 2" xfId="19813" xr:uid="{00000000-0005-0000-0000-0000954D0000}"/>
    <cellStyle name="汇总 2 7 6 5 3" xfId="1562" xr:uid="{00000000-0005-0000-0000-00004A060000}"/>
    <cellStyle name="汇总 2 7 6 5 3 2" xfId="459" xr:uid="{00000000-0005-0000-0000-0000F5010000}"/>
    <cellStyle name="汇总 2 7 6 5 4" xfId="1570" xr:uid="{00000000-0005-0000-0000-000052060000}"/>
    <cellStyle name="汇总 2 7 6 5 4 2" xfId="1584" xr:uid="{00000000-0005-0000-0000-000060060000}"/>
    <cellStyle name="汇总 2 7 6 5 5" xfId="1597" xr:uid="{00000000-0005-0000-0000-00006D060000}"/>
    <cellStyle name="汇总 2 7 6 5 5 2" xfId="3659" xr:uid="{00000000-0005-0000-0000-00007B0E0000}"/>
    <cellStyle name="汇总 2 7 6 5 6" xfId="3669" xr:uid="{00000000-0005-0000-0000-0000850E0000}"/>
    <cellStyle name="汇总 2 7 6 6" xfId="20967" xr:uid="{00000000-0005-0000-0000-000017520000}"/>
    <cellStyle name="汇总 2 7 6 6 2" xfId="20970" xr:uid="{00000000-0005-0000-0000-00001A520000}"/>
    <cellStyle name="汇总 2 7 6 6 2 2" xfId="19905" xr:uid="{00000000-0005-0000-0000-0000F14D0000}"/>
    <cellStyle name="汇总 2 7 6 6 3" xfId="1441" xr:uid="{00000000-0005-0000-0000-0000D1050000}"/>
    <cellStyle name="汇总 2 7 6 6 3 2" xfId="1447" xr:uid="{00000000-0005-0000-0000-0000D7050000}"/>
    <cellStyle name="汇总 2 7 6 6 4" xfId="1465" xr:uid="{00000000-0005-0000-0000-0000E9050000}"/>
    <cellStyle name="汇总 2 7 6 6 4 2" xfId="3705" xr:uid="{00000000-0005-0000-0000-0000A90E0000}"/>
    <cellStyle name="汇总 2 7 6 6 5" xfId="1477" xr:uid="{00000000-0005-0000-0000-0000F5050000}"/>
    <cellStyle name="汇总 2 7 6 6 5 2" xfId="3710" xr:uid="{00000000-0005-0000-0000-0000AE0E0000}"/>
    <cellStyle name="汇总 2 7 6 6 6" xfId="1518" xr:uid="{00000000-0005-0000-0000-00001E060000}"/>
    <cellStyle name="汇总 2 7 6 7" xfId="20975" xr:uid="{00000000-0005-0000-0000-00001F520000}"/>
    <cellStyle name="汇总 2 7 6 7 2" xfId="20981" xr:uid="{00000000-0005-0000-0000-000025520000}"/>
    <cellStyle name="汇总 2 7 6 7 2 2" xfId="19984" xr:uid="{00000000-0005-0000-0000-0000404E0000}"/>
    <cellStyle name="汇总 2 7 6 7 3" xfId="3741" xr:uid="{00000000-0005-0000-0000-0000CD0E0000}"/>
    <cellStyle name="汇总 2 7 6 7 3 2" xfId="3746" xr:uid="{00000000-0005-0000-0000-0000D20E0000}"/>
    <cellStyle name="汇总 2 7 6 7 4" xfId="3755" xr:uid="{00000000-0005-0000-0000-0000DB0E0000}"/>
    <cellStyle name="汇总 2 7 6 7 4 2" xfId="3760" xr:uid="{00000000-0005-0000-0000-0000E00E0000}"/>
    <cellStyle name="汇总 2 7 6 7 5" xfId="2487" xr:uid="{00000000-0005-0000-0000-0000E7090000}"/>
    <cellStyle name="汇总 2 7 6 7 5 2" xfId="3764" xr:uid="{00000000-0005-0000-0000-0000E40E0000}"/>
    <cellStyle name="汇总 2 7 6 7 6" xfId="3774" xr:uid="{00000000-0005-0000-0000-0000EE0E0000}"/>
    <cellStyle name="汇总 2 7 6 8" xfId="15745" xr:uid="{00000000-0005-0000-0000-0000B13D0000}"/>
    <cellStyle name="汇总 2 7 6 8 2" xfId="20988" xr:uid="{00000000-0005-0000-0000-00002C520000}"/>
    <cellStyle name="汇总 2 7 6 8 2 2" xfId="20087" xr:uid="{00000000-0005-0000-0000-0000A74E0000}"/>
    <cellStyle name="汇总 2 7 6 8 3" xfId="629" xr:uid="{00000000-0005-0000-0000-0000A5020000}"/>
    <cellStyle name="汇总 2 7 6 8 3 2" xfId="3817" xr:uid="{00000000-0005-0000-0000-0000190F0000}"/>
    <cellStyle name="汇总 2 7 6 8 4" xfId="3824" xr:uid="{00000000-0005-0000-0000-0000200F0000}"/>
    <cellStyle name="汇总 2 7 6 8 4 2" xfId="3830" xr:uid="{00000000-0005-0000-0000-0000260F0000}"/>
    <cellStyle name="汇总 2 7 6 8 5" xfId="2072" xr:uid="{00000000-0005-0000-0000-000048080000}"/>
    <cellStyle name="汇总 2 7 6 9" xfId="20993" xr:uid="{00000000-0005-0000-0000-000031520000}"/>
    <cellStyle name="汇总 2 7 6 9 2" xfId="20997" xr:uid="{00000000-0005-0000-0000-000035520000}"/>
    <cellStyle name="汇总 2 7 7" xfId="5683" xr:uid="{00000000-0005-0000-0000-000063160000}"/>
    <cellStyle name="汇总 2 7 7 10" xfId="20999" xr:uid="{00000000-0005-0000-0000-000037520000}"/>
    <cellStyle name="汇总 2 7 7 10 2" xfId="21000" xr:uid="{00000000-0005-0000-0000-000038520000}"/>
    <cellStyle name="汇总 2 7 7 11" xfId="21001" xr:uid="{00000000-0005-0000-0000-000039520000}"/>
    <cellStyle name="汇总 2 7 7 11 2" xfId="21003" xr:uid="{00000000-0005-0000-0000-00003B520000}"/>
    <cellStyle name="汇总 2 7 7 12" xfId="21006" xr:uid="{00000000-0005-0000-0000-00003E520000}"/>
    <cellStyle name="汇总 2 7 7 12 2" xfId="21008" xr:uid="{00000000-0005-0000-0000-000040520000}"/>
    <cellStyle name="汇总 2 7 7 13" xfId="21012" xr:uid="{00000000-0005-0000-0000-000044520000}"/>
    <cellStyle name="汇总 2 7 7 14" xfId="21015" xr:uid="{00000000-0005-0000-0000-000047520000}"/>
    <cellStyle name="汇总 2 7 7 15" xfId="21020" xr:uid="{00000000-0005-0000-0000-00004C520000}"/>
    <cellStyle name="汇总 2 7 7 16" xfId="20001" xr:uid="{00000000-0005-0000-0000-0000514E0000}"/>
    <cellStyle name="汇总 2 7 7 2" xfId="21024" xr:uid="{00000000-0005-0000-0000-000050520000}"/>
    <cellStyle name="汇总 2 7 7 2 2" xfId="15609" xr:uid="{00000000-0005-0000-0000-0000293D0000}"/>
    <cellStyle name="汇总 2 7 7 2 2 2" xfId="7121" xr:uid="{00000000-0005-0000-0000-0000011C0000}"/>
    <cellStyle name="汇总 2 7 7 2 3" xfId="9296" xr:uid="{00000000-0005-0000-0000-000080240000}"/>
    <cellStyle name="汇总 2 7 7 2 3 2" xfId="7159" xr:uid="{00000000-0005-0000-0000-0000271C0000}"/>
    <cellStyle name="汇总 2 7 7 2 4" xfId="15881" xr:uid="{00000000-0005-0000-0000-0000393E0000}"/>
    <cellStyle name="汇总 2 7 7 2 4 2" xfId="7209" xr:uid="{00000000-0005-0000-0000-0000591C0000}"/>
    <cellStyle name="汇总 2 7 7 2 5" xfId="15900" xr:uid="{00000000-0005-0000-0000-00004C3E0000}"/>
    <cellStyle name="汇总 2 7 7 2 5 2" xfId="3734" xr:uid="{00000000-0005-0000-0000-0000C60E0000}"/>
    <cellStyle name="汇总 2 7 7 2 6" xfId="15913" xr:uid="{00000000-0005-0000-0000-0000593E0000}"/>
    <cellStyle name="汇总 2 7 7 2 7" xfId="13879" xr:uid="{00000000-0005-0000-0000-000067360000}"/>
    <cellStyle name="汇总 2 7 7 2 8" xfId="15957" xr:uid="{00000000-0005-0000-0000-0000853E0000}"/>
    <cellStyle name="汇总 2 7 7 2 9" xfId="15990" xr:uid="{00000000-0005-0000-0000-0000A63E0000}"/>
    <cellStyle name="汇总 2 7 7 3" xfId="21025" xr:uid="{00000000-0005-0000-0000-000051520000}"/>
    <cellStyle name="汇总 2 7 7 3 2" xfId="21027" xr:uid="{00000000-0005-0000-0000-000053520000}"/>
    <cellStyle name="汇总 2 7 7 3 2 2" xfId="20492" xr:uid="{00000000-0005-0000-0000-00003C500000}"/>
    <cellStyle name="汇总 2 7 7 3 3" xfId="4030" xr:uid="{00000000-0005-0000-0000-0000EE0F0000}"/>
    <cellStyle name="汇总 2 7 7 3 3 2" xfId="4039" xr:uid="{00000000-0005-0000-0000-0000F70F0000}"/>
    <cellStyle name="汇总 2 7 7 3 4" xfId="4053" xr:uid="{00000000-0005-0000-0000-000005100000}"/>
    <cellStyle name="汇总 2 7 7 3 4 2" xfId="4056" xr:uid="{00000000-0005-0000-0000-000008100000}"/>
    <cellStyle name="汇总 2 7 7 3 5" xfId="4070" xr:uid="{00000000-0005-0000-0000-000016100000}"/>
    <cellStyle name="汇总 2 7 7 3 5 2" xfId="4085" xr:uid="{00000000-0005-0000-0000-000025100000}"/>
    <cellStyle name="汇总 2 7 7 3 6" xfId="4102" xr:uid="{00000000-0005-0000-0000-000036100000}"/>
    <cellStyle name="汇总 2 7 7 4" xfId="21028" xr:uid="{00000000-0005-0000-0000-000054520000}"/>
    <cellStyle name="汇总 2 7 7 4 2" xfId="21030" xr:uid="{00000000-0005-0000-0000-000056520000}"/>
    <cellStyle name="汇总 2 7 7 4 2 2" xfId="20658" xr:uid="{00000000-0005-0000-0000-0000E2500000}"/>
    <cellStyle name="汇总 2 7 7 4 3" xfId="4154" xr:uid="{00000000-0005-0000-0000-00006A100000}"/>
    <cellStyle name="汇总 2 7 7 4 3 2" xfId="286" xr:uid="{00000000-0005-0000-0000-00003A010000}"/>
    <cellStyle name="汇总 2 7 7 4 4" xfId="4163" xr:uid="{00000000-0005-0000-0000-000073100000}"/>
    <cellStyle name="汇总 2 7 7 4 4 2" xfId="4180" xr:uid="{00000000-0005-0000-0000-000084100000}"/>
    <cellStyle name="汇总 2 7 7 4 5" xfId="2497" xr:uid="{00000000-0005-0000-0000-0000F1090000}"/>
    <cellStyle name="汇总 2 7 7 4 5 2" xfId="4197" xr:uid="{00000000-0005-0000-0000-000095100000}"/>
    <cellStyle name="汇总 2 7 7 4 6" xfId="4202" xr:uid="{00000000-0005-0000-0000-00009A100000}"/>
    <cellStyle name="汇总 2 7 7 5" xfId="21031" xr:uid="{00000000-0005-0000-0000-000057520000}"/>
    <cellStyle name="汇总 2 7 7 5 2" xfId="21033" xr:uid="{00000000-0005-0000-0000-000059520000}"/>
    <cellStyle name="汇总 2 7 7 5 2 2" xfId="20782" xr:uid="{00000000-0005-0000-0000-00005E510000}"/>
    <cellStyle name="汇总 2 7 7 5 3" xfId="4047" xr:uid="{00000000-0005-0000-0000-0000FF0F0000}"/>
    <cellStyle name="汇总 2 7 7 5 3 2" xfId="784" xr:uid="{00000000-0005-0000-0000-000040030000}"/>
    <cellStyle name="汇总 2 7 7 5 4" xfId="4237" xr:uid="{00000000-0005-0000-0000-0000BD100000}"/>
    <cellStyle name="汇总 2 7 7 5 4 2" xfId="821" xr:uid="{00000000-0005-0000-0000-000065030000}"/>
    <cellStyle name="汇总 2 7 7 5 5" xfId="2523" xr:uid="{00000000-0005-0000-0000-00000B0A0000}"/>
    <cellStyle name="汇总 2 7 7 5 5 2" xfId="849" xr:uid="{00000000-0005-0000-0000-000081030000}"/>
    <cellStyle name="汇总 2 7 7 5 6" xfId="3571" xr:uid="{00000000-0005-0000-0000-0000230E0000}"/>
    <cellStyle name="汇总 2 7 7 6" xfId="21036" xr:uid="{00000000-0005-0000-0000-00005C520000}"/>
    <cellStyle name="汇总 2 7 7 6 2" xfId="21040" xr:uid="{00000000-0005-0000-0000-000060520000}"/>
    <cellStyle name="汇总 2 7 7 6 2 2" xfId="20886" xr:uid="{00000000-0005-0000-0000-0000C6510000}"/>
    <cellStyle name="汇总 2 7 7 6 3" xfId="4066" xr:uid="{00000000-0005-0000-0000-000012100000}"/>
    <cellStyle name="汇总 2 7 7 6 3 2" xfId="4247" xr:uid="{00000000-0005-0000-0000-0000C7100000}"/>
    <cellStyle name="汇总 2 7 7 6 4" xfId="1853" xr:uid="{00000000-0005-0000-0000-00006D070000}"/>
    <cellStyle name="汇总 2 7 7 6 4 2" xfId="1884" xr:uid="{00000000-0005-0000-0000-00008C070000}"/>
    <cellStyle name="汇总 2 7 7 6 5" xfId="1928" xr:uid="{00000000-0005-0000-0000-0000B8070000}"/>
    <cellStyle name="汇总 2 7 7 6 5 2" xfId="4256" xr:uid="{00000000-0005-0000-0000-0000D0100000}"/>
    <cellStyle name="汇总 2 7 7 6 6" xfId="1946" xr:uid="{00000000-0005-0000-0000-0000CA070000}"/>
    <cellStyle name="汇总 2 7 7 7" xfId="1404" xr:uid="{00000000-0005-0000-0000-0000AC050000}"/>
    <cellStyle name="汇总 2 7 7 7 2" xfId="17316" xr:uid="{00000000-0005-0000-0000-0000D4430000}"/>
    <cellStyle name="汇总 2 7 7 7 2 2" xfId="1514" xr:uid="{00000000-0005-0000-0000-00001A060000}"/>
    <cellStyle name="汇总 2 7 7 7 3" xfId="4095" xr:uid="{00000000-0005-0000-0000-00002F100000}"/>
    <cellStyle name="汇总 2 7 7 7 3 2" xfId="3778" xr:uid="{00000000-0005-0000-0000-0000F20E0000}"/>
    <cellStyle name="汇总 2 7 7 7 4" xfId="4277" xr:uid="{00000000-0005-0000-0000-0000E5100000}"/>
    <cellStyle name="汇总 2 7 7 7 4 2" xfId="3848" xr:uid="{00000000-0005-0000-0000-0000380F0000}"/>
    <cellStyle name="汇总 2 7 7 7 5" xfId="2542" xr:uid="{00000000-0005-0000-0000-00001E0A0000}"/>
    <cellStyle name="汇总 2 7 7 7 5 2" xfId="3919" xr:uid="{00000000-0005-0000-0000-00007F0F0000}"/>
    <cellStyle name="汇总 2 7 7 7 6" xfId="4297" xr:uid="{00000000-0005-0000-0000-0000F9100000}"/>
    <cellStyle name="汇总 2 7 7 8" xfId="15759" xr:uid="{00000000-0005-0000-0000-0000BF3D0000}"/>
    <cellStyle name="汇总 2 7 7 8 2" xfId="21042" xr:uid="{00000000-0005-0000-0000-000062520000}"/>
    <cellStyle name="汇总 2 7 7 8 2 2" xfId="1944" xr:uid="{00000000-0005-0000-0000-0000C8070000}"/>
    <cellStyle name="汇总 2 7 7 8 3" xfId="4115" xr:uid="{00000000-0005-0000-0000-000043100000}"/>
    <cellStyle name="汇总 2 7 7 8 3 2" xfId="4294" xr:uid="{00000000-0005-0000-0000-0000F6100000}"/>
    <cellStyle name="汇总 2 7 7 8 4" xfId="4316" xr:uid="{00000000-0005-0000-0000-00000C110000}"/>
    <cellStyle name="汇总 2 7 7 8 4 2" xfId="4319" xr:uid="{00000000-0005-0000-0000-00000F110000}"/>
    <cellStyle name="汇总 2 7 7 8 5" xfId="4325" xr:uid="{00000000-0005-0000-0000-000015110000}"/>
    <cellStyle name="汇总 2 7 7 9" xfId="21043" xr:uid="{00000000-0005-0000-0000-000063520000}"/>
    <cellStyle name="汇总 2 7 7 9 2" xfId="21045" xr:uid="{00000000-0005-0000-0000-000065520000}"/>
    <cellStyle name="汇总 2 7 8" xfId="21047" xr:uid="{00000000-0005-0000-0000-000067520000}"/>
    <cellStyle name="汇总 2 7 8 10" xfId="21053" xr:uid="{00000000-0005-0000-0000-00006D520000}"/>
    <cellStyle name="汇总 2 7 8 10 2" xfId="21057" xr:uid="{00000000-0005-0000-0000-000071520000}"/>
    <cellStyle name="汇总 2 7 8 11" xfId="17386" xr:uid="{00000000-0005-0000-0000-00001A440000}"/>
    <cellStyle name="汇总 2 7 8 11 2" xfId="21059" xr:uid="{00000000-0005-0000-0000-000073520000}"/>
    <cellStyle name="汇总 2 7 8 12" xfId="21061" xr:uid="{00000000-0005-0000-0000-000075520000}"/>
    <cellStyle name="汇总 2 7 8 12 2" xfId="21066" xr:uid="{00000000-0005-0000-0000-00007A520000}"/>
    <cellStyle name="汇总 2 7 8 13" xfId="21069" xr:uid="{00000000-0005-0000-0000-00007D520000}"/>
    <cellStyle name="汇总 2 7 8 14" xfId="21073" xr:uid="{00000000-0005-0000-0000-000081520000}"/>
    <cellStyle name="汇总 2 7 8 15" xfId="21077" xr:uid="{00000000-0005-0000-0000-000085520000}"/>
    <cellStyle name="汇总 2 7 8 16" xfId="9199" xr:uid="{00000000-0005-0000-0000-00001F240000}"/>
    <cellStyle name="汇总 2 7 8 2" xfId="21081" xr:uid="{00000000-0005-0000-0000-000089520000}"/>
    <cellStyle name="汇总 2 7 8 2 2" xfId="21083" xr:uid="{00000000-0005-0000-0000-00008B520000}"/>
    <cellStyle name="汇总 2 7 8 2 2 2" xfId="21087" xr:uid="{00000000-0005-0000-0000-00008F520000}"/>
    <cellStyle name="汇总 2 7 8 2 3" xfId="21092" xr:uid="{00000000-0005-0000-0000-000094520000}"/>
    <cellStyle name="汇总 2 7 8 2 3 2" xfId="21097" xr:uid="{00000000-0005-0000-0000-000099520000}"/>
    <cellStyle name="汇总 2 7 8 2 4" xfId="20220" xr:uid="{00000000-0005-0000-0000-00002C4F0000}"/>
    <cellStyle name="汇总 2 7 8 2 4 2" xfId="21102" xr:uid="{00000000-0005-0000-0000-00009E520000}"/>
    <cellStyle name="汇总 2 7 8 2 5" xfId="21105" xr:uid="{00000000-0005-0000-0000-0000A1520000}"/>
    <cellStyle name="汇总 2 7 8 2 5 2" xfId="21111" xr:uid="{00000000-0005-0000-0000-0000A7520000}"/>
    <cellStyle name="汇总 2 7 8 2 6" xfId="21114" xr:uid="{00000000-0005-0000-0000-0000AA520000}"/>
    <cellStyle name="汇总 2 7 8 2 7" xfId="13895" xr:uid="{00000000-0005-0000-0000-000077360000}"/>
    <cellStyle name="汇总 2 7 8 2 8" xfId="21119" xr:uid="{00000000-0005-0000-0000-0000AF520000}"/>
    <cellStyle name="汇总 2 7 8 2 9" xfId="21125" xr:uid="{00000000-0005-0000-0000-0000B5520000}"/>
    <cellStyle name="汇总 2 7 8 3" xfId="21129" xr:uid="{00000000-0005-0000-0000-0000B9520000}"/>
    <cellStyle name="汇总 2 7 8 3 2" xfId="21133" xr:uid="{00000000-0005-0000-0000-0000BD520000}"/>
    <cellStyle name="汇总 2 7 8 3 2 2" xfId="21135" xr:uid="{00000000-0005-0000-0000-0000BF520000}"/>
    <cellStyle name="汇总 2 7 8 3 3" xfId="4432" xr:uid="{00000000-0005-0000-0000-000080110000}"/>
    <cellStyle name="汇总 2 7 8 3 3 2" xfId="4437" xr:uid="{00000000-0005-0000-0000-000085110000}"/>
    <cellStyle name="汇总 2 7 8 3 4" xfId="4447" xr:uid="{00000000-0005-0000-0000-00008F110000}"/>
    <cellStyle name="汇总 2 7 8 3 4 2" xfId="4451" xr:uid="{00000000-0005-0000-0000-000093110000}"/>
    <cellStyle name="汇总 2 7 8 3 5" xfId="4457" xr:uid="{00000000-0005-0000-0000-000099110000}"/>
    <cellStyle name="汇总 2 7 8 3 5 2" xfId="4464" xr:uid="{00000000-0005-0000-0000-0000A0110000}"/>
    <cellStyle name="汇总 2 7 8 3 6" xfId="4467" xr:uid="{00000000-0005-0000-0000-0000A3110000}"/>
    <cellStyle name="汇总 2 7 8 4" xfId="21139" xr:uid="{00000000-0005-0000-0000-0000C3520000}"/>
    <cellStyle name="汇总 2 7 8 4 2" xfId="12881" xr:uid="{00000000-0005-0000-0000-000081320000}"/>
    <cellStyle name="汇总 2 7 8 4 2 2" xfId="21142" xr:uid="{00000000-0005-0000-0000-0000C6520000}"/>
    <cellStyle name="汇总 2 7 8 4 3" xfId="4510" xr:uid="{00000000-0005-0000-0000-0000CE110000}"/>
    <cellStyle name="汇总 2 7 8 4 3 2" xfId="3946" xr:uid="{00000000-0005-0000-0000-00009A0F0000}"/>
    <cellStyle name="汇总 2 7 8 4 4" xfId="4517" xr:uid="{00000000-0005-0000-0000-0000D5110000}"/>
    <cellStyle name="汇总 2 7 8 4 4 2" xfId="1627" xr:uid="{00000000-0005-0000-0000-00008B060000}"/>
    <cellStyle name="汇总 2 7 8 4 5" xfId="2572" xr:uid="{00000000-0005-0000-0000-00003C0A0000}"/>
    <cellStyle name="汇总 2 7 8 4 5 2" xfId="4522" xr:uid="{00000000-0005-0000-0000-0000DA110000}"/>
    <cellStyle name="汇总 2 7 8 4 6" xfId="4526" xr:uid="{00000000-0005-0000-0000-0000DE110000}"/>
    <cellStyle name="汇总 2 7 8 5" xfId="21147" xr:uid="{00000000-0005-0000-0000-0000CB520000}"/>
    <cellStyle name="汇总 2 7 8 5 2" xfId="21150" xr:uid="{00000000-0005-0000-0000-0000CE520000}"/>
    <cellStyle name="汇总 2 7 8 5 2 2" xfId="21153" xr:uid="{00000000-0005-0000-0000-0000D1520000}"/>
    <cellStyle name="汇总 2 7 8 5 3" xfId="278" xr:uid="{00000000-0005-0000-0000-000032010000}"/>
    <cellStyle name="汇总 2 7 8 5 3 2" xfId="4538" xr:uid="{00000000-0005-0000-0000-0000EA110000}"/>
    <cellStyle name="汇总 2 7 8 5 4" xfId="413" xr:uid="{00000000-0005-0000-0000-0000C4010000}"/>
    <cellStyle name="汇总 2 7 8 5 4 2" xfId="4543" xr:uid="{00000000-0005-0000-0000-0000EF110000}"/>
    <cellStyle name="汇总 2 7 8 5 5" xfId="416" xr:uid="{00000000-0005-0000-0000-0000C8010000}"/>
    <cellStyle name="汇总 2 7 8 5 5 2" xfId="4556" xr:uid="{00000000-0005-0000-0000-0000FC110000}"/>
    <cellStyle name="汇总 2 7 8 5 6" xfId="465" xr:uid="{00000000-0005-0000-0000-0000FC010000}"/>
    <cellStyle name="汇总 2 7 8 6" xfId="21158" xr:uid="{00000000-0005-0000-0000-0000D6520000}"/>
    <cellStyle name="汇总 2 7 8 6 2" xfId="21163" xr:uid="{00000000-0005-0000-0000-0000DB520000}"/>
    <cellStyle name="汇总 2 7 8 6 2 2" xfId="21166" xr:uid="{00000000-0005-0000-0000-0000DE520000}"/>
    <cellStyle name="汇总 2 7 8 6 3" xfId="4170" xr:uid="{00000000-0005-0000-0000-00007A100000}"/>
    <cellStyle name="汇总 2 7 8 6 3 2" xfId="4587" xr:uid="{00000000-0005-0000-0000-00001B120000}"/>
    <cellStyle name="汇总 2 7 8 6 4" xfId="4593" xr:uid="{00000000-0005-0000-0000-000021120000}"/>
    <cellStyle name="汇总 2 7 8 6 4 2" xfId="4600" xr:uid="{00000000-0005-0000-0000-000028120000}"/>
    <cellStyle name="汇总 2 7 8 6 5" xfId="2600" xr:uid="{00000000-0005-0000-0000-0000580A0000}"/>
    <cellStyle name="汇总 2 7 8 6 5 2" xfId="4604" xr:uid="{00000000-0005-0000-0000-00002C120000}"/>
    <cellStyle name="汇总 2 7 8 6 6" xfId="4607" xr:uid="{00000000-0005-0000-0000-00002F120000}"/>
    <cellStyle name="汇总 2 7 8 7" xfId="7152" xr:uid="{00000000-0005-0000-0000-0000201C0000}"/>
    <cellStyle name="汇总 2 7 8 7 2" xfId="21173" xr:uid="{00000000-0005-0000-0000-0000E5520000}"/>
    <cellStyle name="汇总 2 7 8 7 2 2" xfId="7535" xr:uid="{00000000-0005-0000-0000-00009F1D0000}"/>
    <cellStyle name="汇总 2 7 8 7 3" xfId="4184" xr:uid="{00000000-0005-0000-0000-000088100000}"/>
    <cellStyle name="汇总 2 7 8 7 3 2" xfId="4610" xr:uid="{00000000-0005-0000-0000-000032120000}"/>
    <cellStyle name="汇总 2 7 8 7 4" xfId="4618" xr:uid="{00000000-0005-0000-0000-00003A120000}"/>
    <cellStyle name="汇总 2 7 8 7 4 2" xfId="3457" xr:uid="{00000000-0005-0000-0000-0000B10D0000}"/>
    <cellStyle name="汇总 2 7 8 7 5" xfId="2633" xr:uid="{00000000-0005-0000-0000-0000790A0000}"/>
    <cellStyle name="汇总 2 7 8 7 5 2" xfId="4624" xr:uid="{00000000-0005-0000-0000-000040120000}"/>
    <cellStyle name="汇总 2 7 8 7 6" xfId="4346" xr:uid="{00000000-0005-0000-0000-00002A110000}"/>
    <cellStyle name="汇总 2 7 8 8" xfId="21176" xr:uid="{00000000-0005-0000-0000-0000E8520000}"/>
    <cellStyle name="汇总 2 7 8 8 2" xfId="21180" xr:uid="{00000000-0005-0000-0000-0000EC520000}"/>
    <cellStyle name="汇总 2 7 8 8 2 2" xfId="7849" xr:uid="{00000000-0005-0000-0000-0000D91E0000}"/>
    <cellStyle name="汇总 2 7 8 8 3" xfId="4208" xr:uid="{00000000-0005-0000-0000-0000A0100000}"/>
    <cellStyle name="汇总 2 7 8 8 3 2" xfId="4630" xr:uid="{00000000-0005-0000-0000-000046120000}"/>
    <cellStyle name="汇总 2 7 8 8 4" xfId="4635" xr:uid="{00000000-0005-0000-0000-00004B120000}"/>
    <cellStyle name="汇总 2 7 8 8 4 2" xfId="4642" xr:uid="{00000000-0005-0000-0000-000052120000}"/>
    <cellStyle name="汇总 2 7 8 8 5" xfId="4652" xr:uid="{00000000-0005-0000-0000-00005C120000}"/>
    <cellStyle name="汇总 2 7 8 9" xfId="21184" xr:uid="{00000000-0005-0000-0000-0000F0520000}"/>
    <cellStyle name="汇总 2 7 8 9 2" xfId="21188" xr:uid="{00000000-0005-0000-0000-0000F4520000}"/>
    <cellStyle name="汇总 2 7 9" xfId="1176" xr:uid="{00000000-0005-0000-0000-0000C8040000}"/>
    <cellStyle name="汇总 2 7 9 10" xfId="21190" xr:uid="{00000000-0005-0000-0000-0000F6520000}"/>
    <cellStyle name="汇总 2 7 9 10 2" xfId="21191" xr:uid="{00000000-0005-0000-0000-0000F7520000}"/>
    <cellStyle name="汇总 2 7 9 11" xfId="18118" xr:uid="{00000000-0005-0000-0000-0000F6460000}"/>
    <cellStyle name="汇总 2 7 9 11 2" xfId="21192" xr:uid="{00000000-0005-0000-0000-0000F8520000}"/>
    <cellStyle name="汇总 2 7 9 12" xfId="21195" xr:uid="{00000000-0005-0000-0000-0000FB520000}"/>
    <cellStyle name="汇总 2 7 9 12 2" xfId="21197" xr:uid="{00000000-0005-0000-0000-0000FD520000}"/>
    <cellStyle name="汇总 2 7 9 13" xfId="21201" xr:uid="{00000000-0005-0000-0000-000001530000}"/>
    <cellStyle name="汇总 2 7 9 14" xfId="21204" xr:uid="{00000000-0005-0000-0000-000004530000}"/>
    <cellStyle name="汇总 2 7 9 15" xfId="21209" xr:uid="{00000000-0005-0000-0000-000009530000}"/>
    <cellStyle name="汇总 2 7 9 16" xfId="21212" xr:uid="{00000000-0005-0000-0000-00000C530000}"/>
    <cellStyle name="汇总 2 7 9 2" xfId="2424" xr:uid="{00000000-0005-0000-0000-0000A8090000}"/>
    <cellStyle name="汇总 2 7 9 2 2" xfId="2432" xr:uid="{00000000-0005-0000-0000-0000B0090000}"/>
    <cellStyle name="汇总 2 7 9 2 2 2" xfId="21213" xr:uid="{00000000-0005-0000-0000-00000D530000}"/>
    <cellStyle name="汇总 2 7 9 2 3" xfId="21215" xr:uid="{00000000-0005-0000-0000-00000F530000}"/>
    <cellStyle name="汇总 2 7 9 2 3 2" xfId="21217" xr:uid="{00000000-0005-0000-0000-000011530000}"/>
    <cellStyle name="汇总 2 7 9 2 4" xfId="21219" xr:uid="{00000000-0005-0000-0000-000013530000}"/>
    <cellStyle name="汇总 2 7 9 2 4 2" xfId="3938" xr:uid="{00000000-0005-0000-0000-0000920F0000}"/>
    <cellStyle name="汇总 2 7 9 2 5" xfId="21221" xr:uid="{00000000-0005-0000-0000-000015530000}"/>
    <cellStyle name="汇总 2 7 9 2 5 2" xfId="4134" xr:uid="{00000000-0005-0000-0000-000056100000}"/>
    <cellStyle name="汇总 2 7 9 2 6" xfId="21223" xr:uid="{00000000-0005-0000-0000-000017530000}"/>
    <cellStyle name="汇总 2 7 9 2 7" xfId="13923" xr:uid="{00000000-0005-0000-0000-000093360000}"/>
    <cellStyle name="汇总 2 7 9 2 8" xfId="21225" xr:uid="{00000000-0005-0000-0000-000019530000}"/>
    <cellStyle name="汇总 2 7 9 2 9" xfId="21227" xr:uid="{00000000-0005-0000-0000-00001B530000}"/>
    <cellStyle name="汇总 2 7 9 3" xfId="2435" xr:uid="{00000000-0005-0000-0000-0000B3090000}"/>
    <cellStyle name="汇总 2 7 9 3 2" xfId="433" xr:uid="{00000000-0005-0000-0000-0000DA010000}"/>
    <cellStyle name="汇总 2 7 9 3 2 2" xfId="21232" xr:uid="{00000000-0005-0000-0000-000020530000}"/>
    <cellStyle name="汇总 2 7 9 3 3" xfId="334" xr:uid="{00000000-0005-0000-0000-00006F010000}"/>
    <cellStyle name="汇总 2 7 9 3 3 2" xfId="721" xr:uid="{00000000-0005-0000-0000-000001030000}"/>
    <cellStyle name="汇总 2 7 9 3 4" xfId="267" xr:uid="{00000000-0005-0000-0000-000026010000}"/>
    <cellStyle name="汇总 2 7 9 3 4 2" xfId="739" xr:uid="{00000000-0005-0000-0000-000013030000}"/>
    <cellStyle name="汇总 2 7 9 3 5" xfId="4733" xr:uid="{00000000-0005-0000-0000-0000AD120000}"/>
    <cellStyle name="汇总 2 7 9 3 5 2" xfId="4481" xr:uid="{00000000-0005-0000-0000-0000B1110000}"/>
    <cellStyle name="汇总 2 7 9 3 6" xfId="4738" xr:uid="{00000000-0005-0000-0000-0000B2120000}"/>
    <cellStyle name="汇总 2 7 9 4" xfId="373" xr:uid="{00000000-0005-0000-0000-000099010000}"/>
    <cellStyle name="汇总 2 7 9 4 2" xfId="563" xr:uid="{00000000-0005-0000-0000-000063020000}"/>
    <cellStyle name="汇总 2 7 9 4 2 2" xfId="21238" xr:uid="{00000000-0005-0000-0000-000026530000}"/>
    <cellStyle name="汇总 2 7 9 4 3" xfId="769" xr:uid="{00000000-0005-0000-0000-000031030000}"/>
    <cellStyle name="汇总 2 7 9 4 3 2" xfId="2803" xr:uid="{00000000-0005-0000-0000-0000230B0000}"/>
    <cellStyle name="汇总 2 7 9 4 4" xfId="4773" xr:uid="{00000000-0005-0000-0000-0000D5120000}"/>
    <cellStyle name="汇总 2 7 9 4 4 2" xfId="4779" xr:uid="{00000000-0005-0000-0000-0000DB120000}"/>
    <cellStyle name="汇总 2 7 9 4 5" xfId="2666" xr:uid="{00000000-0005-0000-0000-00009A0A0000}"/>
    <cellStyle name="汇总 2 7 9 4 5 2" xfId="4762" xr:uid="{00000000-0005-0000-0000-0000CA120000}"/>
    <cellStyle name="汇总 2 7 9 4 6" xfId="4784" xr:uid="{00000000-0005-0000-0000-0000E0120000}"/>
    <cellStyle name="汇总 2 7 9 5" xfId="401" xr:uid="{00000000-0005-0000-0000-0000B7010000}"/>
    <cellStyle name="汇总 2 7 9 5 2" xfId="584" xr:uid="{00000000-0005-0000-0000-000078020000}"/>
    <cellStyle name="汇总 2 7 9 5 2 2" xfId="21244" xr:uid="{00000000-0005-0000-0000-00002C530000}"/>
    <cellStyle name="汇总 2 7 9 5 3" xfId="795" xr:uid="{00000000-0005-0000-0000-00004B030000}"/>
    <cellStyle name="汇总 2 7 9 5 3 2" xfId="3241" xr:uid="{00000000-0005-0000-0000-0000D90C0000}"/>
    <cellStyle name="汇总 2 7 9 5 4" xfId="4796" xr:uid="{00000000-0005-0000-0000-0000EC120000}"/>
    <cellStyle name="汇总 2 7 9 5 4 2" xfId="4803" xr:uid="{00000000-0005-0000-0000-0000F3120000}"/>
    <cellStyle name="汇总 2 7 9 5 5" xfId="2689" xr:uid="{00000000-0005-0000-0000-0000B10A0000}"/>
    <cellStyle name="汇总 2 7 9 5 5 2" xfId="4812" xr:uid="{00000000-0005-0000-0000-0000FC120000}"/>
    <cellStyle name="汇总 2 7 9 5 6" xfId="4816" xr:uid="{00000000-0005-0000-0000-000000130000}"/>
    <cellStyle name="汇总 2 7 9 6" xfId="79" xr:uid="{00000000-0005-0000-0000-000055000000}"/>
    <cellStyle name="汇总 2 7 9 6 2" xfId="21248" xr:uid="{00000000-0005-0000-0000-000030530000}"/>
    <cellStyle name="汇总 2 7 9 6 2 2" xfId="21255" xr:uid="{00000000-0005-0000-0000-000037530000}"/>
    <cellStyle name="汇总 2 7 9 6 3" xfId="832" xr:uid="{00000000-0005-0000-0000-000070030000}"/>
    <cellStyle name="汇总 2 7 9 6 3 2" xfId="2020" xr:uid="{00000000-0005-0000-0000-000014080000}"/>
    <cellStyle name="汇总 2 7 9 6 4" xfId="4369" xr:uid="{00000000-0005-0000-0000-000041110000}"/>
    <cellStyle name="汇总 2 7 9 6 4 2" xfId="4379" xr:uid="{00000000-0005-0000-0000-00004B110000}"/>
    <cellStyle name="汇总 2 7 9 6 5" xfId="2707" xr:uid="{00000000-0005-0000-0000-0000C30A0000}"/>
    <cellStyle name="汇总 2 7 9 6 5 2" xfId="4395" xr:uid="{00000000-0005-0000-0000-00005B110000}"/>
    <cellStyle name="汇总 2 7 9 6 6" xfId="4399" xr:uid="{00000000-0005-0000-0000-00005F110000}"/>
    <cellStyle name="汇总 2 7 9 7" xfId="441" xr:uid="{00000000-0005-0000-0000-0000E2010000}"/>
    <cellStyle name="汇总 2 7 9 7 2" xfId="21257" xr:uid="{00000000-0005-0000-0000-000039530000}"/>
    <cellStyle name="汇总 2 7 9 7 2 2" xfId="9686" xr:uid="{00000000-0005-0000-0000-000006260000}"/>
    <cellStyle name="汇总 2 7 9 7 3" xfId="861" xr:uid="{00000000-0005-0000-0000-00008D030000}"/>
    <cellStyle name="汇总 2 7 9 7 3 2" xfId="365" xr:uid="{00000000-0005-0000-0000-000090010000}"/>
    <cellStyle name="汇总 2 7 9 7 4" xfId="4839" xr:uid="{00000000-0005-0000-0000-000017130000}"/>
    <cellStyle name="汇总 2 7 9 7 4 2" xfId="2455" xr:uid="{00000000-0005-0000-0000-0000C7090000}"/>
    <cellStyle name="汇总 2 7 9 7 5" xfId="2730" xr:uid="{00000000-0005-0000-0000-0000DA0A0000}"/>
    <cellStyle name="汇总 2 7 9 7 5 2" xfId="1737" xr:uid="{00000000-0005-0000-0000-0000F9060000}"/>
    <cellStyle name="汇总 2 7 9 7 6" xfId="4845" xr:uid="{00000000-0005-0000-0000-00001D130000}"/>
    <cellStyle name="汇总 2 7 9 8" xfId="492" xr:uid="{00000000-0005-0000-0000-000018020000}"/>
    <cellStyle name="汇总 2 7 9 8 2" xfId="21261" xr:uid="{00000000-0005-0000-0000-00003D530000}"/>
    <cellStyle name="汇总 2 7 9 8 2 2" xfId="10019" xr:uid="{00000000-0005-0000-0000-000053270000}"/>
    <cellStyle name="汇总 2 7 9 8 3" xfId="901" xr:uid="{00000000-0005-0000-0000-0000B5030000}"/>
    <cellStyle name="汇总 2 7 9 8 3 2" xfId="1010" xr:uid="{00000000-0005-0000-0000-000022040000}"/>
    <cellStyle name="汇总 2 7 9 8 4" xfId="4854" xr:uid="{00000000-0005-0000-0000-000026130000}"/>
    <cellStyle name="汇总 2 7 9 8 4 2" xfId="1037" xr:uid="{00000000-0005-0000-0000-00003D040000}"/>
    <cellStyle name="汇总 2 7 9 8 5" xfId="4863" xr:uid="{00000000-0005-0000-0000-00002F130000}"/>
    <cellStyle name="汇总 2 7 9 9" xfId="531" xr:uid="{00000000-0005-0000-0000-000042020000}"/>
    <cellStyle name="汇总 2 7 9 9 2" xfId="21263" xr:uid="{00000000-0005-0000-0000-00003F530000}"/>
    <cellStyle name="汇总 2 8" xfId="21264" xr:uid="{00000000-0005-0000-0000-000040530000}"/>
    <cellStyle name="汇总 2 8 10" xfId="16898" xr:uid="{00000000-0005-0000-0000-000032420000}"/>
    <cellStyle name="汇总 2 8 10 10" xfId="8624" xr:uid="{00000000-0005-0000-0000-0000E0210000}"/>
    <cellStyle name="汇总 2 8 10 10 2" xfId="21265" xr:uid="{00000000-0005-0000-0000-000041530000}"/>
    <cellStyle name="汇总 2 8 10 11" xfId="21266" xr:uid="{00000000-0005-0000-0000-000042530000}"/>
    <cellStyle name="汇总 2 8 10 11 2" xfId="13028" xr:uid="{00000000-0005-0000-0000-000014330000}"/>
    <cellStyle name="汇总 2 8 10 12" xfId="21267" xr:uid="{00000000-0005-0000-0000-000043530000}"/>
    <cellStyle name="汇总 2 8 10 12 2" xfId="21269" xr:uid="{00000000-0005-0000-0000-000045530000}"/>
    <cellStyle name="汇总 2 8 10 13" xfId="13133" xr:uid="{00000000-0005-0000-0000-00007D330000}"/>
    <cellStyle name="汇总 2 8 10 14" xfId="21271" xr:uid="{00000000-0005-0000-0000-000047530000}"/>
    <cellStyle name="汇总 2 8 10 15" xfId="21272" xr:uid="{00000000-0005-0000-0000-000048530000}"/>
    <cellStyle name="汇总 2 8 10 16" xfId="21278" xr:uid="{00000000-0005-0000-0000-00004E530000}"/>
    <cellStyle name="汇总 2 8 10 2" xfId="21281" xr:uid="{00000000-0005-0000-0000-000051530000}"/>
    <cellStyle name="汇总 2 8 10 2 2" xfId="21282" xr:uid="{00000000-0005-0000-0000-000052530000}"/>
    <cellStyle name="汇总 2 8 10 2 2 2" xfId="21284" xr:uid="{00000000-0005-0000-0000-000054530000}"/>
    <cellStyle name="汇总 2 8 10 2 3" xfId="17596" xr:uid="{00000000-0005-0000-0000-0000EC440000}"/>
    <cellStyle name="汇总 2 8 10 2 3 2" xfId="19221" xr:uid="{00000000-0005-0000-0000-0000454B0000}"/>
    <cellStyle name="汇总 2 8 10 2 4" xfId="21287" xr:uid="{00000000-0005-0000-0000-000057530000}"/>
    <cellStyle name="汇总 2 8 10 2 4 2" xfId="18227" xr:uid="{00000000-0005-0000-0000-000063470000}"/>
    <cellStyle name="汇总 2 8 10 2 5" xfId="21290" xr:uid="{00000000-0005-0000-0000-00005A530000}"/>
    <cellStyle name="汇总 2 8 10 2 5 2" xfId="21292" xr:uid="{00000000-0005-0000-0000-00005C530000}"/>
    <cellStyle name="汇总 2 8 10 2 6" xfId="21294" xr:uid="{00000000-0005-0000-0000-00005E530000}"/>
    <cellStyle name="汇总 2 8 10 2 7" xfId="21299" xr:uid="{00000000-0005-0000-0000-000063530000}"/>
    <cellStyle name="汇总 2 8 10 2 8" xfId="21304" xr:uid="{00000000-0005-0000-0000-000068530000}"/>
    <cellStyle name="汇总 2 8 10 2 9" xfId="21306" xr:uid="{00000000-0005-0000-0000-00006A530000}"/>
    <cellStyle name="汇总 2 8 10 3" xfId="21308" xr:uid="{00000000-0005-0000-0000-00006C530000}"/>
    <cellStyle name="汇总 2 8 10 3 2" xfId="21312" xr:uid="{00000000-0005-0000-0000-000070530000}"/>
    <cellStyle name="汇总 2 8 10 3 2 2" xfId="21317" xr:uid="{00000000-0005-0000-0000-000075530000}"/>
    <cellStyle name="汇总 2 8 10 3 3" xfId="17602" xr:uid="{00000000-0005-0000-0000-0000F2440000}"/>
    <cellStyle name="汇总 2 8 10 3 3 2" xfId="21318" xr:uid="{00000000-0005-0000-0000-000076530000}"/>
    <cellStyle name="汇总 2 8 10 3 4" xfId="21321" xr:uid="{00000000-0005-0000-0000-000079530000}"/>
    <cellStyle name="汇总 2 8 10 3 4 2" xfId="18546" xr:uid="{00000000-0005-0000-0000-0000A2480000}"/>
    <cellStyle name="汇总 2 8 10 3 5" xfId="21328" xr:uid="{00000000-0005-0000-0000-000080530000}"/>
    <cellStyle name="汇总 2 8 10 3 5 2" xfId="13712" xr:uid="{00000000-0005-0000-0000-0000C0350000}"/>
    <cellStyle name="汇总 2 8 10 3 6" xfId="21334" xr:uid="{00000000-0005-0000-0000-000086530000}"/>
    <cellStyle name="汇总 2 8 10 4" xfId="5345" xr:uid="{00000000-0005-0000-0000-000011150000}"/>
    <cellStyle name="汇总 2 8 10 4 2" xfId="21338" xr:uid="{00000000-0005-0000-0000-00008A530000}"/>
    <cellStyle name="汇总 2 8 10 4 2 2" xfId="21341" xr:uid="{00000000-0005-0000-0000-00008D530000}"/>
    <cellStyle name="汇总 2 8 10 4 3" xfId="17608" xr:uid="{00000000-0005-0000-0000-0000F8440000}"/>
    <cellStyle name="汇总 2 8 10 4 3 2" xfId="21342" xr:uid="{00000000-0005-0000-0000-00008E530000}"/>
    <cellStyle name="汇总 2 8 10 4 4" xfId="21345" xr:uid="{00000000-0005-0000-0000-000091530000}"/>
    <cellStyle name="汇总 2 8 10 4 4 2" xfId="14007" xr:uid="{00000000-0005-0000-0000-0000E7360000}"/>
    <cellStyle name="汇总 2 8 10 4 5" xfId="21352" xr:uid="{00000000-0005-0000-0000-000098530000}"/>
    <cellStyle name="汇总 2 8 10 4 5 2" xfId="21356" xr:uid="{00000000-0005-0000-0000-00009C530000}"/>
    <cellStyle name="汇总 2 8 10 4 6" xfId="21365" xr:uid="{00000000-0005-0000-0000-0000A5530000}"/>
    <cellStyle name="汇总 2 8 10 5" xfId="21372" xr:uid="{00000000-0005-0000-0000-0000AC530000}"/>
    <cellStyle name="汇总 2 8 10 5 2" xfId="21375" xr:uid="{00000000-0005-0000-0000-0000AF530000}"/>
    <cellStyle name="汇总 2 8 10 5 2 2" xfId="21377" xr:uid="{00000000-0005-0000-0000-0000B1530000}"/>
    <cellStyle name="汇总 2 8 10 5 3" xfId="17615" xr:uid="{00000000-0005-0000-0000-0000FF440000}"/>
    <cellStyle name="汇总 2 8 10 5 3 2" xfId="21378" xr:uid="{00000000-0005-0000-0000-0000B2530000}"/>
    <cellStyle name="汇总 2 8 10 5 4" xfId="21382" xr:uid="{00000000-0005-0000-0000-0000B6530000}"/>
    <cellStyle name="汇总 2 8 10 5 4 2" xfId="18961" xr:uid="{00000000-0005-0000-0000-0000414A0000}"/>
    <cellStyle name="汇总 2 8 10 5 5" xfId="21386" xr:uid="{00000000-0005-0000-0000-0000BA530000}"/>
    <cellStyle name="汇总 2 8 10 5 5 2" xfId="21389" xr:uid="{00000000-0005-0000-0000-0000BD530000}"/>
    <cellStyle name="汇总 2 8 10 5 6" xfId="21394" xr:uid="{00000000-0005-0000-0000-0000C2530000}"/>
    <cellStyle name="汇总 2 8 10 6" xfId="21403" xr:uid="{00000000-0005-0000-0000-0000CB530000}"/>
    <cellStyle name="汇总 2 8 10 6 2" xfId="21407" xr:uid="{00000000-0005-0000-0000-0000CF530000}"/>
    <cellStyle name="汇总 2 8 10 6 2 2" xfId="21411" xr:uid="{00000000-0005-0000-0000-0000D3530000}"/>
    <cellStyle name="汇总 2 8 10 6 3" xfId="21416" xr:uid="{00000000-0005-0000-0000-0000D8530000}"/>
    <cellStyle name="汇总 2 8 10 6 3 2" xfId="21419" xr:uid="{00000000-0005-0000-0000-0000DB530000}"/>
    <cellStyle name="汇总 2 8 10 6 4" xfId="21423" xr:uid="{00000000-0005-0000-0000-0000DF530000}"/>
    <cellStyle name="汇总 2 8 10 6 4 2" xfId="19082" xr:uid="{00000000-0005-0000-0000-0000BA4A0000}"/>
    <cellStyle name="汇总 2 8 10 6 5" xfId="21432" xr:uid="{00000000-0005-0000-0000-0000E8530000}"/>
    <cellStyle name="汇总 2 8 10 6 5 2" xfId="21438" xr:uid="{00000000-0005-0000-0000-0000EE530000}"/>
    <cellStyle name="汇总 2 8 10 6 6" xfId="21445" xr:uid="{00000000-0005-0000-0000-0000F5530000}"/>
    <cellStyle name="汇总 2 8 10 7" xfId="4568" xr:uid="{00000000-0005-0000-0000-000008120000}"/>
    <cellStyle name="汇总 2 8 10 7 2" xfId="21458" xr:uid="{00000000-0005-0000-0000-000002540000}"/>
    <cellStyle name="汇总 2 8 10 7 2 2" xfId="21459" xr:uid="{00000000-0005-0000-0000-000003540000}"/>
    <cellStyle name="汇总 2 8 10 7 3" xfId="19289" xr:uid="{00000000-0005-0000-0000-0000894B0000}"/>
    <cellStyle name="汇总 2 8 10 7 3 2" xfId="21460" xr:uid="{00000000-0005-0000-0000-000004540000}"/>
    <cellStyle name="汇总 2 8 10 7 4" xfId="21463" xr:uid="{00000000-0005-0000-0000-000007540000}"/>
    <cellStyle name="汇总 2 8 10 7 4 2" xfId="21465" xr:uid="{00000000-0005-0000-0000-000009540000}"/>
    <cellStyle name="汇总 2 8 10 7 5" xfId="21469" xr:uid="{00000000-0005-0000-0000-00000D540000}"/>
    <cellStyle name="汇总 2 8 10 7 5 2" xfId="21471" xr:uid="{00000000-0005-0000-0000-00000F540000}"/>
    <cellStyle name="汇总 2 8 10 7 6" xfId="21474" xr:uid="{00000000-0005-0000-0000-000012540000}"/>
    <cellStyle name="汇总 2 8 10 8" xfId="21480" xr:uid="{00000000-0005-0000-0000-000018540000}"/>
    <cellStyle name="汇总 2 8 10 8 2" xfId="21485" xr:uid="{00000000-0005-0000-0000-00001D540000}"/>
    <cellStyle name="汇总 2 8 10 8 2 2" xfId="21489" xr:uid="{00000000-0005-0000-0000-000021540000}"/>
    <cellStyle name="汇总 2 8 10 8 3" xfId="10877" xr:uid="{00000000-0005-0000-0000-0000AD2A0000}"/>
    <cellStyle name="汇总 2 8 10 8 3 2" xfId="21490" xr:uid="{00000000-0005-0000-0000-000022540000}"/>
    <cellStyle name="汇总 2 8 10 8 4" xfId="21493" xr:uid="{00000000-0005-0000-0000-000025540000}"/>
    <cellStyle name="汇总 2 8 10 8 4 2" xfId="21495" xr:uid="{00000000-0005-0000-0000-000027540000}"/>
    <cellStyle name="汇总 2 8 10 8 5" xfId="21499" xr:uid="{00000000-0005-0000-0000-00002B540000}"/>
    <cellStyle name="汇总 2 8 10 9" xfId="21502" xr:uid="{00000000-0005-0000-0000-00002E540000}"/>
    <cellStyle name="汇总 2 8 10 9 2" xfId="21504" xr:uid="{00000000-0005-0000-0000-000030540000}"/>
    <cellStyle name="汇总 2 8 11" xfId="21506" xr:uid="{00000000-0005-0000-0000-000032540000}"/>
    <cellStyle name="汇总 2 8 11 10" xfId="21510" xr:uid="{00000000-0005-0000-0000-000036540000}"/>
    <cellStyle name="汇总 2 8 11 10 2" xfId="21511" xr:uid="{00000000-0005-0000-0000-000037540000}"/>
    <cellStyle name="汇总 2 8 11 11" xfId="21513" xr:uid="{00000000-0005-0000-0000-000039540000}"/>
    <cellStyle name="汇总 2 8 11 11 2" xfId="14314" xr:uid="{00000000-0005-0000-0000-00001A380000}"/>
    <cellStyle name="汇总 2 8 11 12" xfId="21514" xr:uid="{00000000-0005-0000-0000-00003A540000}"/>
    <cellStyle name="汇总 2 8 11 12 2" xfId="178" xr:uid="{00000000-0005-0000-0000-0000C0000000}"/>
    <cellStyle name="汇总 2 8 11 13" xfId="3293" xr:uid="{00000000-0005-0000-0000-00000D0D0000}"/>
    <cellStyle name="汇总 2 8 11 14" xfId="21515" xr:uid="{00000000-0005-0000-0000-00003B540000}"/>
    <cellStyle name="汇总 2 8 11 15" xfId="809" xr:uid="{00000000-0005-0000-0000-000059030000}"/>
    <cellStyle name="汇总 2 8 11 16" xfId="21516" xr:uid="{00000000-0005-0000-0000-00003C540000}"/>
    <cellStyle name="汇总 2 8 11 2" xfId="21518" xr:uid="{00000000-0005-0000-0000-00003E540000}"/>
    <cellStyle name="汇总 2 8 11 2 2" xfId="21519" xr:uid="{00000000-0005-0000-0000-00003F540000}"/>
    <cellStyle name="汇总 2 8 11 2 2 2" xfId="21523" xr:uid="{00000000-0005-0000-0000-000043540000}"/>
    <cellStyle name="汇总 2 8 11 2 3" xfId="17625" xr:uid="{00000000-0005-0000-0000-000009450000}"/>
    <cellStyle name="汇总 2 8 11 2 3 2" xfId="21526" xr:uid="{00000000-0005-0000-0000-000046540000}"/>
    <cellStyle name="汇总 2 8 11 2 4" xfId="21527" xr:uid="{00000000-0005-0000-0000-000047540000}"/>
    <cellStyle name="汇总 2 8 11 2 4 2" xfId="17956" xr:uid="{00000000-0005-0000-0000-000054460000}"/>
    <cellStyle name="汇总 2 8 11 2 5" xfId="21529" xr:uid="{00000000-0005-0000-0000-000049540000}"/>
    <cellStyle name="汇总 2 8 11 2 5 2" xfId="8385" xr:uid="{00000000-0005-0000-0000-0000F1200000}"/>
    <cellStyle name="汇总 2 8 11 2 6" xfId="21530" xr:uid="{00000000-0005-0000-0000-00004A540000}"/>
    <cellStyle name="汇总 2 8 11 3" xfId="21532" xr:uid="{00000000-0005-0000-0000-00004C540000}"/>
    <cellStyle name="汇总 2 8 11 3 2" xfId="11975" xr:uid="{00000000-0005-0000-0000-0000F72E0000}"/>
    <cellStyle name="汇总 2 8 11 3 2 2" xfId="11996" xr:uid="{00000000-0005-0000-0000-00000C2F0000}"/>
    <cellStyle name="汇总 2 8 11 3 3" xfId="4558" xr:uid="{00000000-0005-0000-0000-0000FE110000}"/>
    <cellStyle name="汇总 2 8 11 3 3 2" xfId="8405" xr:uid="{00000000-0005-0000-0000-000005210000}"/>
    <cellStyle name="汇总 2 8 11 3 4" xfId="8416" xr:uid="{00000000-0005-0000-0000-000010210000}"/>
    <cellStyle name="汇总 2 8 11 3 4 2" xfId="8431" xr:uid="{00000000-0005-0000-0000-00001F210000}"/>
    <cellStyle name="汇总 2 8 11 3 5" xfId="8444" xr:uid="{00000000-0005-0000-0000-00002C210000}"/>
    <cellStyle name="汇总 2 8 11 3 5 2" xfId="8453" xr:uid="{00000000-0005-0000-0000-000035210000}"/>
    <cellStyle name="汇总 2 8 11 3 6" xfId="13648" xr:uid="{00000000-0005-0000-0000-000080350000}"/>
    <cellStyle name="汇总 2 8 11 4" xfId="9900" xr:uid="{00000000-0005-0000-0000-0000DC260000}"/>
    <cellStyle name="汇总 2 8 11 4 2" xfId="21534" xr:uid="{00000000-0005-0000-0000-00004E540000}"/>
    <cellStyle name="汇总 2 8 11 4 2 2" xfId="21536" xr:uid="{00000000-0005-0000-0000-000050540000}"/>
    <cellStyle name="汇总 2 8 11 4 3" xfId="17630" xr:uid="{00000000-0005-0000-0000-00000E450000}"/>
    <cellStyle name="汇总 2 8 11 4 3 2" xfId="21537" xr:uid="{00000000-0005-0000-0000-000051540000}"/>
    <cellStyle name="汇总 2 8 11 4 4" xfId="21540" xr:uid="{00000000-0005-0000-0000-000054540000}"/>
    <cellStyle name="汇总 2 8 11 4 4 2" xfId="20024" xr:uid="{00000000-0005-0000-0000-0000684E0000}"/>
    <cellStyle name="汇总 2 8 11 4 5" xfId="21543" xr:uid="{00000000-0005-0000-0000-000057540000}"/>
    <cellStyle name="汇总 2 8 11 4 5 2" xfId="21545" xr:uid="{00000000-0005-0000-0000-000059540000}"/>
    <cellStyle name="汇总 2 8 11 4 6" xfId="21553" xr:uid="{00000000-0005-0000-0000-000061540000}"/>
    <cellStyle name="汇总 2 8 11 5" xfId="21556" xr:uid="{00000000-0005-0000-0000-000064540000}"/>
    <cellStyle name="汇总 2 8 11 5 2" xfId="21558" xr:uid="{00000000-0005-0000-0000-000066540000}"/>
    <cellStyle name="汇总 2 8 11 5 2 2" xfId="21560" xr:uid="{00000000-0005-0000-0000-000068540000}"/>
    <cellStyle name="汇总 2 8 11 5 3" xfId="21561" xr:uid="{00000000-0005-0000-0000-000069540000}"/>
    <cellStyle name="汇总 2 8 11 5 3 2" xfId="21562" xr:uid="{00000000-0005-0000-0000-00006A540000}"/>
    <cellStyle name="汇总 2 8 11 5 4" xfId="21564" xr:uid="{00000000-0005-0000-0000-00006C540000}"/>
    <cellStyle name="汇总 2 8 11 5 4 2" xfId="20114" xr:uid="{00000000-0005-0000-0000-0000C24E0000}"/>
    <cellStyle name="汇总 2 8 11 5 5" xfId="21566" xr:uid="{00000000-0005-0000-0000-00006E540000}"/>
    <cellStyle name="汇总 2 8 11 5 5 2" xfId="21568" xr:uid="{00000000-0005-0000-0000-000070540000}"/>
    <cellStyle name="汇总 2 8 11 5 6" xfId="21573" xr:uid="{00000000-0005-0000-0000-000075540000}"/>
    <cellStyle name="汇总 2 8 11 6" xfId="21580" xr:uid="{00000000-0005-0000-0000-00007C540000}"/>
    <cellStyle name="汇总 2 8 11 6 2" xfId="21582" xr:uid="{00000000-0005-0000-0000-00007E540000}"/>
    <cellStyle name="汇总 2 8 11 6 2 2" xfId="7092" xr:uid="{00000000-0005-0000-0000-0000E41B0000}"/>
    <cellStyle name="汇总 2 8 11 6 3" xfId="21583" xr:uid="{00000000-0005-0000-0000-00007F540000}"/>
    <cellStyle name="汇总 2 8 11 6 3 2" xfId="21585" xr:uid="{00000000-0005-0000-0000-000081540000}"/>
    <cellStyle name="汇总 2 8 11 6 4" xfId="21588" xr:uid="{00000000-0005-0000-0000-000084540000}"/>
    <cellStyle name="汇总 2 8 11 6 4 2" xfId="1643" xr:uid="{00000000-0005-0000-0000-00009B060000}"/>
    <cellStyle name="汇总 2 8 11 6 5" xfId="21591" xr:uid="{00000000-0005-0000-0000-000087540000}"/>
    <cellStyle name="汇总 2 8 11 6 5 2" xfId="21594" xr:uid="{00000000-0005-0000-0000-00008A540000}"/>
    <cellStyle name="汇总 2 8 11 6 6" xfId="21598" xr:uid="{00000000-0005-0000-0000-00008E540000}"/>
    <cellStyle name="汇总 2 8 11 7" xfId="5225" xr:uid="{00000000-0005-0000-0000-000099140000}"/>
    <cellStyle name="汇总 2 8 11 7 2" xfId="21607" xr:uid="{00000000-0005-0000-0000-000097540000}"/>
    <cellStyle name="汇总 2 8 11 7 2 2" xfId="11995" xr:uid="{00000000-0005-0000-0000-00000B2F0000}"/>
    <cellStyle name="汇总 2 8 11 7 3" xfId="21608" xr:uid="{00000000-0005-0000-0000-000098540000}"/>
    <cellStyle name="汇总 2 8 11 7 3 2" xfId="21610" xr:uid="{00000000-0005-0000-0000-00009A540000}"/>
    <cellStyle name="汇总 2 8 11 7 4" xfId="21612" xr:uid="{00000000-0005-0000-0000-00009C540000}"/>
    <cellStyle name="汇总 2 8 11 7 4 2" xfId="19747" xr:uid="{00000000-0005-0000-0000-0000534D0000}"/>
    <cellStyle name="汇总 2 8 11 7 5" xfId="21615" xr:uid="{00000000-0005-0000-0000-00009F540000}"/>
    <cellStyle name="汇总 2 8 11 7 5 2" xfId="21617" xr:uid="{00000000-0005-0000-0000-0000A1540000}"/>
    <cellStyle name="汇总 2 8 11 7 6" xfId="21620" xr:uid="{00000000-0005-0000-0000-0000A4540000}"/>
    <cellStyle name="汇总 2 8 11 8" xfId="21626" xr:uid="{00000000-0005-0000-0000-0000AA540000}"/>
    <cellStyle name="汇总 2 8 11 8 2" xfId="21628" xr:uid="{00000000-0005-0000-0000-0000AC540000}"/>
    <cellStyle name="汇总 2 8 11 8 2 2" xfId="21629" xr:uid="{00000000-0005-0000-0000-0000AD540000}"/>
    <cellStyle name="汇总 2 8 11 8 3" xfId="21630" xr:uid="{00000000-0005-0000-0000-0000AE540000}"/>
    <cellStyle name="汇总 2 8 11 8 3 2" xfId="21632" xr:uid="{00000000-0005-0000-0000-0000B0540000}"/>
    <cellStyle name="汇总 2 8 11 8 4" xfId="21634" xr:uid="{00000000-0005-0000-0000-0000B2540000}"/>
    <cellStyle name="汇总 2 8 11 8 4 2" xfId="20174" xr:uid="{00000000-0005-0000-0000-0000FE4E0000}"/>
    <cellStyle name="汇总 2 8 11 8 5" xfId="21637" xr:uid="{00000000-0005-0000-0000-0000B5540000}"/>
    <cellStyle name="汇总 2 8 11 9" xfId="8477" xr:uid="{00000000-0005-0000-0000-00004D210000}"/>
    <cellStyle name="汇总 2 8 11 9 2" xfId="21638" xr:uid="{00000000-0005-0000-0000-0000B6540000}"/>
    <cellStyle name="汇总 2 8 12" xfId="21639" xr:uid="{00000000-0005-0000-0000-0000B7540000}"/>
    <cellStyle name="汇总 2 8 12 2" xfId="21640" xr:uid="{00000000-0005-0000-0000-0000B8540000}"/>
    <cellStyle name="汇总 2 8 12 2 2" xfId="21641" xr:uid="{00000000-0005-0000-0000-0000B9540000}"/>
    <cellStyle name="汇总 2 8 12 3" xfId="21643" xr:uid="{00000000-0005-0000-0000-0000BB540000}"/>
    <cellStyle name="汇总 2 8 12 3 2" xfId="21644" xr:uid="{00000000-0005-0000-0000-0000BC540000}"/>
    <cellStyle name="汇总 2 8 12 4" xfId="9913" xr:uid="{00000000-0005-0000-0000-0000E9260000}"/>
    <cellStyle name="汇总 2 8 12 4 2" xfId="21646" xr:uid="{00000000-0005-0000-0000-0000BE540000}"/>
    <cellStyle name="汇总 2 8 12 5" xfId="21651" xr:uid="{00000000-0005-0000-0000-0000C3540000}"/>
    <cellStyle name="汇总 2 8 12 5 2" xfId="21653" xr:uid="{00000000-0005-0000-0000-0000C5540000}"/>
    <cellStyle name="汇总 2 8 12 6" xfId="21656" xr:uid="{00000000-0005-0000-0000-0000C8540000}"/>
    <cellStyle name="汇总 2 8 12 7" xfId="5626" xr:uid="{00000000-0005-0000-0000-00002A160000}"/>
    <cellStyle name="汇总 2 8 12 8" xfId="21658" xr:uid="{00000000-0005-0000-0000-0000CA540000}"/>
    <cellStyle name="汇总 2 8 12 9" xfId="14679" xr:uid="{00000000-0005-0000-0000-000087390000}"/>
    <cellStyle name="汇总 2 8 13" xfId="16416" xr:uid="{00000000-0005-0000-0000-000050400000}"/>
    <cellStyle name="汇总 2 8 13 2" xfId="16418" xr:uid="{00000000-0005-0000-0000-000052400000}"/>
    <cellStyle name="汇总 2 8 13 2 2" xfId="21659" xr:uid="{00000000-0005-0000-0000-0000CB540000}"/>
    <cellStyle name="汇总 2 8 13 3" xfId="21660" xr:uid="{00000000-0005-0000-0000-0000CC540000}"/>
    <cellStyle name="汇总 2 8 13 3 2" xfId="21661" xr:uid="{00000000-0005-0000-0000-0000CD540000}"/>
    <cellStyle name="汇总 2 8 13 4" xfId="9929" xr:uid="{00000000-0005-0000-0000-0000F9260000}"/>
    <cellStyle name="汇总 2 8 13 4 2" xfId="20913" xr:uid="{00000000-0005-0000-0000-0000E1510000}"/>
    <cellStyle name="汇总 2 8 13 5" xfId="21664" xr:uid="{00000000-0005-0000-0000-0000D0540000}"/>
    <cellStyle name="汇总 2 8 13 5 2" xfId="21666" xr:uid="{00000000-0005-0000-0000-0000D2540000}"/>
    <cellStyle name="汇总 2 8 13 6" xfId="21668" xr:uid="{00000000-0005-0000-0000-0000D4540000}"/>
    <cellStyle name="汇总 2 8 14" xfId="16420" xr:uid="{00000000-0005-0000-0000-000054400000}"/>
    <cellStyle name="汇总 2 8 14 2" xfId="16423" xr:uid="{00000000-0005-0000-0000-000057400000}"/>
    <cellStyle name="汇总 2 8 14 2 2" xfId="21669" xr:uid="{00000000-0005-0000-0000-0000D5540000}"/>
    <cellStyle name="汇总 2 8 14 3" xfId="21671" xr:uid="{00000000-0005-0000-0000-0000D7540000}"/>
    <cellStyle name="汇总 2 8 14 3 2" xfId="21672" xr:uid="{00000000-0005-0000-0000-0000D8540000}"/>
    <cellStyle name="汇总 2 8 14 4" xfId="21674" xr:uid="{00000000-0005-0000-0000-0000DA540000}"/>
    <cellStyle name="汇总 2 8 14 4 2" xfId="21675" xr:uid="{00000000-0005-0000-0000-0000DB540000}"/>
    <cellStyle name="汇总 2 8 14 5" xfId="21680" xr:uid="{00000000-0005-0000-0000-0000E0540000}"/>
    <cellStyle name="汇总 2 8 14 5 2" xfId="21681" xr:uid="{00000000-0005-0000-0000-0000E1540000}"/>
    <cellStyle name="汇总 2 8 14 6" xfId="21683" xr:uid="{00000000-0005-0000-0000-0000E3540000}"/>
    <cellStyle name="汇总 2 8 15" xfId="16427" xr:uid="{00000000-0005-0000-0000-00005B400000}"/>
    <cellStyle name="汇总 2 8 15 2" xfId="16431" xr:uid="{00000000-0005-0000-0000-00005F400000}"/>
    <cellStyle name="汇总 2 8 15 2 2" xfId="21684" xr:uid="{00000000-0005-0000-0000-0000E4540000}"/>
    <cellStyle name="汇总 2 8 15 3" xfId="21685" xr:uid="{00000000-0005-0000-0000-0000E5540000}"/>
    <cellStyle name="汇总 2 8 15 3 2" xfId="21686" xr:uid="{00000000-0005-0000-0000-0000E6540000}"/>
    <cellStyle name="汇总 2 8 15 4" xfId="21687" xr:uid="{00000000-0005-0000-0000-0000E7540000}"/>
    <cellStyle name="汇总 2 8 15 4 2" xfId="21689" xr:uid="{00000000-0005-0000-0000-0000E9540000}"/>
    <cellStyle name="汇总 2 8 15 5" xfId="21691" xr:uid="{00000000-0005-0000-0000-0000EB540000}"/>
    <cellStyle name="汇总 2 8 15 5 2" xfId="21693" xr:uid="{00000000-0005-0000-0000-0000ED540000}"/>
    <cellStyle name="汇总 2 8 15 6" xfId="21695" xr:uid="{00000000-0005-0000-0000-0000EF540000}"/>
    <cellStyle name="汇总 2 8 16" xfId="5303" xr:uid="{00000000-0005-0000-0000-0000E7140000}"/>
    <cellStyle name="汇总 2 8 16 2" xfId="16436" xr:uid="{00000000-0005-0000-0000-000064400000}"/>
    <cellStyle name="汇总 2 8 16 2 2" xfId="21697" xr:uid="{00000000-0005-0000-0000-0000F1540000}"/>
    <cellStyle name="汇总 2 8 16 3" xfId="21698" xr:uid="{00000000-0005-0000-0000-0000F2540000}"/>
    <cellStyle name="汇总 2 8 16 3 2" xfId="21699" xr:uid="{00000000-0005-0000-0000-0000F3540000}"/>
    <cellStyle name="汇总 2 8 16 4" xfId="21700" xr:uid="{00000000-0005-0000-0000-0000F4540000}"/>
    <cellStyle name="汇总 2 8 16 4 2" xfId="18020" xr:uid="{00000000-0005-0000-0000-000094460000}"/>
    <cellStyle name="汇总 2 8 16 5" xfId="21702" xr:uid="{00000000-0005-0000-0000-0000F6540000}"/>
    <cellStyle name="汇总 2 8 16 5 2" xfId="21705" xr:uid="{00000000-0005-0000-0000-0000F9540000}"/>
    <cellStyle name="汇总 2 8 16 6" xfId="21707" xr:uid="{00000000-0005-0000-0000-0000FB540000}"/>
    <cellStyle name="汇总 2 8 17" xfId="16442" xr:uid="{00000000-0005-0000-0000-00006A400000}"/>
    <cellStyle name="汇总 2 8 17 2" xfId="21711" xr:uid="{00000000-0005-0000-0000-0000FF540000}"/>
    <cellStyle name="汇总 2 8 17 2 2" xfId="21713" xr:uid="{00000000-0005-0000-0000-000001550000}"/>
    <cellStyle name="汇总 2 8 17 3" xfId="21714" xr:uid="{00000000-0005-0000-0000-000002550000}"/>
    <cellStyle name="汇总 2 8 17 3 2" xfId="21715" xr:uid="{00000000-0005-0000-0000-000003550000}"/>
    <cellStyle name="汇总 2 8 17 4" xfId="21716" xr:uid="{00000000-0005-0000-0000-000004550000}"/>
    <cellStyle name="汇总 2 8 17 4 2" xfId="21718" xr:uid="{00000000-0005-0000-0000-000006550000}"/>
    <cellStyle name="汇总 2 8 17 5" xfId="21720" xr:uid="{00000000-0005-0000-0000-000008550000}"/>
    <cellStyle name="汇总 2 8 17 5 2" xfId="21723" xr:uid="{00000000-0005-0000-0000-00000B550000}"/>
    <cellStyle name="汇总 2 8 17 6" xfId="21725" xr:uid="{00000000-0005-0000-0000-00000D550000}"/>
    <cellStyle name="汇总 2 8 18" xfId="21729" xr:uid="{00000000-0005-0000-0000-000011550000}"/>
    <cellStyle name="汇总 2 8 18 2" xfId="21734" xr:uid="{00000000-0005-0000-0000-000016550000}"/>
    <cellStyle name="汇总 2 8 18 2 2" xfId="21736" xr:uid="{00000000-0005-0000-0000-000018550000}"/>
    <cellStyle name="汇总 2 8 18 3" xfId="21737" xr:uid="{00000000-0005-0000-0000-000019550000}"/>
    <cellStyle name="汇总 2 8 18 3 2" xfId="21738" xr:uid="{00000000-0005-0000-0000-00001A550000}"/>
    <cellStyle name="汇总 2 8 18 4" xfId="21739" xr:uid="{00000000-0005-0000-0000-00001B550000}"/>
    <cellStyle name="汇总 2 8 18 4 2" xfId="21742" xr:uid="{00000000-0005-0000-0000-00001E550000}"/>
    <cellStyle name="汇总 2 8 18 5" xfId="21744" xr:uid="{00000000-0005-0000-0000-000020550000}"/>
    <cellStyle name="汇总 2 8 18 5 2" xfId="21747" xr:uid="{00000000-0005-0000-0000-000023550000}"/>
    <cellStyle name="汇总 2 8 18 6" xfId="21750" xr:uid="{00000000-0005-0000-0000-000026550000}"/>
    <cellStyle name="汇总 2 8 19" xfId="6513" xr:uid="{00000000-0005-0000-0000-0000A1190000}"/>
    <cellStyle name="汇总 2 8 19 2" xfId="8146" xr:uid="{00000000-0005-0000-0000-000002200000}"/>
    <cellStyle name="汇总 2 8 19 2 2" xfId="3525" xr:uid="{00000000-0005-0000-0000-0000F50D0000}"/>
    <cellStyle name="汇总 2 8 19 3" xfId="21753" xr:uid="{00000000-0005-0000-0000-000029550000}"/>
    <cellStyle name="汇总 2 8 19 3 2" xfId="21754" xr:uid="{00000000-0005-0000-0000-00002A550000}"/>
    <cellStyle name="汇总 2 8 19 4" xfId="21756" xr:uid="{00000000-0005-0000-0000-00002C550000}"/>
    <cellStyle name="汇总 2 8 19 4 2" xfId="21758" xr:uid="{00000000-0005-0000-0000-00002E550000}"/>
    <cellStyle name="汇总 2 8 19 5" xfId="21760" xr:uid="{00000000-0005-0000-0000-000030550000}"/>
    <cellStyle name="汇总 2 8 2" xfId="21762" xr:uid="{00000000-0005-0000-0000-000032550000}"/>
    <cellStyle name="汇总 2 8 2 10" xfId="21764" xr:uid="{00000000-0005-0000-0000-000034550000}"/>
    <cellStyle name="汇总 2 8 2 10 2" xfId="9846" xr:uid="{00000000-0005-0000-0000-0000A6260000}"/>
    <cellStyle name="汇总 2 8 2 11" xfId="10713" xr:uid="{00000000-0005-0000-0000-0000092A0000}"/>
    <cellStyle name="汇总 2 8 2 11 2" xfId="21765" xr:uid="{00000000-0005-0000-0000-000035550000}"/>
    <cellStyle name="汇总 2 8 2 12" xfId="21769" xr:uid="{00000000-0005-0000-0000-000039550000}"/>
    <cellStyle name="汇总 2 8 2 12 2" xfId="21773" xr:uid="{00000000-0005-0000-0000-00003D550000}"/>
    <cellStyle name="汇总 2 8 2 13" xfId="21777" xr:uid="{00000000-0005-0000-0000-000041550000}"/>
    <cellStyle name="汇总 2 8 2 14" xfId="21781" xr:uid="{00000000-0005-0000-0000-000045550000}"/>
    <cellStyle name="汇总 2 8 2 15" xfId="21785" xr:uid="{00000000-0005-0000-0000-000049550000}"/>
    <cellStyle name="汇总 2 8 2 16" xfId="15000" xr:uid="{00000000-0005-0000-0000-0000C83A0000}"/>
    <cellStyle name="汇总 2 8 2 2" xfId="21786" xr:uid="{00000000-0005-0000-0000-00004A550000}"/>
    <cellStyle name="汇总 2 8 2 2 2" xfId="21787" xr:uid="{00000000-0005-0000-0000-00004B550000}"/>
    <cellStyle name="汇总 2 8 2 2 2 2" xfId="21789" xr:uid="{00000000-0005-0000-0000-00004D550000}"/>
    <cellStyle name="汇总 2 8 2 2 3" xfId="21790" xr:uid="{00000000-0005-0000-0000-00004E550000}"/>
    <cellStyle name="汇总 2 8 2 2 3 2" xfId="21791" xr:uid="{00000000-0005-0000-0000-00004F550000}"/>
    <cellStyle name="汇总 2 8 2 2 4" xfId="21792" xr:uid="{00000000-0005-0000-0000-000050550000}"/>
    <cellStyle name="汇总 2 8 2 2 4 2" xfId="21793" xr:uid="{00000000-0005-0000-0000-000051550000}"/>
    <cellStyle name="汇总 2 8 2 2 5" xfId="21794" xr:uid="{00000000-0005-0000-0000-000052550000}"/>
    <cellStyle name="汇总 2 8 2 2 5 2" xfId="21795" xr:uid="{00000000-0005-0000-0000-000053550000}"/>
    <cellStyle name="汇总 2 8 2 2 6" xfId="21796" xr:uid="{00000000-0005-0000-0000-000054550000}"/>
    <cellStyle name="汇总 2 8 2 2 7" xfId="21797" xr:uid="{00000000-0005-0000-0000-000055550000}"/>
    <cellStyle name="汇总 2 8 2 2 8" xfId="12109" xr:uid="{00000000-0005-0000-0000-00007D2F0000}"/>
    <cellStyle name="汇总 2 8 2 2 9" xfId="20816" xr:uid="{00000000-0005-0000-0000-000080510000}"/>
    <cellStyle name="汇总 2 8 2 3" xfId="21798" xr:uid="{00000000-0005-0000-0000-000056550000}"/>
    <cellStyle name="汇总 2 8 2 3 2" xfId="16065" xr:uid="{00000000-0005-0000-0000-0000F13E0000}"/>
    <cellStyle name="汇总 2 8 2 3 2 2" xfId="21800" xr:uid="{00000000-0005-0000-0000-000058550000}"/>
    <cellStyle name="汇总 2 8 2 3 3" xfId="16067" xr:uid="{00000000-0005-0000-0000-0000F33E0000}"/>
    <cellStyle name="汇总 2 8 2 3 3 2" xfId="21801" xr:uid="{00000000-0005-0000-0000-000059550000}"/>
    <cellStyle name="汇总 2 8 2 3 4" xfId="16069" xr:uid="{00000000-0005-0000-0000-0000F53E0000}"/>
    <cellStyle name="汇总 2 8 2 3 4 2" xfId="21802" xr:uid="{00000000-0005-0000-0000-00005A550000}"/>
    <cellStyle name="汇总 2 8 2 3 5" xfId="21803" xr:uid="{00000000-0005-0000-0000-00005B550000}"/>
    <cellStyle name="汇总 2 8 2 3 5 2" xfId="21804" xr:uid="{00000000-0005-0000-0000-00005C550000}"/>
    <cellStyle name="汇总 2 8 2 3 6" xfId="21805" xr:uid="{00000000-0005-0000-0000-00005D550000}"/>
    <cellStyle name="汇总 2 8 2 4" xfId="21806" xr:uid="{00000000-0005-0000-0000-00005E550000}"/>
    <cellStyle name="汇总 2 8 2 4 2" xfId="6495" xr:uid="{00000000-0005-0000-0000-00008F190000}"/>
    <cellStyle name="汇总 2 8 2 4 2 2" xfId="21807" xr:uid="{00000000-0005-0000-0000-00005F550000}"/>
    <cellStyle name="汇总 2 8 2 4 3" xfId="21809" xr:uid="{00000000-0005-0000-0000-000061550000}"/>
    <cellStyle name="汇总 2 8 2 4 3 2" xfId="21810" xr:uid="{00000000-0005-0000-0000-000062550000}"/>
    <cellStyle name="汇总 2 8 2 4 4" xfId="21812" xr:uid="{00000000-0005-0000-0000-000064550000}"/>
    <cellStyle name="汇总 2 8 2 4 4 2" xfId="21813" xr:uid="{00000000-0005-0000-0000-000065550000}"/>
    <cellStyle name="汇总 2 8 2 4 5" xfId="21815" xr:uid="{00000000-0005-0000-0000-000067550000}"/>
    <cellStyle name="汇总 2 8 2 4 5 2" xfId="21816" xr:uid="{00000000-0005-0000-0000-000068550000}"/>
    <cellStyle name="汇总 2 8 2 4 6" xfId="220" xr:uid="{00000000-0005-0000-0000-0000EF000000}"/>
    <cellStyle name="汇总 2 8 2 5" xfId="21818" xr:uid="{00000000-0005-0000-0000-00006A550000}"/>
    <cellStyle name="汇总 2 8 2 5 2" xfId="21822" xr:uid="{00000000-0005-0000-0000-00006E550000}"/>
    <cellStyle name="汇总 2 8 2 5 2 2" xfId="21823" xr:uid="{00000000-0005-0000-0000-00006F550000}"/>
    <cellStyle name="汇总 2 8 2 5 3" xfId="21825" xr:uid="{00000000-0005-0000-0000-000071550000}"/>
    <cellStyle name="汇总 2 8 2 5 3 2" xfId="17292" xr:uid="{00000000-0005-0000-0000-0000BC430000}"/>
    <cellStyle name="汇总 2 8 2 5 4" xfId="21826" xr:uid="{00000000-0005-0000-0000-000072550000}"/>
    <cellStyle name="汇总 2 8 2 5 4 2" xfId="17418" xr:uid="{00000000-0005-0000-0000-00003A440000}"/>
    <cellStyle name="汇总 2 8 2 5 5" xfId="21827" xr:uid="{00000000-0005-0000-0000-000073550000}"/>
    <cellStyle name="汇总 2 8 2 5 5 2" xfId="15357" xr:uid="{00000000-0005-0000-0000-00002D3C0000}"/>
    <cellStyle name="汇总 2 8 2 5 6" xfId="21828" xr:uid="{00000000-0005-0000-0000-000074550000}"/>
    <cellStyle name="汇总 2 8 2 6" xfId="21830" xr:uid="{00000000-0005-0000-0000-000076550000}"/>
    <cellStyle name="汇总 2 8 2 6 2" xfId="21832" xr:uid="{00000000-0005-0000-0000-000078550000}"/>
    <cellStyle name="汇总 2 8 2 6 2 2" xfId="21833" xr:uid="{00000000-0005-0000-0000-000079550000}"/>
    <cellStyle name="汇总 2 8 2 6 3" xfId="21835" xr:uid="{00000000-0005-0000-0000-00007B550000}"/>
    <cellStyle name="汇总 2 8 2 6 3 2" xfId="21836" xr:uid="{00000000-0005-0000-0000-00007C550000}"/>
    <cellStyle name="汇总 2 8 2 6 4" xfId="21837" xr:uid="{00000000-0005-0000-0000-00007D550000}"/>
    <cellStyle name="汇总 2 8 2 6 4 2" xfId="21838" xr:uid="{00000000-0005-0000-0000-00007E550000}"/>
    <cellStyle name="汇总 2 8 2 6 5" xfId="21839" xr:uid="{00000000-0005-0000-0000-00007F550000}"/>
    <cellStyle name="汇总 2 8 2 6 5 2" xfId="15394" xr:uid="{00000000-0005-0000-0000-0000523C0000}"/>
    <cellStyle name="汇总 2 8 2 6 6" xfId="21136" xr:uid="{00000000-0005-0000-0000-0000C0520000}"/>
    <cellStyle name="汇总 2 8 2 7" xfId="21840" xr:uid="{00000000-0005-0000-0000-000080550000}"/>
    <cellStyle name="汇总 2 8 2 7 2" xfId="21842" xr:uid="{00000000-0005-0000-0000-000082550000}"/>
    <cellStyle name="汇总 2 8 2 7 2 2" xfId="21844" xr:uid="{00000000-0005-0000-0000-000084550000}"/>
    <cellStyle name="汇总 2 8 2 7 3" xfId="21846" xr:uid="{00000000-0005-0000-0000-000086550000}"/>
    <cellStyle name="汇总 2 8 2 7 3 2" xfId="21847" xr:uid="{00000000-0005-0000-0000-000087550000}"/>
    <cellStyle name="汇总 2 8 2 7 4" xfId="21848" xr:uid="{00000000-0005-0000-0000-000088550000}"/>
    <cellStyle name="汇总 2 8 2 7 4 2" xfId="21849" xr:uid="{00000000-0005-0000-0000-000089550000}"/>
    <cellStyle name="汇总 2 8 2 7 5" xfId="21850" xr:uid="{00000000-0005-0000-0000-00008A550000}"/>
    <cellStyle name="汇总 2 8 2 7 5 2" xfId="21851" xr:uid="{00000000-0005-0000-0000-00008B550000}"/>
    <cellStyle name="汇总 2 8 2 7 6" xfId="4438" xr:uid="{00000000-0005-0000-0000-000086110000}"/>
    <cellStyle name="汇总 2 8 2 8" xfId="21853" xr:uid="{00000000-0005-0000-0000-00008D550000}"/>
    <cellStyle name="汇总 2 8 2 8 2" xfId="16185" xr:uid="{00000000-0005-0000-0000-0000693F0000}"/>
    <cellStyle name="汇总 2 8 2 8 2 2" xfId="21857" xr:uid="{00000000-0005-0000-0000-000091550000}"/>
    <cellStyle name="汇总 2 8 2 8 3" xfId="16187" xr:uid="{00000000-0005-0000-0000-00006B3F0000}"/>
    <cellStyle name="汇总 2 8 2 8 3 2" xfId="21859" xr:uid="{00000000-0005-0000-0000-000093550000}"/>
    <cellStyle name="汇总 2 8 2 8 4" xfId="16191" xr:uid="{00000000-0005-0000-0000-00006F3F0000}"/>
    <cellStyle name="汇总 2 8 2 8 4 2" xfId="21861" xr:uid="{00000000-0005-0000-0000-000095550000}"/>
    <cellStyle name="汇总 2 8 2 8 5" xfId="21862" xr:uid="{00000000-0005-0000-0000-000096550000}"/>
    <cellStyle name="汇总 2 8 2 9" xfId="21863" xr:uid="{00000000-0005-0000-0000-000097550000}"/>
    <cellStyle name="汇总 2 8 2 9 2" xfId="6346" xr:uid="{00000000-0005-0000-0000-0000FA180000}"/>
    <cellStyle name="汇总 2 8 20" xfId="16426" xr:uid="{00000000-0005-0000-0000-00005A400000}"/>
    <cellStyle name="汇总 2 8 20 2" xfId="16430" xr:uid="{00000000-0005-0000-0000-00005E400000}"/>
    <cellStyle name="汇总 2 8 21" xfId="5302" xr:uid="{00000000-0005-0000-0000-0000E6140000}"/>
    <cellStyle name="汇总 2 8 21 2" xfId="16435" xr:uid="{00000000-0005-0000-0000-000063400000}"/>
    <cellStyle name="汇总 2 8 22" xfId="16441" xr:uid="{00000000-0005-0000-0000-000069400000}"/>
    <cellStyle name="汇总 2 8 22 2" xfId="21710" xr:uid="{00000000-0005-0000-0000-0000FE540000}"/>
    <cellStyle name="汇总 2 8 23" xfId="21728" xr:uid="{00000000-0005-0000-0000-000010550000}"/>
    <cellStyle name="汇总 2 8 23 2" xfId="21733" xr:uid="{00000000-0005-0000-0000-000015550000}"/>
    <cellStyle name="汇总 2 8 24" xfId="6512" xr:uid="{00000000-0005-0000-0000-0000A0190000}"/>
    <cellStyle name="汇总 2 8 25" xfId="2299" xr:uid="{00000000-0005-0000-0000-00002B090000}"/>
    <cellStyle name="汇总 2 8 26" xfId="8152" xr:uid="{00000000-0005-0000-0000-000008200000}"/>
    <cellStyle name="汇总 2 8 27" xfId="3593" xr:uid="{00000000-0005-0000-0000-0000390E0000}"/>
    <cellStyle name="汇总 2 8 3" xfId="21864" xr:uid="{00000000-0005-0000-0000-000098550000}"/>
    <cellStyle name="汇总 2 8 3 10" xfId="21870" xr:uid="{00000000-0005-0000-0000-00009E550000}"/>
    <cellStyle name="汇总 2 8 3 10 2" xfId="8294" xr:uid="{00000000-0005-0000-0000-000096200000}"/>
    <cellStyle name="汇总 2 8 3 11" xfId="8303" xr:uid="{00000000-0005-0000-0000-00009F200000}"/>
    <cellStyle name="汇总 2 8 3 11 2" xfId="14835" xr:uid="{00000000-0005-0000-0000-0000233A0000}"/>
    <cellStyle name="汇总 2 8 3 12" xfId="21873" xr:uid="{00000000-0005-0000-0000-0000A1550000}"/>
    <cellStyle name="汇总 2 8 3 12 2" xfId="11834" xr:uid="{00000000-0005-0000-0000-00006A2E0000}"/>
    <cellStyle name="汇总 2 8 3 13" xfId="21875" xr:uid="{00000000-0005-0000-0000-0000A3550000}"/>
    <cellStyle name="汇总 2 8 3 14" xfId="21880" xr:uid="{00000000-0005-0000-0000-0000A8550000}"/>
    <cellStyle name="汇总 2 8 3 15" xfId="21882" xr:uid="{00000000-0005-0000-0000-0000AA550000}"/>
    <cellStyle name="汇总 2 8 3 16" xfId="9306" xr:uid="{00000000-0005-0000-0000-00008A240000}"/>
    <cellStyle name="汇总 2 8 3 2" xfId="21884" xr:uid="{00000000-0005-0000-0000-0000AC550000}"/>
    <cellStyle name="汇总 2 8 3 2 2" xfId="21885" xr:uid="{00000000-0005-0000-0000-0000AD550000}"/>
    <cellStyle name="汇总 2 8 3 2 2 2" xfId="21886" xr:uid="{00000000-0005-0000-0000-0000AE550000}"/>
    <cellStyle name="汇总 2 8 3 2 3" xfId="21887" xr:uid="{00000000-0005-0000-0000-0000AF550000}"/>
    <cellStyle name="汇总 2 8 3 2 3 2" xfId="21888" xr:uid="{00000000-0005-0000-0000-0000B0550000}"/>
    <cellStyle name="汇总 2 8 3 2 4" xfId="19737" xr:uid="{00000000-0005-0000-0000-0000494D0000}"/>
    <cellStyle name="汇总 2 8 3 2 4 2" xfId="21889" xr:uid="{00000000-0005-0000-0000-0000B1550000}"/>
    <cellStyle name="汇总 2 8 3 2 5" xfId="21890" xr:uid="{00000000-0005-0000-0000-0000B2550000}"/>
    <cellStyle name="汇总 2 8 3 2 5 2" xfId="21892" xr:uid="{00000000-0005-0000-0000-0000B4550000}"/>
    <cellStyle name="汇总 2 8 3 2 6" xfId="12868" xr:uid="{00000000-0005-0000-0000-000074320000}"/>
    <cellStyle name="汇总 2 8 3 2 7" xfId="21894" xr:uid="{00000000-0005-0000-0000-0000B6550000}"/>
    <cellStyle name="汇总 2 8 3 2 8" xfId="12147" xr:uid="{00000000-0005-0000-0000-0000A32F0000}"/>
    <cellStyle name="汇总 2 8 3 2 9" xfId="21896" xr:uid="{00000000-0005-0000-0000-0000B8550000}"/>
    <cellStyle name="汇总 2 8 3 3" xfId="21898" xr:uid="{00000000-0005-0000-0000-0000BA550000}"/>
    <cellStyle name="汇总 2 8 3 3 2" xfId="8149" xr:uid="{00000000-0005-0000-0000-000005200000}"/>
    <cellStyle name="汇总 2 8 3 3 2 2" xfId="21899" xr:uid="{00000000-0005-0000-0000-0000BB550000}"/>
    <cellStyle name="汇总 2 8 3 3 3" xfId="16748" xr:uid="{00000000-0005-0000-0000-00009C410000}"/>
    <cellStyle name="汇总 2 8 3 3 3 2" xfId="21900" xr:uid="{00000000-0005-0000-0000-0000BC550000}"/>
    <cellStyle name="汇总 2 8 3 3 4" xfId="16751" xr:uid="{00000000-0005-0000-0000-00009F410000}"/>
    <cellStyle name="汇总 2 8 3 3 4 2" xfId="21901" xr:uid="{00000000-0005-0000-0000-0000BD550000}"/>
    <cellStyle name="汇总 2 8 3 3 5" xfId="21902" xr:uid="{00000000-0005-0000-0000-0000BE550000}"/>
    <cellStyle name="汇总 2 8 3 3 5 2" xfId="21904" xr:uid="{00000000-0005-0000-0000-0000C0550000}"/>
    <cellStyle name="汇总 2 8 3 3 6" xfId="12871" xr:uid="{00000000-0005-0000-0000-000077320000}"/>
    <cellStyle name="汇总 2 8 3 4" xfId="21907" xr:uid="{00000000-0005-0000-0000-0000C3550000}"/>
    <cellStyle name="汇总 2 8 3 4 2" xfId="8867" xr:uid="{00000000-0005-0000-0000-0000D3220000}"/>
    <cellStyle name="汇总 2 8 3 4 2 2" xfId="21908" xr:uid="{00000000-0005-0000-0000-0000C4550000}"/>
    <cellStyle name="汇总 2 8 3 4 3" xfId="21910" xr:uid="{00000000-0005-0000-0000-0000C6550000}"/>
    <cellStyle name="汇总 2 8 3 4 3 2" xfId="21911" xr:uid="{00000000-0005-0000-0000-0000C7550000}"/>
    <cellStyle name="汇总 2 8 3 4 4" xfId="19743" xr:uid="{00000000-0005-0000-0000-00004F4D0000}"/>
    <cellStyle name="汇总 2 8 3 4 4 2" xfId="21913" xr:uid="{00000000-0005-0000-0000-0000C9550000}"/>
    <cellStyle name="汇总 2 8 3 4 5" xfId="21915" xr:uid="{00000000-0005-0000-0000-0000CB550000}"/>
    <cellStyle name="汇总 2 8 3 4 5 2" xfId="21917" xr:uid="{00000000-0005-0000-0000-0000CD550000}"/>
    <cellStyle name="汇总 2 8 3 4 6" xfId="12876" xr:uid="{00000000-0005-0000-0000-00007C320000}"/>
    <cellStyle name="汇总 2 8 3 5" xfId="21919" xr:uid="{00000000-0005-0000-0000-0000CF550000}"/>
    <cellStyle name="汇总 2 8 3 5 2" xfId="21924" xr:uid="{00000000-0005-0000-0000-0000D4550000}"/>
    <cellStyle name="汇总 2 8 3 5 2 2" xfId="21926" xr:uid="{00000000-0005-0000-0000-0000D6550000}"/>
    <cellStyle name="汇总 2 8 3 5 3" xfId="21928" xr:uid="{00000000-0005-0000-0000-0000D8550000}"/>
    <cellStyle name="汇总 2 8 3 5 3 2" xfId="21930" xr:uid="{00000000-0005-0000-0000-0000DA550000}"/>
    <cellStyle name="汇总 2 8 3 5 4" xfId="21932" xr:uid="{00000000-0005-0000-0000-0000DC550000}"/>
    <cellStyle name="汇总 2 8 3 5 4 2" xfId="21934" xr:uid="{00000000-0005-0000-0000-0000DE550000}"/>
    <cellStyle name="汇总 2 8 3 5 5" xfId="21936" xr:uid="{00000000-0005-0000-0000-0000E0550000}"/>
    <cellStyle name="汇总 2 8 3 5 5 2" xfId="21937" xr:uid="{00000000-0005-0000-0000-0000E1550000}"/>
    <cellStyle name="汇总 2 8 3 5 6" xfId="21940" xr:uid="{00000000-0005-0000-0000-0000E4550000}"/>
    <cellStyle name="汇总 2 8 3 6" xfId="21944" xr:uid="{00000000-0005-0000-0000-0000E8550000}"/>
    <cellStyle name="汇总 2 8 3 6 2" xfId="21946" xr:uid="{00000000-0005-0000-0000-0000EA550000}"/>
    <cellStyle name="汇总 2 8 3 6 2 2" xfId="21948" xr:uid="{00000000-0005-0000-0000-0000EC550000}"/>
    <cellStyle name="汇总 2 8 3 6 3" xfId="21950" xr:uid="{00000000-0005-0000-0000-0000EE550000}"/>
    <cellStyle name="汇总 2 8 3 6 3 2" xfId="21952" xr:uid="{00000000-0005-0000-0000-0000F0550000}"/>
    <cellStyle name="汇总 2 8 3 6 4" xfId="21953" xr:uid="{00000000-0005-0000-0000-0000F1550000}"/>
    <cellStyle name="汇总 2 8 3 6 4 2" xfId="21955" xr:uid="{00000000-0005-0000-0000-0000F3550000}"/>
    <cellStyle name="汇总 2 8 3 6 5" xfId="21956" xr:uid="{00000000-0005-0000-0000-0000F4550000}"/>
    <cellStyle name="汇总 2 8 3 6 5 2" xfId="21958" xr:uid="{00000000-0005-0000-0000-0000F6550000}"/>
    <cellStyle name="汇总 2 8 3 6 6" xfId="21143" xr:uid="{00000000-0005-0000-0000-0000C7520000}"/>
    <cellStyle name="汇总 2 8 3 7" xfId="21960" xr:uid="{00000000-0005-0000-0000-0000F8550000}"/>
    <cellStyle name="汇总 2 8 3 7 2" xfId="21962" xr:uid="{00000000-0005-0000-0000-0000FA550000}"/>
    <cellStyle name="汇总 2 8 3 7 2 2" xfId="21963" xr:uid="{00000000-0005-0000-0000-0000FB550000}"/>
    <cellStyle name="汇总 2 8 3 7 3" xfId="21965" xr:uid="{00000000-0005-0000-0000-0000FD550000}"/>
    <cellStyle name="汇总 2 8 3 7 3 2" xfId="21966" xr:uid="{00000000-0005-0000-0000-0000FE550000}"/>
    <cellStyle name="汇总 2 8 3 7 4" xfId="21967" xr:uid="{00000000-0005-0000-0000-0000FF550000}"/>
    <cellStyle name="汇总 2 8 3 7 4 2" xfId="21968" xr:uid="{00000000-0005-0000-0000-000000560000}"/>
    <cellStyle name="汇总 2 8 3 7 5" xfId="21969" xr:uid="{00000000-0005-0000-0000-000001560000}"/>
    <cellStyle name="汇总 2 8 3 7 5 2" xfId="15438" xr:uid="{00000000-0005-0000-0000-00007E3C0000}"/>
    <cellStyle name="汇总 2 8 3 7 6" xfId="3945" xr:uid="{00000000-0005-0000-0000-0000990F0000}"/>
    <cellStyle name="汇总 2 8 3 8" xfId="21970" xr:uid="{00000000-0005-0000-0000-000002560000}"/>
    <cellStyle name="汇总 2 8 3 8 2" xfId="16903" xr:uid="{00000000-0005-0000-0000-000037420000}"/>
    <cellStyle name="汇总 2 8 3 8 2 2" xfId="21972" xr:uid="{00000000-0005-0000-0000-000004560000}"/>
    <cellStyle name="汇总 2 8 3 8 3" xfId="16911" xr:uid="{00000000-0005-0000-0000-00003F420000}"/>
    <cellStyle name="汇总 2 8 3 8 3 2" xfId="21973" xr:uid="{00000000-0005-0000-0000-000005560000}"/>
    <cellStyle name="汇总 2 8 3 8 4" xfId="16912" xr:uid="{00000000-0005-0000-0000-000040420000}"/>
    <cellStyle name="汇总 2 8 3 8 4 2" xfId="21975" xr:uid="{00000000-0005-0000-0000-000007560000}"/>
    <cellStyle name="汇总 2 8 3 8 5" xfId="21976" xr:uid="{00000000-0005-0000-0000-000008560000}"/>
    <cellStyle name="汇总 2 8 3 9" xfId="21977" xr:uid="{00000000-0005-0000-0000-000009560000}"/>
    <cellStyle name="汇总 2 8 3 9 2" xfId="6718" xr:uid="{00000000-0005-0000-0000-00006E1A0000}"/>
    <cellStyle name="汇总 2 8 4" xfId="9956" xr:uid="{00000000-0005-0000-0000-000014270000}"/>
    <cellStyle name="汇总 2 8 4 10" xfId="21979" xr:uid="{00000000-0005-0000-0000-00000B560000}"/>
    <cellStyle name="汇总 2 8 4 10 2" xfId="21981" xr:uid="{00000000-0005-0000-0000-00000D560000}"/>
    <cellStyle name="汇总 2 8 4 11" xfId="21985" xr:uid="{00000000-0005-0000-0000-000011560000}"/>
    <cellStyle name="汇总 2 8 4 11 2" xfId="21988" xr:uid="{00000000-0005-0000-0000-000014560000}"/>
    <cellStyle name="汇总 2 8 4 12" xfId="21990" xr:uid="{00000000-0005-0000-0000-000016560000}"/>
    <cellStyle name="汇总 2 8 4 12 2" xfId="21994" xr:uid="{00000000-0005-0000-0000-00001A560000}"/>
    <cellStyle name="汇总 2 8 4 13" xfId="21997" xr:uid="{00000000-0005-0000-0000-00001D560000}"/>
    <cellStyle name="汇总 2 8 4 14" xfId="21999" xr:uid="{00000000-0005-0000-0000-00001F560000}"/>
    <cellStyle name="汇总 2 8 4 15" xfId="22000" xr:uid="{00000000-0005-0000-0000-000020560000}"/>
    <cellStyle name="汇总 2 8 4 16" xfId="22001" xr:uid="{00000000-0005-0000-0000-000021560000}"/>
    <cellStyle name="汇总 2 8 4 2" xfId="22004" xr:uid="{00000000-0005-0000-0000-000024560000}"/>
    <cellStyle name="汇总 2 8 4 2 2" xfId="22005" xr:uid="{00000000-0005-0000-0000-000025560000}"/>
    <cellStyle name="汇总 2 8 4 2 2 2" xfId="2103" xr:uid="{00000000-0005-0000-0000-000067080000}"/>
    <cellStyle name="汇总 2 8 4 2 3" xfId="22006" xr:uid="{00000000-0005-0000-0000-000026560000}"/>
    <cellStyle name="汇总 2 8 4 2 3 2" xfId="22008" xr:uid="{00000000-0005-0000-0000-000028560000}"/>
    <cellStyle name="汇总 2 8 4 2 4" xfId="22009" xr:uid="{00000000-0005-0000-0000-000029560000}"/>
    <cellStyle name="汇总 2 8 4 2 4 2" xfId="22011" xr:uid="{00000000-0005-0000-0000-00002B560000}"/>
    <cellStyle name="汇总 2 8 4 2 5" xfId="22012" xr:uid="{00000000-0005-0000-0000-00002C560000}"/>
    <cellStyle name="汇总 2 8 4 2 5 2" xfId="22014" xr:uid="{00000000-0005-0000-0000-00002E560000}"/>
    <cellStyle name="汇总 2 8 4 2 6" xfId="12895" xr:uid="{00000000-0005-0000-0000-00008F320000}"/>
    <cellStyle name="汇总 2 8 4 2 7" xfId="22016" xr:uid="{00000000-0005-0000-0000-000030560000}"/>
    <cellStyle name="汇总 2 8 4 2 8" xfId="12176" xr:uid="{00000000-0005-0000-0000-0000C02F0000}"/>
    <cellStyle name="汇总 2 8 4 2 9" xfId="22018" xr:uid="{00000000-0005-0000-0000-000032560000}"/>
    <cellStyle name="汇总 2 8 4 3" xfId="22020" xr:uid="{00000000-0005-0000-0000-000034560000}"/>
    <cellStyle name="汇总 2 8 4 3 2" xfId="22021" xr:uid="{00000000-0005-0000-0000-000035560000}"/>
    <cellStyle name="汇总 2 8 4 3 2 2" xfId="388" xr:uid="{00000000-0005-0000-0000-0000A9010000}"/>
    <cellStyle name="汇总 2 8 4 3 3" xfId="22022" xr:uid="{00000000-0005-0000-0000-000036560000}"/>
    <cellStyle name="汇总 2 8 4 3 3 2" xfId="22024" xr:uid="{00000000-0005-0000-0000-000038560000}"/>
    <cellStyle name="汇总 2 8 4 3 4" xfId="22025" xr:uid="{00000000-0005-0000-0000-000039560000}"/>
    <cellStyle name="汇总 2 8 4 3 4 2" xfId="22027" xr:uid="{00000000-0005-0000-0000-00003B560000}"/>
    <cellStyle name="汇总 2 8 4 3 5" xfId="22028" xr:uid="{00000000-0005-0000-0000-00003C560000}"/>
    <cellStyle name="汇总 2 8 4 3 5 2" xfId="22030" xr:uid="{00000000-0005-0000-0000-00003E560000}"/>
    <cellStyle name="汇总 2 8 4 3 6" xfId="12898" xr:uid="{00000000-0005-0000-0000-000092320000}"/>
    <cellStyle name="汇总 2 8 4 4" xfId="22034" xr:uid="{00000000-0005-0000-0000-000042560000}"/>
    <cellStyle name="汇总 2 8 4 4 2" xfId="22037" xr:uid="{00000000-0005-0000-0000-000045560000}"/>
    <cellStyle name="汇总 2 8 4 4 2 2" xfId="22039" xr:uid="{00000000-0005-0000-0000-000047560000}"/>
    <cellStyle name="汇总 2 8 4 4 3" xfId="22041" xr:uid="{00000000-0005-0000-0000-000049560000}"/>
    <cellStyle name="汇总 2 8 4 4 3 2" xfId="22043" xr:uid="{00000000-0005-0000-0000-00004B560000}"/>
    <cellStyle name="汇总 2 8 4 4 4" xfId="22045" xr:uid="{00000000-0005-0000-0000-00004D560000}"/>
    <cellStyle name="汇总 2 8 4 4 4 2" xfId="22047" xr:uid="{00000000-0005-0000-0000-00004F560000}"/>
    <cellStyle name="汇总 2 8 4 4 5" xfId="22049" xr:uid="{00000000-0005-0000-0000-000051560000}"/>
    <cellStyle name="汇总 2 8 4 4 5 2" xfId="22051" xr:uid="{00000000-0005-0000-0000-000053560000}"/>
    <cellStyle name="汇总 2 8 4 4 6" xfId="12901" xr:uid="{00000000-0005-0000-0000-000095320000}"/>
    <cellStyle name="汇总 2 8 4 5" xfId="22053" xr:uid="{00000000-0005-0000-0000-000055560000}"/>
    <cellStyle name="汇总 2 8 4 5 2" xfId="22058" xr:uid="{00000000-0005-0000-0000-00005A560000}"/>
    <cellStyle name="汇总 2 8 4 5 2 2" xfId="22060" xr:uid="{00000000-0005-0000-0000-00005C560000}"/>
    <cellStyle name="汇总 2 8 4 5 3" xfId="22063" xr:uid="{00000000-0005-0000-0000-00005F560000}"/>
    <cellStyle name="汇总 2 8 4 5 3 2" xfId="22065" xr:uid="{00000000-0005-0000-0000-000061560000}"/>
    <cellStyle name="汇总 2 8 4 5 4" xfId="22068" xr:uid="{00000000-0005-0000-0000-000064560000}"/>
    <cellStyle name="汇总 2 8 4 5 4 2" xfId="22070" xr:uid="{00000000-0005-0000-0000-000066560000}"/>
    <cellStyle name="汇总 2 8 4 5 5" xfId="22072" xr:uid="{00000000-0005-0000-0000-000068560000}"/>
    <cellStyle name="汇总 2 8 4 5 5 2" xfId="22073" xr:uid="{00000000-0005-0000-0000-000069560000}"/>
    <cellStyle name="汇总 2 8 4 5 6" xfId="22078" xr:uid="{00000000-0005-0000-0000-00006E560000}"/>
    <cellStyle name="汇总 2 8 4 6" xfId="22083" xr:uid="{00000000-0005-0000-0000-000073560000}"/>
    <cellStyle name="汇总 2 8 4 6 2" xfId="22086" xr:uid="{00000000-0005-0000-0000-000076560000}"/>
    <cellStyle name="汇总 2 8 4 6 2 2" xfId="22090" xr:uid="{00000000-0005-0000-0000-00007A560000}"/>
    <cellStyle name="汇总 2 8 4 6 3" xfId="22093" xr:uid="{00000000-0005-0000-0000-00007D560000}"/>
    <cellStyle name="汇总 2 8 4 6 3 2" xfId="22096" xr:uid="{00000000-0005-0000-0000-000080560000}"/>
    <cellStyle name="汇总 2 8 4 6 4" xfId="22098" xr:uid="{00000000-0005-0000-0000-000082560000}"/>
    <cellStyle name="汇总 2 8 4 6 4 2" xfId="22101" xr:uid="{00000000-0005-0000-0000-000085560000}"/>
    <cellStyle name="汇总 2 8 4 6 5" xfId="22103" xr:uid="{00000000-0005-0000-0000-000087560000}"/>
    <cellStyle name="汇总 2 8 4 6 5 2" xfId="22105" xr:uid="{00000000-0005-0000-0000-000089560000}"/>
    <cellStyle name="汇总 2 8 4 6 6" xfId="21154" xr:uid="{00000000-0005-0000-0000-0000D2520000}"/>
    <cellStyle name="汇总 2 8 4 7" xfId="22109" xr:uid="{00000000-0005-0000-0000-00008D560000}"/>
    <cellStyle name="汇总 2 8 4 7 2" xfId="22113" xr:uid="{00000000-0005-0000-0000-000091560000}"/>
    <cellStyle name="汇总 2 8 4 7 2 2" xfId="9539" xr:uid="{00000000-0005-0000-0000-000073250000}"/>
    <cellStyle name="汇总 2 8 4 7 3" xfId="22116" xr:uid="{00000000-0005-0000-0000-000094560000}"/>
    <cellStyle name="汇总 2 8 4 7 3 2" xfId="13905" xr:uid="{00000000-0005-0000-0000-000081360000}"/>
    <cellStyle name="汇总 2 8 4 7 4" xfId="22118" xr:uid="{00000000-0005-0000-0000-000096560000}"/>
    <cellStyle name="汇总 2 8 4 7 4 2" xfId="13931" xr:uid="{00000000-0005-0000-0000-00009B360000}"/>
    <cellStyle name="汇总 2 8 4 7 5" xfId="22119" xr:uid="{00000000-0005-0000-0000-000097560000}"/>
    <cellStyle name="汇总 2 8 4 7 5 2" xfId="13953" xr:uid="{00000000-0005-0000-0000-0000B1360000}"/>
    <cellStyle name="汇总 2 8 4 7 6" xfId="4539" xr:uid="{00000000-0005-0000-0000-0000EB110000}"/>
    <cellStyle name="汇总 2 8 4 8" xfId="15767" xr:uid="{00000000-0005-0000-0000-0000C73D0000}"/>
    <cellStyle name="汇总 2 8 4 8 2" xfId="22121" xr:uid="{00000000-0005-0000-0000-000099560000}"/>
    <cellStyle name="汇总 2 8 4 8 2 2" xfId="10960" xr:uid="{00000000-0005-0000-0000-0000002B0000}"/>
    <cellStyle name="汇总 2 8 4 8 3" xfId="22123" xr:uid="{00000000-0005-0000-0000-00009B560000}"/>
    <cellStyle name="汇总 2 8 4 8 3 2" xfId="17437" xr:uid="{00000000-0005-0000-0000-00004D440000}"/>
    <cellStyle name="汇总 2 8 4 8 4" xfId="22124" xr:uid="{00000000-0005-0000-0000-00009C560000}"/>
    <cellStyle name="汇总 2 8 4 8 4 2" xfId="17468" xr:uid="{00000000-0005-0000-0000-00006C440000}"/>
    <cellStyle name="汇总 2 8 4 8 5" xfId="22125" xr:uid="{00000000-0005-0000-0000-00009D560000}"/>
    <cellStyle name="汇总 2 8 4 9" xfId="22127" xr:uid="{00000000-0005-0000-0000-00009F560000}"/>
    <cellStyle name="汇总 2 8 4 9 2" xfId="22129" xr:uid="{00000000-0005-0000-0000-0000A1560000}"/>
    <cellStyle name="汇总 2 8 5" xfId="22132" xr:uid="{00000000-0005-0000-0000-0000A4560000}"/>
    <cellStyle name="汇总 2 8 5 10" xfId="22133" xr:uid="{00000000-0005-0000-0000-0000A5560000}"/>
    <cellStyle name="汇总 2 8 5 10 2" xfId="22134" xr:uid="{00000000-0005-0000-0000-0000A6560000}"/>
    <cellStyle name="汇总 2 8 5 11" xfId="22135" xr:uid="{00000000-0005-0000-0000-0000A7560000}"/>
    <cellStyle name="汇总 2 8 5 11 2" xfId="22138" xr:uid="{00000000-0005-0000-0000-0000AA560000}"/>
    <cellStyle name="汇总 2 8 5 12" xfId="22139" xr:uid="{00000000-0005-0000-0000-0000AB560000}"/>
    <cellStyle name="汇总 2 8 5 12 2" xfId="22142" xr:uid="{00000000-0005-0000-0000-0000AE560000}"/>
    <cellStyle name="汇总 2 8 5 13" xfId="9564" xr:uid="{00000000-0005-0000-0000-00008C250000}"/>
    <cellStyle name="汇总 2 8 5 14" xfId="22145" xr:uid="{00000000-0005-0000-0000-0000B1560000}"/>
    <cellStyle name="汇总 2 8 5 15" xfId="19227" xr:uid="{00000000-0005-0000-0000-00004B4B0000}"/>
    <cellStyle name="汇总 2 8 5 16" xfId="22146" xr:uid="{00000000-0005-0000-0000-0000B2560000}"/>
    <cellStyle name="汇总 2 8 5 2" xfId="22148" xr:uid="{00000000-0005-0000-0000-0000B4560000}"/>
    <cellStyle name="汇总 2 8 5 2 2" xfId="22149" xr:uid="{00000000-0005-0000-0000-0000B5560000}"/>
    <cellStyle name="汇总 2 8 5 2 2 2" xfId="22151" xr:uid="{00000000-0005-0000-0000-0000B7560000}"/>
    <cellStyle name="汇总 2 8 5 2 3" xfId="22152" xr:uid="{00000000-0005-0000-0000-0000B8560000}"/>
    <cellStyle name="汇总 2 8 5 2 3 2" xfId="22154" xr:uid="{00000000-0005-0000-0000-0000BA560000}"/>
    <cellStyle name="汇总 2 8 5 2 4" xfId="22155" xr:uid="{00000000-0005-0000-0000-0000BB560000}"/>
    <cellStyle name="汇总 2 8 5 2 4 2" xfId="22157" xr:uid="{00000000-0005-0000-0000-0000BD560000}"/>
    <cellStyle name="汇总 2 8 5 2 5" xfId="14777" xr:uid="{00000000-0005-0000-0000-0000E9390000}"/>
    <cellStyle name="汇总 2 8 5 2 5 2" xfId="22158" xr:uid="{00000000-0005-0000-0000-0000BE560000}"/>
    <cellStyle name="汇总 2 8 5 2 6" xfId="9447" xr:uid="{00000000-0005-0000-0000-000017250000}"/>
    <cellStyle name="汇总 2 8 5 2 7" xfId="22159" xr:uid="{00000000-0005-0000-0000-0000BF560000}"/>
    <cellStyle name="汇总 2 8 5 2 8" xfId="9469" xr:uid="{00000000-0005-0000-0000-00002D250000}"/>
    <cellStyle name="汇总 2 8 5 2 9" xfId="22160" xr:uid="{00000000-0005-0000-0000-0000C0560000}"/>
    <cellStyle name="汇总 2 8 5 3" xfId="22161" xr:uid="{00000000-0005-0000-0000-0000C1560000}"/>
    <cellStyle name="汇总 2 8 5 3 2" xfId="22162" xr:uid="{00000000-0005-0000-0000-0000C2560000}"/>
    <cellStyle name="汇总 2 8 5 3 2 2" xfId="22165" xr:uid="{00000000-0005-0000-0000-0000C5560000}"/>
    <cellStyle name="汇总 2 8 5 3 3" xfId="22166" xr:uid="{00000000-0005-0000-0000-0000C6560000}"/>
    <cellStyle name="汇总 2 8 5 3 3 2" xfId="22168" xr:uid="{00000000-0005-0000-0000-0000C8560000}"/>
    <cellStyle name="汇总 2 8 5 3 4" xfId="22169" xr:uid="{00000000-0005-0000-0000-0000C9560000}"/>
    <cellStyle name="汇总 2 8 5 3 4 2" xfId="22171" xr:uid="{00000000-0005-0000-0000-0000CB560000}"/>
    <cellStyle name="汇总 2 8 5 3 5" xfId="14792" xr:uid="{00000000-0005-0000-0000-0000F8390000}"/>
    <cellStyle name="汇总 2 8 5 3 5 2" xfId="22172" xr:uid="{00000000-0005-0000-0000-0000CC560000}"/>
    <cellStyle name="汇总 2 8 5 3 6" xfId="12917" xr:uid="{00000000-0005-0000-0000-0000A5320000}"/>
    <cellStyle name="汇总 2 8 5 4" xfId="22175" xr:uid="{00000000-0005-0000-0000-0000CF560000}"/>
    <cellStyle name="汇总 2 8 5 4 2" xfId="22177" xr:uid="{00000000-0005-0000-0000-0000D1560000}"/>
    <cellStyle name="汇总 2 8 5 4 2 2" xfId="16011" xr:uid="{00000000-0005-0000-0000-0000BB3E0000}"/>
    <cellStyle name="汇总 2 8 5 4 3" xfId="22178" xr:uid="{00000000-0005-0000-0000-0000D2560000}"/>
    <cellStyle name="汇总 2 8 5 4 3 2" xfId="16048" xr:uid="{00000000-0005-0000-0000-0000E03E0000}"/>
    <cellStyle name="汇总 2 8 5 4 4" xfId="22179" xr:uid="{00000000-0005-0000-0000-0000D3560000}"/>
    <cellStyle name="汇总 2 8 5 4 4 2" xfId="22181" xr:uid="{00000000-0005-0000-0000-0000D5560000}"/>
    <cellStyle name="汇总 2 8 5 4 5" xfId="14799" xr:uid="{00000000-0005-0000-0000-0000FF390000}"/>
    <cellStyle name="汇总 2 8 5 4 5 2" xfId="22182" xr:uid="{00000000-0005-0000-0000-0000D6560000}"/>
    <cellStyle name="汇总 2 8 5 4 6" xfId="12922" xr:uid="{00000000-0005-0000-0000-0000AA320000}"/>
    <cellStyle name="汇总 2 8 5 5" xfId="22184" xr:uid="{00000000-0005-0000-0000-0000D8560000}"/>
    <cellStyle name="汇总 2 8 5 5 2" xfId="22186" xr:uid="{00000000-0005-0000-0000-0000DA560000}"/>
    <cellStyle name="汇总 2 8 5 5 2 2" xfId="22188" xr:uid="{00000000-0005-0000-0000-0000DC560000}"/>
    <cellStyle name="汇总 2 8 5 5 3" xfId="22191" xr:uid="{00000000-0005-0000-0000-0000DF560000}"/>
    <cellStyle name="汇总 2 8 5 5 3 2" xfId="22193" xr:uid="{00000000-0005-0000-0000-0000E1560000}"/>
    <cellStyle name="汇总 2 8 5 5 4" xfId="22195" xr:uid="{00000000-0005-0000-0000-0000E3560000}"/>
    <cellStyle name="汇总 2 8 5 5 4 2" xfId="22197" xr:uid="{00000000-0005-0000-0000-0000E5560000}"/>
    <cellStyle name="汇总 2 8 5 5 5" xfId="22198" xr:uid="{00000000-0005-0000-0000-0000E6560000}"/>
    <cellStyle name="汇总 2 8 5 5 5 2" xfId="22200" xr:uid="{00000000-0005-0000-0000-0000E8560000}"/>
    <cellStyle name="汇总 2 8 5 5 6" xfId="22204" xr:uid="{00000000-0005-0000-0000-0000EC560000}"/>
    <cellStyle name="汇总 2 8 5 6" xfId="22210" xr:uid="{00000000-0005-0000-0000-0000F2560000}"/>
    <cellStyle name="汇总 2 8 5 6 2" xfId="22212" xr:uid="{00000000-0005-0000-0000-0000F4560000}"/>
    <cellStyle name="汇总 2 8 5 6 2 2" xfId="22214" xr:uid="{00000000-0005-0000-0000-0000F6560000}"/>
    <cellStyle name="汇总 2 8 5 6 3" xfId="22217" xr:uid="{00000000-0005-0000-0000-0000F9560000}"/>
    <cellStyle name="汇总 2 8 5 6 3 2" xfId="22219" xr:uid="{00000000-0005-0000-0000-0000FB560000}"/>
    <cellStyle name="汇总 2 8 5 6 4" xfId="22220" xr:uid="{00000000-0005-0000-0000-0000FC560000}"/>
    <cellStyle name="汇总 2 8 5 6 4 2" xfId="22222" xr:uid="{00000000-0005-0000-0000-0000FE560000}"/>
    <cellStyle name="汇总 2 8 5 6 5" xfId="22223" xr:uid="{00000000-0005-0000-0000-0000FF560000}"/>
    <cellStyle name="汇总 2 8 5 6 5 2" xfId="22225" xr:uid="{00000000-0005-0000-0000-000001570000}"/>
    <cellStyle name="汇总 2 8 5 6 6" xfId="21168" xr:uid="{00000000-0005-0000-0000-0000E0520000}"/>
    <cellStyle name="汇总 2 8 5 7" xfId="22227" xr:uid="{00000000-0005-0000-0000-000003570000}"/>
    <cellStyle name="汇总 2 8 5 7 2" xfId="22229" xr:uid="{00000000-0005-0000-0000-000005570000}"/>
    <cellStyle name="汇总 2 8 5 7 2 2" xfId="22231" xr:uid="{00000000-0005-0000-0000-000007570000}"/>
    <cellStyle name="汇总 2 8 5 7 3" xfId="22236" xr:uid="{00000000-0005-0000-0000-00000C570000}"/>
    <cellStyle name="汇总 2 8 5 7 3 2" xfId="22238" xr:uid="{00000000-0005-0000-0000-00000E570000}"/>
    <cellStyle name="汇总 2 8 5 7 4" xfId="22239" xr:uid="{00000000-0005-0000-0000-00000F570000}"/>
    <cellStyle name="汇总 2 8 5 7 4 2" xfId="22241" xr:uid="{00000000-0005-0000-0000-000011570000}"/>
    <cellStyle name="汇总 2 8 5 7 5" xfId="22242" xr:uid="{00000000-0005-0000-0000-000012570000}"/>
    <cellStyle name="汇总 2 8 5 7 5 2" xfId="22244" xr:uid="{00000000-0005-0000-0000-000014570000}"/>
    <cellStyle name="汇总 2 8 5 7 6" xfId="4588" xr:uid="{00000000-0005-0000-0000-00001C120000}"/>
    <cellStyle name="汇总 2 8 5 8" xfId="15778" xr:uid="{00000000-0005-0000-0000-0000D23D0000}"/>
    <cellStyle name="汇总 2 8 5 8 2" xfId="22245" xr:uid="{00000000-0005-0000-0000-000015570000}"/>
    <cellStyle name="汇总 2 8 5 8 2 2" xfId="22247" xr:uid="{00000000-0005-0000-0000-000017570000}"/>
    <cellStyle name="汇总 2 8 5 8 3" xfId="22250" xr:uid="{00000000-0005-0000-0000-00001A570000}"/>
    <cellStyle name="汇总 2 8 5 8 3 2" xfId="22252" xr:uid="{00000000-0005-0000-0000-00001C570000}"/>
    <cellStyle name="汇总 2 8 5 8 4" xfId="22253" xr:uid="{00000000-0005-0000-0000-00001D570000}"/>
    <cellStyle name="汇总 2 8 5 8 4 2" xfId="22255" xr:uid="{00000000-0005-0000-0000-00001F570000}"/>
    <cellStyle name="汇总 2 8 5 8 5" xfId="22256" xr:uid="{00000000-0005-0000-0000-000020570000}"/>
    <cellStyle name="汇总 2 8 5 9" xfId="22257" xr:uid="{00000000-0005-0000-0000-000021570000}"/>
    <cellStyle name="汇总 2 8 5 9 2" xfId="22258" xr:uid="{00000000-0005-0000-0000-000022570000}"/>
    <cellStyle name="汇总 2 8 6" xfId="22260" xr:uid="{00000000-0005-0000-0000-000024570000}"/>
    <cellStyle name="汇总 2 8 6 10" xfId="21741" xr:uid="{00000000-0005-0000-0000-00001D550000}"/>
    <cellStyle name="汇总 2 8 6 10 2" xfId="22261" xr:uid="{00000000-0005-0000-0000-000025570000}"/>
    <cellStyle name="汇总 2 8 6 11" xfId="22263" xr:uid="{00000000-0005-0000-0000-000027570000}"/>
    <cellStyle name="汇总 2 8 6 11 2" xfId="22264" xr:uid="{00000000-0005-0000-0000-000028570000}"/>
    <cellStyle name="汇总 2 8 6 12" xfId="22268" xr:uid="{00000000-0005-0000-0000-00002C570000}"/>
    <cellStyle name="汇总 2 8 6 12 2" xfId="22271" xr:uid="{00000000-0005-0000-0000-00002F570000}"/>
    <cellStyle name="汇总 2 8 6 13" xfId="22277" xr:uid="{00000000-0005-0000-0000-000035570000}"/>
    <cellStyle name="汇总 2 8 6 14" xfId="22282" xr:uid="{00000000-0005-0000-0000-00003A570000}"/>
    <cellStyle name="汇总 2 8 6 15" xfId="22286" xr:uid="{00000000-0005-0000-0000-00003E570000}"/>
    <cellStyle name="汇总 2 8 6 16" xfId="22290" xr:uid="{00000000-0005-0000-0000-000042570000}"/>
    <cellStyle name="汇总 2 8 6 2" xfId="22292" xr:uid="{00000000-0005-0000-0000-000044570000}"/>
    <cellStyle name="汇总 2 8 6 2 2" xfId="22293" xr:uid="{00000000-0005-0000-0000-000045570000}"/>
    <cellStyle name="汇总 2 8 6 2 2 2" xfId="22295" xr:uid="{00000000-0005-0000-0000-000047570000}"/>
    <cellStyle name="汇总 2 8 6 2 3" xfId="22297" xr:uid="{00000000-0005-0000-0000-000049570000}"/>
    <cellStyle name="汇总 2 8 6 2 3 2" xfId="22299" xr:uid="{00000000-0005-0000-0000-00004B570000}"/>
    <cellStyle name="汇总 2 8 6 2 4" xfId="12225" xr:uid="{00000000-0005-0000-0000-0000F12F0000}"/>
    <cellStyle name="汇总 2 8 6 2 4 2" xfId="22301" xr:uid="{00000000-0005-0000-0000-00004D570000}"/>
    <cellStyle name="汇总 2 8 6 2 5" xfId="5231" xr:uid="{00000000-0005-0000-0000-00009F140000}"/>
    <cellStyle name="汇总 2 8 6 2 5 2" xfId="22303" xr:uid="{00000000-0005-0000-0000-00004F570000}"/>
    <cellStyle name="汇总 2 8 6 2 6" xfId="12229" xr:uid="{00000000-0005-0000-0000-0000F52F0000}"/>
    <cellStyle name="汇总 2 8 6 2 7" xfId="22304" xr:uid="{00000000-0005-0000-0000-000050570000}"/>
    <cellStyle name="汇总 2 8 6 2 8" xfId="12208" xr:uid="{00000000-0005-0000-0000-0000E02F0000}"/>
    <cellStyle name="汇总 2 8 6 2 9" xfId="22306" xr:uid="{00000000-0005-0000-0000-000052570000}"/>
    <cellStyle name="汇总 2 8 6 3" xfId="6216" xr:uid="{00000000-0005-0000-0000-000078180000}"/>
    <cellStyle name="汇总 2 8 6 3 2" xfId="22307" xr:uid="{00000000-0005-0000-0000-000053570000}"/>
    <cellStyle name="汇总 2 8 6 3 2 2" xfId="22309" xr:uid="{00000000-0005-0000-0000-000055570000}"/>
    <cellStyle name="汇总 2 8 6 3 3" xfId="7315" xr:uid="{00000000-0005-0000-0000-0000C31C0000}"/>
    <cellStyle name="汇总 2 8 6 3 3 2" xfId="7323" xr:uid="{00000000-0005-0000-0000-0000CB1C0000}"/>
    <cellStyle name="汇总 2 8 6 3 4" xfId="7333" xr:uid="{00000000-0005-0000-0000-0000D51C0000}"/>
    <cellStyle name="汇总 2 8 6 3 4 2" xfId="7342" xr:uid="{00000000-0005-0000-0000-0000DE1C0000}"/>
    <cellStyle name="汇总 2 8 6 3 5" xfId="5637" xr:uid="{00000000-0005-0000-0000-000035160000}"/>
    <cellStyle name="汇总 2 8 6 3 5 2" xfId="7349" xr:uid="{00000000-0005-0000-0000-0000E51C0000}"/>
    <cellStyle name="汇总 2 8 6 3 6" xfId="7355" xr:uid="{00000000-0005-0000-0000-0000EB1C0000}"/>
    <cellStyle name="汇总 2 8 6 4" xfId="22312" xr:uid="{00000000-0005-0000-0000-000058570000}"/>
    <cellStyle name="汇总 2 8 6 4 2" xfId="22314" xr:uid="{00000000-0005-0000-0000-00005A570000}"/>
    <cellStyle name="汇总 2 8 6 4 2 2" xfId="22319" xr:uid="{00000000-0005-0000-0000-00005F570000}"/>
    <cellStyle name="汇总 2 8 6 4 3" xfId="7387" xr:uid="{00000000-0005-0000-0000-00000B1D0000}"/>
    <cellStyle name="汇总 2 8 6 4 3 2" xfId="7396" xr:uid="{00000000-0005-0000-0000-0000141D0000}"/>
    <cellStyle name="汇总 2 8 6 4 4" xfId="7405" xr:uid="{00000000-0005-0000-0000-00001D1D0000}"/>
    <cellStyle name="汇总 2 8 6 4 4 2" xfId="7084" xr:uid="{00000000-0005-0000-0000-0000DC1B0000}"/>
    <cellStyle name="汇总 2 8 6 4 5" xfId="5641" xr:uid="{00000000-0005-0000-0000-000039160000}"/>
    <cellStyle name="汇总 2 8 6 4 5 2" xfId="4366" xr:uid="{00000000-0005-0000-0000-00003E110000}"/>
    <cellStyle name="汇总 2 8 6 4 6" xfId="7408" xr:uid="{00000000-0005-0000-0000-0000201D0000}"/>
    <cellStyle name="汇总 2 8 6 5" xfId="22321" xr:uid="{00000000-0005-0000-0000-000061570000}"/>
    <cellStyle name="汇总 2 8 6 5 2" xfId="22323" xr:uid="{00000000-0005-0000-0000-000063570000}"/>
    <cellStyle name="汇总 2 8 6 5 2 2" xfId="22325" xr:uid="{00000000-0005-0000-0000-000065570000}"/>
    <cellStyle name="汇总 2 8 6 5 3" xfId="7426" xr:uid="{00000000-0005-0000-0000-0000321D0000}"/>
    <cellStyle name="汇总 2 8 6 5 3 2" xfId="7431" xr:uid="{00000000-0005-0000-0000-0000371D0000}"/>
    <cellStyle name="汇总 2 8 6 5 4" xfId="7444" xr:uid="{00000000-0005-0000-0000-0000441D0000}"/>
    <cellStyle name="汇总 2 8 6 5 4 2" xfId="7448" xr:uid="{00000000-0005-0000-0000-0000481D0000}"/>
    <cellStyle name="汇总 2 8 6 5 5" xfId="7458" xr:uid="{00000000-0005-0000-0000-0000521D0000}"/>
    <cellStyle name="汇总 2 8 6 5 5 2" xfId="7460" xr:uid="{00000000-0005-0000-0000-0000541D0000}"/>
    <cellStyle name="汇总 2 8 6 5 6" xfId="7468" xr:uid="{00000000-0005-0000-0000-00005C1D0000}"/>
    <cellStyle name="汇总 2 8 6 6" xfId="22330" xr:uid="{00000000-0005-0000-0000-00006A570000}"/>
    <cellStyle name="汇总 2 8 6 6 2" xfId="22333" xr:uid="{00000000-0005-0000-0000-00006D570000}"/>
    <cellStyle name="汇总 2 8 6 6 2 2" xfId="22335" xr:uid="{00000000-0005-0000-0000-00006F570000}"/>
    <cellStyle name="汇总 2 8 6 6 3" xfId="7495" xr:uid="{00000000-0005-0000-0000-0000771D0000}"/>
    <cellStyle name="汇总 2 8 6 6 3 2" xfId="7497" xr:uid="{00000000-0005-0000-0000-0000791D0000}"/>
    <cellStyle name="汇总 2 8 6 6 4" xfId="7505" xr:uid="{00000000-0005-0000-0000-0000811D0000}"/>
    <cellStyle name="汇总 2 8 6 6 4 2" xfId="7515" xr:uid="{00000000-0005-0000-0000-00008B1D0000}"/>
    <cellStyle name="汇总 2 8 6 6 5" xfId="7524" xr:uid="{00000000-0005-0000-0000-0000941D0000}"/>
    <cellStyle name="汇总 2 8 6 6 5 2" xfId="7526" xr:uid="{00000000-0005-0000-0000-0000961D0000}"/>
    <cellStyle name="汇总 2 8 6 6 6" xfId="7538" xr:uid="{00000000-0005-0000-0000-0000A21D0000}"/>
    <cellStyle name="汇总 2 8 6 7" xfId="22341" xr:uid="{00000000-0005-0000-0000-000075570000}"/>
    <cellStyle name="汇总 2 8 6 7 2" xfId="22348" xr:uid="{00000000-0005-0000-0000-00007C570000}"/>
    <cellStyle name="汇总 2 8 6 7 2 2" xfId="22350" xr:uid="{00000000-0005-0000-0000-00007E570000}"/>
    <cellStyle name="汇总 2 8 6 7 3" xfId="7558" xr:uid="{00000000-0005-0000-0000-0000B61D0000}"/>
    <cellStyle name="汇总 2 8 6 7 3 2" xfId="7560" xr:uid="{00000000-0005-0000-0000-0000B81D0000}"/>
    <cellStyle name="汇总 2 8 6 7 4" xfId="7568" xr:uid="{00000000-0005-0000-0000-0000C01D0000}"/>
    <cellStyle name="汇总 2 8 6 7 4 2" xfId="7572" xr:uid="{00000000-0005-0000-0000-0000C41D0000}"/>
    <cellStyle name="汇总 2 8 6 7 5" xfId="7585" xr:uid="{00000000-0005-0000-0000-0000D11D0000}"/>
    <cellStyle name="汇总 2 8 6 7 5 2" xfId="7587" xr:uid="{00000000-0005-0000-0000-0000D31D0000}"/>
    <cellStyle name="汇总 2 8 6 7 6" xfId="4613" xr:uid="{00000000-0005-0000-0000-000035120000}"/>
    <cellStyle name="汇总 2 8 6 8" xfId="15788" xr:uid="{00000000-0005-0000-0000-0000DC3D0000}"/>
    <cellStyle name="汇总 2 8 6 8 2" xfId="22356" xr:uid="{00000000-0005-0000-0000-000084570000}"/>
    <cellStyle name="汇总 2 8 6 8 2 2" xfId="22358" xr:uid="{00000000-0005-0000-0000-000086570000}"/>
    <cellStyle name="汇总 2 8 6 8 3" xfId="7612" xr:uid="{00000000-0005-0000-0000-0000EC1D0000}"/>
    <cellStyle name="汇总 2 8 6 8 3 2" xfId="7621" xr:uid="{00000000-0005-0000-0000-0000F51D0000}"/>
    <cellStyle name="汇总 2 8 6 8 4" xfId="7629" xr:uid="{00000000-0005-0000-0000-0000FD1D0000}"/>
    <cellStyle name="汇总 2 8 6 8 4 2" xfId="7640" xr:uid="{00000000-0005-0000-0000-0000081E0000}"/>
    <cellStyle name="汇总 2 8 6 8 5" xfId="7650" xr:uid="{00000000-0005-0000-0000-0000121E0000}"/>
    <cellStyle name="汇总 2 8 6 9" xfId="22363" xr:uid="{00000000-0005-0000-0000-00008B570000}"/>
    <cellStyle name="汇总 2 8 6 9 2" xfId="22367" xr:uid="{00000000-0005-0000-0000-00008F570000}"/>
    <cellStyle name="汇总 2 8 7" xfId="5701" xr:uid="{00000000-0005-0000-0000-000075160000}"/>
    <cellStyle name="汇总 2 8 7 10" xfId="22369" xr:uid="{00000000-0005-0000-0000-000091570000}"/>
    <cellStyle name="汇总 2 8 7 10 2" xfId="22370" xr:uid="{00000000-0005-0000-0000-000092570000}"/>
    <cellStyle name="汇总 2 8 7 11" xfId="10783" xr:uid="{00000000-0005-0000-0000-00004F2A0000}"/>
    <cellStyle name="汇总 2 8 7 11 2" xfId="22371" xr:uid="{00000000-0005-0000-0000-000093570000}"/>
    <cellStyle name="汇总 2 8 7 12" xfId="22375" xr:uid="{00000000-0005-0000-0000-000097570000}"/>
    <cellStyle name="汇总 2 8 7 12 2" xfId="22378" xr:uid="{00000000-0005-0000-0000-00009A570000}"/>
    <cellStyle name="汇总 2 8 7 13" xfId="22382" xr:uid="{00000000-0005-0000-0000-00009E570000}"/>
    <cellStyle name="汇总 2 8 7 14" xfId="22386" xr:uid="{00000000-0005-0000-0000-0000A2570000}"/>
    <cellStyle name="汇总 2 8 7 15" xfId="22390" xr:uid="{00000000-0005-0000-0000-0000A6570000}"/>
    <cellStyle name="汇总 2 8 7 16" xfId="15021" xr:uid="{00000000-0005-0000-0000-0000DD3A0000}"/>
    <cellStyle name="汇总 2 8 7 2" xfId="22392" xr:uid="{00000000-0005-0000-0000-0000A8570000}"/>
    <cellStyle name="汇总 2 8 7 2 2" xfId="17308" xr:uid="{00000000-0005-0000-0000-0000CC430000}"/>
    <cellStyle name="汇总 2 8 7 2 2 2" xfId="5084" xr:uid="{00000000-0005-0000-0000-00000C140000}"/>
    <cellStyle name="汇总 2 8 7 2 3" xfId="22393" xr:uid="{00000000-0005-0000-0000-0000A9570000}"/>
    <cellStyle name="汇总 2 8 7 2 3 2" xfId="1078" xr:uid="{00000000-0005-0000-0000-000066040000}"/>
    <cellStyle name="汇总 2 8 7 2 4" xfId="22394" xr:uid="{00000000-0005-0000-0000-0000AA570000}"/>
    <cellStyle name="汇总 2 8 7 2 4 2" xfId="22396" xr:uid="{00000000-0005-0000-0000-0000AC570000}"/>
    <cellStyle name="汇总 2 8 7 2 5" xfId="22398" xr:uid="{00000000-0005-0000-0000-0000AE570000}"/>
    <cellStyle name="汇总 2 8 7 2 5 2" xfId="22399" xr:uid="{00000000-0005-0000-0000-0000AF570000}"/>
    <cellStyle name="汇总 2 8 7 2 6" xfId="12945" xr:uid="{00000000-0005-0000-0000-0000C1320000}"/>
    <cellStyle name="汇总 2 8 7 2 7" xfId="22402" xr:uid="{00000000-0005-0000-0000-0000B2570000}"/>
    <cellStyle name="汇总 2 8 7 2 8" xfId="22403" xr:uid="{00000000-0005-0000-0000-0000B3570000}"/>
    <cellStyle name="汇总 2 8 7 2 9" xfId="20921" xr:uid="{00000000-0005-0000-0000-0000E9510000}"/>
    <cellStyle name="汇总 2 8 7 3" xfId="6222" xr:uid="{00000000-0005-0000-0000-00007E180000}"/>
    <cellStyle name="汇总 2 8 7 3 2" xfId="16474" xr:uid="{00000000-0005-0000-0000-00008A400000}"/>
    <cellStyle name="汇总 2 8 7 3 2 2" xfId="22405" xr:uid="{00000000-0005-0000-0000-0000B5570000}"/>
    <cellStyle name="汇总 2 8 7 3 3" xfId="7780" xr:uid="{00000000-0005-0000-0000-0000941E0000}"/>
    <cellStyle name="汇总 2 8 7 3 3 2" xfId="315" xr:uid="{00000000-0005-0000-0000-00005A010000}"/>
    <cellStyle name="汇总 2 8 7 3 4" xfId="7328" xr:uid="{00000000-0005-0000-0000-0000D01C0000}"/>
    <cellStyle name="汇总 2 8 7 3 4 2" xfId="698" xr:uid="{00000000-0005-0000-0000-0000EA020000}"/>
    <cellStyle name="汇总 2 8 7 3 5" xfId="5707" xr:uid="{00000000-0005-0000-0000-00007B160000}"/>
    <cellStyle name="汇总 2 8 7 3 5 2" xfId="548" xr:uid="{00000000-0005-0000-0000-000054020000}"/>
    <cellStyle name="汇总 2 8 7 3 6" xfId="7786" xr:uid="{00000000-0005-0000-0000-00009A1E0000}"/>
    <cellStyle name="汇总 2 8 7 4" xfId="22407" xr:uid="{00000000-0005-0000-0000-0000B7570000}"/>
    <cellStyle name="汇总 2 8 7 4 2" xfId="9858" xr:uid="{00000000-0005-0000-0000-0000B2260000}"/>
    <cellStyle name="汇总 2 8 7 4 2 2" xfId="22410" xr:uid="{00000000-0005-0000-0000-0000BA570000}"/>
    <cellStyle name="汇总 2 8 7 4 3" xfId="7795" xr:uid="{00000000-0005-0000-0000-0000A31E0000}"/>
    <cellStyle name="汇总 2 8 7 4 3 2" xfId="5536" xr:uid="{00000000-0005-0000-0000-0000D0150000}"/>
    <cellStyle name="汇总 2 8 7 4 4" xfId="7346" xr:uid="{00000000-0005-0000-0000-0000E21C0000}"/>
    <cellStyle name="汇总 2 8 7 4 4 2" xfId="5583" xr:uid="{00000000-0005-0000-0000-0000FF150000}"/>
    <cellStyle name="汇总 2 8 7 4 5" xfId="5726" xr:uid="{00000000-0005-0000-0000-00008E160000}"/>
    <cellStyle name="汇总 2 8 7 4 5 2" xfId="3995" xr:uid="{00000000-0005-0000-0000-0000CB0F0000}"/>
    <cellStyle name="汇总 2 8 7 4 6" xfId="7801" xr:uid="{00000000-0005-0000-0000-0000A91E0000}"/>
    <cellStyle name="汇总 2 8 7 5" xfId="22412" xr:uid="{00000000-0005-0000-0000-0000BC570000}"/>
    <cellStyle name="汇总 2 8 7 5 2" xfId="22415" xr:uid="{00000000-0005-0000-0000-0000BF570000}"/>
    <cellStyle name="汇总 2 8 7 5 2 2" xfId="22418" xr:uid="{00000000-0005-0000-0000-0000C2570000}"/>
    <cellStyle name="汇总 2 8 7 5 3" xfId="7814" xr:uid="{00000000-0005-0000-0000-0000B61E0000}"/>
    <cellStyle name="汇总 2 8 7 5 3 2" xfId="5965" xr:uid="{00000000-0005-0000-0000-00007D170000}"/>
    <cellStyle name="汇总 2 8 7 5 4" xfId="7352" xr:uid="{00000000-0005-0000-0000-0000E81C0000}"/>
    <cellStyle name="汇总 2 8 7 5 4 2" xfId="6069" xr:uid="{00000000-0005-0000-0000-0000E5170000}"/>
    <cellStyle name="汇总 2 8 7 5 5" xfId="7818" xr:uid="{00000000-0005-0000-0000-0000BA1E0000}"/>
    <cellStyle name="汇总 2 8 7 5 5 2" xfId="5476" xr:uid="{00000000-0005-0000-0000-000094150000}"/>
    <cellStyle name="汇总 2 8 7 5 6" xfId="7820" xr:uid="{00000000-0005-0000-0000-0000BC1E0000}"/>
    <cellStyle name="汇总 2 8 7 6" xfId="22422" xr:uid="{00000000-0005-0000-0000-0000C6570000}"/>
    <cellStyle name="汇总 2 8 7 6 2" xfId="22426" xr:uid="{00000000-0005-0000-0000-0000CA570000}"/>
    <cellStyle name="汇总 2 8 7 6 2 2" xfId="16175" xr:uid="{00000000-0005-0000-0000-00005F3F0000}"/>
    <cellStyle name="汇总 2 8 7 6 3" xfId="7837" xr:uid="{00000000-0005-0000-0000-0000CD1E0000}"/>
    <cellStyle name="汇总 2 8 7 6 3 2" xfId="6322" xr:uid="{00000000-0005-0000-0000-0000E2180000}"/>
    <cellStyle name="汇总 2 8 7 6 4" xfId="7360" xr:uid="{00000000-0005-0000-0000-0000F01C0000}"/>
    <cellStyle name="汇总 2 8 7 6 4 2" xfId="2350" xr:uid="{00000000-0005-0000-0000-00005E090000}"/>
    <cellStyle name="汇总 2 8 7 6 5" xfId="7845" xr:uid="{00000000-0005-0000-0000-0000D51E0000}"/>
    <cellStyle name="汇总 2 8 7 6 5 2" xfId="6401" xr:uid="{00000000-0005-0000-0000-000031190000}"/>
    <cellStyle name="汇总 2 8 7 6 6" xfId="7852" xr:uid="{00000000-0005-0000-0000-0000DC1E0000}"/>
    <cellStyle name="汇总 2 8 7 7" xfId="7195" xr:uid="{00000000-0005-0000-0000-00004B1C0000}"/>
    <cellStyle name="汇总 2 8 7 7 2" xfId="22429" xr:uid="{00000000-0005-0000-0000-0000CD570000}"/>
    <cellStyle name="汇总 2 8 7 7 2 2" xfId="16891" xr:uid="{00000000-0005-0000-0000-00002B420000}"/>
    <cellStyle name="汇总 2 8 7 7 3" xfId="7855" xr:uid="{00000000-0005-0000-0000-0000DF1E0000}"/>
    <cellStyle name="汇总 2 8 7 7 3 2" xfId="6697" xr:uid="{00000000-0005-0000-0000-0000591A0000}"/>
    <cellStyle name="汇总 2 8 7 7 4" xfId="7858" xr:uid="{00000000-0005-0000-0000-0000E21E0000}"/>
    <cellStyle name="汇总 2 8 7 7 4 2" xfId="6751" xr:uid="{00000000-0005-0000-0000-00008F1A0000}"/>
    <cellStyle name="汇总 2 8 7 7 5" xfId="7865" xr:uid="{00000000-0005-0000-0000-0000E91E0000}"/>
    <cellStyle name="汇总 2 8 7 7 5 2" xfId="6818" xr:uid="{00000000-0005-0000-0000-0000D21A0000}"/>
    <cellStyle name="汇总 2 8 7 7 6" xfId="4633" xr:uid="{00000000-0005-0000-0000-000049120000}"/>
    <cellStyle name="汇总 2 8 7 8" xfId="15806" xr:uid="{00000000-0005-0000-0000-0000EE3D0000}"/>
    <cellStyle name="汇总 2 8 7 8 2" xfId="17804" xr:uid="{00000000-0005-0000-0000-0000BC450000}"/>
    <cellStyle name="汇总 2 8 7 8 2 2" xfId="22434" xr:uid="{00000000-0005-0000-0000-0000D2570000}"/>
    <cellStyle name="汇总 2 8 7 8 3" xfId="7871" xr:uid="{00000000-0005-0000-0000-0000EF1E0000}"/>
    <cellStyle name="汇总 2 8 7 8 3 2" xfId="7885" xr:uid="{00000000-0005-0000-0000-0000FD1E0000}"/>
    <cellStyle name="汇总 2 8 7 8 4" xfId="7893" xr:uid="{00000000-0005-0000-0000-0000051F0000}"/>
    <cellStyle name="汇总 2 8 7 8 4 2" xfId="7906" xr:uid="{00000000-0005-0000-0000-0000121F0000}"/>
    <cellStyle name="汇总 2 8 7 8 5" xfId="7916" xr:uid="{00000000-0005-0000-0000-00001C1F0000}"/>
    <cellStyle name="汇总 2 8 7 9" xfId="22435" xr:uid="{00000000-0005-0000-0000-0000D3570000}"/>
    <cellStyle name="汇总 2 8 7 9 2" xfId="1858" xr:uid="{00000000-0005-0000-0000-000072070000}"/>
    <cellStyle name="汇总 2 8 8" xfId="22437" xr:uid="{00000000-0005-0000-0000-0000D5570000}"/>
    <cellStyle name="汇总 2 8 8 10" xfId="22441" xr:uid="{00000000-0005-0000-0000-0000D9570000}"/>
    <cellStyle name="汇总 2 8 8 10 2" xfId="7603" xr:uid="{00000000-0005-0000-0000-0000E31D0000}"/>
    <cellStyle name="汇总 2 8 8 11" xfId="22445" xr:uid="{00000000-0005-0000-0000-0000DD570000}"/>
    <cellStyle name="汇总 2 8 8 11 2" xfId="12407" xr:uid="{00000000-0005-0000-0000-0000A7300000}"/>
    <cellStyle name="汇总 2 8 8 12" xfId="22450" xr:uid="{00000000-0005-0000-0000-0000E2570000}"/>
    <cellStyle name="汇总 2 8 8 12 2" xfId="16686" xr:uid="{00000000-0005-0000-0000-00005E410000}"/>
    <cellStyle name="汇总 2 8 8 13" xfId="22452" xr:uid="{00000000-0005-0000-0000-0000E4570000}"/>
    <cellStyle name="汇总 2 8 8 14" xfId="22456" xr:uid="{00000000-0005-0000-0000-0000E8570000}"/>
    <cellStyle name="汇总 2 8 8 15" xfId="22458" xr:uid="{00000000-0005-0000-0000-0000EA570000}"/>
    <cellStyle name="汇总 2 8 8 16" xfId="9330" xr:uid="{00000000-0005-0000-0000-0000A2240000}"/>
    <cellStyle name="汇总 2 8 8 2" xfId="22460" xr:uid="{00000000-0005-0000-0000-0000EC570000}"/>
    <cellStyle name="汇总 2 8 8 2 2" xfId="8495" xr:uid="{00000000-0005-0000-0000-00005F210000}"/>
    <cellStyle name="汇总 2 8 8 2 2 2" xfId="22444" xr:uid="{00000000-0005-0000-0000-0000DC570000}"/>
    <cellStyle name="汇总 2 8 8 2 3" xfId="22461" xr:uid="{00000000-0005-0000-0000-0000ED570000}"/>
    <cellStyle name="汇总 2 8 8 2 3 2" xfId="22463" xr:uid="{00000000-0005-0000-0000-0000EF570000}"/>
    <cellStyle name="汇总 2 8 8 2 4" xfId="19832" xr:uid="{00000000-0005-0000-0000-0000A84D0000}"/>
    <cellStyle name="汇总 2 8 8 2 4 2" xfId="22465" xr:uid="{00000000-0005-0000-0000-0000F1570000}"/>
    <cellStyle name="汇总 2 8 8 2 5" xfId="22466" xr:uid="{00000000-0005-0000-0000-0000F2570000}"/>
    <cellStyle name="汇总 2 8 8 2 5 2" xfId="22467" xr:uid="{00000000-0005-0000-0000-0000F3570000}"/>
    <cellStyle name="汇总 2 8 8 2 6" xfId="12969" xr:uid="{00000000-0005-0000-0000-0000D9320000}"/>
    <cellStyle name="汇总 2 8 8 2 7" xfId="22468" xr:uid="{00000000-0005-0000-0000-0000F4570000}"/>
    <cellStyle name="汇总 2 8 8 2 8" xfId="22469" xr:uid="{00000000-0005-0000-0000-0000F5570000}"/>
    <cellStyle name="汇总 2 8 8 2 9" xfId="22471" xr:uid="{00000000-0005-0000-0000-0000F7570000}"/>
    <cellStyle name="汇总 2 8 8 3" xfId="6228" xr:uid="{00000000-0005-0000-0000-000084180000}"/>
    <cellStyle name="汇总 2 8 8 3 2" xfId="8502" xr:uid="{00000000-0005-0000-0000-000066210000}"/>
    <cellStyle name="汇总 2 8 8 3 2 2" xfId="22473" xr:uid="{00000000-0005-0000-0000-0000F9570000}"/>
    <cellStyle name="汇总 2 8 8 3 3" xfId="6164" xr:uid="{00000000-0005-0000-0000-000044180000}"/>
    <cellStyle name="汇总 2 8 8 3 3 2" xfId="2325" xr:uid="{00000000-0005-0000-0000-000045090000}"/>
    <cellStyle name="汇总 2 8 8 3 4" xfId="7397" xr:uid="{00000000-0005-0000-0000-0000151D0000}"/>
    <cellStyle name="汇总 2 8 8 3 4 2" xfId="243" xr:uid="{00000000-0005-0000-0000-00000A010000}"/>
    <cellStyle name="汇总 2 8 8 3 5" xfId="5788" xr:uid="{00000000-0005-0000-0000-0000CC160000}"/>
    <cellStyle name="汇总 2 8 8 3 5 2" xfId="7982" xr:uid="{00000000-0005-0000-0000-00005E1F0000}"/>
    <cellStyle name="汇总 2 8 8 3 6" xfId="7986" xr:uid="{00000000-0005-0000-0000-0000621F0000}"/>
    <cellStyle name="汇总 2 8 8 4" xfId="22475" xr:uid="{00000000-0005-0000-0000-0000FB570000}"/>
    <cellStyle name="汇总 2 8 8 4 2" xfId="11060" xr:uid="{00000000-0005-0000-0000-0000642B0000}"/>
    <cellStyle name="汇总 2 8 8 4 2 2" xfId="22478" xr:uid="{00000000-0005-0000-0000-0000FE570000}"/>
    <cellStyle name="汇总 2 8 8 4 3" xfId="6185" xr:uid="{00000000-0005-0000-0000-000059180000}"/>
    <cellStyle name="汇总 2 8 8 4 3 2" xfId="7022" xr:uid="{00000000-0005-0000-0000-00009E1B0000}"/>
    <cellStyle name="汇总 2 8 8 4 4" xfId="7087" xr:uid="{00000000-0005-0000-0000-0000DF1B0000}"/>
    <cellStyle name="汇总 2 8 8 4 4 2" xfId="7104" xr:uid="{00000000-0005-0000-0000-0000F01B0000}"/>
    <cellStyle name="汇总 2 8 8 4 5" xfId="5806" xr:uid="{00000000-0005-0000-0000-0000DE160000}"/>
    <cellStyle name="汇总 2 8 8 4 5 2" xfId="7141" xr:uid="{00000000-0005-0000-0000-0000151C0000}"/>
    <cellStyle name="汇总 2 8 8 4 6" xfId="7178" xr:uid="{00000000-0005-0000-0000-00003A1C0000}"/>
    <cellStyle name="汇总 2 8 8 5" xfId="2333" xr:uid="{00000000-0005-0000-0000-00004D090000}"/>
    <cellStyle name="汇总 2 8 8 5 2" xfId="3552" xr:uid="{00000000-0005-0000-0000-0000100E0000}"/>
    <cellStyle name="汇总 2 8 8 5 2 2" xfId="3604" xr:uid="{00000000-0005-0000-0000-0000440E0000}"/>
    <cellStyle name="汇总 2 8 8 5 3" xfId="3952" xr:uid="{00000000-0005-0000-0000-0000A00F0000}"/>
    <cellStyle name="汇总 2 8 8 5 3 2" xfId="4015" xr:uid="{00000000-0005-0000-0000-0000DF0F0000}"/>
    <cellStyle name="汇总 2 8 8 5 4" xfId="4362" xr:uid="{00000000-0005-0000-0000-00003A110000}"/>
    <cellStyle name="汇总 2 8 8 5 4 2" xfId="4427" xr:uid="{00000000-0005-0000-0000-00007B110000}"/>
    <cellStyle name="汇总 2 8 8 5 5" xfId="3190" xr:uid="{00000000-0005-0000-0000-0000A60C0000}"/>
    <cellStyle name="汇总 2 8 8 5 5 2" xfId="2257" xr:uid="{00000000-0005-0000-0000-000001090000}"/>
    <cellStyle name="汇总 2 8 8 5 6" xfId="4915" xr:uid="{00000000-0005-0000-0000-000063130000}"/>
    <cellStyle name="汇总 2 8 8 6" xfId="6138" xr:uid="{00000000-0005-0000-0000-00002A180000}"/>
    <cellStyle name="汇总 2 8 8 6 2" xfId="1623" xr:uid="{00000000-0005-0000-0000-000087060000}"/>
    <cellStyle name="汇总 2 8 8 6 2 2" xfId="7312" xr:uid="{00000000-0005-0000-0000-0000C01C0000}"/>
    <cellStyle name="汇总 2 8 8 6 3" xfId="1634" xr:uid="{00000000-0005-0000-0000-000092060000}"/>
    <cellStyle name="汇总 2 8 8 6 3 2" xfId="7776" xr:uid="{00000000-0005-0000-0000-0000901E0000}"/>
    <cellStyle name="汇总 2 8 8 6 4" xfId="1645" xr:uid="{00000000-0005-0000-0000-00009D060000}"/>
    <cellStyle name="汇总 2 8 8 6 4 2" xfId="6157" xr:uid="{00000000-0005-0000-0000-00003D180000}"/>
    <cellStyle name="汇总 2 8 8 6 5" xfId="8015" xr:uid="{00000000-0005-0000-0000-00007F1F0000}"/>
    <cellStyle name="汇总 2 8 8 6 5 2" xfId="8019" xr:uid="{00000000-0005-0000-0000-0000831F0000}"/>
    <cellStyle name="汇总 2 8 8 6 6" xfId="8025" xr:uid="{00000000-0005-0000-0000-0000891F0000}"/>
    <cellStyle name="汇总 2 8 8 7" xfId="7203" xr:uid="{00000000-0005-0000-0000-0000531C0000}"/>
    <cellStyle name="汇总 2 8 8 7 2" xfId="9479" xr:uid="{00000000-0005-0000-0000-000037250000}"/>
    <cellStyle name="汇总 2 8 8 7 2 2" xfId="9549" xr:uid="{00000000-0005-0000-0000-00007D250000}"/>
    <cellStyle name="汇总 2 8 8 7 3" xfId="8038" xr:uid="{00000000-0005-0000-0000-0000961F0000}"/>
    <cellStyle name="汇总 2 8 8 7 3 2" xfId="8" xr:uid="{00000000-0005-0000-0000-00000A000000}"/>
    <cellStyle name="汇总 2 8 8 7 4" xfId="8042" xr:uid="{00000000-0005-0000-0000-00009A1F0000}"/>
    <cellStyle name="汇总 2 8 8 7 4 2" xfId="8048" xr:uid="{00000000-0005-0000-0000-0000A01F0000}"/>
    <cellStyle name="汇总 2 8 8 7 5" xfId="8055" xr:uid="{00000000-0005-0000-0000-0000A71F0000}"/>
    <cellStyle name="汇总 2 8 8 7 5 2" xfId="8060" xr:uid="{00000000-0005-0000-0000-0000AC1F0000}"/>
    <cellStyle name="汇总 2 8 8 7 6" xfId="4668" xr:uid="{00000000-0005-0000-0000-00006C120000}"/>
    <cellStyle name="汇总 2 8 8 8" xfId="11505" xr:uid="{00000000-0005-0000-0000-0000212D0000}"/>
    <cellStyle name="汇总 2 8 8 8 2" xfId="11532" xr:uid="{00000000-0005-0000-0000-00003C2D0000}"/>
    <cellStyle name="汇总 2 8 8 8 2 2" xfId="11536" xr:uid="{00000000-0005-0000-0000-0000402D0000}"/>
    <cellStyle name="汇总 2 8 8 8 3" xfId="8070" xr:uid="{00000000-0005-0000-0000-0000B61F0000}"/>
    <cellStyle name="汇总 2 8 8 8 3 2" xfId="8078" xr:uid="{00000000-0005-0000-0000-0000BE1F0000}"/>
    <cellStyle name="汇总 2 8 8 8 4" xfId="8082" xr:uid="{00000000-0005-0000-0000-0000C21F0000}"/>
    <cellStyle name="汇总 2 8 8 8 4 2" xfId="8093" xr:uid="{00000000-0005-0000-0000-0000CD1F0000}"/>
    <cellStyle name="汇总 2 8 8 8 5" xfId="8100" xr:uid="{00000000-0005-0000-0000-0000D41F0000}"/>
    <cellStyle name="汇总 2 8 8 9" xfId="5338" xr:uid="{00000000-0005-0000-0000-00000A150000}"/>
    <cellStyle name="汇总 2 8 8 9 2" xfId="11255" xr:uid="{00000000-0005-0000-0000-0000272C0000}"/>
    <cellStyle name="汇总 2 8 9" xfId="2906" xr:uid="{00000000-0005-0000-0000-00008A0B0000}"/>
    <cellStyle name="汇总 2 8 9 10" xfId="2953" xr:uid="{00000000-0005-0000-0000-0000B90B0000}"/>
    <cellStyle name="汇总 2 8 9 10 2" xfId="2962" xr:uid="{00000000-0005-0000-0000-0000C20B0000}"/>
    <cellStyle name="汇总 2 8 9 11" xfId="2995" xr:uid="{00000000-0005-0000-0000-0000E30B0000}"/>
    <cellStyle name="汇总 2 8 9 11 2" xfId="3018" xr:uid="{00000000-0005-0000-0000-0000FA0B0000}"/>
    <cellStyle name="汇总 2 8 9 12" xfId="3097" xr:uid="{00000000-0005-0000-0000-0000490C0000}"/>
    <cellStyle name="汇总 2 8 9 12 2" xfId="3102" xr:uid="{00000000-0005-0000-0000-00004E0C0000}"/>
    <cellStyle name="汇总 2 8 9 13" xfId="3163" xr:uid="{00000000-0005-0000-0000-00008B0C0000}"/>
    <cellStyle name="汇总 2 8 9 14" xfId="2337" xr:uid="{00000000-0005-0000-0000-000051090000}"/>
    <cellStyle name="汇总 2 8 9 15" xfId="588" xr:uid="{00000000-0005-0000-0000-00007C020000}"/>
    <cellStyle name="汇总 2 8 9 16" xfId="789" xr:uid="{00000000-0005-0000-0000-000045030000}"/>
    <cellStyle name="汇总 2 8 9 2" xfId="2917" xr:uid="{00000000-0005-0000-0000-0000950B0000}"/>
    <cellStyle name="汇总 2 8 9 2 2" xfId="2924" xr:uid="{00000000-0005-0000-0000-00009C0B0000}"/>
    <cellStyle name="汇总 2 8 9 2 2 2" xfId="22481" xr:uid="{00000000-0005-0000-0000-000001580000}"/>
    <cellStyle name="汇总 2 8 9 2 3" xfId="22482" xr:uid="{00000000-0005-0000-0000-000002580000}"/>
    <cellStyle name="汇总 2 8 9 2 3 2" xfId="22485" xr:uid="{00000000-0005-0000-0000-000005580000}"/>
    <cellStyle name="汇总 2 8 9 2 4" xfId="22487" xr:uid="{00000000-0005-0000-0000-000007580000}"/>
    <cellStyle name="汇总 2 8 9 2 4 2" xfId="22490" xr:uid="{00000000-0005-0000-0000-00000A580000}"/>
    <cellStyle name="汇总 2 8 9 2 5" xfId="22492" xr:uid="{00000000-0005-0000-0000-00000C580000}"/>
    <cellStyle name="汇总 2 8 9 2 5 2" xfId="22494" xr:uid="{00000000-0005-0000-0000-00000E580000}"/>
    <cellStyle name="汇总 2 8 9 2 6" xfId="13000" xr:uid="{00000000-0005-0000-0000-0000F8320000}"/>
    <cellStyle name="汇总 2 8 9 2 7" xfId="22496" xr:uid="{00000000-0005-0000-0000-000010580000}"/>
    <cellStyle name="汇总 2 8 9 2 8" xfId="22498" xr:uid="{00000000-0005-0000-0000-000012580000}"/>
    <cellStyle name="汇总 2 8 9 2 9" xfId="22500" xr:uid="{00000000-0005-0000-0000-000014580000}"/>
    <cellStyle name="汇总 2 8 9 3" xfId="994" xr:uid="{00000000-0005-0000-0000-000012040000}"/>
    <cellStyle name="汇总 2 8 9 3 2" xfId="2926" xr:uid="{00000000-0005-0000-0000-00009E0B0000}"/>
    <cellStyle name="汇总 2 8 9 3 2 2" xfId="22502" xr:uid="{00000000-0005-0000-0000-000016580000}"/>
    <cellStyle name="汇总 2 8 9 3 3" xfId="8168" xr:uid="{00000000-0005-0000-0000-000018200000}"/>
    <cellStyle name="汇总 2 8 9 3 3 2" xfId="6883" xr:uid="{00000000-0005-0000-0000-0000131B0000}"/>
    <cellStyle name="汇总 2 8 9 3 4" xfId="7434" xr:uid="{00000000-0005-0000-0000-00003A1D0000}"/>
    <cellStyle name="汇总 2 8 9 3 4 2" xfId="8171" xr:uid="{00000000-0005-0000-0000-00001B200000}"/>
    <cellStyle name="汇总 2 8 9 3 5" xfId="5909" xr:uid="{00000000-0005-0000-0000-000045170000}"/>
    <cellStyle name="汇总 2 8 9 3 5 2" xfId="8178" xr:uid="{00000000-0005-0000-0000-000022200000}"/>
    <cellStyle name="汇总 2 8 9 3 6" xfId="8189" xr:uid="{00000000-0005-0000-0000-00002D200000}"/>
    <cellStyle name="汇总 2 8 9 4" xfId="1024" xr:uid="{00000000-0005-0000-0000-000030040000}"/>
    <cellStyle name="汇总 2 8 9 4 2" xfId="2932" xr:uid="{00000000-0005-0000-0000-0000A40B0000}"/>
    <cellStyle name="汇总 2 8 9 4 2 2" xfId="22505" xr:uid="{00000000-0005-0000-0000-000019580000}"/>
    <cellStyle name="汇总 2 8 9 4 3" xfId="8217" xr:uid="{00000000-0005-0000-0000-000049200000}"/>
    <cellStyle name="汇总 2 8 9 4 3 2" xfId="8225" xr:uid="{00000000-0005-0000-0000-000051200000}"/>
    <cellStyle name="汇总 2 8 9 4 4" xfId="7451" xr:uid="{00000000-0005-0000-0000-00004B1D0000}"/>
    <cellStyle name="汇总 2 8 9 4 4 2" xfId="8232" xr:uid="{00000000-0005-0000-0000-000058200000}"/>
    <cellStyle name="汇总 2 8 9 4 5" xfId="5931" xr:uid="{00000000-0005-0000-0000-00005B170000}"/>
    <cellStyle name="汇总 2 8 9 4 5 2" xfId="8239" xr:uid="{00000000-0005-0000-0000-00005F200000}"/>
    <cellStyle name="汇总 2 8 9 4 6" xfId="8245" xr:uid="{00000000-0005-0000-0000-000065200000}"/>
    <cellStyle name="汇总 2 8 9 5" xfId="2936" xr:uid="{00000000-0005-0000-0000-0000A80B0000}"/>
    <cellStyle name="汇总 2 8 9 5 2" xfId="139" xr:uid="{00000000-0005-0000-0000-000096000000}"/>
    <cellStyle name="汇总 2 8 9 5 2 2" xfId="22508" xr:uid="{00000000-0005-0000-0000-00001C580000}"/>
    <cellStyle name="汇总 2 8 9 5 3" xfId="8264" xr:uid="{00000000-0005-0000-0000-000078200000}"/>
    <cellStyle name="汇总 2 8 9 5 3 2" xfId="8272" xr:uid="{00000000-0005-0000-0000-000080200000}"/>
    <cellStyle name="汇总 2 8 9 5 4" xfId="7462" xr:uid="{00000000-0005-0000-0000-0000561D0000}"/>
    <cellStyle name="汇总 2 8 9 5 4 2" xfId="8281" xr:uid="{00000000-0005-0000-0000-000089200000}"/>
    <cellStyle name="汇总 2 8 9 5 5" xfId="8289" xr:uid="{00000000-0005-0000-0000-000091200000}"/>
    <cellStyle name="汇总 2 8 9 5 5 2" xfId="6236" xr:uid="{00000000-0005-0000-0000-00008C180000}"/>
    <cellStyle name="汇总 2 8 9 5 6" xfId="8292" xr:uid="{00000000-0005-0000-0000-000094200000}"/>
    <cellStyle name="汇总 2 8 9 6" xfId="2939" xr:uid="{00000000-0005-0000-0000-0000AB0B0000}"/>
    <cellStyle name="汇总 2 8 9 6 2" xfId="22511" xr:uid="{00000000-0005-0000-0000-00001F580000}"/>
    <cellStyle name="汇总 2 8 9 6 2 2" xfId="22515" xr:uid="{00000000-0005-0000-0000-000023580000}"/>
    <cellStyle name="汇总 2 8 9 6 3" xfId="8315" xr:uid="{00000000-0005-0000-0000-0000AB200000}"/>
    <cellStyle name="汇总 2 8 9 6 3 2" xfId="8327" xr:uid="{00000000-0005-0000-0000-0000B7200000}"/>
    <cellStyle name="汇总 2 8 9 6 4" xfId="7472" xr:uid="{00000000-0005-0000-0000-0000601D0000}"/>
    <cellStyle name="汇总 2 8 9 6 4 2" xfId="8334" xr:uid="{00000000-0005-0000-0000-0000BE200000}"/>
    <cellStyle name="汇总 2 8 9 6 5" xfId="8338" xr:uid="{00000000-0005-0000-0000-0000C2200000}"/>
    <cellStyle name="汇总 2 8 9 6 5 2" xfId="8345" xr:uid="{00000000-0005-0000-0000-0000C9200000}"/>
    <cellStyle name="汇总 2 8 9 6 6" xfId="8349" xr:uid="{00000000-0005-0000-0000-0000CD200000}"/>
    <cellStyle name="汇总 2 8 9 7" xfId="7214" xr:uid="{00000000-0005-0000-0000-00005E1C0000}"/>
    <cellStyle name="汇总 2 8 9 7 2" xfId="22518" xr:uid="{00000000-0005-0000-0000-000026580000}"/>
    <cellStyle name="汇总 2 8 9 7 2 2" xfId="15717" xr:uid="{00000000-0005-0000-0000-0000953D0000}"/>
    <cellStyle name="汇总 2 8 9 7 3" xfId="4546" xr:uid="{00000000-0005-0000-0000-0000F2110000}"/>
    <cellStyle name="汇总 2 8 9 7 3 2" xfId="8364" xr:uid="{00000000-0005-0000-0000-0000DC200000}"/>
    <cellStyle name="汇总 2 8 9 7 4" xfId="8375" xr:uid="{00000000-0005-0000-0000-0000E7200000}"/>
    <cellStyle name="汇总 2 8 9 7 4 2" xfId="8379" xr:uid="{00000000-0005-0000-0000-0000EB200000}"/>
    <cellStyle name="汇总 2 8 9 7 5" xfId="1264" xr:uid="{00000000-0005-0000-0000-000020050000}"/>
    <cellStyle name="汇总 2 8 9 7 5 2" xfId="8392" xr:uid="{00000000-0005-0000-0000-0000F8200000}"/>
    <cellStyle name="汇总 2 8 9 7 6" xfId="8396" xr:uid="{00000000-0005-0000-0000-0000FC200000}"/>
    <cellStyle name="汇总 2 8 9 8" xfId="22520" xr:uid="{00000000-0005-0000-0000-000028580000}"/>
    <cellStyle name="汇总 2 8 9 8 2" xfId="22522" xr:uid="{00000000-0005-0000-0000-00002A580000}"/>
    <cellStyle name="汇总 2 8 9 8 2 2" xfId="19267" xr:uid="{00000000-0005-0000-0000-0000734B0000}"/>
    <cellStyle name="汇总 2 8 9 8 3" xfId="4571" xr:uid="{00000000-0005-0000-0000-00000B120000}"/>
    <cellStyle name="汇总 2 8 9 8 3 2" xfId="8414" xr:uid="{00000000-0005-0000-0000-00000E210000}"/>
    <cellStyle name="汇总 2 8 9 8 4" xfId="8428" xr:uid="{00000000-0005-0000-0000-00001C210000}"/>
    <cellStyle name="汇总 2 8 9 8 4 2" xfId="8441" xr:uid="{00000000-0005-0000-0000-000029210000}"/>
    <cellStyle name="汇总 2 8 9 8 5" xfId="8452" xr:uid="{00000000-0005-0000-0000-000034210000}"/>
    <cellStyle name="汇总 2 8 9 9" xfId="22524" xr:uid="{00000000-0005-0000-0000-00002C580000}"/>
    <cellStyle name="汇总 2 8 9 9 2" xfId="22526" xr:uid="{00000000-0005-0000-0000-00002E580000}"/>
    <cellStyle name="汇总 2 9" xfId="16448" xr:uid="{00000000-0005-0000-0000-000070400000}"/>
    <cellStyle name="汇总 2 9 10" xfId="22527" xr:uid="{00000000-0005-0000-0000-00002F580000}"/>
    <cellStyle name="汇总 2 9 10 10" xfId="3617" xr:uid="{00000000-0005-0000-0000-0000510E0000}"/>
    <cellStyle name="汇总 2 9 10 10 2" xfId="5647" xr:uid="{00000000-0005-0000-0000-00003F160000}"/>
    <cellStyle name="汇总 2 9 10 11" xfId="22529" xr:uid="{00000000-0005-0000-0000-000031580000}"/>
    <cellStyle name="汇总 2 9 10 11 2" xfId="22531" xr:uid="{00000000-0005-0000-0000-000033580000}"/>
    <cellStyle name="汇总 2 9 10 12" xfId="22532" xr:uid="{00000000-0005-0000-0000-000034580000}"/>
    <cellStyle name="汇总 2 9 10 12 2" xfId="22533" xr:uid="{00000000-0005-0000-0000-000035580000}"/>
    <cellStyle name="汇总 2 9 10 13" xfId="13252" xr:uid="{00000000-0005-0000-0000-0000F4330000}"/>
    <cellStyle name="汇总 2 9 10 14" xfId="22535" xr:uid="{00000000-0005-0000-0000-000037580000}"/>
    <cellStyle name="汇总 2 9 10 15" xfId="22537" xr:uid="{00000000-0005-0000-0000-000039580000}"/>
    <cellStyle name="汇总 2 9 10 16" xfId="22541" xr:uid="{00000000-0005-0000-0000-00003D580000}"/>
    <cellStyle name="汇总 2 9 10 2" xfId="22542" xr:uid="{00000000-0005-0000-0000-00003E580000}"/>
    <cellStyle name="汇总 2 9 10 2 2" xfId="22544" xr:uid="{00000000-0005-0000-0000-000040580000}"/>
    <cellStyle name="汇总 2 9 10 2 2 2" xfId="17216" xr:uid="{00000000-0005-0000-0000-000070430000}"/>
    <cellStyle name="汇总 2 9 10 2 3" xfId="18237" xr:uid="{00000000-0005-0000-0000-00006D470000}"/>
    <cellStyle name="汇总 2 9 10 2 3 2" xfId="17245" xr:uid="{00000000-0005-0000-0000-00008D430000}"/>
    <cellStyle name="汇总 2 9 10 2 4" xfId="18241" xr:uid="{00000000-0005-0000-0000-000071470000}"/>
    <cellStyle name="汇总 2 9 10 2 4 2" xfId="18247" xr:uid="{00000000-0005-0000-0000-000077470000}"/>
    <cellStyle name="汇总 2 9 10 2 5" xfId="18250" xr:uid="{00000000-0005-0000-0000-00007A470000}"/>
    <cellStyle name="汇总 2 9 10 2 5 2" xfId="18254" xr:uid="{00000000-0005-0000-0000-00007E470000}"/>
    <cellStyle name="汇总 2 9 10 2 6" xfId="16252" xr:uid="{00000000-0005-0000-0000-0000AC3F0000}"/>
    <cellStyle name="汇总 2 9 10 2 7" xfId="18265" xr:uid="{00000000-0005-0000-0000-000089470000}"/>
    <cellStyle name="汇总 2 9 10 2 8" xfId="22547" xr:uid="{00000000-0005-0000-0000-000043580000}"/>
    <cellStyle name="汇总 2 9 10 2 9" xfId="11666" xr:uid="{00000000-0005-0000-0000-0000C22D0000}"/>
    <cellStyle name="汇总 2 9 10 3" xfId="22551" xr:uid="{00000000-0005-0000-0000-000047580000}"/>
    <cellStyle name="汇总 2 9 10 3 2" xfId="22553" xr:uid="{00000000-0005-0000-0000-000049580000}"/>
    <cellStyle name="汇总 2 9 10 3 2 2" xfId="2775" xr:uid="{00000000-0005-0000-0000-0000070B0000}"/>
    <cellStyle name="汇总 2 9 10 3 3" xfId="18275" xr:uid="{00000000-0005-0000-0000-000093470000}"/>
    <cellStyle name="汇总 2 9 10 3 3 2" xfId="18282" xr:uid="{00000000-0005-0000-0000-00009A470000}"/>
    <cellStyle name="汇总 2 9 10 3 4" xfId="18288" xr:uid="{00000000-0005-0000-0000-0000A0470000}"/>
    <cellStyle name="汇总 2 9 10 3 4 2" xfId="16056" xr:uid="{00000000-0005-0000-0000-0000E83E0000}"/>
    <cellStyle name="汇总 2 9 10 3 5" xfId="18297" xr:uid="{00000000-0005-0000-0000-0000A9470000}"/>
    <cellStyle name="汇总 2 9 10 3 5 2" xfId="7746" xr:uid="{00000000-0005-0000-0000-0000721E0000}"/>
    <cellStyle name="汇总 2 9 10 3 6" xfId="18306" xr:uid="{00000000-0005-0000-0000-0000B2470000}"/>
    <cellStyle name="汇总 2 9 10 4" xfId="10150" xr:uid="{00000000-0005-0000-0000-0000D6270000}"/>
    <cellStyle name="汇总 2 9 10 4 2" xfId="22555" xr:uid="{00000000-0005-0000-0000-00004B580000}"/>
    <cellStyle name="汇总 2 9 10 4 2 2" xfId="2947" xr:uid="{00000000-0005-0000-0000-0000B30B0000}"/>
    <cellStyle name="汇总 2 9 10 4 3" xfId="18318" xr:uid="{00000000-0005-0000-0000-0000BE470000}"/>
    <cellStyle name="汇总 2 9 10 4 3 2" xfId="18325" xr:uid="{00000000-0005-0000-0000-0000C5470000}"/>
    <cellStyle name="汇总 2 9 10 4 4" xfId="18330" xr:uid="{00000000-0005-0000-0000-0000CA470000}"/>
    <cellStyle name="汇总 2 9 10 4 4 2" xfId="16736" xr:uid="{00000000-0005-0000-0000-000090410000}"/>
    <cellStyle name="汇总 2 9 10 4 5" xfId="18338" xr:uid="{00000000-0005-0000-0000-0000D2470000}"/>
    <cellStyle name="汇总 2 9 10 4 5 2" xfId="8839" xr:uid="{00000000-0005-0000-0000-0000B7220000}"/>
    <cellStyle name="汇总 2 9 10 4 6" xfId="18346" xr:uid="{00000000-0005-0000-0000-0000DA470000}"/>
    <cellStyle name="汇总 2 9 10 5" xfId="22558" xr:uid="{00000000-0005-0000-0000-00004E580000}"/>
    <cellStyle name="汇总 2 9 10 5 2" xfId="22559" xr:uid="{00000000-0005-0000-0000-00004F580000}"/>
    <cellStyle name="汇总 2 9 10 5 2 2" xfId="22563" xr:uid="{00000000-0005-0000-0000-000053580000}"/>
    <cellStyle name="汇总 2 9 10 5 3" xfId="18365" xr:uid="{00000000-0005-0000-0000-0000ED470000}"/>
    <cellStyle name="汇总 2 9 10 5 3 2" xfId="18376" xr:uid="{00000000-0005-0000-0000-0000F8470000}"/>
    <cellStyle name="汇总 2 9 10 5 4" xfId="18383" xr:uid="{00000000-0005-0000-0000-0000FF470000}"/>
    <cellStyle name="汇总 2 9 10 5 4 2" xfId="18390" xr:uid="{00000000-0005-0000-0000-000006480000}"/>
    <cellStyle name="汇总 2 9 10 5 5" xfId="18398" xr:uid="{00000000-0005-0000-0000-00000E480000}"/>
    <cellStyle name="汇总 2 9 10 5 5 2" xfId="18403" xr:uid="{00000000-0005-0000-0000-000013480000}"/>
    <cellStyle name="汇总 2 9 10 5 6" xfId="10657" xr:uid="{00000000-0005-0000-0000-0000D1290000}"/>
    <cellStyle name="汇总 2 9 10 6" xfId="22565" xr:uid="{00000000-0005-0000-0000-000055580000}"/>
    <cellStyle name="汇总 2 9 10 6 2" xfId="22566" xr:uid="{00000000-0005-0000-0000-000056580000}"/>
    <cellStyle name="汇总 2 9 10 6 2 2" xfId="22569" xr:uid="{00000000-0005-0000-0000-000059580000}"/>
    <cellStyle name="汇总 2 9 10 6 3" xfId="18424" xr:uid="{00000000-0005-0000-0000-000028480000}"/>
    <cellStyle name="汇总 2 9 10 6 3 2" xfId="397" xr:uid="{00000000-0005-0000-0000-0000B3010000}"/>
    <cellStyle name="汇总 2 9 10 6 4" xfId="18436" xr:uid="{00000000-0005-0000-0000-000034480000}"/>
    <cellStyle name="汇总 2 9 10 6 4 2" xfId="9812" xr:uid="{00000000-0005-0000-0000-000084260000}"/>
    <cellStyle name="汇总 2 9 10 6 5" xfId="18449" xr:uid="{00000000-0005-0000-0000-000041480000}"/>
    <cellStyle name="汇总 2 9 10 6 5 2" xfId="18456" xr:uid="{00000000-0005-0000-0000-000048480000}"/>
    <cellStyle name="汇总 2 9 10 6 6" xfId="10675" xr:uid="{00000000-0005-0000-0000-0000E3290000}"/>
    <cellStyle name="汇总 2 9 10 7" xfId="5432" xr:uid="{00000000-0005-0000-0000-000068150000}"/>
    <cellStyle name="汇总 2 9 10 7 2" xfId="22571" xr:uid="{00000000-0005-0000-0000-00005B580000}"/>
    <cellStyle name="汇总 2 9 10 7 2 2" xfId="10029" xr:uid="{00000000-0005-0000-0000-00005D270000}"/>
    <cellStyle name="汇总 2 9 10 7 3" xfId="18469" xr:uid="{00000000-0005-0000-0000-000055480000}"/>
    <cellStyle name="汇总 2 9 10 7 3 2" xfId="10090" xr:uid="{00000000-0005-0000-0000-00009A270000}"/>
    <cellStyle name="汇总 2 9 10 7 4" xfId="18482" xr:uid="{00000000-0005-0000-0000-000062480000}"/>
    <cellStyle name="汇总 2 9 10 7 4 2" xfId="10140" xr:uid="{00000000-0005-0000-0000-0000CC270000}"/>
    <cellStyle name="汇总 2 9 10 7 5" xfId="18494" xr:uid="{00000000-0005-0000-0000-00006E480000}"/>
    <cellStyle name="汇总 2 9 10 7 5 2" xfId="18501" xr:uid="{00000000-0005-0000-0000-000075480000}"/>
    <cellStyle name="汇总 2 9 10 7 6" xfId="10695" xr:uid="{00000000-0005-0000-0000-0000F7290000}"/>
    <cellStyle name="汇总 2 9 10 8" xfId="22574" xr:uid="{00000000-0005-0000-0000-00005E580000}"/>
    <cellStyle name="汇总 2 9 10 8 2" xfId="22576" xr:uid="{00000000-0005-0000-0000-000060580000}"/>
    <cellStyle name="汇总 2 9 10 8 2 2" xfId="10332" xr:uid="{00000000-0005-0000-0000-00008C280000}"/>
    <cellStyle name="汇总 2 9 10 8 3" xfId="18504" xr:uid="{00000000-0005-0000-0000-000078480000}"/>
    <cellStyle name="汇总 2 9 10 8 3 2" xfId="10386" xr:uid="{00000000-0005-0000-0000-0000C2280000}"/>
    <cellStyle name="汇总 2 9 10 8 4" xfId="22578" xr:uid="{00000000-0005-0000-0000-000062580000}"/>
    <cellStyle name="汇总 2 9 10 8 4 2" xfId="10441" xr:uid="{00000000-0005-0000-0000-0000F9280000}"/>
    <cellStyle name="汇总 2 9 10 8 5" xfId="22584" xr:uid="{00000000-0005-0000-0000-000068580000}"/>
    <cellStyle name="汇总 2 9 10 9" xfId="22586" xr:uid="{00000000-0005-0000-0000-00006A580000}"/>
    <cellStyle name="汇总 2 9 10 9 2" xfId="22588" xr:uid="{00000000-0005-0000-0000-00006C580000}"/>
    <cellStyle name="汇总 2 9 11" xfId="21084" xr:uid="{00000000-0005-0000-0000-00008C520000}"/>
    <cellStyle name="汇总 2 9 11 10" xfId="22594" xr:uid="{00000000-0005-0000-0000-000072580000}"/>
    <cellStyle name="汇总 2 9 11 10 2" xfId="22597" xr:uid="{00000000-0005-0000-0000-000075580000}"/>
    <cellStyle name="汇总 2 9 11 11" xfId="22599" xr:uid="{00000000-0005-0000-0000-000077580000}"/>
    <cellStyle name="汇总 2 9 11 11 2" xfId="22602" xr:uid="{00000000-0005-0000-0000-00007A580000}"/>
    <cellStyle name="汇总 2 9 11 12" xfId="15785" xr:uid="{00000000-0005-0000-0000-0000D93D0000}"/>
    <cellStyle name="汇总 2 9 11 12 2" xfId="22605" xr:uid="{00000000-0005-0000-0000-00007D580000}"/>
    <cellStyle name="汇总 2 9 11 13" xfId="4950" xr:uid="{00000000-0005-0000-0000-000086130000}"/>
    <cellStyle name="汇总 2 9 11 14" xfId="22608" xr:uid="{00000000-0005-0000-0000-000080580000}"/>
    <cellStyle name="汇总 2 9 11 15" xfId="14421" xr:uid="{00000000-0005-0000-0000-000085380000}"/>
    <cellStyle name="汇总 2 9 11 16" xfId="22611" xr:uid="{00000000-0005-0000-0000-000083580000}"/>
    <cellStyle name="汇总 2 9 11 2" xfId="21088" xr:uid="{00000000-0005-0000-0000-000090520000}"/>
    <cellStyle name="汇总 2 9 11 2 2" xfId="22614" xr:uid="{00000000-0005-0000-0000-000086580000}"/>
    <cellStyle name="汇总 2 9 11 2 2 2" xfId="19162" xr:uid="{00000000-0005-0000-0000-00000A4B0000}"/>
    <cellStyle name="汇总 2 9 11 2 3" xfId="18559" xr:uid="{00000000-0005-0000-0000-0000AF480000}"/>
    <cellStyle name="汇总 2 9 11 2 3 2" xfId="18562" xr:uid="{00000000-0005-0000-0000-0000B2480000}"/>
    <cellStyle name="汇总 2 9 11 2 4" xfId="13661" xr:uid="{00000000-0005-0000-0000-00008D350000}"/>
    <cellStyle name="汇总 2 9 11 2 4 2" xfId="13666" xr:uid="{00000000-0005-0000-0000-000092350000}"/>
    <cellStyle name="汇总 2 9 11 2 5" xfId="13673" xr:uid="{00000000-0005-0000-0000-000099350000}"/>
    <cellStyle name="汇总 2 9 11 2 5 2" xfId="13679" xr:uid="{00000000-0005-0000-0000-00009F350000}"/>
    <cellStyle name="汇总 2 9 11 2 6" xfId="13685" xr:uid="{00000000-0005-0000-0000-0000A5350000}"/>
    <cellStyle name="汇总 2 9 11 3" xfId="22618" xr:uid="{00000000-0005-0000-0000-00008A580000}"/>
    <cellStyle name="汇总 2 9 11 3 2" xfId="22621" xr:uid="{00000000-0005-0000-0000-00008D580000}"/>
    <cellStyle name="汇总 2 9 11 3 2 2" xfId="2195" xr:uid="{00000000-0005-0000-0000-0000C3080000}"/>
    <cellStyle name="汇总 2 9 11 3 3" xfId="18574" xr:uid="{00000000-0005-0000-0000-0000BE480000}"/>
    <cellStyle name="汇总 2 9 11 3 3 2" xfId="18577" xr:uid="{00000000-0005-0000-0000-0000C1480000}"/>
    <cellStyle name="汇总 2 9 11 3 4" xfId="18583" xr:uid="{00000000-0005-0000-0000-0000C7480000}"/>
    <cellStyle name="汇总 2 9 11 3 4 2" xfId="18589" xr:uid="{00000000-0005-0000-0000-0000CD480000}"/>
    <cellStyle name="汇总 2 9 11 3 5" xfId="18594" xr:uid="{00000000-0005-0000-0000-0000D2480000}"/>
    <cellStyle name="汇总 2 9 11 3 5 2" xfId="18600" xr:uid="{00000000-0005-0000-0000-0000D8480000}"/>
    <cellStyle name="汇总 2 9 11 3 6" xfId="18608" xr:uid="{00000000-0005-0000-0000-0000E0480000}"/>
    <cellStyle name="汇总 2 9 11 4" xfId="10157" xr:uid="{00000000-0005-0000-0000-0000DD270000}"/>
    <cellStyle name="汇总 2 9 11 4 2" xfId="22627" xr:uid="{00000000-0005-0000-0000-000093580000}"/>
    <cellStyle name="汇总 2 9 11 4 2 2" xfId="22631" xr:uid="{00000000-0005-0000-0000-000097580000}"/>
    <cellStyle name="汇总 2 9 11 4 3" xfId="18632" xr:uid="{00000000-0005-0000-0000-0000F8480000}"/>
    <cellStyle name="汇总 2 9 11 4 3 2" xfId="18636" xr:uid="{00000000-0005-0000-0000-0000FC480000}"/>
    <cellStyle name="汇总 2 9 11 4 4" xfId="18641" xr:uid="{00000000-0005-0000-0000-000001490000}"/>
    <cellStyle name="汇总 2 9 11 4 4 2" xfId="18647" xr:uid="{00000000-0005-0000-0000-000007490000}"/>
    <cellStyle name="汇总 2 9 11 4 5" xfId="18652" xr:uid="{00000000-0005-0000-0000-00000C490000}"/>
    <cellStyle name="汇总 2 9 11 4 5 2" xfId="18657" xr:uid="{00000000-0005-0000-0000-000011490000}"/>
    <cellStyle name="汇总 2 9 11 4 6" xfId="18665" xr:uid="{00000000-0005-0000-0000-000019490000}"/>
    <cellStyle name="汇总 2 9 11 5" xfId="22637" xr:uid="{00000000-0005-0000-0000-00009D580000}"/>
    <cellStyle name="汇总 2 9 11 5 2" xfId="22641" xr:uid="{00000000-0005-0000-0000-0000A1580000}"/>
    <cellStyle name="汇总 2 9 11 5 2 2" xfId="22647" xr:uid="{00000000-0005-0000-0000-0000A7580000}"/>
    <cellStyle name="汇总 2 9 11 5 3" xfId="18695" xr:uid="{00000000-0005-0000-0000-000037490000}"/>
    <cellStyle name="汇总 2 9 11 5 3 2" xfId="18702" xr:uid="{00000000-0005-0000-0000-00003E490000}"/>
    <cellStyle name="汇总 2 9 11 5 4" xfId="18707" xr:uid="{00000000-0005-0000-0000-000043490000}"/>
    <cellStyle name="汇总 2 9 11 5 4 2" xfId="18715" xr:uid="{00000000-0005-0000-0000-00004B490000}"/>
    <cellStyle name="汇总 2 9 11 5 5" xfId="18722" xr:uid="{00000000-0005-0000-0000-000052490000}"/>
    <cellStyle name="汇总 2 9 11 5 5 2" xfId="18728" xr:uid="{00000000-0005-0000-0000-000058490000}"/>
    <cellStyle name="汇总 2 9 11 5 6" xfId="10730" xr:uid="{00000000-0005-0000-0000-00001A2A0000}"/>
    <cellStyle name="汇总 2 9 11 6" xfId="22653" xr:uid="{00000000-0005-0000-0000-0000AD580000}"/>
    <cellStyle name="汇总 2 9 11 6 2" xfId="22657" xr:uid="{00000000-0005-0000-0000-0000B1580000}"/>
    <cellStyle name="汇总 2 9 11 6 2 2" xfId="22662" xr:uid="{00000000-0005-0000-0000-0000B6580000}"/>
    <cellStyle name="汇总 2 9 11 6 3" xfId="18745" xr:uid="{00000000-0005-0000-0000-000069490000}"/>
    <cellStyle name="汇总 2 9 11 6 3 2" xfId="18752" xr:uid="{00000000-0005-0000-0000-000070490000}"/>
    <cellStyle name="汇总 2 9 11 6 4" xfId="18759" xr:uid="{00000000-0005-0000-0000-000077490000}"/>
    <cellStyle name="汇总 2 9 11 6 4 2" xfId="18764" xr:uid="{00000000-0005-0000-0000-00007C490000}"/>
    <cellStyle name="汇总 2 9 11 6 5" xfId="18774" xr:uid="{00000000-0005-0000-0000-000086490000}"/>
    <cellStyle name="汇总 2 9 11 6 5 2" xfId="18777" xr:uid="{00000000-0005-0000-0000-000089490000}"/>
    <cellStyle name="汇总 2 9 11 6 6" xfId="10753" xr:uid="{00000000-0005-0000-0000-0000312A0000}"/>
    <cellStyle name="汇总 2 9 11 7" xfId="5451" xr:uid="{00000000-0005-0000-0000-00007B150000}"/>
    <cellStyle name="汇总 2 9 11 7 2" xfId="22666" xr:uid="{00000000-0005-0000-0000-0000BA580000}"/>
    <cellStyle name="汇总 2 9 11 7 2 2" xfId="22669" xr:uid="{00000000-0005-0000-0000-0000BD580000}"/>
    <cellStyle name="汇总 2 9 11 7 3" xfId="18792" xr:uid="{00000000-0005-0000-0000-000098490000}"/>
    <cellStyle name="汇总 2 9 11 7 3 2" xfId="18800" xr:uid="{00000000-0005-0000-0000-0000A0490000}"/>
    <cellStyle name="汇总 2 9 11 7 4" xfId="13829" xr:uid="{00000000-0005-0000-0000-000035360000}"/>
    <cellStyle name="汇总 2 9 11 7 4 2" xfId="13836" xr:uid="{00000000-0005-0000-0000-00003C360000}"/>
    <cellStyle name="汇总 2 9 11 7 5" xfId="13842" xr:uid="{00000000-0005-0000-0000-000042360000}"/>
    <cellStyle name="汇总 2 9 11 7 5 2" xfId="13850" xr:uid="{00000000-0005-0000-0000-00004A360000}"/>
    <cellStyle name="汇总 2 9 11 7 6" xfId="10770" xr:uid="{00000000-0005-0000-0000-0000422A0000}"/>
    <cellStyle name="汇总 2 9 11 8" xfId="22676" xr:uid="{00000000-0005-0000-0000-0000C4580000}"/>
    <cellStyle name="汇总 2 9 11 8 2" xfId="22678" xr:uid="{00000000-0005-0000-0000-0000C6580000}"/>
    <cellStyle name="汇总 2 9 11 8 2 2" xfId="22680" xr:uid="{00000000-0005-0000-0000-0000C8580000}"/>
    <cellStyle name="汇总 2 9 11 8 3" xfId="18807" xr:uid="{00000000-0005-0000-0000-0000A7490000}"/>
    <cellStyle name="汇总 2 9 11 8 3 2" xfId="22684" xr:uid="{00000000-0005-0000-0000-0000CC580000}"/>
    <cellStyle name="汇总 2 9 11 8 4" xfId="22688" xr:uid="{00000000-0005-0000-0000-0000D0580000}"/>
    <cellStyle name="汇总 2 9 11 8 4 2" xfId="22691" xr:uid="{00000000-0005-0000-0000-0000D3580000}"/>
    <cellStyle name="汇总 2 9 11 8 5" xfId="22694" xr:uid="{00000000-0005-0000-0000-0000D6580000}"/>
    <cellStyle name="汇总 2 9 11 9" xfId="14756" xr:uid="{00000000-0005-0000-0000-0000D4390000}"/>
    <cellStyle name="汇总 2 9 11 9 2" xfId="22697" xr:uid="{00000000-0005-0000-0000-0000D9580000}"/>
    <cellStyle name="汇总 2 9 12" xfId="21093" xr:uid="{00000000-0005-0000-0000-000095520000}"/>
    <cellStyle name="汇总 2 9 12 2" xfId="21098" xr:uid="{00000000-0005-0000-0000-00009A520000}"/>
    <cellStyle name="汇总 2 9 12 2 2" xfId="22701" xr:uid="{00000000-0005-0000-0000-0000DD580000}"/>
    <cellStyle name="汇总 2 9 12 3" xfId="22705" xr:uid="{00000000-0005-0000-0000-0000E1580000}"/>
    <cellStyle name="汇总 2 9 12 3 2" xfId="22709" xr:uid="{00000000-0005-0000-0000-0000E5580000}"/>
    <cellStyle name="汇总 2 9 12 4" xfId="10172" xr:uid="{00000000-0005-0000-0000-0000EC270000}"/>
    <cellStyle name="汇总 2 9 12 4 2" xfId="22716" xr:uid="{00000000-0005-0000-0000-0000EC580000}"/>
    <cellStyle name="汇总 2 9 12 5" xfId="22720" xr:uid="{00000000-0005-0000-0000-0000F0580000}"/>
    <cellStyle name="汇总 2 9 12 5 2" xfId="1681" xr:uid="{00000000-0005-0000-0000-0000C1060000}"/>
    <cellStyle name="汇总 2 9 12 6" xfId="22722" xr:uid="{00000000-0005-0000-0000-0000F2580000}"/>
    <cellStyle name="汇总 2 9 12 7" xfId="6076" xr:uid="{00000000-0005-0000-0000-0000EC170000}"/>
    <cellStyle name="汇总 2 9 12 8" xfId="22724" xr:uid="{00000000-0005-0000-0000-0000F4580000}"/>
    <cellStyle name="汇总 2 9 12 9" xfId="14762" xr:uid="{00000000-0005-0000-0000-0000DA390000}"/>
    <cellStyle name="汇总 2 9 13" xfId="20221" xr:uid="{00000000-0005-0000-0000-00002D4F0000}"/>
    <cellStyle name="汇总 2 9 13 2" xfId="21103" xr:uid="{00000000-0005-0000-0000-00009F520000}"/>
    <cellStyle name="汇总 2 9 13 2 2" xfId="22729" xr:uid="{00000000-0005-0000-0000-0000F9580000}"/>
    <cellStyle name="汇总 2 9 13 3" xfId="22733" xr:uid="{00000000-0005-0000-0000-0000FD580000}"/>
    <cellStyle name="汇总 2 9 13 3 2" xfId="22738" xr:uid="{00000000-0005-0000-0000-000002590000}"/>
    <cellStyle name="汇总 2 9 13 4" xfId="22742" xr:uid="{00000000-0005-0000-0000-000006590000}"/>
    <cellStyle name="汇总 2 9 13 4 2" xfId="11522" xr:uid="{00000000-0005-0000-0000-0000322D0000}"/>
    <cellStyle name="汇总 2 9 13 5" xfId="22745" xr:uid="{00000000-0005-0000-0000-000009590000}"/>
    <cellStyle name="汇总 2 9 13 5 2" xfId="22751" xr:uid="{00000000-0005-0000-0000-00000F590000}"/>
    <cellStyle name="汇总 2 9 13 6" xfId="22754" xr:uid="{00000000-0005-0000-0000-000012590000}"/>
    <cellStyle name="汇总 2 9 14" xfId="21106" xr:uid="{00000000-0005-0000-0000-0000A2520000}"/>
    <cellStyle name="汇总 2 9 14 2" xfId="21112" xr:uid="{00000000-0005-0000-0000-0000A8520000}"/>
    <cellStyle name="汇总 2 9 14 2 2" xfId="22759" xr:uid="{00000000-0005-0000-0000-000017590000}"/>
    <cellStyle name="汇总 2 9 14 3" xfId="22764" xr:uid="{00000000-0005-0000-0000-00001C590000}"/>
    <cellStyle name="汇总 2 9 14 3 2" xfId="22771" xr:uid="{00000000-0005-0000-0000-000023590000}"/>
    <cellStyle name="汇总 2 9 14 4" xfId="22776" xr:uid="{00000000-0005-0000-0000-000028590000}"/>
    <cellStyle name="汇总 2 9 14 4 2" xfId="22782" xr:uid="{00000000-0005-0000-0000-00002E590000}"/>
    <cellStyle name="汇总 2 9 14 5" xfId="22788" xr:uid="{00000000-0005-0000-0000-000034590000}"/>
    <cellStyle name="汇总 2 9 14 5 2" xfId="22794" xr:uid="{00000000-0005-0000-0000-00003A590000}"/>
    <cellStyle name="汇总 2 9 14 6" xfId="22798" xr:uid="{00000000-0005-0000-0000-00003E590000}"/>
    <cellStyle name="汇总 2 9 15" xfId="21116" xr:uid="{00000000-0005-0000-0000-0000AC520000}"/>
    <cellStyle name="汇总 2 9 15 2" xfId="22803" xr:uid="{00000000-0005-0000-0000-000043590000}"/>
    <cellStyle name="汇总 2 9 15 2 2" xfId="22806" xr:uid="{00000000-0005-0000-0000-000046590000}"/>
    <cellStyle name="汇总 2 9 15 3" xfId="22811" xr:uid="{00000000-0005-0000-0000-00004B590000}"/>
    <cellStyle name="汇总 2 9 15 3 2" xfId="22817" xr:uid="{00000000-0005-0000-0000-000051590000}"/>
    <cellStyle name="汇总 2 9 15 4" xfId="22822" xr:uid="{00000000-0005-0000-0000-000056590000}"/>
    <cellStyle name="汇总 2 9 15 4 2" xfId="22828" xr:uid="{00000000-0005-0000-0000-00005C590000}"/>
    <cellStyle name="汇总 2 9 15 5" xfId="22835" xr:uid="{00000000-0005-0000-0000-000063590000}"/>
    <cellStyle name="汇总 2 9 15 5 2" xfId="22838" xr:uid="{00000000-0005-0000-0000-000066590000}"/>
    <cellStyle name="汇总 2 9 15 6" xfId="22846" xr:uid="{00000000-0005-0000-0000-00006E590000}"/>
    <cellStyle name="汇总 2 9 16" xfId="13892" xr:uid="{00000000-0005-0000-0000-000074360000}"/>
    <cellStyle name="汇总 2 9 16 2" xfId="22851" xr:uid="{00000000-0005-0000-0000-000073590000}"/>
    <cellStyle name="汇总 2 9 16 2 2" xfId="22855" xr:uid="{00000000-0005-0000-0000-000077590000}"/>
    <cellStyle name="汇总 2 9 16 3" xfId="22859" xr:uid="{00000000-0005-0000-0000-00007B590000}"/>
    <cellStyle name="汇总 2 9 16 3 2" xfId="22868" xr:uid="{00000000-0005-0000-0000-000084590000}"/>
    <cellStyle name="汇总 2 9 16 4" xfId="22872" xr:uid="{00000000-0005-0000-0000-000088590000}"/>
    <cellStyle name="汇总 2 9 16 4 2" xfId="21301" xr:uid="{00000000-0005-0000-0000-000065530000}"/>
    <cellStyle name="汇总 2 9 16 5" xfId="22878" xr:uid="{00000000-0005-0000-0000-00008E590000}"/>
    <cellStyle name="汇总 2 9 16 5 2" xfId="22885" xr:uid="{00000000-0005-0000-0000-000095590000}"/>
    <cellStyle name="汇总 2 9 16 6" xfId="22890" xr:uid="{00000000-0005-0000-0000-00009A590000}"/>
    <cellStyle name="汇总 2 9 17" xfId="21122" xr:uid="{00000000-0005-0000-0000-0000B2520000}"/>
    <cellStyle name="汇总 2 9 17 2" xfId="22894" xr:uid="{00000000-0005-0000-0000-00009E590000}"/>
    <cellStyle name="汇总 2 9 17 2 2" xfId="22898" xr:uid="{00000000-0005-0000-0000-0000A2590000}"/>
    <cellStyle name="汇总 2 9 17 3" xfId="22902" xr:uid="{00000000-0005-0000-0000-0000A6590000}"/>
    <cellStyle name="汇总 2 9 17 3 2" xfId="22908" xr:uid="{00000000-0005-0000-0000-0000AC590000}"/>
    <cellStyle name="汇总 2 9 17 4" xfId="22912" xr:uid="{00000000-0005-0000-0000-0000B0590000}"/>
    <cellStyle name="汇总 2 9 17 4 2" xfId="22919" xr:uid="{00000000-0005-0000-0000-0000B7590000}"/>
    <cellStyle name="汇总 2 9 17 5" xfId="22924" xr:uid="{00000000-0005-0000-0000-0000BC590000}"/>
    <cellStyle name="汇总 2 9 17 5 2" xfId="22927" xr:uid="{00000000-0005-0000-0000-0000BF590000}"/>
    <cellStyle name="汇总 2 9 17 6" xfId="22930" xr:uid="{00000000-0005-0000-0000-0000C2590000}"/>
    <cellStyle name="汇总 2 9 18" xfId="21128" xr:uid="{00000000-0005-0000-0000-0000B8520000}"/>
    <cellStyle name="汇总 2 9 18 2" xfId="22934" xr:uid="{00000000-0005-0000-0000-0000C6590000}"/>
    <cellStyle name="汇总 2 9 18 2 2" xfId="22936" xr:uid="{00000000-0005-0000-0000-0000C8590000}"/>
    <cellStyle name="汇总 2 9 18 3" xfId="22938" xr:uid="{00000000-0005-0000-0000-0000CA590000}"/>
    <cellStyle name="汇总 2 9 18 3 2" xfId="22941" xr:uid="{00000000-0005-0000-0000-0000CD590000}"/>
    <cellStyle name="汇总 2 9 18 4" xfId="22315" xr:uid="{00000000-0005-0000-0000-00005B570000}"/>
    <cellStyle name="汇总 2 9 18 4 2" xfId="22944" xr:uid="{00000000-0005-0000-0000-0000D0590000}"/>
    <cellStyle name="汇总 2 9 18 5" xfId="22946" xr:uid="{00000000-0005-0000-0000-0000D2590000}"/>
    <cellStyle name="汇总 2 9 18 5 2" xfId="22949" xr:uid="{00000000-0005-0000-0000-0000D5590000}"/>
    <cellStyle name="汇总 2 9 18 6" xfId="22953" xr:uid="{00000000-0005-0000-0000-0000D9590000}"/>
    <cellStyle name="汇总 2 9 19" xfId="22955" xr:uid="{00000000-0005-0000-0000-0000DB590000}"/>
    <cellStyle name="汇总 2 9 19 2" xfId="22956" xr:uid="{00000000-0005-0000-0000-0000DC590000}"/>
    <cellStyle name="汇总 2 9 19 2 2" xfId="22957" xr:uid="{00000000-0005-0000-0000-0000DD590000}"/>
    <cellStyle name="汇总 2 9 19 3" xfId="22959" xr:uid="{00000000-0005-0000-0000-0000DF590000}"/>
    <cellStyle name="汇总 2 9 19 3 2" xfId="22961" xr:uid="{00000000-0005-0000-0000-0000E1590000}"/>
    <cellStyle name="汇总 2 9 19 4" xfId="7392" xr:uid="{00000000-0005-0000-0000-0000101D0000}"/>
    <cellStyle name="汇总 2 9 19 4 2" xfId="22963" xr:uid="{00000000-0005-0000-0000-0000E3590000}"/>
    <cellStyle name="汇总 2 9 19 5" xfId="22965" xr:uid="{00000000-0005-0000-0000-0000E5590000}"/>
    <cellStyle name="汇总 2 9 2" xfId="16450" xr:uid="{00000000-0005-0000-0000-000072400000}"/>
    <cellStyle name="汇总 2 9 2 10" xfId="22967" xr:uid="{00000000-0005-0000-0000-0000E7590000}"/>
    <cellStyle name="汇总 2 9 2 10 2" xfId="22968" xr:uid="{00000000-0005-0000-0000-0000E8590000}"/>
    <cellStyle name="汇总 2 9 2 11" xfId="14192" xr:uid="{00000000-0005-0000-0000-0000A0370000}"/>
    <cellStyle name="汇总 2 9 2 11 2" xfId="22969" xr:uid="{00000000-0005-0000-0000-0000E9590000}"/>
    <cellStyle name="汇总 2 9 2 12" xfId="22971" xr:uid="{00000000-0005-0000-0000-0000EB590000}"/>
    <cellStyle name="汇总 2 9 2 12 2" xfId="22973" xr:uid="{00000000-0005-0000-0000-0000ED590000}"/>
    <cellStyle name="汇总 2 9 2 13" xfId="22974" xr:uid="{00000000-0005-0000-0000-0000EE590000}"/>
    <cellStyle name="汇总 2 9 2 14" xfId="22976" xr:uid="{00000000-0005-0000-0000-0000F0590000}"/>
    <cellStyle name="汇总 2 9 2 15" xfId="22978" xr:uid="{00000000-0005-0000-0000-0000F2590000}"/>
    <cellStyle name="汇总 2 9 2 16" xfId="22980" xr:uid="{00000000-0005-0000-0000-0000F4590000}"/>
    <cellStyle name="汇总 2 9 2 2" xfId="22981" xr:uid="{00000000-0005-0000-0000-0000F5590000}"/>
    <cellStyle name="汇总 2 9 2 2 2" xfId="22982" xr:uid="{00000000-0005-0000-0000-0000F6590000}"/>
    <cellStyle name="汇总 2 9 2 2 2 2" xfId="22983" xr:uid="{00000000-0005-0000-0000-0000F7590000}"/>
    <cellStyle name="汇总 2 9 2 2 3" xfId="22985" xr:uid="{00000000-0005-0000-0000-0000F9590000}"/>
    <cellStyle name="汇总 2 9 2 2 3 2" xfId="22986" xr:uid="{00000000-0005-0000-0000-0000FA590000}"/>
    <cellStyle name="汇总 2 9 2 2 4" xfId="22987" xr:uid="{00000000-0005-0000-0000-0000FB590000}"/>
    <cellStyle name="汇总 2 9 2 2 4 2" xfId="22988" xr:uid="{00000000-0005-0000-0000-0000FC590000}"/>
    <cellStyle name="汇总 2 9 2 2 5" xfId="22989" xr:uid="{00000000-0005-0000-0000-0000FD590000}"/>
    <cellStyle name="汇总 2 9 2 2 5 2" xfId="22990" xr:uid="{00000000-0005-0000-0000-0000FE590000}"/>
    <cellStyle name="汇总 2 9 2 2 6" xfId="22991" xr:uid="{00000000-0005-0000-0000-0000FF590000}"/>
    <cellStyle name="汇总 2 9 2 2 7" xfId="22992" xr:uid="{00000000-0005-0000-0000-0000005A0000}"/>
    <cellStyle name="汇总 2 9 2 2 8" xfId="12339" xr:uid="{00000000-0005-0000-0000-000063300000}"/>
    <cellStyle name="汇总 2 9 2 2 9" xfId="8941" xr:uid="{00000000-0005-0000-0000-00001D230000}"/>
    <cellStyle name="汇总 2 9 2 3" xfId="22993" xr:uid="{00000000-0005-0000-0000-0000015A0000}"/>
    <cellStyle name="汇总 2 9 2 3 2" xfId="22975" xr:uid="{00000000-0005-0000-0000-0000EF590000}"/>
    <cellStyle name="汇总 2 9 2 3 2 2" xfId="22994" xr:uid="{00000000-0005-0000-0000-0000025A0000}"/>
    <cellStyle name="汇总 2 9 2 3 3" xfId="22977" xr:uid="{00000000-0005-0000-0000-0000F1590000}"/>
    <cellStyle name="汇总 2 9 2 3 3 2" xfId="22995" xr:uid="{00000000-0005-0000-0000-0000035A0000}"/>
    <cellStyle name="汇总 2 9 2 3 4" xfId="22979" xr:uid="{00000000-0005-0000-0000-0000F3590000}"/>
    <cellStyle name="汇总 2 9 2 3 4 2" xfId="22997" xr:uid="{00000000-0005-0000-0000-0000055A0000}"/>
    <cellStyle name="汇总 2 9 2 3 5" xfId="22998" xr:uid="{00000000-0005-0000-0000-0000065A0000}"/>
    <cellStyle name="汇总 2 9 2 3 5 2" xfId="23000" xr:uid="{00000000-0005-0000-0000-0000085A0000}"/>
    <cellStyle name="汇总 2 9 2 3 6" xfId="23001" xr:uid="{00000000-0005-0000-0000-0000095A0000}"/>
    <cellStyle name="汇总 2 9 2 4" xfId="23002" xr:uid="{00000000-0005-0000-0000-00000A5A0000}"/>
    <cellStyle name="汇总 2 9 2 4 2" xfId="23004" xr:uid="{00000000-0005-0000-0000-00000C5A0000}"/>
    <cellStyle name="汇总 2 9 2 4 2 2" xfId="21834" xr:uid="{00000000-0005-0000-0000-00007A550000}"/>
    <cellStyle name="汇总 2 9 2 4 3" xfId="23006" xr:uid="{00000000-0005-0000-0000-00000E5A0000}"/>
    <cellStyle name="汇总 2 9 2 4 3 2" xfId="21845" xr:uid="{00000000-0005-0000-0000-000085550000}"/>
    <cellStyle name="汇总 2 9 2 4 4" xfId="23008" xr:uid="{00000000-0005-0000-0000-0000105A0000}"/>
    <cellStyle name="汇总 2 9 2 4 4 2" xfId="16189" xr:uid="{00000000-0005-0000-0000-00006D3F0000}"/>
    <cellStyle name="汇总 2 9 2 4 5" xfId="23010" xr:uid="{00000000-0005-0000-0000-0000125A0000}"/>
    <cellStyle name="汇总 2 9 2 4 5 2" xfId="23011" xr:uid="{00000000-0005-0000-0000-0000135A0000}"/>
    <cellStyle name="汇总 2 9 2 4 6" xfId="23013" xr:uid="{00000000-0005-0000-0000-0000155A0000}"/>
    <cellStyle name="汇总 2 9 2 5" xfId="23015" xr:uid="{00000000-0005-0000-0000-0000175A0000}"/>
    <cellStyle name="汇总 2 9 2 5 2" xfId="23017" xr:uid="{00000000-0005-0000-0000-0000195A0000}"/>
    <cellStyle name="汇总 2 9 2 5 2 2" xfId="21949" xr:uid="{00000000-0005-0000-0000-0000ED550000}"/>
    <cellStyle name="汇总 2 9 2 5 3" xfId="23018" xr:uid="{00000000-0005-0000-0000-00001A5A0000}"/>
    <cellStyle name="汇总 2 9 2 5 3 2" xfId="21964" xr:uid="{00000000-0005-0000-0000-0000FC550000}"/>
    <cellStyle name="汇总 2 9 2 5 4" xfId="23019" xr:uid="{00000000-0005-0000-0000-00001B5A0000}"/>
    <cellStyle name="汇总 2 9 2 5 4 2" xfId="16908" xr:uid="{00000000-0005-0000-0000-00003C420000}"/>
    <cellStyle name="汇总 2 9 2 5 5" xfId="23020" xr:uid="{00000000-0005-0000-0000-00001C5A0000}"/>
    <cellStyle name="汇总 2 9 2 5 5 2" xfId="23021" xr:uid="{00000000-0005-0000-0000-00001D5A0000}"/>
    <cellStyle name="汇总 2 9 2 5 6" xfId="23024" xr:uid="{00000000-0005-0000-0000-0000205A0000}"/>
    <cellStyle name="汇总 2 9 2 6" xfId="23026" xr:uid="{00000000-0005-0000-0000-0000225A0000}"/>
    <cellStyle name="汇总 2 9 2 6 2" xfId="23028" xr:uid="{00000000-0005-0000-0000-0000245A0000}"/>
    <cellStyle name="汇总 2 9 2 6 2 2" xfId="22092" xr:uid="{00000000-0005-0000-0000-00007C560000}"/>
    <cellStyle name="汇总 2 9 2 6 3" xfId="23030" xr:uid="{00000000-0005-0000-0000-0000265A0000}"/>
    <cellStyle name="汇总 2 9 2 6 3 2" xfId="22114" xr:uid="{00000000-0005-0000-0000-000092560000}"/>
    <cellStyle name="汇总 2 9 2 6 4" xfId="23031" xr:uid="{00000000-0005-0000-0000-0000275A0000}"/>
    <cellStyle name="汇总 2 9 2 6 4 2" xfId="22122" xr:uid="{00000000-0005-0000-0000-00009A560000}"/>
    <cellStyle name="汇总 2 9 2 6 5" xfId="23032" xr:uid="{00000000-0005-0000-0000-0000285A0000}"/>
    <cellStyle name="汇总 2 9 2 6 5 2" xfId="23033" xr:uid="{00000000-0005-0000-0000-0000295A0000}"/>
    <cellStyle name="汇总 2 9 2 6 6" xfId="21230" xr:uid="{00000000-0005-0000-0000-00001E530000}"/>
    <cellStyle name="汇总 2 9 2 7" xfId="23034" xr:uid="{00000000-0005-0000-0000-00002A5A0000}"/>
    <cellStyle name="汇总 2 9 2 7 2" xfId="23036" xr:uid="{00000000-0005-0000-0000-00002C5A0000}"/>
    <cellStyle name="汇总 2 9 2 7 2 2" xfId="22215" xr:uid="{00000000-0005-0000-0000-0000F7560000}"/>
    <cellStyle name="汇总 2 9 2 7 3" xfId="23038" xr:uid="{00000000-0005-0000-0000-00002E5A0000}"/>
    <cellStyle name="汇总 2 9 2 7 3 2" xfId="22234" xr:uid="{00000000-0005-0000-0000-00000A570000}"/>
    <cellStyle name="汇总 2 9 2 7 4" xfId="23039" xr:uid="{00000000-0005-0000-0000-00002F5A0000}"/>
    <cellStyle name="汇总 2 9 2 7 4 2" xfId="22248" xr:uid="{00000000-0005-0000-0000-000018570000}"/>
    <cellStyle name="汇总 2 9 2 7 5" xfId="23040" xr:uid="{00000000-0005-0000-0000-0000305A0000}"/>
    <cellStyle name="汇总 2 9 2 7 5 2" xfId="23041" xr:uid="{00000000-0005-0000-0000-0000315A0000}"/>
    <cellStyle name="汇总 2 9 2 7 6" xfId="724" xr:uid="{00000000-0005-0000-0000-000004030000}"/>
    <cellStyle name="汇总 2 9 2 8" xfId="23042" xr:uid="{00000000-0005-0000-0000-0000325A0000}"/>
    <cellStyle name="汇总 2 9 2 8 2" xfId="7490" xr:uid="{00000000-0005-0000-0000-0000721D0000}"/>
    <cellStyle name="汇总 2 9 2 8 2 2" xfId="7492" xr:uid="{00000000-0005-0000-0000-0000741D0000}"/>
    <cellStyle name="汇总 2 9 2 8 3" xfId="7553" xr:uid="{00000000-0005-0000-0000-0000B11D0000}"/>
    <cellStyle name="汇总 2 9 2 8 3 2" xfId="7555" xr:uid="{00000000-0005-0000-0000-0000B31D0000}"/>
    <cellStyle name="汇总 2 9 2 8 4" xfId="7607" xr:uid="{00000000-0005-0000-0000-0000E71D0000}"/>
    <cellStyle name="汇总 2 9 2 8 4 2" xfId="7609" xr:uid="{00000000-0005-0000-0000-0000E91D0000}"/>
    <cellStyle name="汇总 2 9 2 8 5" xfId="7683" xr:uid="{00000000-0005-0000-0000-0000331E0000}"/>
    <cellStyle name="汇总 2 9 2 9" xfId="23044" xr:uid="{00000000-0005-0000-0000-0000345A0000}"/>
    <cellStyle name="汇总 2 9 2 9 2" xfId="7834" xr:uid="{00000000-0005-0000-0000-0000CA1E0000}"/>
    <cellStyle name="汇总 2 9 20" xfId="21115" xr:uid="{00000000-0005-0000-0000-0000AB520000}"/>
    <cellStyle name="汇总 2 9 20 2" xfId="22802" xr:uid="{00000000-0005-0000-0000-000042590000}"/>
    <cellStyle name="汇总 2 9 21" xfId="13893" xr:uid="{00000000-0005-0000-0000-000075360000}"/>
    <cellStyle name="汇总 2 9 21 2" xfId="22850" xr:uid="{00000000-0005-0000-0000-000072590000}"/>
    <cellStyle name="汇总 2 9 22" xfId="21121" xr:uid="{00000000-0005-0000-0000-0000B1520000}"/>
    <cellStyle name="汇总 2 9 22 2" xfId="22893" xr:uid="{00000000-0005-0000-0000-00009D590000}"/>
    <cellStyle name="汇总 2 9 23" xfId="21127" xr:uid="{00000000-0005-0000-0000-0000B7520000}"/>
    <cellStyle name="汇总 2 9 23 2" xfId="22933" xr:uid="{00000000-0005-0000-0000-0000C5590000}"/>
    <cellStyle name="汇总 2 9 24" xfId="22954" xr:uid="{00000000-0005-0000-0000-0000DA590000}"/>
    <cellStyle name="汇总 2 9 25" xfId="23045" xr:uid="{00000000-0005-0000-0000-0000355A0000}"/>
    <cellStyle name="汇总 2 9 26" xfId="23046" xr:uid="{00000000-0005-0000-0000-0000365A0000}"/>
    <cellStyle name="汇总 2 9 27" xfId="14387" xr:uid="{00000000-0005-0000-0000-000063380000}"/>
    <cellStyle name="汇总 2 9 3" xfId="23047" xr:uid="{00000000-0005-0000-0000-0000375A0000}"/>
    <cellStyle name="汇总 2 9 3 10" xfId="23052" xr:uid="{00000000-0005-0000-0000-00003C5A0000}"/>
    <cellStyle name="汇总 2 9 3 10 2" xfId="22296" xr:uid="{00000000-0005-0000-0000-000048570000}"/>
    <cellStyle name="汇总 2 9 3 11" xfId="7308" xr:uid="{00000000-0005-0000-0000-0000BC1C0000}"/>
    <cellStyle name="汇总 2 9 3 11 2" xfId="7314" xr:uid="{00000000-0005-0000-0000-0000C21C0000}"/>
    <cellStyle name="汇总 2 9 3 12" xfId="7383" xr:uid="{00000000-0005-0000-0000-0000071D0000}"/>
    <cellStyle name="汇总 2 9 3 12 2" xfId="7386" xr:uid="{00000000-0005-0000-0000-00000A1D0000}"/>
    <cellStyle name="汇总 2 9 3 13" xfId="7423" xr:uid="{00000000-0005-0000-0000-00002F1D0000}"/>
    <cellStyle name="汇总 2 9 3 14" xfId="7487" xr:uid="{00000000-0005-0000-0000-00006F1D0000}"/>
    <cellStyle name="汇总 2 9 3 15" xfId="7552" xr:uid="{00000000-0005-0000-0000-0000B01D0000}"/>
    <cellStyle name="汇总 2 9 3 16" xfId="7606" xr:uid="{00000000-0005-0000-0000-0000E61D0000}"/>
    <cellStyle name="汇总 2 9 3 2" xfId="23053" xr:uid="{00000000-0005-0000-0000-00003D5A0000}"/>
    <cellStyle name="汇总 2 9 3 2 2" xfId="23054" xr:uid="{00000000-0005-0000-0000-00003E5A0000}"/>
    <cellStyle name="汇总 2 9 3 2 2 2" xfId="23055" xr:uid="{00000000-0005-0000-0000-00003F5A0000}"/>
    <cellStyle name="汇总 2 9 3 2 3" xfId="23056" xr:uid="{00000000-0005-0000-0000-0000405A0000}"/>
    <cellStyle name="汇总 2 9 3 2 3 2" xfId="23057" xr:uid="{00000000-0005-0000-0000-0000415A0000}"/>
    <cellStyle name="汇总 2 9 3 2 4" xfId="20161" xr:uid="{00000000-0005-0000-0000-0000F14E0000}"/>
    <cellStyle name="汇总 2 9 3 2 4 2" xfId="23058" xr:uid="{00000000-0005-0000-0000-0000425A0000}"/>
    <cellStyle name="汇总 2 9 3 2 5" xfId="23059" xr:uid="{00000000-0005-0000-0000-0000435A0000}"/>
    <cellStyle name="汇总 2 9 3 2 5 2" xfId="23060" xr:uid="{00000000-0005-0000-0000-0000445A0000}"/>
    <cellStyle name="汇总 2 9 3 2 6" xfId="1697" xr:uid="{00000000-0005-0000-0000-0000D1060000}"/>
    <cellStyle name="汇总 2 9 3 2 7" xfId="23061" xr:uid="{00000000-0005-0000-0000-0000455A0000}"/>
    <cellStyle name="汇总 2 9 3 2 8" xfId="1741" xr:uid="{00000000-0005-0000-0000-0000FD060000}"/>
    <cellStyle name="汇总 2 9 3 2 9" xfId="1769" xr:uid="{00000000-0005-0000-0000-000019070000}"/>
    <cellStyle name="汇总 2 9 3 3" xfId="23062" xr:uid="{00000000-0005-0000-0000-0000465A0000}"/>
    <cellStyle name="汇总 2 9 3 3 2" xfId="23064" xr:uid="{00000000-0005-0000-0000-0000485A0000}"/>
    <cellStyle name="汇总 2 9 3 3 2 2" xfId="23065" xr:uid="{00000000-0005-0000-0000-0000495A0000}"/>
    <cellStyle name="汇总 2 9 3 3 3" xfId="23067" xr:uid="{00000000-0005-0000-0000-00004B5A0000}"/>
    <cellStyle name="汇总 2 9 3 3 3 2" xfId="23068" xr:uid="{00000000-0005-0000-0000-00004C5A0000}"/>
    <cellStyle name="汇总 2 9 3 3 4" xfId="20167" xr:uid="{00000000-0005-0000-0000-0000F74E0000}"/>
    <cellStyle name="汇总 2 9 3 3 4 2" xfId="3730" xr:uid="{00000000-0005-0000-0000-0000C20E0000}"/>
    <cellStyle name="汇总 2 9 3 3 5" xfId="23069" xr:uid="{00000000-0005-0000-0000-00004D5A0000}"/>
    <cellStyle name="汇总 2 9 3 3 5 2" xfId="4082" xr:uid="{00000000-0005-0000-0000-000022100000}"/>
    <cellStyle name="汇总 2 9 3 3 6" xfId="1274" xr:uid="{00000000-0005-0000-0000-00002A050000}"/>
    <cellStyle name="汇总 2 9 3 4" xfId="23071" xr:uid="{00000000-0005-0000-0000-00004F5A0000}"/>
    <cellStyle name="汇总 2 9 3 4 2" xfId="23073" xr:uid="{00000000-0005-0000-0000-0000515A0000}"/>
    <cellStyle name="汇总 2 9 3 4 2 2" xfId="23029" xr:uid="{00000000-0005-0000-0000-0000255A0000}"/>
    <cellStyle name="汇总 2 9 3 4 3" xfId="23075" xr:uid="{00000000-0005-0000-0000-0000535A0000}"/>
    <cellStyle name="汇总 2 9 3 4 3 2" xfId="23037" xr:uid="{00000000-0005-0000-0000-00002D5A0000}"/>
    <cellStyle name="汇总 2 9 3 4 4" xfId="20170" xr:uid="{00000000-0005-0000-0000-0000FA4E0000}"/>
    <cellStyle name="汇总 2 9 3 4 4 2" xfId="7551" xr:uid="{00000000-0005-0000-0000-0000AF1D0000}"/>
    <cellStyle name="汇总 2 9 3 4 5" xfId="7301" xr:uid="{00000000-0005-0000-0000-0000B51C0000}"/>
    <cellStyle name="汇总 2 9 3 4 5 2" xfId="7305" xr:uid="{00000000-0005-0000-0000-0000B91C0000}"/>
    <cellStyle name="汇总 2 9 3 4 6" xfId="2559" xr:uid="{00000000-0005-0000-0000-00002F0A0000}"/>
    <cellStyle name="汇总 2 9 3 5" xfId="23076" xr:uid="{00000000-0005-0000-0000-0000545A0000}"/>
    <cellStyle name="汇总 2 9 3 5 2" xfId="23078" xr:uid="{00000000-0005-0000-0000-0000565A0000}"/>
    <cellStyle name="汇总 2 9 3 5 2 2" xfId="23082" xr:uid="{00000000-0005-0000-0000-00005A5A0000}"/>
    <cellStyle name="汇总 2 9 3 5 3" xfId="23083" xr:uid="{00000000-0005-0000-0000-00005B5A0000}"/>
    <cellStyle name="汇总 2 9 3 5 3 2" xfId="23085" xr:uid="{00000000-0005-0000-0000-00005D5A0000}"/>
    <cellStyle name="汇总 2 9 3 5 4" xfId="23086" xr:uid="{00000000-0005-0000-0000-00005E5A0000}"/>
    <cellStyle name="汇总 2 9 3 5 4 2" xfId="9696" xr:uid="{00000000-0005-0000-0000-000010260000}"/>
    <cellStyle name="汇总 2 9 3 5 5" xfId="12452" xr:uid="{00000000-0005-0000-0000-0000D4300000}"/>
    <cellStyle name="汇总 2 9 3 5 5 2" xfId="10033" xr:uid="{00000000-0005-0000-0000-000061270000}"/>
    <cellStyle name="汇总 2 9 3 5 6" xfId="23088" xr:uid="{00000000-0005-0000-0000-0000605A0000}"/>
    <cellStyle name="汇总 2 9 3 6" xfId="23092" xr:uid="{00000000-0005-0000-0000-0000645A0000}"/>
    <cellStyle name="汇总 2 9 3 6 2" xfId="23096" xr:uid="{00000000-0005-0000-0000-0000685A0000}"/>
    <cellStyle name="汇总 2 9 3 6 2 2" xfId="23101" xr:uid="{00000000-0005-0000-0000-00006D5A0000}"/>
    <cellStyle name="汇总 2 9 3 6 3" xfId="23081" xr:uid="{00000000-0005-0000-0000-0000595A0000}"/>
    <cellStyle name="汇总 2 9 3 6 3 2" xfId="23106" xr:uid="{00000000-0005-0000-0000-0000725A0000}"/>
    <cellStyle name="汇总 2 9 3 6 4" xfId="23108" xr:uid="{00000000-0005-0000-0000-0000745A0000}"/>
    <cellStyle name="汇总 2 9 3 6 4 2" xfId="11559" xr:uid="{00000000-0005-0000-0000-0000572D0000}"/>
    <cellStyle name="汇总 2 9 3 6 5" xfId="11299" xr:uid="{00000000-0005-0000-0000-0000532C0000}"/>
    <cellStyle name="汇总 2 9 3 6 5 2" xfId="11589" xr:uid="{00000000-0005-0000-0000-0000752D0000}"/>
    <cellStyle name="汇总 2 9 3 6 6" xfId="21235" xr:uid="{00000000-0005-0000-0000-000023530000}"/>
    <cellStyle name="汇总 2 9 3 7" xfId="23109" xr:uid="{00000000-0005-0000-0000-0000755A0000}"/>
    <cellStyle name="汇总 2 9 3 7 2" xfId="23111" xr:uid="{00000000-0005-0000-0000-0000775A0000}"/>
    <cellStyle name="汇总 2 9 3 7 2 2" xfId="23113" xr:uid="{00000000-0005-0000-0000-0000795A0000}"/>
    <cellStyle name="汇总 2 9 3 7 3" xfId="23084" xr:uid="{00000000-0005-0000-0000-00005C5A0000}"/>
    <cellStyle name="汇总 2 9 3 7 3 2" xfId="23116" xr:uid="{00000000-0005-0000-0000-00007C5A0000}"/>
    <cellStyle name="汇总 2 9 3 7 4" xfId="23118" xr:uid="{00000000-0005-0000-0000-00007E5A0000}"/>
    <cellStyle name="汇总 2 9 3 7 4 2" xfId="3980" xr:uid="{00000000-0005-0000-0000-0000BC0F0000}"/>
    <cellStyle name="汇总 2 9 3 7 5" xfId="11310" xr:uid="{00000000-0005-0000-0000-00005E2C0000}"/>
    <cellStyle name="汇总 2 9 3 7 5 2" xfId="11755" xr:uid="{00000000-0005-0000-0000-00001B2E0000}"/>
    <cellStyle name="汇总 2 9 3 7 6" xfId="2806" xr:uid="{00000000-0005-0000-0000-0000260B0000}"/>
    <cellStyle name="汇总 2 9 3 8" xfId="23119" xr:uid="{00000000-0005-0000-0000-00007F5A0000}"/>
    <cellStyle name="汇总 2 9 3 8 2" xfId="9640" xr:uid="{00000000-0005-0000-0000-0000D8250000}"/>
    <cellStyle name="汇总 2 9 3 8 2 2" xfId="3933" xr:uid="{00000000-0005-0000-0000-00008D0F0000}"/>
    <cellStyle name="汇总 2 9 3 8 3" xfId="9695" xr:uid="{00000000-0005-0000-0000-00000F260000}"/>
    <cellStyle name="汇总 2 9 3 8 3 2" xfId="9699" xr:uid="{00000000-0005-0000-0000-000013260000}"/>
    <cellStyle name="汇总 2 9 3 8 4" xfId="9745" xr:uid="{00000000-0005-0000-0000-000041260000}"/>
    <cellStyle name="汇总 2 9 3 8 4 2" xfId="9748" xr:uid="{00000000-0005-0000-0000-000044260000}"/>
    <cellStyle name="汇总 2 9 3 8 5" xfId="9815" xr:uid="{00000000-0005-0000-0000-000087260000}"/>
    <cellStyle name="汇总 2 9 3 9" xfId="23121" xr:uid="{00000000-0005-0000-0000-0000815A0000}"/>
    <cellStyle name="汇总 2 9 3 9 2" xfId="265" xr:uid="{00000000-0005-0000-0000-000024010000}"/>
    <cellStyle name="汇总 2 9 4" xfId="9970" xr:uid="{00000000-0005-0000-0000-000022270000}"/>
    <cellStyle name="汇总 2 9 4 10" xfId="23122" xr:uid="{00000000-0005-0000-0000-0000825A0000}"/>
    <cellStyle name="汇总 2 9 4 10 2" xfId="23124" xr:uid="{00000000-0005-0000-0000-0000845A0000}"/>
    <cellStyle name="汇总 2 9 4 11" xfId="8717" xr:uid="{00000000-0005-0000-0000-00003D220000}"/>
    <cellStyle name="汇总 2 9 4 11 2" xfId="8725" xr:uid="{00000000-0005-0000-0000-000045220000}"/>
    <cellStyle name="汇总 2 9 4 12" xfId="6778" xr:uid="{00000000-0005-0000-0000-0000AA1A0000}"/>
    <cellStyle name="汇总 2 9 4 12 2" xfId="8750" xr:uid="{00000000-0005-0000-0000-00005E220000}"/>
    <cellStyle name="汇总 2 9 4 13" xfId="4191" xr:uid="{00000000-0005-0000-0000-00008F100000}"/>
    <cellStyle name="汇总 2 9 4 14" xfId="8780" xr:uid="{00000000-0005-0000-0000-00007C220000}"/>
    <cellStyle name="汇总 2 9 4 15" xfId="2639" xr:uid="{00000000-0005-0000-0000-00007F0A0000}"/>
    <cellStyle name="汇总 2 9 4 16" xfId="5752" xr:uid="{00000000-0005-0000-0000-0000A8160000}"/>
    <cellStyle name="汇总 2 9 4 2" xfId="23126" xr:uid="{00000000-0005-0000-0000-0000865A0000}"/>
    <cellStyle name="汇总 2 9 4 2 2" xfId="23128" xr:uid="{00000000-0005-0000-0000-0000885A0000}"/>
    <cellStyle name="汇总 2 9 4 2 2 2" xfId="23130" xr:uid="{00000000-0005-0000-0000-00008A5A0000}"/>
    <cellStyle name="汇总 2 9 4 2 3" xfId="23132" xr:uid="{00000000-0005-0000-0000-00008C5A0000}"/>
    <cellStyle name="汇总 2 9 4 2 3 2" xfId="23134" xr:uid="{00000000-0005-0000-0000-00008E5A0000}"/>
    <cellStyle name="汇总 2 9 4 2 4" xfId="23136" xr:uid="{00000000-0005-0000-0000-0000905A0000}"/>
    <cellStyle name="汇总 2 9 4 2 4 2" xfId="23138" xr:uid="{00000000-0005-0000-0000-0000925A0000}"/>
    <cellStyle name="汇总 2 9 4 2 5" xfId="23140" xr:uid="{00000000-0005-0000-0000-0000945A0000}"/>
    <cellStyle name="汇总 2 9 4 2 5 2" xfId="23142" xr:uid="{00000000-0005-0000-0000-0000965A0000}"/>
    <cellStyle name="汇总 2 9 4 2 6" xfId="3024" xr:uid="{00000000-0005-0000-0000-0000000C0000}"/>
    <cellStyle name="汇总 2 9 4 2 7" xfId="23144" xr:uid="{00000000-0005-0000-0000-0000985A0000}"/>
    <cellStyle name="汇总 2 9 4 2 8" xfId="3050" xr:uid="{00000000-0005-0000-0000-00001A0C0000}"/>
    <cellStyle name="汇总 2 9 4 2 9" xfId="3069" xr:uid="{00000000-0005-0000-0000-00002D0C0000}"/>
    <cellStyle name="汇总 2 9 4 3" xfId="23146" xr:uid="{00000000-0005-0000-0000-00009A5A0000}"/>
    <cellStyle name="汇总 2 9 4 3 2" xfId="23148" xr:uid="{00000000-0005-0000-0000-00009C5A0000}"/>
    <cellStyle name="汇总 2 9 4 3 2 2" xfId="23150" xr:uid="{00000000-0005-0000-0000-00009E5A0000}"/>
    <cellStyle name="汇总 2 9 4 3 3" xfId="23152" xr:uid="{00000000-0005-0000-0000-0000A05A0000}"/>
    <cellStyle name="汇总 2 9 4 3 3 2" xfId="23154" xr:uid="{00000000-0005-0000-0000-0000A25A0000}"/>
    <cellStyle name="汇总 2 9 4 3 4" xfId="23156" xr:uid="{00000000-0005-0000-0000-0000A45A0000}"/>
    <cellStyle name="汇总 2 9 4 3 4 2" xfId="23158" xr:uid="{00000000-0005-0000-0000-0000A65A0000}"/>
    <cellStyle name="汇总 2 9 4 3 5" xfId="23160" xr:uid="{00000000-0005-0000-0000-0000A85A0000}"/>
    <cellStyle name="汇总 2 9 4 3 5 2" xfId="23162" xr:uid="{00000000-0005-0000-0000-0000AA5A0000}"/>
    <cellStyle name="汇总 2 9 4 3 6" xfId="3109" xr:uid="{00000000-0005-0000-0000-0000550C0000}"/>
    <cellStyle name="汇总 2 9 4 4" xfId="23166" xr:uid="{00000000-0005-0000-0000-0000AE5A0000}"/>
    <cellStyle name="汇总 2 9 4 4 2" xfId="23170" xr:uid="{00000000-0005-0000-0000-0000B25A0000}"/>
    <cellStyle name="汇总 2 9 4 4 2 2" xfId="23173" xr:uid="{00000000-0005-0000-0000-0000B55A0000}"/>
    <cellStyle name="汇总 2 9 4 4 3" xfId="23176" xr:uid="{00000000-0005-0000-0000-0000B85A0000}"/>
    <cellStyle name="汇总 2 9 4 4 3 2" xfId="23178" xr:uid="{00000000-0005-0000-0000-0000BA5A0000}"/>
    <cellStyle name="汇总 2 9 4 4 4" xfId="23181" xr:uid="{00000000-0005-0000-0000-0000BD5A0000}"/>
    <cellStyle name="汇总 2 9 4 4 4 2" xfId="23183" xr:uid="{00000000-0005-0000-0000-0000BF5A0000}"/>
    <cellStyle name="汇总 2 9 4 4 5" xfId="7751" xr:uid="{00000000-0005-0000-0000-0000771E0000}"/>
    <cellStyle name="汇总 2 9 4 4 5 2" xfId="8712" xr:uid="{00000000-0005-0000-0000-000038220000}"/>
    <cellStyle name="汇总 2 9 4 4 6" xfId="3174" xr:uid="{00000000-0005-0000-0000-0000960C0000}"/>
    <cellStyle name="汇总 2 9 4 5" xfId="23187" xr:uid="{00000000-0005-0000-0000-0000C35A0000}"/>
    <cellStyle name="汇总 2 9 4 5 2" xfId="23192" xr:uid="{00000000-0005-0000-0000-0000C85A0000}"/>
    <cellStyle name="汇总 2 9 4 5 2 2" xfId="23194" xr:uid="{00000000-0005-0000-0000-0000CA5A0000}"/>
    <cellStyle name="汇总 2 9 4 5 3" xfId="23196" xr:uid="{00000000-0005-0000-0000-0000CC5A0000}"/>
    <cellStyle name="汇总 2 9 4 5 3 2" xfId="23198" xr:uid="{00000000-0005-0000-0000-0000CE5A0000}"/>
    <cellStyle name="汇总 2 9 4 5 4" xfId="23200" xr:uid="{00000000-0005-0000-0000-0000D05A0000}"/>
    <cellStyle name="汇总 2 9 4 5 4 2" xfId="23202" xr:uid="{00000000-0005-0000-0000-0000D25A0000}"/>
    <cellStyle name="汇总 2 9 4 5 5" xfId="12474" xr:uid="{00000000-0005-0000-0000-0000EA300000}"/>
    <cellStyle name="汇总 2 9 4 5 5 2" xfId="23204" xr:uid="{00000000-0005-0000-0000-0000D45A0000}"/>
    <cellStyle name="汇总 2 9 4 5 6" xfId="23207" xr:uid="{00000000-0005-0000-0000-0000D75A0000}"/>
    <cellStyle name="汇总 2 9 4 6" xfId="23213" xr:uid="{00000000-0005-0000-0000-0000DD5A0000}"/>
    <cellStyle name="汇总 2 9 4 6 2" xfId="23223" xr:uid="{00000000-0005-0000-0000-0000E75A0000}"/>
    <cellStyle name="汇总 2 9 4 6 2 2" xfId="23227" xr:uid="{00000000-0005-0000-0000-0000EB5A0000}"/>
    <cellStyle name="汇总 2 9 4 6 3" xfId="23097" xr:uid="{00000000-0005-0000-0000-0000695A0000}"/>
    <cellStyle name="汇总 2 9 4 6 3 2" xfId="23229" xr:uid="{00000000-0005-0000-0000-0000ED5A0000}"/>
    <cellStyle name="汇总 2 9 4 6 4" xfId="23231" xr:uid="{00000000-0005-0000-0000-0000EF5A0000}"/>
    <cellStyle name="汇总 2 9 4 6 4 2" xfId="23233" xr:uid="{00000000-0005-0000-0000-0000F15A0000}"/>
    <cellStyle name="汇总 2 9 4 6 5" xfId="11343" xr:uid="{00000000-0005-0000-0000-00007F2C0000}"/>
    <cellStyle name="汇总 2 9 4 6 5 2" xfId="23235" xr:uid="{00000000-0005-0000-0000-0000F35A0000}"/>
    <cellStyle name="汇总 2 9 4 6 6" xfId="21240" xr:uid="{00000000-0005-0000-0000-000028530000}"/>
    <cellStyle name="汇总 2 9 4 7" xfId="23240" xr:uid="{00000000-0005-0000-0000-0000F85A0000}"/>
    <cellStyle name="汇总 2 9 4 7 2" xfId="23247" xr:uid="{00000000-0005-0000-0000-0000FF5A0000}"/>
    <cellStyle name="汇总 2 9 4 7 2 2" xfId="23252" xr:uid="{00000000-0005-0000-0000-0000045B0000}"/>
    <cellStyle name="汇总 2 9 4 7 3" xfId="23103" xr:uid="{00000000-0005-0000-0000-00006F5A0000}"/>
    <cellStyle name="汇总 2 9 4 7 3 2" xfId="23255" xr:uid="{00000000-0005-0000-0000-0000075B0000}"/>
    <cellStyle name="汇总 2 9 4 7 4" xfId="23257" xr:uid="{00000000-0005-0000-0000-0000095B0000}"/>
    <cellStyle name="汇总 2 9 4 7 4 2" xfId="23260" xr:uid="{00000000-0005-0000-0000-00000C5B0000}"/>
    <cellStyle name="汇总 2 9 4 7 5" xfId="11361" xr:uid="{00000000-0005-0000-0000-0000912C0000}"/>
    <cellStyle name="汇总 2 9 4 7 5 2" xfId="23262" xr:uid="{00000000-0005-0000-0000-00000E5B0000}"/>
    <cellStyle name="汇总 2 9 4 7 6" xfId="3245" xr:uid="{00000000-0005-0000-0000-0000DD0C0000}"/>
    <cellStyle name="汇总 2 9 4 8" xfId="15814" xr:uid="{00000000-0005-0000-0000-0000F63D0000}"/>
    <cellStyle name="汇总 2 9 4 8 2" xfId="11555" xr:uid="{00000000-0005-0000-0000-0000532D0000}"/>
    <cellStyle name="汇总 2 9 4 8 2 2" xfId="1194" xr:uid="{00000000-0005-0000-0000-0000DA040000}"/>
    <cellStyle name="汇总 2 9 4 8 3" xfId="11562" xr:uid="{00000000-0005-0000-0000-00005A2D0000}"/>
    <cellStyle name="汇总 2 9 4 8 3 2" xfId="23265" xr:uid="{00000000-0005-0000-0000-0000115B0000}"/>
    <cellStyle name="汇总 2 9 4 8 4" xfId="11568" xr:uid="{00000000-0005-0000-0000-0000602D0000}"/>
    <cellStyle name="汇总 2 9 4 8 4 2" xfId="21508" xr:uid="{00000000-0005-0000-0000-000034540000}"/>
    <cellStyle name="汇总 2 9 4 8 5" xfId="11379" xr:uid="{00000000-0005-0000-0000-0000A32C0000}"/>
    <cellStyle name="汇总 2 9 4 9" xfId="23270" xr:uid="{00000000-0005-0000-0000-0000165B0000}"/>
    <cellStyle name="汇总 2 9 4 9 2" xfId="11584" xr:uid="{00000000-0005-0000-0000-0000702D0000}"/>
    <cellStyle name="汇总 2 9 5" xfId="23275" xr:uid="{00000000-0005-0000-0000-00001B5B0000}"/>
    <cellStyle name="汇总 2 9 5 10" xfId="23276" xr:uid="{00000000-0005-0000-0000-00001C5B0000}"/>
    <cellStyle name="汇总 2 9 5 10 2" xfId="23279" xr:uid="{00000000-0005-0000-0000-00001F5B0000}"/>
    <cellStyle name="汇总 2 9 5 11" xfId="23281" xr:uid="{00000000-0005-0000-0000-0000215B0000}"/>
    <cellStyle name="汇总 2 9 5 11 2" xfId="23284" xr:uid="{00000000-0005-0000-0000-0000245B0000}"/>
    <cellStyle name="汇总 2 9 5 12" xfId="23286" xr:uid="{00000000-0005-0000-0000-0000265B0000}"/>
    <cellStyle name="汇总 2 9 5 12 2" xfId="23288" xr:uid="{00000000-0005-0000-0000-0000285B0000}"/>
    <cellStyle name="汇总 2 9 5 13" xfId="9795" xr:uid="{00000000-0005-0000-0000-000073260000}"/>
    <cellStyle name="汇总 2 9 5 14" xfId="23291" xr:uid="{00000000-0005-0000-0000-00002B5B0000}"/>
    <cellStyle name="汇总 2 9 5 15" xfId="19305" xr:uid="{00000000-0005-0000-0000-0000994B0000}"/>
    <cellStyle name="汇总 2 9 5 16" xfId="5014" xr:uid="{00000000-0005-0000-0000-0000C6130000}"/>
    <cellStyle name="汇总 2 9 5 2" xfId="23294" xr:uid="{00000000-0005-0000-0000-00002E5B0000}"/>
    <cellStyle name="汇总 2 9 5 2 2" xfId="23295" xr:uid="{00000000-0005-0000-0000-00002F5B0000}"/>
    <cellStyle name="汇总 2 9 5 2 2 2" xfId="23297" xr:uid="{00000000-0005-0000-0000-0000315B0000}"/>
    <cellStyle name="汇总 2 9 5 2 3" xfId="23299" xr:uid="{00000000-0005-0000-0000-0000335B0000}"/>
    <cellStyle name="汇总 2 9 5 2 3 2" xfId="23301" xr:uid="{00000000-0005-0000-0000-0000355B0000}"/>
    <cellStyle name="汇总 2 9 5 2 4" xfId="23302" xr:uid="{00000000-0005-0000-0000-0000365B0000}"/>
    <cellStyle name="汇总 2 9 5 2 4 2" xfId="23303" xr:uid="{00000000-0005-0000-0000-0000375B0000}"/>
    <cellStyle name="汇总 2 9 5 2 5" xfId="23304" xr:uid="{00000000-0005-0000-0000-0000385B0000}"/>
    <cellStyle name="汇总 2 9 5 2 5 2" xfId="23305" xr:uid="{00000000-0005-0000-0000-0000395B0000}"/>
    <cellStyle name="汇总 2 9 5 2 6" xfId="3277" xr:uid="{00000000-0005-0000-0000-0000FD0C0000}"/>
    <cellStyle name="汇总 2 9 5 2 7" xfId="23306" xr:uid="{00000000-0005-0000-0000-00003A5B0000}"/>
    <cellStyle name="汇总 2 9 5 2 8" xfId="9411" xr:uid="{00000000-0005-0000-0000-0000F3240000}"/>
    <cellStyle name="汇总 2 9 5 2 9" xfId="9063" xr:uid="{00000000-0005-0000-0000-000097230000}"/>
    <cellStyle name="汇总 2 9 5 3" xfId="23307" xr:uid="{00000000-0005-0000-0000-00003B5B0000}"/>
    <cellStyle name="汇总 2 9 5 3 2" xfId="23308" xr:uid="{00000000-0005-0000-0000-00003C5B0000}"/>
    <cellStyle name="汇总 2 9 5 3 2 2" xfId="23310" xr:uid="{00000000-0005-0000-0000-00003E5B0000}"/>
    <cellStyle name="汇总 2 9 5 3 3" xfId="23312" xr:uid="{00000000-0005-0000-0000-0000405B0000}"/>
    <cellStyle name="汇总 2 9 5 3 3 2" xfId="23313" xr:uid="{00000000-0005-0000-0000-0000415B0000}"/>
    <cellStyle name="汇总 2 9 5 3 4" xfId="23314" xr:uid="{00000000-0005-0000-0000-0000425B0000}"/>
    <cellStyle name="汇总 2 9 5 3 4 2" xfId="23315" xr:uid="{00000000-0005-0000-0000-0000435B0000}"/>
    <cellStyle name="汇总 2 9 5 3 5" xfId="23316" xr:uid="{00000000-0005-0000-0000-0000445B0000}"/>
    <cellStyle name="汇总 2 9 5 3 5 2" xfId="14651" xr:uid="{00000000-0005-0000-0000-00006B390000}"/>
    <cellStyle name="汇总 2 9 5 3 6" xfId="172" xr:uid="{00000000-0005-0000-0000-0000BA000000}"/>
    <cellStyle name="汇总 2 9 5 4" xfId="23319" xr:uid="{00000000-0005-0000-0000-0000475B0000}"/>
    <cellStyle name="汇总 2 9 5 4 2" xfId="23321" xr:uid="{00000000-0005-0000-0000-0000495B0000}"/>
    <cellStyle name="汇总 2 9 5 4 2 2" xfId="23322" xr:uid="{00000000-0005-0000-0000-00004A5B0000}"/>
    <cellStyle name="汇总 2 9 5 4 3" xfId="23324" xr:uid="{00000000-0005-0000-0000-00004C5B0000}"/>
    <cellStyle name="汇总 2 9 5 4 3 2" xfId="23325" xr:uid="{00000000-0005-0000-0000-00004D5B0000}"/>
    <cellStyle name="汇总 2 9 5 4 4" xfId="23327" xr:uid="{00000000-0005-0000-0000-00004F5B0000}"/>
    <cellStyle name="汇总 2 9 5 4 4 2" xfId="23328" xr:uid="{00000000-0005-0000-0000-0000505B0000}"/>
    <cellStyle name="汇总 2 9 5 4 5" xfId="12485" xr:uid="{00000000-0005-0000-0000-0000F5300000}"/>
    <cellStyle name="汇总 2 9 5 4 5 2" xfId="23329" xr:uid="{00000000-0005-0000-0000-0000515B0000}"/>
    <cellStyle name="汇总 2 9 5 4 6" xfId="13034" xr:uid="{00000000-0005-0000-0000-00001A330000}"/>
    <cellStyle name="汇总 2 9 5 5" xfId="23331" xr:uid="{00000000-0005-0000-0000-0000535B0000}"/>
    <cellStyle name="汇总 2 9 5 5 2" xfId="23333" xr:uid="{00000000-0005-0000-0000-0000555B0000}"/>
    <cellStyle name="汇总 2 9 5 5 2 2" xfId="23335" xr:uid="{00000000-0005-0000-0000-0000575B0000}"/>
    <cellStyle name="汇总 2 9 5 5 3" xfId="23337" xr:uid="{00000000-0005-0000-0000-0000595B0000}"/>
    <cellStyle name="汇总 2 9 5 5 3 2" xfId="23339" xr:uid="{00000000-0005-0000-0000-00005B5B0000}"/>
    <cellStyle name="汇总 2 9 5 5 4" xfId="23341" xr:uid="{00000000-0005-0000-0000-00005D5B0000}"/>
    <cellStyle name="汇总 2 9 5 5 4 2" xfId="23343" xr:uid="{00000000-0005-0000-0000-00005F5B0000}"/>
    <cellStyle name="汇总 2 9 5 5 5" xfId="12489" xr:uid="{00000000-0005-0000-0000-0000F9300000}"/>
    <cellStyle name="汇总 2 9 5 5 5 2" xfId="23345" xr:uid="{00000000-0005-0000-0000-0000615B0000}"/>
    <cellStyle name="汇总 2 9 5 5 6" xfId="23350" xr:uid="{00000000-0005-0000-0000-0000665B0000}"/>
    <cellStyle name="汇总 2 9 5 6" xfId="23355" xr:uid="{00000000-0005-0000-0000-00006B5B0000}"/>
    <cellStyle name="汇总 2 9 5 6 2" xfId="23357" xr:uid="{00000000-0005-0000-0000-00006D5B0000}"/>
    <cellStyle name="汇总 2 9 5 6 2 2" xfId="23359" xr:uid="{00000000-0005-0000-0000-00006F5B0000}"/>
    <cellStyle name="汇总 2 9 5 6 3" xfId="23112" xr:uid="{00000000-0005-0000-0000-0000785A0000}"/>
    <cellStyle name="汇总 2 9 5 6 3 2" xfId="23360" xr:uid="{00000000-0005-0000-0000-0000705B0000}"/>
    <cellStyle name="汇总 2 9 5 6 4" xfId="23361" xr:uid="{00000000-0005-0000-0000-0000715B0000}"/>
    <cellStyle name="汇总 2 9 5 6 4 2" xfId="23362" xr:uid="{00000000-0005-0000-0000-0000725B0000}"/>
    <cellStyle name="汇总 2 9 5 6 5" xfId="11401" xr:uid="{00000000-0005-0000-0000-0000B92C0000}"/>
    <cellStyle name="汇总 2 9 5 6 5 2" xfId="23363" xr:uid="{00000000-0005-0000-0000-0000735B0000}"/>
    <cellStyle name="汇总 2 9 5 6 6" xfId="21252" xr:uid="{00000000-0005-0000-0000-000034530000}"/>
    <cellStyle name="汇总 2 9 5 7" xfId="23365" xr:uid="{00000000-0005-0000-0000-0000755B0000}"/>
    <cellStyle name="汇总 2 9 5 7 2" xfId="23367" xr:uid="{00000000-0005-0000-0000-0000775B0000}"/>
    <cellStyle name="汇总 2 9 5 7 2 2" xfId="23369" xr:uid="{00000000-0005-0000-0000-0000795B0000}"/>
    <cellStyle name="汇总 2 9 5 7 3" xfId="23115" xr:uid="{00000000-0005-0000-0000-00007B5A0000}"/>
    <cellStyle name="汇总 2 9 5 7 3 2" xfId="23371" xr:uid="{00000000-0005-0000-0000-00007B5B0000}"/>
    <cellStyle name="汇总 2 9 5 7 4" xfId="23372" xr:uid="{00000000-0005-0000-0000-00007C5B0000}"/>
    <cellStyle name="汇总 2 9 5 7 4 2" xfId="23374" xr:uid="{00000000-0005-0000-0000-00007E5B0000}"/>
    <cellStyle name="汇总 2 9 5 7 5" xfId="11419" xr:uid="{00000000-0005-0000-0000-0000CB2C0000}"/>
    <cellStyle name="汇总 2 9 5 7 5 2" xfId="23376" xr:uid="{00000000-0005-0000-0000-0000805B0000}"/>
    <cellStyle name="汇总 2 9 5 7 6" xfId="2023" xr:uid="{00000000-0005-0000-0000-000017080000}"/>
    <cellStyle name="汇总 2 9 5 8" xfId="15826" xr:uid="{00000000-0005-0000-0000-0000023E0000}"/>
    <cellStyle name="汇总 2 9 5 8 2" xfId="3649" xr:uid="{00000000-0005-0000-0000-0000710E0000}"/>
    <cellStyle name="汇总 2 9 5 8 2 2" xfId="2851" xr:uid="{00000000-0005-0000-0000-0000530B0000}"/>
    <cellStyle name="汇总 2 9 5 8 3" xfId="3982" xr:uid="{00000000-0005-0000-0000-0000BE0F0000}"/>
    <cellStyle name="汇总 2 9 5 8 3 2" xfId="23379" xr:uid="{00000000-0005-0000-0000-0000835B0000}"/>
    <cellStyle name="汇总 2 9 5 8 4" xfId="4698" xr:uid="{00000000-0005-0000-0000-00008A120000}"/>
    <cellStyle name="汇总 2 9 5 8 4 2" xfId="22592" xr:uid="{00000000-0005-0000-0000-000070580000}"/>
    <cellStyle name="汇总 2 9 5 8 5" xfId="4703" xr:uid="{00000000-0005-0000-0000-00008F120000}"/>
    <cellStyle name="汇总 2 9 5 9" xfId="23380" xr:uid="{00000000-0005-0000-0000-0000845B0000}"/>
    <cellStyle name="汇总 2 9 5 9 2" xfId="11753" xr:uid="{00000000-0005-0000-0000-0000192E0000}"/>
    <cellStyle name="汇总 2 9 6" xfId="23382" xr:uid="{00000000-0005-0000-0000-0000865B0000}"/>
    <cellStyle name="汇总 2 9 6 10" xfId="23383" xr:uid="{00000000-0005-0000-0000-0000875B0000}"/>
    <cellStyle name="汇总 2 9 6 10 2" xfId="23385" xr:uid="{00000000-0005-0000-0000-0000895B0000}"/>
    <cellStyle name="汇总 2 9 6 11" xfId="23386" xr:uid="{00000000-0005-0000-0000-00008A5B0000}"/>
    <cellStyle name="汇总 2 9 6 11 2" xfId="23388" xr:uid="{00000000-0005-0000-0000-00008C5B0000}"/>
    <cellStyle name="汇总 2 9 6 12" xfId="23392" xr:uid="{00000000-0005-0000-0000-0000905B0000}"/>
    <cellStyle name="汇总 2 9 6 12 2" xfId="23394" xr:uid="{00000000-0005-0000-0000-0000925B0000}"/>
    <cellStyle name="汇总 2 9 6 13" xfId="23396" xr:uid="{00000000-0005-0000-0000-0000945B0000}"/>
    <cellStyle name="汇总 2 9 6 14" xfId="23399" xr:uid="{00000000-0005-0000-0000-0000975B0000}"/>
    <cellStyle name="汇总 2 9 6 15" xfId="23401" xr:uid="{00000000-0005-0000-0000-0000995B0000}"/>
    <cellStyle name="汇总 2 9 6 16" xfId="23403" xr:uid="{00000000-0005-0000-0000-00009B5B0000}"/>
    <cellStyle name="汇总 2 9 6 2" xfId="23407" xr:uid="{00000000-0005-0000-0000-00009F5B0000}"/>
    <cellStyle name="汇总 2 9 6 2 2" xfId="23408" xr:uid="{00000000-0005-0000-0000-0000A05B0000}"/>
    <cellStyle name="汇总 2 9 6 2 2 2" xfId="23410" xr:uid="{00000000-0005-0000-0000-0000A25B0000}"/>
    <cellStyle name="汇总 2 9 6 2 3" xfId="23413" xr:uid="{00000000-0005-0000-0000-0000A55B0000}"/>
    <cellStyle name="汇总 2 9 6 2 3 2" xfId="23415" xr:uid="{00000000-0005-0000-0000-0000A75B0000}"/>
    <cellStyle name="汇总 2 9 6 2 4" xfId="23416" xr:uid="{00000000-0005-0000-0000-0000A85B0000}"/>
    <cellStyle name="汇总 2 9 6 2 4 2" xfId="23417" xr:uid="{00000000-0005-0000-0000-0000A95B0000}"/>
    <cellStyle name="汇总 2 9 6 2 5" xfId="23418" xr:uid="{00000000-0005-0000-0000-0000AA5B0000}"/>
    <cellStyle name="汇总 2 9 6 2 5 2" xfId="23420" xr:uid="{00000000-0005-0000-0000-0000AC5B0000}"/>
    <cellStyle name="汇总 2 9 6 2 6" xfId="3362" xr:uid="{00000000-0005-0000-0000-0000520D0000}"/>
    <cellStyle name="汇总 2 9 6 2 7" xfId="23421" xr:uid="{00000000-0005-0000-0000-0000AD5B0000}"/>
    <cellStyle name="汇总 2 9 6 2 8" xfId="9423" xr:uid="{00000000-0005-0000-0000-0000FF240000}"/>
    <cellStyle name="汇总 2 9 6 2 9" xfId="9121" xr:uid="{00000000-0005-0000-0000-0000D1230000}"/>
    <cellStyle name="汇总 2 9 6 3" xfId="6267" xr:uid="{00000000-0005-0000-0000-0000AB180000}"/>
    <cellStyle name="汇总 2 9 6 3 2" xfId="23422" xr:uid="{00000000-0005-0000-0000-0000AE5B0000}"/>
    <cellStyle name="汇总 2 9 6 3 2 2" xfId="23424" xr:uid="{00000000-0005-0000-0000-0000B05B0000}"/>
    <cellStyle name="汇总 2 9 6 3 3" xfId="5124" xr:uid="{00000000-0005-0000-0000-000034140000}"/>
    <cellStyle name="汇总 2 9 6 3 3 2" xfId="5139" xr:uid="{00000000-0005-0000-0000-000043140000}"/>
    <cellStyle name="汇总 2 9 6 3 4" xfId="1069" xr:uid="{00000000-0005-0000-0000-00005D040000}"/>
    <cellStyle name="汇总 2 9 6 3 4 2" xfId="9556" xr:uid="{00000000-0005-0000-0000-000084250000}"/>
    <cellStyle name="汇总 2 9 6 3 5" xfId="5608" xr:uid="{00000000-0005-0000-0000-000018160000}"/>
    <cellStyle name="汇总 2 9 6 3 5 2" xfId="9567" xr:uid="{00000000-0005-0000-0000-00008F250000}"/>
    <cellStyle name="汇总 2 9 6 3 6" xfId="2170" xr:uid="{00000000-0005-0000-0000-0000AA080000}"/>
    <cellStyle name="汇总 2 9 6 4" xfId="23427" xr:uid="{00000000-0005-0000-0000-0000B35B0000}"/>
    <cellStyle name="汇总 2 9 6 4 2" xfId="23429" xr:uid="{00000000-0005-0000-0000-0000B55B0000}"/>
    <cellStyle name="汇总 2 9 6 4 2 2" xfId="3375" xr:uid="{00000000-0005-0000-0000-00005F0D0000}"/>
    <cellStyle name="汇总 2 9 6 4 3" xfId="5157" xr:uid="{00000000-0005-0000-0000-000055140000}"/>
    <cellStyle name="汇总 2 9 6 4 3 2" xfId="3409" xr:uid="{00000000-0005-0000-0000-0000810D0000}"/>
    <cellStyle name="汇总 2 9 6 4 4" xfId="1103" xr:uid="{00000000-0005-0000-0000-00007F040000}"/>
    <cellStyle name="汇总 2 9 6 4 4 2" xfId="3445" xr:uid="{00000000-0005-0000-0000-0000A50D0000}"/>
    <cellStyle name="汇总 2 9 6 4 5" xfId="9589" xr:uid="{00000000-0005-0000-0000-0000A5250000}"/>
    <cellStyle name="汇总 2 9 6 4 5 2" xfId="1293" xr:uid="{00000000-0005-0000-0000-00003D050000}"/>
    <cellStyle name="汇总 2 9 6 4 6" xfId="9593" xr:uid="{00000000-0005-0000-0000-0000A9250000}"/>
    <cellStyle name="汇总 2 9 6 5" xfId="23431" xr:uid="{00000000-0005-0000-0000-0000B75B0000}"/>
    <cellStyle name="汇总 2 9 6 5 2" xfId="23433" xr:uid="{00000000-0005-0000-0000-0000B95B0000}"/>
    <cellStyle name="汇总 2 9 6 5 2 2" xfId="23437" xr:uid="{00000000-0005-0000-0000-0000BD5B0000}"/>
    <cellStyle name="汇总 2 9 6 5 3" xfId="5191" xr:uid="{00000000-0005-0000-0000-000077140000}"/>
    <cellStyle name="汇总 2 9 6 5 3 2" xfId="5204" xr:uid="{00000000-0005-0000-0000-000084140000}"/>
    <cellStyle name="汇总 2 9 6 5 4" xfId="1127" xr:uid="{00000000-0005-0000-0000-000097040000}"/>
    <cellStyle name="汇总 2 9 6 5 4 2" xfId="9605" xr:uid="{00000000-0005-0000-0000-0000B5250000}"/>
    <cellStyle name="汇总 2 9 6 5 5" xfId="9617" xr:uid="{00000000-0005-0000-0000-0000C1250000}"/>
    <cellStyle name="汇总 2 9 6 5 5 2" xfId="9621" xr:uid="{00000000-0005-0000-0000-0000C5250000}"/>
    <cellStyle name="汇总 2 9 6 5 6" xfId="9631" xr:uid="{00000000-0005-0000-0000-0000CF250000}"/>
    <cellStyle name="汇总 2 9 6 6" xfId="23441" xr:uid="{00000000-0005-0000-0000-0000C15B0000}"/>
    <cellStyle name="汇总 2 9 6 6 2" xfId="23444" xr:uid="{00000000-0005-0000-0000-0000C45B0000}"/>
    <cellStyle name="汇总 2 9 6 6 2 2" xfId="23446" xr:uid="{00000000-0005-0000-0000-0000C65B0000}"/>
    <cellStyle name="汇总 2 9 6 6 3" xfId="3935" xr:uid="{00000000-0005-0000-0000-00008F0F0000}"/>
    <cellStyle name="汇总 2 9 6 6 3 2" xfId="9646" xr:uid="{00000000-0005-0000-0000-0000DE250000}"/>
    <cellStyle name="汇总 2 9 6 6 4" xfId="9656" xr:uid="{00000000-0005-0000-0000-0000E8250000}"/>
    <cellStyle name="汇总 2 9 6 6 4 2" xfId="9658" xr:uid="{00000000-0005-0000-0000-0000EA250000}"/>
    <cellStyle name="汇总 2 9 6 6 5" xfId="9669" xr:uid="{00000000-0005-0000-0000-0000F5250000}"/>
    <cellStyle name="汇总 2 9 6 6 5 2" xfId="9677" xr:uid="{00000000-0005-0000-0000-0000FD250000}"/>
    <cellStyle name="汇总 2 9 6 6 6" xfId="9689" xr:uid="{00000000-0005-0000-0000-000009260000}"/>
    <cellStyle name="汇总 2 9 6 7" xfId="23448" xr:uid="{00000000-0005-0000-0000-0000C85B0000}"/>
    <cellStyle name="汇总 2 9 6 7 2" xfId="23450" xr:uid="{00000000-0005-0000-0000-0000CA5B0000}"/>
    <cellStyle name="汇总 2 9 6 7 2 2" xfId="5742" xr:uid="{00000000-0005-0000-0000-00009E160000}"/>
    <cellStyle name="汇总 2 9 6 7 3" xfId="9701" xr:uid="{00000000-0005-0000-0000-000015260000}"/>
    <cellStyle name="汇总 2 9 6 7 3 2" xfId="9705" xr:uid="{00000000-0005-0000-0000-000019260000}"/>
    <cellStyle name="汇总 2 9 6 7 4" xfId="9715" xr:uid="{00000000-0005-0000-0000-000023260000}"/>
    <cellStyle name="汇总 2 9 6 7 4 2" xfId="9718" xr:uid="{00000000-0005-0000-0000-000026260000}"/>
    <cellStyle name="汇总 2 9 6 7 5" xfId="9729" xr:uid="{00000000-0005-0000-0000-000031260000}"/>
    <cellStyle name="汇总 2 9 6 7 5 2" xfId="9738" xr:uid="{00000000-0005-0000-0000-00003A260000}"/>
    <cellStyle name="汇总 2 9 6 7 6" xfId="362" xr:uid="{00000000-0005-0000-0000-00008D010000}"/>
    <cellStyle name="汇总 2 9 6 8" xfId="15835" xr:uid="{00000000-0005-0000-0000-00000B3E0000}"/>
    <cellStyle name="汇总 2 9 6 8 2" xfId="11874" xr:uid="{00000000-0005-0000-0000-0000922E0000}"/>
    <cellStyle name="汇总 2 9 6 8 2 2" xfId="6553" xr:uid="{00000000-0005-0000-0000-0000C9190000}"/>
    <cellStyle name="汇总 2 9 6 8 3" xfId="9752" xr:uid="{00000000-0005-0000-0000-000048260000}"/>
    <cellStyle name="汇总 2 9 6 8 3 2" xfId="9758" xr:uid="{00000000-0005-0000-0000-00004E260000}"/>
    <cellStyle name="汇总 2 9 6 8 4" xfId="9768" xr:uid="{00000000-0005-0000-0000-000058260000}"/>
    <cellStyle name="汇总 2 9 6 8 4 2" xfId="9772" xr:uid="{00000000-0005-0000-0000-00005C260000}"/>
    <cellStyle name="汇总 2 9 6 8 5" xfId="9784" xr:uid="{00000000-0005-0000-0000-000068260000}"/>
    <cellStyle name="汇总 2 9 6 9" xfId="23451" xr:uid="{00000000-0005-0000-0000-0000CB5B0000}"/>
    <cellStyle name="汇总 2 9 6 9 2" xfId="11881" xr:uid="{00000000-0005-0000-0000-0000992E0000}"/>
    <cellStyle name="汇总 2 9 7" xfId="5730" xr:uid="{00000000-0005-0000-0000-000092160000}"/>
    <cellStyle name="汇总 2 9 7 10" xfId="23453" xr:uid="{00000000-0005-0000-0000-0000CD5B0000}"/>
    <cellStyle name="汇总 2 9 7 10 2" xfId="23455" xr:uid="{00000000-0005-0000-0000-0000CF5B0000}"/>
    <cellStyle name="汇总 2 9 7 11" xfId="14216" xr:uid="{00000000-0005-0000-0000-0000B8370000}"/>
    <cellStyle name="汇总 2 9 7 11 2" xfId="23456" xr:uid="{00000000-0005-0000-0000-0000D05B0000}"/>
    <cellStyle name="汇总 2 9 7 12" xfId="23458" xr:uid="{00000000-0005-0000-0000-0000D25B0000}"/>
    <cellStyle name="汇总 2 9 7 12 2" xfId="23460" xr:uid="{00000000-0005-0000-0000-0000D45B0000}"/>
    <cellStyle name="汇总 2 9 7 13" xfId="23461" xr:uid="{00000000-0005-0000-0000-0000D55B0000}"/>
    <cellStyle name="汇总 2 9 7 14" xfId="23063" xr:uid="{00000000-0005-0000-0000-0000475A0000}"/>
    <cellStyle name="汇总 2 9 7 15" xfId="23066" xr:uid="{00000000-0005-0000-0000-00004A5A0000}"/>
    <cellStyle name="汇总 2 9 7 16" xfId="20166" xr:uid="{00000000-0005-0000-0000-0000F64E0000}"/>
    <cellStyle name="汇总 2 9 7 2" xfId="23463" xr:uid="{00000000-0005-0000-0000-0000D75B0000}"/>
    <cellStyle name="汇总 2 9 7 2 2" xfId="23464" xr:uid="{00000000-0005-0000-0000-0000D85B0000}"/>
    <cellStyle name="汇总 2 9 7 2 2 2" xfId="23465" xr:uid="{00000000-0005-0000-0000-0000D95B0000}"/>
    <cellStyle name="汇总 2 9 7 2 3" xfId="651" xr:uid="{00000000-0005-0000-0000-0000BB020000}"/>
    <cellStyle name="汇总 2 9 7 2 3 2" xfId="23466" xr:uid="{00000000-0005-0000-0000-0000DA5B0000}"/>
    <cellStyle name="汇总 2 9 7 2 4" xfId="574" xr:uid="{00000000-0005-0000-0000-00006E020000}"/>
    <cellStyle name="汇总 2 9 7 2 4 2" xfId="23467" xr:uid="{00000000-0005-0000-0000-0000DB5B0000}"/>
    <cellStyle name="汇总 2 9 7 2 5" xfId="23468" xr:uid="{00000000-0005-0000-0000-0000DC5B0000}"/>
    <cellStyle name="汇总 2 9 7 2 5 2" xfId="247" xr:uid="{00000000-0005-0000-0000-00000E010000}"/>
    <cellStyle name="汇总 2 9 7 2 6" xfId="2822" xr:uid="{00000000-0005-0000-0000-0000360B0000}"/>
    <cellStyle name="汇总 2 9 7 2 7" xfId="23469" xr:uid="{00000000-0005-0000-0000-0000DD5B0000}"/>
    <cellStyle name="汇总 2 9 7 2 8" xfId="9431" xr:uid="{00000000-0005-0000-0000-000007250000}"/>
    <cellStyle name="汇总 2 9 7 2 9" xfId="2872" xr:uid="{00000000-0005-0000-0000-0000680B0000}"/>
    <cellStyle name="汇总 2 9 7 3" xfId="4008" xr:uid="{00000000-0005-0000-0000-0000D80F0000}"/>
    <cellStyle name="汇总 2 9 7 3 2" xfId="23470" xr:uid="{00000000-0005-0000-0000-0000DE5B0000}"/>
    <cellStyle name="汇总 2 9 7 3 2 2" xfId="23471" xr:uid="{00000000-0005-0000-0000-0000DF5B0000}"/>
    <cellStyle name="汇总 2 9 7 3 3" xfId="663" xr:uid="{00000000-0005-0000-0000-0000C7020000}"/>
    <cellStyle name="汇总 2 9 7 3 3 2" xfId="5324" xr:uid="{00000000-0005-0000-0000-0000FC140000}"/>
    <cellStyle name="汇总 2 9 7 3 4" xfId="310" xr:uid="{00000000-0005-0000-0000-000055010000}"/>
    <cellStyle name="汇总 2 9 7 3 4 2" xfId="541" xr:uid="{00000000-0005-0000-0000-00004C020000}"/>
    <cellStyle name="汇总 2 9 7 3 5" xfId="9867" xr:uid="{00000000-0005-0000-0000-0000BB260000}"/>
    <cellStyle name="汇总 2 9 7 3 5 2" xfId="9873" xr:uid="{00000000-0005-0000-0000-0000C1260000}"/>
    <cellStyle name="汇总 2 9 7 3 6" xfId="947" xr:uid="{00000000-0005-0000-0000-0000E3030000}"/>
    <cellStyle name="汇总 2 9 7 4" xfId="23474" xr:uid="{00000000-0005-0000-0000-0000E25B0000}"/>
    <cellStyle name="汇总 2 9 7 4 2" xfId="23477" xr:uid="{00000000-0005-0000-0000-0000E55B0000}"/>
    <cellStyle name="汇总 2 9 7 4 2 2" xfId="23479" xr:uid="{00000000-0005-0000-0000-0000E75B0000}"/>
    <cellStyle name="汇总 2 9 7 4 3" xfId="678" xr:uid="{00000000-0005-0000-0000-0000D6020000}"/>
    <cellStyle name="汇总 2 9 7 4 3 2" xfId="5344" xr:uid="{00000000-0005-0000-0000-000010150000}"/>
    <cellStyle name="汇总 2 9 7 4 4" xfId="703" xr:uid="{00000000-0005-0000-0000-0000EF020000}"/>
    <cellStyle name="汇总 2 9 7 4 4 2" xfId="9901" xr:uid="{00000000-0005-0000-0000-0000DD260000}"/>
    <cellStyle name="汇总 2 9 7 4 5" xfId="9904" xr:uid="{00000000-0005-0000-0000-0000E0260000}"/>
    <cellStyle name="汇总 2 9 7 4 5 2" xfId="9914" xr:uid="{00000000-0005-0000-0000-0000EA260000}"/>
    <cellStyle name="汇总 2 9 7 4 6" xfId="9920" xr:uid="{00000000-0005-0000-0000-0000F0260000}"/>
    <cellStyle name="汇总 2 9 7 5" xfId="17640" xr:uid="{00000000-0005-0000-0000-000018450000}"/>
    <cellStyle name="汇总 2 9 7 5 2" xfId="23482" xr:uid="{00000000-0005-0000-0000-0000EA5B0000}"/>
    <cellStyle name="汇总 2 9 7 5 2 2" xfId="14538" xr:uid="{00000000-0005-0000-0000-0000FA380000}"/>
    <cellStyle name="汇总 2 9 7 5 3" xfId="734" xr:uid="{00000000-0005-0000-0000-00000E030000}"/>
    <cellStyle name="汇总 2 9 7 5 3 2" xfId="5369" xr:uid="{00000000-0005-0000-0000-000029150000}"/>
    <cellStyle name="汇总 2 9 7 5 4" xfId="544" xr:uid="{00000000-0005-0000-0000-000050020000}"/>
    <cellStyle name="汇总 2 9 7 5 4 2" xfId="9945" xr:uid="{00000000-0005-0000-0000-000009270000}"/>
    <cellStyle name="汇总 2 9 7 5 5" xfId="9948" xr:uid="{00000000-0005-0000-0000-00000C270000}"/>
    <cellStyle name="汇总 2 9 7 5 5 2" xfId="9957" xr:uid="{00000000-0005-0000-0000-000015270000}"/>
    <cellStyle name="汇总 2 9 7 5 6" xfId="9963" xr:uid="{00000000-0005-0000-0000-00001B270000}"/>
    <cellStyle name="汇总 2 9 7 6" xfId="23484" xr:uid="{00000000-0005-0000-0000-0000EC5B0000}"/>
    <cellStyle name="汇总 2 9 7 6 2" xfId="23488" xr:uid="{00000000-0005-0000-0000-0000F05B0000}"/>
    <cellStyle name="汇总 2 9 7 6 2 2" xfId="23490" xr:uid="{00000000-0005-0000-0000-0000F25B0000}"/>
    <cellStyle name="汇总 2 9 7 6 3" xfId="752" xr:uid="{00000000-0005-0000-0000-000020030000}"/>
    <cellStyle name="汇总 2 9 7 6 3 2" xfId="9986" xr:uid="{00000000-0005-0000-0000-000032270000}"/>
    <cellStyle name="汇总 2 9 7 6 4" xfId="599" xr:uid="{00000000-0005-0000-0000-000087020000}"/>
    <cellStyle name="汇总 2 9 7 6 4 2" xfId="9997" xr:uid="{00000000-0005-0000-0000-00003D270000}"/>
    <cellStyle name="汇总 2 9 7 6 5" xfId="10000" xr:uid="{00000000-0005-0000-0000-000040270000}"/>
    <cellStyle name="汇总 2 9 7 6 5 2" xfId="10014" xr:uid="{00000000-0005-0000-0000-00004E270000}"/>
    <cellStyle name="汇总 2 9 7 6 6" xfId="10022" xr:uid="{00000000-0005-0000-0000-000056270000}"/>
    <cellStyle name="汇总 2 9 7 7" xfId="7246" xr:uid="{00000000-0005-0000-0000-00007E1C0000}"/>
    <cellStyle name="汇总 2 9 7 7 2" xfId="23493" xr:uid="{00000000-0005-0000-0000-0000F55B0000}"/>
    <cellStyle name="汇总 2 9 7 7 2 2" xfId="23495" xr:uid="{00000000-0005-0000-0000-0000F75B0000}"/>
    <cellStyle name="汇总 2 9 7 7 3" xfId="10036" xr:uid="{00000000-0005-0000-0000-000064270000}"/>
    <cellStyle name="汇总 2 9 7 7 3 2" xfId="10048" xr:uid="{00000000-0005-0000-0000-000070270000}"/>
    <cellStyle name="汇总 2 9 7 7 4" xfId="10051" xr:uid="{00000000-0005-0000-0000-000073270000}"/>
    <cellStyle name="汇总 2 9 7 7 4 2" xfId="10060" xr:uid="{00000000-0005-0000-0000-00007C270000}"/>
    <cellStyle name="汇总 2 9 7 7 5" xfId="10063" xr:uid="{00000000-0005-0000-0000-00007F270000}"/>
    <cellStyle name="汇总 2 9 7 7 5 2" xfId="10076" xr:uid="{00000000-0005-0000-0000-00008C270000}"/>
    <cellStyle name="汇总 2 9 7 7 6" xfId="1006" xr:uid="{00000000-0005-0000-0000-00001E040000}"/>
    <cellStyle name="汇总 2 9 7 8" xfId="15841" xr:uid="{00000000-0005-0000-0000-0000113E0000}"/>
    <cellStyle name="汇总 2 9 7 8 2" xfId="12025" xr:uid="{00000000-0005-0000-0000-0000292F0000}"/>
    <cellStyle name="汇总 2 9 7 8 2 2" xfId="12033" xr:uid="{00000000-0005-0000-0000-0000312F0000}"/>
    <cellStyle name="汇总 2 9 7 8 3" xfId="10097" xr:uid="{00000000-0005-0000-0000-0000A1270000}"/>
    <cellStyle name="汇总 2 9 7 8 3 2" xfId="10108" xr:uid="{00000000-0005-0000-0000-0000AC270000}"/>
    <cellStyle name="汇总 2 9 7 8 4" xfId="10111" xr:uid="{00000000-0005-0000-0000-0000AF270000}"/>
    <cellStyle name="汇总 2 9 7 8 4 2" xfId="10119" xr:uid="{00000000-0005-0000-0000-0000B7270000}"/>
    <cellStyle name="汇总 2 9 7 8 5" xfId="10122" xr:uid="{00000000-0005-0000-0000-0000BA270000}"/>
    <cellStyle name="汇总 2 9 7 9" xfId="23496" xr:uid="{00000000-0005-0000-0000-0000F85B0000}"/>
    <cellStyle name="汇总 2 9 7 9 2" xfId="12073" xr:uid="{00000000-0005-0000-0000-0000592F0000}"/>
    <cellStyle name="汇总 2 9 8" xfId="23498" xr:uid="{00000000-0005-0000-0000-0000FA5B0000}"/>
    <cellStyle name="汇总 2 9 8 10" xfId="23503" xr:uid="{00000000-0005-0000-0000-0000FF5B0000}"/>
    <cellStyle name="汇总 2 9 8 10 2" xfId="23412" xr:uid="{00000000-0005-0000-0000-0000A45B0000}"/>
    <cellStyle name="汇总 2 9 8 11" xfId="9553" xr:uid="{00000000-0005-0000-0000-000081250000}"/>
    <cellStyle name="汇总 2 9 8 11 2" xfId="5123" xr:uid="{00000000-0005-0000-0000-000033140000}"/>
    <cellStyle name="汇总 2 9 8 12" xfId="9586" xr:uid="{00000000-0005-0000-0000-0000A2250000}"/>
    <cellStyle name="汇总 2 9 8 12 2" xfId="5156" xr:uid="{00000000-0005-0000-0000-000054140000}"/>
    <cellStyle name="汇总 2 9 8 13" xfId="9601" xr:uid="{00000000-0005-0000-0000-0000B1250000}"/>
    <cellStyle name="汇总 2 9 8 14" xfId="9643" xr:uid="{00000000-0005-0000-0000-0000DB250000}"/>
    <cellStyle name="汇总 2 9 8 15" xfId="9697" xr:uid="{00000000-0005-0000-0000-000011260000}"/>
    <cellStyle name="汇总 2 9 8 16" xfId="9746" xr:uid="{00000000-0005-0000-0000-000042260000}"/>
    <cellStyle name="汇总 2 9 8 2" xfId="23504" xr:uid="{00000000-0005-0000-0000-0000005C0000}"/>
    <cellStyle name="汇总 2 9 8 2 2" xfId="23505" xr:uid="{00000000-0005-0000-0000-0000015C0000}"/>
    <cellStyle name="汇总 2 9 8 2 2 2" xfId="23507" xr:uid="{00000000-0005-0000-0000-0000035C0000}"/>
    <cellStyle name="汇总 2 9 8 2 3" xfId="23509" xr:uid="{00000000-0005-0000-0000-0000055C0000}"/>
    <cellStyle name="汇总 2 9 8 2 3 2" xfId="23510" xr:uid="{00000000-0005-0000-0000-0000065C0000}"/>
    <cellStyle name="汇总 2 9 8 2 4" xfId="23512" xr:uid="{00000000-0005-0000-0000-0000085C0000}"/>
    <cellStyle name="汇总 2 9 8 2 4 2" xfId="23515" xr:uid="{00000000-0005-0000-0000-00000B5C0000}"/>
    <cellStyle name="汇总 2 9 8 2 5" xfId="23517" xr:uid="{00000000-0005-0000-0000-00000D5C0000}"/>
    <cellStyle name="汇总 2 9 8 2 5 2" xfId="23518" xr:uid="{00000000-0005-0000-0000-00000E5C0000}"/>
    <cellStyle name="汇总 2 9 8 2 6" xfId="2631" xr:uid="{00000000-0005-0000-0000-0000770A0000}"/>
    <cellStyle name="汇总 2 9 8 2 7" xfId="23520" xr:uid="{00000000-0005-0000-0000-0000105C0000}"/>
    <cellStyle name="汇总 2 9 8 2 8" xfId="9438" xr:uid="{00000000-0005-0000-0000-00000E250000}"/>
    <cellStyle name="汇总 2 9 8 2 9" xfId="12798" xr:uid="{00000000-0005-0000-0000-00002E320000}"/>
    <cellStyle name="汇总 2 9 8 3" xfId="6274" xr:uid="{00000000-0005-0000-0000-0000B2180000}"/>
    <cellStyle name="汇总 2 9 8 3 2" xfId="23521" xr:uid="{00000000-0005-0000-0000-0000115C0000}"/>
    <cellStyle name="汇总 2 9 8 3 2 2" xfId="23523" xr:uid="{00000000-0005-0000-0000-0000135C0000}"/>
    <cellStyle name="汇总 2 9 8 3 3" xfId="5523" xr:uid="{00000000-0005-0000-0000-0000C3150000}"/>
    <cellStyle name="汇总 2 9 8 3 3 2" xfId="2663" xr:uid="{00000000-0005-0000-0000-0000970A0000}"/>
    <cellStyle name="汇总 2 9 8 3 4" xfId="5528" xr:uid="{00000000-0005-0000-0000-0000C8150000}"/>
    <cellStyle name="汇总 2 9 8 3 4 2" xfId="10185" xr:uid="{00000000-0005-0000-0000-0000F9270000}"/>
    <cellStyle name="汇总 2 9 8 3 5" xfId="10194" xr:uid="{00000000-0005-0000-0000-000002280000}"/>
    <cellStyle name="汇总 2 9 8 3 5 2" xfId="10201" xr:uid="{00000000-0005-0000-0000-000009280000}"/>
    <cellStyle name="汇总 2 9 8 3 6" xfId="2728" xr:uid="{00000000-0005-0000-0000-0000D80A0000}"/>
    <cellStyle name="汇总 2 9 8 4" xfId="23527" xr:uid="{00000000-0005-0000-0000-0000175C0000}"/>
    <cellStyle name="汇总 2 9 8 4 2" xfId="16087" xr:uid="{00000000-0005-0000-0000-0000073F0000}"/>
    <cellStyle name="汇总 2 9 8 4 2 2" xfId="23530" xr:uid="{00000000-0005-0000-0000-00001A5C0000}"/>
    <cellStyle name="汇总 2 9 8 4 3" xfId="5565" xr:uid="{00000000-0005-0000-0000-0000ED150000}"/>
    <cellStyle name="汇总 2 9 8 4 3 2" xfId="2757" xr:uid="{00000000-0005-0000-0000-0000F50A0000}"/>
    <cellStyle name="汇总 2 9 8 4 4" xfId="5573" xr:uid="{00000000-0005-0000-0000-0000F5150000}"/>
    <cellStyle name="汇总 2 9 8 4 4 2" xfId="10246" xr:uid="{00000000-0005-0000-0000-000036280000}"/>
    <cellStyle name="汇总 2 9 8 4 5" xfId="9487" xr:uid="{00000000-0005-0000-0000-00003F250000}"/>
    <cellStyle name="汇总 2 9 8 4 5 2" xfId="9496" xr:uid="{00000000-0005-0000-0000-000048250000}"/>
    <cellStyle name="汇总 2 9 8 4 6" xfId="9506" xr:uid="{00000000-0005-0000-0000-000052250000}"/>
    <cellStyle name="汇总 2 9 8 5" xfId="17644" xr:uid="{00000000-0005-0000-0000-00001C450000}"/>
    <cellStyle name="汇总 2 9 8 5 2" xfId="23534" xr:uid="{00000000-0005-0000-0000-00001E5C0000}"/>
    <cellStyle name="汇总 2 9 8 5 2 2" xfId="23537" xr:uid="{00000000-0005-0000-0000-0000215C0000}"/>
    <cellStyle name="汇总 2 9 8 5 3" xfId="2811" xr:uid="{00000000-0005-0000-0000-00002B0B0000}"/>
    <cellStyle name="汇总 2 9 8 5 3 2" xfId="5295" xr:uid="{00000000-0005-0000-0000-0000DF140000}"/>
    <cellStyle name="汇总 2 9 8 5 4" xfId="4003" xr:uid="{00000000-0005-0000-0000-0000D30F0000}"/>
    <cellStyle name="汇总 2 9 8 5 4 2" xfId="10256" xr:uid="{00000000-0005-0000-0000-000040280000}"/>
    <cellStyle name="汇总 2 9 8 5 5" xfId="10260" xr:uid="{00000000-0005-0000-0000-000044280000}"/>
    <cellStyle name="汇总 2 9 8 5 5 2" xfId="10266" xr:uid="{00000000-0005-0000-0000-00004A280000}"/>
    <cellStyle name="汇总 2 9 8 5 6" xfId="10272" xr:uid="{00000000-0005-0000-0000-000050280000}"/>
    <cellStyle name="汇总 2 9 8 6" xfId="23539" xr:uid="{00000000-0005-0000-0000-0000235C0000}"/>
    <cellStyle name="汇总 2 9 8 6 2" xfId="23543" xr:uid="{00000000-0005-0000-0000-0000275C0000}"/>
    <cellStyle name="汇总 2 9 8 6 2 2" xfId="1667" xr:uid="{00000000-0005-0000-0000-0000B3060000}"/>
    <cellStyle name="汇总 2 9 8 6 3" xfId="5594" xr:uid="{00000000-0005-0000-0000-00000A160000}"/>
    <cellStyle name="汇总 2 9 8 6 3 2" xfId="10291" xr:uid="{00000000-0005-0000-0000-000063280000}"/>
    <cellStyle name="汇总 2 9 8 6 4" xfId="7805" xr:uid="{00000000-0005-0000-0000-0000AD1E0000}"/>
    <cellStyle name="汇总 2 9 8 6 4 2" xfId="10300" xr:uid="{00000000-0005-0000-0000-00006C280000}"/>
    <cellStyle name="汇总 2 9 8 6 5" xfId="10303" xr:uid="{00000000-0005-0000-0000-00006F280000}"/>
    <cellStyle name="汇总 2 9 8 6 5 2" xfId="10316" xr:uid="{00000000-0005-0000-0000-00007C280000}"/>
    <cellStyle name="汇总 2 9 8 6 6" xfId="10323" xr:uid="{00000000-0005-0000-0000-000083280000}"/>
    <cellStyle name="汇总 2 9 8 7" xfId="7250" xr:uid="{00000000-0005-0000-0000-0000821C0000}"/>
    <cellStyle name="汇总 2 9 8 7 2" xfId="23546" xr:uid="{00000000-0005-0000-0000-00002A5C0000}"/>
    <cellStyle name="汇总 2 9 8 7 2 2" xfId="5247" xr:uid="{00000000-0005-0000-0000-0000AF140000}"/>
    <cellStyle name="汇总 2 9 8 7 3" xfId="10337" xr:uid="{00000000-0005-0000-0000-000091280000}"/>
    <cellStyle name="汇总 2 9 8 7 3 2" xfId="10347" xr:uid="{00000000-0005-0000-0000-00009B280000}"/>
    <cellStyle name="汇总 2 9 8 7 4" xfId="10351" xr:uid="{00000000-0005-0000-0000-00009F280000}"/>
    <cellStyle name="汇总 2 9 8 7 4 2" xfId="10361" xr:uid="{00000000-0005-0000-0000-0000A9280000}"/>
    <cellStyle name="汇总 2 9 8 7 5" xfId="10364" xr:uid="{00000000-0005-0000-0000-0000AC280000}"/>
    <cellStyle name="汇总 2 9 8 7 5 2" xfId="10377" xr:uid="{00000000-0005-0000-0000-0000B9280000}"/>
    <cellStyle name="汇总 2 9 8 7 6" xfId="4882" xr:uid="{00000000-0005-0000-0000-000042130000}"/>
    <cellStyle name="汇总 2 9 8 8" xfId="23548" xr:uid="{00000000-0005-0000-0000-00002C5C0000}"/>
    <cellStyle name="汇总 2 9 8 8 2" xfId="12265" xr:uid="{00000000-0005-0000-0000-000019300000}"/>
    <cellStyle name="汇总 2 9 8 8 2 2" xfId="12272" xr:uid="{00000000-0005-0000-0000-000020300000}"/>
    <cellStyle name="汇总 2 9 8 8 3" xfId="10394" xr:uid="{00000000-0005-0000-0000-0000CA280000}"/>
    <cellStyle name="汇总 2 9 8 8 3 2" xfId="10403" xr:uid="{00000000-0005-0000-0000-0000D3280000}"/>
    <cellStyle name="汇总 2 9 8 8 4" xfId="10406" xr:uid="{00000000-0005-0000-0000-0000D6280000}"/>
    <cellStyle name="汇总 2 9 8 8 4 2" xfId="10414" xr:uid="{00000000-0005-0000-0000-0000DE280000}"/>
    <cellStyle name="汇总 2 9 8 8 5" xfId="10416" xr:uid="{00000000-0005-0000-0000-0000E0280000}"/>
    <cellStyle name="汇总 2 9 8 9" xfId="23549" xr:uid="{00000000-0005-0000-0000-00002D5C0000}"/>
    <cellStyle name="汇总 2 9 8 9 2" xfId="12313" xr:uid="{00000000-0005-0000-0000-000049300000}"/>
    <cellStyle name="汇总 2 9 9" xfId="3217" xr:uid="{00000000-0005-0000-0000-0000C10C0000}"/>
    <cellStyle name="汇总 2 9 9 10" xfId="6616" xr:uid="{00000000-0005-0000-0000-0000081A0000}"/>
    <cellStyle name="汇总 2 9 9 10 2" xfId="6620" xr:uid="{00000000-0005-0000-0000-00000C1A0000}"/>
    <cellStyle name="汇总 2 9 9 11" xfId="6670" xr:uid="{00000000-0005-0000-0000-00003E1A0000}"/>
    <cellStyle name="汇总 2 9 9 11 2" xfId="6675" xr:uid="{00000000-0005-0000-0000-0000431A0000}"/>
    <cellStyle name="汇总 2 9 9 12" xfId="6728" xr:uid="{00000000-0005-0000-0000-0000781A0000}"/>
    <cellStyle name="汇总 2 9 9 12 2" xfId="6734" xr:uid="{00000000-0005-0000-0000-00007E1A0000}"/>
    <cellStyle name="汇总 2 9 9 13" xfId="844" xr:uid="{00000000-0005-0000-0000-00007C030000}"/>
    <cellStyle name="汇总 2 9 9 14" xfId="6835" xr:uid="{00000000-0005-0000-0000-0000E31A0000}"/>
    <cellStyle name="汇总 2 9 9 15" xfId="2734" xr:uid="{00000000-0005-0000-0000-0000DE0A0000}"/>
    <cellStyle name="汇总 2 9 9 16" xfId="6890" xr:uid="{00000000-0005-0000-0000-00001A1B0000}"/>
    <cellStyle name="汇总 2 9 9 2" xfId="3252" xr:uid="{00000000-0005-0000-0000-0000E40C0000}"/>
    <cellStyle name="汇总 2 9 9 2 2" xfId="23550" xr:uid="{00000000-0005-0000-0000-00002E5C0000}"/>
    <cellStyle name="汇总 2 9 9 2 2 2" xfId="23552" xr:uid="{00000000-0005-0000-0000-0000305C0000}"/>
    <cellStyle name="汇总 2 9 9 2 3" xfId="23554" xr:uid="{00000000-0005-0000-0000-0000325C0000}"/>
    <cellStyle name="汇总 2 9 9 2 3 2" xfId="23557" xr:uid="{00000000-0005-0000-0000-0000355C0000}"/>
    <cellStyle name="汇总 2 9 9 2 4" xfId="23560" xr:uid="{00000000-0005-0000-0000-0000385C0000}"/>
    <cellStyle name="汇总 2 9 9 2 4 2" xfId="23563" xr:uid="{00000000-0005-0000-0000-00003B5C0000}"/>
    <cellStyle name="汇总 2 9 9 2 5" xfId="23566" xr:uid="{00000000-0005-0000-0000-00003E5C0000}"/>
    <cellStyle name="汇总 2 9 9 2 5 2" xfId="23569" xr:uid="{00000000-0005-0000-0000-0000415C0000}"/>
    <cellStyle name="汇总 2 9 9 2 6" xfId="351" xr:uid="{00000000-0005-0000-0000-000081010000}"/>
    <cellStyle name="汇总 2 9 9 2 7" xfId="23572" xr:uid="{00000000-0005-0000-0000-0000445C0000}"/>
    <cellStyle name="汇总 2 9 9 2 8" xfId="9456" xr:uid="{00000000-0005-0000-0000-000020250000}"/>
    <cellStyle name="汇总 2 9 9 2 9" xfId="12839" xr:uid="{00000000-0005-0000-0000-000057320000}"/>
    <cellStyle name="汇总 2 9 9 3" xfId="4768" xr:uid="{00000000-0005-0000-0000-0000D0120000}"/>
    <cellStyle name="汇总 2 9 9 3 2" xfId="5878" xr:uid="{00000000-0005-0000-0000-000026170000}"/>
    <cellStyle name="汇总 2 9 9 3 2 2" xfId="5891" xr:uid="{00000000-0005-0000-0000-000033170000}"/>
    <cellStyle name="汇总 2 9 9 3 3" xfId="5916" xr:uid="{00000000-0005-0000-0000-00004C170000}"/>
    <cellStyle name="汇总 2 9 9 3 3 2" xfId="5934" xr:uid="{00000000-0005-0000-0000-00005E170000}"/>
    <cellStyle name="汇总 2 9 9 3 4" xfId="5951" xr:uid="{00000000-0005-0000-0000-00006F170000}"/>
    <cellStyle name="汇总 2 9 9 3 4 2" xfId="10495" xr:uid="{00000000-0005-0000-0000-00002F290000}"/>
    <cellStyle name="汇总 2 9 9 3 5" xfId="10503" xr:uid="{00000000-0005-0000-0000-000037290000}"/>
    <cellStyle name="汇总 2 9 9 3 5 2" xfId="10510" xr:uid="{00000000-0005-0000-0000-00003E290000}"/>
    <cellStyle name="汇总 2 9 9 3 6" xfId="1224" xr:uid="{00000000-0005-0000-0000-0000F8040000}"/>
    <cellStyle name="汇总 2 9 9 4" xfId="23576" xr:uid="{00000000-0005-0000-0000-0000485C0000}"/>
    <cellStyle name="汇总 2 9 9 4 2" xfId="16205" xr:uid="{00000000-0005-0000-0000-00007D3F0000}"/>
    <cellStyle name="汇总 2 9 9 4 2 2" xfId="23580" xr:uid="{00000000-0005-0000-0000-00004C5C0000}"/>
    <cellStyle name="汇总 2 9 9 4 3" xfId="6022" xr:uid="{00000000-0005-0000-0000-0000B6170000}"/>
    <cellStyle name="汇总 2 9 9 4 3 2" xfId="6040" xr:uid="{00000000-0005-0000-0000-0000C8170000}"/>
    <cellStyle name="汇总 2 9 9 4 4" xfId="6056" xr:uid="{00000000-0005-0000-0000-0000D8170000}"/>
    <cellStyle name="汇总 2 9 9 4 4 2" xfId="10561" xr:uid="{00000000-0005-0000-0000-000071290000}"/>
    <cellStyle name="汇总 2 9 9 4 5" xfId="10569" xr:uid="{00000000-0005-0000-0000-000079290000}"/>
    <cellStyle name="汇总 2 9 9 4 5 2" xfId="10583" xr:uid="{00000000-0005-0000-0000-000087290000}"/>
    <cellStyle name="汇总 2 9 9 4 6" xfId="10594" xr:uid="{00000000-0005-0000-0000-000092290000}"/>
    <cellStyle name="汇总 2 9 9 5" xfId="17651" xr:uid="{00000000-0005-0000-0000-000023450000}"/>
    <cellStyle name="汇总 2 9 9 5 2" xfId="23586" xr:uid="{00000000-0005-0000-0000-0000525C0000}"/>
    <cellStyle name="汇总 2 9 9 5 2 2" xfId="23589" xr:uid="{00000000-0005-0000-0000-0000555C0000}"/>
    <cellStyle name="汇总 2 9 9 5 3" xfId="3228" xr:uid="{00000000-0005-0000-0000-0000CC0C0000}"/>
    <cellStyle name="汇总 2 9 9 5 3 2" xfId="6081" xr:uid="{00000000-0005-0000-0000-0000F1170000}"/>
    <cellStyle name="汇总 2 9 9 5 4" xfId="5466" xr:uid="{00000000-0005-0000-0000-00008A150000}"/>
    <cellStyle name="汇总 2 9 9 5 4 2" xfId="10620" xr:uid="{00000000-0005-0000-0000-0000AC290000}"/>
    <cellStyle name="汇总 2 9 9 5 5" xfId="10625" xr:uid="{00000000-0005-0000-0000-0000B1290000}"/>
    <cellStyle name="汇总 2 9 9 5 5 2" xfId="10636" xr:uid="{00000000-0005-0000-0000-0000BC290000}"/>
    <cellStyle name="汇总 2 9 9 5 6" xfId="10645" xr:uid="{00000000-0005-0000-0000-0000C5290000}"/>
    <cellStyle name="汇总 2 9 9 6" xfId="23593" xr:uid="{00000000-0005-0000-0000-0000595C0000}"/>
    <cellStyle name="汇总 2 9 9 6 2" xfId="23601" xr:uid="{00000000-0005-0000-0000-0000615C0000}"/>
    <cellStyle name="汇总 2 9 9 6 2 2" xfId="23605" xr:uid="{00000000-0005-0000-0000-0000655C0000}"/>
    <cellStyle name="汇总 2 9 9 6 3" xfId="6126" xr:uid="{00000000-0005-0000-0000-00001E180000}"/>
    <cellStyle name="汇总 2 9 9 6 3 2" xfId="10669" xr:uid="{00000000-0005-0000-0000-0000DD290000}"/>
    <cellStyle name="汇总 2 9 9 6 4" xfId="7823" xr:uid="{00000000-0005-0000-0000-0000BF1E0000}"/>
    <cellStyle name="汇总 2 9 9 6 4 2" xfId="10684" xr:uid="{00000000-0005-0000-0000-0000EC290000}"/>
    <cellStyle name="汇总 2 9 9 6 5" xfId="10689" xr:uid="{00000000-0005-0000-0000-0000F1290000}"/>
    <cellStyle name="汇总 2 9 9 6 5 2" xfId="10704" xr:uid="{00000000-0005-0000-0000-0000002A0000}"/>
    <cellStyle name="汇总 2 9 9 6 6" xfId="10710" xr:uid="{00000000-0005-0000-0000-0000062A0000}"/>
    <cellStyle name="汇总 2 9 9 7" xfId="7257" xr:uid="{00000000-0005-0000-0000-0000891C0000}"/>
    <cellStyle name="汇总 2 9 9 7 2" xfId="23612" xr:uid="{00000000-0005-0000-0000-00006C5C0000}"/>
    <cellStyle name="汇总 2 9 9 7 2 2" xfId="23616" xr:uid="{00000000-0005-0000-0000-0000705C0000}"/>
    <cellStyle name="汇总 2 9 9 7 3" xfId="10724" xr:uid="{00000000-0005-0000-0000-0000142A0000}"/>
    <cellStyle name="汇总 2 9 9 7 3 2" xfId="10741" xr:uid="{00000000-0005-0000-0000-0000252A0000}"/>
    <cellStyle name="汇总 2 9 9 7 4" xfId="10749" xr:uid="{00000000-0005-0000-0000-00002D2A0000}"/>
    <cellStyle name="汇总 2 9 9 7 4 2" xfId="10761" xr:uid="{00000000-0005-0000-0000-0000392A0000}"/>
    <cellStyle name="汇总 2 9 9 7 5" xfId="10765" xr:uid="{00000000-0005-0000-0000-00003D2A0000}"/>
    <cellStyle name="汇总 2 9 9 7 5 2" xfId="10776" xr:uid="{00000000-0005-0000-0000-0000482A0000}"/>
    <cellStyle name="汇总 2 9 9 7 6" xfId="10781" xr:uid="{00000000-0005-0000-0000-00004D2A0000}"/>
    <cellStyle name="汇总 2 9 9 8" xfId="23621" xr:uid="{00000000-0005-0000-0000-0000755C0000}"/>
    <cellStyle name="汇总 2 9 9 8 2" xfId="14089" xr:uid="{00000000-0005-0000-0000-000039370000}"/>
    <cellStyle name="汇总 2 9 9 8 2 2" xfId="14103" xr:uid="{00000000-0005-0000-0000-000047370000}"/>
    <cellStyle name="汇总 2 9 9 8 3" xfId="10797" xr:uid="{00000000-0005-0000-0000-00005D2A0000}"/>
    <cellStyle name="汇总 2 9 9 8 3 2" xfId="1778" xr:uid="{00000000-0005-0000-0000-000022070000}"/>
    <cellStyle name="汇总 2 9 9 8 4" xfId="10806" xr:uid="{00000000-0005-0000-0000-0000662A0000}"/>
    <cellStyle name="汇总 2 9 9 8 4 2" xfId="10814" xr:uid="{00000000-0005-0000-0000-00006E2A0000}"/>
    <cellStyle name="汇总 2 9 9 8 5" xfId="10819" xr:uid="{00000000-0005-0000-0000-0000732A0000}"/>
    <cellStyle name="汇总 2 9 9 9" xfId="23627" xr:uid="{00000000-0005-0000-0000-00007B5C0000}"/>
    <cellStyle name="汇总 2 9 9 9 2" xfId="23633" xr:uid="{00000000-0005-0000-0000-0000815C0000}"/>
    <cellStyle name="汇总 3" xfId="9570" xr:uid="{00000000-0005-0000-0000-000092250000}"/>
    <cellStyle name="计算 2" xfId="23635" xr:uid="{00000000-0005-0000-0000-0000835C0000}"/>
    <cellStyle name="计算 2 10" xfId="23641" xr:uid="{00000000-0005-0000-0000-0000895C0000}"/>
    <cellStyle name="计算 2 10 10" xfId="20554" xr:uid="{00000000-0005-0000-0000-00007A500000}"/>
    <cellStyle name="计算 2 10 10 10" xfId="20925" xr:uid="{00000000-0005-0000-0000-0000ED510000}"/>
    <cellStyle name="计算 2 10 10 10 2" xfId="2991" xr:uid="{00000000-0005-0000-0000-0000DF0B0000}"/>
    <cellStyle name="计算 2 10 10 11" xfId="20929" xr:uid="{00000000-0005-0000-0000-0000F1510000}"/>
    <cellStyle name="计算 2 10 10 11 2" xfId="23642" xr:uid="{00000000-0005-0000-0000-00008A5C0000}"/>
    <cellStyle name="计算 2 10 10 12" xfId="20935" xr:uid="{00000000-0005-0000-0000-0000F7510000}"/>
    <cellStyle name="计算 2 10 10 12 2" xfId="23645" xr:uid="{00000000-0005-0000-0000-00008D5C0000}"/>
    <cellStyle name="计算 2 10 10 13" xfId="12705" xr:uid="{00000000-0005-0000-0000-0000D1310000}"/>
    <cellStyle name="计算 2 10 10 14" xfId="23649" xr:uid="{00000000-0005-0000-0000-0000915C0000}"/>
    <cellStyle name="计算 2 10 10 15" xfId="22673" xr:uid="{00000000-0005-0000-0000-0000C1580000}"/>
    <cellStyle name="计算 2 10 10 16" xfId="23651" xr:uid="{00000000-0005-0000-0000-0000935C0000}"/>
    <cellStyle name="计算 2 10 10 2" xfId="20556" xr:uid="{00000000-0005-0000-0000-00007C500000}"/>
    <cellStyle name="计算 2 10 10 2 2" xfId="17796" xr:uid="{00000000-0005-0000-0000-0000B4450000}"/>
    <cellStyle name="计算 2 10 10 2 2 2" xfId="23653" xr:uid="{00000000-0005-0000-0000-0000955C0000}"/>
    <cellStyle name="计算 2 10 10 2 3" xfId="17802" xr:uid="{00000000-0005-0000-0000-0000BA450000}"/>
    <cellStyle name="计算 2 10 10 2 3 2" xfId="22430" xr:uid="{00000000-0005-0000-0000-0000CE570000}"/>
    <cellStyle name="计算 2 10 10 2 4" xfId="7869" xr:uid="{00000000-0005-0000-0000-0000ED1E0000}"/>
    <cellStyle name="计算 2 10 10 2 4 2" xfId="7882" xr:uid="{00000000-0005-0000-0000-0000FA1E0000}"/>
    <cellStyle name="计算 2 10 10 2 5" xfId="7892" xr:uid="{00000000-0005-0000-0000-0000041F0000}"/>
    <cellStyle name="计算 2 10 10 2 5 2" xfId="7903" xr:uid="{00000000-0005-0000-0000-00000F1F0000}"/>
    <cellStyle name="计算 2 10 10 2 6" xfId="7915" xr:uid="{00000000-0005-0000-0000-00001B1F0000}"/>
    <cellStyle name="计算 2 10 10 2 7" xfId="4646" xr:uid="{00000000-0005-0000-0000-000056120000}"/>
    <cellStyle name="计算 2 10 10 2 8" xfId="3476" xr:uid="{00000000-0005-0000-0000-0000C40D0000}"/>
    <cellStyle name="计算 2 10 10 2 9" xfId="23654" xr:uid="{00000000-0005-0000-0000-0000965C0000}"/>
    <cellStyle name="计算 2 10 10 3" xfId="20558" xr:uid="{00000000-0005-0000-0000-00007E500000}"/>
    <cellStyle name="计算 2 10 10 3 2" xfId="2126" xr:uid="{00000000-0005-0000-0000-00007E080000}"/>
    <cellStyle name="计算 2 10 10 3 2 2" xfId="23655" xr:uid="{00000000-0005-0000-0000-0000975C0000}"/>
    <cellStyle name="计算 2 10 10 3 3" xfId="1856" xr:uid="{00000000-0005-0000-0000-000070070000}"/>
    <cellStyle name="计算 2 10 10 3 3 2" xfId="23656" xr:uid="{00000000-0005-0000-0000-0000985C0000}"/>
    <cellStyle name="计算 2 10 10 3 4" xfId="2128" xr:uid="{00000000-0005-0000-0000-000080080000}"/>
    <cellStyle name="计算 2 10 10 3 4 2" xfId="7954" xr:uid="{00000000-0005-0000-0000-0000421F0000}"/>
    <cellStyle name="计算 2 10 10 3 5" xfId="26" xr:uid="{00000000-0005-0000-0000-00001E000000}"/>
    <cellStyle name="计算 2 10 10 3 5 2" xfId="7964" xr:uid="{00000000-0005-0000-0000-00004C1F0000}"/>
    <cellStyle name="计算 2 10 10 3 6" xfId="2141" xr:uid="{00000000-0005-0000-0000-00008D080000}"/>
    <cellStyle name="计算 2 10 10 4" xfId="1592" xr:uid="{00000000-0005-0000-0000-000068060000}"/>
    <cellStyle name="计算 2 10 10 4 2" xfId="20560" xr:uid="{00000000-0005-0000-0000-000080500000}"/>
    <cellStyle name="计算 2 10 10 4 2 2" xfId="23657" xr:uid="{00000000-0005-0000-0000-0000995C0000}"/>
    <cellStyle name="计算 2 10 10 4 3" xfId="23658" xr:uid="{00000000-0005-0000-0000-00009A5C0000}"/>
    <cellStyle name="计算 2 10 10 4 3 2" xfId="23659" xr:uid="{00000000-0005-0000-0000-00009B5C0000}"/>
    <cellStyle name="计算 2 10 10 4 4" xfId="7965" xr:uid="{00000000-0005-0000-0000-00004D1F0000}"/>
    <cellStyle name="计算 2 10 10 4 4 2" xfId="23660" xr:uid="{00000000-0005-0000-0000-00009C5C0000}"/>
    <cellStyle name="计算 2 10 10 4 5" xfId="23662" xr:uid="{00000000-0005-0000-0000-00009E5C0000}"/>
    <cellStyle name="计算 2 10 10 4 5 2" xfId="23663" xr:uid="{00000000-0005-0000-0000-00009F5C0000}"/>
    <cellStyle name="计算 2 10 10 4 6" xfId="23665" xr:uid="{00000000-0005-0000-0000-0000A15C0000}"/>
    <cellStyle name="计算 2 10 10 5" xfId="20563" xr:uid="{00000000-0005-0000-0000-000083500000}"/>
    <cellStyle name="计算 2 10 10 5 2" xfId="20566" xr:uid="{00000000-0005-0000-0000-000086500000}"/>
    <cellStyle name="计算 2 10 10 5 2 2" xfId="23667" xr:uid="{00000000-0005-0000-0000-0000A35C0000}"/>
    <cellStyle name="计算 2 10 10 5 3" xfId="21522" xr:uid="{00000000-0005-0000-0000-000042540000}"/>
    <cellStyle name="计算 2 10 10 5 3 2" xfId="17785" xr:uid="{00000000-0005-0000-0000-0000A9450000}"/>
    <cellStyle name="计算 2 10 10 5 4" xfId="23670" xr:uid="{00000000-0005-0000-0000-0000A65C0000}"/>
    <cellStyle name="计算 2 10 10 5 4 2" xfId="2090" xr:uid="{00000000-0005-0000-0000-00005A080000}"/>
    <cellStyle name="计算 2 10 10 5 5" xfId="23672" xr:uid="{00000000-0005-0000-0000-0000A85C0000}"/>
    <cellStyle name="计算 2 10 10 5 5 2" xfId="23673" xr:uid="{00000000-0005-0000-0000-0000A95C0000}"/>
    <cellStyle name="计算 2 10 10 5 6" xfId="23676" xr:uid="{00000000-0005-0000-0000-0000AC5C0000}"/>
    <cellStyle name="计算 2 10 10 6" xfId="11788" xr:uid="{00000000-0005-0000-0000-00003C2E0000}"/>
    <cellStyle name="计算 2 10 10 6 2" xfId="11791" xr:uid="{00000000-0005-0000-0000-00003F2E0000}"/>
    <cellStyle name="计算 2 10 10 6 2 2" xfId="14222" xr:uid="{00000000-0005-0000-0000-0000BE370000}"/>
    <cellStyle name="计算 2 10 10 6 3" xfId="21525" xr:uid="{00000000-0005-0000-0000-000045540000}"/>
    <cellStyle name="计算 2 10 10 6 3 2" xfId="14252" xr:uid="{00000000-0005-0000-0000-0000DC370000}"/>
    <cellStyle name="计算 2 10 10 6 4" xfId="23678" xr:uid="{00000000-0005-0000-0000-0000AE5C0000}"/>
    <cellStyle name="计算 2 10 10 6 4 2" xfId="497" xr:uid="{00000000-0005-0000-0000-00001D020000}"/>
    <cellStyle name="计算 2 10 10 6 5" xfId="23679" xr:uid="{00000000-0005-0000-0000-0000AF5C0000}"/>
    <cellStyle name="计算 2 10 10 6 5 2" xfId="14286" xr:uid="{00000000-0005-0000-0000-0000FE370000}"/>
    <cellStyle name="计算 2 10 10 6 6" xfId="23681" xr:uid="{00000000-0005-0000-0000-0000B15C0000}"/>
    <cellStyle name="计算 2 10 10 7" xfId="11794" xr:uid="{00000000-0005-0000-0000-0000422E0000}"/>
    <cellStyle name="计算 2 10 10 7 2" xfId="11800" xr:uid="{00000000-0005-0000-0000-0000482E0000}"/>
    <cellStyle name="计算 2 10 10 7 2 2" xfId="14371" xr:uid="{00000000-0005-0000-0000-000053380000}"/>
    <cellStyle name="计算 2 10 10 7 3" xfId="17953" xr:uid="{00000000-0005-0000-0000-000051460000}"/>
    <cellStyle name="计算 2 10 10 7 3 2" xfId="14396" xr:uid="{00000000-0005-0000-0000-00006C380000}"/>
    <cellStyle name="计算 2 10 10 7 4" xfId="17960" xr:uid="{00000000-0005-0000-0000-000058460000}"/>
    <cellStyle name="计算 2 10 10 7 4 2" xfId="14428" xr:uid="{00000000-0005-0000-0000-00008C380000}"/>
    <cellStyle name="计算 2 10 10 7 5" xfId="17963" xr:uid="{00000000-0005-0000-0000-00005B460000}"/>
    <cellStyle name="计算 2 10 10 7 5 2" xfId="14452" xr:uid="{00000000-0005-0000-0000-0000A4380000}"/>
    <cellStyle name="计算 2 10 10 7 6" xfId="23682" xr:uid="{00000000-0005-0000-0000-0000B25C0000}"/>
    <cellStyle name="计算 2 10 10 8" xfId="3925" xr:uid="{00000000-0005-0000-0000-0000850F0000}"/>
    <cellStyle name="计算 2 10 10 8 2" xfId="4923" xr:uid="{00000000-0005-0000-0000-00006B130000}"/>
    <cellStyle name="计算 2 10 10 8 2 2" xfId="14532" xr:uid="{00000000-0005-0000-0000-0000F4380000}"/>
    <cellStyle name="计算 2 10 10 8 3" xfId="8388" xr:uid="{00000000-0005-0000-0000-0000F4200000}"/>
    <cellStyle name="计算 2 10 10 8 3 2" xfId="14568" xr:uid="{00000000-0005-0000-0000-000018390000}"/>
    <cellStyle name="计算 2 10 10 8 4" xfId="23684" xr:uid="{00000000-0005-0000-0000-0000B45C0000}"/>
    <cellStyle name="计算 2 10 10 8 4 2" xfId="14594" xr:uid="{00000000-0005-0000-0000-000032390000}"/>
    <cellStyle name="计算 2 10 10 8 5" xfId="23685" xr:uid="{00000000-0005-0000-0000-0000B55C0000}"/>
    <cellStyle name="计算 2 10 10 9" xfId="4941" xr:uid="{00000000-0005-0000-0000-00007D130000}"/>
    <cellStyle name="计算 2 10 10 9 2" xfId="4954" xr:uid="{00000000-0005-0000-0000-00008A130000}"/>
    <cellStyle name="计算 2 10 11" xfId="20569" xr:uid="{00000000-0005-0000-0000-000089500000}"/>
    <cellStyle name="计算 2 10 11 10" xfId="21010" xr:uid="{00000000-0005-0000-0000-000042520000}"/>
    <cellStyle name="计算 2 10 11 10 2" xfId="6665" xr:uid="{00000000-0005-0000-0000-0000391A0000}"/>
    <cellStyle name="计算 2 10 11 11" xfId="21014" xr:uid="{00000000-0005-0000-0000-000046520000}"/>
    <cellStyle name="计算 2 10 11 11 2" xfId="23688" xr:uid="{00000000-0005-0000-0000-0000B85C0000}"/>
    <cellStyle name="计算 2 10 11 12" xfId="21019" xr:uid="{00000000-0005-0000-0000-00004B520000}"/>
    <cellStyle name="计算 2 10 11 12 2" xfId="23689" xr:uid="{00000000-0005-0000-0000-0000B95C0000}"/>
    <cellStyle name="计算 2 10 11 13" xfId="19999" xr:uid="{00000000-0005-0000-0000-00004F4E0000}"/>
    <cellStyle name="计算 2 10 11 14" xfId="23691" xr:uid="{00000000-0005-0000-0000-0000BB5C0000}"/>
    <cellStyle name="计算 2 10 11 15" xfId="23695" xr:uid="{00000000-0005-0000-0000-0000BF5C0000}"/>
    <cellStyle name="计算 2 10 11 16" xfId="23698" xr:uid="{00000000-0005-0000-0000-0000C25C0000}"/>
    <cellStyle name="计算 2 10 11 2" xfId="20571" xr:uid="{00000000-0005-0000-0000-00008B500000}"/>
    <cellStyle name="计算 2 10 11 2 2" xfId="14265" xr:uid="{00000000-0005-0000-0000-0000E9370000}"/>
    <cellStyle name="计算 2 10 11 2 2 2" xfId="23700" xr:uid="{00000000-0005-0000-0000-0000C45C0000}"/>
    <cellStyle name="计算 2 10 11 2 3" xfId="11534" xr:uid="{00000000-0005-0000-0000-00003E2D0000}"/>
    <cellStyle name="计算 2 10 11 2 3 2" xfId="11539" xr:uid="{00000000-0005-0000-0000-0000432D0000}"/>
    <cellStyle name="计算 2 10 11 2 4" xfId="8068" xr:uid="{00000000-0005-0000-0000-0000B41F0000}"/>
    <cellStyle name="计算 2 10 11 2 4 2" xfId="8076" xr:uid="{00000000-0005-0000-0000-0000BC1F0000}"/>
    <cellStyle name="计算 2 10 11 2 5" xfId="8085" xr:uid="{00000000-0005-0000-0000-0000C51F0000}"/>
    <cellStyle name="计算 2 10 11 2 5 2" xfId="8091" xr:uid="{00000000-0005-0000-0000-0000CB1F0000}"/>
    <cellStyle name="计算 2 10 11 2 6" xfId="8099" xr:uid="{00000000-0005-0000-0000-0000D31F0000}"/>
    <cellStyle name="计算 2 10 11 3" xfId="20573" xr:uid="{00000000-0005-0000-0000-00008D500000}"/>
    <cellStyle name="计算 2 10 11 3 2" xfId="11252" xr:uid="{00000000-0005-0000-0000-0000242C0000}"/>
    <cellStyle name="计算 2 10 11 3 2 2" xfId="23701" xr:uid="{00000000-0005-0000-0000-0000C55C0000}"/>
    <cellStyle name="计算 2 10 11 3 3" xfId="11257" xr:uid="{00000000-0005-0000-0000-0000292C0000}"/>
    <cellStyle name="计算 2 10 11 3 3 2" xfId="11749" xr:uid="{00000000-0005-0000-0000-0000152E0000}"/>
    <cellStyle name="计算 2 10 11 3 4" xfId="8119" xr:uid="{00000000-0005-0000-0000-0000E71F0000}"/>
    <cellStyle name="计算 2 10 11 3 4 2" xfId="1575" xr:uid="{00000000-0005-0000-0000-000057060000}"/>
    <cellStyle name="计算 2 10 11 3 5" xfId="8125" xr:uid="{00000000-0005-0000-0000-0000ED1F0000}"/>
    <cellStyle name="计算 2 10 11 3 5 2" xfId="1471" xr:uid="{00000000-0005-0000-0000-0000EF050000}"/>
    <cellStyle name="计算 2 10 11 3 6" xfId="8130" xr:uid="{00000000-0005-0000-0000-0000F21F0000}"/>
    <cellStyle name="计算 2 10 11 4" xfId="1610" xr:uid="{00000000-0005-0000-0000-00007A060000}"/>
    <cellStyle name="计算 2 10 11 4 2" xfId="20575" xr:uid="{00000000-0005-0000-0000-00008F500000}"/>
    <cellStyle name="计算 2 10 11 4 2 2" xfId="23703" xr:uid="{00000000-0005-0000-0000-0000C75C0000}"/>
    <cellStyle name="计算 2 10 11 4 3" xfId="11867" xr:uid="{00000000-0005-0000-0000-00008B2E0000}"/>
    <cellStyle name="计算 2 10 11 4 3 2" xfId="11870" xr:uid="{00000000-0005-0000-0000-00008E2E0000}"/>
    <cellStyle name="计算 2 10 11 4 4" xfId="8135" xr:uid="{00000000-0005-0000-0000-0000F71F0000}"/>
    <cellStyle name="计算 2 10 11 4 4 2" xfId="11877" xr:uid="{00000000-0005-0000-0000-0000952E0000}"/>
    <cellStyle name="计算 2 10 11 4 5" xfId="11883" xr:uid="{00000000-0005-0000-0000-00009B2E0000}"/>
    <cellStyle name="计算 2 10 11 4 5 2" xfId="11889" xr:uid="{00000000-0005-0000-0000-0000A12E0000}"/>
    <cellStyle name="计算 2 10 11 4 6" xfId="11901" xr:uid="{00000000-0005-0000-0000-0000AD2E0000}"/>
    <cellStyle name="计算 2 10 11 5" xfId="20578" xr:uid="{00000000-0005-0000-0000-000092500000}"/>
    <cellStyle name="计算 2 10 11 5 2" xfId="20581" xr:uid="{00000000-0005-0000-0000-000095500000}"/>
    <cellStyle name="计算 2 10 11 5 2 2" xfId="23705" xr:uid="{00000000-0005-0000-0000-0000C95C0000}"/>
    <cellStyle name="计算 2 10 11 5 3" xfId="12000" xr:uid="{00000000-0005-0000-0000-0000102F0000}"/>
    <cellStyle name="计算 2 10 11 5 3 2" xfId="12004" xr:uid="{00000000-0005-0000-0000-0000142F0000}"/>
    <cellStyle name="计算 2 10 11 5 4" xfId="12038" xr:uid="{00000000-0005-0000-0000-0000362F0000}"/>
    <cellStyle name="计算 2 10 11 5 4 2" xfId="12043" xr:uid="{00000000-0005-0000-0000-00003B2F0000}"/>
    <cellStyle name="计算 2 10 11 5 5" xfId="12087" xr:uid="{00000000-0005-0000-0000-0000672F0000}"/>
    <cellStyle name="计算 2 10 11 5 5 2" xfId="12091" xr:uid="{00000000-0005-0000-0000-00006B2F0000}"/>
    <cellStyle name="计算 2 10 11 5 6" xfId="12125" xr:uid="{00000000-0005-0000-0000-00008D2F0000}"/>
    <cellStyle name="计算 2 10 11 6" xfId="1826" xr:uid="{00000000-0005-0000-0000-000052070000}"/>
    <cellStyle name="计算 2 10 11 6 2" xfId="11803" xr:uid="{00000000-0005-0000-0000-00004B2E0000}"/>
    <cellStyle name="计算 2 10 11 6 2 2" xfId="16128" xr:uid="{00000000-0005-0000-0000-0000303F0000}"/>
    <cellStyle name="计算 2 10 11 6 3" xfId="8408" xr:uid="{00000000-0005-0000-0000-000008210000}"/>
    <cellStyle name="计算 2 10 11 6 3 2" xfId="12237" xr:uid="{00000000-0005-0000-0000-0000FD2F0000}"/>
    <cellStyle name="计算 2 10 11 6 4" xfId="12277" xr:uid="{00000000-0005-0000-0000-000025300000}"/>
    <cellStyle name="计算 2 10 11 6 4 2" xfId="12282" xr:uid="{00000000-0005-0000-0000-00002A300000}"/>
    <cellStyle name="计算 2 10 11 6 5" xfId="12325" xr:uid="{00000000-0005-0000-0000-000055300000}"/>
    <cellStyle name="计算 2 10 11 6 5 2" xfId="12329" xr:uid="{00000000-0005-0000-0000-000059300000}"/>
    <cellStyle name="计算 2 10 11 6 6" xfId="12363" xr:uid="{00000000-0005-0000-0000-00007B300000}"/>
    <cellStyle name="计算 2 10 11 7" xfId="1832" xr:uid="{00000000-0005-0000-0000-000058070000}"/>
    <cellStyle name="计算 2 10 11 7 2" xfId="11809" xr:uid="{00000000-0005-0000-0000-0000512E0000}"/>
    <cellStyle name="计算 2 10 11 7 2 2" xfId="16272" xr:uid="{00000000-0005-0000-0000-0000C03F0000}"/>
    <cellStyle name="计算 2 10 11 7 3" xfId="8434" xr:uid="{00000000-0005-0000-0000-000022210000}"/>
    <cellStyle name="计算 2 10 11 7 3 2" xfId="12382" xr:uid="{00000000-0005-0000-0000-00008E300000}"/>
    <cellStyle name="计算 2 10 11 7 4" xfId="10873" xr:uid="{00000000-0005-0000-0000-0000A92A0000}"/>
    <cellStyle name="计算 2 10 11 7 4 2" xfId="12387" xr:uid="{00000000-0005-0000-0000-000093300000}"/>
    <cellStyle name="计算 2 10 11 7 5" xfId="12392" xr:uid="{00000000-0005-0000-0000-000098300000}"/>
    <cellStyle name="计算 2 10 11 7 5 2" xfId="12396" xr:uid="{00000000-0005-0000-0000-00009C300000}"/>
    <cellStyle name="计算 2 10 11 7 6" xfId="12399" xr:uid="{00000000-0005-0000-0000-00009F300000}"/>
    <cellStyle name="计算 2 10 11 8" xfId="1902" xr:uid="{00000000-0005-0000-0000-00009E070000}"/>
    <cellStyle name="计算 2 10 11 8 2" xfId="11814" xr:uid="{00000000-0005-0000-0000-0000562E0000}"/>
    <cellStyle name="计算 2 10 11 8 2 2" xfId="16400" xr:uid="{00000000-0005-0000-0000-000040400000}"/>
    <cellStyle name="计算 2 10 11 8 3" xfId="8457" xr:uid="{00000000-0005-0000-0000-000039210000}"/>
    <cellStyle name="计算 2 10 11 8 3 2" xfId="16425" xr:uid="{00000000-0005-0000-0000-000059400000}"/>
    <cellStyle name="计算 2 10 11 8 4" xfId="23709" xr:uid="{00000000-0005-0000-0000-0000CD5C0000}"/>
    <cellStyle name="计算 2 10 11 8 4 2" xfId="16454" xr:uid="{00000000-0005-0000-0000-000076400000}"/>
    <cellStyle name="计算 2 10 11 8 5" xfId="23710" xr:uid="{00000000-0005-0000-0000-0000CE5C0000}"/>
    <cellStyle name="计算 2 10 11 9" xfId="60" xr:uid="{00000000-0005-0000-0000-000041000000}"/>
    <cellStyle name="计算 2 10 11 9 2" xfId="23712" xr:uid="{00000000-0005-0000-0000-0000D05C0000}"/>
    <cellStyle name="计算 2 10 12" xfId="20588" xr:uid="{00000000-0005-0000-0000-00009C500000}"/>
    <cellStyle name="计算 2 10 12 2" xfId="20590" xr:uid="{00000000-0005-0000-0000-00009E500000}"/>
    <cellStyle name="计算 2 10 12 2 2" xfId="14417" xr:uid="{00000000-0005-0000-0000-000081380000}"/>
    <cellStyle name="计算 2 10 12 3" xfId="20593" xr:uid="{00000000-0005-0000-0000-0000A1500000}"/>
    <cellStyle name="计算 2 10 12 3 2" xfId="14437" xr:uid="{00000000-0005-0000-0000-000095380000}"/>
    <cellStyle name="计算 2 10 12 4" xfId="20596" xr:uid="{00000000-0005-0000-0000-0000A4500000}"/>
    <cellStyle name="计算 2 10 12 4 2" xfId="20599" xr:uid="{00000000-0005-0000-0000-0000A7500000}"/>
    <cellStyle name="计算 2 10 12 5" xfId="20602" xr:uid="{00000000-0005-0000-0000-0000AA500000}"/>
    <cellStyle name="计算 2 10 12 5 2" xfId="20605" xr:uid="{00000000-0005-0000-0000-0000AD500000}"/>
    <cellStyle name="计算 2 10 12 6" xfId="11821" xr:uid="{00000000-0005-0000-0000-00005D2E0000}"/>
    <cellStyle name="计算 2 10 12 7" xfId="23713" xr:uid="{00000000-0005-0000-0000-0000D15C0000}"/>
    <cellStyle name="计算 2 10 12 8" xfId="11921" xr:uid="{00000000-0005-0000-0000-0000C12E0000}"/>
    <cellStyle name="计算 2 10 12 9" xfId="23715" xr:uid="{00000000-0005-0000-0000-0000D35C0000}"/>
    <cellStyle name="计算 2 10 13" xfId="20610" xr:uid="{00000000-0005-0000-0000-0000B2500000}"/>
    <cellStyle name="计算 2 10 13 2" xfId="20614" xr:uid="{00000000-0005-0000-0000-0000B6500000}"/>
    <cellStyle name="计算 2 10 13 2 2" xfId="14584" xr:uid="{00000000-0005-0000-0000-000028390000}"/>
    <cellStyle name="计算 2 10 13 3" xfId="20617" xr:uid="{00000000-0005-0000-0000-0000B9500000}"/>
    <cellStyle name="计算 2 10 13 3 2" xfId="14606" xr:uid="{00000000-0005-0000-0000-00003E390000}"/>
    <cellStyle name="计算 2 10 13 4" xfId="20620" xr:uid="{00000000-0005-0000-0000-0000BC500000}"/>
    <cellStyle name="计算 2 10 13 4 2" xfId="20623" xr:uid="{00000000-0005-0000-0000-0000BF500000}"/>
    <cellStyle name="计算 2 10 13 5" xfId="20626" xr:uid="{00000000-0005-0000-0000-0000C2500000}"/>
    <cellStyle name="计算 2 10 13 5 2" xfId="20628" xr:uid="{00000000-0005-0000-0000-0000C4500000}"/>
    <cellStyle name="计算 2 10 13 6" xfId="20631" xr:uid="{00000000-0005-0000-0000-0000C7500000}"/>
    <cellStyle name="计算 2 10 14" xfId="20636" xr:uid="{00000000-0005-0000-0000-0000CC500000}"/>
    <cellStyle name="计算 2 10 14 2" xfId="20639" xr:uid="{00000000-0005-0000-0000-0000CF500000}"/>
    <cellStyle name="计算 2 10 14 2 2" xfId="14731" xr:uid="{00000000-0005-0000-0000-0000BB390000}"/>
    <cellStyle name="计算 2 10 14 3" xfId="20642" xr:uid="{00000000-0005-0000-0000-0000D2500000}"/>
    <cellStyle name="计算 2 10 14 3 2" xfId="14748" xr:uid="{00000000-0005-0000-0000-0000CC390000}"/>
    <cellStyle name="计算 2 10 14 4" xfId="20645" xr:uid="{00000000-0005-0000-0000-0000D5500000}"/>
    <cellStyle name="计算 2 10 14 4 2" xfId="20648" xr:uid="{00000000-0005-0000-0000-0000D8500000}"/>
    <cellStyle name="计算 2 10 14 5" xfId="20651" xr:uid="{00000000-0005-0000-0000-0000DB500000}"/>
    <cellStyle name="计算 2 10 14 5 2" xfId="6191" xr:uid="{00000000-0005-0000-0000-00005F180000}"/>
    <cellStyle name="计算 2 10 14 6" xfId="20654" xr:uid="{00000000-0005-0000-0000-0000DE500000}"/>
    <cellStyle name="计算 2 10 15" xfId="20662" xr:uid="{00000000-0005-0000-0000-0000E6500000}"/>
    <cellStyle name="计算 2 10 15 2" xfId="20666" xr:uid="{00000000-0005-0000-0000-0000EA500000}"/>
    <cellStyle name="计算 2 10 15 2 2" xfId="14905" xr:uid="{00000000-0005-0000-0000-0000693A0000}"/>
    <cellStyle name="计算 2 10 15 3" xfId="20669" xr:uid="{00000000-0005-0000-0000-0000ED500000}"/>
    <cellStyle name="计算 2 10 15 3 2" xfId="14919" xr:uid="{00000000-0005-0000-0000-0000773A0000}"/>
    <cellStyle name="计算 2 10 15 4" xfId="20672" xr:uid="{00000000-0005-0000-0000-0000F0500000}"/>
    <cellStyle name="计算 2 10 15 4 2" xfId="20674" xr:uid="{00000000-0005-0000-0000-0000F2500000}"/>
    <cellStyle name="计算 2 10 15 5" xfId="20677" xr:uid="{00000000-0005-0000-0000-0000F5500000}"/>
    <cellStyle name="计算 2 10 15 5 2" xfId="11993" xr:uid="{00000000-0005-0000-0000-0000092F0000}"/>
    <cellStyle name="计算 2 10 15 6" xfId="282" xr:uid="{00000000-0005-0000-0000-000036010000}"/>
    <cellStyle name="计算 2 10 16" xfId="20681" xr:uid="{00000000-0005-0000-0000-0000F9500000}"/>
    <cellStyle name="计算 2 10 16 2" xfId="20686" xr:uid="{00000000-0005-0000-0000-0000FE500000}"/>
    <cellStyle name="计算 2 10 16 2 2" xfId="15032" xr:uid="{00000000-0005-0000-0000-0000E83A0000}"/>
    <cellStyle name="计算 2 10 16 3" xfId="20689" xr:uid="{00000000-0005-0000-0000-000001510000}"/>
    <cellStyle name="计算 2 10 16 3 2" xfId="15051" xr:uid="{00000000-0005-0000-0000-0000FB3A0000}"/>
    <cellStyle name="计算 2 10 16 4" xfId="20692" xr:uid="{00000000-0005-0000-0000-000004510000}"/>
    <cellStyle name="计算 2 10 16 4 2" xfId="20694" xr:uid="{00000000-0005-0000-0000-000006510000}"/>
    <cellStyle name="计算 2 10 16 5" xfId="20697" xr:uid="{00000000-0005-0000-0000-000009510000}"/>
    <cellStyle name="计算 2 10 16 5 2" xfId="23717" xr:uid="{00000000-0005-0000-0000-0000D55C0000}"/>
    <cellStyle name="计算 2 10 16 6" xfId="4178" xr:uid="{00000000-0005-0000-0000-000082100000}"/>
    <cellStyle name="计算 2 10 17" xfId="20701" xr:uid="{00000000-0005-0000-0000-00000D510000}"/>
    <cellStyle name="计算 2 10 17 2" xfId="20704" xr:uid="{00000000-0005-0000-0000-000010510000}"/>
    <cellStyle name="计算 2 10 17 2 2" xfId="15175" xr:uid="{00000000-0005-0000-0000-0000773B0000}"/>
    <cellStyle name="计算 2 10 17 3" xfId="23719" xr:uid="{00000000-0005-0000-0000-0000D75C0000}"/>
    <cellStyle name="计算 2 10 17 3 2" xfId="15189" xr:uid="{00000000-0005-0000-0000-0000853B0000}"/>
    <cellStyle name="计算 2 10 17 4" xfId="23720" xr:uid="{00000000-0005-0000-0000-0000D85C0000}"/>
    <cellStyle name="计算 2 10 17 4 2" xfId="23721" xr:uid="{00000000-0005-0000-0000-0000D95C0000}"/>
    <cellStyle name="计算 2 10 17 5" xfId="23722" xr:uid="{00000000-0005-0000-0000-0000DA5C0000}"/>
    <cellStyle name="计算 2 10 17 5 2" xfId="23724" xr:uid="{00000000-0005-0000-0000-0000DC5C0000}"/>
    <cellStyle name="计算 2 10 17 6" xfId="4195" xr:uid="{00000000-0005-0000-0000-000093100000}"/>
    <cellStyle name="计算 2 10 18" xfId="23727" xr:uid="{00000000-0005-0000-0000-0000DF5C0000}"/>
    <cellStyle name="计算 2 10 18 2" xfId="23730" xr:uid="{00000000-0005-0000-0000-0000E25C0000}"/>
    <cellStyle name="计算 2 10 18 2 2" xfId="15389" xr:uid="{00000000-0005-0000-0000-00004D3C0000}"/>
    <cellStyle name="计算 2 10 18 3" xfId="23732" xr:uid="{00000000-0005-0000-0000-0000E45C0000}"/>
    <cellStyle name="计算 2 10 18 3 2" xfId="15417" xr:uid="{00000000-0005-0000-0000-0000693C0000}"/>
    <cellStyle name="计算 2 10 18 4" xfId="13141" xr:uid="{00000000-0005-0000-0000-000085330000}"/>
    <cellStyle name="计算 2 10 18 4 2" xfId="23734" xr:uid="{00000000-0005-0000-0000-0000E65C0000}"/>
    <cellStyle name="计算 2 10 18 5" xfId="23735" xr:uid="{00000000-0005-0000-0000-0000E75C0000}"/>
    <cellStyle name="计算 2 10 18 5 2" xfId="23738" xr:uid="{00000000-0005-0000-0000-0000EA5C0000}"/>
    <cellStyle name="计算 2 10 18 6" xfId="4221" xr:uid="{00000000-0005-0000-0000-0000AD100000}"/>
    <cellStyle name="计算 2 10 19" xfId="23741" xr:uid="{00000000-0005-0000-0000-0000ED5C0000}"/>
    <cellStyle name="计算 2 10 19 2" xfId="23744" xr:uid="{00000000-0005-0000-0000-0000F05C0000}"/>
    <cellStyle name="计算 2 10 19 2 2" xfId="23746" xr:uid="{00000000-0005-0000-0000-0000F25C0000}"/>
    <cellStyle name="计算 2 10 19 3" xfId="23748" xr:uid="{00000000-0005-0000-0000-0000F45C0000}"/>
    <cellStyle name="计算 2 10 19 3 2" xfId="23749" xr:uid="{00000000-0005-0000-0000-0000F55C0000}"/>
    <cellStyle name="计算 2 10 19 4" xfId="13145" xr:uid="{00000000-0005-0000-0000-000089330000}"/>
    <cellStyle name="计算 2 10 19 4 2" xfId="23750" xr:uid="{00000000-0005-0000-0000-0000F65C0000}"/>
    <cellStyle name="计算 2 10 19 5" xfId="23752" xr:uid="{00000000-0005-0000-0000-0000F85C0000}"/>
    <cellStyle name="计算 2 10 2" xfId="23757" xr:uid="{00000000-0005-0000-0000-0000FD5C0000}"/>
    <cellStyle name="计算 2 10 2 10" xfId="23336" xr:uid="{00000000-0005-0000-0000-0000585B0000}"/>
    <cellStyle name="计算 2 10 2 10 2" xfId="23338" xr:uid="{00000000-0005-0000-0000-00005A5B0000}"/>
    <cellStyle name="计算 2 10 2 11" xfId="23340" xr:uid="{00000000-0005-0000-0000-00005C5B0000}"/>
    <cellStyle name="计算 2 10 2 11 2" xfId="23342" xr:uid="{00000000-0005-0000-0000-00005E5B0000}"/>
    <cellStyle name="计算 2 10 2 12" xfId="12490" xr:uid="{00000000-0005-0000-0000-0000FA300000}"/>
    <cellStyle name="计算 2 10 2 12 2" xfId="23344" xr:uid="{00000000-0005-0000-0000-0000605B0000}"/>
    <cellStyle name="计算 2 10 2 13" xfId="23349" xr:uid="{00000000-0005-0000-0000-0000655B0000}"/>
    <cellStyle name="计算 2 10 2 14" xfId="20285" xr:uid="{00000000-0005-0000-0000-00006D4F0000}"/>
    <cellStyle name="计算 2 10 2 15" xfId="23758" xr:uid="{00000000-0005-0000-0000-0000FE5C0000}"/>
    <cellStyle name="计算 2 10 2 16" xfId="23760" xr:uid="{00000000-0005-0000-0000-0000005D0000}"/>
    <cellStyle name="计算 2 10 2 2" xfId="23762" xr:uid="{00000000-0005-0000-0000-0000025D0000}"/>
    <cellStyle name="计算 2 10 2 2 2" xfId="23763" xr:uid="{00000000-0005-0000-0000-0000035D0000}"/>
    <cellStyle name="计算 2 10 2 2 2 2" xfId="23766" xr:uid="{00000000-0005-0000-0000-0000065D0000}"/>
    <cellStyle name="计算 2 10 2 2 3" xfId="23768" xr:uid="{00000000-0005-0000-0000-0000085D0000}"/>
    <cellStyle name="计算 2 10 2 2 3 2" xfId="23770" xr:uid="{00000000-0005-0000-0000-00000A5D0000}"/>
    <cellStyle name="计算 2 10 2 2 4" xfId="23774" xr:uid="{00000000-0005-0000-0000-00000E5D0000}"/>
    <cellStyle name="计算 2 10 2 2 4 2" xfId="23776" xr:uid="{00000000-0005-0000-0000-0000105D0000}"/>
    <cellStyle name="计算 2 10 2 2 5" xfId="23780" xr:uid="{00000000-0005-0000-0000-0000145D0000}"/>
    <cellStyle name="计算 2 10 2 2 5 2" xfId="23784" xr:uid="{00000000-0005-0000-0000-0000185D0000}"/>
    <cellStyle name="计算 2 10 2 2 6" xfId="23788" xr:uid="{00000000-0005-0000-0000-00001C5D0000}"/>
    <cellStyle name="计算 2 10 2 2 7" xfId="23790" xr:uid="{00000000-0005-0000-0000-00001E5D0000}"/>
    <cellStyle name="计算 2 10 2 2 8" xfId="23793" xr:uid="{00000000-0005-0000-0000-0000215D0000}"/>
    <cellStyle name="计算 2 10 2 2 9" xfId="23795" xr:uid="{00000000-0005-0000-0000-0000235D0000}"/>
    <cellStyle name="计算 2 10 2 3" xfId="23796" xr:uid="{00000000-0005-0000-0000-0000245D0000}"/>
    <cellStyle name="计算 2 10 2 3 2" xfId="23797" xr:uid="{00000000-0005-0000-0000-0000255D0000}"/>
    <cellStyle name="计算 2 10 2 3 2 2" xfId="23800" xr:uid="{00000000-0005-0000-0000-0000285D0000}"/>
    <cellStyle name="计算 2 10 2 3 3" xfId="23801" xr:uid="{00000000-0005-0000-0000-0000295D0000}"/>
    <cellStyle name="计算 2 10 2 3 3 2" xfId="23804" xr:uid="{00000000-0005-0000-0000-00002C5D0000}"/>
    <cellStyle name="计算 2 10 2 3 4" xfId="23807" xr:uid="{00000000-0005-0000-0000-00002F5D0000}"/>
    <cellStyle name="计算 2 10 2 3 4 2" xfId="23809" xr:uid="{00000000-0005-0000-0000-0000315D0000}"/>
    <cellStyle name="计算 2 10 2 3 5" xfId="23813" xr:uid="{00000000-0005-0000-0000-0000355D0000}"/>
    <cellStyle name="计算 2 10 2 3 5 2" xfId="23817" xr:uid="{00000000-0005-0000-0000-0000395D0000}"/>
    <cellStyle name="计算 2 10 2 3 6" xfId="11112" xr:uid="{00000000-0005-0000-0000-0000982B0000}"/>
    <cellStyle name="计算 2 10 2 4" xfId="23819" xr:uid="{00000000-0005-0000-0000-00003B5D0000}"/>
    <cellStyle name="计算 2 10 2 4 2" xfId="23820" xr:uid="{00000000-0005-0000-0000-00003C5D0000}"/>
    <cellStyle name="计算 2 10 2 4 2 2" xfId="23821" xr:uid="{00000000-0005-0000-0000-00003D5D0000}"/>
    <cellStyle name="计算 2 10 2 4 3" xfId="23822" xr:uid="{00000000-0005-0000-0000-00003E5D0000}"/>
    <cellStyle name="计算 2 10 2 4 3 2" xfId="23823" xr:uid="{00000000-0005-0000-0000-00003F5D0000}"/>
    <cellStyle name="计算 2 10 2 4 4" xfId="23827" xr:uid="{00000000-0005-0000-0000-0000435D0000}"/>
    <cellStyle name="计算 2 10 2 4 4 2" xfId="23829" xr:uid="{00000000-0005-0000-0000-0000455D0000}"/>
    <cellStyle name="计算 2 10 2 4 5" xfId="23831" xr:uid="{00000000-0005-0000-0000-0000475D0000}"/>
    <cellStyle name="计算 2 10 2 4 5 2" xfId="23835" xr:uid="{00000000-0005-0000-0000-00004B5D0000}"/>
    <cellStyle name="计算 2 10 2 4 6" xfId="11116" xr:uid="{00000000-0005-0000-0000-00009C2B0000}"/>
    <cellStyle name="计算 2 10 2 5" xfId="23836" xr:uid="{00000000-0005-0000-0000-00004C5D0000}"/>
    <cellStyle name="计算 2 10 2 5 2" xfId="23837" xr:uid="{00000000-0005-0000-0000-00004D5D0000}"/>
    <cellStyle name="计算 2 10 2 5 2 2" xfId="23839" xr:uid="{00000000-0005-0000-0000-00004F5D0000}"/>
    <cellStyle name="计算 2 10 2 5 3" xfId="23840" xr:uid="{00000000-0005-0000-0000-0000505D0000}"/>
    <cellStyle name="计算 2 10 2 5 3 2" xfId="23842" xr:uid="{00000000-0005-0000-0000-0000525D0000}"/>
    <cellStyle name="计算 2 10 2 5 4" xfId="23846" xr:uid="{00000000-0005-0000-0000-0000565D0000}"/>
    <cellStyle name="计算 2 10 2 5 4 2" xfId="21879" xr:uid="{00000000-0005-0000-0000-0000A7550000}"/>
    <cellStyle name="计算 2 10 2 5 5" xfId="23849" xr:uid="{00000000-0005-0000-0000-0000595D0000}"/>
    <cellStyle name="计算 2 10 2 5 5 2" xfId="23853" xr:uid="{00000000-0005-0000-0000-00005D5D0000}"/>
    <cellStyle name="计算 2 10 2 5 6" xfId="11122" xr:uid="{00000000-0005-0000-0000-0000A22B0000}"/>
    <cellStyle name="计算 2 10 2 6" xfId="23854" xr:uid="{00000000-0005-0000-0000-00005E5D0000}"/>
    <cellStyle name="计算 2 10 2 6 2" xfId="23855" xr:uid="{00000000-0005-0000-0000-00005F5D0000}"/>
    <cellStyle name="计算 2 10 2 6 2 2" xfId="23857" xr:uid="{00000000-0005-0000-0000-0000615D0000}"/>
    <cellStyle name="计算 2 10 2 6 3" xfId="23858" xr:uid="{00000000-0005-0000-0000-0000625D0000}"/>
    <cellStyle name="计算 2 10 2 6 3 2" xfId="23860" xr:uid="{00000000-0005-0000-0000-0000645D0000}"/>
    <cellStyle name="计算 2 10 2 6 4" xfId="17168" xr:uid="{00000000-0005-0000-0000-000040430000}"/>
    <cellStyle name="计算 2 10 2 6 4 2" xfId="22455" xr:uid="{00000000-0005-0000-0000-0000E7570000}"/>
    <cellStyle name="计算 2 10 2 6 5" xfId="23862" xr:uid="{00000000-0005-0000-0000-0000665D0000}"/>
    <cellStyle name="计算 2 10 2 6 5 2" xfId="23865" xr:uid="{00000000-0005-0000-0000-0000695D0000}"/>
    <cellStyle name="计算 2 10 2 6 6" xfId="10983" xr:uid="{00000000-0005-0000-0000-0000172B0000}"/>
    <cellStyle name="计算 2 10 2 7" xfId="23867" xr:uid="{00000000-0005-0000-0000-00006B5D0000}"/>
    <cellStyle name="计算 2 10 2 7 2" xfId="23868" xr:uid="{00000000-0005-0000-0000-00006C5D0000}"/>
    <cellStyle name="计算 2 10 2 7 2 2" xfId="23872" xr:uid="{00000000-0005-0000-0000-0000705D0000}"/>
    <cellStyle name="计算 2 10 2 7 3" xfId="23875" xr:uid="{00000000-0005-0000-0000-0000735D0000}"/>
    <cellStyle name="计算 2 10 2 7 3 2" xfId="23879" xr:uid="{00000000-0005-0000-0000-0000775D0000}"/>
    <cellStyle name="计算 2 10 2 7 4" xfId="17179" xr:uid="{00000000-0005-0000-0000-00004B430000}"/>
    <cellStyle name="计算 2 10 2 7 4 2" xfId="23883" xr:uid="{00000000-0005-0000-0000-00007B5D0000}"/>
    <cellStyle name="计算 2 10 2 7 5" xfId="23887" xr:uid="{00000000-0005-0000-0000-00007F5D0000}"/>
    <cellStyle name="计算 2 10 2 7 5 2" xfId="23892" xr:uid="{00000000-0005-0000-0000-0000845D0000}"/>
    <cellStyle name="计算 2 10 2 7 6" xfId="23895" xr:uid="{00000000-0005-0000-0000-0000875D0000}"/>
    <cellStyle name="计算 2 10 2 8" xfId="23898" xr:uid="{00000000-0005-0000-0000-00008A5D0000}"/>
    <cellStyle name="计算 2 10 2 8 2" xfId="23900" xr:uid="{00000000-0005-0000-0000-00008C5D0000}"/>
    <cellStyle name="计算 2 10 2 8 2 2" xfId="23902" xr:uid="{00000000-0005-0000-0000-00008E5D0000}"/>
    <cellStyle name="计算 2 10 2 8 3" xfId="23903" xr:uid="{00000000-0005-0000-0000-00008F5D0000}"/>
    <cellStyle name="计算 2 10 2 8 3 2" xfId="23905" xr:uid="{00000000-0005-0000-0000-0000915D0000}"/>
    <cellStyle name="计算 2 10 2 8 4" xfId="17186" xr:uid="{00000000-0005-0000-0000-000052430000}"/>
    <cellStyle name="计算 2 10 2 8 4 2" xfId="23907" xr:uid="{00000000-0005-0000-0000-0000935D0000}"/>
    <cellStyle name="计算 2 10 2 8 5" xfId="23909" xr:uid="{00000000-0005-0000-0000-0000955D0000}"/>
    <cellStyle name="计算 2 10 2 9" xfId="23911" xr:uid="{00000000-0005-0000-0000-0000975D0000}"/>
    <cellStyle name="计算 2 10 2 9 2" xfId="23912" xr:uid="{00000000-0005-0000-0000-0000985D0000}"/>
    <cellStyle name="计算 2 10 20" xfId="20661" xr:uid="{00000000-0005-0000-0000-0000E5500000}"/>
    <cellStyle name="计算 2 10 20 2" xfId="20665" xr:uid="{00000000-0005-0000-0000-0000E9500000}"/>
    <cellStyle name="计算 2 10 21" xfId="20680" xr:uid="{00000000-0005-0000-0000-0000F8500000}"/>
    <cellStyle name="计算 2 10 21 2" xfId="20685" xr:uid="{00000000-0005-0000-0000-0000FD500000}"/>
    <cellStyle name="计算 2 10 22" xfId="20700" xr:uid="{00000000-0005-0000-0000-00000C510000}"/>
    <cellStyle name="计算 2 10 22 2" xfId="20703" xr:uid="{00000000-0005-0000-0000-00000F510000}"/>
    <cellStyle name="计算 2 10 23" xfId="23726" xr:uid="{00000000-0005-0000-0000-0000DE5C0000}"/>
    <cellStyle name="计算 2 10 23 2" xfId="23729" xr:uid="{00000000-0005-0000-0000-0000E15C0000}"/>
    <cellStyle name="计算 2 10 24" xfId="23740" xr:uid="{00000000-0005-0000-0000-0000EC5C0000}"/>
    <cellStyle name="计算 2 10 25" xfId="6160" xr:uid="{00000000-0005-0000-0000-000040180000}"/>
    <cellStyle name="计算 2 10 26" xfId="23916" xr:uid="{00000000-0005-0000-0000-00009C5D0000}"/>
    <cellStyle name="计算 2 10 27" xfId="19476" xr:uid="{00000000-0005-0000-0000-0000444C0000}"/>
    <cellStyle name="计算 2 10 3" xfId="23918" xr:uid="{00000000-0005-0000-0000-00009E5D0000}"/>
    <cellStyle name="计算 2 10 3 10" xfId="11757" xr:uid="{00000000-0005-0000-0000-00001D2E0000}"/>
    <cellStyle name="计算 2 10 3 10 2" xfId="23920" xr:uid="{00000000-0005-0000-0000-0000A05D0000}"/>
    <cellStyle name="计算 2 10 3 11" xfId="13384" xr:uid="{00000000-0005-0000-0000-000078340000}"/>
    <cellStyle name="计算 2 10 3 11 2" xfId="23922" xr:uid="{00000000-0005-0000-0000-0000A25D0000}"/>
    <cellStyle name="计算 2 10 3 12" xfId="23923" xr:uid="{00000000-0005-0000-0000-0000A35D0000}"/>
    <cellStyle name="计算 2 10 3 12 2" xfId="23924" xr:uid="{00000000-0005-0000-0000-0000A45D0000}"/>
    <cellStyle name="计算 2 10 3 13" xfId="4404" xr:uid="{00000000-0005-0000-0000-000064110000}"/>
    <cellStyle name="计算 2 10 3 14" xfId="23925" xr:uid="{00000000-0005-0000-0000-0000A55D0000}"/>
    <cellStyle name="计算 2 10 3 15" xfId="17787" xr:uid="{00000000-0005-0000-0000-0000AB450000}"/>
    <cellStyle name="计算 2 10 3 16" xfId="23926" xr:uid="{00000000-0005-0000-0000-0000A65D0000}"/>
    <cellStyle name="计算 2 10 3 2" xfId="23927" xr:uid="{00000000-0005-0000-0000-0000A75D0000}"/>
    <cellStyle name="计算 2 10 3 2 2" xfId="23928" xr:uid="{00000000-0005-0000-0000-0000A85D0000}"/>
    <cellStyle name="计算 2 10 3 2 2 2" xfId="23931" xr:uid="{00000000-0005-0000-0000-0000AB5D0000}"/>
    <cellStyle name="计算 2 10 3 2 3" xfId="23933" xr:uid="{00000000-0005-0000-0000-0000AD5D0000}"/>
    <cellStyle name="计算 2 10 3 2 3 2" xfId="23935" xr:uid="{00000000-0005-0000-0000-0000AF5D0000}"/>
    <cellStyle name="计算 2 10 3 2 4" xfId="23938" xr:uid="{00000000-0005-0000-0000-0000B25D0000}"/>
    <cellStyle name="计算 2 10 3 2 4 2" xfId="23941" xr:uid="{00000000-0005-0000-0000-0000B55D0000}"/>
    <cellStyle name="计算 2 10 3 2 5" xfId="23944" xr:uid="{00000000-0005-0000-0000-0000B85D0000}"/>
    <cellStyle name="计算 2 10 3 2 5 2" xfId="23948" xr:uid="{00000000-0005-0000-0000-0000BC5D0000}"/>
    <cellStyle name="计算 2 10 3 2 6" xfId="23952" xr:uid="{00000000-0005-0000-0000-0000C05D0000}"/>
    <cellStyle name="计算 2 10 3 2 7" xfId="20524" xr:uid="{00000000-0005-0000-0000-00005C500000}"/>
    <cellStyle name="计算 2 10 3 2 8" xfId="17353" xr:uid="{00000000-0005-0000-0000-0000F9430000}"/>
    <cellStyle name="计算 2 10 3 2 9" xfId="20537" xr:uid="{00000000-0005-0000-0000-000069500000}"/>
    <cellStyle name="计算 2 10 3 3" xfId="23954" xr:uid="{00000000-0005-0000-0000-0000C25D0000}"/>
    <cellStyle name="计算 2 10 3 3 2" xfId="23955" xr:uid="{00000000-0005-0000-0000-0000C35D0000}"/>
    <cellStyle name="计算 2 10 3 3 2 2" xfId="9891" xr:uid="{00000000-0005-0000-0000-0000D3260000}"/>
    <cellStyle name="计算 2 10 3 3 3" xfId="23956" xr:uid="{00000000-0005-0000-0000-0000C45D0000}"/>
    <cellStyle name="计算 2 10 3 3 3 2" xfId="13779" xr:uid="{00000000-0005-0000-0000-000003360000}"/>
    <cellStyle name="计算 2 10 3 3 4" xfId="23959" xr:uid="{00000000-0005-0000-0000-0000C75D0000}"/>
    <cellStyle name="计算 2 10 3 3 4 2" xfId="13791" xr:uid="{00000000-0005-0000-0000-00000F360000}"/>
    <cellStyle name="计算 2 10 3 3 5" xfId="23963" xr:uid="{00000000-0005-0000-0000-0000CB5D0000}"/>
    <cellStyle name="计算 2 10 3 3 5 2" xfId="13800" xr:uid="{00000000-0005-0000-0000-000018360000}"/>
    <cellStyle name="计算 2 10 3 3 6" xfId="11137" xr:uid="{00000000-0005-0000-0000-0000B12B0000}"/>
    <cellStyle name="计算 2 10 3 4" xfId="23966" xr:uid="{00000000-0005-0000-0000-0000CE5D0000}"/>
    <cellStyle name="计算 2 10 3 4 2" xfId="23967" xr:uid="{00000000-0005-0000-0000-0000CF5D0000}"/>
    <cellStyle name="计算 2 10 3 4 2 2" xfId="10234" xr:uid="{00000000-0005-0000-0000-00002A280000}"/>
    <cellStyle name="计算 2 10 3 4 3" xfId="23968" xr:uid="{00000000-0005-0000-0000-0000D05D0000}"/>
    <cellStyle name="计算 2 10 3 4 3 2" xfId="9543" xr:uid="{00000000-0005-0000-0000-000077250000}"/>
    <cellStyle name="计算 2 10 3 4 4" xfId="23973" xr:uid="{00000000-0005-0000-0000-0000D55D0000}"/>
    <cellStyle name="计算 2 10 3 4 4 2" xfId="13909" xr:uid="{00000000-0005-0000-0000-000085360000}"/>
    <cellStyle name="计算 2 10 3 4 5" xfId="23977" xr:uid="{00000000-0005-0000-0000-0000D95D0000}"/>
    <cellStyle name="计算 2 10 3 4 5 2" xfId="13935" xr:uid="{00000000-0005-0000-0000-00009F360000}"/>
    <cellStyle name="计算 2 10 3 4 6" xfId="135" xr:uid="{00000000-0005-0000-0000-000092000000}"/>
    <cellStyle name="计算 2 10 3 5" xfId="23980" xr:uid="{00000000-0005-0000-0000-0000DC5D0000}"/>
    <cellStyle name="计算 2 10 3 5 2" xfId="20249" xr:uid="{00000000-0005-0000-0000-0000494F0000}"/>
    <cellStyle name="计算 2 10 3 5 2 2" xfId="10538" xr:uid="{00000000-0005-0000-0000-00005A290000}"/>
    <cellStyle name="计算 2 10 3 5 3" xfId="20251" xr:uid="{00000000-0005-0000-0000-00004B4F0000}"/>
    <cellStyle name="计算 2 10 3 5 3 2" xfId="10954" xr:uid="{00000000-0005-0000-0000-0000FA2A0000}"/>
    <cellStyle name="计算 2 10 3 5 4" xfId="20259" xr:uid="{00000000-0005-0000-0000-0000534F0000}"/>
    <cellStyle name="计算 2 10 3 5 4 2" xfId="17432" xr:uid="{00000000-0005-0000-0000-000048440000}"/>
    <cellStyle name="计算 2 10 3 5 5" xfId="20264" xr:uid="{00000000-0005-0000-0000-0000584F0000}"/>
    <cellStyle name="计算 2 10 3 5 5 2" xfId="17463" xr:uid="{00000000-0005-0000-0000-000067440000}"/>
    <cellStyle name="计算 2 10 3 5 6" xfId="11146" xr:uid="{00000000-0005-0000-0000-0000BA2B0000}"/>
    <cellStyle name="计算 2 10 3 6" xfId="23981" xr:uid="{00000000-0005-0000-0000-0000DD5D0000}"/>
    <cellStyle name="计算 2 10 3 6 2" xfId="20292" xr:uid="{00000000-0005-0000-0000-0000744F0000}"/>
    <cellStyle name="计算 2 10 3 6 2 2" xfId="10916" xr:uid="{00000000-0005-0000-0000-0000D42A0000}"/>
    <cellStyle name="计算 2 10 3 6 3" xfId="20298" xr:uid="{00000000-0005-0000-0000-00007A4F0000}"/>
    <cellStyle name="计算 2 10 3 6 3 2" xfId="2415" xr:uid="{00000000-0005-0000-0000-00009F090000}"/>
    <cellStyle name="计算 2 10 3 6 4" xfId="17200" xr:uid="{00000000-0005-0000-0000-000060430000}"/>
    <cellStyle name="计算 2 10 3 6 4 2" xfId="20305" xr:uid="{00000000-0005-0000-0000-0000814F0000}"/>
    <cellStyle name="计算 2 10 3 6 5" xfId="20311" xr:uid="{00000000-0005-0000-0000-0000874F0000}"/>
    <cellStyle name="计算 2 10 3 6 5 2" xfId="20314" xr:uid="{00000000-0005-0000-0000-00008A4F0000}"/>
    <cellStyle name="计算 2 10 3 6 6" xfId="11100" xr:uid="{00000000-0005-0000-0000-00008C2B0000}"/>
    <cellStyle name="计算 2 10 3 7" xfId="23984" xr:uid="{00000000-0005-0000-0000-0000E05D0000}"/>
    <cellStyle name="计算 2 10 3 7 2" xfId="1434" xr:uid="{00000000-0005-0000-0000-0000CA050000}"/>
    <cellStyle name="计算 2 10 3 7 2 2" xfId="10987" xr:uid="{00000000-0005-0000-0000-00001B2B0000}"/>
    <cellStyle name="计算 2 10 3 7 3" xfId="20337" xr:uid="{00000000-0005-0000-0000-0000A14F0000}"/>
    <cellStyle name="计算 2 10 3 7 3 2" xfId="23986" xr:uid="{00000000-0005-0000-0000-0000E25D0000}"/>
    <cellStyle name="计算 2 10 3 7 4" xfId="17212" xr:uid="{00000000-0005-0000-0000-00006C430000}"/>
    <cellStyle name="计算 2 10 3 7 4 2" xfId="23988" xr:uid="{00000000-0005-0000-0000-0000E45D0000}"/>
    <cellStyle name="计算 2 10 3 7 5" xfId="13283" xr:uid="{00000000-0005-0000-0000-000013340000}"/>
    <cellStyle name="计算 2 10 3 7 5 2" xfId="23990" xr:uid="{00000000-0005-0000-0000-0000E65D0000}"/>
    <cellStyle name="计算 2 10 3 7 6" xfId="20340" xr:uid="{00000000-0005-0000-0000-0000A44F0000}"/>
    <cellStyle name="计算 2 10 3 8" xfId="23991" xr:uid="{00000000-0005-0000-0000-0000E75D0000}"/>
    <cellStyle name="计算 2 10 3 8 2" xfId="1458" xr:uid="{00000000-0005-0000-0000-0000E2050000}"/>
    <cellStyle name="计算 2 10 3 8 2 2" xfId="11104" xr:uid="{00000000-0005-0000-0000-0000902B0000}"/>
    <cellStyle name="计算 2 10 3 8 3" xfId="20347" xr:uid="{00000000-0005-0000-0000-0000AB4F0000}"/>
    <cellStyle name="计算 2 10 3 8 3 2" xfId="23994" xr:uid="{00000000-0005-0000-0000-0000EA5D0000}"/>
    <cellStyle name="计算 2 10 3 8 4" xfId="17219" xr:uid="{00000000-0005-0000-0000-000073430000}"/>
    <cellStyle name="计算 2 10 3 8 4 2" xfId="23996" xr:uid="{00000000-0005-0000-0000-0000EC5D0000}"/>
    <cellStyle name="计算 2 10 3 8 5" xfId="23998" xr:uid="{00000000-0005-0000-0000-0000EE5D0000}"/>
    <cellStyle name="计算 2 10 3 9" xfId="24000" xr:uid="{00000000-0005-0000-0000-0000F05D0000}"/>
    <cellStyle name="计算 2 10 3 9 2" xfId="11185" xr:uid="{00000000-0005-0000-0000-0000E12B0000}"/>
    <cellStyle name="计算 2 10 4" xfId="24003" xr:uid="{00000000-0005-0000-0000-0000F35D0000}"/>
    <cellStyle name="计算 2 10 4 10" xfId="21788" xr:uid="{00000000-0005-0000-0000-00004C550000}"/>
    <cellStyle name="计算 2 10 4 10 2" xfId="24005" xr:uid="{00000000-0005-0000-0000-0000F55D0000}"/>
    <cellStyle name="计算 2 10 4 11" xfId="24010" xr:uid="{00000000-0005-0000-0000-0000FA5D0000}"/>
    <cellStyle name="计算 2 10 4 11 2" xfId="24013" xr:uid="{00000000-0005-0000-0000-0000FD5D0000}"/>
    <cellStyle name="计算 2 10 4 12" xfId="24015" xr:uid="{00000000-0005-0000-0000-0000FF5D0000}"/>
    <cellStyle name="计算 2 10 4 12 2" xfId="24018" xr:uid="{00000000-0005-0000-0000-0000025E0000}"/>
    <cellStyle name="计算 2 10 4 13" xfId="24021" xr:uid="{00000000-0005-0000-0000-0000055E0000}"/>
    <cellStyle name="计算 2 10 4 14" xfId="24022" xr:uid="{00000000-0005-0000-0000-0000065E0000}"/>
    <cellStyle name="计算 2 10 4 15" xfId="7901" xr:uid="{00000000-0005-0000-0000-00000D1F0000}"/>
    <cellStyle name="计算 2 10 4 16" xfId="24023" xr:uid="{00000000-0005-0000-0000-0000075E0000}"/>
    <cellStyle name="计算 2 10 4 2" xfId="20534" xr:uid="{00000000-0005-0000-0000-000066500000}"/>
    <cellStyle name="计算 2 10 4 2 2" xfId="20538" xr:uid="{00000000-0005-0000-0000-00006A500000}"/>
    <cellStyle name="计算 2 10 4 2 2 2" xfId="24027" xr:uid="{00000000-0005-0000-0000-00000B5E0000}"/>
    <cellStyle name="计算 2 10 4 2 3" xfId="24028" xr:uid="{00000000-0005-0000-0000-00000C5E0000}"/>
    <cellStyle name="计算 2 10 4 2 3 2" xfId="102" xr:uid="{00000000-0005-0000-0000-00006E000000}"/>
    <cellStyle name="计算 2 10 4 2 4" xfId="24031" xr:uid="{00000000-0005-0000-0000-00000F5E0000}"/>
    <cellStyle name="计算 2 10 4 2 4 2" xfId="24036" xr:uid="{00000000-0005-0000-0000-0000145E0000}"/>
    <cellStyle name="计算 2 10 4 2 5" xfId="24040" xr:uid="{00000000-0005-0000-0000-0000185E0000}"/>
    <cellStyle name="计算 2 10 4 2 5 2" xfId="24044" xr:uid="{00000000-0005-0000-0000-00001C5E0000}"/>
    <cellStyle name="计算 2 10 4 2 6" xfId="24049" xr:uid="{00000000-0005-0000-0000-0000215E0000}"/>
    <cellStyle name="计算 2 10 4 2 7" xfId="21049" xr:uid="{00000000-0005-0000-0000-000069520000}"/>
    <cellStyle name="计算 2 10 4 2 8" xfId="17384" xr:uid="{00000000-0005-0000-0000-000018440000}"/>
    <cellStyle name="计算 2 10 4 2 9" xfId="21065" xr:uid="{00000000-0005-0000-0000-000079520000}"/>
    <cellStyle name="计算 2 10 4 3" xfId="20541" xr:uid="{00000000-0005-0000-0000-00006D500000}"/>
    <cellStyle name="计算 2 10 4 3 2" xfId="24051" xr:uid="{00000000-0005-0000-0000-0000235E0000}"/>
    <cellStyle name="计算 2 10 4 3 2 2" xfId="24053" xr:uid="{00000000-0005-0000-0000-0000255E0000}"/>
    <cellStyle name="计算 2 10 4 3 3" xfId="24055" xr:uid="{00000000-0005-0000-0000-0000275E0000}"/>
    <cellStyle name="计算 2 10 4 3 3 2" xfId="24058" xr:uid="{00000000-0005-0000-0000-00002A5E0000}"/>
    <cellStyle name="计算 2 10 4 3 4" xfId="24062" xr:uid="{00000000-0005-0000-0000-00002E5E0000}"/>
    <cellStyle name="计算 2 10 4 3 4 2" xfId="24067" xr:uid="{00000000-0005-0000-0000-0000335E0000}"/>
    <cellStyle name="计算 2 10 4 3 5" xfId="24072" xr:uid="{00000000-0005-0000-0000-0000385E0000}"/>
    <cellStyle name="计算 2 10 4 3 5 2" xfId="24077" xr:uid="{00000000-0005-0000-0000-00003D5E0000}"/>
    <cellStyle name="计算 2 10 4 3 6" xfId="11164" xr:uid="{00000000-0005-0000-0000-0000CC2B0000}"/>
    <cellStyle name="计算 2 10 4 4" xfId="20545" xr:uid="{00000000-0005-0000-0000-000071500000}"/>
    <cellStyle name="计算 2 10 4 4 2" xfId="24081" xr:uid="{00000000-0005-0000-0000-0000415E0000}"/>
    <cellStyle name="计算 2 10 4 4 2 2" xfId="24083" xr:uid="{00000000-0005-0000-0000-0000435E0000}"/>
    <cellStyle name="计算 2 10 4 4 3" xfId="24085" xr:uid="{00000000-0005-0000-0000-0000455E0000}"/>
    <cellStyle name="计算 2 10 4 4 3 2" xfId="24088" xr:uid="{00000000-0005-0000-0000-0000485E0000}"/>
    <cellStyle name="计算 2 10 4 4 4" xfId="24095" xr:uid="{00000000-0005-0000-0000-00004F5E0000}"/>
    <cellStyle name="计算 2 10 4 4 4 2" xfId="24100" xr:uid="{00000000-0005-0000-0000-0000545E0000}"/>
    <cellStyle name="计算 2 10 4 4 5" xfId="24105" xr:uid="{00000000-0005-0000-0000-0000595E0000}"/>
    <cellStyle name="计算 2 10 4 4 5 2" xfId="1529" xr:uid="{00000000-0005-0000-0000-000029060000}"/>
    <cellStyle name="计算 2 10 4 4 6" xfId="11173" xr:uid="{00000000-0005-0000-0000-0000D52B0000}"/>
    <cellStyle name="计算 2 10 4 5" xfId="20547" xr:uid="{00000000-0005-0000-0000-000073500000}"/>
    <cellStyle name="计算 2 10 4 5 2" xfId="24109" xr:uid="{00000000-0005-0000-0000-00005D5E0000}"/>
    <cellStyle name="计算 2 10 4 5 2 2" xfId="24112" xr:uid="{00000000-0005-0000-0000-0000605E0000}"/>
    <cellStyle name="计算 2 10 4 5 3" xfId="24114" xr:uid="{00000000-0005-0000-0000-0000625E0000}"/>
    <cellStyle name="计算 2 10 4 5 3 2" xfId="24123" xr:uid="{00000000-0005-0000-0000-00006B5E0000}"/>
    <cellStyle name="计算 2 10 4 5 4" xfId="24130" xr:uid="{00000000-0005-0000-0000-0000725E0000}"/>
    <cellStyle name="计算 2 10 4 5 4 2" xfId="24134" xr:uid="{00000000-0005-0000-0000-0000765E0000}"/>
    <cellStyle name="计算 2 10 4 5 5" xfId="24139" xr:uid="{00000000-0005-0000-0000-00007B5E0000}"/>
    <cellStyle name="计算 2 10 4 5 5 2" xfId="24143" xr:uid="{00000000-0005-0000-0000-00007F5E0000}"/>
    <cellStyle name="计算 2 10 4 5 6" xfId="11180" xr:uid="{00000000-0005-0000-0000-0000DC2B0000}"/>
    <cellStyle name="计算 2 10 4 6" xfId="20549" xr:uid="{00000000-0005-0000-0000-000075500000}"/>
    <cellStyle name="计算 2 10 4 6 2" xfId="24144" xr:uid="{00000000-0005-0000-0000-0000805E0000}"/>
    <cellStyle name="计算 2 10 4 6 2 2" xfId="24147" xr:uid="{00000000-0005-0000-0000-0000835E0000}"/>
    <cellStyle name="计算 2 10 4 6 3" xfId="24149" xr:uid="{00000000-0005-0000-0000-0000855E0000}"/>
    <cellStyle name="计算 2 10 4 6 3 2" xfId="24153" xr:uid="{00000000-0005-0000-0000-0000895E0000}"/>
    <cellStyle name="计算 2 10 4 6 4" xfId="17235" xr:uid="{00000000-0005-0000-0000-000083430000}"/>
    <cellStyle name="计算 2 10 4 6 4 2" xfId="24156" xr:uid="{00000000-0005-0000-0000-00008C5E0000}"/>
    <cellStyle name="计算 2 10 4 6 5" xfId="24158" xr:uid="{00000000-0005-0000-0000-00008E5E0000}"/>
    <cellStyle name="计算 2 10 4 6 5 2" xfId="24161" xr:uid="{00000000-0005-0000-0000-0000915E0000}"/>
    <cellStyle name="计算 2 10 4 6 6" xfId="11190" xr:uid="{00000000-0005-0000-0000-0000E62B0000}"/>
    <cellStyle name="计算 2 10 4 7" xfId="24163" xr:uid="{00000000-0005-0000-0000-0000935E0000}"/>
    <cellStyle name="计算 2 10 4 7 2" xfId="24164" xr:uid="{00000000-0005-0000-0000-0000945E0000}"/>
    <cellStyle name="计算 2 10 4 7 2 2" xfId="24167" xr:uid="{00000000-0005-0000-0000-0000975E0000}"/>
    <cellStyle name="计算 2 10 4 7 3" xfId="24169" xr:uid="{00000000-0005-0000-0000-0000995E0000}"/>
    <cellStyle name="计算 2 10 4 7 3 2" xfId="24173" xr:uid="{00000000-0005-0000-0000-00009D5E0000}"/>
    <cellStyle name="计算 2 10 4 7 4" xfId="17241" xr:uid="{00000000-0005-0000-0000-000089430000}"/>
    <cellStyle name="计算 2 10 4 7 4 2" xfId="24176" xr:uid="{00000000-0005-0000-0000-0000A05E0000}"/>
    <cellStyle name="计算 2 10 4 7 5" xfId="24178" xr:uid="{00000000-0005-0000-0000-0000A25E0000}"/>
    <cellStyle name="计算 2 10 4 7 5 2" xfId="24180" xr:uid="{00000000-0005-0000-0000-0000A45E0000}"/>
    <cellStyle name="计算 2 10 4 7 6" xfId="24181" xr:uid="{00000000-0005-0000-0000-0000A55E0000}"/>
    <cellStyle name="计算 2 10 4 8" xfId="16494" xr:uid="{00000000-0005-0000-0000-00009E400000}"/>
    <cellStyle name="计算 2 10 4 8 2" xfId="24182" xr:uid="{00000000-0005-0000-0000-0000A65E0000}"/>
    <cellStyle name="计算 2 10 4 8 2 2" xfId="24185" xr:uid="{00000000-0005-0000-0000-0000A95E0000}"/>
    <cellStyle name="计算 2 10 4 8 3" xfId="24187" xr:uid="{00000000-0005-0000-0000-0000AB5E0000}"/>
    <cellStyle name="计算 2 10 4 8 3 2" xfId="24191" xr:uid="{00000000-0005-0000-0000-0000AF5E0000}"/>
    <cellStyle name="计算 2 10 4 8 4" xfId="17250" xr:uid="{00000000-0005-0000-0000-000092430000}"/>
    <cellStyle name="计算 2 10 4 8 4 2" xfId="24194" xr:uid="{00000000-0005-0000-0000-0000B25E0000}"/>
    <cellStyle name="计算 2 10 4 8 5" xfId="24196" xr:uid="{00000000-0005-0000-0000-0000B45E0000}"/>
    <cellStyle name="计算 2 10 4 9" xfId="24197" xr:uid="{00000000-0005-0000-0000-0000B55E0000}"/>
    <cellStyle name="计算 2 10 4 9 2" xfId="24198" xr:uid="{00000000-0005-0000-0000-0000B65E0000}"/>
    <cellStyle name="计算 2 10 5" xfId="24200" xr:uid="{00000000-0005-0000-0000-0000B85E0000}"/>
    <cellStyle name="计算 2 10 5 10" xfId="24201" xr:uid="{00000000-0005-0000-0000-0000B95E0000}"/>
    <cellStyle name="计算 2 10 5 10 2" xfId="24204" xr:uid="{00000000-0005-0000-0000-0000BC5E0000}"/>
    <cellStyle name="计算 2 10 5 11" xfId="19469" xr:uid="{00000000-0005-0000-0000-00003D4C0000}"/>
    <cellStyle name="计算 2 10 5 11 2" xfId="19475" xr:uid="{00000000-0005-0000-0000-0000434C0000}"/>
    <cellStyle name="计算 2 10 5 12" xfId="19478" xr:uid="{00000000-0005-0000-0000-0000464C0000}"/>
    <cellStyle name="计算 2 10 5 12 2" xfId="19483" xr:uid="{00000000-0005-0000-0000-00004B4C0000}"/>
    <cellStyle name="计算 2 10 5 13" xfId="19484" xr:uid="{00000000-0005-0000-0000-00004C4C0000}"/>
    <cellStyle name="计算 2 10 5 14" xfId="19493" xr:uid="{00000000-0005-0000-0000-0000554C0000}"/>
    <cellStyle name="计算 2 10 5 15" xfId="19506" xr:uid="{00000000-0005-0000-0000-0000624C0000}"/>
    <cellStyle name="计算 2 10 5 16" xfId="24206" xr:uid="{00000000-0005-0000-0000-0000BE5E0000}"/>
    <cellStyle name="计算 2 10 5 2" xfId="24207" xr:uid="{00000000-0005-0000-0000-0000BF5E0000}"/>
    <cellStyle name="计算 2 10 5 2 2" xfId="24208" xr:uid="{00000000-0005-0000-0000-0000C05E0000}"/>
    <cellStyle name="计算 2 10 5 2 2 2" xfId="24212" xr:uid="{00000000-0005-0000-0000-0000C45E0000}"/>
    <cellStyle name="计算 2 10 5 2 3" xfId="24213" xr:uid="{00000000-0005-0000-0000-0000C55E0000}"/>
    <cellStyle name="计算 2 10 5 2 3 2" xfId="24215" xr:uid="{00000000-0005-0000-0000-0000C75E0000}"/>
    <cellStyle name="计算 2 10 5 2 4" xfId="24218" xr:uid="{00000000-0005-0000-0000-0000CA5E0000}"/>
    <cellStyle name="计算 2 10 5 2 4 2" xfId="24221" xr:uid="{00000000-0005-0000-0000-0000CD5E0000}"/>
    <cellStyle name="计算 2 10 5 2 5" xfId="24224" xr:uid="{00000000-0005-0000-0000-0000D05E0000}"/>
    <cellStyle name="计算 2 10 5 2 5 2" xfId="24228" xr:uid="{00000000-0005-0000-0000-0000D45E0000}"/>
    <cellStyle name="计算 2 10 5 2 6" xfId="24232" xr:uid="{00000000-0005-0000-0000-0000D85E0000}"/>
    <cellStyle name="计算 2 10 5 2 7" xfId="24235" xr:uid="{00000000-0005-0000-0000-0000DB5E0000}"/>
    <cellStyle name="计算 2 10 5 2 8" xfId="7480" xr:uid="{00000000-0005-0000-0000-0000681D0000}"/>
    <cellStyle name="计算 2 10 5 2 9" xfId="24242" xr:uid="{00000000-0005-0000-0000-0000E25E0000}"/>
    <cellStyle name="计算 2 10 5 3" xfId="24243" xr:uid="{00000000-0005-0000-0000-0000E35E0000}"/>
    <cellStyle name="计算 2 10 5 3 2" xfId="24244" xr:uid="{00000000-0005-0000-0000-0000E45E0000}"/>
    <cellStyle name="计算 2 10 5 3 2 2" xfId="24245" xr:uid="{00000000-0005-0000-0000-0000E55E0000}"/>
    <cellStyle name="计算 2 10 5 3 3" xfId="22596" xr:uid="{00000000-0005-0000-0000-000074580000}"/>
    <cellStyle name="计算 2 10 5 3 3 2" xfId="24246" xr:uid="{00000000-0005-0000-0000-0000E65E0000}"/>
    <cellStyle name="计算 2 10 5 3 4" xfId="24249" xr:uid="{00000000-0005-0000-0000-0000E95E0000}"/>
    <cellStyle name="计算 2 10 5 3 4 2" xfId="24253" xr:uid="{00000000-0005-0000-0000-0000ED5E0000}"/>
    <cellStyle name="计算 2 10 5 3 5" xfId="24256" xr:uid="{00000000-0005-0000-0000-0000F05E0000}"/>
    <cellStyle name="计算 2 10 5 3 5 2" xfId="24260" xr:uid="{00000000-0005-0000-0000-0000F45E0000}"/>
    <cellStyle name="计算 2 10 5 3 6" xfId="7519" xr:uid="{00000000-0005-0000-0000-00008F1D0000}"/>
    <cellStyle name="计算 2 10 5 4" xfId="24263" xr:uid="{00000000-0005-0000-0000-0000F75E0000}"/>
    <cellStyle name="计算 2 10 5 4 2" xfId="24264" xr:uid="{00000000-0005-0000-0000-0000F85E0000}"/>
    <cellStyle name="计算 2 10 5 4 2 2" xfId="24265" xr:uid="{00000000-0005-0000-0000-0000F95E0000}"/>
    <cellStyle name="计算 2 10 5 4 3" xfId="22601" xr:uid="{00000000-0005-0000-0000-000079580000}"/>
    <cellStyle name="计算 2 10 5 4 3 2" xfId="24266" xr:uid="{00000000-0005-0000-0000-0000FA5E0000}"/>
    <cellStyle name="计算 2 10 5 4 4" xfId="24270" xr:uid="{00000000-0005-0000-0000-0000FE5E0000}"/>
    <cellStyle name="计算 2 10 5 4 4 2" xfId="24274" xr:uid="{00000000-0005-0000-0000-0000025F0000}"/>
    <cellStyle name="计算 2 10 5 4 5" xfId="24277" xr:uid="{00000000-0005-0000-0000-0000055F0000}"/>
    <cellStyle name="计算 2 10 5 4 5 2" xfId="20813" xr:uid="{00000000-0005-0000-0000-00007D510000}"/>
    <cellStyle name="计算 2 10 5 4 6" xfId="7582" xr:uid="{00000000-0005-0000-0000-0000CE1D0000}"/>
    <cellStyle name="计算 2 10 5 5" xfId="24279" xr:uid="{00000000-0005-0000-0000-0000075F0000}"/>
    <cellStyle name="计算 2 10 5 5 2" xfId="24280" xr:uid="{00000000-0005-0000-0000-0000085F0000}"/>
    <cellStyle name="计算 2 10 5 5 2 2" xfId="24282" xr:uid="{00000000-0005-0000-0000-00000A5F0000}"/>
    <cellStyle name="计算 2 10 5 5 3" xfId="22604" xr:uid="{00000000-0005-0000-0000-00007C580000}"/>
    <cellStyle name="计算 2 10 5 5 3 2" xfId="12463" xr:uid="{00000000-0005-0000-0000-0000DF300000}"/>
    <cellStyle name="计算 2 10 5 5 4" xfId="24288" xr:uid="{00000000-0005-0000-0000-0000105F0000}"/>
    <cellStyle name="计算 2 10 5 5 4 2" xfId="7616" xr:uid="{00000000-0005-0000-0000-0000F01D0000}"/>
    <cellStyle name="计算 2 10 5 5 5" xfId="24291" xr:uid="{00000000-0005-0000-0000-0000135F0000}"/>
    <cellStyle name="计算 2 10 5 5 5 2" xfId="7635" xr:uid="{00000000-0005-0000-0000-0000031E0000}"/>
    <cellStyle name="计算 2 10 5 5 6" xfId="7648" xr:uid="{00000000-0005-0000-0000-0000101E0000}"/>
    <cellStyle name="计算 2 10 5 6" xfId="24292" xr:uid="{00000000-0005-0000-0000-0000145F0000}"/>
    <cellStyle name="计算 2 10 5 6 2" xfId="24295" xr:uid="{00000000-0005-0000-0000-0000175F0000}"/>
    <cellStyle name="计算 2 10 5 6 2 2" xfId="24298" xr:uid="{00000000-0005-0000-0000-00001A5F0000}"/>
    <cellStyle name="计算 2 10 5 6 3" xfId="24300" xr:uid="{00000000-0005-0000-0000-00001C5F0000}"/>
    <cellStyle name="计算 2 10 5 6 3 2" xfId="24304" xr:uid="{00000000-0005-0000-0000-0000205F0000}"/>
    <cellStyle name="计算 2 10 5 6 4" xfId="24311" xr:uid="{00000000-0005-0000-0000-0000275F0000}"/>
    <cellStyle name="计算 2 10 5 6 4 2" xfId="24314" xr:uid="{00000000-0005-0000-0000-00002A5F0000}"/>
    <cellStyle name="计算 2 10 5 6 5" xfId="24317" xr:uid="{00000000-0005-0000-0000-00002D5F0000}"/>
    <cellStyle name="计算 2 10 5 6 5 2" xfId="24320" xr:uid="{00000000-0005-0000-0000-0000305F0000}"/>
    <cellStyle name="计算 2 10 5 6 6" xfId="7711" xr:uid="{00000000-0005-0000-0000-00004F1E0000}"/>
    <cellStyle name="计算 2 10 5 7" xfId="24321" xr:uid="{00000000-0005-0000-0000-0000315F0000}"/>
    <cellStyle name="计算 2 10 5 7 2" xfId="24322" xr:uid="{00000000-0005-0000-0000-0000325F0000}"/>
    <cellStyle name="计算 2 10 5 7 2 2" xfId="24324" xr:uid="{00000000-0005-0000-0000-0000345F0000}"/>
    <cellStyle name="计算 2 10 5 7 3" xfId="24325" xr:uid="{00000000-0005-0000-0000-0000355F0000}"/>
    <cellStyle name="计算 2 10 5 7 3 2" xfId="24328" xr:uid="{00000000-0005-0000-0000-0000385F0000}"/>
    <cellStyle name="计算 2 10 5 7 4" xfId="24329" xr:uid="{00000000-0005-0000-0000-0000395F0000}"/>
    <cellStyle name="计算 2 10 5 7 4 2" xfId="24331" xr:uid="{00000000-0005-0000-0000-00003B5F0000}"/>
    <cellStyle name="计算 2 10 5 7 5" xfId="24333" xr:uid="{00000000-0005-0000-0000-00003D5F0000}"/>
    <cellStyle name="计算 2 10 5 7 5 2" xfId="24335" xr:uid="{00000000-0005-0000-0000-00003F5F0000}"/>
    <cellStyle name="计算 2 10 5 7 6" xfId="24336" xr:uid="{00000000-0005-0000-0000-0000405F0000}"/>
    <cellStyle name="计算 2 10 5 8" xfId="622" xr:uid="{00000000-0005-0000-0000-00009E020000}"/>
    <cellStyle name="计算 2 10 5 8 2" xfId="24337" xr:uid="{00000000-0005-0000-0000-0000415F0000}"/>
    <cellStyle name="计算 2 10 5 8 2 2" xfId="990" xr:uid="{00000000-0005-0000-0000-00000E040000}"/>
    <cellStyle name="计算 2 10 5 8 3" xfId="24338" xr:uid="{00000000-0005-0000-0000-0000425F0000}"/>
    <cellStyle name="计算 2 10 5 8 3 2" xfId="1028" xr:uid="{00000000-0005-0000-0000-000034040000}"/>
    <cellStyle name="计算 2 10 5 8 4" xfId="24340" xr:uid="{00000000-0005-0000-0000-0000445F0000}"/>
    <cellStyle name="计算 2 10 5 8 4 2" xfId="1056" xr:uid="{00000000-0005-0000-0000-000050040000}"/>
    <cellStyle name="计算 2 10 5 8 5" xfId="24341" xr:uid="{00000000-0005-0000-0000-0000455F0000}"/>
    <cellStyle name="计算 2 10 5 9" xfId="24342" xr:uid="{00000000-0005-0000-0000-0000465F0000}"/>
    <cellStyle name="计算 2 10 5 9 2" xfId="24343" xr:uid="{00000000-0005-0000-0000-0000475F0000}"/>
    <cellStyle name="计算 2 10 6" xfId="19406" xr:uid="{00000000-0005-0000-0000-0000FE4B0000}"/>
    <cellStyle name="计算 2 10 6 10" xfId="24344" xr:uid="{00000000-0005-0000-0000-0000485F0000}"/>
    <cellStyle name="计算 2 10 6 10 2" xfId="24348" xr:uid="{00000000-0005-0000-0000-00004C5F0000}"/>
    <cellStyle name="计算 2 10 6 11" xfId="19597" xr:uid="{00000000-0005-0000-0000-0000BD4C0000}"/>
    <cellStyle name="计算 2 10 6 11 2" xfId="24351" xr:uid="{00000000-0005-0000-0000-00004F5F0000}"/>
    <cellStyle name="计算 2 10 6 12" xfId="24354" xr:uid="{00000000-0005-0000-0000-0000525F0000}"/>
    <cellStyle name="计算 2 10 6 12 2" xfId="82" xr:uid="{00000000-0005-0000-0000-000059000000}"/>
    <cellStyle name="计算 2 10 6 13" xfId="24355" xr:uid="{00000000-0005-0000-0000-0000535F0000}"/>
    <cellStyle name="计算 2 10 6 14" xfId="24356" xr:uid="{00000000-0005-0000-0000-0000545F0000}"/>
    <cellStyle name="计算 2 10 6 15" xfId="3396" xr:uid="{00000000-0005-0000-0000-0000740D0000}"/>
    <cellStyle name="计算 2 10 6 16" xfId="24358" xr:uid="{00000000-0005-0000-0000-0000565F0000}"/>
    <cellStyle name="计算 2 10 6 2" xfId="24359" xr:uid="{00000000-0005-0000-0000-0000575F0000}"/>
    <cellStyle name="计算 2 10 6 2 2" xfId="24360" xr:uid="{00000000-0005-0000-0000-0000585F0000}"/>
    <cellStyle name="计算 2 10 6 2 2 2" xfId="5733" xr:uid="{00000000-0005-0000-0000-000095160000}"/>
    <cellStyle name="计算 2 10 6 2 3" xfId="16483" xr:uid="{00000000-0005-0000-0000-000093400000}"/>
    <cellStyle name="计算 2 10 6 2 3 2" xfId="5812" xr:uid="{00000000-0005-0000-0000-0000E4160000}"/>
    <cellStyle name="计算 2 10 6 2 4" xfId="24362" xr:uid="{00000000-0005-0000-0000-00005A5F0000}"/>
    <cellStyle name="计算 2 10 6 2 4 2" xfId="5961" xr:uid="{00000000-0005-0000-0000-000079170000}"/>
    <cellStyle name="计算 2 10 6 2 5" xfId="24366" xr:uid="{00000000-0005-0000-0000-00005E5F0000}"/>
    <cellStyle name="计算 2 10 6 2 5 2" xfId="6065" xr:uid="{00000000-0005-0000-0000-0000E1170000}"/>
    <cellStyle name="计算 2 10 6 2 6" xfId="24370" xr:uid="{00000000-0005-0000-0000-0000625F0000}"/>
    <cellStyle name="计算 2 10 6 2 7" xfId="24373" xr:uid="{00000000-0005-0000-0000-0000655F0000}"/>
    <cellStyle name="计算 2 10 6 2 8" xfId="3331" xr:uid="{00000000-0005-0000-0000-0000330D0000}"/>
    <cellStyle name="计算 2 10 6 2 9" xfId="24378" xr:uid="{00000000-0005-0000-0000-00006A5F0000}"/>
    <cellStyle name="计算 2 10 6 3" xfId="24379" xr:uid="{00000000-0005-0000-0000-00006B5F0000}"/>
    <cellStyle name="计算 2 10 6 3 2" xfId="24380" xr:uid="{00000000-0005-0000-0000-00006C5F0000}"/>
    <cellStyle name="计算 2 10 6 3 2 2" xfId="24381" xr:uid="{00000000-0005-0000-0000-00006D5F0000}"/>
    <cellStyle name="计算 2 10 6 3 3" xfId="24383" xr:uid="{00000000-0005-0000-0000-00006F5F0000}"/>
    <cellStyle name="计算 2 10 6 3 3 2" xfId="24385" xr:uid="{00000000-0005-0000-0000-0000715F0000}"/>
    <cellStyle name="计算 2 10 6 3 4" xfId="24388" xr:uid="{00000000-0005-0000-0000-0000745F0000}"/>
    <cellStyle name="计算 2 10 6 3 4 2" xfId="24393" xr:uid="{00000000-0005-0000-0000-0000795F0000}"/>
    <cellStyle name="计算 2 10 6 3 5" xfId="24396" xr:uid="{00000000-0005-0000-0000-00007C5F0000}"/>
    <cellStyle name="计算 2 10 6 3 5 2" xfId="24399" xr:uid="{00000000-0005-0000-0000-00007F5F0000}"/>
    <cellStyle name="计算 2 10 6 3 6" xfId="7841" xr:uid="{00000000-0005-0000-0000-0000D11E0000}"/>
    <cellStyle name="计算 2 10 6 4" xfId="24403" xr:uid="{00000000-0005-0000-0000-0000835F0000}"/>
    <cellStyle name="计算 2 10 6 4 2" xfId="24404" xr:uid="{00000000-0005-0000-0000-0000845F0000}"/>
    <cellStyle name="计算 2 10 6 4 2 2" xfId="24405" xr:uid="{00000000-0005-0000-0000-0000855F0000}"/>
    <cellStyle name="计算 2 10 6 4 3" xfId="24407" xr:uid="{00000000-0005-0000-0000-0000875F0000}"/>
    <cellStyle name="计算 2 10 6 4 3 2" xfId="24409" xr:uid="{00000000-0005-0000-0000-0000895F0000}"/>
    <cellStyle name="计算 2 10 6 4 4" xfId="24413" xr:uid="{00000000-0005-0000-0000-00008D5F0000}"/>
    <cellStyle name="计算 2 10 6 4 4 2" xfId="24417" xr:uid="{00000000-0005-0000-0000-0000915F0000}"/>
    <cellStyle name="计算 2 10 6 4 5" xfId="24421" xr:uid="{00000000-0005-0000-0000-0000955F0000}"/>
    <cellStyle name="计算 2 10 6 4 5 2" xfId="24426" xr:uid="{00000000-0005-0000-0000-00009A5F0000}"/>
    <cellStyle name="计算 2 10 6 4 6" xfId="7862" xr:uid="{00000000-0005-0000-0000-0000E61E0000}"/>
    <cellStyle name="计算 2 10 6 5" xfId="24428" xr:uid="{00000000-0005-0000-0000-00009C5F0000}"/>
    <cellStyle name="计算 2 10 6 5 2" xfId="24429" xr:uid="{00000000-0005-0000-0000-00009D5F0000}"/>
    <cellStyle name="计算 2 10 6 5 2 2" xfId="24430" xr:uid="{00000000-0005-0000-0000-00009E5F0000}"/>
    <cellStyle name="计算 2 10 6 5 3" xfId="24432" xr:uid="{00000000-0005-0000-0000-0000A05F0000}"/>
    <cellStyle name="计算 2 10 6 5 3 2" xfId="20241" xr:uid="{00000000-0005-0000-0000-0000414F0000}"/>
    <cellStyle name="计算 2 10 6 5 4" xfId="24435" xr:uid="{00000000-0005-0000-0000-0000A35F0000}"/>
    <cellStyle name="计算 2 10 6 5 4 2" xfId="7888" xr:uid="{00000000-0005-0000-0000-0000001F0000}"/>
    <cellStyle name="计算 2 10 6 5 5" xfId="24437" xr:uid="{00000000-0005-0000-0000-0000A55F0000}"/>
    <cellStyle name="计算 2 10 6 5 5 2" xfId="7909" xr:uid="{00000000-0005-0000-0000-0000151F0000}"/>
    <cellStyle name="计算 2 10 6 5 6" xfId="7913" xr:uid="{00000000-0005-0000-0000-0000191F0000}"/>
    <cellStyle name="计算 2 10 6 6" xfId="24439" xr:uid="{00000000-0005-0000-0000-0000A75F0000}"/>
    <cellStyle name="计算 2 10 6 6 2" xfId="24442" xr:uid="{00000000-0005-0000-0000-0000AA5F0000}"/>
    <cellStyle name="计算 2 10 6 6 2 2" xfId="24444" xr:uid="{00000000-0005-0000-0000-0000AC5F0000}"/>
    <cellStyle name="计算 2 10 6 6 3" xfId="24446" xr:uid="{00000000-0005-0000-0000-0000AE5F0000}"/>
    <cellStyle name="计算 2 10 6 6 3 2" xfId="24450" xr:uid="{00000000-0005-0000-0000-0000B25F0000}"/>
    <cellStyle name="计算 2 10 6 6 4" xfId="24453" xr:uid="{00000000-0005-0000-0000-0000B55F0000}"/>
    <cellStyle name="计算 2 10 6 6 4 2" xfId="24455" xr:uid="{00000000-0005-0000-0000-0000B75F0000}"/>
    <cellStyle name="计算 2 10 6 6 5" xfId="23" xr:uid="{00000000-0005-0000-0000-00001B000000}"/>
    <cellStyle name="计算 2 10 6 6 5 2" xfId="24457" xr:uid="{00000000-0005-0000-0000-0000B95F0000}"/>
    <cellStyle name="计算 2 10 6 6 6" xfId="2146" xr:uid="{00000000-0005-0000-0000-000092080000}"/>
    <cellStyle name="计算 2 10 6 7" xfId="24460" xr:uid="{00000000-0005-0000-0000-0000BC5F0000}"/>
    <cellStyle name="计算 2 10 6 7 2" xfId="24462" xr:uid="{00000000-0005-0000-0000-0000BE5F0000}"/>
    <cellStyle name="计算 2 10 6 7 2 2" xfId="24464" xr:uid="{00000000-0005-0000-0000-0000C05F0000}"/>
    <cellStyle name="计算 2 10 6 7 3" xfId="24465" xr:uid="{00000000-0005-0000-0000-0000C15F0000}"/>
    <cellStyle name="计算 2 10 6 7 3 2" xfId="24468" xr:uid="{00000000-0005-0000-0000-0000C45F0000}"/>
    <cellStyle name="计算 2 10 6 7 4" xfId="24469" xr:uid="{00000000-0005-0000-0000-0000C55F0000}"/>
    <cellStyle name="计算 2 10 6 7 4 2" xfId="24471" xr:uid="{00000000-0005-0000-0000-0000C75F0000}"/>
    <cellStyle name="计算 2 10 6 7 5" xfId="24472" xr:uid="{00000000-0005-0000-0000-0000C85F0000}"/>
    <cellStyle name="计算 2 10 6 7 5 2" xfId="24474" xr:uid="{00000000-0005-0000-0000-0000CA5F0000}"/>
    <cellStyle name="计算 2 10 6 7 6" xfId="24475" xr:uid="{00000000-0005-0000-0000-0000CB5F0000}"/>
    <cellStyle name="计算 2 10 6 8" xfId="16506" xr:uid="{00000000-0005-0000-0000-0000AA400000}"/>
    <cellStyle name="计算 2 10 6 8 2" xfId="24477" xr:uid="{00000000-0005-0000-0000-0000CD5F0000}"/>
    <cellStyle name="计算 2 10 6 8 2 2" xfId="24478" xr:uid="{00000000-0005-0000-0000-0000CE5F0000}"/>
    <cellStyle name="计算 2 10 6 8 3" xfId="24479" xr:uid="{00000000-0005-0000-0000-0000CF5F0000}"/>
    <cellStyle name="计算 2 10 6 8 3 2" xfId="24481" xr:uid="{00000000-0005-0000-0000-0000D15F0000}"/>
    <cellStyle name="计算 2 10 6 8 4" xfId="24482" xr:uid="{00000000-0005-0000-0000-0000D25F0000}"/>
    <cellStyle name="计算 2 10 6 8 4 2" xfId="24483" xr:uid="{00000000-0005-0000-0000-0000D35F0000}"/>
    <cellStyle name="计算 2 10 6 8 5" xfId="24484" xr:uid="{00000000-0005-0000-0000-0000D45F0000}"/>
    <cellStyle name="计算 2 10 6 9" xfId="24486" xr:uid="{00000000-0005-0000-0000-0000D65F0000}"/>
    <cellStyle name="计算 2 10 6 9 2" xfId="24488" xr:uid="{00000000-0005-0000-0000-0000D85F0000}"/>
    <cellStyle name="计算 2 10 7" xfId="24490" xr:uid="{00000000-0005-0000-0000-0000DA5F0000}"/>
    <cellStyle name="计算 2 10 7 10" xfId="5190" xr:uid="{00000000-0005-0000-0000-000076140000}"/>
    <cellStyle name="计算 2 10 7 10 2" xfId="5203" xr:uid="{00000000-0005-0000-0000-000083140000}"/>
    <cellStyle name="计算 2 10 7 11" xfId="1126" xr:uid="{00000000-0005-0000-0000-000096040000}"/>
    <cellStyle name="计算 2 10 7 11 2" xfId="9606" xr:uid="{00000000-0005-0000-0000-0000B6250000}"/>
    <cellStyle name="计算 2 10 7 12" xfId="9618" xr:uid="{00000000-0005-0000-0000-0000C2250000}"/>
    <cellStyle name="计算 2 10 7 12 2" xfId="9622" xr:uid="{00000000-0005-0000-0000-0000C6250000}"/>
    <cellStyle name="计算 2 10 7 13" xfId="9632" xr:uid="{00000000-0005-0000-0000-0000D0250000}"/>
    <cellStyle name="计算 2 10 7 14" xfId="9638" xr:uid="{00000000-0005-0000-0000-0000D6250000}"/>
    <cellStyle name="计算 2 10 7 15" xfId="24491" xr:uid="{00000000-0005-0000-0000-0000DB5F0000}"/>
    <cellStyle name="计算 2 10 7 16" xfId="24496" xr:uid="{00000000-0005-0000-0000-0000E05F0000}"/>
    <cellStyle name="计算 2 10 7 2" xfId="24500" xr:uid="{00000000-0005-0000-0000-0000E45F0000}"/>
    <cellStyle name="计算 2 10 7 2 2" xfId="24501" xr:uid="{00000000-0005-0000-0000-0000E55F0000}"/>
    <cellStyle name="计算 2 10 7 2 2 2" xfId="9257" xr:uid="{00000000-0005-0000-0000-000059240000}"/>
    <cellStyle name="计算 2 10 7 2 3" xfId="24502" xr:uid="{00000000-0005-0000-0000-0000E65F0000}"/>
    <cellStyle name="计算 2 10 7 2 3 2" xfId="3601" xr:uid="{00000000-0005-0000-0000-0000410E0000}"/>
    <cellStyle name="计算 2 10 7 2 4" xfId="24505" xr:uid="{00000000-0005-0000-0000-0000E95F0000}"/>
    <cellStyle name="计算 2 10 7 2 4 2" xfId="4021" xr:uid="{00000000-0005-0000-0000-0000E50F0000}"/>
    <cellStyle name="计算 2 10 7 2 5" xfId="24508" xr:uid="{00000000-0005-0000-0000-0000EC5F0000}"/>
    <cellStyle name="计算 2 10 7 2 5 2" xfId="4421" xr:uid="{00000000-0005-0000-0000-000075110000}"/>
    <cellStyle name="计算 2 10 7 2 6" xfId="24512" xr:uid="{00000000-0005-0000-0000-0000F05F0000}"/>
    <cellStyle name="计算 2 10 7 2 7" xfId="24515" xr:uid="{00000000-0005-0000-0000-0000F35F0000}"/>
    <cellStyle name="计算 2 10 7 2 8" xfId="5212" xr:uid="{00000000-0005-0000-0000-00008C140000}"/>
    <cellStyle name="计算 2 10 7 2 9" xfId="24519" xr:uid="{00000000-0005-0000-0000-0000F75F0000}"/>
    <cellStyle name="计算 2 10 7 3" xfId="24520" xr:uid="{00000000-0005-0000-0000-0000F85F0000}"/>
    <cellStyle name="计算 2 10 7 3 2" xfId="24521" xr:uid="{00000000-0005-0000-0000-0000F95F0000}"/>
    <cellStyle name="计算 2 10 7 3 2 2" xfId="24524" xr:uid="{00000000-0005-0000-0000-0000FC5F0000}"/>
    <cellStyle name="计算 2 10 7 3 3" xfId="24525" xr:uid="{00000000-0005-0000-0000-0000FD5F0000}"/>
    <cellStyle name="计算 2 10 7 3 3 2" xfId="24529" xr:uid="{00000000-0005-0000-0000-000001600000}"/>
    <cellStyle name="计算 2 10 7 3 4" xfId="24534" xr:uid="{00000000-0005-0000-0000-000006600000}"/>
    <cellStyle name="计算 2 10 7 3 4 2" xfId="24537" xr:uid="{00000000-0005-0000-0000-000009600000}"/>
    <cellStyle name="计算 2 10 7 3 5" xfId="24542" xr:uid="{00000000-0005-0000-0000-00000E600000}"/>
    <cellStyle name="计算 2 10 7 3 5 2" xfId="24545" xr:uid="{00000000-0005-0000-0000-000011600000}"/>
    <cellStyle name="计算 2 10 7 3 6" xfId="8012" xr:uid="{00000000-0005-0000-0000-00007C1F0000}"/>
    <cellStyle name="计算 2 10 7 4" xfId="24549" xr:uid="{00000000-0005-0000-0000-000015600000}"/>
    <cellStyle name="计算 2 10 7 4 2" xfId="24550" xr:uid="{00000000-0005-0000-0000-000016600000}"/>
    <cellStyle name="计算 2 10 7 4 2 2" xfId="24554" xr:uid="{00000000-0005-0000-0000-00001A600000}"/>
    <cellStyle name="计算 2 10 7 4 3" xfId="24555" xr:uid="{00000000-0005-0000-0000-00001B600000}"/>
    <cellStyle name="计算 2 10 7 4 3 2" xfId="24558" xr:uid="{00000000-0005-0000-0000-00001E600000}"/>
    <cellStyle name="计算 2 10 7 4 4" xfId="24563" xr:uid="{00000000-0005-0000-0000-000023600000}"/>
    <cellStyle name="计算 2 10 7 4 4 2" xfId="24568" xr:uid="{00000000-0005-0000-0000-000028600000}"/>
    <cellStyle name="计算 2 10 7 4 5" xfId="24571" xr:uid="{00000000-0005-0000-0000-00002B600000}"/>
    <cellStyle name="计算 2 10 7 4 5 2" xfId="24575" xr:uid="{00000000-0005-0000-0000-00002F600000}"/>
    <cellStyle name="计算 2 10 7 4 6" xfId="8052" xr:uid="{00000000-0005-0000-0000-0000A41F0000}"/>
    <cellStyle name="计算 2 10 7 5" xfId="24578" xr:uid="{00000000-0005-0000-0000-000032600000}"/>
    <cellStyle name="计算 2 10 7 5 2" xfId="24579" xr:uid="{00000000-0005-0000-0000-000033600000}"/>
    <cellStyle name="计算 2 10 7 5 2 2" xfId="24581" xr:uid="{00000000-0005-0000-0000-000035600000}"/>
    <cellStyle name="计算 2 10 7 5 3" xfId="24582" xr:uid="{00000000-0005-0000-0000-000036600000}"/>
    <cellStyle name="计算 2 10 7 5 3 2" xfId="24585" xr:uid="{00000000-0005-0000-0000-000039600000}"/>
    <cellStyle name="计算 2 10 7 5 4" xfId="24587" xr:uid="{00000000-0005-0000-0000-00003B600000}"/>
    <cellStyle name="计算 2 10 7 5 4 2" xfId="24591" xr:uid="{00000000-0005-0000-0000-00003F600000}"/>
    <cellStyle name="计算 2 10 7 5 5" xfId="24593" xr:uid="{00000000-0005-0000-0000-000041600000}"/>
    <cellStyle name="计算 2 10 7 5 5 2" xfId="24595" xr:uid="{00000000-0005-0000-0000-000043600000}"/>
    <cellStyle name="计算 2 10 7 5 6" xfId="8097" xr:uid="{00000000-0005-0000-0000-0000D11F0000}"/>
    <cellStyle name="计算 2 10 7 6" xfId="24597" xr:uid="{00000000-0005-0000-0000-000045600000}"/>
    <cellStyle name="计算 2 10 7 6 2" xfId="24599" xr:uid="{00000000-0005-0000-0000-000047600000}"/>
    <cellStyle name="计算 2 10 7 6 2 2" xfId="24600" xr:uid="{00000000-0005-0000-0000-000048600000}"/>
    <cellStyle name="计算 2 10 7 6 3" xfId="24601" xr:uid="{00000000-0005-0000-0000-000049600000}"/>
    <cellStyle name="计算 2 10 7 6 3 2" xfId="24603" xr:uid="{00000000-0005-0000-0000-00004B600000}"/>
    <cellStyle name="计算 2 10 7 6 4" xfId="24605" xr:uid="{00000000-0005-0000-0000-00004D600000}"/>
    <cellStyle name="计算 2 10 7 6 4 2" xfId="23910" xr:uid="{00000000-0005-0000-0000-0000965D0000}"/>
    <cellStyle name="计算 2 10 7 6 5" xfId="24608" xr:uid="{00000000-0005-0000-0000-000050600000}"/>
    <cellStyle name="计算 2 10 7 6 5 2" xfId="23999" xr:uid="{00000000-0005-0000-0000-0000EF5D0000}"/>
    <cellStyle name="计算 2 10 7 6 6" xfId="8133" xr:uid="{00000000-0005-0000-0000-0000F51F0000}"/>
    <cellStyle name="计算 2 10 7 7" xfId="24610" xr:uid="{00000000-0005-0000-0000-000052600000}"/>
    <cellStyle name="计算 2 10 7 7 2" xfId="24612" xr:uid="{00000000-0005-0000-0000-000054600000}"/>
    <cellStyle name="计算 2 10 7 7 2 2" xfId="24613" xr:uid="{00000000-0005-0000-0000-000055600000}"/>
    <cellStyle name="计算 2 10 7 7 3" xfId="24614" xr:uid="{00000000-0005-0000-0000-000056600000}"/>
    <cellStyle name="计算 2 10 7 7 3 2" xfId="24616" xr:uid="{00000000-0005-0000-0000-000058600000}"/>
    <cellStyle name="计算 2 10 7 7 4" xfId="24619" xr:uid="{00000000-0005-0000-0000-00005B600000}"/>
    <cellStyle name="计算 2 10 7 7 4 2" xfId="24621" xr:uid="{00000000-0005-0000-0000-00005D600000}"/>
    <cellStyle name="计算 2 10 7 7 5" xfId="24622" xr:uid="{00000000-0005-0000-0000-00005E600000}"/>
    <cellStyle name="计算 2 10 7 7 5 2" xfId="24624" xr:uid="{00000000-0005-0000-0000-000060600000}"/>
    <cellStyle name="计算 2 10 7 7 6" xfId="11898" xr:uid="{00000000-0005-0000-0000-0000AA2E0000}"/>
    <cellStyle name="计算 2 10 7 8" xfId="16510" xr:uid="{00000000-0005-0000-0000-0000AE400000}"/>
    <cellStyle name="计算 2 10 7 8 2" xfId="24626" xr:uid="{00000000-0005-0000-0000-000062600000}"/>
    <cellStyle name="计算 2 10 7 8 2 2" xfId="24627" xr:uid="{00000000-0005-0000-0000-000063600000}"/>
    <cellStyle name="计算 2 10 7 8 3" xfId="24628" xr:uid="{00000000-0005-0000-0000-000064600000}"/>
    <cellStyle name="计算 2 10 7 8 3 2" xfId="24631" xr:uid="{00000000-0005-0000-0000-000067600000}"/>
    <cellStyle name="计算 2 10 7 8 4" xfId="24632" xr:uid="{00000000-0005-0000-0000-000068600000}"/>
    <cellStyle name="计算 2 10 7 8 4 2" xfId="24635" xr:uid="{00000000-0005-0000-0000-00006B600000}"/>
    <cellStyle name="计算 2 10 7 8 5" xfId="24637" xr:uid="{00000000-0005-0000-0000-00006D600000}"/>
    <cellStyle name="计算 2 10 7 9" xfId="24639" xr:uid="{00000000-0005-0000-0000-00006F600000}"/>
    <cellStyle name="计算 2 10 7 9 2" xfId="24641" xr:uid="{00000000-0005-0000-0000-000071600000}"/>
    <cellStyle name="计算 2 10 8" xfId="24644" xr:uid="{00000000-0005-0000-0000-000074600000}"/>
    <cellStyle name="计算 2 10 8 10" xfId="9834" xr:uid="{00000000-0005-0000-0000-00009A260000}"/>
    <cellStyle name="计算 2 10 8 10 2" xfId="24645" xr:uid="{00000000-0005-0000-0000-000075600000}"/>
    <cellStyle name="计算 2 10 8 11" xfId="24646" xr:uid="{00000000-0005-0000-0000-000076600000}"/>
    <cellStyle name="计算 2 10 8 11 2" xfId="24647" xr:uid="{00000000-0005-0000-0000-000077600000}"/>
    <cellStyle name="计算 2 10 8 12" xfId="24648" xr:uid="{00000000-0005-0000-0000-000078600000}"/>
    <cellStyle name="计算 2 10 8 12 2" xfId="24649" xr:uid="{00000000-0005-0000-0000-000079600000}"/>
    <cellStyle name="计算 2 10 8 13" xfId="1979" xr:uid="{00000000-0005-0000-0000-0000EB070000}"/>
    <cellStyle name="计算 2 10 8 14" xfId="24650" xr:uid="{00000000-0005-0000-0000-00007A600000}"/>
    <cellStyle name="计算 2 10 8 15" xfId="24651" xr:uid="{00000000-0005-0000-0000-00007B600000}"/>
    <cellStyle name="计算 2 10 8 16" xfId="24652" xr:uid="{00000000-0005-0000-0000-00007C600000}"/>
    <cellStyle name="计算 2 10 8 2" xfId="24654" xr:uid="{00000000-0005-0000-0000-00007E600000}"/>
    <cellStyle name="计算 2 10 8 2 2" xfId="24655" xr:uid="{00000000-0005-0000-0000-00007F600000}"/>
    <cellStyle name="计算 2 10 8 2 2 2" xfId="11324" xr:uid="{00000000-0005-0000-0000-00006C2C0000}"/>
    <cellStyle name="计算 2 10 8 2 3" xfId="24657" xr:uid="{00000000-0005-0000-0000-000081600000}"/>
    <cellStyle name="计算 2 10 8 2 3 2" xfId="11385" xr:uid="{00000000-0005-0000-0000-0000A92C0000}"/>
    <cellStyle name="计算 2 10 8 2 4" xfId="24660" xr:uid="{00000000-0005-0000-0000-000084600000}"/>
    <cellStyle name="计算 2 10 8 2 4 2" xfId="8277" xr:uid="{00000000-0005-0000-0000-000085200000}"/>
    <cellStyle name="计算 2 10 8 2 5" xfId="24664" xr:uid="{00000000-0005-0000-0000-000088600000}"/>
    <cellStyle name="计算 2 10 8 2 5 2" xfId="8285" xr:uid="{00000000-0005-0000-0000-00008D200000}"/>
    <cellStyle name="计算 2 10 8 2 6" xfId="24667" xr:uid="{00000000-0005-0000-0000-00008B600000}"/>
    <cellStyle name="计算 2 10 8 2 7" xfId="21867" xr:uid="{00000000-0005-0000-0000-00009B550000}"/>
    <cellStyle name="计算 2 10 8 2 8" xfId="8305" xr:uid="{00000000-0005-0000-0000-0000A1200000}"/>
    <cellStyle name="计算 2 10 8 2 9" xfId="21872" xr:uid="{00000000-0005-0000-0000-0000A0550000}"/>
    <cellStyle name="计算 2 10 8 3" xfId="24669" xr:uid="{00000000-0005-0000-0000-00008D600000}"/>
    <cellStyle name="计算 2 10 8 3 2" xfId="24670" xr:uid="{00000000-0005-0000-0000-00008E600000}"/>
    <cellStyle name="计算 2 10 8 3 2 2" xfId="15525" xr:uid="{00000000-0005-0000-0000-0000D53C0000}"/>
    <cellStyle name="计算 2 10 8 3 3" xfId="24672" xr:uid="{00000000-0005-0000-0000-000090600000}"/>
    <cellStyle name="计算 2 10 8 3 3 2" xfId="15544" xr:uid="{00000000-0005-0000-0000-0000E83C0000}"/>
    <cellStyle name="计算 2 10 8 3 4" xfId="24675" xr:uid="{00000000-0005-0000-0000-000093600000}"/>
    <cellStyle name="计算 2 10 8 3 4 2" xfId="8318" xr:uid="{00000000-0005-0000-0000-0000AE200000}"/>
    <cellStyle name="计算 2 10 8 3 5" xfId="24679" xr:uid="{00000000-0005-0000-0000-000097600000}"/>
    <cellStyle name="计算 2 10 8 3 5 2" xfId="8331" xr:uid="{00000000-0005-0000-0000-0000BB200000}"/>
    <cellStyle name="计算 2 10 8 3 6" xfId="24682" xr:uid="{00000000-0005-0000-0000-00009A600000}"/>
    <cellStyle name="计算 2 10 8 4" xfId="24684" xr:uid="{00000000-0005-0000-0000-00009C600000}"/>
    <cellStyle name="计算 2 10 8 4 2" xfId="24686" xr:uid="{00000000-0005-0000-0000-00009E600000}"/>
    <cellStyle name="计算 2 10 8 4 2 2" xfId="15673" xr:uid="{00000000-0005-0000-0000-0000693D0000}"/>
    <cellStyle name="计算 2 10 8 4 3" xfId="24689" xr:uid="{00000000-0005-0000-0000-0000A1600000}"/>
    <cellStyle name="计算 2 10 8 4 3 2" xfId="15722" xr:uid="{00000000-0005-0000-0000-00009A3D0000}"/>
    <cellStyle name="计算 2 10 8 4 4" xfId="24693" xr:uid="{00000000-0005-0000-0000-0000A5600000}"/>
    <cellStyle name="计算 2 10 8 4 4 2" xfId="8368" xr:uid="{00000000-0005-0000-0000-0000E0200000}"/>
    <cellStyle name="计算 2 10 8 4 5" xfId="24699" xr:uid="{00000000-0005-0000-0000-0000AB600000}"/>
    <cellStyle name="计算 2 10 8 4 5 2" xfId="8383" xr:uid="{00000000-0005-0000-0000-0000EF200000}"/>
    <cellStyle name="计算 2 10 8 4 6" xfId="1261" xr:uid="{00000000-0005-0000-0000-00001D050000}"/>
    <cellStyle name="计算 2 10 8 5" xfId="24702" xr:uid="{00000000-0005-0000-0000-0000AE600000}"/>
    <cellStyle name="计算 2 10 8 5 2" xfId="21371" xr:uid="{00000000-0005-0000-0000-0000AB530000}"/>
    <cellStyle name="计算 2 10 8 5 2 2" xfId="21374" xr:uid="{00000000-0005-0000-0000-0000AE530000}"/>
    <cellStyle name="计算 2 10 8 5 3" xfId="21402" xr:uid="{00000000-0005-0000-0000-0000CA530000}"/>
    <cellStyle name="计算 2 10 8 5 3 2" xfId="21410" xr:uid="{00000000-0005-0000-0000-0000D2530000}"/>
    <cellStyle name="计算 2 10 8 5 4" xfId="4563" xr:uid="{00000000-0005-0000-0000-000003120000}"/>
    <cellStyle name="计算 2 10 8 5 4 2" xfId="21457" xr:uid="{00000000-0005-0000-0000-000001540000}"/>
    <cellStyle name="计算 2 10 8 5 5" xfId="21479" xr:uid="{00000000-0005-0000-0000-000017540000}"/>
    <cellStyle name="计算 2 10 8 5 5 2" xfId="21484" xr:uid="{00000000-0005-0000-0000-00001C540000}"/>
    <cellStyle name="计算 2 10 8 5 6" xfId="21501" xr:uid="{00000000-0005-0000-0000-00002D540000}"/>
    <cellStyle name="计算 2 10 8 6" xfId="24704" xr:uid="{00000000-0005-0000-0000-0000B0600000}"/>
    <cellStyle name="计算 2 10 8 6 2" xfId="21555" xr:uid="{00000000-0005-0000-0000-000063540000}"/>
    <cellStyle name="计算 2 10 8 6 2 2" xfId="21557" xr:uid="{00000000-0005-0000-0000-000065540000}"/>
    <cellStyle name="计算 2 10 8 6 3" xfId="21579" xr:uid="{00000000-0005-0000-0000-00007B540000}"/>
    <cellStyle name="计算 2 10 8 6 3 2" xfId="21581" xr:uid="{00000000-0005-0000-0000-00007D540000}"/>
    <cellStyle name="计算 2 10 8 6 4" xfId="5222" xr:uid="{00000000-0005-0000-0000-000096140000}"/>
    <cellStyle name="计算 2 10 8 6 4 2" xfId="21606" xr:uid="{00000000-0005-0000-0000-000096540000}"/>
    <cellStyle name="计算 2 10 8 6 5" xfId="21625" xr:uid="{00000000-0005-0000-0000-0000A9540000}"/>
    <cellStyle name="计算 2 10 8 6 5 2" xfId="21627" xr:uid="{00000000-0005-0000-0000-0000AB540000}"/>
    <cellStyle name="计算 2 10 8 6 6" xfId="8479" xr:uid="{00000000-0005-0000-0000-00004F210000}"/>
    <cellStyle name="计算 2 10 8 7" xfId="24706" xr:uid="{00000000-0005-0000-0000-0000B2600000}"/>
    <cellStyle name="计算 2 10 8 7 2" xfId="21650" xr:uid="{00000000-0005-0000-0000-0000C2540000}"/>
    <cellStyle name="计算 2 10 8 7 2 2" xfId="21652" xr:uid="{00000000-0005-0000-0000-0000C4540000}"/>
    <cellStyle name="计算 2 10 8 7 3" xfId="21655" xr:uid="{00000000-0005-0000-0000-0000C7540000}"/>
    <cellStyle name="计算 2 10 8 7 3 2" xfId="24708" xr:uid="{00000000-0005-0000-0000-0000B4600000}"/>
    <cellStyle name="计算 2 10 8 7 4" xfId="5629" xr:uid="{00000000-0005-0000-0000-00002D160000}"/>
    <cellStyle name="计算 2 10 8 7 4 2" xfId="24709" xr:uid="{00000000-0005-0000-0000-0000B5600000}"/>
    <cellStyle name="计算 2 10 8 7 5" xfId="21657" xr:uid="{00000000-0005-0000-0000-0000C9540000}"/>
    <cellStyle name="计算 2 10 8 7 5 2" xfId="24710" xr:uid="{00000000-0005-0000-0000-0000B6600000}"/>
    <cellStyle name="计算 2 10 8 7 6" xfId="14681" xr:uid="{00000000-0005-0000-0000-000089390000}"/>
    <cellStyle name="计算 2 10 8 8" xfId="24713" xr:uid="{00000000-0005-0000-0000-0000B9600000}"/>
    <cellStyle name="计算 2 10 8 8 2" xfId="21663" xr:uid="{00000000-0005-0000-0000-0000CF540000}"/>
    <cellStyle name="计算 2 10 8 8 2 2" xfId="21665" xr:uid="{00000000-0005-0000-0000-0000D1540000}"/>
    <cellStyle name="计算 2 10 8 8 3" xfId="21667" xr:uid="{00000000-0005-0000-0000-0000D3540000}"/>
    <cellStyle name="计算 2 10 8 8 3 2" xfId="24714" xr:uid="{00000000-0005-0000-0000-0000BA600000}"/>
    <cellStyle name="计算 2 10 8 8 4" xfId="5643" xr:uid="{00000000-0005-0000-0000-00003B160000}"/>
    <cellStyle name="计算 2 10 8 8 4 2" xfId="24716" xr:uid="{00000000-0005-0000-0000-0000BC600000}"/>
    <cellStyle name="计算 2 10 8 8 5" xfId="24717" xr:uid="{00000000-0005-0000-0000-0000BD600000}"/>
    <cellStyle name="计算 2 10 8 9" xfId="24719" xr:uid="{00000000-0005-0000-0000-0000BF600000}"/>
    <cellStyle name="计算 2 10 8 9 2" xfId="21679" xr:uid="{00000000-0005-0000-0000-0000DF540000}"/>
    <cellStyle name="计算 2 10 9" xfId="24463" xr:uid="{00000000-0005-0000-0000-0000BF5F0000}"/>
    <cellStyle name="计算 2 10 9 10" xfId="21799" xr:uid="{00000000-0005-0000-0000-000057550000}"/>
    <cellStyle name="计算 2 10 9 10 2" xfId="24720" xr:uid="{00000000-0005-0000-0000-0000C0600000}"/>
    <cellStyle name="计算 2 10 9 11" xfId="24721" xr:uid="{00000000-0005-0000-0000-0000C1600000}"/>
    <cellStyle name="计算 2 10 9 11 2" xfId="24722" xr:uid="{00000000-0005-0000-0000-0000C2600000}"/>
    <cellStyle name="计算 2 10 9 12" xfId="24723" xr:uid="{00000000-0005-0000-0000-0000C3600000}"/>
    <cellStyle name="计算 2 10 9 12 2" xfId="17568" xr:uid="{00000000-0005-0000-0000-0000D0440000}"/>
    <cellStyle name="计算 2 10 9 13" xfId="20099" xr:uid="{00000000-0005-0000-0000-0000B34E0000}"/>
    <cellStyle name="计算 2 10 9 14" xfId="24724" xr:uid="{00000000-0005-0000-0000-0000C4600000}"/>
    <cellStyle name="计算 2 10 9 15" xfId="7962" xr:uid="{00000000-0005-0000-0000-00004A1F0000}"/>
    <cellStyle name="计算 2 10 9 16" xfId="24725" xr:uid="{00000000-0005-0000-0000-0000C5600000}"/>
    <cellStyle name="计算 2 10 9 2" xfId="20711" xr:uid="{00000000-0005-0000-0000-000017510000}"/>
    <cellStyle name="计算 2 10 9 2 2" xfId="14481" xr:uid="{00000000-0005-0000-0000-0000C1380000}"/>
    <cellStyle name="计算 2 10 9 2 2 2" xfId="14663" xr:uid="{00000000-0005-0000-0000-000077390000}"/>
    <cellStyle name="计算 2 10 9 2 3" xfId="2981" xr:uid="{00000000-0005-0000-0000-0000D50B0000}"/>
    <cellStyle name="计算 2 10 9 2 3 2" xfId="14805" xr:uid="{00000000-0005-0000-0000-0000053A0000}"/>
    <cellStyle name="计算 2 10 9 2 4" xfId="8582" xr:uid="{00000000-0005-0000-0000-0000B6210000}"/>
    <cellStyle name="计算 2 10 9 2 4 2" xfId="3864" xr:uid="{00000000-0005-0000-0000-0000480F0000}"/>
    <cellStyle name="计算 2 10 9 2 5" xfId="7532" xr:uid="{00000000-0005-0000-0000-00009C1D0000}"/>
    <cellStyle name="计算 2 10 9 2 5 2" xfId="4947" xr:uid="{00000000-0005-0000-0000-000083130000}"/>
    <cellStyle name="计算 2 10 9 2 6" xfId="8587" xr:uid="{00000000-0005-0000-0000-0000BB210000}"/>
    <cellStyle name="计算 2 10 9 2 7" xfId="22439" xr:uid="{00000000-0005-0000-0000-0000D7570000}"/>
    <cellStyle name="计算 2 10 9 2 8" xfId="22443" xr:uid="{00000000-0005-0000-0000-0000DB570000}"/>
    <cellStyle name="计算 2 10 9 2 9" xfId="22449" xr:uid="{00000000-0005-0000-0000-0000E1570000}"/>
    <cellStyle name="计算 2 10 9 3" xfId="20715" xr:uid="{00000000-0005-0000-0000-00001B510000}"/>
    <cellStyle name="计算 2 10 9 3 2" xfId="14513" xr:uid="{00000000-0005-0000-0000-0000E1380000}"/>
    <cellStyle name="计算 2 10 9 3 2 2" xfId="16489" xr:uid="{00000000-0005-0000-0000-000099400000}"/>
    <cellStyle name="计算 2 10 9 3 3" xfId="16640" xr:uid="{00000000-0005-0000-0000-000030410000}"/>
    <cellStyle name="计算 2 10 9 3 3 2" xfId="16650" xr:uid="{00000000-0005-0000-0000-00003A410000}"/>
    <cellStyle name="计算 2 10 9 3 4" xfId="8602" xr:uid="{00000000-0005-0000-0000-0000CA210000}"/>
    <cellStyle name="计算 2 10 9 3 4 2" xfId="4334" xr:uid="{00000000-0005-0000-0000-00001E110000}"/>
    <cellStyle name="计算 2 10 9 3 5" xfId="7547" xr:uid="{00000000-0005-0000-0000-0000AB1D0000}"/>
    <cellStyle name="计算 2 10 9 3 5 2" xfId="8610" xr:uid="{00000000-0005-0000-0000-0000D2210000}"/>
    <cellStyle name="计算 2 10 9 3 6" xfId="8614" xr:uid="{00000000-0005-0000-0000-0000D6210000}"/>
    <cellStyle name="计算 2 10 9 4" xfId="20717" xr:uid="{00000000-0005-0000-0000-00001D510000}"/>
    <cellStyle name="计算 2 10 9 4 2" xfId="14553" xr:uid="{00000000-0005-0000-0000-000009390000}"/>
    <cellStyle name="计算 2 10 9 4 2 2" xfId="3" xr:uid="{00000000-0005-0000-0000-000003000000}"/>
    <cellStyle name="计算 2 10 9 4 3" xfId="18512" xr:uid="{00000000-0005-0000-0000-000080480000}"/>
    <cellStyle name="计算 2 10 9 4 3 2" xfId="18517" xr:uid="{00000000-0005-0000-0000-000085480000}"/>
    <cellStyle name="计算 2 10 9 4 4" xfId="8637" xr:uid="{00000000-0005-0000-0000-0000ED210000}"/>
    <cellStyle name="计算 2 10 9 4 4 2" xfId="4660" xr:uid="{00000000-0005-0000-0000-000064120000}"/>
    <cellStyle name="计算 2 10 9 4 5" xfId="8643" xr:uid="{00000000-0005-0000-0000-0000F3210000}"/>
    <cellStyle name="计算 2 10 9 4 5 2" xfId="8654" xr:uid="{00000000-0005-0000-0000-0000FE210000}"/>
    <cellStyle name="计算 2 10 9 4 6" xfId="8657" xr:uid="{00000000-0005-0000-0000-000001220000}"/>
    <cellStyle name="计算 2 10 9 5" xfId="20722" xr:uid="{00000000-0005-0000-0000-000022510000}"/>
    <cellStyle name="计算 2 10 9 5 2" xfId="14577" xr:uid="{00000000-0005-0000-0000-000021390000}"/>
    <cellStyle name="计算 2 10 9 5 2 2" xfId="19841" xr:uid="{00000000-0005-0000-0000-0000B14D0000}"/>
    <cellStyle name="计算 2 10 9 5 3" xfId="19917" xr:uid="{00000000-0005-0000-0000-0000FD4D0000}"/>
    <cellStyle name="计算 2 10 9 5 3 2" xfId="19927" xr:uid="{00000000-0005-0000-0000-0000074E0000}"/>
    <cellStyle name="计算 2 10 9 5 4" xfId="5666" xr:uid="{00000000-0005-0000-0000-000052160000}"/>
    <cellStyle name="计算 2 10 9 5 4 2" xfId="4878" xr:uid="{00000000-0005-0000-0000-00003E130000}"/>
    <cellStyle name="计算 2 10 9 5 5" xfId="8675" xr:uid="{00000000-0005-0000-0000-000013220000}"/>
    <cellStyle name="计算 2 10 9 5 5 2" xfId="8688" xr:uid="{00000000-0005-0000-0000-000020220000}"/>
    <cellStyle name="计算 2 10 9 5 6" xfId="8691" xr:uid="{00000000-0005-0000-0000-000023220000}"/>
    <cellStyle name="计算 2 10 9 6" xfId="20725" xr:uid="{00000000-0005-0000-0000-000025510000}"/>
    <cellStyle name="计算 2 10 9 6 2" xfId="20806" xr:uid="{00000000-0005-0000-0000-000076510000}"/>
    <cellStyle name="计算 2 10 9 6 2 2" xfId="20821" xr:uid="{00000000-0005-0000-0000-000085510000}"/>
    <cellStyle name="计算 2 10 9 6 3" xfId="20911" xr:uid="{00000000-0005-0000-0000-0000DF510000}"/>
    <cellStyle name="计算 2 10 9 6 3 2" xfId="20941" xr:uid="{00000000-0005-0000-0000-0000FD510000}"/>
    <cellStyle name="计算 2 10 9 6 4" xfId="5686" xr:uid="{00000000-0005-0000-0000-000066160000}"/>
    <cellStyle name="计算 2 10 9 6 4 2" xfId="21022" xr:uid="{00000000-0005-0000-0000-00004E520000}"/>
    <cellStyle name="计算 2 10 9 6 5" xfId="21046" xr:uid="{00000000-0005-0000-0000-000066520000}"/>
    <cellStyle name="计算 2 10 9 6 5 2" xfId="21079" xr:uid="{00000000-0005-0000-0000-000087520000}"/>
    <cellStyle name="计算 2 10 9 6 6" xfId="1174" xr:uid="{00000000-0005-0000-0000-0000C6040000}"/>
    <cellStyle name="计算 2 10 9 7" xfId="24727" xr:uid="{00000000-0005-0000-0000-0000C7600000}"/>
    <cellStyle name="计算 2 10 9 7 2" xfId="22131" xr:uid="{00000000-0005-0000-0000-0000A3560000}"/>
    <cellStyle name="计算 2 10 9 7 2 2" xfId="22147" xr:uid="{00000000-0005-0000-0000-0000B3560000}"/>
    <cellStyle name="计算 2 10 9 7 3" xfId="22259" xr:uid="{00000000-0005-0000-0000-000023570000}"/>
    <cellStyle name="计算 2 10 9 7 3 2" xfId="22291" xr:uid="{00000000-0005-0000-0000-000043570000}"/>
    <cellStyle name="计算 2 10 9 7 4" xfId="5704" xr:uid="{00000000-0005-0000-0000-000078160000}"/>
    <cellStyle name="计算 2 10 9 7 4 2" xfId="22391" xr:uid="{00000000-0005-0000-0000-0000A7570000}"/>
    <cellStyle name="计算 2 10 9 7 5" xfId="22436" xr:uid="{00000000-0005-0000-0000-0000D4570000}"/>
    <cellStyle name="计算 2 10 9 7 5 2" xfId="22459" xr:uid="{00000000-0005-0000-0000-0000EB570000}"/>
    <cellStyle name="计算 2 10 9 7 6" xfId="2908" xr:uid="{00000000-0005-0000-0000-00008C0B0000}"/>
    <cellStyle name="计算 2 10 9 8" xfId="24731" xr:uid="{00000000-0005-0000-0000-0000CB600000}"/>
    <cellStyle name="计算 2 10 9 8 2" xfId="23274" xr:uid="{00000000-0005-0000-0000-00001A5B0000}"/>
    <cellStyle name="计算 2 10 9 8 2 2" xfId="23293" xr:uid="{00000000-0005-0000-0000-00002D5B0000}"/>
    <cellStyle name="计算 2 10 9 8 3" xfId="23381" xr:uid="{00000000-0005-0000-0000-0000855B0000}"/>
    <cellStyle name="计算 2 10 9 8 3 2" xfId="23405" xr:uid="{00000000-0005-0000-0000-00009D5B0000}"/>
    <cellStyle name="计算 2 10 9 8 4" xfId="5728" xr:uid="{00000000-0005-0000-0000-000090160000}"/>
    <cellStyle name="计算 2 10 9 8 4 2" xfId="23462" xr:uid="{00000000-0005-0000-0000-0000D65B0000}"/>
    <cellStyle name="计算 2 10 9 8 5" xfId="23497" xr:uid="{00000000-0005-0000-0000-0000F95B0000}"/>
    <cellStyle name="计算 2 10 9 9" xfId="24733" xr:uid="{00000000-0005-0000-0000-0000CD600000}"/>
    <cellStyle name="计算 2 10 9 9 2" xfId="24735" xr:uid="{00000000-0005-0000-0000-0000CF600000}"/>
    <cellStyle name="计算 2 11" xfId="11948" xr:uid="{00000000-0005-0000-0000-0000DC2E0000}"/>
    <cellStyle name="计算 2 11 10" xfId="21080" xr:uid="{00000000-0005-0000-0000-000088520000}"/>
    <cellStyle name="计算 2 11 10 10" xfId="23185" xr:uid="{00000000-0005-0000-0000-0000C15A0000}"/>
    <cellStyle name="计算 2 11 10 10 2" xfId="23189" xr:uid="{00000000-0005-0000-0000-0000C55A0000}"/>
    <cellStyle name="计算 2 11 10 11" xfId="23217" xr:uid="{00000000-0005-0000-0000-0000E15A0000}"/>
    <cellStyle name="计算 2 11 10 11 2" xfId="23219" xr:uid="{00000000-0005-0000-0000-0000E35A0000}"/>
    <cellStyle name="计算 2 11 10 12" xfId="23237" xr:uid="{00000000-0005-0000-0000-0000F55A0000}"/>
    <cellStyle name="计算 2 11 10 12 2" xfId="23243" xr:uid="{00000000-0005-0000-0000-0000FB5A0000}"/>
    <cellStyle name="计算 2 11 10 13" xfId="15819" xr:uid="{00000000-0005-0000-0000-0000FB3D0000}"/>
    <cellStyle name="计算 2 11 10 14" xfId="23267" xr:uid="{00000000-0005-0000-0000-0000135B0000}"/>
    <cellStyle name="计算 2 11 10 15" xfId="24736" xr:uid="{00000000-0005-0000-0000-0000D0600000}"/>
    <cellStyle name="计算 2 11 10 16" xfId="24740" xr:uid="{00000000-0005-0000-0000-0000D4600000}"/>
    <cellStyle name="计算 2 11 10 2" xfId="21082" xr:uid="{00000000-0005-0000-0000-00008A520000}"/>
    <cellStyle name="计算 2 11 10 2 2" xfId="21086" xr:uid="{00000000-0005-0000-0000-00008E520000}"/>
    <cellStyle name="计算 2 11 10 2 2 2" xfId="22613" xr:uid="{00000000-0005-0000-0000-000085580000}"/>
    <cellStyle name="计算 2 11 10 2 3" xfId="22617" xr:uid="{00000000-0005-0000-0000-000089580000}"/>
    <cellStyle name="计算 2 11 10 2 3 2" xfId="22620" xr:uid="{00000000-0005-0000-0000-00008C580000}"/>
    <cellStyle name="计算 2 11 10 2 4" xfId="10159" xr:uid="{00000000-0005-0000-0000-0000DF270000}"/>
    <cellStyle name="计算 2 11 10 2 4 2" xfId="22626" xr:uid="{00000000-0005-0000-0000-000092580000}"/>
    <cellStyle name="计算 2 11 10 2 5" xfId="22636" xr:uid="{00000000-0005-0000-0000-00009C580000}"/>
    <cellStyle name="计算 2 11 10 2 5 2" xfId="22638" xr:uid="{00000000-0005-0000-0000-00009E580000}"/>
    <cellStyle name="计算 2 11 10 2 6" xfId="22652" xr:uid="{00000000-0005-0000-0000-0000AC580000}"/>
    <cellStyle name="计算 2 11 10 2 7" xfId="5453" xr:uid="{00000000-0005-0000-0000-00007D150000}"/>
    <cellStyle name="计算 2 11 10 2 8" xfId="22675" xr:uid="{00000000-0005-0000-0000-0000C3580000}"/>
    <cellStyle name="计算 2 11 10 2 9" xfId="14758" xr:uid="{00000000-0005-0000-0000-0000D6390000}"/>
    <cellStyle name="计算 2 11 10 3" xfId="21090" xr:uid="{00000000-0005-0000-0000-000092520000}"/>
    <cellStyle name="计算 2 11 10 3 2" xfId="21096" xr:uid="{00000000-0005-0000-0000-000098520000}"/>
    <cellStyle name="计算 2 11 10 3 2 2" xfId="22700" xr:uid="{00000000-0005-0000-0000-0000DC580000}"/>
    <cellStyle name="计算 2 11 10 3 3" xfId="22704" xr:uid="{00000000-0005-0000-0000-0000E0580000}"/>
    <cellStyle name="计算 2 11 10 3 3 2" xfId="22707" xr:uid="{00000000-0005-0000-0000-0000E3580000}"/>
    <cellStyle name="计算 2 11 10 3 4" xfId="10174" xr:uid="{00000000-0005-0000-0000-0000EE270000}"/>
    <cellStyle name="计算 2 11 10 3 4 2" xfId="22714" xr:uid="{00000000-0005-0000-0000-0000EA580000}"/>
    <cellStyle name="计算 2 11 10 3 5" xfId="22719" xr:uid="{00000000-0005-0000-0000-0000EF580000}"/>
    <cellStyle name="计算 2 11 10 3 5 2" xfId="1679" xr:uid="{00000000-0005-0000-0000-0000BF060000}"/>
    <cellStyle name="计算 2 11 10 3 6" xfId="22721" xr:uid="{00000000-0005-0000-0000-0000F1580000}"/>
    <cellStyle name="计算 2 11 10 4" xfId="20219" xr:uid="{00000000-0005-0000-0000-00002B4F0000}"/>
    <cellStyle name="计算 2 11 10 4 2" xfId="21101" xr:uid="{00000000-0005-0000-0000-00009D520000}"/>
    <cellStyle name="计算 2 11 10 4 2 2" xfId="22727" xr:uid="{00000000-0005-0000-0000-0000F7580000}"/>
    <cellStyle name="计算 2 11 10 4 3" xfId="22732" xr:uid="{00000000-0005-0000-0000-0000FC580000}"/>
    <cellStyle name="计算 2 11 10 4 3 2" xfId="22736" xr:uid="{00000000-0005-0000-0000-000000590000}"/>
    <cellStyle name="计算 2 11 10 4 4" xfId="22741" xr:uid="{00000000-0005-0000-0000-000005590000}"/>
    <cellStyle name="计算 2 11 10 4 4 2" xfId="11524" xr:uid="{00000000-0005-0000-0000-0000342D0000}"/>
    <cellStyle name="计算 2 11 10 4 5" xfId="22744" xr:uid="{00000000-0005-0000-0000-000008590000}"/>
    <cellStyle name="计算 2 11 10 4 5 2" xfId="22748" xr:uid="{00000000-0005-0000-0000-00000C590000}"/>
    <cellStyle name="计算 2 11 10 4 6" xfId="22753" xr:uid="{00000000-0005-0000-0000-000011590000}"/>
    <cellStyle name="计算 2 11 10 5" xfId="21104" xr:uid="{00000000-0005-0000-0000-0000A0520000}"/>
    <cellStyle name="计算 2 11 10 5 2" xfId="21109" xr:uid="{00000000-0005-0000-0000-0000A5520000}"/>
    <cellStyle name="计算 2 11 10 5 2 2" xfId="22757" xr:uid="{00000000-0005-0000-0000-000015590000}"/>
    <cellStyle name="计算 2 11 10 5 3" xfId="22763" xr:uid="{00000000-0005-0000-0000-00001B590000}"/>
    <cellStyle name="计算 2 11 10 5 3 2" xfId="22768" xr:uid="{00000000-0005-0000-0000-000020590000}"/>
    <cellStyle name="计算 2 11 10 5 4" xfId="22775" xr:uid="{00000000-0005-0000-0000-000027590000}"/>
    <cellStyle name="计算 2 11 10 5 4 2" xfId="22780" xr:uid="{00000000-0005-0000-0000-00002C590000}"/>
    <cellStyle name="计算 2 11 10 5 5" xfId="22787" xr:uid="{00000000-0005-0000-0000-000033590000}"/>
    <cellStyle name="计算 2 11 10 5 5 2" xfId="22792" xr:uid="{00000000-0005-0000-0000-000038590000}"/>
    <cellStyle name="计算 2 11 10 5 6" xfId="22797" xr:uid="{00000000-0005-0000-0000-00003D590000}"/>
    <cellStyle name="计算 2 11 10 6" xfId="21113" xr:uid="{00000000-0005-0000-0000-0000A9520000}"/>
    <cellStyle name="计算 2 11 10 6 2" xfId="22801" xr:uid="{00000000-0005-0000-0000-000041590000}"/>
    <cellStyle name="计算 2 11 10 6 2 2" xfId="22804" xr:uid="{00000000-0005-0000-0000-000044590000}"/>
    <cellStyle name="计算 2 11 10 6 3" xfId="22810" xr:uid="{00000000-0005-0000-0000-00004A590000}"/>
    <cellStyle name="计算 2 11 10 6 3 2" xfId="22814" xr:uid="{00000000-0005-0000-0000-00004E590000}"/>
    <cellStyle name="计算 2 11 10 6 4" xfId="22821" xr:uid="{00000000-0005-0000-0000-000055590000}"/>
    <cellStyle name="计算 2 11 10 6 4 2" xfId="22826" xr:uid="{00000000-0005-0000-0000-00005A590000}"/>
    <cellStyle name="计算 2 11 10 6 5" xfId="22834" xr:uid="{00000000-0005-0000-0000-000062590000}"/>
    <cellStyle name="计算 2 11 10 6 5 2" xfId="22842" xr:uid="{00000000-0005-0000-0000-00006A590000}"/>
    <cellStyle name="计算 2 11 10 6 6" xfId="22845" xr:uid="{00000000-0005-0000-0000-00006D590000}"/>
    <cellStyle name="计算 2 11 10 7" xfId="13896" xr:uid="{00000000-0005-0000-0000-000078360000}"/>
    <cellStyle name="计算 2 11 10 7 2" xfId="22849" xr:uid="{00000000-0005-0000-0000-000071590000}"/>
    <cellStyle name="计算 2 11 10 7 2 2" xfId="22853" xr:uid="{00000000-0005-0000-0000-000075590000}"/>
    <cellStyle name="计算 2 11 10 7 3" xfId="22858" xr:uid="{00000000-0005-0000-0000-00007A590000}"/>
    <cellStyle name="计算 2 11 10 7 3 2" xfId="22862" xr:uid="{00000000-0005-0000-0000-00007E590000}"/>
    <cellStyle name="计算 2 11 10 7 4" xfId="22871" xr:uid="{00000000-0005-0000-0000-000087590000}"/>
    <cellStyle name="计算 2 11 10 7 4 2" xfId="21297" xr:uid="{00000000-0005-0000-0000-000061530000}"/>
    <cellStyle name="计算 2 11 10 7 5" xfId="22877" xr:uid="{00000000-0005-0000-0000-00008D590000}"/>
    <cellStyle name="计算 2 11 10 7 5 2" xfId="22882" xr:uid="{00000000-0005-0000-0000-000092590000}"/>
    <cellStyle name="计算 2 11 10 7 6" xfId="22888" xr:uid="{00000000-0005-0000-0000-000098590000}"/>
    <cellStyle name="计算 2 11 10 8" xfId="21118" xr:uid="{00000000-0005-0000-0000-0000AE520000}"/>
    <cellStyle name="计算 2 11 10 8 2" xfId="22892" xr:uid="{00000000-0005-0000-0000-00009C590000}"/>
    <cellStyle name="计算 2 11 10 8 2 2" xfId="22896" xr:uid="{00000000-0005-0000-0000-0000A0590000}"/>
    <cellStyle name="计算 2 11 10 8 3" xfId="22901" xr:uid="{00000000-0005-0000-0000-0000A5590000}"/>
    <cellStyle name="计算 2 11 10 8 3 2" xfId="22905" xr:uid="{00000000-0005-0000-0000-0000A9590000}"/>
    <cellStyle name="计算 2 11 10 8 4" xfId="22911" xr:uid="{00000000-0005-0000-0000-0000AF590000}"/>
    <cellStyle name="计算 2 11 10 8 4 2" xfId="22917" xr:uid="{00000000-0005-0000-0000-0000B5590000}"/>
    <cellStyle name="计算 2 11 10 8 5" xfId="22923" xr:uid="{00000000-0005-0000-0000-0000BB590000}"/>
    <cellStyle name="计算 2 11 10 9" xfId="21123" xr:uid="{00000000-0005-0000-0000-0000B3520000}"/>
    <cellStyle name="计算 2 11 10 9 2" xfId="22932" xr:uid="{00000000-0005-0000-0000-0000C4590000}"/>
    <cellStyle name="计算 2 11 11" xfId="21130" xr:uid="{00000000-0005-0000-0000-0000BA520000}"/>
    <cellStyle name="计算 2 11 11 10" xfId="17647" xr:uid="{00000000-0005-0000-0000-00001F450000}"/>
    <cellStyle name="计算 2 11 11 10 2" xfId="23582" xr:uid="{00000000-0005-0000-0000-00004E5C0000}"/>
    <cellStyle name="计算 2 11 11 11" xfId="23591" xr:uid="{00000000-0005-0000-0000-0000575C0000}"/>
    <cellStyle name="计算 2 11 11 11 2" xfId="23597" xr:uid="{00000000-0005-0000-0000-00005D5C0000}"/>
    <cellStyle name="计算 2 11 11 12" xfId="7254" xr:uid="{00000000-0005-0000-0000-0000861C0000}"/>
    <cellStyle name="计算 2 11 11 12 2" xfId="23607" xr:uid="{00000000-0005-0000-0000-0000675C0000}"/>
    <cellStyle name="计算 2 11 11 13" xfId="23618" xr:uid="{00000000-0005-0000-0000-0000725C0000}"/>
    <cellStyle name="计算 2 11 11 14" xfId="23625" xr:uid="{00000000-0005-0000-0000-0000795C0000}"/>
    <cellStyle name="计算 2 11 11 15" xfId="24742" xr:uid="{00000000-0005-0000-0000-0000D6600000}"/>
    <cellStyle name="计算 2 11 11 16" xfId="21647" xr:uid="{00000000-0005-0000-0000-0000BF540000}"/>
    <cellStyle name="计算 2 11 11 2" xfId="21132" xr:uid="{00000000-0005-0000-0000-0000BC520000}"/>
    <cellStyle name="计算 2 11 11 2 2" xfId="21134" xr:uid="{00000000-0005-0000-0000-0000BE520000}"/>
    <cellStyle name="计算 2 11 11 2 2 2" xfId="24744" xr:uid="{00000000-0005-0000-0000-0000D8600000}"/>
    <cellStyle name="计算 2 11 11 2 3" xfId="24746" xr:uid="{00000000-0005-0000-0000-0000DA600000}"/>
    <cellStyle name="计算 2 11 11 2 3 2" xfId="24747" xr:uid="{00000000-0005-0000-0000-0000DB600000}"/>
    <cellStyle name="计算 2 11 11 2 4" xfId="24749" xr:uid="{00000000-0005-0000-0000-0000DD600000}"/>
    <cellStyle name="计算 2 11 11 2 4 2" xfId="24751" xr:uid="{00000000-0005-0000-0000-0000DF600000}"/>
    <cellStyle name="计算 2 11 11 2 5" xfId="24753" xr:uid="{00000000-0005-0000-0000-0000E1600000}"/>
    <cellStyle name="计算 2 11 11 2 5 2" xfId="24754" xr:uid="{00000000-0005-0000-0000-0000E2600000}"/>
    <cellStyle name="计算 2 11 11 2 6" xfId="24756" xr:uid="{00000000-0005-0000-0000-0000E4600000}"/>
    <cellStyle name="计算 2 11 11 3" xfId="4430" xr:uid="{00000000-0005-0000-0000-00007E110000}"/>
    <cellStyle name="计算 2 11 11 3 2" xfId="4436" xr:uid="{00000000-0005-0000-0000-000084110000}"/>
    <cellStyle name="计算 2 11 11 3 2 2" xfId="24757" xr:uid="{00000000-0005-0000-0000-0000E5600000}"/>
    <cellStyle name="计算 2 11 11 3 3" xfId="24758" xr:uid="{00000000-0005-0000-0000-0000E6600000}"/>
    <cellStyle name="计算 2 11 11 3 3 2" xfId="24762" xr:uid="{00000000-0005-0000-0000-0000EA600000}"/>
    <cellStyle name="计算 2 11 11 3 4" xfId="24763" xr:uid="{00000000-0005-0000-0000-0000EB600000}"/>
    <cellStyle name="计算 2 11 11 3 4 2" xfId="12953" xr:uid="{00000000-0005-0000-0000-0000C9320000}"/>
    <cellStyle name="计算 2 11 11 3 5" xfId="24764" xr:uid="{00000000-0005-0000-0000-0000EC600000}"/>
    <cellStyle name="计算 2 11 11 3 5 2" xfId="13050" xr:uid="{00000000-0005-0000-0000-00002A330000}"/>
    <cellStyle name="计算 2 11 11 3 6" xfId="24765" xr:uid="{00000000-0005-0000-0000-0000ED600000}"/>
    <cellStyle name="计算 2 11 11 4" xfId="4446" xr:uid="{00000000-0005-0000-0000-00008E110000}"/>
    <cellStyle name="计算 2 11 11 4 2" xfId="4450" xr:uid="{00000000-0005-0000-0000-000092110000}"/>
    <cellStyle name="计算 2 11 11 4 2 2" xfId="24766" xr:uid="{00000000-0005-0000-0000-0000EE600000}"/>
    <cellStyle name="计算 2 11 11 4 3" xfId="24767" xr:uid="{00000000-0005-0000-0000-0000EF600000}"/>
    <cellStyle name="计算 2 11 11 4 3 2" xfId="24769" xr:uid="{00000000-0005-0000-0000-0000F1600000}"/>
    <cellStyle name="计算 2 11 11 4 4" xfId="24770" xr:uid="{00000000-0005-0000-0000-0000F2600000}"/>
    <cellStyle name="计算 2 11 11 4 4 2" xfId="14270" xr:uid="{00000000-0005-0000-0000-0000EE370000}"/>
    <cellStyle name="计算 2 11 11 4 5" xfId="24771" xr:uid="{00000000-0005-0000-0000-0000F3600000}"/>
    <cellStyle name="计算 2 11 11 4 5 2" xfId="4729" xr:uid="{00000000-0005-0000-0000-0000A9120000}"/>
    <cellStyle name="计算 2 11 11 4 6" xfId="24772" xr:uid="{00000000-0005-0000-0000-0000F4600000}"/>
    <cellStyle name="计算 2 11 11 5" xfId="4456" xr:uid="{00000000-0005-0000-0000-000098110000}"/>
    <cellStyle name="计算 2 11 11 5 2" xfId="4463" xr:uid="{00000000-0005-0000-0000-00009F110000}"/>
    <cellStyle name="计算 2 11 11 5 2 2" xfId="24773" xr:uid="{00000000-0005-0000-0000-0000F5600000}"/>
    <cellStyle name="计算 2 11 11 5 3" xfId="24775" xr:uid="{00000000-0005-0000-0000-0000F7600000}"/>
    <cellStyle name="计算 2 11 11 5 3 2" xfId="24778" xr:uid="{00000000-0005-0000-0000-0000FA600000}"/>
    <cellStyle name="计算 2 11 11 5 4" xfId="24780" xr:uid="{00000000-0005-0000-0000-0000FC600000}"/>
    <cellStyle name="计算 2 11 11 5 4 2" xfId="15253" xr:uid="{00000000-0005-0000-0000-0000C53B0000}"/>
    <cellStyle name="计算 2 11 11 5 5" xfId="24783" xr:uid="{00000000-0005-0000-0000-0000FF600000}"/>
    <cellStyle name="计算 2 11 11 5 5 2" xfId="16286" xr:uid="{00000000-0005-0000-0000-0000CE3F0000}"/>
    <cellStyle name="计算 2 11 11 5 6" xfId="24785" xr:uid="{00000000-0005-0000-0000-000001610000}"/>
    <cellStyle name="计算 2 11 11 6" xfId="4466" xr:uid="{00000000-0005-0000-0000-0000A2110000}"/>
    <cellStyle name="计算 2 11 11 6 2" xfId="4469" xr:uid="{00000000-0005-0000-0000-0000A5110000}"/>
    <cellStyle name="计算 2 11 11 6 2 2" xfId="19351" xr:uid="{00000000-0005-0000-0000-0000C74B0000}"/>
    <cellStyle name="计算 2 11 11 6 3" xfId="24787" xr:uid="{00000000-0005-0000-0000-000003610000}"/>
    <cellStyle name="计算 2 11 11 6 3 2" xfId="19374" xr:uid="{00000000-0005-0000-0000-0000DE4B0000}"/>
    <cellStyle name="计算 2 11 11 6 4" xfId="24789" xr:uid="{00000000-0005-0000-0000-000005610000}"/>
    <cellStyle name="计算 2 11 11 6 4 2" xfId="17722" xr:uid="{00000000-0005-0000-0000-00006A450000}"/>
    <cellStyle name="计算 2 11 11 6 5" xfId="24792" xr:uid="{00000000-0005-0000-0000-000008610000}"/>
    <cellStyle name="计算 2 11 11 6 5 2" xfId="17909" xr:uid="{00000000-0005-0000-0000-000025460000}"/>
    <cellStyle name="计算 2 11 11 6 6" xfId="24795" xr:uid="{00000000-0005-0000-0000-00000B610000}"/>
    <cellStyle name="计算 2 11 11 7" xfId="4472" xr:uid="{00000000-0005-0000-0000-0000A8110000}"/>
    <cellStyle name="计算 2 11 11 7 2" xfId="24796" xr:uid="{00000000-0005-0000-0000-00000C610000}"/>
    <cellStyle name="计算 2 11 11 7 2 2" xfId="24797" xr:uid="{00000000-0005-0000-0000-00000D610000}"/>
    <cellStyle name="计算 2 11 11 7 3" xfId="24801" xr:uid="{00000000-0005-0000-0000-000011610000}"/>
    <cellStyle name="计算 2 11 11 7 3 2" xfId="24804" xr:uid="{00000000-0005-0000-0000-000014610000}"/>
    <cellStyle name="计算 2 11 11 7 4" xfId="24807" xr:uid="{00000000-0005-0000-0000-000017610000}"/>
    <cellStyle name="计算 2 11 11 7 4 2" xfId="19569" xr:uid="{00000000-0005-0000-0000-0000A14C0000}"/>
    <cellStyle name="计算 2 11 11 7 5" xfId="24810" xr:uid="{00000000-0005-0000-0000-00001A610000}"/>
    <cellStyle name="计算 2 11 11 7 5 2" xfId="19704" xr:uid="{00000000-0005-0000-0000-0000284D0000}"/>
    <cellStyle name="计算 2 11 11 7 6" xfId="24812" xr:uid="{00000000-0005-0000-0000-00001C610000}"/>
    <cellStyle name="计算 2 11 11 8" xfId="4487" xr:uid="{00000000-0005-0000-0000-0000B7110000}"/>
    <cellStyle name="计算 2 11 11 8 2" xfId="22536" xr:uid="{00000000-0005-0000-0000-000038580000}"/>
    <cellStyle name="计算 2 11 11 8 2 2" xfId="24813" xr:uid="{00000000-0005-0000-0000-00001D610000}"/>
    <cellStyle name="计算 2 11 11 8 3" xfId="22540" xr:uid="{00000000-0005-0000-0000-00003C580000}"/>
    <cellStyle name="计算 2 11 11 8 3 2" xfId="24820" xr:uid="{00000000-0005-0000-0000-000024610000}"/>
    <cellStyle name="计算 2 11 11 8 4" xfId="24822" xr:uid="{00000000-0005-0000-0000-000026610000}"/>
    <cellStyle name="计算 2 11 11 8 4 2" xfId="20498" xr:uid="{00000000-0005-0000-0000-000042500000}"/>
    <cellStyle name="计算 2 11 11 8 5" xfId="24824" xr:uid="{00000000-0005-0000-0000-000028610000}"/>
    <cellStyle name="计算 2 11 11 9" xfId="2920" xr:uid="{00000000-0005-0000-0000-0000980B0000}"/>
    <cellStyle name="计算 2 11 11 9 2" xfId="24825" xr:uid="{00000000-0005-0000-0000-000029610000}"/>
    <cellStyle name="计算 2 11 12" xfId="21138" xr:uid="{00000000-0005-0000-0000-0000C2520000}"/>
    <cellStyle name="计算 2 11 12 2" xfId="12883" xr:uid="{00000000-0005-0000-0000-000083320000}"/>
    <cellStyle name="计算 2 11 12 2 2" xfId="21140" xr:uid="{00000000-0005-0000-0000-0000C4520000}"/>
    <cellStyle name="计算 2 11 12 3" xfId="4507" xr:uid="{00000000-0005-0000-0000-0000CB110000}"/>
    <cellStyle name="计算 2 11 12 3 2" xfId="3947" xr:uid="{00000000-0005-0000-0000-00009B0F0000}"/>
    <cellStyle name="计算 2 11 12 4" xfId="4515" xr:uid="{00000000-0005-0000-0000-0000D3110000}"/>
    <cellStyle name="计算 2 11 12 4 2" xfId="1626" xr:uid="{00000000-0005-0000-0000-00008A060000}"/>
    <cellStyle name="计算 2 11 12 5" xfId="2574" xr:uid="{00000000-0005-0000-0000-00003E0A0000}"/>
    <cellStyle name="计算 2 11 12 5 2" xfId="4521" xr:uid="{00000000-0005-0000-0000-0000D9110000}"/>
    <cellStyle name="计算 2 11 12 6" xfId="4524" xr:uid="{00000000-0005-0000-0000-0000DC110000}"/>
    <cellStyle name="计算 2 11 12 7" xfId="4530" xr:uid="{00000000-0005-0000-0000-0000E2110000}"/>
    <cellStyle name="计算 2 11 12 8" xfId="24827" xr:uid="{00000000-0005-0000-0000-00002B610000}"/>
    <cellStyle name="计算 2 11 12 9" xfId="24829" xr:uid="{00000000-0005-0000-0000-00002D610000}"/>
    <cellStyle name="计算 2 11 13" xfId="21146" xr:uid="{00000000-0005-0000-0000-0000CA520000}"/>
    <cellStyle name="计算 2 11 13 2" xfId="21148" xr:uid="{00000000-0005-0000-0000-0000CC520000}"/>
    <cellStyle name="计算 2 11 13 2 2" xfId="21151" xr:uid="{00000000-0005-0000-0000-0000CF520000}"/>
    <cellStyle name="计算 2 11 13 3" xfId="274" xr:uid="{00000000-0005-0000-0000-00002E010000}"/>
    <cellStyle name="计算 2 11 13 3 2" xfId="4537" xr:uid="{00000000-0005-0000-0000-0000E9110000}"/>
    <cellStyle name="计算 2 11 13 4" xfId="414" xr:uid="{00000000-0005-0000-0000-0000C5010000}"/>
    <cellStyle name="计算 2 11 13 4 2" xfId="4542" xr:uid="{00000000-0005-0000-0000-0000EE110000}"/>
    <cellStyle name="计算 2 11 13 5" xfId="417" xr:uid="{00000000-0005-0000-0000-0000C9010000}"/>
    <cellStyle name="计算 2 11 13 5 2" xfId="4555" xr:uid="{00000000-0005-0000-0000-0000FB110000}"/>
    <cellStyle name="计算 2 11 13 6" xfId="466" xr:uid="{00000000-0005-0000-0000-0000FD010000}"/>
    <cellStyle name="计算 2 11 14" xfId="21157" xr:uid="{00000000-0005-0000-0000-0000D5520000}"/>
    <cellStyle name="计算 2 11 14 2" xfId="21160" xr:uid="{00000000-0005-0000-0000-0000D8520000}"/>
    <cellStyle name="计算 2 11 14 2 2" xfId="21164" xr:uid="{00000000-0005-0000-0000-0000DC520000}"/>
    <cellStyle name="计算 2 11 14 3" xfId="4166" xr:uid="{00000000-0005-0000-0000-000076100000}"/>
    <cellStyle name="计算 2 11 14 3 2" xfId="4586" xr:uid="{00000000-0005-0000-0000-00001A120000}"/>
    <cellStyle name="计算 2 11 14 4" xfId="4591" xr:uid="{00000000-0005-0000-0000-00001F120000}"/>
    <cellStyle name="计算 2 11 14 4 2" xfId="4599" xr:uid="{00000000-0005-0000-0000-000027120000}"/>
    <cellStyle name="计算 2 11 14 5" xfId="2602" xr:uid="{00000000-0005-0000-0000-00005A0A0000}"/>
    <cellStyle name="计算 2 11 14 5 2" xfId="4602" xr:uid="{00000000-0005-0000-0000-00002A120000}"/>
    <cellStyle name="计算 2 11 14 6" xfId="4606" xr:uid="{00000000-0005-0000-0000-00002E120000}"/>
    <cellStyle name="计算 2 11 15" xfId="7151" xr:uid="{00000000-0005-0000-0000-00001F1C0000}"/>
    <cellStyle name="计算 2 11 15 2" xfId="21171" xr:uid="{00000000-0005-0000-0000-0000E3520000}"/>
    <cellStyle name="计算 2 11 15 2 2" xfId="7536" xr:uid="{00000000-0005-0000-0000-0000A01D0000}"/>
    <cellStyle name="计算 2 11 15 3" xfId="4181" xr:uid="{00000000-0005-0000-0000-000085100000}"/>
    <cellStyle name="计算 2 11 15 3 2" xfId="4611" xr:uid="{00000000-0005-0000-0000-000033120000}"/>
    <cellStyle name="计算 2 11 15 4" xfId="4617" xr:uid="{00000000-0005-0000-0000-000039120000}"/>
    <cellStyle name="计算 2 11 15 4 2" xfId="3456" xr:uid="{00000000-0005-0000-0000-0000B00D0000}"/>
    <cellStyle name="计算 2 11 15 5" xfId="2634" xr:uid="{00000000-0005-0000-0000-00007A0A0000}"/>
    <cellStyle name="计算 2 11 15 5 2" xfId="4625" xr:uid="{00000000-0005-0000-0000-000041120000}"/>
    <cellStyle name="计算 2 11 15 6" xfId="4345" xr:uid="{00000000-0005-0000-0000-000029110000}"/>
    <cellStyle name="计算 2 11 16" xfId="21175" xr:uid="{00000000-0005-0000-0000-0000E7520000}"/>
    <cellStyle name="计算 2 11 16 2" xfId="21178" xr:uid="{00000000-0005-0000-0000-0000EA520000}"/>
    <cellStyle name="计算 2 11 16 2 2" xfId="7850" xr:uid="{00000000-0005-0000-0000-0000DA1E0000}"/>
    <cellStyle name="计算 2 11 16 3" xfId="4205" xr:uid="{00000000-0005-0000-0000-00009D100000}"/>
    <cellStyle name="计算 2 11 16 3 2" xfId="4631" xr:uid="{00000000-0005-0000-0000-000047120000}"/>
    <cellStyle name="计算 2 11 16 4" xfId="4637" xr:uid="{00000000-0005-0000-0000-00004D120000}"/>
    <cellStyle name="计算 2 11 16 4 2" xfId="4643" xr:uid="{00000000-0005-0000-0000-000053120000}"/>
    <cellStyle name="计算 2 11 16 5" xfId="4651" xr:uid="{00000000-0005-0000-0000-00005B120000}"/>
    <cellStyle name="计算 2 11 16 5 2" xfId="1058" xr:uid="{00000000-0005-0000-0000-000052040000}"/>
    <cellStyle name="计算 2 11 16 6" xfId="4351" xr:uid="{00000000-0005-0000-0000-00002F110000}"/>
    <cellStyle name="计算 2 11 17" xfId="21182" xr:uid="{00000000-0005-0000-0000-0000EE520000}"/>
    <cellStyle name="计算 2 11 17 2" xfId="21186" xr:uid="{00000000-0005-0000-0000-0000F2520000}"/>
    <cellStyle name="计算 2 11 17 2 2" xfId="8023" xr:uid="{00000000-0005-0000-0000-0000871F0000}"/>
    <cellStyle name="计算 2 11 17 3" xfId="4664" xr:uid="{00000000-0005-0000-0000-000068120000}"/>
    <cellStyle name="计算 2 11 17 3 2" xfId="4666" xr:uid="{00000000-0005-0000-0000-00006A120000}"/>
    <cellStyle name="计算 2 11 17 4" xfId="4672" xr:uid="{00000000-0005-0000-0000-000070120000}"/>
    <cellStyle name="计算 2 11 17 4 2" xfId="4677" xr:uid="{00000000-0005-0000-0000-000075120000}"/>
    <cellStyle name="计算 2 11 17 5" xfId="4683" xr:uid="{00000000-0005-0000-0000-00007B120000}"/>
    <cellStyle name="计算 2 11 17 5 2" xfId="327" xr:uid="{00000000-0005-0000-0000-000067010000}"/>
    <cellStyle name="计算 2 11 17 6" xfId="4357" xr:uid="{00000000-0005-0000-0000-000035110000}"/>
    <cellStyle name="计算 2 11 18" xfId="14140" xr:uid="{00000000-0005-0000-0000-00006C370000}"/>
    <cellStyle name="计算 2 11 18 2" xfId="24833" xr:uid="{00000000-0005-0000-0000-000031610000}"/>
    <cellStyle name="计算 2 11 18 2 2" xfId="8351" xr:uid="{00000000-0005-0000-0000-0000CF200000}"/>
    <cellStyle name="计算 2 11 18 3" xfId="4689" xr:uid="{00000000-0005-0000-0000-000081120000}"/>
    <cellStyle name="计算 2 11 18 3 2" xfId="8398" xr:uid="{00000000-0005-0000-0000-0000FE200000}"/>
    <cellStyle name="计算 2 11 18 4" xfId="18950" xr:uid="{00000000-0005-0000-0000-0000364A0000}"/>
    <cellStyle name="计算 2 11 18 4 2" xfId="8464" xr:uid="{00000000-0005-0000-0000-000040210000}"/>
    <cellStyle name="计算 2 11 18 5" xfId="12861" xr:uid="{00000000-0005-0000-0000-00006D320000}"/>
    <cellStyle name="计算 2 11 18 5 2" xfId="8484" xr:uid="{00000000-0005-0000-0000-000054210000}"/>
    <cellStyle name="计算 2 11 18 6" xfId="12886" xr:uid="{00000000-0005-0000-0000-000086320000}"/>
    <cellStyle name="计算 2 11 19" xfId="21311" xr:uid="{00000000-0005-0000-0000-00006F530000}"/>
    <cellStyle name="计算 2 11 19 2" xfId="21316" xr:uid="{00000000-0005-0000-0000-000074530000}"/>
    <cellStyle name="计算 2 11 19 2 2" xfId="8626" xr:uid="{00000000-0005-0000-0000-0000E2210000}"/>
    <cellStyle name="计算 2 11 19 3" xfId="24837" xr:uid="{00000000-0005-0000-0000-000035610000}"/>
    <cellStyle name="计算 2 11 19 3 2" xfId="8668" xr:uid="{00000000-0005-0000-0000-00000C220000}"/>
    <cellStyle name="计算 2 11 19 4" xfId="18954" xr:uid="{00000000-0005-0000-0000-00003A4A0000}"/>
    <cellStyle name="计算 2 11 19 4 2" xfId="8697" xr:uid="{00000000-0005-0000-0000-000029220000}"/>
    <cellStyle name="计算 2 11 19 5" xfId="11548" xr:uid="{00000000-0005-0000-0000-00004C2D0000}"/>
    <cellStyle name="计算 2 11 2" xfId="24839" xr:uid="{00000000-0005-0000-0000-000037610000}"/>
    <cellStyle name="计算 2 11 2 10" xfId="6374" xr:uid="{00000000-0005-0000-0000-000016190000}"/>
    <cellStyle name="计算 2 11 2 10 2" xfId="6385" xr:uid="{00000000-0005-0000-0000-000021190000}"/>
    <cellStyle name="计算 2 11 2 11" xfId="6396" xr:uid="{00000000-0005-0000-0000-00002C190000}"/>
    <cellStyle name="计算 2 11 2 11 2" xfId="6412" xr:uid="{00000000-0005-0000-0000-00003C190000}"/>
    <cellStyle name="计算 2 11 2 12" xfId="2034" xr:uid="{00000000-0005-0000-0000-000022080000}"/>
    <cellStyle name="计算 2 11 2 12 2" xfId="6422" xr:uid="{00000000-0005-0000-0000-000046190000}"/>
    <cellStyle name="计算 2 11 2 13" xfId="2058" xr:uid="{00000000-0005-0000-0000-00003A080000}"/>
    <cellStyle name="计算 2 11 2 14" xfId="6426" xr:uid="{00000000-0005-0000-0000-00004A190000}"/>
    <cellStyle name="计算 2 11 2 15" xfId="24842" xr:uid="{00000000-0005-0000-0000-00003A610000}"/>
    <cellStyle name="计算 2 11 2 16" xfId="24845" xr:uid="{00000000-0005-0000-0000-00003D610000}"/>
    <cellStyle name="计算 2 11 2 2" xfId="24848" xr:uid="{00000000-0005-0000-0000-000040610000}"/>
    <cellStyle name="计算 2 11 2 2 2" xfId="24853" xr:uid="{00000000-0005-0000-0000-000045610000}"/>
    <cellStyle name="计算 2 11 2 2 2 2" xfId="24857" xr:uid="{00000000-0005-0000-0000-000049610000}"/>
    <cellStyle name="计算 2 11 2 2 3" xfId="24866" xr:uid="{00000000-0005-0000-0000-000052610000}"/>
    <cellStyle name="计算 2 11 2 2 3 2" xfId="24869" xr:uid="{00000000-0005-0000-0000-000055610000}"/>
    <cellStyle name="计算 2 11 2 2 4" xfId="24860" xr:uid="{00000000-0005-0000-0000-00004C610000}"/>
    <cellStyle name="计算 2 11 2 2 4 2" xfId="24879" xr:uid="{00000000-0005-0000-0000-00005F610000}"/>
    <cellStyle name="计算 2 11 2 2 5" xfId="24890" xr:uid="{00000000-0005-0000-0000-00006A610000}"/>
    <cellStyle name="计算 2 11 2 2 5 2" xfId="24895" xr:uid="{00000000-0005-0000-0000-00006F610000}"/>
    <cellStyle name="计算 2 11 2 2 6" xfId="24908" xr:uid="{00000000-0005-0000-0000-00007C610000}"/>
    <cellStyle name="计算 2 11 2 2 7" xfId="2651" xr:uid="{00000000-0005-0000-0000-00008B0A0000}"/>
    <cellStyle name="计算 2 11 2 2 8" xfId="2677" xr:uid="{00000000-0005-0000-0000-0000A50A0000}"/>
    <cellStyle name="计算 2 11 2 2 9" xfId="2701" xr:uid="{00000000-0005-0000-0000-0000BD0A0000}"/>
    <cellStyle name="计算 2 11 2 3" xfId="24911" xr:uid="{00000000-0005-0000-0000-00007F610000}"/>
    <cellStyle name="计算 2 11 2 3 2" xfId="24916" xr:uid="{00000000-0005-0000-0000-000084610000}"/>
    <cellStyle name="计算 2 11 2 3 2 2" xfId="24923" xr:uid="{00000000-0005-0000-0000-00008B610000}"/>
    <cellStyle name="计算 2 11 2 3 3" xfId="24929" xr:uid="{00000000-0005-0000-0000-000091610000}"/>
    <cellStyle name="计算 2 11 2 3 3 2" xfId="24936" xr:uid="{00000000-0005-0000-0000-000098610000}"/>
    <cellStyle name="计算 2 11 2 3 4" xfId="24872" xr:uid="{00000000-0005-0000-0000-000058610000}"/>
    <cellStyle name="计算 2 11 2 3 4 2" xfId="24946" xr:uid="{00000000-0005-0000-0000-0000A2610000}"/>
    <cellStyle name="计算 2 11 2 3 5" xfId="24953" xr:uid="{00000000-0005-0000-0000-0000A9610000}"/>
    <cellStyle name="计算 2 11 2 3 5 2" xfId="24962" xr:uid="{00000000-0005-0000-0000-0000B2610000}"/>
    <cellStyle name="计算 2 11 2 3 6" xfId="11291" xr:uid="{00000000-0005-0000-0000-00004B2C0000}"/>
    <cellStyle name="计算 2 11 2 4" xfId="24965" xr:uid="{00000000-0005-0000-0000-0000B5610000}"/>
    <cellStyle name="计算 2 11 2 4 2" xfId="24969" xr:uid="{00000000-0005-0000-0000-0000B9610000}"/>
    <cellStyle name="计算 2 11 2 4 2 2" xfId="24976" xr:uid="{00000000-0005-0000-0000-0000C0610000}"/>
    <cellStyle name="计算 2 11 2 4 3" xfId="24981" xr:uid="{00000000-0005-0000-0000-0000C5610000}"/>
    <cellStyle name="计算 2 11 2 4 3 2" xfId="24988" xr:uid="{00000000-0005-0000-0000-0000CC610000}"/>
    <cellStyle name="计算 2 11 2 4 4" xfId="24882" xr:uid="{00000000-0005-0000-0000-000062610000}"/>
    <cellStyle name="计算 2 11 2 4 4 2" xfId="24999" xr:uid="{00000000-0005-0000-0000-0000D7610000}"/>
    <cellStyle name="计算 2 11 2 4 5" xfId="25005" xr:uid="{00000000-0005-0000-0000-0000DD610000}"/>
    <cellStyle name="计算 2 11 2 4 5 2" xfId="25015" xr:uid="{00000000-0005-0000-0000-0000E7610000}"/>
    <cellStyle name="计算 2 11 2 4 6" xfId="11304" xr:uid="{00000000-0005-0000-0000-0000582C0000}"/>
    <cellStyle name="计算 2 11 2 5" xfId="25019" xr:uid="{00000000-0005-0000-0000-0000EB610000}"/>
    <cellStyle name="计算 2 11 2 5 2" xfId="25022" xr:uid="{00000000-0005-0000-0000-0000EE610000}"/>
    <cellStyle name="计算 2 11 2 5 2 2" xfId="25028" xr:uid="{00000000-0005-0000-0000-0000F4610000}"/>
    <cellStyle name="计算 2 11 2 5 3" xfId="25031" xr:uid="{00000000-0005-0000-0000-0000F7610000}"/>
    <cellStyle name="计算 2 11 2 5 3 2" xfId="25037" xr:uid="{00000000-0005-0000-0000-0000FD610000}"/>
    <cellStyle name="计算 2 11 2 5 4" xfId="24899" xr:uid="{00000000-0005-0000-0000-000073610000}"/>
    <cellStyle name="计算 2 11 2 5 4 2" xfId="25044" xr:uid="{00000000-0005-0000-0000-000004620000}"/>
    <cellStyle name="计算 2 11 2 5 5" xfId="25048" xr:uid="{00000000-0005-0000-0000-000008620000}"/>
    <cellStyle name="计算 2 11 2 5 5 2" xfId="25054" xr:uid="{00000000-0005-0000-0000-00000E620000}"/>
    <cellStyle name="计算 2 11 2 5 6" xfId="9817" xr:uid="{00000000-0005-0000-0000-000089260000}"/>
    <cellStyle name="计算 2 11 2 6" xfId="25057" xr:uid="{00000000-0005-0000-0000-000011620000}"/>
    <cellStyle name="计算 2 11 2 6 2" xfId="25060" xr:uid="{00000000-0005-0000-0000-000014620000}"/>
    <cellStyle name="计算 2 11 2 6 2 2" xfId="25066" xr:uid="{00000000-0005-0000-0000-00001A620000}"/>
    <cellStyle name="计算 2 11 2 6 3" xfId="25070" xr:uid="{00000000-0005-0000-0000-00001E620000}"/>
    <cellStyle name="计算 2 11 2 6 3 2" xfId="756" xr:uid="{00000000-0005-0000-0000-000024030000}"/>
    <cellStyle name="计算 2 11 2 6 4" xfId="25078" xr:uid="{00000000-0005-0000-0000-000026620000}"/>
    <cellStyle name="计算 2 11 2 6 4 2" xfId="25083" xr:uid="{00000000-0005-0000-0000-00002B620000}"/>
    <cellStyle name="计算 2 11 2 6 5" xfId="25086" xr:uid="{00000000-0005-0000-0000-00002E620000}"/>
    <cellStyle name="计算 2 11 2 6 5 2" xfId="25092" xr:uid="{00000000-0005-0000-0000-000034620000}"/>
    <cellStyle name="计算 2 11 2 6 6" xfId="7730" xr:uid="{00000000-0005-0000-0000-0000621E0000}"/>
    <cellStyle name="计算 2 11 2 7" xfId="25095" xr:uid="{00000000-0005-0000-0000-000037620000}"/>
    <cellStyle name="计算 2 11 2 7 2" xfId="25097" xr:uid="{00000000-0005-0000-0000-000039620000}"/>
    <cellStyle name="计算 2 11 2 7 2 2" xfId="25101" xr:uid="{00000000-0005-0000-0000-00003D620000}"/>
    <cellStyle name="计算 2 11 2 7 3" xfId="25104" xr:uid="{00000000-0005-0000-0000-000040620000}"/>
    <cellStyle name="计算 2 11 2 7 3 2" xfId="25108" xr:uid="{00000000-0005-0000-0000-000044620000}"/>
    <cellStyle name="计算 2 11 2 7 4" xfId="2669" xr:uid="{00000000-0005-0000-0000-00009D0A0000}"/>
    <cellStyle name="计算 2 11 2 7 4 2" xfId="25113" xr:uid="{00000000-0005-0000-0000-000049620000}"/>
    <cellStyle name="计算 2 11 2 7 5" xfId="25116" xr:uid="{00000000-0005-0000-0000-00004C620000}"/>
    <cellStyle name="计算 2 11 2 7 5 2" xfId="25120" xr:uid="{00000000-0005-0000-0000-000050620000}"/>
    <cellStyle name="计算 2 11 2 7 6" xfId="25124" xr:uid="{00000000-0005-0000-0000-000054620000}"/>
    <cellStyle name="计算 2 11 2 8" xfId="25126" xr:uid="{00000000-0005-0000-0000-000056620000}"/>
    <cellStyle name="计算 2 11 2 8 2" xfId="25130" xr:uid="{00000000-0005-0000-0000-00005A620000}"/>
    <cellStyle name="计算 2 11 2 8 2 2" xfId="25135" xr:uid="{00000000-0005-0000-0000-00005F620000}"/>
    <cellStyle name="计算 2 11 2 8 3" xfId="25138" xr:uid="{00000000-0005-0000-0000-000062620000}"/>
    <cellStyle name="计算 2 11 2 8 3 2" xfId="25143" xr:uid="{00000000-0005-0000-0000-000067620000}"/>
    <cellStyle name="计算 2 11 2 8 4" xfId="2691" xr:uid="{00000000-0005-0000-0000-0000B30A0000}"/>
    <cellStyle name="计算 2 11 2 8 4 2" xfId="25151" xr:uid="{00000000-0005-0000-0000-00006F620000}"/>
    <cellStyle name="计算 2 11 2 8 5" xfId="25155" xr:uid="{00000000-0005-0000-0000-000073620000}"/>
    <cellStyle name="计算 2 11 2 9" xfId="24620" xr:uid="{00000000-0005-0000-0000-00005C600000}"/>
    <cellStyle name="计算 2 11 2 9 2" xfId="819" xr:uid="{00000000-0005-0000-0000-000063030000}"/>
    <cellStyle name="计算 2 11 20" xfId="7150" xr:uid="{00000000-0005-0000-0000-00001E1C0000}"/>
    <cellStyle name="计算 2 11 20 2" xfId="21170" xr:uid="{00000000-0005-0000-0000-0000E2520000}"/>
    <cellStyle name="计算 2 11 21" xfId="21174" xr:uid="{00000000-0005-0000-0000-0000E6520000}"/>
    <cellStyle name="计算 2 11 21 2" xfId="21177" xr:uid="{00000000-0005-0000-0000-0000E9520000}"/>
    <cellStyle name="计算 2 11 22" xfId="21181" xr:uid="{00000000-0005-0000-0000-0000ED520000}"/>
    <cellStyle name="计算 2 11 22 2" xfId="21185" xr:uid="{00000000-0005-0000-0000-0000F1520000}"/>
    <cellStyle name="计算 2 11 23" xfId="14141" xr:uid="{00000000-0005-0000-0000-00006D370000}"/>
    <cellStyle name="计算 2 11 23 2" xfId="24832" xr:uid="{00000000-0005-0000-0000-000030610000}"/>
    <cellStyle name="计算 2 11 24" xfId="21310" xr:uid="{00000000-0005-0000-0000-00006E530000}"/>
    <cellStyle name="计算 2 11 25" xfId="17601" xr:uid="{00000000-0005-0000-0000-0000F1440000}"/>
    <cellStyle name="计算 2 11 26" xfId="21323" xr:uid="{00000000-0005-0000-0000-00007B530000}"/>
    <cellStyle name="计算 2 11 27" xfId="21330" xr:uid="{00000000-0005-0000-0000-000082530000}"/>
    <cellStyle name="计算 2 11 3" xfId="25158" xr:uid="{00000000-0005-0000-0000-000076620000}"/>
    <cellStyle name="计算 2 11 3 10" xfId="10936" xr:uid="{00000000-0005-0000-0000-0000E82A0000}"/>
    <cellStyle name="计算 2 11 3 10 2" xfId="25160" xr:uid="{00000000-0005-0000-0000-000078620000}"/>
    <cellStyle name="计算 2 11 3 11" xfId="25161" xr:uid="{00000000-0005-0000-0000-000079620000}"/>
    <cellStyle name="计算 2 11 3 11 2" xfId="25162" xr:uid="{00000000-0005-0000-0000-00007A620000}"/>
    <cellStyle name="计算 2 11 3 12" xfId="25163" xr:uid="{00000000-0005-0000-0000-00007B620000}"/>
    <cellStyle name="计算 2 11 3 12 2" xfId="25164" xr:uid="{00000000-0005-0000-0000-00007C620000}"/>
    <cellStyle name="计算 2 11 3 13" xfId="4693" xr:uid="{00000000-0005-0000-0000-000085120000}"/>
    <cellStyle name="计算 2 11 3 14" xfId="14326" xr:uid="{00000000-0005-0000-0000-000026380000}"/>
    <cellStyle name="计算 2 11 3 15" xfId="14329" xr:uid="{00000000-0005-0000-0000-000029380000}"/>
    <cellStyle name="计算 2 11 3 16" xfId="14336" xr:uid="{00000000-0005-0000-0000-000030380000}"/>
    <cellStyle name="计算 2 11 3 2" xfId="25166" xr:uid="{00000000-0005-0000-0000-00007E620000}"/>
    <cellStyle name="计算 2 11 3 2 2" xfId="25168" xr:uid="{00000000-0005-0000-0000-000080620000}"/>
    <cellStyle name="计算 2 11 3 2 2 2" xfId="25174" xr:uid="{00000000-0005-0000-0000-000086620000}"/>
    <cellStyle name="计算 2 11 3 2 3" xfId="25175" xr:uid="{00000000-0005-0000-0000-000087620000}"/>
    <cellStyle name="计算 2 11 3 2 3 2" xfId="1068" xr:uid="{00000000-0005-0000-0000-00005C040000}"/>
    <cellStyle name="计算 2 11 3 2 4" xfId="24919" xr:uid="{00000000-0005-0000-0000-000087610000}"/>
    <cellStyle name="计算 2 11 3 2 4 2" xfId="25178" xr:uid="{00000000-0005-0000-0000-00008A620000}"/>
    <cellStyle name="计算 2 11 3 2 5" xfId="25185" xr:uid="{00000000-0005-0000-0000-000091620000}"/>
    <cellStyle name="计算 2 11 3 2 5 2" xfId="25190" xr:uid="{00000000-0005-0000-0000-000096620000}"/>
    <cellStyle name="计算 2 11 3 2 6" xfId="25199" xr:uid="{00000000-0005-0000-0000-00009F620000}"/>
    <cellStyle name="计算 2 11 3 2 7" xfId="1168" xr:uid="{00000000-0005-0000-0000-0000C0040000}"/>
    <cellStyle name="计算 2 11 3 2 8" xfId="1180" xr:uid="{00000000-0005-0000-0000-0000CC040000}"/>
    <cellStyle name="计算 2 11 3 2 9" xfId="2476" xr:uid="{00000000-0005-0000-0000-0000DC090000}"/>
    <cellStyle name="计算 2 11 3 3" xfId="25201" xr:uid="{00000000-0005-0000-0000-0000A1620000}"/>
    <cellStyle name="计算 2 11 3 3 2" xfId="25203" xr:uid="{00000000-0005-0000-0000-0000A3620000}"/>
    <cellStyle name="计算 2 11 3 3 2 2" xfId="21332" xr:uid="{00000000-0005-0000-0000-000084530000}"/>
    <cellStyle name="计算 2 11 3 3 3" xfId="25205" xr:uid="{00000000-0005-0000-0000-0000A5620000}"/>
    <cellStyle name="计算 2 11 3 3 3 2" xfId="21363" xr:uid="{00000000-0005-0000-0000-0000A3530000}"/>
    <cellStyle name="计算 2 11 3 3 4" xfId="24931" xr:uid="{00000000-0005-0000-0000-000093610000}"/>
    <cellStyle name="计算 2 11 3 3 4 2" xfId="21393" xr:uid="{00000000-0005-0000-0000-0000C1530000}"/>
    <cellStyle name="计算 2 11 3 3 5" xfId="25207" xr:uid="{00000000-0005-0000-0000-0000A7620000}"/>
    <cellStyle name="计算 2 11 3 3 5 2" xfId="21444" xr:uid="{00000000-0005-0000-0000-0000F4530000}"/>
    <cellStyle name="计算 2 11 3 3 6" xfId="11340" xr:uid="{00000000-0005-0000-0000-00007C2C0000}"/>
    <cellStyle name="计算 2 11 3 4" xfId="25210" xr:uid="{00000000-0005-0000-0000-0000AA620000}"/>
    <cellStyle name="计算 2 11 3 4 2" xfId="25212" xr:uid="{00000000-0005-0000-0000-0000AC620000}"/>
    <cellStyle name="计算 2 11 3 4 2 2" xfId="13649" xr:uid="{00000000-0005-0000-0000-000081350000}"/>
    <cellStyle name="计算 2 11 3 4 3" xfId="25214" xr:uid="{00000000-0005-0000-0000-0000AE620000}"/>
    <cellStyle name="计算 2 11 3 4 3 2" xfId="21552" xr:uid="{00000000-0005-0000-0000-000060540000}"/>
    <cellStyle name="计算 2 11 3 4 4" xfId="24939" xr:uid="{00000000-0005-0000-0000-00009B610000}"/>
    <cellStyle name="计算 2 11 3 4 4 2" xfId="21572" xr:uid="{00000000-0005-0000-0000-000074540000}"/>
    <cellStyle name="计算 2 11 3 4 5" xfId="25216" xr:uid="{00000000-0005-0000-0000-0000B0620000}"/>
    <cellStyle name="计算 2 11 3 4 5 2" xfId="21597" xr:uid="{00000000-0005-0000-0000-00008D540000}"/>
    <cellStyle name="计算 2 11 3 4 6" xfId="11358" xr:uid="{00000000-0005-0000-0000-00008E2C0000}"/>
    <cellStyle name="计算 2 11 3 5" xfId="25220" xr:uid="{00000000-0005-0000-0000-0000B4620000}"/>
    <cellStyle name="计算 2 11 3 5 2" xfId="25222" xr:uid="{00000000-0005-0000-0000-0000B6620000}"/>
    <cellStyle name="计算 2 11 3 5 2 2" xfId="25226" xr:uid="{00000000-0005-0000-0000-0000BA620000}"/>
    <cellStyle name="计算 2 11 3 5 3" xfId="25227" xr:uid="{00000000-0005-0000-0000-0000BB620000}"/>
    <cellStyle name="计算 2 11 3 5 3 2" xfId="25231" xr:uid="{00000000-0005-0000-0000-0000BF620000}"/>
    <cellStyle name="计算 2 11 3 5 4" xfId="24957" xr:uid="{00000000-0005-0000-0000-0000AD610000}"/>
    <cellStyle name="计算 2 11 3 5 4 2" xfId="25234" xr:uid="{00000000-0005-0000-0000-0000C2620000}"/>
    <cellStyle name="计算 2 11 3 5 5" xfId="25238" xr:uid="{00000000-0005-0000-0000-0000C6620000}"/>
    <cellStyle name="计算 2 11 3 5 5 2" xfId="25242" xr:uid="{00000000-0005-0000-0000-0000CA620000}"/>
    <cellStyle name="计算 2 11 3 5 6" xfId="11373" xr:uid="{00000000-0005-0000-0000-00009D2C0000}"/>
    <cellStyle name="计算 2 11 3 6" xfId="9196" xr:uid="{00000000-0005-0000-0000-00001C240000}"/>
    <cellStyle name="计算 2 11 3 6 2" xfId="25247" xr:uid="{00000000-0005-0000-0000-0000CF620000}"/>
    <cellStyle name="计算 2 11 3 6 2 2" xfId="25251" xr:uid="{00000000-0005-0000-0000-0000D3620000}"/>
    <cellStyle name="计算 2 11 3 6 3" xfId="25252" xr:uid="{00000000-0005-0000-0000-0000D4620000}"/>
    <cellStyle name="计算 2 11 3 6 3 2" xfId="20933" xr:uid="{00000000-0005-0000-0000-0000F5510000}"/>
    <cellStyle name="计算 2 11 3 6 4" xfId="25255" xr:uid="{00000000-0005-0000-0000-0000D7620000}"/>
    <cellStyle name="计算 2 11 3 6 4 2" xfId="25263" xr:uid="{00000000-0005-0000-0000-0000DF620000}"/>
    <cellStyle name="计算 2 11 3 6 5" xfId="25264" xr:uid="{00000000-0005-0000-0000-0000E0620000}"/>
    <cellStyle name="计算 2 11 3 6 5 2" xfId="25269" xr:uid="{00000000-0005-0000-0000-0000E5620000}"/>
    <cellStyle name="计算 2 11 3 6 6" xfId="8828" xr:uid="{00000000-0005-0000-0000-0000AC220000}"/>
    <cellStyle name="计算 2 11 3 7" xfId="25272" xr:uid="{00000000-0005-0000-0000-0000E8620000}"/>
    <cellStyle name="计算 2 11 3 7 2" xfId="25273" xr:uid="{00000000-0005-0000-0000-0000E9620000}"/>
    <cellStyle name="计算 2 11 3 7 2 2" xfId="9145" xr:uid="{00000000-0005-0000-0000-0000E9230000}"/>
    <cellStyle name="计算 2 11 3 7 3" xfId="25274" xr:uid="{00000000-0005-0000-0000-0000EA620000}"/>
    <cellStyle name="计算 2 11 3 7 3 2" xfId="9185" xr:uid="{00000000-0005-0000-0000-000011240000}"/>
    <cellStyle name="计算 2 11 3 7 4" xfId="2763" xr:uid="{00000000-0005-0000-0000-0000FB0A0000}"/>
    <cellStyle name="计算 2 11 3 7 4 2" xfId="12808" xr:uid="{00000000-0005-0000-0000-000038320000}"/>
    <cellStyle name="计算 2 11 3 7 5" xfId="25276" xr:uid="{00000000-0005-0000-0000-0000EC620000}"/>
    <cellStyle name="计算 2 11 3 7 5 2" xfId="12848" xr:uid="{00000000-0005-0000-0000-000060320000}"/>
    <cellStyle name="计算 2 11 3 7 6" xfId="25278" xr:uid="{00000000-0005-0000-0000-0000EE620000}"/>
    <cellStyle name="计算 2 11 3 8" xfId="25280" xr:uid="{00000000-0005-0000-0000-0000F0620000}"/>
    <cellStyle name="计算 2 11 3 8 2" xfId="25282" xr:uid="{00000000-0005-0000-0000-0000F2620000}"/>
    <cellStyle name="计算 2 11 3 8 2 2" xfId="25284" xr:uid="{00000000-0005-0000-0000-0000F4620000}"/>
    <cellStyle name="计算 2 11 3 8 3" xfId="25290" xr:uid="{00000000-0005-0000-0000-0000FA620000}"/>
    <cellStyle name="计算 2 11 3 8 3 2" xfId="25292" xr:uid="{00000000-0005-0000-0000-0000FC620000}"/>
    <cellStyle name="计算 2 11 3 8 4" xfId="2781" xr:uid="{00000000-0005-0000-0000-00000D0B0000}"/>
    <cellStyle name="计算 2 11 3 8 4 2" xfId="25304" xr:uid="{00000000-0005-0000-0000-000008630000}"/>
    <cellStyle name="计算 2 11 3 8 5" xfId="25307" xr:uid="{00000000-0005-0000-0000-00000B630000}"/>
    <cellStyle name="计算 2 11 3 9" xfId="24623" xr:uid="{00000000-0005-0000-0000-00005F600000}"/>
    <cellStyle name="计算 2 11 3 9 2" xfId="11621" xr:uid="{00000000-0005-0000-0000-0000952D0000}"/>
    <cellStyle name="计算 2 11 4" xfId="25311" xr:uid="{00000000-0005-0000-0000-00000F630000}"/>
    <cellStyle name="计算 2 11 4 10" xfId="21843" xr:uid="{00000000-0005-0000-0000-000083550000}"/>
    <cellStyle name="计算 2 11 4 10 2" xfId="25313" xr:uid="{00000000-0005-0000-0000-000011630000}"/>
    <cellStyle name="计算 2 11 4 11" xfId="25315" xr:uid="{00000000-0005-0000-0000-000013630000}"/>
    <cellStyle name="计算 2 11 4 11 2" xfId="25316" xr:uid="{00000000-0005-0000-0000-000014630000}"/>
    <cellStyle name="计算 2 11 4 12" xfId="25318" xr:uid="{00000000-0005-0000-0000-000016630000}"/>
    <cellStyle name="计算 2 11 4 12 2" xfId="25319" xr:uid="{00000000-0005-0000-0000-000017630000}"/>
    <cellStyle name="计算 2 11 4 13" xfId="14442" xr:uid="{00000000-0005-0000-0000-00009A380000}"/>
    <cellStyle name="计算 2 11 4 14" xfId="14448" xr:uid="{00000000-0005-0000-0000-0000A0380000}"/>
    <cellStyle name="计算 2 11 4 15" xfId="14454" xr:uid="{00000000-0005-0000-0000-0000A6380000}"/>
    <cellStyle name="计算 2 11 4 16" xfId="9907" xr:uid="{00000000-0005-0000-0000-0000E3260000}"/>
    <cellStyle name="计算 2 11 4 2" xfId="21063" xr:uid="{00000000-0005-0000-0000-000077520000}"/>
    <cellStyle name="计算 2 11 4 2 2" xfId="21067" xr:uid="{00000000-0005-0000-0000-00007B520000}"/>
    <cellStyle name="计算 2 11 4 2 2 2" xfId="17882" xr:uid="{00000000-0005-0000-0000-00000A460000}"/>
    <cellStyle name="计算 2 11 4 2 3" xfId="25321" xr:uid="{00000000-0005-0000-0000-000019630000}"/>
    <cellStyle name="计算 2 11 4 2 3 2" xfId="18082" xr:uid="{00000000-0005-0000-0000-0000D2460000}"/>
    <cellStyle name="计算 2 11 4 2 4" xfId="24972" xr:uid="{00000000-0005-0000-0000-0000BC610000}"/>
    <cellStyle name="计算 2 11 4 2 4 2" xfId="18356" xr:uid="{00000000-0005-0000-0000-0000E4470000}"/>
    <cellStyle name="计算 2 11 4 2 5" xfId="25323" xr:uid="{00000000-0005-0000-0000-00001B630000}"/>
    <cellStyle name="计算 2 11 4 2 5 2" xfId="18684" xr:uid="{00000000-0005-0000-0000-00002C490000}"/>
    <cellStyle name="计算 2 11 4 2 6" xfId="25328" xr:uid="{00000000-0005-0000-0000-000020630000}"/>
    <cellStyle name="计算 2 11 4 2 7" xfId="25331" xr:uid="{00000000-0005-0000-0000-000023630000}"/>
    <cellStyle name="计算 2 11 4 2 8" xfId="25336" xr:uid="{00000000-0005-0000-0000-000028630000}"/>
    <cellStyle name="计算 2 11 4 2 9" xfId="25338" xr:uid="{00000000-0005-0000-0000-00002A630000}"/>
    <cellStyle name="计算 2 11 4 3" xfId="21070" xr:uid="{00000000-0005-0000-0000-00007E520000}"/>
    <cellStyle name="计算 2 11 4 3 2" xfId="25339" xr:uid="{00000000-0005-0000-0000-00002B630000}"/>
    <cellStyle name="计算 2 11 4 3 2 2" xfId="19681" xr:uid="{00000000-0005-0000-0000-0000114D0000}"/>
    <cellStyle name="计算 2 11 4 3 3" xfId="25341" xr:uid="{00000000-0005-0000-0000-00002D630000}"/>
    <cellStyle name="计算 2 11 4 3 3 2" xfId="19807" xr:uid="{00000000-0005-0000-0000-00008F4D0000}"/>
    <cellStyle name="计算 2 11 4 3 4" xfId="24983" xr:uid="{00000000-0005-0000-0000-0000C7610000}"/>
    <cellStyle name="计算 2 11 4 3 4 2" xfId="19891" xr:uid="{00000000-0005-0000-0000-0000E34D0000}"/>
    <cellStyle name="计算 2 11 4 3 5" xfId="25343" xr:uid="{00000000-0005-0000-0000-00002F630000}"/>
    <cellStyle name="计算 2 11 4 3 5 2" xfId="19975" xr:uid="{00000000-0005-0000-0000-0000374E0000}"/>
    <cellStyle name="计算 2 11 4 3 6" xfId="11398" xr:uid="{00000000-0005-0000-0000-0000B62C0000}"/>
    <cellStyle name="计算 2 11 4 4" xfId="21074" xr:uid="{00000000-0005-0000-0000-000082520000}"/>
    <cellStyle name="计算 2 11 4 4 2" xfId="25346" xr:uid="{00000000-0005-0000-0000-000032630000}"/>
    <cellStyle name="计算 2 11 4 4 2 2" xfId="20635" xr:uid="{00000000-0005-0000-0000-0000CB500000}"/>
    <cellStyle name="计算 2 11 4 4 3" xfId="25347" xr:uid="{00000000-0005-0000-0000-000033630000}"/>
    <cellStyle name="计算 2 11 4 4 3 2" xfId="20766" xr:uid="{00000000-0005-0000-0000-00004E510000}"/>
    <cellStyle name="计算 2 11 4 4 4" xfId="24991" xr:uid="{00000000-0005-0000-0000-0000CF610000}"/>
    <cellStyle name="计算 2 11 4 4 4 2" xfId="20867" xr:uid="{00000000-0005-0000-0000-0000B3510000}"/>
    <cellStyle name="计算 2 11 4 4 5" xfId="25349" xr:uid="{00000000-0005-0000-0000-000035630000}"/>
    <cellStyle name="计算 2 11 4 4 5 2" xfId="20966" xr:uid="{00000000-0005-0000-0000-000016520000}"/>
    <cellStyle name="计算 2 11 4 4 6" xfId="11416" xr:uid="{00000000-0005-0000-0000-0000C82C0000}"/>
    <cellStyle name="计算 2 11 4 5" xfId="21076" xr:uid="{00000000-0005-0000-0000-000084520000}"/>
    <cellStyle name="计算 2 11 4 5 2" xfId="25353" xr:uid="{00000000-0005-0000-0000-000039630000}"/>
    <cellStyle name="计算 2 11 4 5 2 2" xfId="21943" xr:uid="{00000000-0005-0000-0000-0000E7550000}"/>
    <cellStyle name="计算 2 11 4 5 3" xfId="25354" xr:uid="{00000000-0005-0000-0000-00003A630000}"/>
    <cellStyle name="计算 2 11 4 5 3 2" xfId="22081" xr:uid="{00000000-0005-0000-0000-000071560000}"/>
    <cellStyle name="计算 2 11 4 5 4" xfId="25010" xr:uid="{00000000-0005-0000-0000-0000E2610000}"/>
    <cellStyle name="计算 2 11 4 5 4 2" xfId="22208" xr:uid="{00000000-0005-0000-0000-0000F0560000}"/>
    <cellStyle name="计算 2 11 4 5 5" xfId="25356" xr:uid="{00000000-0005-0000-0000-00003C630000}"/>
    <cellStyle name="计算 2 11 4 5 5 2" xfId="22328" xr:uid="{00000000-0005-0000-0000-000068570000}"/>
    <cellStyle name="计算 2 11 4 5 6" xfId="4706" xr:uid="{00000000-0005-0000-0000-000092120000}"/>
    <cellStyle name="计算 2 11 4 6" xfId="9200" xr:uid="{00000000-0005-0000-0000-000020240000}"/>
    <cellStyle name="计算 2 11 4 6 2" xfId="25358" xr:uid="{00000000-0005-0000-0000-00003E630000}"/>
    <cellStyle name="计算 2 11 4 6 2 2" xfId="23091" xr:uid="{00000000-0005-0000-0000-0000635A0000}"/>
    <cellStyle name="计算 2 11 4 6 3" xfId="25359" xr:uid="{00000000-0005-0000-0000-00003F630000}"/>
    <cellStyle name="计算 2 11 4 6 3 2" xfId="23211" xr:uid="{00000000-0005-0000-0000-0000DB5A0000}"/>
    <cellStyle name="计算 2 11 4 6 4" xfId="25362" xr:uid="{00000000-0005-0000-0000-000042630000}"/>
    <cellStyle name="计算 2 11 4 6 4 2" xfId="23353" xr:uid="{00000000-0005-0000-0000-0000695B0000}"/>
    <cellStyle name="计算 2 11 4 6 5" xfId="25368" xr:uid="{00000000-0005-0000-0000-000048630000}"/>
    <cellStyle name="计算 2 11 4 6 5 2" xfId="23439" xr:uid="{00000000-0005-0000-0000-0000BF5B0000}"/>
    <cellStyle name="计算 2 11 4 6 6" xfId="11436" xr:uid="{00000000-0005-0000-0000-0000DC2C0000}"/>
    <cellStyle name="计算 2 11 4 7" xfId="25370" xr:uid="{00000000-0005-0000-0000-00004A630000}"/>
    <cellStyle name="计算 2 11 4 7 2" xfId="25371" xr:uid="{00000000-0005-0000-0000-00004B630000}"/>
    <cellStyle name="计算 2 11 4 7 2 2" xfId="11215" xr:uid="{00000000-0005-0000-0000-0000FF2B0000}"/>
    <cellStyle name="计算 2 11 4 7 3" xfId="25372" xr:uid="{00000000-0005-0000-0000-00004C630000}"/>
    <cellStyle name="计算 2 11 4 7 3 2" xfId="11229" xr:uid="{00000000-0005-0000-0000-00000D2C0000}"/>
    <cellStyle name="计算 2 11 4 7 4" xfId="25377" xr:uid="{00000000-0005-0000-0000-000051630000}"/>
    <cellStyle name="计算 2 11 4 7 4 2" xfId="20387" xr:uid="{00000000-0005-0000-0000-0000D34F0000}"/>
    <cellStyle name="计算 2 11 4 7 5" xfId="25378" xr:uid="{00000000-0005-0000-0000-000052630000}"/>
    <cellStyle name="计算 2 11 4 7 5 2" xfId="20399" xr:uid="{00000000-0005-0000-0000-0000DF4F0000}"/>
    <cellStyle name="计算 2 11 4 7 6" xfId="11724" xr:uid="{00000000-0005-0000-0000-0000FC2D0000}"/>
    <cellStyle name="计算 2 11 4 8" xfId="16527" xr:uid="{00000000-0005-0000-0000-0000BF400000}"/>
    <cellStyle name="计算 2 11 4 8 2" xfId="25380" xr:uid="{00000000-0005-0000-0000-000054630000}"/>
    <cellStyle name="计算 2 11 4 8 2 2" xfId="25381" xr:uid="{00000000-0005-0000-0000-000055630000}"/>
    <cellStyle name="计算 2 11 4 8 3" xfId="25383" xr:uid="{00000000-0005-0000-0000-000057630000}"/>
    <cellStyle name="计算 2 11 4 8 3 2" xfId="25385" xr:uid="{00000000-0005-0000-0000-000059630000}"/>
    <cellStyle name="计算 2 11 4 8 4" xfId="25388" xr:uid="{00000000-0005-0000-0000-00005C630000}"/>
    <cellStyle name="计算 2 11 4 8 4 2" xfId="25389" xr:uid="{00000000-0005-0000-0000-00005D630000}"/>
    <cellStyle name="计算 2 11 4 8 5" xfId="25390" xr:uid="{00000000-0005-0000-0000-00005E630000}"/>
    <cellStyle name="计算 2 11 4 9" xfId="11907" xr:uid="{00000000-0005-0000-0000-0000B32E0000}"/>
    <cellStyle name="计算 2 11 4 9 2" xfId="11779" xr:uid="{00000000-0005-0000-0000-0000332E0000}"/>
    <cellStyle name="计算 2 11 5" xfId="25392" xr:uid="{00000000-0005-0000-0000-000060630000}"/>
    <cellStyle name="计算 2 11 5 10" xfId="24759" xr:uid="{00000000-0005-0000-0000-0000E7600000}"/>
    <cellStyle name="计算 2 11 5 10 2" xfId="25395" xr:uid="{00000000-0005-0000-0000-000063630000}"/>
    <cellStyle name="计算 2 11 5 11" xfId="20036" xr:uid="{00000000-0005-0000-0000-0000744E0000}"/>
    <cellStyle name="计算 2 11 5 11 2" xfId="20040" xr:uid="{00000000-0005-0000-0000-0000784E0000}"/>
    <cellStyle name="计算 2 11 5 12" xfId="20046" xr:uid="{00000000-0005-0000-0000-00007E4E0000}"/>
    <cellStyle name="计算 2 11 5 12 2" xfId="20051" xr:uid="{00000000-0005-0000-0000-0000834E0000}"/>
    <cellStyle name="计算 2 11 5 13" xfId="20054" xr:uid="{00000000-0005-0000-0000-0000864E0000}"/>
    <cellStyle name="计算 2 11 5 14" xfId="20063" xr:uid="{00000000-0005-0000-0000-00008F4E0000}"/>
    <cellStyle name="计算 2 11 5 15" xfId="20066" xr:uid="{00000000-0005-0000-0000-0000924E0000}"/>
    <cellStyle name="计算 2 11 5 16" xfId="25397" xr:uid="{00000000-0005-0000-0000-000065630000}"/>
    <cellStyle name="计算 2 11 5 2" xfId="25401" xr:uid="{00000000-0005-0000-0000-000069630000}"/>
    <cellStyle name="计算 2 11 5 2 2" xfId="25402" xr:uid="{00000000-0005-0000-0000-00006A630000}"/>
    <cellStyle name="计算 2 11 5 2 2 2" xfId="5176" xr:uid="{00000000-0005-0000-0000-000068140000}"/>
    <cellStyle name="计算 2 11 5 2 3" xfId="25403" xr:uid="{00000000-0005-0000-0000-00006B630000}"/>
    <cellStyle name="计算 2 11 5 2 3 2" xfId="5184" xr:uid="{00000000-0005-0000-0000-000070140000}"/>
    <cellStyle name="计算 2 11 5 2 4" xfId="25025" xr:uid="{00000000-0005-0000-0000-0000F1610000}"/>
    <cellStyle name="计算 2 11 5 2 4 2" xfId="5198" xr:uid="{00000000-0005-0000-0000-00007E140000}"/>
    <cellStyle name="计算 2 11 5 2 5" xfId="25405" xr:uid="{00000000-0005-0000-0000-00006D630000}"/>
    <cellStyle name="计算 2 11 5 2 5 2" xfId="9612" xr:uid="{00000000-0005-0000-0000-0000BC250000}"/>
    <cellStyle name="计算 2 11 5 2 6" xfId="25409" xr:uid="{00000000-0005-0000-0000-000071630000}"/>
    <cellStyle name="计算 2 11 5 2 7" xfId="25411" xr:uid="{00000000-0005-0000-0000-000073630000}"/>
    <cellStyle name="计算 2 11 5 2 8" xfId="25413" xr:uid="{00000000-0005-0000-0000-000075630000}"/>
    <cellStyle name="计算 2 11 5 2 9" xfId="25415" xr:uid="{00000000-0005-0000-0000-000077630000}"/>
    <cellStyle name="计算 2 11 5 3" xfId="25416" xr:uid="{00000000-0005-0000-0000-000078630000}"/>
    <cellStyle name="计算 2 11 5 3 2" xfId="25417" xr:uid="{00000000-0005-0000-0000-000079630000}"/>
    <cellStyle name="计算 2 11 5 3 2 2" xfId="641" xr:uid="{00000000-0005-0000-0000-0000B1020000}"/>
    <cellStyle name="计算 2 11 5 3 3" xfId="25418" xr:uid="{00000000-0005-0000-0000-00007A630000}"/>
    <cellStyle name="计算 2 11 5 3 3 2" xfId="3895" xr:uid="{00000000-0005-0000-0000-0000670F0000}"/>
    <cellStyle name="计算 2 11 5 3 4" xfId="25034" xr:uid="{00000000-0005-0000-0000-0000FA610000}"/>
    <cellStyle name="计算 2 11 5 3 4 2" xfId="9651" xr:uid="{00000000-0005-0000-0000-0000E3250000}"/>
    <cellStyle name="计算 2 11 5 3 5" xfId="25420" xr:uid="{00000000-0005-0000-0000-00007C630000}"/>
    <cellStyle name="计算 2 11 5 3 5 2" xfId="9664" xr:uid="{00000000-0005-0000-0000-0000F0250000}"/>
    <cellStyle name="计算 2 11 5 3 6" xfId="9674" xr:uid="{00000000-0005-0000-0000-0000FA250000}"/>
    <cellStyle name="计算 2 11 5 4" xfId="25423" xr:uid="{00000000-0005-0000-0000-00007F630000}"/>
    <cellStyle name="计算 2 11 5 4 2" xfId="25424" xr:uid="{00000000-0005-0000-0000-000080630000}"/>
    <cellStyle name="计算 2 11 5 4 2 2" xfId="4107" xr:uid="{00000000-0005-0000-0000-00003B100000}"/>
    <cellStyle name="计算 2 11 5 4 3" xfId="25425" xr:uid="{00000000-0005-0000-0000-000081630000}"/>
    <cellStyle name="计算 2 11 5 4 3 2" xfId="5737" xr:uid="{00000000-0005-0000-0000-000099160000}"/>
    <cellStyle name="计算 2 11 5 4 4" xfId="25040" xr:uid="{00000000-0005-0000-0000-000000620000}"/>
    <cellStyle name="计算 2 11 5 4 4 2" xfId="9710" xr:uid="{00000000-0005-0000-0000-00001E260000}"/>
    <cellStyle name="计算 2 11 5 4 5" xfId="25427" xr:uid="{00000000-0005-0000-0000-000083630000}"/>
    <cellStyle name="计算 2 11 5 4 5 2" xfId="9723" xr:uid="{00000000-0005-0000-0000-00002B260000}"/>
    <cellStyle name="计算 2 11 5 4 6" xfId="9733" xr:uid="{00000000-0005-0000-0000-000035260000}"/>
    <cellStyle name="计算 2 11 5 5" xfId="25428" xr:uid="{00000000-0005-0000-0000-000084630000}"/>
    <cellStyle name="计算 2 11 5 5 2" xfId="25429" xr:uid="{00000000-0005-0000-0000-000085630000}"/>
    <cellStyle name="计算 2 11 5 5 2 2" xfId="4214" xr:uid="{00000000-0005-0000-0000-0000A6100000}"/>
    <cellStyle name="计算 2 11 5 5 3" xfId="25430" xr:uid="{00000000-0005-0000-0000-000086630000}"/>
    <cellStyle name="计算 2 11 5 5 3 2" xfId="6549" xr:uid="{00000000-0005-0000-0000-0000C5190000}"/>
    <cellStyle name="计算 2 11 5 5 4" xfId="25051" xr:uid="{00000000-0005-0000-0000-00000B620000}"/>
    <cellStyle name="计算 2 11 5 5 4 2" xfId="9762" xr:uid="{00000000-0005-0000-0000-000052260000}"/>
    <cellStyle name="计算 2 11 5 5 5" xfId="25433" xr:uid="{00000000-0005-0000-0000-000089630000}"/>
    <cellStyle name="计算 2 11 5 5 5 2" xfId="9776" xr:uid="{00000000-0005-0000-0000-000060260000}"/>
    <cellStyle name="计算 2 11 5 5 6" xfId="9788" xr:uid="{00000000-0005-0000-0000-00006C260000}"/>
    <cellStyle name="计算 2 11 5 6" xfId="9207" xr:uid="{00000000-0005-0000-0000-000027240000}"/>
    <cellStyle name="计算 2 11 5 6 2" xfId="25434" xr:uid="{00000000-0005-0000-0000-00008A630000}"/>
    <cellStyle name="计算 2 11 5 6 2 2" xfId="875" xr:uid="{00000000-0005-0000-0000-00009B030000}"/>
    <cellStyle name="计算 2 11 5 6 3" xfId="25435" xr:uid="{00000000-0005-0000-0000-00008B630000}"/>
    <cellStyle name="计算 2 11 5 6 3 2" xfId="7008" xr:uid="{00000000-0005-0000-0000-0000901B0000}"/>
    <cellStyle name="计算 2 11 5 6 4" xfId="25438" xr:uid="{00000000-0005-0000-0000-00008E630000}"/>
    <cellStyle name="计算 2 11 5 6 4 2" xfId="7072" xr:uid="{00000000-0005-0000-0000-0000D01B0000}"/>
    <cellStyle name="计算 2 11 5 6 5" xfId="25443" xr:uid="{00000000-0005-0000-0000-000093630000}"/>
    <cellStyle name="计算 2 11 5 6 5 2" xfId="2237" xr:uid="{00000000-0005-0000-0000-0000ED080000}"/>
    <cellStyle name="计算 2 11 5 6 6" xfId="9830" xr:uid="{00000000-0005-0000-0000-000096260000}"/>
    <cellStyle name="计算 2 11 5 7" xfId="25444" xr:uid="{00000000-0005-0000-0000-000094630000}"/>
    <cellStyle name="计算 2 11 5 7 2" xfId="25445" xr:uid="{00000000-0005-0000-0000-000095630000}"/>
    <cellStyle name="计算 2 11 5 7 2 2" xfId="11697" xr:uid="{00000000-0005-0000-0000-0000E12D0000}"/>
    <cellStyle name="计算 2 11 5 7 3" xfId="25446" xr:uid="{00000000-0005-0000-0000-000096630000}"/>
    <cellStyle name="计算 2 11 5 7 3 2" xfId="11895" xr:uid="{00000000-0005-0000-0000-0000A72E0000}"/>
    <cellStyle name="计算 2 11 5 7 4" xfId="25448" xr:uid="{00000000-0005-0000-0000-000098630000}"/>
    <cellStyle name="计算 2 11 5 7 4 2" xfId="13609" xr:uid="{00000000-0005-0000-0000-000059350000}"/>
    <cellStyle name="计算 2 11 5 7 5" xfId="25449" xr:uid="{00000000-0005-0000-0000-000099630000}"/>
    <cellStyle name="计算 2 11 5 7 5 2" xfId="13634" xr:uid="{00000000-0005-0000-0000-000072350000}"/>
    <cellStyle name="计算 2 11 5 7 6" xfId="25451" xr:uid="{00000000-0005-0000-0000-00009B630000}"/>
    <cellStyle name="计算 2 11 5 8" xfId="16533" xr:uid="{00000000-0005-0000-0000-0000C5400000}"/>
    <cellStyle name="计算 2 11 5 8 2" xfId="11914" xr:uid="{00000000-0005-0000-0000-0000BA2E0000}"/>
    <cellStyle name="计算 2 11 5 8 2 2" xfId="1898" xr:uid="{00000000-0005-0000-0000-00009A070000}"/>
    <cellStyle name="计算 2 11 5 8 3" xfId="11919" xr:uid="{00000000-0005-0000-0000-0000BF2E0000}"/>
    <cellStyle name="计算 2 11 5 8 3 2" xfId="25452" xr:uid="{00000000-0005-0000-0000-00009C630000}"/>
    <cellStyle name="计算 2 11 5 8 4" xfId="11927" xr:uid="{00000000-0005-0000-0000-0000C72E0000}"/>
    <cellStyle name="计算 2 11 5 8 4 2" xfId="25453" xr:uid="{00000000-0005-0000-0000-00009D630000}"/>
    <cellStyle name="计算 2 11 5 8 5" xfId="12855" xr:uid="{00000000-0005-0000-0000-000067320000}"/>
    <cellStyle name="计算 2 11 5 9" xfId="25454" xr:uid="{00000000-0005-0000-0000-00009E630000}"/>
    <cellStyle name="计算 2 11 5 9 2" xfId="25455" xr:uid="{00000000-0005-0000-0000-00009F630000}"/>
    <cellStyle name="计算 2 11 6" xfId="25456" xr:uid="{00000000-0005-0000-0000-0000A0630000}"/>
    <cellStyle name="计算 2 11 6 10" xfId="13352" xr:uid="{00000000-0005-0000-0000-000058340000}"/>
    <cellStyle name="计算 2 11 6 10 2" xfId="13355" xr:uid="{00000000-0005-0000-0000-00005B340000}"/>
    <cellStyle name="计算 2 11 6 11" xfId="13379" xr:uid="{00000000-0005-0000-0000-000073340000}"/>
    <cellStyle name="计算 2 11 6 11 2" xfId="13382" xr:uid="{00000000-0005-0000-0000-000076340000}"/>
    <cellStyle name="计算 2 11 6 12" xfId="13391" xr:uid="{00000000-0005-0000-0000-00007F340000}"/>
    <cellStyle name="计算 2 11 6 12 2" xfId="13394" xr:uid="{00000000-0005-0000-0000-000082340000}"/>
    <cellStyle name="计算 2 11 6 13" xfId="25458" xr:uid="{00000000-0005-0000-0000-0000A2630000}"/>
    <cellStyle name="计算 2 11 6 14" xfId="25460" xr:uid="{00000000-0005-0000-0000-0000A4630000}"/>
    <cellStyle name="计算 2 11 6 15" xfId="3836" xr:uid="{00000000-0005-0000-0000-00002C0F0000}"/>
    <cellStyle name="计算 2 11 6 16" xfId="25464" xr:uid="{00000000-0005-0000-0000-0000A8630000}"/>
    <cellStyle name="计算 2 11 6 2" xfId="25465" xr:uid="{00000000-0005-0000-0000-0000A9630000}"/>
    <cellStyle name="计算 2 11 6 2 2" xfId="25466" xr:uid="{00000000-0005-0000-0000-0000AA630000}"/>
    <cellStyle name="计算 2 11 6 2 2 2" xfId="14503" xr:uid="{00000000-0005-0000-0000-0000D7380000}"/>
    <cellStyle name="计算 2 11 6 2 3" xfId="25467" xr:uid="{00000000-0005-0000-0000-0000AB630000}"/>
    <cellStyle name="计算 2 11 6 2 3 2" xfId="14544" xr:uid="{00000000-0005-0000-0000-000000390000}"/>
    <cellStyle name="计算 2 11 6 2 4" xfId="25062" xr:uid="{00000000-0005-0000-0000-000016620000}"/>
    <cellStyle name="计算 2 11 6 2 4 2" xfId="5364" xr:uid="{00000000-0005-0000-0000-000024150000}"/>
    <cellStyle name="计算 2 11 6 2 5" xfId="25469" xr:uid="{00000000-0005-0000-0000-0000AD630000}"/>
    <cellStyle name="计算 2 11 6 2 5 2" xfId="9940" xr:uid="{00000000-0005-0000-0000-000004270000}"/>
    <cellStyle name="计算 2 11 6 2 6" xfId="25472" xr:uid="{00000000-0005-0000-0000-0000B0630000}"/>
    <cellStyle name="计算 2 11 6 2 7" xfId="9959" xr:uid="{00000000-0005-0000-0000-000017270000}"/>
    <cellStyle name="计算 2 11 6 2 8" xfId="9974" xr:uid="{00000000-0005-0000-0000-000026270000}"/>
    <cellStyle name="计算 2 11 6 2 9" xfId="13784" xr:uid="{00000000-0005-0000-0000-000008360000}"/>
    <cellStyle name="计算 2 11 6 3" xfId="25473" xr:uid="{00000000-0005-0000-0000-0000B1630000}"/>
    <cellStyle name="计算 2 11 6 3 2" xfId="5390" xr:uid="{00000000-0005-0000-0000-00003E150000}"/>
    <cellStyle name="计算 2 11 6 3 2 2" xfId="3324" xr:uid="{00000000-0005-0000-0000-00002C0D0000}"/>
    <cellStyle name="计算 2 11 6 3 3" xfId="5400" xr:uid="{00000000-0005-0000-0000-000048150000}"/>
    <cellStyle name="计算 2 11 6 3 3 2" xfId="14702" xr:uid="{00000000-0005-0000-0000-00009E390000}"/>
    <cellStyle name="计算 2 11 6 3 4" xfId="760" xr:uid="{00000000-0005-0000-0000-000028030000}"/>
    <cellStyle name="计算 2 11 6 3 4 2" xfId="9981" xr:uid="{00000000-0005-0000-0000-00002D270000}"/>
    <cellStyle name="计算 2 11 6 3 5" xfId="593" xr:uid="{00000000-0005-0000-0000-000081020000}"/>
    <cellStyle name="计算 2 11 6 3 5 2" xfId="9993" xr:uid="{00000000-0005-0000-0000-000039270000}"/>
    <cellStyle name="计算 2 11 6 3 6" xfId="10006" xr:uid="{00000000-0005-0000-0000-000046270000}"/>
    <cellStyle name="计算 2 11 6 4" xfId="25476" xr:uid="{00000000-0005-0000-0000-0000B4630000}"/>
    <cellStyle name="计算 2 11 6 4 2" xfId="25477" xr:uid="{00000000-0005-0000-0000-0000B5630000}"/>
    <cellStyle name="计算 2 11 6 4 2 2" xfId="11853" xr:uid="{00000000-0005-0000-0000-00007D2E0000}"/>
    <cellStyle name="计算 2 11 6 4 3" xfId="25478" xr:uid="{00000000-0005-0000-0000-0000B6630000}"/>
    <cellStyle name="计算 2 11 6 4 3 2" xfId="14868" xr:uid="{00000000-0005-0000-0000-0000443A0000}"/>
    <cellStyle name="计算 2 11 6 4 4" xfId="25080" xr:uid="{00000000-0005-0000-0000-000028620000}"/>
    <cellStyle name="计算 2 11 6 4 4 2" xfId="10043" xr:uid="{00000000-0005-0000-0000-00006B270000}"/>
    <cellStyle name="计算 2 11 6 4 5" xfId="25481" xr:uid="{00000000-0005-0000-0000-0000B9630000}"/>
    <cellStyle name="计算 2 11 6 4 5 2" xfId="10056" xr:uid="{00000000-0005-0000-0000-000078270000}"/>
    <cellStyle name="计算 2 11 6 4 6" xfId="10067" xr:uid="{00000000-0005-0000-0000-000083270000}"/>
    <cellStyle name="计算 2 11 6 5" xfId="25482" xr:uid="{00000000-0005-0000-0000-0000BA630000}"/>
    <cellStyle name="计算 2 11 6 5 2" xfId="25483" xr:uid="{00000000-0005-0000-0000-0000BB630000}"/>
    <cellStyle name="计算 2 11 6 5 2 2" xfId="12020" xr:uid="{00000000-0005-0000-0000-0000242F0000}"/>
    <cellStyle name="计算 2 11 6 5 3" xfId="25484" xr:uid="{00000000-0005-0000-0000-0000BC630000}"/>
    <cellStyle name="计算 2 11 6 5 3 2" xfId="12030" xr:uid="{00000000-0005-0000-0000-00002E2F0000}"/>
    <cellStyle name="计算 2 11 6 5 4" xfId="25090" xr:uid="{00000000-0005-0000-0000-000032620000}"/>
    <cellStyle name="计算 2 11 6 5 4 2" xfId="10103" xr:uid="{00000000-0005-0000-0000-0000A7270000}"/>
    <cellStyle name="计算 2 11 6 5 5" xfId="25487" xr:uid="{00000000-0005-0000-0000-0000BF630000}"/>
    <cellStyle name="计算 2 11 6 5 5 2" xfId="10115" xr:uid="{00000000-0005-0000-0000-0000B3270000}"/>
    <cellStyle name="计算 2 11 6 5 6" xfId="10126" xr:uid="{00000000-0005-0000-0000-0000BE270000}"/>
    <cellStyle name="计算 2 11 6 6" xfId="9218" xr:uid="{00000000-0005-0000-0000-000032240000}"/>
    <cellStyle name="计算 2 11 6 6 2" xfId="25490" xr:uid="{00000000-0005-0000-0000-0000C2630000}"/>
    <cellStyle name="计算 2 11 6 6 2 2" xfId="12066" xr:uid="{00000000-0005-0000-0000-0000522F0000}"/>
    <cellStyle name="计算 2 11 6 6 3" xfId="25492" xr:uid="{00000000-0005-0000-0000-0000C4630000}"/>
    <cellStyle name="计算 2 11 6 6 3 2" xfId="12078" xr:uid="{00000000-0005-0000-0000-00005E2F0000}"/>
    <cellStyle name="计算 2 11 6 6 4" xfId="25497" xr:uid="{00000000-0005-0000-0000-0000C9630000}"/>
    <cellStyle name="计算 2 11 6 6 4 2" xfId="10147" xr:uid="{00000000-0005-0000-0000-0000D3270000}"/>
    <cellStyle name="计算 2 11 6 6 5" xfId="25499" xr:uid="{00000000-0005-0000-0000-0000CB630000}"/>
    <cellStyle name="计算 2 11 6 6 5 2" xfId="10155" xr:uid="{00000000-0005-0000-0000-0000DB270000}"/>
    <cellStyle name="计算 2 11 6 6 6" xfId="10164" xr:uid="{00000000-0005-0000-0000-0000E4270000}"/>
    <cellStyle name="计算 2 11 6 7" xfId="25501" xr:uid="{00000000-0005-0000-0000-0000CD630000}"/>
    <cellStyle name="计算 2 11 6 7 2" xfId="25503" xr:uid="{00000000-0005-0000-0000-0000CF630000}"/>
    <cellStyle name="计算 2 11 6 7 2 2" xfId="12116" xr:uid="{00000000-0005-0000-0000-0000842F0000}"/>
    <cellStyle name="计算 2 11 6 7 3" xfId="25504" xr:uid="{00000000-0005-0000-0000-0000D0630000}"/>
    <cellStyle name="计算 2 11 6 7 3 2" xfId="238" xr:uid="{00000000-0005-0000-0000-000004010000}"/>
    <cellStyle name="计算 2 11 6 7 4" xfId="25507" xr:uid="{00000000-0005-0000-0000-0000D3630000}"/>
    <cellStyle name="计算 2 11 6 7 4 2" xfId="15377" xr:uid="{00000000-0005-0000-0000-0000413C0000}"/>
    <cellStyle name="计算 2 11 6 7 5" xfId="25508" xr:uid="{00000000-0005-0000-0000-0000D4630000}"/>
    <cellStyle name="计算 2 11 6 7 5 2" xfId="15407" xr:uid="{00000000-0005-0000-0000-00005F3C0000}"/>
    <cellStyle name="计算 2 11 6 7 6" xfId="19395" xr:uid="{00000000-0005-0000-0000-0000F34B0000}"/>
    <cellStyle name="计算 2 11 6 8" xfId="16540" xr:uid="{00000000-0005-0000-0000-0000CC400000}"/>
    <cellStyle name="计算 2 11 6 8 2" xfId="12155" xr:uid="{00000000-0005-0000-0000-0000AB2F0000}"/>
    <cellStyle name="计算 2 11 6 8 2 2" xfId="12161" xr:uid="{00000000-0005-0000-0000-0000B12F0000}"/>
    <cellStyle name="计算 2 11 6 8 3" xfId="12166" xr:uid="{00000000-0005-0000-0000-0000B62F0000}"/>
    <cellStyle name="计算 2 11 6 8 3 2" xfId="25509" xr:uid="{00000000-0005-0000-0000-0000D5630000}"/>
    <cellStyle name="计算 2 11 6 8 4" xfId="7756" xr:uid="{00000000-0005-0000-0000-00007C1E0000}"/>
    <cellStyle name="计算 2 11 6 8 4 2" xfId="23794" xr:uid="{00000000-0005-0000-0000-0000225D0000}"/>
    <cellStyle name="计算 2 11 6 8 5" xfId="13397" xr:uid="{00000000-0005-0000-0000-000085340000}"/>
    <cellStyle name="计算 2 11 6 9" xfId="23639" xr:uid="{00000000-0005-0000-0000-0000875C0000}"/>
    <cellStyle name="计算 2 11 6 9 2" xfId="23756" xr:uid="{00000000-0005-0000-0000-0000FC5C0000}"/>
    <cellStyle name="计算 2 11 7" xfId="25511" xr:uid="{00000000-0005-0000-0000-0000D7630000}"/>
    <cellStyle name="计算 2 11 7 10" xfId="6793" xr:uid="{00000000-0005-0000-0000-0000B91A0000}"/>
    <cellStyle name="计算 2 11 7 10 2" xfId="6801" xr:uid="{00000000-0005-0000-0000-0000C11A0000}"/>
    <cellStyle name="计算 2 11 7 11" xfId="6810" xr:uid="{00000000-0005-0000-0000-0000CA1A0000}"/>
    <cellStyle name="计算 2 11 7 11 2" xfId="6825" xr:uid="{00000000-0005-0000-0000-0000D91A0000}"/>
    <cellStyle name="计算 2 11 7 12" xfId="6407" xr:uid="{00000000-0005-0000-0000-000037190000}"/>
    <cellStyle name="计算 2 11 7 12 2" xfId="6349" xr:uid="{00000000-0005-0000-0000-0000FD180000}"/>
    <cellStyle name="计算 2 11 7 13" xfId="452" xr:uid="{00000000-0005-0000-0000-0000EE010000}"/>
    <cellStyle name="计算 2 11 7 14" xfId="6828" xr:uid="{00000000-0005-0000-0000-0000DC1A0000}"/>
    <cellStyle name="计算 2 11 7 15" xfId="25516" xr:uid="{00000000-0005-0000-0000-0000DC630000}"/>
    <cellStyle name="计算 2 11 7 16" xfId="25519" xr:uid="{00000000-0005-0000-0000-0000DF630000}"/>
    <cellStyle name="计算 2 11 7 2" xfId="25522" xr:uid="{00000000-0005-0000-0000-0000E2630000}"/>
    <cellStyle name="计算 2 11 7 2 2" xfId="25523" xr:uid="{00000000-0005-0000-0000-0000E3630000}"/>
    <cellStyle name="计算 2 11 7 2 2 2" xfId="16385" xr:uid="{00000000-0005-0000-0000-000031400000}"/>
    <cellStyle name="计算 2 11 7 2 3" xfId="25524" xr:uid="{00000000-0005-0000-0000-0000E4630000}"/>
    <cellStyle name="计算 2 11 7 2 3 2" xfId="16408" xr:uid="{00000000-0005-0000-0000-000048400000}"/>
    <cellStyle name="计算 2 11 7 2 4" xfId="25099" xr:uid="{00000000-0005-0000-0000-00003B620000}"/>
    <cellStyle name="计算 2 11 7 2 4 2" xfId="5300" xr:uid="{00000000-0005-0000-0000-0000E4140000}"/>
    <cellStyle name="计算 2 11 7 2 5" xfId="25526" xr:uid="{00000000-0005-0000-0000-0000E6630000}"/>
    <cellStyle name="计算 2 11 7 2 5 2" xfId="10252" xr:uid="{00000000-0005-0000-0000-00003C280000}"/>
    <cellStyle name="计算 2 11 7 2 6" xfId="25529" xr:uid="{00000000-0005-0000-0000-0000E9630000}"/>
    <cellStyle name="计算 2 11 7 2 7" xfId="10268" xr:uid="{00000000-0005-0000-0000-00004C280000}"/>
    <cellStyle name="计算 2 11 7 2 8" xfId="10279" xr:uid="{00000000-0005-0000-0000-000057280000}"/>
    <cellStyle name="计算 2 11 7 2 9" xfId="13884" xr:uid="{00000000-0005-0000-0000-00006C360000}"/>
    <cellStyle name="计算 2 11 7 3" xfId="25530" xr:uid="{00000000-0005-0000-0000-0000EA630000}"/>
    <cellStyle name="计算 2 11 7 3 2" xfId="25531" xr:uid="{00000000-0005-0000-0000-0000EB630000}"/>
    <cellStyle name="计算 2 11 7 3 2 2" xfId="16573" xr:uid="{00000000-0005-0000-0000-0000ED400000}"/>
    <cellStyle name="计算 2 11 7 3 3" xfId="25532" xr:uid="{00000000-0005-0000-0000-0000EC630000}"/>
    <cellStyle name="计算 2 11 7 3 3 2" xfId="1671" xr:uid="{00000000-0005-0000-0000-0000B7060000}"/>
    <cellStyle name="计算 2 11 7 3 4" xfId="25106" xr:uid="{00000000-0005-0000-0000-000042620000}"/>
    <cellStyle name="计算 2 11 7 3 4 2" xfId="10286" xr:uid="{00000000-0005-0000-0000-00005E280000}"/>
    <cellStyle name="计算 2 11 7 3 5" xfId="25534" xr:uid="{00000000-0005-0000-0000-0000EE630000}"/>
    <cellStyle name="计算 2 11 7 3 5 2" xfId="10296" xr:uid="{00000000-0005-0000-0000-000068280000}"/>
    <cellStyle name="计算 2 11 7 3 6" xfId="10307" xr:uid="{00000000-0005-0000-0000-000073280000}"/>
    <cellStyle name="计算 2 11 7 4" xfId="25537" xr:uid="{00000000-0005-0000-0000-0000F1630000}"/>
    <cellStyle name="计算 2 11 7 4 2" xfId="25538" xr:uid="{00000000-0005-0000-0000-0000F2630000}"/>
    <cellStyle name="计算 2 11 7 4 2 2" xfId="14781" xr:uid="{00000000-0005-0000-0000-0000ED390000}"/>
    <cellStyle name="计算 2 11 7 4 3" xfId="25539" xr:uid="{00000000-0005-0000-0000-0000F3630000}"/>
    <cellStyle name="计算 2 11 7 4 3 2" xfId="5251" xr:uid="{00000000-0005-0000-0000-0000B3140000}"/>
    <cellStyle name="计算 2 11 7 4 4" xfId="25111" xr:uid="{00000000-0005-0000-0000-000047620000}"/>
    <cellStyle name="计算 2 11 7 4 4 2" xfId="10342" xr:uid="{00000000-0005-0000-0000-000096280000}"/>
    <cellStyle name="计算 2 11 7 4 5" xfId="25541" xr:uid="{00000000-0005-0000-0000-0000F5630000}"/>
    <cellStyle name="计算 2 11 7 4 5 2" xfId="10355" xr:uid="{00000000-0005-0000-0000-0000A3280000}"/>
    <cellStyle name="计算 2 11 7 4 6" xfId="10367" xr:uid="{00000000-0005-0000-0000-0000AF280000}"/>
    <cellStyle name="计算 2 11 7 5" xfId="25543" xr:uid="{00000000-0005-0000-0000-0000F7630000}"/>
    <cellStyle name="计算 2 11 7 5 2" xfId="25545" xr:uid="{00000000-0005-0000-0000-0000F9630000}"/>
    <cellStyle name="计算 2 11 7 5 2 2" xfId="12260" xr:uid="{00000000-0005-0000-0000-000014300000}"/>
    <cellStyle name="计算 2 11 7 5 3" xfId="25548" xr:uid="{00000000-0005-0000-0000-0000FC630000}"/>
    <cellStyle name="计算 2 11 7 5 3 2" xfId="12269" xr:uid="{00000000-0005-0000-0000-00001D300000}"/>
    <cellStyle name="计算 2 11 7 5 4" xfId="25119" xr:uid="{00000000-0005-0000-0000-00004F620000}"/>
    <cellStyle name="计算 2 11 7 5 4 2" xfId="10398" xr:uid="{00000000-0005-0000-0000-0000CE280000}"/>
    <cellStyle name="计算 2 11 7 5 5" xfId="25551" xr:uid="{00000000-0005-0000-0000-0000FF630000}"/>
    <cellStyle name="计算 2 11 7 5 5 2" xfId="10409" xr:uid="{00000000-0005-0000-0000-0000D9280000}"/>
    <cellStyle name="计算 2 11 7 5 6" xfId="10419" xr:uid="{00000000-0005-0000-0000-0000E3280000}"/>
    <cellStyle name="计算 2 11 7 6" xfId="25553" xr:uid="{00000000-0005-0000-0000-000001640000}"/>
    <cellStyle name="计算 2 11 7 6 2" xfId="25556" xr:uid="{00000000-0005-0000-0000-000004640000}"/>
    <cellStyle name="计算 2 11 7 6 2 2" xfId="12305" xr:uid="{00000000-0005-0000-0000-000041300000}"/>
    <cellStyle name="计算 2 11 7 6 3" xfId="25559" xr:uid="{00000000-0005-0000-0000-000007640000}"/>
    <cellStyle name="计算 2 11 7 6 3 2" xfId="12317" xr:uid="{00000000-0005-0000-0000-00004D300000}"/>
    <cellStyle name="计算 2 11 7 6 4" xfId="25564" xr:uid="{00000000-0005-0000-0000-00000C640000}"/>
    <cellStyle name="计算 2 11 7 6 4 2" xfId="1097" xr:uid="{00000000-0005-0000-0000-000079040000}"/>
    <cellStyle name="计算 2 11 7 6 5" xfId="25566" xr:uid="{00000000-0005-0000-0000-00000E640000}"/>
    <cellStyle name="计算 2 11 7 6 5 2" xfId="1119" xr:uid="{00000000-0005-0000-0000-00008F040000}"/>
    <cellStyle name="计算 2 11 7 6 6" xfId="9839" xr:uid="{00000000-0005-0000-0000-00009F260000}"/>
    <cellStyle name="计算 2 11 7 7" xfId="25568" xr:uid="{00000000-0005-0000-0000-000010640000}"/>
    <cellStyle name="计算 2 11 7 7 2" xfId="25571" xr:uid="{00000000-0005-0000-0000-000013640000}"/>
    <cellStyle name="计算 2 11 7 7 2 2" xfId="12347" xr:uid="{00000000-0005-0000-0000-00006B300000}"/>
    <cellStyle name="计算 2 11 7 7 3" xfId="25573" xr:uid="{00000000-0005-0000-0000-000015640000}"/>
    <cellStyle name="计算 2 11 7 7 3 2" xfId="12354" xr:uid="{00000000-0005-0000-0000-000072300000}"/>
    <cellStyle name="计算 2 11 7 7 4" xfId="25575" xr:uid="{00000000-0005-0000-0000-000017640000}"/>
    <cellStyle name="计算 2 11 7 7 4 2" xfId="17188" xr:uid="{00000000-0005-0000-0000-000054430000}"/>
    <cellStyle name="计算 2 11 7 7 5" xfId="25576" xr:uid="{00000000-0005-0000-0000-000018640000}"/>
    <cellStyle name="计算 2 11 7 7 5 2" xfId="17221" xr:uid="{00000000-0005-0000-0000-000075430000}"/>
    <cellStyle name="计算 2 11 7 7 6" xfId="14807" xr:uid="{00000000-0005-0000-0000-0000073A0000}"/>
    <cellStyle name="计算 2 11 7 8" xfId="16544" xr:uid="{00000000-0005-0000-0000-0000D0400000}"/>
    <cellStyle name="计算 2 11 7 8 2" xfId="25578" xr:uid="{00000000-0005-0000-0000-00001A640000}"/>
    <cellStyle name="计算 2 11 7 8 2 2" xfId="1982" xr:uid="{00000000-0005-0000-0000-0000EE070000}"/>
    <cellStyle name="计算 2 11 7 8 3" xfId="25579" xr:uid="{00000000-0005-0000-0000-00001B640000}"/>
    <cellStyle name="计算 2 11 7 8 3 2" xfId="2594" xr:uid="{00000000-0005-0000-0000-0000520A0000}"/>
    <cellStyle name="计算 2 11 7 8 4" xfId="25582" xr:uid="{00000000-0005-0000-0000-00001E640000}"/>
    <cellStyle name="计算 2 11 7 8 4 2" xfId="2702" xr:uid="{00000000-0005-0000-0000-0000BE0A0000}"/>
    <cellStyle name="计算 2 11 7 8 5" xfId="25583" xr:uid="{00000000-0005-0000-0000-00001F640000}"/>
    <cellStyle name="计算 2 11 7 9" xfId="25585" xr:uid="{00000000-0005-0000-0000-000021640000}"/>
    <cellStyle name="计算 2 11 7 9 2" xfId="25588" xr:uid="{00000000-0005-0000-0000-000024640000}"/>
    <cellStyle name="计算 2 11 8" xfId="25589" xr:uid="{00000000-0005-0000-0000-000025640000}"/>
    <cellStyle name="计算 2 11 8 10" xfId="11023" xr:uid="{00000000-0005-0000-0000-00003F2B0000}"/>
    <cellStyle name="计算 2 11 8 10 2" xfId="2704" xr:uid="{00000000-0005-0000-0000-0000C00A0000}"/>
    <cellStyle name="计算 2 11 8 11" xfId="25591" xr:uid="{00000000-0005-0000-0000-000027640000}"/>
    <cellStyle name="计算 2 11 8 11 2" xfId="25594" xr:uid="{00000000-0005-0000-0000-00002A640000}"/>
    <cellStyle name="计算 2 11 8 12" xfId="25595" xr:uid="{00000000-0005-0000-0000-00002B640000}"/>
    <cellStyle name="计算 2 11 8 12 2" xfId="4868" xr:uid="{00000000-0005-0000-0000-000034130000}"/>
    <cellStyle name="计算 2 11 8 13" xfId="14476" xr:uid="{00000000-0005-0000-0000-0000BC380000}"/>
    <cellStyle name="计算 2 11 8 14" xfId="14149" xr:uid="{00000000-0005-0000-0000-000075370000}"/>
    <cellStyle name="计算 2 11 8 15" xfId="14299" xr:uid="{00000000-0005-0000-0000-00000B380000}"/>
    <cellStyle name="计算 2 11 8 16" xfId="14465" xr:uid="{00000000-0005-0000-0000-0000B1380000}"/>
    <cellStyle name="计算 2 11 8 2" xfId="25596" xr:uid="{00000000-0005-0000-0000-00002C640000}"/>
    <cellStyle name="计算 2 11 8 2 2" xfId="25597" xr:uid="{00000000-0005-0000-0000-00002D640000}"/>
    <cellStyle name="计算 2 11 8 2 2 2" xfId="18038" xr:uid="{00000000-0005-0000-0000-0000A6460000}"/>
    <cellStyle name="计算 2 11 8 2 3" xfId="25599" xr:uid="{00000000-0005-0000-0000-00002F640000}"/>
    <cellStyle name="计算 2 11 8 2 3 2" xfId="18072" xr:uid="{00000000-0005-0000-0000-0000C8460000}"/>
    <cellStyle name="计算 2 11 8 2 4" xfId="25132" xr:uid="{00000000-0005-0000-0000-00005C620000}"/>
    <cellStyle name="计算 2 11 8 2 4 2" xfId="6092" xr:uid="{00000000-0005-0000-0000-0000FC170000}"/>
    <cellStyle name="计算 2 11 8 2 5" xfId="25601" xr:uid="{00000000-0005-0000-0000-000031640000}"/>
    <cellStyle name="计算 2 11 8 2 5 2" xfId="10613" xr:uid="{00000000-0005-0000-0000-0000A5290000}"/>
    <cellStyle name="计算 2 11 8 2 6" xfId="25603" xr:uid="{00000000-0005-0000-0000-000033640000}"/>
    <cellStyle name="计算 2 11 8 2 7" xfId="10638" xr:uid="{00000000-0005-0000-0000-0000BE290000}"/>
    <cellStyle name="计算 2 11 8 2 8" xfId="25606" xr:uid="{00000000-0005-0000-0000-000036640000}"/>
    <cellStyle name="计算 2 11 8 2 9" xfId="25608" xr:uid="{00000000-0005-0000-0000-000038640000}"/>
    <cellStyle name="计算 2 11 8 3" xfId="25609" xr:uid="{00000000-0005-0000-0000-000039640000}"/>
    <cellStyle name="计算 2 11 8 3 2" xfId="25610" xr:uid="{00000000-0005-0000-0000-00003A640000}"/>
    <cellStyle name="计算 2 11 8 3 2 2" xfId="18304" xr:uid="{00000000-0005-0000-0000-0000B0470000}"/>
    <cellStyle name="计算 2 11 8 3 3" xfId="25612" xr:uid="{00000000-0005-0000-0000-00003C640000}"/>
    <cellStyle name="计算 2 11 8 3 3 2" xfId="18345" xr:uid="{00000000-0005-0000-0000-0000D9470000}"/>
    <cellStyle name="计算 2 11 8 3 4" xfId="25140" xr:uid="{00000000-0005-0000-0000-000064620000}"/>
    <cellStyle name="计算 2 11 8 3 4 2" xfId="10658" xr:uid="{00000000-0005-0000-0000-0000D2290000}"/>
    <cellStyle name="计算 2 11 8 3 5" xfId="25614" xr:uid="{00000000-0005-0000-0000-00003E640000}"/>
    <cellStyle name="计算 2 11 8 3 5 2" xfId="10676" xr:uid="{00000000-0005-0000-0000-0000E4290000}"/>
    <cellStyle name="计算 2 11 8 3 6" xfId="25616" xr:uid="{00000000-0005-0000-0000-000040640000}"/>
    <cellStyle name="计算 2 11 8 4" xfId="25617" xr:uid="{00000000-0005-0000-0000-000041640000}"/>
    <cellStyle name="计算 2 11 8 4 2" xfId="25619" xr:uid="{00000000-0005-0000-0000-000043640000}"/>
    <cellStyle name="计算 2 11 8 4 2 2" xfId="18606" xr:uid="{00000000-0005-0000-0000-0000DE480000}"/>
    <cellStyle name="计算 2 11 8 4 3" xfId="25622" xr:uid="{00000000-0005-0000-0000-000046640000}"/>
    <cellStyle name="计算 2 11 8 4 3 2" xfId="18663" xr:uid="{00000000-0005-0000-0000-000017490000}"/>
    <cellStyle name="计算 2 11 8 4 4" xfId="25148" xr:uid="{00000000-0005-0000-0000-00006C620000}"/>
    <cellStyle name="计算 2 11 8 4 4 2" xfId="10731" xr:uid="{00000000-0005-0000-0000-00001B2A0000}"/>
    <cellStyle name="计算 2 11 8 4 5" xfId="25625" xr:uid="{00000000-0005-0000-0000-000049640000}"/>
    <cellStyle name="计算 2 11 8 4 5 2" xfId="10754" xr:uid="{00000000-0005-0000-0000-0000322A0000}"/>
    <cellStyle name="计算 2 11 8 4 6" xfId="25628" xr:uid="{00000000-0005-0000-0000-00004C640000}"/>
    <cellStyle name="计算 2 11 8 5" xfId="25630" xr:uid="{00000000-0005-0000-0000-00004E640000}"/>
    <cellStyle name="计算 2 11 8 5 2" xfId="25631" xr:uid="{00000000-0005-0000-0000-00004F640000}"/>
    <cellStyle name="计算 2 11 8 5 2 2" xfId="14045" xr:uid="{00000000-0005-0000-0000-00000D370000}"/>
    <cellStyle name="计算 2 11 8 5 3" xfId="25633" xr:uid="{00000000-0005-0000-0000-000051640000}"/>
    <cellStyle name="计算 2 11 8 5 3 2" xfId="14093" xr:uid="{00000000-0005-0000-0000-00003D370000}"/>
    <cellStyle name="计算 2 11 8 5 4" xfId="25635" xr:uid="{00000000-0005-0000-0000-000053640000}"/>
    <cellStyle name="计算 2 11 8 5 4 2" xfId="1788" xr:uid="{00000000-0005-0000-0000-00002C070000}"/>
    <cellStyle name="计算 2 11 8 5 5" xfId="25638" xr:uid="{00000000-0005-0000-0000-000056640000}"/>
    <cellStyle name="计算 2 11 8 5 5 2" xfId="10808" xr:uid="{00000000-0005-0000-0000-0000682A0000}"/>
    <cellStyle name="计算 2 11 8 5 6" xfId="25641" xr:uid="{00000000-0005-0000-0000-000059640000}"/>
    <cellStyle name="计算 2 11 8 6" xfId="25643" xr:uid="{00000000-0005-0000-0000-00005B640000}"/>
    <cellStyle name="计算 2 11 8 6 2" xfId="25645" xr:uid="{00000000-0005-0000-0000-00005D640000}"/>
    <cellStyle name="计算 2 11 8 6 2 2" xfId="18992" xr:uid="{00000000-0005-0000-0000-0000604A0000}"/>
    <cellStyle name="计算 2 11 8 6 3" xfId="25646" xr:uid="{00000000-0005-0000-0000-00005E640000}"/>
    <cellStyle name="计算 2 11 8 6 3 2" xfId="19013" xr:uid="{00000000-0005-0000-0000-0000754A0000}"/>
    <cellStyle name="计算 2 11 8 6 4" xfId="25649" xr:uid="{00000000-0005-0000-0000-000061640000}"/>
    <cellStyle name="计算 2 11 8 6 4 2" xfId="10838" xr:uid="{00000000-0005-0000-0000-0000862A0000}"/>
    <cellStyle name="计算 2 11 8 6 5" xfId="25650" xr:uid="{00000000-0005-0000-0000-000062640000}"/>
    <cellStyle name="计算 2 11 8 6 5 2" xfId="10845" xr:uid="{00000000-0005-0000-0000-00008D2A0000}"/>
    <cellStyle name="计算 2 11 8 6 6" xfId="10849" xr:uid="{00000000-0005-0000-0000-0000912A0000}"/>
    <cellStyle name="计算 2 11 8 7" xfId="25652" xr:uid="{00000000-0005-0000-0000-000064640000}"/>
    <cellStyle name="计算 2 11 8 7 2" xfId="25655" xr:uid="{00000000-0005-0000-0000-000067640000}"/>
    <cellStyle name="计算 2 11 8 7 2 2" xfId="19120" xr:uid="{00000000-0005-0000-0000-0000E04A0000}"/>
    <cellStyle name="计算 2 11 8 7 3" xfId="25656" xr:uid="{00000000-0005-0000-0000-000068640000}"/>
    <cellStyle name="计算 2 11 8 7 3 2" xfId="19140" xr:uid="{00000000-0005-0000-0000-0000F44A0000}"/>
    <cellStyle name="计算 2 11 8 7 4" xfId="25658" xr:uid="{00000000-0005-0000-0000-00006A640000}"/>
    <cellStyle name="计算 2 11 8 7 4 2" xfId="19153" xr:uid="{00000000-0005-0000-0000-0000014B0000}"/>
    <cellStyle name="计算 2 11 8 7 5" xfId="25659" xr:uid="{00000000-0005-0000-0000-00006B640000}"/>
    <cellStyle name="计算 2 11 8 7 5 2" xfId="19167" xr:uid="{00000000-0005-0000-0000-00000F4B0000}"/>
    <cellStyle name="计算 2 11 8 7 6" xfId="14837" xr:uid="{00000000-0005-0000-0000-0000253A0000}"/>
    <cellStyle name="计算 2 11 8 8" xfId="25662" xr:uid="{00000000-0005-0000-0000-00006E640000}"/>
    <cellStyle name="计算 2 11 8 8 2" xfId="25664" xr:uid="{00000000-0005-0000-0000-000070640000}"/>
    <cellStyle name="计算 2 11 8 8 2 2" xfId="25665" xr:uid="{00000000-0005-0000-0000-000071640000}"/>
    <cellStyle name="计算 2 11 8 8 3" xfId="25666" xr:uid="{00000000-0005-0000-0000-000072640000}"/>
    <cellStyle name="计算 2 11 8 8 3 2" xfId="25668" xr:uid="{00000000-0005-0000-0000-000074640000}"/>
    <cellStyle name="计算 2 11 8 8 4" xfId="25669" xr:uid="{00000000-0005-0000-0000-000075640000}"/>
    <cellStyle name="计算 2 11 8 8 4 2" xfId="1284" xr:uid="{00000000-0005-0000-0000-000034050000}"/>
    <cellStyle name="计算 2 11 8 8 5" xfId="25670" xr:uid="{00000000-0005-0000-0000-000076640000}"/>
    <cellStyle name="计算 2 11 8 9" xfId="25672" xr:uid="{00000000-0005-0000-0000-000078640000}"/>
    <cellStyle name="计算 2 11 8 9 2" xfId="25674" xr:uid="{00000000-0005-0000-0000-00007A640000}"/>
    <cellStyle name="计算 2 11 9" xfId="24467" xr:uid="{00000000-0005-0000-0000-0000C35F0000}"/>
    <cellStyle name="计算 2 11 9 10" xfId="21855" xr:uid="{00000000-0005-0000-0000-00008F550000}"/>
    <cellStyle name="计算 2 11 9 10 2" xfId="7974" xr:uid="{00000000-0005-0000-0000-0000561F0000}"/>
    <cellStyle name="计算 2 11 9 11" xfId="25675" xr:uid="{00000000-0005-0000-0000-00007B640000}"/>
    <cellStyle name="计算 2 11 9 11 2" xfId="11498" xr:uid="{00000000-0005-0000-0000-00001A2D0000}"/>
    <cellStyle name="计算 2 11 9 12" xfId="25676" xr:uid="{00000000-0005-0000-0000-00007C640000}"/>
    <cellStyle name="计算 2 11 9 12 2" xfId="15605" xr:uid="{00000000-0005-0000-0000-0000253D0000}"/>
    <cellStyle name="计算 2 11 9 13" xfId="14611" xr:uid="{00000000-0005-0000-0000-000043390000}"/>
    <cellStyle name="计算 2 11 9 14" xfId="14618" xr:uid="{00000000-0005-0000-0000-00004A390000}"/>
    <cellStyle name="计算 2 11 9 15" xfId="14623" xr:uid="{00000000-0005-0000-0000-00004F390000}"/>
    <cellStyle name="计算 2 11 9 16" xfId="9950" xr:uid="{00000000-0005-0000-0000-00000E270000}"/>
    <cellStyle name="计算 2 11 9 2" xfId="21194" xr:uid="{00000000-0005-0000-0000-0000FA520000}"/>
    <cellStyle name="计算 2 11 9 2 2" xfId="21196" xr:uid="{00000000-0005-0000-0000-0000FC520000}"/>
    <cellStyle name="计算 2 11 9 2 2 2" xfId="19787" xr:uid="{00000000-0005-0000-0000-00007B4D0000}"/>
    <cellStyle name="计算 2 11 9 2 3" xfId="25678" xr:uid="{00000000-0005-0000-0000-00007E640000}"/>
    <cellStyle name="计算 2 11 9 2 3 2" xfId="19800" xr:uid="{00000000-0005-0000-0000-0000884D0000}"/>
    <cellStyle name="计算 2 11 9 2 4" xfId="6369" xr:uid="{00000000-0005-0000-0000-000011190000}"/>
    <cellStyle name="计算 2 11 9 2 4 2" xfId="6391" xr:uid="{00000000-0005-0000-0000-000027190000}"/>
    <cellStyle name="计算 2 11 9 2 5" xfId="25679" xr:uid="{00000000-0005-0000-0000-00007F640000}"/>
    <cellStyle name="计算 2 11 9 2 5 2" xfId="6416" xr:uid="{00000000-0005-0000-0000-000040190000}"/>
    <cellStyle name="计算 2 11 9 2 6" xfId="25680" xr:uid="{00000000-0005-0000-0000-000080640000}"/>
    <cellStyle name="计算 2 11 9 2 7" xfId="2055" xr:uid="{00000000-0005-0000-0000-000037080000}"/>
    <cellStyle name="计算 2 11 9 2 8" xfId="22480" xr:uid="{00000000-0005-0000-0000-000000580000}"/>
    <cellStyle name="计算 2 11 9 2 9" xfId="25682" xr:uid="{00000000-0005-0000-0000-000082640000}"/>
    <cellStyle name="计算 2 11 9 3" xfId="21200" xr:uid="{00000000-0005-0000-0000-000000530000}"/>
    <cellStyle name="计算 2 11 9 3 2" xfId="25683" xr:uid="{00000000-0005-0000-0000-000083640000}"/>
    <cellStyle name="计算 2 11 9 3 2 2" xfId="19862" xr:uid="{00000000-0005-0000-0000-0000C64D0000}"/>
    <cellStyle name="计算 2 11 9 3 3" xfId="25685" xr:uid="{00000000-0005-0000-0000-000085640000}"/>
    <cellStyle name="计算 2 11 9 3 3 2" xfId="19880" xr:uid="{00000000-0005-0000-0000-0000D84D0000}"/>
    <cellStyle name="计算 2 11 9 3 4" xfId="25686" xr:uid="{00000000-0005-0000-0000-000086640000}"/>
    <cellStyle name="计算 2 11 9 3 4 2" xfId="6450" xr:uid="{00000000-0005-0000-0000-000062190000}"/>
    <cellStyle name="计算 2 11 9 3 5" xfId="25688" xr:uid="{00000000-0005-0000-0000-000088640000}"/>
    <cellStyle name="计算 2 11 9 3 5 2" xfId="6465" xr:uid="{00000000-0005-0000-0000-000071190000}"/>
    <cellStyle name="计算 2 11 9 3 6" xfId="25689" xr:uid="{00000000-0005-0000-0000-000089640000}"/>
    <cellStyle name="计算 2 11 9 4" xfId="21203" xr:uid="{00000000-0005-0000-0000-000003530000}"/>
    <cellStyle name="计算 2 11 9 4 2" xfId="25690" xr:uid="{00000000-0005-0000-0000-00008A640000}"/>
    <cellStyle name="计算 2 11 9 4 2 2" xfId="19945" xr:uid="{00000000-0005-0000-0000-0000194E0000}"/>
    <cellStyle name="计算 2 11 9 4 3" xfId="25692" xr:uid="{00000000-0005-0000-0000-00008C640000}"/>
    <cellStyle name="计算 2 11 9 4 3 2" xfId="19962" xr:uid="{00000000-0005-0000-0000-00002A4E0000}"/>
    <cellStyle name="计算 2 11 9 4 4" xfId="25693" xr:uid="{00000000-0005-0000-0000-00008D640000}"/>
    <cellStyle name="计算 2 11 9 4 4 2" xfId="6483" xr:uid="{00000000-0005-0000-0000-000083190000}"/>
    <cellStyle name="计算 2 11 9 4 5" xfId="25695" xr:uid="{00000000-0005-0000-0000-00008F640000}"/>
    <cellStyle name="计算 2 11 9 4 5 2" xfId="6491" xr:uid="{00000000-0005-0000-0000-00008B190000}"/>
    <cellStyle name="计算 2 11 9 4 6" xfId="25697" xr:uid="{00000000-0005-0000-0000-000091640000}"/>
    <cellStyle name="计算 2 11 9 5" xfId="21208" xr:uid="{00000000-0005-0000-0000-000008530000}"/>
    <cellStyle name="计算 2 11 9 5 2" xfId="25698" xr:uid="{00000000-0005-0000-0000-000092640000}"/>
    <cellStyle name="计算 2 11 9 5 2 2" xfId="20062" xr:uid="{00000000-0005-0000-0000-00008E4E0000}"/>
    <cellStyle name="计算 2 11 9 5 3" xfId="25700" xr:uid="{00000000-0005-0000-0000-000094640000}"/>
    <cellStyle name="计算 2 11 9 5 3 2" xfId="20075" xr:uid="{00000000-0005-0000-0000-00009B4E0000}"/>
    <cellStyle name="计算 2 11 9 5 4" xfId="25701" xr:uid="{00000000-0005-0000-0000-000095640000}"/>
    <cellStyle name="计算 2 11 9 5 4 2" xfId="8142" xr:uid="{00000000-0005-0000-0000-0000FE1F0000}"/>
    <cellStyle name="计算 2 11 9 5 5" xfId="25703" xr:uid="{00000000-0005-0000-0000-000097640000}"/>
    <cellStyle name="计算 2 11 9 5 5 2" xfId="8863" xr:uid="{00000000-0005-0000-0000-0000CF220000}"/>
    <cellStyle name="计算 2 11 9 5 6" xfId="25705" xr:uid="{00000000-0005-0000-0000-000099640000}"/>
    <cellStyle name="计算 2 11 9 6" xfId="21211" xr:uid="{00000000-0005-0000-0000-00000B530000}"/>
    <cellStyle name="计算 2 11 9 6 2" xfId="25707" xr:uid="{00000000-0005-0000-0000-00009B640000}"/>
    <cellStyle name="计算 2 11 9 6 2 2" xfId="20136" xr:uid="{00000000-0005-0000-0000-0000D84E0000}"/>
    <cellStyle name="计算 2 11 9 6 3" xfId="25708" xr:uid="{00000000-0005-0000-0000-00009C640000}"/>
    <cellStyle name="计算 2 11 9 6 3 2" xfId="20145" xr:uid="{00000000-0005-0000-0000-0000E14E0000}"/>
    <cellStyle name="计算 2 11 9 6 4" xfId="25710" xr:uid="{00000000-0005-0000-0000-00009E640000}"/>
    <cellStyle name="计算 2 11 9 6 4 2" xfId="10931" xr:uid="{00000000-0005-0000-0000-0000E32A0000}"/>
    <cellStyle name="计算 2 11 9 6 5" xfId="25711" xr:uid="{00000000-0005-0000-0000-00009F640000}"/>
    <cellStyle name="计算 2 11 9 6 5 2" xfId="2828" xr:uid="{00000000-0005-0000-0000-00003C0B0000}"/>
    <cellStyle name="计算 2 11 9 6 6" xfId="2835" xr:uid="{00000000-0005-0000-0000-0000430B0000}"/>
    <cellStyle name="计算 2 11 9 7" xfId="25713" xr:uid="{00000000-0005-0000-0000-0000A1640000}"/>
    <cellStyle name="计算 2 11 9 7 2" xfId="25716" xr:uid="{00000000-0005-0000-0000-0000A4640000}"/>
    <cellStyle name="计算 2 11 9 7 2 2" xfId="20199" xr:uid="{00000000-0005-0000-0000-0000174F0000}"/>
    <cellStyle name="计算 2 11 9 7 3" xfId="25717" xr:uid="{00000000-0005-0000-0000-0000A5640000}"/>
    <cellStyle name="计算 2 11 9 7 3 2" xfId="525" xr:uid="{00000000-0005-0000-0000-00003B020000}"/>
    <cellStyle name="计算 2 11 9 7 4" xfId="25719" xr:uid="{00000000-0005-0000-0000-0000A7640000}"/>
    <cellStyle name="计算 2 11 9 7 4 2" xfId="20210" xr:uid="{00000000-0005-0000-0000-0000224F0000}"/>
    <cellStyle name="计算 2 11 9 7 5" xfId="25720" xr:uid="{00000000-0005-0000-0000-0000A8640000}"/>
    <cellStyle name="计算 2 11 9 7 5 2" xfId="20217" xr:uid="{00000000-0005-0000-0000-0000294F0000}"/>
    <cellStyle name="计算 2 11 9 7 6" xfId="11837" xr:uid="{00000000-0005-0000-0000-00006D2E0000}"/>
    <cellStyle name="计算 2 11 9 8" xfId="25723" xr:uid="{00000000-0005-0000-0000-0000AB640000}"/>
    <cellStyle name="计算 2 11 9 8 2" xfId="25725" xr:uid="{00000000-0005-0000-0000-0000AD640000}"/>
    <cellStyle name="计算 2 11 9 8 2 2" xfId="25726" xr:uid="{00000000-0005-0000-0000-0000AE640000}"/>
    <cellStyle name="计算 2 11 9 8 3" xfId="25727" xr:uid="{00000000-0005-0000-0000-0000AF640000}"/>
    <cellStyle name="计算 2 11 9 8 3 2" xfId="12219" xr:uid="{00000000-0005-0000-0000-0000EB2F0000}"/>
    <cellStyle name="计算 2 11 9 8 4" xfId="25729" xr:uid="{00000000-0005-0000-0000-0000B1640000}"/>
    <cellStyle name="计算 2 11 9 8 4 2" xfId="25730" xr:uid="{00000000-0005-0000-0000-0000B2640000}"/>
    <cellStyle name="计算 2 11 9 8 5" xfId="25731" xr:uid="{00000000-0005-0000-0000-0000B3640000}"/>
    <cellStyle name="计算 2 11 9 9" xfId="13015" xr:uid="{00000000-0005-0000-0000-000007330000}"/>
    <cellStyle name="计算 2 11 9 9 2" xfId="13018" xr:uid="{00000000-0005-0000-0000-00000A330000}"/>
    <cellStyle name="计算 2 12" xfId="25733" xr:uid="{00000000-0005-0000-0000-0000B5640000}"/>
    <cellStyle name="计算 2 12 10" xfId="2562" xr:uid="{00000000-0005-0000-0000-0000320A0000}"/>
    <cellStyle name="计算 2 12 10 2" xfId="2582" xr:uid="{00000000-0005-0000-0000-0000460A0000}"/>
    <cellStyle name="计算 2 12 10 2 2" xfId="24565" xr:uid="{00000000-0005-0000-0000-000025600000}"/>
    <cellStyle name="计算 2 12 10 3" xfId="25735" xr:uid="{00000000-0005-0000-0000-0000B7640000}"/>
    <cellStyle name="计算 2 12 10 3 2" xfId="24588" xr:uid="{00000000-0005-0000-0000-00003C600000}"/>
    <cellStyle name="计算 2 12 10 4" xfId="25739" xr:uid="{00000000-0005-0000-0000-0000BB640000}"/>
    <cellStyle name="计算 2 12 10 4 2" xfId="24606" xr:uid="{00000000-0005-0000-0000-00004E600000}"/>
    <cellStyle name="计算 2 12 10 5" xfId="25743" xr:uid="{00000000-0005-0000-0000-0000BF640000}"/>
    <cellStyle name="计算 2 12 10 5 2" xfId="24617" xr:uid="{00000000-0005-0000-0000-000059600000}"/>
    <cellStyle name="计算 2 12 10 6" xfId="18259" xr:uid="{00000000-0005-0000-0000-000083470000}"/>
    <cellStyle name="计算 2 12 10 7" xfId="25745" xr:uid="{00000000-0005-0000-0000-0000C1640000}"/>
    <cellStyle name="计算 2 12 10 8" xfId="25747" xr:uid="{00000000-0005-0000-0000-0000C3640000}"/>
    <cellStyle name="计算 2 12 10 9" xfId="25748" xr:uid="{00000000-0005-0000-0000-0000C4640000}"/>
    <cellStyle name="计算 2 12 11" xfId="2589" xr:uid="{00000000-0005-0000-0000-00004D0A0000}"/>
    <cellStyle name="计算 2 12 11 2" xfId="421" xr:uid="{00000000-0005-0000-0000-0000CD010000}"/>
    <cellStyle name="计算 2 12 11 2 2" xfId="24696" xr:uid="{00000000-0005-0000-0000-0000A8600000}"/>
    <cellStyle name="计算 2 12 11 3" xfId="469" xr:uid="{00000000-0005-0000-0000-000000020000}"/>
    <cellStyle name="计算 2 12 11 3 2" xfId="4567" xr:uid="{00000000-0005-0000-0000-000007120000}"/>
    <cellStyle name="计算 2 12 11 4" xfId="516" xr:uid="{00000000-0005-0000-0000-000032020000}"/>
    <cellStyle name="计算 2 12 11 4 2" xfId="5224" xr:uid="{00000000-0005-0000-0000-000098140000}"/>
    <cellStyle name="计算 2 12 11 5" xfId="5238" xr:uid="{00000000-0005-0000-0000-0000A6140000}"/>
    <cellStyle name="计算 2 12 11 5 2" xfId="5625" xr:uid="{00000000-0005-0000-0000-000029160000}"/>
    <cellStyle name="计算 2 12 11 6" xfId="3010" xr:uid="{00000000-0005-0000-0000-0000F20B0000}"/>
    <cellStyle name="计算 2 12 12" xfId="2597" xr:uid="{00000000-0005-0000-0000-0000550A0000}"/>
    <cellStyle name="计算 2 12 12 2" xfId="2609" xr:uid="{00000000-0005-0000-0000-0000610A0000}"/>
    <cellStyle name="计算 2 12 12 2 2" xfId="8635" xr:uid="{00000000-0005-0000-0000-0000EB210000}"/>
    <cellStyle name="计算 2 12 12 3" xfId="5655" xr:uid="{00000000-0005-0000-0000-000047160000}"/>
    <cellStyle name="计算 2 12 12 3 2" xfId="5670" xr:uid="{00000000-0005-0000-0000-000056160000}"/>
    <cellStyle name="计算 2 12 12 4" xfId="5677" xr:uid="{00000000-0005-0000-0000-00005D160000}"/>
    <cellStyle name="计算 2 12 12 4 2" xfId="5682" xr:uid="{00000000-0005-0000-0000-000062160000}"/>
    <cellStyle name="计算 2 12 12 5" xfId="5694" xr:uid="{00000000-0005-0000-0000-00006E160000}"/>
    <cellStyle name="计算 2 12 12 5 2" xfId="5700" xr:uid="{00000000-0005-0000-0000-000074160000}"/>
    <cellStyle name="计算 2 12 12 6" xfId="5720" xr:uid="{00000000-0005-0000-0000-000088160000}"/>
    <cellStyle name="计算 2 12 13" xfId="2624" xr:uid="{00000000-0005-0000-0000-0000700A0000}"/>
    <cellStyle name="计算 2 12 13 2" xfId="2642" xr:uid="{00000000-0005-0000-0000-0000820A0000}"/>
    <cellStyle name="计算 2 12 13 2 2" xfId="25749" xr:uid="{00000000-0005-0000-0000-0000C5640000}"/>
    <cellStyle name="计算 2 12 13 3" xfId="5745" xr:uid="{00000000-0005-0000-0000-0000A1160000}"/>
    <cellStyle name="计算 2 12 13 3 2" xfId="5758" xr:uid="{00000000-0005-0000-0000-0000AE160000}"/>
    <cellStyle name="计算 2 12 13 4" xfId="5767" xr:uid="{00000000-0005-0000-0000-0000B7160000}"/>
    <cellStyle name="计算 2 12 13 4 2" xfId="289" xr:uid="{00000000-0005-0000-0000-00003D010000}"/>
    <cellStyle name="计算 2 12 13 5" xfId="5775" xr:uid="{00000000-0005-0000-0000-0000BF160000}"/>
    <cellStyle name="计算 2 12 13 5 2" xfId="5783" xr:uid="{00000000-0005-0000-0000-0000C7160000}"/>
    <cellStyle name="计算 2 12 13 6" xfId="5799" xr:uid="{00000000-0005-0000-0000-0000D7160000}"/>
    <cellStyle name="计算 2 12 14" xfId="2107" xr:uid="{00000000-0005-0000-0000-00006B080000}"/>
    <cellStyle name="计算 2 12 14 2" xfId="25753" xr:uid="{00000000-0005-0000-0000-0000C9640000}"/>
    <cellStyle name="计算 2 12 14 2 2" xfId="25755" xr:uid="{00000000-0005-0000-0000-0000CB640000}"/>
    <cellStyle name="计算 2 12 14 3" xfId="5825" xr:uid="{00000000-0005-0000-0000-0000F1160000}"/>
    <cellStyle name="计算 2 12 14 3 2" xfId="5842" xr:uid="{00000000-0005-0000-0000-000002170000}"/>
    <cellStyle name="计算 2 12 14 4" xfId="5855" xr:uid="{00000000-0005-0000-0000-00000F170000}"/>
    <cellStyle name="计算 2 12 14 4 2" xfId="5873" xr:uid="{00000000-0005-0000-0000-000021170000}"/>
    <cellStyle name="计算 2 12 14 5" xfId="5885" xr:uid="{00000000-0005-0000-0000-00002D170000}"/>
    <cellStyle name="计算 2 12 14 5 2" xfId="5902" xr:uid="{00000000-0005-0000-0000-00003E170000}"/>
    <cellStyle name="计算 2 12 14 6" xfId="5927" xr:uid="{00000000-0005-0000-0000-000057170000}"/>
    <cellStyle name="计算 2 12 15" xfId="25758" xr:uid="{00000000-0005-0000-0000-0000CE640000}"/>
    <cellStyle name="计算 2 12 15 2" xfId="25763" xr:uid="{00000000-0005-0000-0000-0000D3640000}"/>
    <cellStyle name="计算 2 12 15 2 2" xfId="25765" xr:uid="{00000000-0005-0000-0000-0000D5640000}"/>
    <cellStyle name="计算 2 12 15 3" xfId="5974" xr:uid="{00000000-0005-0000-0000-000086170000}"/>
    <cellStyle name="计算 2 12 15 3 2" xfId="686" xr:uid="{00000000-0005-0000-0000-0000DE020000}"/>
    <cellStyle name="计算 2 12 15 4" xfId="5988" xr:uid="{00000000-0005-0000-0000-000094170000}"/>
    <cellStyle name="计算 2 12 15 4 2" xfId="6003" xr:uid="{00000000-0005-0000-0000-0000A3170000}"/>
    <cellStyle name="计算 2 12 15 5" xfId="6008" xr:uid="{00000000-0005-0000-0000-0000A8170000}"/>
    <cellStyle name="计算 2 12 15 5 2" xfId="6017" xr:uid="{00000000-0005-0000-0000-0000B1170000}"/>
    <cellStyle name="计算 2 12 15 6" xfId="6031" xr:uid="{00000000-0005-0000-0000-0000BF170000}"/>
    <cellStyle name="计算 2 12 16" xfId="25769" xr:uid="{00000000-0005-0000-0000-0000D9640000}"/>
    <cellStyle name="计算 2 12 16 2" xfId="25774" xr:uid="{00000000-0005-0000-0000-0000DE640000}"/>
    <cellStyle name="计算 2 12 16 2 2" xfId="25775" xr:uid="{00000000-0005-0000-0000-0000DF640000}"/>
    <cellStyle name="计算 2 12 16 3" xfId="5424" xr:uid="{00000000-0005-0000-0000-000060150000}"/>
    <cellStyle name="计算 2 12 16 3 2" xfId="5431" xr:uid="{00000000-0005-0000-0000-000067150000}"/>
    <cellStyle name="计算 2 12 16 4" xfId="5440" xr:uid="{00000000-0005-0000-0000-000070150000}"/>
    <cellStyle name="计算 2 12 16 4 2" xfId="5450" xr:uid="{00000000-0005-0000-0000-00007A150000}"/>
    <cellStyle name="计算 2 12 16 5" xfId="5459" xr:uid="{00000000-0005-0000-0000-000083150000}"/>
    <cellStyle name="计算 2 12 16 5 2" xfId="6075" xr:uid="{00000000-0005-0000-0000-0000EB170000}"/>
    <cellStyle name="计算 2 12 16 6" xfId="3220" xr:uid="{00000000-0005-0000-0000-0000C40C0000}"/>
    <cellStyle name="计算 2 12 17" xfId="25777" xr:uid="{00000000-0005-0000-0000-0000E1640000}"/>
    <cellStyle name="计算 2 12 17 2" xfId="25781" xr:uid="{00000000-0005-0000-0000-0000E5640000}"/>
    <cellStyle name="计算 2 12 17 2 2" xfId="1187" xr:uid="{00000000-0005-0000-0000-0000D3040000}"/>
    <cellStyle name="计算 2 12 17 3" xfId="5559" xr:uid="{00000000-0005-0000-0000-0000E7150000}"/>
    <cellStyle name="计算 2 12 17 3 2" xfId="6100" xr:uid="{00000000-0005-0000-0000-000004180000}"/>
    <cellStyle name="计算 2 12 17 4" xfId="6105" xr:uid="{00000000-0005-0000-0000-000009180000}"/>
    <cellStyle name="计算 2 12 17 4 2" xfId="6109" xr:uid="{00000000-0005-0000-0000-00000D180000}"/>
    <cellStyle name="计算 2 12 17 5" xfId="6114" xr:uid="{00000000-0005-0000-0000-000012180000}"/>
    <cellStyle name="计算 2 12 18" xfId="25783" xr:uid="{00000000-0005-0000-0000-0000E7640000}"/>
    <cellStyle name="计算 2 12 18 2" xfId="25785" xr:uid="{00000000-0005-0000-0000-0000E9640000}"/>
    <cellStyle name="计算 2 12 19" xfId="21483" xr:uid="{00000000-0005-0000-0000-00001B540000}"/>
    <cellStyle name="计算 2 12 19 2" xfId="21488" xr:uid="{00000000-0005-0000-0000-000020540000}"/>
    <cellStyle name="计算 2 12 2" xfId="25788" xr:uid="{00000000-0005-0000-0000-0000EC640000}"/>
    <cellStyle name="计算 2 12 2 10" xfId="13497" xr:uid="{00000000-0005-0000-0000-0000E9340000}"/>
    <cellStyle name="计算 2 12 2 10 2" xfId="15681" xr:uid="{00000000-0005-0000-0000-0000713D0000}"/>
    <cellStyle name="计算 2 12 2 11" xfId="15683" xr:uid="{00000000-0005-0000-0000-0000733D0000}"/>
    <cellStyle name="计算 2 12 2 11 2" xfId="15695" xr:uid="{00000000-0005-0000-0000-00007F3D0000}"/>
    <cellStyle name="计算 2 12 2 12" xfId="15700" xr:uid="{00000000-0005-0000-0000-0000843D0000}"/>
    <cellStyle name="计算 2 12 2 12 2" xfId="15707" xr:uid="{00000000-0005-0000-0000-00008B3D0000}"/>
    <cellStyle name="计算 2 12 2 13" xfId="14131" xr:uid="{00000000-0005-0000-0000-000063370000}"/>
    <cellStyle name="计算 2 12 2 14" xfId="15723" xr:uid="{00000000-0005-0000-0000-00009B3D0000}"/>
    <cellStyle name="计算 2 12 2 15" xfId="25790" xr:uid="{00000000-0005-0000-0000-0000EE640000}"/>
    <cellStyle name="计算 2 12 2 16" xfId="25796" xr:uid="{00000000-0005-0000-0000-0000F4640000}"/>
    <cellStyle name="计算 2 12 2 2" xfId="25800" xr:uid="{00000000-0005-0000-0000-0000F8640000}"/>
    <cellStyle name="计算 2 12 2 2 2" xfId="25802" xr:uid="{00000000-0005-0000-0000-0000FA640000}"/>
    <cellStyle name="计算 2 12 2 2 2 2" xfId="7897" xr:uid="{00000000-0005-0000-0000-0000091F0000}"/>
    <cellStyle name="计算 2 12 2 2 3" xfId="25804" xr:uid="{00000000-0005-0000-0000-0000FC640000}"/>
    <cellStyle name="计算 2 12 2 2 3 2" xfId="7920" xr:uid="{00000000-0005-0000-0000-0000201F0000}"/>
    <cellStyle name="计算 2 12 2 2 4" xfId="25170" xr:uid="{00000000-0005-0000-0000-000082620000}"/>
    <cellStyle name="计算 2 12 2 2 4 2" xfId="7930" xr:uid="{00000000-0005-0000-0000-00002A1F0000}"/>
    <cellStyle name="计算 2 12 2 2 5" xfId="22836" xr:uid="{00000000-0005-0000-0000-000064590000}"/>
    <cellStyle name="计算 2 12 2 2 5 2" xfId="11195" xr:uid="{00000000-0005-0000-0000-0000EB2B0000}"/>
    <cellStyle name="计算 2 12 2 2 6" xfId="25806" xr:uid="{00000000-0005-0000-0000-0000FE640000}"/>
    <cellStyle name="计算 2 12 2 2 7" xfId="25809" xr:uid="{00000000-0005-0000-0000-000001650000}"/>
    <cellStyle name="计算 2 12 2 2 8" xfId="1211" xr:uid="{00000000-0005-0000-0000-0000EB040000}"/>
    <cellStyle name="计算 2 12 2 2 9" xfId="1283" xr:uid="{00000000-0005-0000-0000-000033050000}"/>
    <cellStyle name="计算 2 12 2 3" xfId="25814" xr:uid="{00000000-0005-0000-0000-000006650000}"/>
    <cellStyle name="计算 2 12 2 3 2" xfId="28" xr:uid="{00000000-0005-0000-0000-000020000000}"/>
    <cellStyle name="计算 2 12 2 3 2 2" xfId="7957" xr:uid="{00000000-0005-0000-0000-0000451F0000}"/>
    <cellStyle name="计算 2 12 2 3 3" xfId="2139" xr:uid="{00000000-0005-0000-0000-00008B080000}"/>
    <cellStyle name="计算 2 12 2 3 3 2" xfId="7769" xr:uid="{00000000-0005-0000-0000-0000891E0000}"/>
    <cellStyle name="计算 2 12 2 3 4" xfId="1061" xr:uid="{00000000-0005-0000-0000-000055040000}"/>
    <cellStyle name="计算 2 12 2 3 4 2" xfId="11407" xr:uid="{00000000-0005-0000-0000-0000BF2C0000}"/>
    <cellStyle name="计算 2 12 2 3 5" xfId="1084" xr:uid="{00000000-0005-0000-0000-00006C040000}"/>
    <cellStyle name="计算 2 12 2 3 5 2" xfId="11448" xr:uid="{00000000-0005-0000-0000-0000E82C0000}"/>
    <cellStyle name="计算 2 12 2 3 6" xfId="2163" xr:uid="{00000000-0005-0000-0000-0000A3080000}"/>
    <cellStyle name="计算 2 12 2 4" xfId="23764" xr:uid="{00000000-0005-0000-0000-0000045D0000}"/>
    <cellStyle name="计算 2 12 2 4 2" xfId="25816" xr:uid="{00000000-0005-0000-0000-000008650000}"/>
    <cellStyle name="计算 2 12 2 4 2 2" xfId="12562" xr:uid="{00000000-0005-0000-0000-000042310000}"/>
    <cellStyle name="计算 2 12 2 4 3" xfId="25818" xr:uid="{00000000-0005-0000-0000-00000A650000}"/>
    <cellStyle name="计算 2 12 2 4 3 2" xfId="12589" xr:uid="{00000000-0005-0000-0000-00005D310000}"/>
    <cellStyle name="计算 2 12 2 4 4" xfId="25180" xr:uid="{00000000-0005-0000-0000-00008C620000}"/>
    <cellStyle name="计算 2 12 2 4 4 2" xfId="12633" xr:uid="{00000000-0005-0000-0000-000089310000}"/>
    <cellStyle name="计算 2 12 2 4 5" xfId="25819" xr:uid="{00000000-0005-0000-0000-00000B650000}"/>
    <cellStyle name="计算 2 12 2 4 5 2" xfId="12673" xr:uid="{00000000-0005-0000-0000-0000B1310000}"/>
    <cellStyle name="计算 2 12 2 4 6" xfId="12572" xr:uid="{00000000-0005-0000-0000-00004C310000}"/>
    <cellStyle name="计算 2 12 2 5" xfId="25825" xr:uid="{00000000-0005-0000-0000-000011650000}"/>
    <cellStyle name="计算 2 12 2 5 2" xfId="25793" xr:uid="{00000000-0005-0000-0000-0000F1640000}"/>
    <cellStyle name="计算 2 12 2 5 2 2" xfId="15649" xr:uid="{00000000-0005-0000-0000-0000513D0000}"/>
    <cellStyle name="计算 2 12 2 5 3" xfId="25829" xr:uid="{00000000-0005-0000-0000-000015650000}"/>
    <cellStyle name="计算 2 12 2 5 3 2" xfId="15687" xr:uid="{00000000-0005-0000-0000-0000773D0000}"/>
    <cellStyle name="计算 2 12 2 5 4" xfId="25192" xr:uid="{00000000-0005-0000-0000-000098620000}"/>
    <cellStyle name="计算 2 12 2 5 4 2" xfId="15735" xr:uid="{00000000-0005-0000-0000-0000A73D0000}"/>
    <cellStyle name="计算 2 12 2 5 5" xfId="25830" xr:uid="{00000000-0005-0000-0000-000016650000}"/>
    <cellStyle name="计算 2 12 2 5 5 2" xfId="15775" xr:uid="{00000000-0005-0000-0000-0000CF3D0000}"/>
    <cellStyle name="计算 2 12 2 5 6" xfId="15513" xr:uid="{00000000-0005-0000-0000-0000C93C0000}"/>
    <cellStyle name="计算 2 12 2 6" xfId="25835" xr:uid="{00000000-0005-0000-0000-00001B650000}"/>
    <cellStyle name="计算 2 12 2 6 2" xfId="25839" xr:uid="{00000000-0005-0000-0000-00001F650000}"/>
    <cellStyle name="计算 2 12 2 6 2 2" xfId="25843" xr:uid="{00000000-0005-0000-0000-000023650000}"/>
    <cellStyle name="计算 2 12 2 6 3" xfId="25848" xr:uid="{00000000-0005-0000-0000-000028650000}"/>
    <cellStyle name="计算 2 12 2 6 3 2" xfId="25855" xr:uid="{00000000-0005-0000-0000-00002F650000}"/>
    <cellStyle name="计算 2 12 2 6 4" xfId="25863" xr:uid="{00000000-0005-0000-0000-000037650000}"/>
    <cellStyle name="计算 2 12 2 6 4 2" xfId="25868" xr:uid="{00000000-0005-0000-0000-00003C650000}"/>
    <cellStyle name="计算 2 12 2 6 5" xfId="25872" xr:uid="{00000000-0005-0000-0000-000040650000}"/>
    <cellStyle name="计算 2 12 2 6 5 2" xfId="25766" xr:uid="{00000000-0005-0000-0000-0000D6640000}"/>
    <cellStyle name="计算 2 12 2 6 6" xfId="15520" xr:uid="{00000000-0005-0000-0000-0000D03C0000}"/>
    <cellStyle name="计算 2 12 2 7" xfId="25877" xr:uid="{00000000-0005-0000-0000-000045650000}"/>
    <cellStyle name="计算 2 12 2 7 2" xfId="25880" xr:uid="{00000000-0005-0000-0000-000048650000}"/>
    <cellStyle name="计算 2 12 2 7 2 2" xfId="25883" xr:uid="{00000000-0005-0000-0000-00004B650000}"/>
    <cellStyle name="计算 2 12 2 7 3" xfId="25884" xr:uid="{00000000-0005-0000-0000-00004C650000}"/>
    <cellStyle name="计算 2 12 2 7 3 2" xfId="25885" xr:uid="{00000000-0005-0000-0000-00004D650000}"/>
    <cellStyle name="计算 2 12 2 7 4" xfId="2419" xr:uid="{00000000-0005-0000-0000-0000A3090000}"/>
    <cellStyle name="计算 2 12 2 7 4 2" xfId="25886" xr:uid="{00000000-0005-0000-0000-00004E650000}"/>
    <cellStyle name="计算 2 12 2 7 5" xfId="25887" xr:uid="{00000000-0005-0000-0000-00004F650000}"/>
    <cellStyle name="计算 2 12 2 7 5 2" xfId="25890" xr:uid="{00000000-0005-0000-0000-000052650000}"/>
    <cellStyle name="计算 2 12 2 7 6" xfId="25892" xr:uid="{00000000-0005-0000-0000-000054650000}"/>
    <cellStyle name="计算 2 12 2 8" xfId="25895" xr:uid="{00000000-0005-0000-0000-000057650000}"/>
    <cellStyle name="计算 2 12 2 8 2" xfId="25899" xr:uid="{00000000-0005-0000-0000-00005B650000}"/>
    <cellStyle name="计算 2 12 2 8 2 2" xfId="25900" xr:uid="{00000000-0005-0000-0000-00005C650000}"/>
    <cellStyle name="计算 2 12 2 8 3" xfId="25901" xr:uid="{00000000-0005-0000-0000-00005D650000}"/>
    <cellStyle name="计算 2 12 2 8 3 2" xfId="25902" xr:uid="{00000000-0005-0000-0000-00005E650000}"/>
    <cellStyle name="计算 2 12 2 8 4" xfId="2439" xr:uid="{00000000-0005-0000-0000-0000B7090000}"/>
    <cellStyle name="计算 2 12 2 8 4 2" xfId="25904" xr:uid="{00000000-0005-0000-0000-000060650000}"/>
    <cellStyle name="计算 2 12 2 8 5" xfId="25905" xr:uid="{00000000-0005-0000-0000-000061650000}"/>
    <cellStyle name="计算 2 12 2 9" xfId="24634" xr:uid="{00000000-0005-0000-0000-00006A600000}"/>
    <cellStyle name="计算 2 12 2 9 2" xfId="12046" xr:uid="{00000000-0005-0000-0000-00003E2F0000}"/>
    <cellStyle name="计算 2 12 20" xfId="25757" xr:uid="{00000000-0005-0000-0000-0000CD640000}"/>
    <cellStyle name="计算 2 12 20 2" xfId="25762" xr:uid="{00000000-0005-0000-0000-0000D2640000}"/>
    <cellStyle name="计算 2 12 21" xfId="25768" xr:uid="{00000000-0005-0000-0000-0000D8640000}"/>
    <cellStyle name="计算 2 12 21 2" xfId="25773" xr:uid="{00000000-0005-0000-0000-0000DD640000}"/>
    <cellStyle name="计算 2 12 22" xfId="25776" xr:uid="{00000000-0005-0000-0000-0000E0640000}"/>
    <cellStyle name="计算 2 12 23" xfId="25782" xr:uid="{00000000-0005-0000-0000-0000E6640000}"/>
    <cellStyle name="计算 2 12 24" xfId="21482" xr:uid="{00000000-0005-0000-0000-00001A540000}"/>
    <cellStyle name="计算 2 12 25" xfId="10879" xr:uid="{00000000-0005-0000-0000-0000AF2A0000}"/>
    <cellStyle name="计算 2 12 3" xfId="25909" xr:uid="{00000000-0005-0000-0000-000065650000}"/>
    <cellStyle name="计算 2 12 3 10" xfId="15858" xr:uid="{00000000-0005-0000-0000-0000223E0000}"/>
    <cellStyle name="计算 2 12 3 10 2" xfId="25911" xr:uid="{00000000-0005-0000-0000-000067650000}"/>
    <cellStyle name="计算 2 12 3 11" xfId="25914" xr:uid="{00000000-0005-0000-0000-00006A650000}"/>
    <cellStyle name="计算 2 12 3 11 2" xfId="25916" xr:uid="{00000000-0005-0000-0000-00006C650000}"/>
    <cellStyle name="计算 2 12 3 12" xfId="25919" xr:uid="{00000000-0005-0000-0000-00006F650000}"/>
    <cellStyle name="计算 2 12 3 12 2" xfId="25921" xr:uid="{00000000-0005-0000-0000-000071650000}"/>
    <cellStyle name="计算 2 12 3 13" xfId="4977" xr:uid="{00000000-0005-0000-0000-0000A1130000}"/>
    <cellStyle name="计算 2 12 3 14" xfId="15099" xr:uid="{00000000-0005-0000-0000-00002B3B0000}"/>
    <cellStyle name="计算 2 12 3 15" xfId="15106" xr:uid="{00000000-0005-0000-0000-0000323B0000}"/>
    <cellStyle name="计算 2 12 3 16" xfId="12056" xr:uid="{00000000-0005-0000-0000-0000482F0000}"/>
    <cellStyle name="计算 2 12 3 2" xfId="25930" xr:uid="{00000000-0005-0000-0000-00007A650000}"/>
    <cellStyle name="计算 2 12 3 2 2" xfId="21322" xr:uid="{00000000-0005-0000-0000-00007A530000}"/>
    <cellStyle name="计算 2 12 3 2 2 2" xfId="18549" xr:uid="{00000000-0005-0000-0000-0000A5480000}"/>
    <cellStyle name="计算 2 12 3 2 3" xfId="21329" xr:uid="{00000000-0005-0000-0000-000081530000}"/>
    <cellStyle name="计算 2 12 3 2 3 2" xfId="13709" xr:uid="{00000000-0005-0000-0000-0000BD350000}"/>
    <cellStyle name="计算 2 12 3 2 4" xfId="21335" xr:uid="{00000000-0005-0000-0000-000087530000}"/>
    <cellStyle name="计算 2 12 3 2 4 2" xfId="25937" xr:uid="{00000000-0005-0000-0000-000081650000}"/>
    <cellStyle name="计算 2 12 3 2 5" xfId="22883" xr:uid="{00000000-0005-0000-0000-000093590000}"/>
    <cellStyle name="计算 2 12 3 2 5 2" xfId="25945" xr:uid="{00000000-0005-0000-0000-000089650000}"/>
    <cellStyle name="计算 2 12 3 2 6" xfId="25952" xr:uid="{00000000-0005-0000-0000-000090650000}"/>
    <cellStyle name="计算 2 12 3 2 7" xfId="25955" xr:uid="{00000000-0005-0000-0000-000093650000}"/>
    <cellStyle name="计算 2 12 3 2 8" xfId="25961" xr:uid="{00000000-0005-0000-0000-000099650000}"/>
    <cellStyle name="计算 2 12 3 2 9" xfId="25967" xr:uid="{00000000-0005-0000-0000-00009F650000}"/>
    <cellStyle name="计算 2 12 3 3" xfId="25973" xr:uid="{00000000-0005-0000-0000-0000A5650000}"/>
    <cellStyle name="计算 2 12 3 3 2" xfId="21347" xr:uid="{00000000-0005-0000-0000-000093530000}"/>
    <cellStyle name="计算 2 12 3 3 2 2" xfId="14005" xr:uid="{00000000-0005-0000-0000-0000E5360000}"/>
    <cellStyle name="计算 2 12 3 3 3" xfId="21354" xr:uid="{00000000-0005-0000-0000-00009A530000}"/>
    <cellStyle name="计算 2 12 3 3 3 2" xfId="21361" xr:uid="{00000000-0005-0000-0000-0000A1530000}"/>
    <cellStyle name="计算 2 12 3 3 4" xfId="21367" xr:uid="{00000000-0005-0000-0000-0000A7530000}"/>
    <cellStyle name="计算 2 12 3 3 4 2" xfId="25979" xr:uid="{00000000-0005-0000-0000-0000AB650000}"/>
    <cellStyle name="计算 2 12 3 3 5" xfId="25984" xr:uid="{00000000-0005-0000-0000-0000B0650000}"/>
    <cellStyle name="计算 2 12 3 3 5 2" xfId="25987" xr:uid="{00000000-0005-0000-0000-0000B3650000}"/>
    <cellStyle name="计算 2 12 3 3 6" xfId="957" xr:uid="{00000000-0005-0000-0000-0000ED030000}"/>
    <cellStyle name="计算 2 12 3 4" xfId="23771" xr:uid="{00000000-0005-0000-0000-00000B5D0000}"/>
    <cellStyle name="计算 2 12 3 4 2" xfId="21380" xr:uid="{00000000-0005-0000-0000-0000B4530000}"/>
    <cellStyle name="计算 2 12 3 4 2 2" xfId="18958" xr:uid="{00000000-0005-0000-0000-00003E4A0000}"/>
    <cellStyle name="计算 2 12 3 4 3" xfId="21384" xr:uid="{00000000-0005-0000-0000-0000B8530000}"/>
    <cellStyle name="计算 2 12 3 4 3 2" xfId="21388" xr:uid="{00000000-0005-0000-0000-0000BC530000}"/>
    <cellStyle name="计算 2 12 3 4 4" xfId="21397" xr:uid="{00000000-0005-0000-0000-0000C5530000}"/>
    <cellStyle name="计算 2 12 3 4 4 2" xfId="25990" xr:uid="{00000000-0005-0000-0000-0000B6650000}"/>
    <cellStyle name="计算 2 12 3 4 5" xfId="25993" xr:uid="{00000000-0005-0000-0000-0000B9650000}"/>
    <cellStyle name="计算 2 12 3 4 5 2" xfId="25997" xr:uid="{00000000-0005-0000-0000-0000BD650000}"/>
    <cellStyle name="计算 2 12 3 4 6" xfId="147" xr:uid="{00000000-0005-0000-0000-0000A0000000}"/>
    <cellStyle name="计算 2 12 3 5" xfId="26004" xr:uid="{00000000-0005-0000-0000-0000C4650000}"/>
    <cellStyle name="计算 2 12 3 5 2" xfId="21429" xr:uid="{00000000-0005-0000-0000-0000E5530000}"/>
    <cellStyle name="计算 2 12 3 5 2 2" xfId="19080" xr:uid="{00000000-0005-0000-0000-0000B84A0000}"/>
    <cellStyle name="计算 2 12 3 5 3" xfId="21431" xr:uid="{00000000-0005-0000-0000-0000E7530000}"/>
    <cellStyle name="计算 2 12 3 5 3 2" xfId="21437" xr:uid="{00000000-0005-0000-0000-0000ED530000}"/>
    <cellStyle name="计算 2 12 3 5 4" xfId="21451" xr:uid="{00000000-0005-0000-0000-0000FB530000}"/>
    <cellStyle name="计算 2 12 3 5 4 2" xfId="26007" xr:uid="{00000000-0005-0000-0000-0000C7650000}"/>
    <cellStyle name="计算 2 12 3 5 5" xfId="26010" xr:uid="{00000000-0005-0000-0000-0000CA650000}"/>
    <cellStyle name="计算 2 12 3 5 5 2" xfId="26014" xr:uid="{00000000-0005-0000-0000-0000CE650000}"/>
    <cellStyle name="计算 2 12 3 5 6" xfId="15533" xr:uid="{00000000-0005-0000-0000-0000DD3C0000}"/>
    <cellStyle name="计算 2 12 3 6" xfId="9233" xr:uid="{00000000-0005-0000-0000-000041240000}"/>
    <cellStyle name="计算 2 12 3 6 2" xfId="21462" xr:uid="{00000000-0005-0000-0000-000006540000}"/>
    <cellStyle name="计算 2 12 3 6 2 2" xfId="21464" xr:uid="{00000000-0005-0000-0000-000008540000}"/>
    <cellStyle name="计算 2 12 3 6 3" xfId="21466" xr:uid="{00000000-0005-0000-0000-00000A540000}"/>
    <cellStyle name="计算 2 12 3 6 3 2" xfId="21470" xr:uid="{00000000-0005-0000-0000-00000E540000}"/>
    <cellStyle name="计算 2 12 3 6 4" xfId="21476" xr:uid="{00000000-0005-0000-0000-000014540000}"/>
    <cellStyle name="计算 2 12 3 6 4 2" xfId="26017" xr:uid="{00000000-0005-0000-0000-0000D1650000}"/>
    <cellStyle name="计算 2 12 3 6 5" xfId="26018" xr:uid="{00000000-0005-0000-0000-0000D2650000}"/>
    <cellStyle name="计算 2 12 3 6 5 2" xfId="26021" xr:uid="{00000000-0005-0000-0000-0000D5650000}"/>
    <cellStyle name="计算 2 12 3 6 6" xfId="15540" xr:uid="{00000000-0005-0000-0000-0000E43C0000}"/>
    <cellStyle name="计算 2 12 3 7" xfId="26024" xr:uid="{00000000-0005-0000-0000-0000D8650000}"/>
    <cellStyle name="计算 2 12 3 7 2" xfId="21492" xr:uid="{00000000-0005-0000-0000-000024540000}"/>
    <cellStyle name="计算 2 12 3 7 2 2" xfId="21494" xr:uid="{00000000-0005-0000-0000-000026540000}"/>
    <cellStyle name="计算 2 12 3 7 3" xfId="21496" xr:uid="{00000000-0005-0000-0000-000028540000}"/>
    <cellStyle name="计算 2 12 3 7 3 2" xfId="26025" xr:uid="{00000000-0005-0000-0000-0000D9650000}"/>
    <cellStyle name="计算 2 12 3 7 4" xfId="2910" xr:uid="{00000000-0005-0000-0000-00008E0B0000}"/>
    <cellStyle name="计算 2 12 3 7 4 2" xfId="26026" xr:uid="{00000000-0005-0000-0000-0000DA650000}"/>
    <cellStyle name="计算 2 12 3 7 5" xfId="26027" xr:uid="{00000000-0005-0000-0000-0000DB650000}"/>
    <cellStyle name="计算 2 12 3 7 5 2" xfId="26030" xr:uid="{00000000-0005-0000-0000-0000DE650000}"/>
    <cellStyle name="计算 2 12 3 7 6" xfId="26033" xr:uid="{00000000-0005-0000-0000-0000E1650000}"/>
    <cellStyle name="计算 2 12 3 8" xfId="26036" xr:uid="{00000000-0005-0000-0000-0000E4650000}"/>
    <cellStyle name="计算 2 12 3 8 2" xfId="26038" xr:uid="{00000000-0005-0000-0000-0000E6650000}"/>
    <cellStyle name="计算 2 12 3 8 2 2" xfId="26039" xr:uid="{00000000-0005-0000-0000-0000E7650000}"/>
    <cellStyle name="计算 2 12 3 8 3" xfId="26040" xr:uid="{00000000-0005-0000-0000-0000E8650000}"/>
    <cellStyle name="计算 2 12 3 8 3 2" xfId="26043" xr:uid="{00000000-0005-0000-0000-0000EB650000}"/>
    <cellStyle name="计算 2 12 3 8 4" xfId="2959" xr:uid="{00000000-0005-0000-0000-0000BF0B0000}"/>
    <cellStyle name="计算 2 12 3 8 4 2" xfId="26047" xr:uid="{00000000-0005-0000-0000-0000EF650000}"/>
    <cellStyle name="计算 2 12 3 8 5" xfId="26048" xr:uid="{00000000-0005-0000-0000-0000F0650000}"/>
    <cellStyle name="计算 2 12 3 9" xfId="26051" xr:uid="{00000000-0005-0000-0000-0000F3650000}"/>
    <cellStyle name="计算 2 12 3 9 2" xfId="12095" xr:uid="{00000000-0005-0000-0000-00006F2F0000}"/>
    <cellStyle name="计算 2 12 4" xfId="26053" xr:uid="{00000000-0005-0000-0000-0000F5650000}"/>
    <cellStyle name="计算 2 12 4 10" xfId="22530" xr:uid="{00000000-0005-0000-0000-000032580000}"/>
    <cellStyle name="计算 2 12 4 10 2" xfId="26055" xr:uid="{00000000-0005-0000-0000-0000F7650000}"/>
    <cellStyle name="计算 2 12 4 11" xfId="26058" xr:uid="{00000000-0005-0000-0000-0000FA650000}"/>
    <cellStyle name="计算 2 12 4 11 2" xfId="26064" xr:uid="{00000000-0005-0000-0000-000000660000}"/>
    <cellStyle name="计算 2 12 4 12" xfId="26066" xr:uid="{00000000-0005-0000-0000-000002660000}"/>
    <cellStyle name="计算 2 12 4 12 2" xfId="26069" xr:uid="{00000000-0005-0000-0000-000005660000}"/>
    <cellStyle name="计算 2 12 4 13" xfId="15196" xr:uid="{00000000-0005-0000-0000-00008C3B0000}"/>
    <cellStyle name="计算 2 12 4 14" xfId="15202" xr:uid="{00000000-0005-0000-0000-0000923B0000}"/>
    <cellStyle name="计算 2 12 4 15" xfId="15210" xr:uid="{00000000-0005-0000-0000-00009A3B0000}"/>
    <cellStyle name="计算 2 12 4 16" xfId="10171" xr:uid="{00000000-0005-0000-0000-0000EB270000}"/>
    <cellStyle name="计算 2 12 4 2" xfId="24240" xr:uid="{00000000-0005-0000-0000-0000E05E0000}"/>
    <cellStyle name="计算 2 12 4 2 2" xfId="8418" xr:uid="{00000000-0005-0000-0000-000012210000}"/>
    <cellStyle name="计算 2 12 4 2 2 2" xfId="8435" xr:uid="{00000000-0005-0000-0000-000023210000}"/>
    <cellStyle name="计算 2 12 4 2 3" xfId="8449" xr:uid="{00000000-0005-0000-0000-000031210000}"/>
    <cellStyle name="计算 2 12 4 2 3 2" xfId="8458" xr:uid="{00000000-0005-0000-0000-00003A210000}"/>
    <cellStyle name="计算 2 12 4 2 4" xfId="13654" xr:uid="{00000000-0005-0000-0000-000086350000}"/>
    <cellStyle name="计算 2 12 4 2 4 2" xfId="26072" xr:uid="{00000000-0005-0000-0000-000008660000}"/>
    <cellStyle name="计算 2 12 4 2 5" xfId="22925" xr:uid="{00000000-0005-0000-0000-0000BD590000}"/>
    <cellStyle name="计算 2 12 4 2 5 2" xfId="26078" xr:uid="{00000000-0005-0000-0000-00000E660000}"/>
    <cellStyle name="计算 2 12 4 2 6" xfId="26084" xr:uid="{00000000-0005-0000-0000-000014660000}"/>
    <cellStyle name="计算 2 12 4 2 7" xfId="26088" xr:uid="{00000000-0005-0000-0000-000018660000}"/>
    <cellStyle name="计算 2 12 4 2 8" xfId="26096" xr:uid="{00000000-0005-0000-0000-000020660000}"/>
    <cellStyle name="计算 2 12 4 2 9" xfId="26105" xr:uid="{00000000-0005-0000-0000-000029660000}"/>
    <cellStyle name="计算 2 12 4 3" xfId="26107" xr:uid="{00000000-0005-0000-0000-00002B660000}"/>
    <cellStyle name="计算 2 12 4 3 2" xfId="21538" xr:uid="{00000000-0005-0000-0000-000052540000}"/>
    <cellStyle name="计算 2 12 4 3 2 2" xfId="20020" xr:uid="{00000000-0005-0000-0000-0000644E0000}"/>
    <cellStyle name="计算 2 12 4 3 3" xfId="21541" xr:uid="{00000000-0005-0000-0000-000055540000}"/>
    <cellStyle name="计算 2 12 4 3 3 2" xfId="21546" xr:uid="{00000000-0005-0000-0000-00005A540000}"/>
    <cellStyle name="计算 2 12 4 3 4" xfId="21547" xr:uid="{00000000-0005-0000-0000-00005B540000}"/>
    <cellStyle name="计算 2 12 4 3 4 2" xfId="26111" xr:uid="{00000000-0005-0000-0000-00002F660000}"/>
    <cellStyle name="计算 2 12 4 3 5" xfId="26115" xr:uid="{00000000-0005-0000-0000-000033660000}"/>
    <cellStyle name="计算 2 12 4 3 5 2" xfId="26119" xr:uid="{00000000-0005-0000-0000-000037660000}"/>
    <cellStyle name="计算 2 12 4 3 6" xfId="12623" xr:uid="{00000000-0005-0000-0000-00007F310000}"/>
    <cellStyle name="计算 2 12 4 4" xfId="23777" xr:uid="{00000000-0005-0000-0000-0000115D0000}"/>
    <cellStyle name="计算 2 12 4 4 2" xfId="21563" xr:uid="{00000000-0005-0000-0000-00006B540000}"/>
    <cellStyle name="计算 2 12 4 4 2 2" xfId="20111" xr:uid="{00000000-0005-0000-0000-0000BF4E0000}"/>
    <cellStyle name="计算 2 12 4 4 3" xfId="21565" xr:uid="{00000000-0005-0000-0000-00006D540000}"/>
    <cellStyle name="计算 2 12 4 4 3 2" xfId="21567" xr:uid="{00000000-0005-0000-0000-00006F540000}"/>
    <cellStyle name="计算 2 12 4 4 4" xfId="21575" xr:uid="{00000000-0005-0000-0000-000077540000}"/>
    <cellStyle name="计算 2 12 4 4 4 2" xfId="26127" xr:uid="{00000000-0005-0000-0000-00003F660000}"/>
    <cellStyle name="计算 2 12 4 4 5" xfId="26131" xr:uid="{00000000-0005-0000-0000-000043660000}"/>
    <cellStyle name="计算 2 12 4 4 5 2" xfId="26135" xr:uid="{00000000-0005-0000-0000-000047660000}"/>
    <cellStyle name="计算 2 12 4 4 6" xfId="12646" xr:uid="{00000000-0005-0000-0000-000096310000}"/>
    <cellStyle name="计算 2 12 4 5" xfId="26140" xr:uid="{00000000-0005-0000-0000-00004C660000}"/>
    <cellStyle name="计算 2 12 4 5 2" xfId="21587" xr:uid="{00000000-0005-0000-0000-000083540000}"/>
    <cellStyle name="计算 2 12 4 5 2 2" xfId="1641" xr:uid="{00000000-0005-0000-0000-000099060000}"/>
    <cellStyle name="计算 2 12 4 5 3" xfId="21590" xr:uid="{00000000-0005-0000-0000-000086540000}"/>
    <cellStyle name="计算 2 12 4 5 3 2" xfId="21593" xr:uid="{00000000-0005-0000-0000-000089540000}"/>
    <cellStyle name="计算 2 12 4 5 4" xfId="21602" xr:uid="{00000000-0005-0000-0000-000092540000}"/>
    <cellStyle name="计算 2 12 4 5 4 2" xfId="26142" xr:uid="{00000000-0005-0000-0000-00004E660000}"/>
    <cellStyle name="计算 2 12 4 5 5" xfId="26145" xr:uid="{00000000-0005-0000-0000-000051660000}"/>
    <cellStyle name="计算 2 12 4 5 5 2" xfId="9452" xr:uid="{00000000-0005-0000-0000-00001C250000}"/>
    <cellStyle name="计算 2 12 4 5 6" xfId="15551" xr:uid="{00000000-0005-0000-0000-0000EF3C0000}"/>
    <cellStyle name="计算 2 12 4 6" xfId="9241" xr:uid="{00000000-0005-0000-0000-000049240000}"/>
    <cellStyle name="计算 2 12 4 6 2" xfId="21611" xr:uid="{00000000-0005-0000-0000-00009B540000}"/>
    <cellStyle name="计算 2 12 4 6 2 2" xfId="19746" xr:uid="{00000000-0005-0000-0000-0000524D0000}"/>
    <cellStyle name="计算 2 12 4 6 3" xfId="21613" xr:uid="{00000000-0005-0000-0000-00009D540000}"/>
    <cellStyle name="计算 2 12 4 6 3 2" xfId="21616" xr:uid="{00000000-0005-0000-0000-0000A0540000}"/>
    <cellStyle name="计算 2 12 4 6 4" xfId="21623" xr:uid="{00000000-0005-0000-0000-0000A7540000}"/>
    <cellStyle name="计算 2 12 4 6 4 2" xfId="26148" xr:uid="{00000000-0005-0000-0000-000054660000}"/>
    <cellStyle name="计算 2 12 4 6 5" xfId="26149" xr:uid="{00000000-0005-0000-0000-000055660000}"/>
    <cellStyle name="计算 2 12 4 6 5 2" xfId="12232" xr:uid="{00000000-0005-0000-0000-0000F82F0000}"/>
    <cellStyle name="计算 2 12 4 6 6" xfId="15560" xr:uid="{00000000-0005-0000-0000-0000F83C0000}"/>
    <cellStyle name="计算 2 12 4 7" xfId="26151" xr:uid="{00000000-0005-0000-0000-000057660000}"/>
    <cellStyle name="计算 2 12 4 7 2" xfId="21633" xr:uid="{00000000-0005-0000-0000-0000B1540000}"/>
    <cellStyle name="计算 2 12 4 7 2 2" xfId="20173" xr:uid="{00000000-0005-0000-0000-0000FD4E0000}"/>
    <cellStyle name="计算 2 12 4 7 3" xfId="21635" xr:uid="{00000000-0005-0000-0000-0000B3540000}"/>
    <cellStyle name="计算 2 12 4 7 3 2" xfId="26152" xr:uid="{00000000-0005-0000-0000-000058660000}"/>
    <cellStyle name="计算 2 12 4 7 4" xfId="26155" xr:uid="{00000000-0005-0000-0000-00005B660000}"/>
    <cellStyle name="计算 2 12 4 7 4 2" xfId="26156" xr:uid="{00000000-0005-0000-0000-00005C660000}"/>
    <cellStyle name="计算 2 12 4 7 5" xfId="23278" xr:uid="{00000000-0005-0000-0000-00001E5B0000}"/>
    <cellStyle name="计算 2 12 4 7 5 2" xfId="26157" xr:uid="{00000000-0005-0000-0000-00005D660000}"/>
    <cellStyle name="计算 2 12 4 7 6" xfId="26160" xr:uid="{00000000-0005-0000-0000-000060660000}"/>
    <cellStyle name="计算 2 12 4 8" xfId="16557" xr:uid="{00000000-0005-0000-0000-0000DD400000}"/>
    <cellStyle name="计算 2 12 4 8 2" xfId="26162" xr:uid="{00000000-0005-0000-0000-000062660000}"/>
    <cellStyle name="计算 2 12 4 8 2 2" xfId="26163" xr:uid="{00000000-0005-0000-0000-000063660000}"/>
    <cellStyle name="计算 2 12 4 8 3" xfId="26164" xr:uid="{00000000-0005-0000-0000-000064660000}"/>
    <cellStyle name="计算 2 12 4 8 3 2" xfId="26168" xr:uid="{00000000-0005-0000-0000-000068660000}"/>
    <cellStyle name="计算 2 12 4 8 4" xfId="26170" xr:uid="{00000000-0005-0000-0000-00006A660000}"/>
    <cellStyle name="计算 2 12 4 8 4 2" xfId="26176" xr:uid="{00000000-0005-0000-0000-000070660000}"/>
    <cellStyle name="计算 2 12 4 8 5" xfId="23283" xr:uid="{00000000-0005-0000-0000-0000235B0000}"/>
    <cellStyle name="计算 2 12 4 9" xfId="12133" xr:uid="{00000000-0005-0000-0000-0000952F0000}"/>
    <cellStyle name="计算 2 12 4 9 2" xfId="12139" xr:uid="{00000000-0005-0000-0000-00009B2F0000}"/>
    <cellStyle name="计算 2 12 5" xfId="26179" xr:uid="{00000000-0005-0000-0000-000073660000}"/>
    <cellStyle name="计算 2 12 5 10" xfId="24816" xr:uid="{00000000-0005-0000-0000-000020610000}"/>
    <cellStyle name="计算 2 12 5 10 2" xfId="26184" xr:uid="{00000000-0005-0000-0000-000078660000}"/>
    <cellStyle name="计算 2 12 5 11" xfId="17117" xr:uid="{00000000-0005-0000-0000-00000D430000}"/>
    <cellStyle name="计算 2 12 5 11 2" xfId="26188" xr:uid="{00000000-0005-0000-0000-00007C660000}"/>
    <cellStyle name="计算 2 12 5 12" xfId="26192" xr:uid="{00000000-0005-0000-0000-000080660000}"/>
    <cellStyle name="计算 2 12 5 12 2" xfId="26196" xr:uid="{00000000-0005-0000-0000-000084660000}"/>
    <cellStyle name="计算 2 12 5 13" xfId="26200" xr:uid="{00000000-0005-0000-0000-000088660000}"/>
    <cellStyle name="计算 2 12 5 14" xfId="26203" xr:uid="{00000000-0005-0000-0000-00008B660000}"/>
    <cellStyle name="计算 2 12 5 15" xfId="26206" xr:uid="{00000000-0005-0000-0000-00008E660000}"/>
    <cellStyle name="计算 2 12 5 16" xfId="26208" xr:uid="{00000000-0005-0000-0000-000090660000}"/>
    <cellStyle name="计算 2 12 5 2" xfId="26212" xr:uid="{00000000-0005-0000-0000-000094660000}"/>
    <cellStyle name="计算 2 12 5 2 2" xfId="26213" xr:uid="{00000000-0005-0000-0000-000095660000}"/>
    <cellStyle name="计算 2 12 5 2 2 2" xfId="8686" xr:uid="{00000000-0005-0000-0000-00001E220000}"/>
    <cellStyle name="计算 2 12 5 2 3" xfId="26214" xr:uid="{00000000-0005-0000-0000-000096660000}"/>
    <cellStyle name="计算 2 12 5 2 3 2" xfId="1379" xr:uid="{00000000-0005-0000-0000-000093050000}"/>
    <cellStyle name="计算 2 12 5 2 4" xfId="25223" xr:uid="{00000000-0005-0000-0000-0000B7620000}"/>
    <cellStyle name="计算 2 12 5 2 4 2" xfId="26215" xr:uid="{00000000-0005-0000-0000-000097660000}"/>
    <cellStyle name="计算 2 12 5 2 5" xfId="22950" xr:uid="{00000000-0005-0000-0000-0000D6590000}"/>
    <cellStyle name="计算 2 12 5 2 5 2" xfId="17285" xr:uid="{00000000-0005-0000-0000-0000B5430000}"/>
    <cellStyle name="计算 2 12 5 2 6" xfId="26219" xr:uid="{00000000-0005-0000-0000-00009B660000}"/>
    <cellStyle name="计算 2 12 5 2 7" xfId="26222" xr:uid="{00000000-0005-0000-0000-00009E660000}"/>
    <cellStyle name="计算 2 12 5 2 8" xfId="26231" xr:uid="{00000000-0005-0000-0000-0000A7660000}"/>
    <cellStyle name="计算 2 12 5 2 9" xfId="26238" xr:uid="{00000000-0005-0000-0000-0000AE660000}"/>
    <cellStyle name="计算 2 12 5 3" xfId="26240" xr:uid="{00000000-0005-0000-0000-0000B0660000}"/>
    <cellStyle name="计算 2 12 5 3 2" xfId="26241" xr:uid="{00000000-0005-0000-0000-0000B1660000}"/>
    <cellStyle name="计算 2 12 5 3 2 2" xfId="15991" xr:uid="{00000000-0005-0000-0000-0000A73E0000}"/>
    <cellStyle name="计算 2 12 5 3 3" xfId="26242" xr:uid="{00000000-0005-0000-0000-0000B2660000}"/>
    <cellStyle name="计算 2 12 5 3 3 2" xfId="2430" xr:uid="{00000000-0005-0000-0000-0000AE090000}"/>
    <cellStyle name="计算 2 12 5 3 4" xfId="25228" xr:uid="{00000000-0005-0000-0000-0000BC620000}"/>
    <cellStyle name="计算 2 12 5 3 4 2" xfId="26243" xr:uid="{00000000-0005-0000-0000-0000B3660000}"/>
    <cellStyle name="计算 2 12 5 3 5" xfId="26245" xr:uid="{00000000-0005-0000-0000-0000B5660000}"/>
    <cellStyle name="计算 2 12 5 3 5 2" xfId="26247" xr:uid="{00000000-0005-0000-0000-0000B7660000}"/>
    <cellStyle name="计算 2 12 5 3 6" xfId="1253" xr:uid="{00000000-0005-0000-0000-000015050000}"/>
    <cellStyle name="计算 2 12 5 4" xfId="23785" xr:uid="{00000000-0005-0000-0000-0000195D0000}"/>
    <cellStyle name="计算 2 12 5 4 2" xfId="26249" xr:uid="{00000000-0005-0000-0000-0000B9660000}"/>
    <cellStyle name="计算 2 12 5 4 2 2" xfId="21124" xr:uid="{00000000-0005-0000-0000-0000B4520000}"/>
    <cellStyle name="计算 2 12 5 4 3" xfId="26250" xr:uid="{00000000-0005-0000-0000-0000BA660000}"/>
    <cellStyle name="计算 2 12 5 4 3 2" xfId="2922" xr:uid="{00000000-0005-0000-0000-00009A0B0000}"/>
    <cellStyle name="计算 2 12 5 4 4" xfId="25235" xr:uid="{00000000-0005-0000-0000-0000C3620000}"/>
    <cellStyle name="计算 2 12 5 4 4 2" xfId="24830" xr:uid="{00000000-0005-0000-0000-00002E610000}"/>
    <cellStyle name="计算 2 12 5 4 5" xfId="26251" xr:uid="{00000000-0005-0000-0000-0000BB660000}"/>
    <cellStyle name="计算 2 12 5 4 5 2" xfId="26253" xr:uid="{00000000-0005-0000-0000-0000BD660000}"/>
    <cellStyle name="计算 2 12 5 4 6" xfId="3092" xr:uid="{00000000-0005-0000-0000-0000440C0000}"/>
    <cellStyle name="计算 2 12 5 5" xfId="26255" xr:uid="{00000000-0005-0000-0000-0000BF660000}"/>
    <cellStyle name="计算 2 12 5 5 2" xfId="26256" xr:uid="{00000000-0005-0000-0000-0000C0660000}"/>
    <cellStyle name="计算 2 12 5 5 2 2" xfId="21226" xr:uid="{00000000-0005-0000-0000-00001A530000}"/>
    <cellStyle name="计算 2 12 5 5 3" xfId="26257" xr:uid="{00000000-0005-0000-0000-0000C1660000}"/>
    <cellStyle name="计算 2 12 5 5 3 2" xfId="3257" xr:uid="{00000000-0005-0000-0000-0000E90C0000}"/>
    <cellStyle name="计算 2 12 5 5 4" xfId="25245" xr:uid="{00000000-0005-0000-0000-0000CD620000}"/>
    <cellStyle name="计算 2 12 5 5 4 2" xfId="26259" xr:uid="{00000000-0005-0000-0000-0000C3660000}"/>
    <cellStyle name="计算 2 12 5 5 5" xfId="26263" xr:uid="{00000000-0005-0000-0000-0000C7660000}"/>
    <cellStyle name="计算 2 12 5 5 5 2" xfId="26268" xr:uid="{00000000-0005-0000-0000-0000CC660000}"/>
    <cellStyle name="计算 2 12 5 5 6" xfId="15569" xr:uid="{00000000-0005-0000-0000-0000013D0000}"/>
    <cellStyle name="计算 2 12 5 6" xfId="1203" xr:uid="{00000000-0005-0000-0000-0000E3040000}"/>
    <cellStyle name="计算 2 12 5 6 2" xfId="26270" xr:uid="{00000000-0005-0000-0000-0000CE660000}"/>
    <cellStyle name="计算 2 12 5 6 2 2" xfId="26271" xr:uid="{00000000-0005-0000-0000-0000CF660000}"/>
    <cellStyle name="计算 2 12 5 6 3" xfId="26272" xr:uid="{00000000-0005-0000-0000-0000D0660000}"/>
    <cellStyle name="计算 2 12 5 6 3 2" xfId="302" xr:uid="{00000000-0005-0000-0000-00004D010000}"/>
    <cellStyle name="计算 2 12 5 6 4" xfId="26279" xr:uid="{00000000-0005-0000-0000-0000D7660000}"/>
    <cellStyle name="计算 2 12 5 6 4 2" xfId="26282" xr:uid="{00000000-0005-0000-0000-0000DA660000}"/>
    <cellStyle name="计算 2 12 5 6 5" xfId="26283" xr:uid="{00000000-0005-0000-0000-0000DB660000}"/>
    <cellStyle name="计算 2 12 5 6 5 2" xfId="26285" xr:uid="{00000000-0005-0000-0000-0000DD660000}"/>
    <cellStyle name="计算 2 12 5 6 6" xfId="15577" xr:uid="{00000000-0005-0000-0000-0000093D0000}"/>
    <cellStyle name="计算 2 12 5 7" xfId="26286" xr:uid="{00000000-0005-0000-0000-0000DE660000}"/>
    <cellStyle name="计算 2 12 5 7 2" xfId="26287" xr:uid="{00000000-0005-0000-0000-0000DF660000}"/>
    <cellStyle name="计算 2 12 5 7 2 2" xfId="26288" xr:uid="{00000000-0005-0000-0000-0000E0660000}"/>
    <cellStyle name="计算 2 12 5 7 3" xfId="26289" xr:uid="{00000000-0005-0000-0000-0000E1660000}"/>
    <cellStyle name="计算 2 12 5 7 3 2" xfId="88" xr:uid="{00000000-0005-0000-0000-00005F000000}"/>
    <cellStyle name="计算 2 12 5 7 4" xfId="26291" xr:uid="{00000000-0005-0000-0000-0000E3660000}"/>
    <cellStyle name="计算 2 12 5 7 4 2" xfId="26292" xr:uid="{00000000-0005-0000-0000-0000E4660000}"/>
    <cellStyle name="计算 2 12 5 7 5" xfId="26293" xr:uid="{00000000-0005-0000-0000-0000E5660000}"/>
    <cellStyle name="计算 2 12 5 7 5 2" xfId="19187" xr:uid="{00000000-0005-0000-0000-0000234B0000}"/>
    <cellStyle name="计算 2 12 5 7 6" xfId="26295" xr:uid="{00000000-0005-0000-0000-0000E7660000}"/>
    <cellStyle name="计算 2 12 5 8" xfId="16563" xr:uid="{00000000-0005-0000-0000-0000E3400000}"/>
    <cellStyle name="计算 2 12 5 8 2" xfId="20410" xr:uid="{00000000-0005-0000-0000-0000EA4F0000}"/>
    <cellStyle name="计算 2 12 5 8 2 2" xfId="20412" xr:uid="{00000000-0005-0000-0000-0000EC4F0000}"/>
    <cellStyle name="计算 2 12 5 8 3" xfId="20414" xr:uid="{00000000-0005-0000-0000-0000EE4F0000}"/>
    <cellStyle name="计算 2 12 5 8 3 2" xfId="1753" xr:uid="{00000000-0005-0000-0000-000009070000}"/>
    <cellStyle name="计算 2 12 5 8 4" xfId="20417" xr:uid="{00000000-0005-0000-0000-0000F14F0000}"/>
    <cellStyle name="计算 2 12 5 8 4 2" xfId="26296" xr:uid="{00000000-0005-0000-0000-0000E8660000}"/>
    <cellStyle name="计算 2 12 5 8 5" xfId="20421" xr:uid="{00000000-0005-0000-0000-0000F54F0000}"/>
    <cellStyle name="计算 2 12 5 9" xfId="26297" xr:uid="{00000000-0005-0000-0000-0000E9660000}"/>
    <cellStyle name="计算 2 12 5 9 2" xfId="26298" xr:uid="{00000000-0005-0000-0000-0000EA660000}"/>
    <cellStyle name="计算 2 12 6" xfId="26303" xr:uid="{00000000-0005-0000-0000-0000EF660000}"/>
    <cellStyle name="计算 2 12 6 10" xfId="20971" xr:uid="{00000000-0005-0000-0000-00001B520000}"/>
    <cellStyle name="计算 2 12 6 10 2" xfId="20976" xr:uid="{00000000-0005-0000-0000-000020520000}"/>
    <cellStyle name="计算 2 12 6 11" xfId="15749" xr:uid="{00000000-0005-0000-0000-0000B53D0000}"/>
    <cellStyle name="计算 2 12 6 11 2" xfId="20982" xr:uid="{00000000-0005-0000-0000-000026520000}"/>
    <cellStyle name="计算 2 12 6 12" xfId="20989" xr:uid="{00000000-0005-0000-0000-00002D520000}"/>
    <cellStyle name="计算 2 12 6 12 2" xfId="20994" xr:uid="{00000000-0005-0000-0000-000032520000}"/>
    <cellStyle name="计算 2 12 6 13" xfId="18881" xr:uid="{00000000-0005-0000-0000-0000F1490000}"/>
    <cellStyle name="计算 2 12 6 14" xfId="26304" xr:uid="{00000000-0005-0000-0000-0000F0660000}"/>
    <cellStyle name="计算 2 12 6 15" xfId="26307" xr:uid="{00000000-0005-0000-0000-0000F3660000}"/>
    <cellStyle name="计算 2 12 6 16" xfId="26309" xr:uid="{00000000-0005-0000-0000-0000F5660000}"/>
    <cellStyle name="计算 2 12 6 2" xfId="26315" xr:uid="{00000000-0005-0000-0000-0000FB660000}"/>
    <cellStyle name="计算 2 12 6 2 2" xfId="26316" xr:uid="{00000000-0005-0000-0000-0000FC660000}"/>
    <cellStyle name="计算 2 12 6 2 2 2" xfId="22305" xr:uid="{00000000-0005-0000-0000-000051570000}"/>
    <cellStyle name="计算 2 12 6 2 3" xfId="26317" xr:uid="{00000000-0005-0000-0000-0000FD660000}"/>
    <cellStyle name="计算 2 12 6 2 3 2" xfId="7376" xr:uid="{00000000-0005-0000-0000-0000001D0000}"/>
    <cellStyle name="计算 2 12 6 2 4" xfId="25248" xr:uid="{00000000-0005-0000-0000-0000D0620000}"/>
    <cellStyle name="计算 2 12 6 2 4 2" xfId="26318" xr:uid="{00000000-0005-0000-0000-0000FE660000}"/>
    <cellStyle name="计算 2 12 6 2 5" xfId="26320" xr:uid="{00000000-0005-0000-0000-000000670000}"/>
    <cellStyle name="计算 2 12 6 2 5 2" xfId="26322" xr:uid="{00000000-0005-0000-0000-000002670000}"/>
    <cellStyle name="计算 2 12 6 2 6" xfId="207" xr:uid="{00000000-0005-0000-0000-0000E1000000}"/>
    <cellStyle name="计算 2 12 6 2 7" xfId="26324" xr:uid="{00000000-0005-0000-0000-000004670000}"/>
    <cellStyle name="计算 2 12 6 2 8" xfId="26327" xr:uid="{00000000-0005-0000-0000-000007670000}"/>
    <cellStyle name="计算 2 12 6 2 9" xfId="26331" xr:uid="{00000000-0005-0000-0000-00000B670000}"/>
    <cellStyle name="计算 2 12 6 3" xfId="26333" xr:uid="{00000000-0005-0000-0000-00000D670000}"/>
    <cellStyle name="计算 2 12 6 3 2" xfId="20918" xr:uid="{00000000-0005-0000-0000-0000E6510000}"/>
    <cellStyle name="计算 2 12 6 3 2 2" xfId="20920" xr:uid="{00000000-0005-0000-0000-0000E8510000}"/>
    <cellStyle name="计算 2 12 6 3 3" xfId="20923" xr:uid="{00000000-0005-0000-0000-0000EB510000}"/>
    <cellStyle name="计算 2 12 6 3 3 2" xfId="2992" xr:uid="{00000000-0005-0000-0000-0000E00B0000}"/>
    <cellStyle name="计算 2 12 6 3 4" xfId="20930" xr:uid="{00000000-0005-0000-0000-0000F2510000}"/>
    <cellStyle name="计算 2 12 6 3 4 2" xfId="23643" xr:uid="{00000000-0005-0000-0000-00008B5C0000}"/>
    <cellStyle name="计算 2 12 6 3 5" xfId="20936" xr:uid="{00000000-0005-0000-0000-0000F8510000}"/>
    <cellStyle name="计算 2 12 6 3 5 2" xfId="23646" xr:uid="{00000000-0005-0000-0000-00008E5C0000}"/>
    <cellStyle name="计算 2 12 6 3 6" xfId="12704" xr:uid="{00000000-0005-0000-0000-0000D0310000}"/>
    <cellStyle name="计算 2 12 6 4" xfId="26336" xr:uid="{00000000-0005-0000-0000-000010670000}"/>
    <cellStyle name="计算 2 12 6 4 2" xfId="26337" xr:uid="{00000000-0005-0000-0000-000011670000}"/>
    <cellStyle name="计算 2 12 6 4 2 2" xfId="22470" xr:uid="{00000000-0005-0000-0000-0000F6570000}"/>
    <cellStyle name="计算 2 12 6 4 3" xfId="26338" xr:uid="{00000000-0005-0000-0000-000012670000}"/>
    <cellStyle name="计算 2 12 6 4 3 2" xfId="8008" xr:uid="{00000000-0005-0000-0000-0000781F0000}"/>
    <cellStyle name="计算 2 12 6 4 4" xfId="25260" xr:uid="{00000000-0005-0000-0000-0000DC620000}"/>
    <cellStyle name="计算 2 12 6 4 4 2" xfId="26339" xr:uid="{00000000-0005-0000-0000-000013670000}"/>
    <cellStyle name="计算 2 12 6 4 5" xfId="26341" xr:uid="{00000000-0005-0000-0000-000015670000}"/>
    <cellStyle name="计算 2 12 6 4 5 2" xfId="5599" xr:uid="{00000000-0005-0000-0000-00000F160000}"/>
    <cellStyle name="计算 2 12 6 4 6" xfId="12718" xr:uid="{00000000-0005-0000-0000-0000DE310000}"/>
    <cellStyle name="计算 2 12 6 5" xfId="26343" xr:uid="{00000000-0005-0000-0000-000017670000}"/>
    <cellStyle name="计算 2 12 6 5 2" xfId="26344" xr:uid="{00000000-0005-0000-0000-000018670000}"/>
    <cellStyle name="计算 2 12 6 5 2 2" xfId="22499" xr:uid="{00000000-0005-0000-0000-000013580000}"/>
    <cellStyle name="计算 2 12 6 5 3" xfId="26345" xr:uid="{00000000-0005-0000-0000-000019670000}"/>
    <cellStyle name="计算 2 12 6 5 3 2" xfId="7241" xr:uid="{00000000-0005-0000-0000-0000791C0000}"/>
    <cellStyle name="计算 2 12 6 5 4" xfId="25266" xr:uid="{00000000-0005-0000-0000-0000E2620000}"/>
    <cellStyle name="计算 2 12 6 5 4 2" xfId="26346" xr:uid="{00000000-0005-0000-0000-00001A670000}"/>
    <cellStyle name="计算 2 12 6 5 5" xfId="26348" xr:uid="{00000000-0005-0000-0000-00001C670000}"/>
    <cellStyle name="计算 2 12 6 5 5 2" xfId="26350" xr:uid="{00000000-0005-0000-0000-00001E670000}"/>
    <cellStyle name="计算 2 12 6 5 6" xfId="15582" xr:uid="{00000000-0005-0000-0000-00000E3D0000}"/>
    <cellStyle name="计算 2 12 6 6" xfId="9253" xr:uid="{00000000-0005-0000-0000-000055240000}"/>
    <cellStyle name="计算 2 12 6 6 2" xfId="26354" xr:uid="{00000000-0005-0000-0000-000022670000}"/>
    <cellStyle name="计算 2 12 6 6 2 2" xfId="26356" xr:uid="{00000000-0005-0000-0000-000024670000}"/>
    <cellStyle name="计算 2 12 6 6 3" xfId="26358" xr:uid="{00000000-0005-0000-0000-000026670000}"/>
    <cellStyle name="计算 2 12 6 6 3 2" xfId="5255" xr:uid="{00000000-0005-0000-0000-0000B7140000}"/>
    <cellStyle name="计算 2 12 6 6 4" xfId="26361" xr:uid="{00000000-0005-0000-0000-000029670000}"/>
    <cellStyle name="计算 2 12 6 6 4 2" xfId="26364" xr:uid="{00000000-0005-0000-0000-00002C670000}"/>
    <cellStyle name="计算 2 12 6 6 5" xfId="26365" xr:uid="{00000000-0005-0000-0000-00002D670000}"/>
    <cellStyle name="计算 2 12 6 6 5 2" xfId="26367" xr:uid="{00000000-0005-0000-0000-00002F670000}"/>
    <cellStyle name="计算 2 12 6 6 6" xfId="15588" xr:uid="{00000000-0005-0000-0000-0000143D0000}"/>
    <cellStyle name="计算 2 12 6 7" xfId="26369" xr:uid="{00000000-0005-0000-0000-000031670000}"/>
    <cellStyle name="计算 2 12 6 7 2" xfId="26371" xr:uid="{00000000-0005-0000-0000-000033670000}"/>
    <cellStyle name="计算 2 12 6 7 2 2" xfId="26372" xr:uid="{00000000-0005-0000-0000-000034670000}"/>
    <cellStyle name="计算 2 12 6 7 3" xfId="26373" xr:uid="{00000000-0005-0000-0000-000035670000}"/>
    <cellStyle name="计算 2 12 6 7 3 2" xfId="8714" xr:uid="{00000000-0005-0000-0000-00003A220000}"/>
    <cellStyle name="计算 2 12 6 7 4" xfId="26375" xr:uid="{00000000-0005-0000-0000-000037670000}"/>
    <cellStyle name="计算 2 12 6 7 4 2" xfId="26376" xr:uid="{00000000-0005-0000-0000-000038670000}"/>
    <cellStyle name="计算 2 12 6 7 5" xfId="26377" xr:uid="{00000000-0005-0000-0000-000039670000}"/>
    <cellStyle name="计算 2 12 6 7 5 2" xfId="26378" xr:uid="{00000000-0005-0000-0000-00003A670000}"/>
    <cellStyle name="计算 2 12 6 7 6" xfId="19997" xr:uid="{00000000-0005-0000-0000-00004D4E0000}"/>
    <cellStyle name="计算 2 12 6 8" xfId="16570" xr:uid="{00000000-0005-0000-0000-0000EA400000}"/>
    <cellStyle name="计算 2 12 6 8 2" xfId="21005" xr:uid="{00000000-0005-0000-0000-00003D520000}"/>
    <cellStyle name="计算 2 12 6 8 2 2" xfId="21007" xr:uid="{00000000-0005-0000-0000-00003F520000}"/>
    <cellStyle name="计算 2 12 6 8 3" xfId="21009" xr:uid="{00000000-0005-0000-0000-000041520000}"/>
    <cellStyle name="计算 2 12 6 8 3 2" xfId="6664" xr:uid="{00000000-0005-0000-0000-0000381A0000}"/>
    <cellStyle name="计算 2 12 6 8 4" xfId="21013" xr:uid="{00000000-0005-0000-0000-000045520000}"/>
    <cellStyle name="计算 2 12 6 8 4 2" xfId="23687" xr:uid="{00000000-0005-0000-0000-0000B75C0000}"/>
    <cellStyle name="计算 2 12 6 8 5" xfId="21018" xr:uid="{00000000-0005-0000-0000-00004A520000}"/>
    <cellStyle name="计算 2 12 6 9" xfId="26380" xr:uid="{00000000-0005-0000-0000-00003C670000}"/>
    <cellStyle name="计算 2 12 6 9 2" xfId="26382" xr:uid="{00000000-0005-0000-0000-00003E670000}"/>
    <cellStyle name="计算 2 12 7" xfId="26385" xr:uid="{00000000-0005-0000-0000-000041670000}"/>
    <cellStyle name="计算 2 12 7 10" xfId="15863" xr:uid="{00000000-0005-0000-0000-0000273E0000}"/>
    <cellStyle name="计算 2 12 7 10 2" xfId="26386" xr:uid="{00000000-0005-0000-0000-000042670000}"/>
    <cellStyle name="计算 2 12 7 11" xfId="25851" xr:uid="{00000000-0005-0000-0000-00002B650000}"/>
    <cellStyle name="计算 2 12 7 11 2" xfId="26390" xr:uid="{00000000-0005-0000-0000-000046670000}"/>
    <cellStyle name="计算 2 12 7 12" xfId="26396" xr:uid="{00000000-0005-0000-0000-00004C670000}"/>
    <cellStyle name="计算 2 12 7 12 2" xfId="26400" xr:uid="{00000000-0005-0000-0000-000050670000}"/>
    <cellStyle name="计算 2 12 7 13" xfId="1837" xr:uid="{00000000-0005-0000-0000-00005D070000}"/>
    <cellStyle name="计算 2 12 7 14" xfId="21406" xr:uid="{00000000-0005-0000-0000-0000CE530000}"/>
    <cellStyle name="计算 2 12 7 15" xfId="21413" xr:uid="{00000000-0005-0000-0000-0000D5530000}"/>
    <cellStyle name="计算 2 12 7 16" xfId="21422" xr:uid="{00000000-0005-0000-0000-0000DE530000}"/>
    <cellStyle name="计算 2 12 7 2" xfId="26404" xr:uid="{00000000-0005-0000-0000-000054670000}"/>
    <cellStyle name="计算 2 12 7 2 2" xfId="9107" xr:uid="{00000000-0005-0000-0000-0000C3230000}"/>
    <cellStyle name="计算 2 12 7 2 2 2" xfId="9122" xr:uid="{00000000-0005-0000-0000-0000D2230000}"/>
    <cellStyle name="计算 2 12 7 2 3" xfId="9130" xr:uid="{00000000-0005-0000-0000-0000DA230000}"/>
    <cellStyle name="计算 2 12 7 2 3 2" xfId="9140" xr:uid="{00000000-0005-0000-0000-0000E4230000}"/>
    <cellStyle name="计算 2 12 7 2 4" xfId="9147" xr:uid="{00000000-0005-0000-0000-0000EB230000}"/>
    <cellStyle name="计算 2 12 7 2 4 2" xfId="1546" xr:uid="{00000000-0005-0000-0000-00003A060000}"/>
    <cellStyle name="计算 2 12 7 2 5" xfId="7139" xr:uid="{00000000-0005-0000-0000-0000131C0000}"/>
    <cellStyle name="计算 2 12 7 2 5 2" xfId="24495" xr:uid="{00000000-0005-0000-0000-0000DF5F0000}"/>
    <cellStyle name="计算 2 12 7 2 6" xfId="26407" xr:uid="{00000000-0005-0000-0000-000057670000}"/>
    <cellStyle name="计算 2 12 7 2 7" xfId="26410" xr:uid="{00000000-0005-0000-0000-00005A670000}"/>
    <cellStyle name="计算 2 12 7 2 8" xfId="26413" xr:uid="{00000000-0005-0000-0000-00005D670000}"/>
    <cellStyle name="计算 2 12 7 2 9" xfId="26417" xr:uid="{00000000-0005-0000-0000-000061670000}"/>
    <cellStyle name="计算 2 12 7 3" xfId="26419" xr:uid="{00000000-0005-0000-0000-000063670000}"/>
    <cellStyle name="计算 2 12 7 3 2" xfId="9158" xr:uid="{00000000-0005-0000-0000-0000F6230000}"/>
    <cellStyle name="计算 2 12 7 3 2 2" xfId="2873" xr:uid="{00000000-0005-0000-0000-0000690B0000}"/>
    <cellStyle name="计算 2 12 7 3 3" xfId="9166" xr:uid="{00000000-0005-0000-0000-0000FE230000}"/>
    <cellStyle name="计算 2 12 7 3 3 2" xfId="9176" xr:uid="{00000000-0005-0000-0000-000008240000}"/>
    <cellStyle name="计算 2 12 7 3 4" xfId="9187" xr:uid="{00000000-0005-0000-0000-000013240000}"/>
    <cellStyle name="计算 2 12 7 3 4 2" xfId="12781" xr:uid="{00000000-0005-0000-0000-00001D320000}"/>
    <cellStyle name="计算 2 12 7 3 5" xfId="7189" xr:uid="{00000000-0005-0000-0000-0000451C0000}"/>
    <cellStyle name="计算 2 12 7 3 5 2" xfId="26421" xr:uid="{00000000-0005-0000-0000-000065670000}"/>
    <cellStyle name="计算 2 12 7 3 6" xfId="12739" xr:uid="{00000000-0005-0000-0000-0000F3310000}"/>
    <cellStyle name="计算 2 12 7 4" xfId="26427" xr:uid="{00000000-0005-0000-0000-00006B670000}"/>
    <cellStyle name="计算 2 12 7 4 2" xfId="12793" xr:uid="{00000000-0005-0000-0000-000029320000}"/>
    <cellStyle name="计算 2 12 7 4 2 2" xfId="12799" xr:uid="{00000000-0005-0000-0000-00002F320000}"/>
    <cellStyle name="计算 2 12 7 4 3" xfId="12805" xr:uid="{00000000-0005-0000-0000-000035320000}"/>
    <cellStyle name="计算 2 12 7 4 3 2" xfId="10221" xr:uid="{00000000-0005-0000-0000-00001D280000}"/>
    <cellStyle name="计算 2 12 7 4 4" xfId="12810" xr:uid="{00000000-0005-0000-0000-00003A320000}"/>
    <cellStyle name="计算 2 12 7 4 4 2" xfId="9531" xr:uid="{00000000-0005-0000-0000-00006B250000}"/>
    <cellStyle name="计算 2 12 7 4 5" xfId="12817" xr:uid="{00000000-0005-0000-0000-000041320000}"/>
    <cellStyle name="计算 2 12 7 4 5 2" xfId="13900" xr:uid="{00000000-0005-0000-0000-00007C360000}"/>
    <cellStyle name="计算 2 12 7 4 6" xfId="12750" xr:uid="{00000000-0005-0000-0000-0000FE310000}"/>
    <cellStyle name="计算 2 12 7 5" xfId="26428" xr:uid="{00000000-0005-0000-0000-00006C670000}"/>
    <cellStyle name="计算 2 12 7 5 2" xfId="12834" xr:uid="{00000000-0005-0000-0000-000052320000}"/>
    <cellStyle name="计算 2 12 7 5 2 2" xfId="12840" xr:uid="{00000000-0005-0000-0000-000058320000}"/>
    <cellStyle name="计算 2 12 7 5 3" xfId="12843" xr:uid="{00000000-0005-0000-0000-00005B320000}"/>
    <cellStyle name="计算 2 12 7 5 3 2" xfId="10533" xr:uid="{00000000-0005-0000-0000-000055290000}"/>
    <cellStyle name="计算 2 12 7 5 4" xfId="12850" xr:uid="{00000000-0005-0000-0000-000062320000}"/>
    <cellStyle name="计算 2 12 7 5 4 2" xfId="10949" xr:uid="{00000000-0005-0000-0000-0000F52A0000}"/>
    <cellStyle name="计算 2 12 7 5 5" xfId="26431" xr:uid="{00000000-0005-0000-0000-00006F670000}"/>
    <cellStyle name="计算 2 12 7 5 5 2" xfId="17426" xr:uid="{00000000-0005-0000-0000-000042440000}"/>
    <cellStyle name="计算 2 12 7 5 6" xfId="15598" xr:uid="{00000000-0005-0000-0000-00001E3D0000}"/>
    <cellStyle name="计算 2 12 7 6" xfId="26434" xr:uid="{00000000-0005-0000-0000-000072670000}"/>
    <cellStyle name="计算 2 12 7 6 2" xfId="26437" xr:uid="{00000000-0005-0000-0000-000075670000}"/>
    <cellStyle name="计算 2 12 7 6 2 2" xfId="26440" xr:uid="{00000000-0005-0000-0000-000078670000}"/>
    <cellStyle name="计算 2 12 7 6 3" xfId="26443" xr:uid="{00000000-0005-0000-0000-00007B670000}"/>
    <cellStyle name="计算 2 12 7 6 3 2" xfId="10911" xr:uid="{00000000-0005-0000-0000-0000CF2A0000}"/>
    <cellStyle name="计算 2 12 7 6 4" xfId="26446" xr:uid="{00000000-0005-0000-0000-00007E670000}"/>
    <cellStyle name="计算 2 12 7 6 4 2" xfId="2411" xr:uid="{00000000-0005-0000-0000-00009B090000}"/>
    <cellStyle name="计算 2 12 7 6 5" xfId="26449" xr:uid="{00000000-0005-0000-0000-000081670000}"/>
    <cellStyle name="计算 2 12 7 6 5 2" xfId="24844" xr:uid="{00000000-0005-0000-0000-00003C610000}"/>
    <cellStyle name="计算 2 12 7 6 6" xfId="14945" xr:uid="{00000000-0005-0000-0000-0000913A0000}"/>
    <cellStyle name="计算 2 12 7 7" xfId="26452" xr:uid="{00000000-0005-0000-0000-000084670000}"/>
    <cellStyle name="计算 2 12 7 7 2" xfId="26455" xr:uid="{00000000-0005-0000-0000-000087670000}"/>
    <cellStyle name="计算 2 12 7 7 2 2" xfId="26459" xr:uid="{00000000-0005-0000-0000-00008B670000}"/>
    <cellStyle name="计算 2 12 7 7 3" xfId="26463" xr:uid="{00000000-0005-0000-0000-00008F670000}"/>
    <cellStyle name="计算 2 12 7 7 3 2" xfId="10980" xr:uid="{00000000-0005-0000-0000-0000142B0000}"/>
    <cellStyle name="计算 2 12 7 7 4" xfId="26468" xr:uid="{00000000-0005-0000-0000-000094670000}"/>
    <cellStyle name="计算 2 12 7 7 4 2" xfId="26469" xr:uid="{00000000-0005-0000-0000-000095670000}"/>
    <cellStyle name="计算 2 12 7 7 5" xfId="26473" xr:uid="{00000000-0005-0000-0000-000099670000}"/>
    <cellStyle name="计算 2 12 7 7 5 2" xfId="25518" xr:uid="{00000000-0005-0000-0000-0000DE630000}"/>
    <cellStyle name="计算 2 12 7 7 6" xfId="14949" xr:uid="{00000000-0005-0000-0000-0000953A0000}"/>
    <cellStyle name="计算 2 12 7 8" xfId="16580" xr:uid="{00000000-0005-0000-0000-0000F4400000}"/>
    <cellStyle name="计算 2 12 7 8 2" xfId="26475" xr:uid="{00000000-0005-0000-0000-00009B670000}"/>
    <cellStyle name="计算 2 12 7 8 2 2" xfId="26476" xr:uid="{00000000-0005-0000-0000-00009C670000}"/>
    <cellStyle name="计算 2 12 7 8 3" xfId="26478" xr:uid="{00000000-0005-0000-0000-00009E670000}"/>
    <cellStyle name="计算 2 12 7 8 3 2" xfId="11097" xr:uid="{00000000-0005-0000-0000-0000892B0000}"/>
    <cellStyle name="计算 2 12 7 8 4" xfId="26480" xr:uid="{00000000-0005-0000-0000-0000A0670000}"/>
    <cellStyle name="计算 2 12 7 8 4 2" xfId="26482" xr:uid="{00000000-0005-0000-0000-0000A2670000}"/>
    <cellStyle name="计算 2 12 7 8 5" xfId="26484" xr:uid="{00000000-0005-0000-0000-0000A4670000}"/>
    <cellStyle name="计算 2 12 7 9" xfId="26486" xr:uid="{00000000-0005-0000-0000-0000A6670000}"/>
    <cellStyle name="计算 2 12 7 9 2" xfId="26489" xr:uid="{00000000-0005-0000-0000-0000A9670000}"/>
    <cellStyle name="计算 2 12 8" xfId="26490" xr:uid="{00000000-0005-0000-0000-0000AA670000}"/>
    <cellStyle name="计算 2 12 8 10" xfId="26491" xr:uid="{00000000-0005-0000-0000-0000AB670000}"/>
    <cellStyle name="计算 2 12 8 10 2" xfId="26493" xr:uid="{00000000-0005-0000-0000-0000AD670000}"/>
    <cellStyle name="计算 2 12 8 11" xfId="26499" xr:uid="{00000000-0005-0000-0000-0000B3670000}"/>
    <cellStyle name="计算 2 12 8 11 2" xfId="26502" xr:uid="{00000000-0005-0000-0000-0000B6670000}"/>
    <cellStyle name="计算 2 12 8 12" xfId="26506" xr:uid="{00000000-0005-0000-0000-0000BA670000}"/>
    <cellStyle name="计算 2 12 8 12 2" xfId="26510" xr:uid="{00000000-0005-0000-0000-0000BE670000}"/>
    <cellStyle name="计算 2 12 8 13" xfId="15288" xr:uid="{00000000-0005-0000-0000-0000E83B0000}"/>
    <cellStyle name="计算 2 12 8 14" xfId="15296" xr:uid="{00000000-0005-0000-0000-0000F03B0000}"/>
    <cellStyle name="计算 2 12 8 15" xfId="15304" xr:uid="{00000000-0005-0000-0000-0000F83B0000}"/>
    <cellStyle name="计算 2 12 8 16" xfId="12105" xr:uid="{00000000-0005-0000-0000-0000792F0000}"/>
    <cellStyle name="计算 2 12 8 2" xfId="26516" xr:uid="{00000000-0005-0000-0000-0000C4670000}"/>
    <cellStyle name="计算 2 12 8 2 2" xfId="26520" xr:uid="{00000000-0005-0000-0000-0000C8670000}"/>
    <cellStyle name="计算 2 12 8 2 2 2" xfId="26527" xr:uid="{00000000-0005-0000-0000-0000CF670000}"/>
    <cellStyle name="计算 2 12 8 2 3" xfId="26534" xr:uid="{00000000-0005-0000-0000-0000D6670000}"/>
    <cellStyle name="计算 2 12 8 2 3 2" xfId="21277" xr:uid="{00000000-0005-0000-0000-00004D530000}"/>
    <cellStyle name="计算 2 12 8 2 4" xfId="25286" xr:uid="{00000000-0005-0000-0000-0000F6620000}"/>
    <cellStyle name="计算 2 12 8 2 4 2" xfId="26540" xr:uid="{00000000-0005-0000-0000-0000DC670000}"/>
    <cellStyle name="计算 2 12 8 2 5" xfId="26545" xr:uid="{00000000-0005-0000-0000-0000E1670000}"/>
    <cellStyle name="计算 2 12 8 2 5 2" xfId="26551" xr:uid="{00000000-0005-0000-0000-0000E7670000}"/>
    <cellStyle name="计算 2 12 8 2 6" xfId="26556" xr:uid="{00000000-0005-0000-0000-0000EC670000}"/>
    <cellStyle name="计算 2 12 8 2 7" xfId="26561" xr:uid="{00000000-0005-0000-0000-0000F1670000}"/>
    <cellStyle name="计算 2 12 8 2 8" xfId="26565" xr:uid="{00000000-0005-0000-0000-0000F5670000}"/>
    <cellStyle name="计算 2 12 8 2 9" xfId="26569" xr:uid="{00000000-0005-0000-0000-0000F9670000}"/>
    <cellStyle name="计算 2 12 8 3" xfId="26575" xr:uid="{00000000-0005-0000-0000-0000FF670000}"/>
    <cellStyle name="计算 2 12 8 3 2" xfId="26580" xr:uid="{00000000-0005-0000-0000-000004680000}"/>
    <cellStyle name="计算 2 12 8 3 2 2" xfId="26586" xr:uid="{00000000-0005-0000-0000-00000A680000}"/>
    <cellStyle name="计算 2 12 8 3 3" xfId="26593" xr:uid="{00000000-0005-0000-0000-000011680000}"/>
    <cellStyle name="计算 2 12 8 3 3 2" xfId="26599" xr:uid="{00000000-0005-0000-0000-000017680000}"/>
    <cellStyle name="计算 2 12 8 3 4" xfId="25297" xr:uid="{00000000-0005-0000-0000-000001630000}"/>
    <cellStyle name="计算 2 12 8 3 4 2" xfId="26605" xr:uid="{00000000-0005-0000-0000-00001D680000}"/>
    <cellStyle name="计算 2 12 8 3 5" xfId="26611" xr:uid="{00000000-0005-0000-0000-000023680000}"/>
    <cellStyle name="计算 2 12 8 3 5 2" xfId="26614" xr:uid="{00000000-0005-0000-0000-000026680000}"/>
    <cellStyle name="计算 2 12 8 3 6" xfId="26617" xr:uid="{00000000-0005-0000-0000-000029680000}"/>
    <cellStyle name="计算 2 12 8 4" xfId="26621" xr:uid="{00000000-0005-0000-0000-00002D680000}"/>
    <cellStyle name="计算 2 12 8 4 2" xfId="26623" xr:uid="{00000000-0005-0000-0000-00002F680000}"/>
    <cellStyle name="计算 2 12 8 4 2 2" xfId="26625" xr:uid="{00000000-0005-0000-0000-000031680000}"/>
    <cellStyle name="计算 2 12 8 4 3" xfId="26628" xr:uid="{00000000-0005-0000-0000-000034680000}"/>
    <cellStyle name="计算 2 12 8 4 3 2" xfId="26630" xr:uid="{00000000-0005-0000-0000-000036680000}"/>
    <cellStyle name="计算 2 12 8 4 4" xfId="25301" xr:uid="{00000000-0005-0000-0000-000005630000}"/>
    <cellStyle name="计算 2 12 8 4 4 2" xfId="26632" xr:uid="{00000000-0005-0000-0000-000038680000}"/>
    <cellStyle name="计算 2 12 8 4 5" xfId="26635" xr:uid="{00000000-0005-0000-0000-00003B680000}"/>
    <cellStyle name="计算 2 12 8 4 5 2" xfId="26638" xr:uid="{00000000-0005-0000-0000-00003E680000}"/>
    <cellStyle name="计算 2 12 8 4 6" xfId="26642" xr:uid="{00000000-0005-0000-0000-000042680000}"/>
    <cellStyle name="计算 2 12 8 5" xfId="26647" xr:uid="{00000000-0005-0000-0000-000047680000}"/>
    <cellStyle name="计算 2 12 8 5 2" xfId="26650" xr:uid="{00000000-0005-0000-0000-00004A680000}"/>
    <cellStyle name="计算 2 12 8 5 2 2" xfId="26653" xr:uid="{00000000-0005-0000-0000-00004D680000}"/>
    <cellStyle name="计算 2 12 8 5 3" xfId="26657" xr:uid="{00000000-0005-0000-0000-000051680000}"/>
    <cellStyle name="计算 2 12 8 5 3 2" xfId="26660" xr:uid="{00000000-0005-0000-0000-000054680000}"/>
    <cellStyle name="计算 2 12 8 5 4" xfId="26663" xr:uid="{00000000-0005-0000-0000-000057680000}"/>
    <cellStyle name="计算 2 12 8 5 4 2" xfId="26667" xr:uid="{00000000-0005-0000-0000-00005B680000}"/>
    <cellStyle name="计算 2 12 8 5 5" xfId="26671" xr:uid="{00000000-0005-0000-0000-00005F680000}"/>
    <cellStyle name="计算 2 12 8 5 5 2" xfId="26674" xr:uid="{00000000-0005-0000-0000-000062680000}"/>
    <cellStyle name="计算 2 12 8 5 6" xfId="26679" xr:uid="{00000000-0005-0000-0000-000067680000}"/>
    <cellStyle name="计算 2 12 8 6" xfId="26684" xr:uid="{00000000-0005-0000-0000-00006C680000}"/>
    <cellStyle name="计算 2 12 8 6 2" xfId="26686" xr:uid="{00000000-0005-0000-0000-00006E680000}"/>
    <cellStyle name="计算 2 12 8 6 2 2" xfId="17558" xr:uid="{00000000-0005-0000-0000-0000C6440000}"/>
    <cellStyle name="计算 2 12 8 6 3" xfId="26687" xr:uid="{00000000-0005-0000-0000-00006F680000}"/>
    <cellStyle name="计算 2 12 8 6 3 2" xfId="17577" xr:uid="{00000000-0005-0000-0000-0000D9440000}"/>
    <cellStyle name="计算 2 12 8 6 4" xfId="26689" xr:uid="{00000000-0005-0000-0000-000071680000}"/>
    <cellStyle name="计算 2 12 8 6 4 2" xfId="6203" xr:uid="{00000000-0005-0000-0000-00006B180000}"/>
    <cellStyle name="计算 2 12 8 6 5" xfId="26691" xr:uid="{00000000-0005-0000-0000-000073680000}"/>
    <cellStyle name="计算 2 12 8 6 5 2" xfId="17627" xr:uid="{00000000-0005-0000-0000-00000B450000}"/>
    <cellStyle name="计算 2 12 8 6 6" xfId="14962" xr:uid="{00000000-0005-0000-0000-0000A23A0000}"/>
    <cellStyle name="计算 2 12 8 7" xfId="26693" xr:uid="{00000000-0005-0000-0000-000075680000}"/>
    <cellStyle name="计算 2 12 8 7 2" xfId="26696" xr:uid="{00000000-0005-0000-0000-000078680000}"/>
    <cellStyle name="计算 2 12 8 7 2 2" xfId="26699" xr:uid="{00000000-0005-0000-0000-00007B680000}"/>
    <cellStyle name="计算 2 12 8 7 3" xfId="26703" xr:uid="{00000000-0005-0000-0000-00007F680000}"/>
    <cellStyle name="计算 2 12 8 7 3 2" xfId="19380" xr:uid="{00000000-0005-0000-0000-0000E44B0000}"/>
    <cellStyle name="计算 2 12 8 7 4" xfId="26707" xr:uid="{00000000-0005-0000-0000-000083680000}"/>
    <cellStyle name="计算 2 12 8 7 4 2" xfId="26709" xr:uid="{00000000-0005-0000-0000-000085680000}"/>
    <cellStyle name="计算 2 12 8 7 5" xfId="26710" xr:uid="{00000000-0005-0000-0000-000086680000}"/>
    <cellStyle name="计算 2 12 8 7 5 2" xfId="26712" xr:uid="{00000000-0005-0000-0000-000088680000}"/>
    <cellStyle name="计算 2 12 8 7 6" xfId="14968" xr:uid="{00000000-0005-0000-0000-0000A83A0000}"/>
    <cellStyle name="计算 2 12 8 8" xfId="26715" xr:uid="{00000000-0005-0000-0000-00008B680000}"/>
    <cellStyle name="计算 2 12 8 8 2" xfId="26717" xr:uid="{00000000-0005-0000-0000-00008D680000}"/>
    <cellStyle name="计算 2 12 8 8 2 2" xfId="11565" xr:uid="{00000000-0005-0000-0000-00005D2D0000}"/>
    <cellStyle name="计算 2 12 8 8 3" xfId="26718" xr:uid="{00000000-0005-0000-0000-00008E680000}"/>
    <cellStyle name="计算 2 12 8 8 3 2" xfId="13114" xr:uid="{00000000-0005-0000-0000-00006A330000}"/>
    <cellStyle name="计算 2 12 8 8 4" xfId="26720" xr:uid="{00000000-0005-0000-0000-000090680000}"/>
    <cellStyle name="计算 2 12 8 8 4 2" xfId="13228" xr:uid="{00000000-0005-0000-0000-0000DC330000}"/>
    <cellStyle name="计算 2 12 8 8 5" xfId="26721" xr:uid="{00000000-0005-0000-0000-000091680000}"/>
    <cellStyle name="计算 2 12 8 9" xfId="26723" xr:uid="{00000000-0005-0000-0000-000093680000}"/>
    <cellStyle name="计算 2 12 8 9 2" xfId="26725" xr:uid="{00000000-0005-0000-0000-000095680000}"/>
    <cellStyle name="计算 2 12 9" xfId="24470" xr:uid="{00000000-0005-0000-0000-0000C65F0000}"/>
    <cellStyle name="计算 2 12 9 10" xfId="26726" xr:uid="{00000000-0005-0000-0000-000096680000}"/>
    <cellStyle name="计算 2 12 9 10 2" xfId="26727" xr:uid="{00000000-0005-0000-0000-000097680000}"/>
    <cellStyle name="计算 2 12 9 11" xfId="26731" xr:uid="{00000000-0005-0000-0000-00009B680000}"/>
    <cellStyle name="计算 2 12 9 11 2" xfId="26735" xr:uid="{00000000-0005-0000-0000-00009F680000}"/>
    <cellStyle name="计算 2 12 9 12" xfId="26739" xr:uid="{00000000-0005-0000-0000-0000A3680000}"/>
    <cellStyle name="计算 2 12 9 12 2" xfId="26743" xr:uid="{00000000-0005-0000-0000-0000A7680000}"/>
    <cellStyle name="计算 2 12 9 13" xfId="6249" xr:uid="{00000000-0005-0000-0000-000099180000}"/>
    <cellStyle name="计算 2 12 9 14" xfId="4443" xr:uid="{00000000-0005-0000-0000-00008B110000}"/>
    <cellStyle name="计算 2 12 9 15" xfId="15425" xr:uid="{00000000-0005-0000-0000-0000713C0000}"/>
    <cellStyle name="计算 2 12 9 16" xfId="15432" xr:uid="{00000000-0005-0000-0000-0000783C0000}"/>
    <cellStyle name="计算 2 12 9 2" xfId="26745" xr:uid="{00000000-0005-0000-0000-0000A9680000}"/>
    <cellStyle name="计算 2 12 9 2 2" xfId="26747" xr:uid="{00000000-0005-0000-0000-0000AB680000}"/>
    <cellStyle name="计算 2 12 9 2 2 2" xfId="24800" xr:uid="{00000000-0005-0000-0000-000010610000}"/>
    <cellStyle name="计算 2 12 9 2 3" xfId="26750" xr:uid="{00000000-0005-0000-0000-0000AE680000}"/>
    <cellStyle name="计算 2 12 9 2 3 2" xfId="22539" xr:uid="{00000000-0005-0000-0000-00003B580000}"/>
    <cellStyle name="计算 2 12 9 2 4" xfId="11627" xr:uid="{00000000-0005-0000-0000-00009B2D0000}"/>
    <cellStyle name="计算 2 12 9 2 4 2" xfId="26752" xr:uid="{00000000-0005-0000-0000-0000B0680000}"/>
    <cellStyle name="计算 2 12 9 2 5" xfId="26755" xr:uid="{00000000-0005-0000-0000-0000B3680000}"/>
    <cellStyle name="计算 2 12 9 2 5 2" xfId="26757" xr:uid="{00000000-0005-0000-0000-0000B5680000}"/>
    <cellStyle name="计算 2 12 9 2 6" xfId="26759" xr:uid="{00000000-0005-0000-0000-0000B7680000}"/>
    <cellStyle name="计算 2 12 9 3" xfId="26762" xr:uid="{00000000-0005-0000-0000-0000BA680000}"/>
    <cellStyle name="计算 2 12 9 3 2" xfId="18043" xr:uid="{00000000-0005-0000-0000-0000AB460000}"/>
    <cellStyle name="计算 2 12 9 3 2 2" xfId="26764" xr:uid="{00000000-0005-0000-0000-0000BC680000}"/>
    <cellStyle name="计算 2 12 9 3 3" xfId="49" xr:uid="{00000000-0005-0000-0000-000035000000}"/>
    <cellStyle name="计算 2 12 9 3 3 2" xfId="1660" xr:uid="{00000000-0005-0000-0000-0000AC060000}"/>
    <cellStyle name="计算 2 12 9 3 4" xfId="26766" xr:uid="{00000000-0005-0000-0000-0000BE680000}"/>
    <cellStyle name="计算 2 12 9 3 4 2" xfId="26770" xr:uid="{00000000-0005-0000-0000-0000C2680000}"/>
    <cellStyle name="计算 2 12 9 3 5" xfId="26773" xr:uid="{00000000-0005-0000-0000-0000C5680000}"/>
    <cellStyle name="计算 2 12 9 3 5 2" xfId="26775" xr:uid="{00000000-0005-0000-0000-0000C7680000}"/>
    <cellStyle name="计算 2 12 9 3 6" xfId="26777" xr:uid="{00000000-0005-0000-0000-0000C9680000}"/>
    <cellStyle name="计算 2 12 9 4" xfId="26779" xr:uid="{00000000-0005-0000-0000-0000CB680000}"/>
    <cellStyle name="计算 2 12 9 4 2" xfId="26783" xr:uid="{00000000-0005-0000-0000-0000CF680000}"/>
    <cellStyle name="计算 2 12 9 4 2 2" xfId="26785" xr:uid="{00000000-0005-0000-0000-0000D1680000}"/>
    <cellStyle name="计算 2 12 9 4 3" xfId="26788" xr:uid="{00000000-0005-0000-0000-0000D4680000}"/>
    <cellStyle name="计算 2 12 9 4 3 2" xfId="26791" xr:uid="{00000000-0005-0000-0000-0000D7680000}"/>
    <cellStyle name="计算 2 12 9 4 4" xfId="26793" xr:uid="{00000000-0005-0000-0000-0000D9680000}"/>
    <cellStyle name="计算 2 12 9 4 4 2" xfId="26797" xr:uid="{00000000-0005-0000-0000-0000DD680000}"/>
    <cellStyle name="计算 2 12 9 4 5" xfId="26799" xr:uid="{00000000-0005-0000-0000-0000DF680000}"/>
    <cellStyle name="计算 2 12 9 4 5 2" xfId="26801" xr:uid="{00000000-0005-0000-0000-0000E1680000}"/>
    <cellStyle name="计算 2 12 9 4 6" xfId="26804" xr:uid="{00000000-0005-0000-0000-0000E4680000}"/>
    <cellStyle name="计算 2 12 9 5" xfId="26806" xr:uid="{00000000-0005-0000-0000-0000E6680000}"/>
    <cellStyle name="计算 2 12 9 5 2" xfId="26809" xr:uid="{00000000-0005-0000-0000-0000E9680000}"/>
    <cellStyle name="计算 2 12 9 5 2 2" xfId="26812" xr:uid="{00000000-0005-0000-0000-0000EC680000}"/>
    <cellStyle name="计算 2 12 9 5 3" xfId="26816" xr:uid="{00000000-0005-0000-0000-0000F0680000}"/>
    <cellStyle name="计算 2 12 9 5 3 2" xfId="26820" xr:uid="{00000000-0005-0000-0000-0000F4680000}"/>
    <cellStyle name="计算 2 12 9 5 4" xfId="26823" xr:uid="{00000000-0005-0000-0000-0000F7680000}"/>
    <cellStyle name="计算 2 12 9 5 4 2" xfId="26826" xr:uid="{00000000-0005-0000-0000-0000FA680000}"/>
    <cellStyle name="计算 2 12 9 5 5" xfId="26829" xr:uid="{00000000-0005-0000-0000-0000FD680000}"/>
    <cellStyle name="计算 2 12 9 5 5 2" xfId="26831" xr:uid="{00000000-0005-0000-0000-0000FF680000}"/>
    <cellStyle name="计算 2 12 9 5 6" xfId="26835" xr:uid="{00000000-0005-0000-0000-000003690000}"/>
    <cellStyle name="计算 2 12 9 6" xfId="26837" xr:uid="{00000000-0005-0000-0000-000005690000}"/>
    <cellStyle name="计算 2 12 9 6 2" xfId="26839" xr:uid="{00000000-0005-0000-0000-000007690000}"/>
    <cellStyle name="计算 2 12 9 6 2 2" xfId="26840" xr:uid="{00000000-0005-0000-0000-000008690000}"/>
    <cellStyle name="计算 2 12 9 6 3" xfId="141" xr:uid="{00000000-0005-0000-0000-000098000000}"/>
    <cellStyle name="计算 2 12 9 6 3 2" xfId="26841" xr:uid="{00000000-0005-0000-0000-000009690000}"/>
    <cellStyle name="计算 2 12 9 6 4" xfId="26843" xr:uid="{00000000-0005-0000-0000-00000B690000}"/>
    <cellStyle name="计算 2 12 9 6 4 2" xfId="26844" xr:uid="{00000000-0005-0000-0000-00000C690000}"/>
    <cellStyle name="计算 2 12 9 6 5" xfId="26845" xr:uid="{00000000-0005-0000-0000-00000D690000}"/>
    <cellStyle name="计算 2 12 9 6 5 2" xfId="26846" xr:uid="{00000000-0005-0000-0000-00000E690000}"/>
    <cellStyle name="计算 2 12 9 6 6" xfId="6539" xr:uid="{00000000-0005-0000-0000-0000BB190000}"/>
    <cellStyle name="计算 2 12 9 7" xfId="26848" xr:uid="{00000000-0005-0000-0000-000010690000}"/>
    <cellStyle name="计算 2 12 9 7 2" xfId="26851" xr:uid="{00000000-0005-0000-0000-000013690000}"/>
    <cellStyle name="计算 2 12 9 7 2 2" xfId="26852" xr:uid="{00000000-0005-0000-0000-000014690000}"/>
    <cellStyle name="计算 2 12 9 7 3" xfId="26853" xr:uid="{00000000-0005-0000-0000-000015690000}"/>
    <cellStyle name="计算 2 12 9 7 3 2" xfId="26855" xr:uid="{00000000-0005-0000-0000-000017690000}"/>
    <cellStyle name="计算 2 12 9 7 4" xfId="26856" xr:uid="{00000000-0005-0000-0000-000018690000}"/>
    <cellStyle name="计算 2 12 9 7 4 2" xfId="26857" xr:uid="{00000000-0005-0000-0000-000019690000}"/>
    <cellStyle name="计算 2 12 9 7 5" xfId="23384" xr:uid="{00000000-0005-0000-0000-0000885B0000}"/>
    <cellStyle name="计算 2 12 9 7 5 2" xfId="26859" xr:uid="{00000000-0005-0000-0000-00001B690000}"/>
    <cellStyle name="计算 2 12 9 7 6" xfId="14980" xr:uid="{00000000-0005-0000-0000-0000B43A0000}"/>
    <cellStyle name="计算 2 12 9 8" xfId="26862" xr:uid="{00000000-0005-0000-0000-00001E690000}"/>
    <cellStyle name="计算 2 12 9 8 2" xfId="26864" xr:uid="{00000000-0005-0000-0000-000020690000}"/>
    <cellStyle name="计算 2 12 9 8 2 2" xfId="971" xr:uid="{00000000-0005-0000-0000-0000FB030000}"/>
    <cellStyle name="计算 2 12 9 8 3" xfId="26865" xr:uid="{00000000-0005-0000-0000-000021690000}"/>
    <cellStyle name="计算 2 12 9 8 3 2" xfId="982" xr:uid="{00000000-0005-0000-0000-000006040000}"/>
    <cellStyle name="计算 2 12 9 8 4" xfId="26867" xr:uid="{00000000-0005-0000-0000-000023690000}"/>
    <cellStyle name="计算 2 12 9 8 4 2" xfId="1001" xr:uid="{00000000-0005-0000-0000-000019040000}"/>
    <cellStyle name="计算 2 12 9 8 5" xfId="23387" xr:uid="{00000000-0005-0000-0000-00008B5B0000}"/>
    <cellStyle name="计算 2 12 9 9" xfId="13454" xr:uid="{00000000-0005-0000-0000-0000BE340000}"/>
    <cellStyle name="计算 2 12 9 9 2" xfId="13458" xr:uid="{00000000-0005-0000-0000-0000C2340000}"/>
    <cellStyle name="计算 2 13" xfId="26869" xr:uid="{00000000-0005-0000-0000-000025690000}"/>
    <cellStyle name="计算 2 13 10" xfId="26873" xr:uid="{00000000-0005-0000-0000-000029690000}"/>
    <cellStyle name="计算 2 13 10 2" xfId="25506" xr:uid="{00000000-0005-0000-0000-0000D2630000}"/>
    <cellStyle name="计算 2 13 11" xfId="7744" xr:uid="{00000000-0005-0000-0000-0000701E0000}"/>
    <cellStyle name="计算 2 13 11 2" xfId="7755" xr:uid="{00000000-0005-0000-0000-00007B1E0000}"/>
    <cellStyle name="计算 2 13 12" xfId="26876" xr:uid="{00000000-0005-0000-0000-00002C690000}"/>
    <cellStyle name="计算 2 13 12 2" xfId="24002" xr:uid="{00000000-0005-0000-0000-0000F25D0000}"/>
    <cellStyle name="计算 2 13 13" xfId="26878" xr:uid="{00000000-0005-0000-0000-00002E690000}"/>
    <cellStyle name="计算 2 13 14" xfId="26880" xr:uid="{00000000-0005-0000-0000-000030690000}"/>
    <cellStyle name="计算 2 13 15" xfId="6498" xr:uid="{00000000-0005-0000-0000-000092190000}"/>
    <cellStyle name="计算 2 13 16" xfId="26882" xr:uid="{00000000-0005-0000-0000-000032690000}"/>
    <cellStyle name="计算 2 13 2" xfId="26883" xr:uid="{00000000-0005-0000-0000-000033690000}"/>
    <cellStyle name="计算 2 13 2 2" xfId="26886" xr:uid="{00000000-0005-0000-0000-000036690000}"/>
    <cellStyle name="计算 2 13 2 2 2" xfId="17842" xr:uid="{00000000-0005-0000-0000-0000E2450000}"/>
    <cellStyle name="计算 2 13 2 3" xfId="26889" xr:uid="{00000000-0005-0000-0000-000039690000}"/>
    <cellStyle name="计算 2 13 2 3 2" xfId="18004" xr:uid="{00000000-0005-0000-0000-000084460000}"/>
    <cellStyle name="计算 2 13 2 4" xfId="23798" xr:uid="{00000000-0005-0000-0000-0000265D0000}"/>
    <cellStyle name="计算 2 13 2 4 2" xfId="18269" xr:uid="{00000000-0005-0000-0000-00008D470000}"/>
    <cellStyle name="计算 2 13 2 5" xfId="26891" xr:uid="{00000000-0005-0000-0000-00003B690000}"/>
    <cellStyle name="计算 2 13 2 5 2" xfId="18567" xr:uid="{00000000-0005-0000-0000-0000B7480000}"/>
    <cellStyle name="计算 2 13 2 6" xfId="26894" xr:uid="{00000000-0005-0000-0000-00003E690000}"/>
    <cellStyle name="计算 2 13 3" xfId="26895" xr:uid="{00000000-0005-0000-0000-00003F690000}"/>
    <cellStyle name="计算 2 13 3 2" xfId="26898" xr:uid="{00000000-0005-0000-0000-000042690000}"/>
    <cellStyle name="计算 2 13 3 2 2" xfId="19637" xr:uid="{00000000-0005-0000-0000-0000E54C0000}"/>
    <cellStyle name="计算 2 13 3 3" xfId="26900" xr:uid="{00000000-0005-0000-0000-000044690000}"/>
    <cellStyle name="计算 2 13 3 3 2" xfId="19774" xr:uid="{00000000-0005-0000-0000-00006E4D0000}"/>
    <cellStyle name="计算 2 13 3 4" xfId="23802" xr:uid="{00000000-0005-0000-0000-00002A5D0000}"/>
    <cellStyle name="计算 2 13 3 4 2" xfId="19851" xr:uid="{00000000-0005-0000-0000-0000BB4D0000}"/>
    <cellStyle name="计算 2 13 3 5" xfId="26902" xr:uid="{00000000-0005-0000-0000-000046690000}"/>
    <cellStyle name="计算 2 13 3 5 2" xfId="19937" xr:uid="{00000000-0005-0000-0000-0000114E0000}"/>
    <cellStyle name="计算 2 13 3 6" xfId="3306" xr:uid="{00000000-0005-0000-0000-00001A0D0000}"/>
    <cellStyle name="计算 2 13 4" xfId="26905" xr:uid="{00000000-0005-0000-0000-000049690000}"/>
    <cellStyle name="计算 2 13 4 2" xfId="24376" xr:uid="{00000000-0005-0000-0000-0000685F0000}"/>
    <cellStyle name="计算 2 13 4 2 2" xfId="20585" xr:uid="{00000000-0005-0000-0000-000099500000}"/>
    <cellStyle name="计算 2 13 4 3" xfId="26907" xr:uid="{00000000-0005-0000-0000-00004B690000}"/>
    <cellStyle name="计算 2 13 4 3 2" xfId="20737" xr:uid="{00000000-0005-0000-0000-000031510000}"/>
    <cellStyle name="计算 2 13 4 4" xfId="23810" xr:uid="{00000000-0005-0000-0000-0000325D0000}"/>
    <cellStyle name="计算 2 13 4 4 2" xfId="20842" xr:uid="{00000000-0005-0000-0000-00009A510000}"/>
    <cellStyle name="计算 2 13 4 5" xfId="26909" xr:uid="{00000000-0005-0000-0000-00004D690000}"/>
    <cellStyle name="计算 2 13 4 5 2" xfId="20958" xr:uid="{00000000-0005-0000-0000-00000E520000}"/>
    <cellStyle name="计算 2 13 4 6" xfId="9263" xr:uid="{00000000-0005-0000-0000-00005F240000}"/>
    <cellStyle name="计算 2 13 5" xfId="26911" xr:uid="{00000000-0005-0000-0000-00004F690000}"/>
    <cellStyle name="计算 2 13 5 2" xfId="26914" xr:uid="{00000000-0005-0000-0000-000052690000}"/>
    <cellStyle name="计算 2 13 5 2 2" xfId="21906" xr:uid="{00000000-0005-0000-0000-0000C2550000}"/>
    <cellStyle name="计算 2 13 5 3" xfId="26915" xr:uid="{00000000-0005-0000-0000-000053690000}"/>
    <cellStyle name="计算 2 13 5 3 2" xfId="22032" xr:uid="{00000000-0005-0000-0000-000040560000}"/>
    <cellStyle name="计算 2 13 5 4" xfId="23818" xr:uid="{00000000-0005-0000-0000-00003A5D0000}"/>
    <cellStyle name="计算 2 13 5 4 2" xfId="22173" xr:uid="{00000000-0005-0000-0000-0000CD560000}"/>
    <cellStyle name="计算 2 13 5 5" xfId="26916" xr:uid="{00000000-0005-0000-0000-000054690000}"/>
    <cellStyle name="计算 2 13 5 5 2" xfId="22310" xr:uid="{00000000-0005-0000-0000-000056570000}"/>
    <cellStyle name="计算 2 13 5 6" xfId="9270" xr:uid="{00000000-0005-0000-0000-000066240000}"/>
    <cellStyle name="计算 2 13 6" xfId="8896" xr:uid="{00000000-0005-0000-0000-0000F0220000}"/>
    <cellStyle name="计算 2 13 6 2" xfId="26917" xr:uid="{00000000-0005-0000-0000-000055690000}"/>
    <cellStyle name="计算 2 13 6 2 2" xfId="23070" xr:uid="{00000000-0005-0000-0000-00004E5A0000}"/>
    <cellStyle name="计算 2 13 6 3" xfId="26918" xr:uid="{00000000-0005-0000-0000-000056690000}"/>
    <cellStyle name="计算 2 13 6 3 2" xfId="23164" xr:uid="{00000000-0005-0000-0000-0000AC5A0000}"/>
    <cellStyle name="计算 2 13 6 4" xfId="26921" xr:uid="{00000000-0005-0000-0000-000059690000}"/>
    <cellStyle name="计算 2 13 6 4 2" xfId="23317" xr:uid="{00000000-0005-0000-0000-0000455B0000}"/>
    <cellStyle name="计算 2 13 6 5" xfId="26922" xr:uid="{00000000-0005-0000-0000-00005A690000}"/>
    <cellStyle name="计算 2 13 6 5 2" xfId="23425" xr:uid="{00000000-0005-0000-0000-0000B15B0000}"/>
    <cellStyle name="计算 2 13 6 6" xfId="9273" xr:uid="{00000000-0005-0000-0000-000069240000}"/>
    <cellStyle name="计算 2 13 7" xfId="26923" xr:uid="{00000000-0005-0000-0000-00005B690000}"/>
    <cellStyle name="计算 2 13 7 2" xfId="26924" xr:uid="{00000000-0005-0000-0000-00005C690000}"/>
    <cellStyle name="计算 2 13 7 2 2" xfId="19461" xr:uid="{00000000-0005-0000-0000-0000354C0000}"/>
    <cellStyle name="计算 2 13 7 3" xfId="26925" xr:uid="{00000000-0005-0000-0000-00005D690000}"/>
    <cellStyle name="计算 2 13 7 3 2" xfId="19503" xr:uid="{00000000-0005-0000-0000-00005F4C0000}"/>
    <cellStyle name="计算 2 13 7 4" xfId="26928" xr:uid="{00000000-0005-0000-0000-000060690000}"/>
    <cellStyle name="计算 2 13 7 4 2" xfId="19534" xr:uid="{00000000-0005-0000-0000-00007E4C0000}"/>
    <cellStyle name="计算 2 13 7 5" xfId="26929" xr:uid="{00000000-0005-0000-0000-000061690000}"/>
    <cellStyle name="计算 2 13 7 5 2" xfId="19554" xr:uid="{00000000-0005-0000-0000-0000924C0000}"/>
    <cellStyle name="计算 2 13 7 6" xfId="26931" xr:uid="{00000000-0005-0000-0000-000063690000}"/>
    <cellStyle name="计算 2 13 8" xfId="26932" xr:uid="{00000000-0005-0000-0000-000064690000}"/>
    <cellStyle name="计算 2 13 8 2" xfId="26933" xr:uid="{00000000-0005-0000-0000-000065690000}"/>
    <cellStyle name="计算 2 13 8 2 2" xfId="26934" xr:uid="{00000000-0005-0000-0000-000066690000}"/>
    <cellStyle name="计算 2 13 8 3" xfId="26935" xr:uid="{00000000-0005-0000-0000-000067690000}"/>
    <cellStyle name="计算 2 13 8 3 2" xfId="26936" xr:uid="{00000000-0005-0000-0000-000068690000}"/>
    <cellStyle name="计算 2 13 8 4" xfId="26937" xr:uid="{00000000-0005-0000-0000-000069690000}"/>
    <cellStyle name="计算 2 13 8 4 2" xfId="26938" xr:uid="{00000000-0005-0000-0000-00006A690000}"/>
    <cellStyle name="计算 2 13 8 5" xfId="26939" xr:uid="{00000000-0005-0000-0000-00006B690000}"/>
    <cellStyle name="计算 2 13 9" xfId="24473" xr:uid="{00000000-0005-0000-0000-0000C95F0000}"/>
    <cellStyle name="计算 2 13 9 2" xfId="26941" xr:uid="{00000000-0005-0000-0000-00006D690000}"/>
    <cellStyle name="计算 2 14" xfId="26943" xr:uid="{00000000-0005-0000-0000-00006F690000}"/>
    <cellStyle name="计算 2 14 2" xfId="13474" xr:uid="{00000000-0005-0000-0000-0000D2340000}"/>
    <cellStyle name="计算 2 14 2 2" xfId="8004" xr:uid="{00000000-0005-0000-0000-0000741F0000}"/>
    <cellStyle name="计算 2 14 3" xfId="13477" xr:uid="{00000000-0005-0000-0000-0000D5340000}"/>
    <cellStyle name="计算 2 14 3 2" xfId="26945" xr:uid="{00000000-0005-0000-0000-000071690000}"/>
    <cellStyle name="计算 2 14 4" xfId="13480" xr:uid="{00000000-0005-0000-0000-0000D8340000}"/>
    <cellStyle name="计算 2 14 4 2" xfId="24517" xr:uid="{00000000-0005-0000-0000-0000F55F0000}"/>
    <cellStyle name="计算 2 14 5" xfId="12289" xr:uid="{00000000-0005-0000-0000-000031300000}"/>
    <cellStyle name="计算 2 15" xfId="26949" xr:uid="{00000000-0005-0000-0000-000075690000}"/>
    <cellStyle name="计算 2 15 2" xfId="26950" xr:uid="{00000000-0005-0000-0000-000076690000}"/>
    <cellStyle name="计算 2 16" xfId="26952" xr:uid="{00000000-0005-0000-0000-000078690000}"/>
    <cellStyle name="计算 2 16 2" xfId="26953" xr:uid="{00000000-0005-0000-0000-000079690000}"/>
    <cellStyle name="计算 2 17" xfId="26955" xr:uid="{00000000-0005-0000-0000-00007B690000}"/>
    <cellStyle name="计算 2 18" xfId="26956" xr:uid="{00000000-0005-0000-0000-00007C690000}"/>
    <cellStyle name="计算 2 19" xfId="24449" xr:uid="{00000000-0005-0000-0000-0000B15F0000}"/>
    <cellStyle name="计算 2 2" xfId="20077" xr:uid="{00000000-0005-0000-0000-00009D4E0000}"/>
    <cellStyle name="计算 2 2 10" xfId="12777" xr:uid="{00000000-0005-0000-0000-000019320000}"/>
    <cellStyle name="计算 2 2 10 10" xfId="26958" xr:uid="{00000000-0005-0000-0000-00007E690000}"/>
    <cellStyle name="计算 2 2 10 10 2" xfId="9560" xr:uid="{00000000-0005-0000-0000-000088250000}"/>
    <cellStyle name="计算 2 2 10 11" xfId="5604" xr:uid="{00000000-0005-0000-0000-000014160000}"/>
    <cellStyle name="计算 2 2 10 11 2" xfId="9575" xr:uid="{00000000-0005-0000-0000-000097250000}"/>
    <cellStyle name="计算 2 2 10 12" xfId="2172" xr:uid="{00000000-0005-0000-0000-0000AC080000}"/>
    <cellStyle name="计算 2 2 10 12 2" xfId="26962" xr:uid="{00000000-0005-0000-0000-000082690000}"/>
    <cellStyle name="计算 2 2 10 13" xfId="26964" xr:uid="{00000000-0005-0000-0000-000084690000}"/>
    <cellStyle name="计算 2 2 10 14" xfId="26966" xr:uid="{00000000-0005-0000-0000-000086690000}"/>
    <cellStyle name="计算 2 2 10 15" xfId="26968" xr:uid="{00000000-0005-0000-0000-000088690000}"/>
    <cellStyle name="计算 2 2 10 16" xfId="23930" xr:uid="{00000000-0005-0000-0000-0000AA5D0000}"/>
    <cellStyle name="计算 2 2 10 2" xfId="13775" xr:uid="{00000000-0005-0000-0000-0000FF350000}"/>
    <cellStyle name="计算 2 2 10 2 2" xfId="18026" xr:uid="{00000000-0005-0000-0000-00009A460000}"/>
    <cellStyle name="计算 2 2 10 2 2 2" xfId="18028" xr:uid="{00000000-0005-0000-0000-00009C460000}"/>
    <cellStyle name="计算 2 2 10 2 3" xfId="18035" xr:uid="{00000000-0005-0000-0000-0000A3460000}"/>
    <cellStyle name="计算 2 2 10 2 3 2" xfId="18040" xr:uid="{00000000-0005-0000-0000-0000A8460000}"/>
    <cellStyle name="计算 2 2 10 2 4" xfId="18046" xr:uid="{00000000-0005-0000-0000-0000AE460000}"/>
    <cellStyle name="计算 2 2 10 2 4 2" xfId="26970" xr:uid="{00000000-0005-0000-0000-00008A690000}"/>
    <cellStyle name="计算 2 2 10 2 5" xfId="26973" xr:uid="{00000000-0005-0000-0000-00008D690000}"/>
    <cellStyle name="计算 2 2 10 2 5 2" xfId="26975" xr:uid="{00000000-0005-0000-0000-00008F690000}"/>
    <cellStyle name="计算 2 2 10 2 6" xfId="11633" xr:uid="{00000000-0005-0000-0000-0000A12D0000}"/>
    <cellStyle name="计算 2 2 10 2 7" xfId="26980" xr:uid="{00000000-0005-0000-0000-000094690000}"/>
    <cellStyle name="计算 2 2 10 2 8" xfId="26983" xr:uid="{00000000-0005-0000-0000-000097690000}"/>
    <cellStyle name="计算 2 2 10 2 9" xfId="26984" xr:uid="{00000000-0005-0000-0000-000098690000}"/>
    <cellStyle name="计算 2 2 10 3" xfId="26987" xr:uid="{00000000-0005-0000-0000-00009B690000}"/>
    <cellStyle name="计算 2 2 10 3 2" xfId="18064" xr:uid="{00000000-0005-0000-0000-0000C0460000}"/>
    <cellStyle name="计算 2 2 10 3 2 2" xfId="18066" xr:uid="{00000000-0005-0000-0000-0000C2460000}"/>
    <cellStyle name="计算 2 2 10 3 3" xfId="18069" xr:uid="{00000000-0005-0000-0000-0000C5460000}"/>
    <cellStyle name="计算 2 2 10 3 3 2" xfId="18074" xr:uid="{00000000-0005-0000-0000-0000CA460000}"/>
    <cellStyle name="计算 2 2 10 3 4" xfId="18078" xr:uid="{00000000-0005-0000-0000-0000CE460000}"/>
    <cellStyle name="计算 2 2 10 3 4 2" xfId="26989" xr:uid="{00000000-0005-0000-0000-00009D690000}"/>
    <cellStyle name="计算 2 2 10 3 5" xfId="26992" xr:uid="{00000000-0005-0000-0000-0000A0690000}"/>
    <cellStyle name="计算 2 2 10 3 5 2" xfId="26994" xr:uid="{00000000-0005-0000-0000-0000A2690000}"/>
    <cellStyle name="计算 2 2 10 3 6" xfId="26996" xr:uid="{00000000-0005-0000-0000-0000A4690000}"/>
    <cellStyle name="计算 2 2 10 4" xfId="21544" xr:uid="{00000000-0005-0000-0000-000058540000}"/>
    <cellStyle name="计算 2 2 10 4 2" xfId="18110" xr:uid="{00000000-0005-0000-0000-0000EE460000}"/>
    <cellStyle name="计算 2 2 10 4 2 2" xfId="18113" xr:uid="{00000000-0005-0000-0000-0000F1460000}"/>
    <cellStyle name="计算 2 2 10 4 3" xfId="6094" xr:uid="{00000000-0005-0000-0000-0000FE170000}"/>
    <cellStyle name="计算 2 2 10 4 3 2" xfId="18117" xr:uid="{00000000-0005-0000-0000-0000F5460000}"/>
    <cellStyle name="计算 2 2 10 4 4" xfId="18121" xr:uid="{00000000-0005-0000-0000-0000F9460000}"/>
    <cellStyle name="计算 2 2 10 4 4 2" xfId="26998" xr:uid="{00000000-0005-0000-0000-0000A6690000}"/>
    <cellStyle name="计算 2 2 10 4 5" xfId="27002" xr:uid="{00000000-0005-0000-0000-0000AA690000}"/>
    <cellStyle name="计算 2 2 10 4 5 2" xfId="27004" xr:uid="{00000000-0005-0000-0000-0000AC690000}"/>
    <cellStyle name="计算 2 2 10 4 6" xfId="12402" xr:uid="{00000000-0005-0000-0000-0000A2300000}"/>
    <cellStyle name="计算 2 2 10 5" xfId="27005" xr:uid="{00000000-0005-0000-0000-0000AD690000}"/>
    <cellStyle name="计算 2 2 10 5 2" xfId="18152" xr:uid="{00000000-0005-0000-0000-000018470000}"/>
    <cellStyle name="计算 2 2 10 5 2 2" xfId="18159" xr:uid="{00000000-0005-0000-0000-00001F470000}"/>
    <cellStyle name="计算 2 2 10 5 3" xfId="10610" xr:uid="{00000000-0005-0000-0000-0000A2290000}"/>
    <cellStyle name="计算 2 2 10 5 3 2" xfId="18164" xr:uid="{00000000-0005-0000-0000-000024470000}"/>
    <cellStyle name="计算 2 2 10 5 4" xfId="18167" xr:uid="{00000000-0005-0000-0000-000027470000}"/>
    <cellStyle name="计算 2 2 10 5 4 2" xfId="27007" xr:uid="{00000000-0005-0000-0000-0000AF690000}"/>
    <cellStyle name="计算 2 2 10 5 5" xfId="27009" xr:uid="{00000000-0005-0000-0000-0000B1690000}"/>
    <cellStyle name="计算 2 2 10 5 5 2" xfId="27011" xr:uid="{00000000-0005-0000-0000-0000B3690000}"/>
    <cellStyle name="计算 2 2 10 5 6" xfId="27013" xr:uid="{00000000-0005-0000-0000-0000B5690000}"/>
    <cellStyle name="计算 2 2 10 6" xfId="27014" xr:uid="{00000000-0005-0000-0000-0000B6690000}"/>
    <cellStyle name="计算 2 2 10 6 2" xfId="18187" xr:uid="{00000000-0005-0000-0000-00003B470000}"/>
    <cellStyle name="计算 2 2 10 6 2 2" xfId="18193" xr:uid="{00000000-0005-0000-0000-000041470000}"/>
    <cellStyle name="计算 2 2 10 6 3" xfId="10628" xr:uid="{00000000-0005-0000-0000-0000B4290000}"/>
    <cellStyle name="计算 2 2 10 6 3 2" xfId="27018" xr:uid="{00000000-0005-0000-0000-0000BA690000}"/>
    <cellStyle name="计算 2 2 10 6 4" xfId="20858" xr:uid="{00000000-0005-0000-0000-0000AA510000}"/>
    <cellStyle name="计算 2 2 10 6 4 2" xfId="27021" xr:uid="{00000000-0005-0000-0000-0000BD690000}"/>
    <cellStyle name="计算 2 2 10 6 5" xfId="27022" xr:uid="{00000000-0005-0000-0000-0000BE690000}"/>
    <cellStyle name="计算 2 2 10 6 5 2" xfId="27024" xr:uid="{00000000-0005-0000-0000-0000C0690000}"/>
    <cellStyle name="计算 2 2 10 6 6" xfId="27025" xr:uid="{00000000-0005-0000-0000-0000C1690000}"/>
    <cellStyle name="计算 2 2 10 7" xfId="27026" xr:uid="{00000000-0005-0000-0000-0000C2690000}"/>
    <cellStyle name="计算 2 2 10 7 2" xfId="230" xr:uid="{00000000-0005-0000-0000-0000FB000000}"/>
    <cellStyle name="计算 2 2 10 7 2 2" xfId="937" xr:uid="{00000000-0005-0000-0000-0000D9030000}"/>
    <cellStyle name="计算 2 2 10 7 3" xfId="168" xr:uid="{00000000-0005-0000-0000-0000B6000000}"/>
    <cellStyle name="计算 2 2 10 7 3 2" xfId="964" xr:uid="{00000000-0005-0000-0000-0000F4030000}"/>
    <cellStyle name="计算 2 2 10 7 4" xfId="107" xr:uid="{00000000-0005-0000-0000-000074000000}"/>
    <cellStyle name="计算 2 2 10 7 4 2" xfId="973" xr:uid="{00000000-0005-0000-0000-0000FD030000}"/>
    <cellStyle name="计算 2 2 10 7 5" xfId="241" xr:uid="{00000000-0005-0000-0000-000008010000}"/>
    <cellStyle name="计算 2 2 10 7 5 2" xfId="986" xr:uid="{00000000-0005-0000-0000-00000A040000}"/>
    <cellStyle name="计算 2 2 10 7 6" xfId="499" xr:uid="{00000000-0005-0000-0000-000020020000}"/>
    <cellStyle name="计算 2 2 10 8" xfId="12958" xr:uid="{00000000-0005-0000-0000-0000CE320000}"/>
    <cellStyle name="计算 2 2 10 8 2" xfId="12961" xr:uid="{00000000-0005-0000-0000-0000D1320000}"/>
    <cellStyle name="计算 2 2 10 8 2 2" xfId="27029" xr:uid="{00000000-0005-0000-0000-0000C5690000}"/>
    <cellStyle name="计算 2 2 10 8 3" xfId="27032" xr:uid="{00000000-0005-0000-0000-0000C8690000}"/>
    <cellStyle name="计算 2 2 10 8 3 2" xfId="21984" xr:uid="{00000000-0005-0000-0000-000010560000}"/>
    <cellStyle name="计算 2 2 10 8 4" xfId="27035" xr:uid="{00000000-0005-0000-0000-0000CB690000}"/>
    <cellStyle name="计算 2 2 10 8 4 2" xfId="27038" xr:uid="{00000000-0005-0000-0000-0000CE690000}"/>
    <cellStyle name="计算 2 2 10 8 5" xfId="27039" xr:uid="{00000000-0005-0000-0000-0000CF690000}"/>
    <cellStyle name="计算 2 2 10 9" xfId="12967" xr:uid="{00000000-0005-0000-0000-0000D7320000}"/>
    <cellStyle name="计算 2 2 10 9 2" xfId="12972" xr:uid="{00000000-0005-0000-0000-0000DC320000}"/>
    <cellStyle name="计算 2 2 11" xfId="13781" xr:uid="{00000000-0005-0000-0000-000005360000}"/>
    <cellStyle name="计算 2 2 11 10" xfId="25431" xr:uid="{00000000-0005-0000-0000-000087630000}"/>
    <cellStyle name="计算 2 2 11 10 2" xfId="9779" xr:uid="{00000000-0005-0000-0000-000063260000}"/>
    <cellStyle name="计算 2 2 11 11" xfId="9791" xr:uid="{00000000-0005-0000-0000-00006F260000}"/>
    <cellStyle name="计算 2 2 11 11 2" xfId="9802" xr:uid="{00000000-0005-0000-0000-00007A260000}"/>
    <cellStyle name="计算 2 2 11 12" xfId="27041" xr:uid="{00000000-0005-0000-0000-0000D1690000}"/>
    <cellStyle name="计算 2 2 11 12 2" xfId="27046" xr:uid="{00000000-0005-0000-0000-0000D6690000}"/>
    <cellStyle name="计算 2 2 11 13" xfId="9813" xr:uid="{00000000-0005-0000-0000-000085260000}"/>
    <cellStyle name="计算 2 2 11 14" xfId="27047" xr:uid="{00000000-0005-0000-0000-0000D7690000}"/>
    <cellStyle name="计算 2 2 11 15" xfId="27048" xr:uid="{00000000-0005-0000-0000-0000D8690000}"/>
    <cellStyle name="计算 2 2 11 16" xfId="20529" xr:uid="{00000000-0005-0000-0000-000061500000}"/>
    <cellStyle name="计算 2 2 11 2" xfId="25399" xr:uid="{00000000-0005-0000-0000-000067630000}"/>
    <cellStyle name="计算 2 2 11 2 2" xfId="18293" xr:uid="{00000000-0005-0000-0000-0000A5470000}"/>
    <cellStyle name="计算 2 2 11 2 2 2" xfId="7743" xr:uid="{00000000-0005-0000-0000-00006F1E0000}"/>
    <cellStyle name="计算 2 2 11 2 3" xfId="18300" xr:uid="{00000000-0005-0000-0000-0000AC470000}"/>
    <cellStyle name="计算 2 2 11 2 3 2" xfId="18308" xr:uid="{00000000-0005-0000-0000-0000B4470000}"/>
    <cellStyle name="计算 2 2 11 2 4" xfId="18311" xr:uid="{00000000-0005-0000-0000-0000B7470000}"/>
    <cellStyle name="计算 2 2 11 2 4 2" xfId="27050" xr:uid="{00000000-0005-0000-0000-0000DA690000}"/>
    <cellStyle name="计算 2 2 11 2 5" xfId="27053" xr:uid="{00000000-0005-0000-0000-0000DD690000}"/>
    <cellStyle name="计算 2 2 11 2 5 2" xfId="27055" xr:uid="{00000000-0005-0000-0000-0000DF690000}"/>
    <cellStyle name="计算 2 2 11 2 6" xfId="6261" xr:uid="{00000000-0005-0000-0000-0000A5180000}"/>
    <cellStyle name="计算 2 2 11 3" xfId="27058" xr:uid="{00000000-0005-0000-0000-0000E2690000}"/>
    <cellStyle name="计算 2 2 11 3 2" xfId="18335" xr:uid="{00000000-0005-0000-0000-0000CF470000}"/>
    <cellStyle name="计算 2 2 11 3 2 2" xfId="8841" xr:uid="{00000000-0005-0000-0000-0000B9220000}"/>
    <cellStyle name="计算 2 2 11 3 3" xfId="18341" xr:uid="{00000000-0005-0000-0000-0000D5470000}"/>
    <cellStyle name="计算 2 2 11 3 3 2" xfId="18348" xr:uid="{00000000-0005-0000-0000-0000DC470000}"/>
    <cellStyle name="计算 2 2 11 3 4" xfId="18351" xr:uid="{00000000-0005-0000-0000-0000DF470000}"/>
    <cellStyle name="计算 2 2 11 3 4 2" xfId="27060" xr:uid="{00000000-0005-0000-0000-0000E4690000}"/>
    <cellStyle name="计算 2 2 11 3 5" xfId="27063" xr:uid="{00000000-0005-0000-0000-0000E7690000}"/>
    <cellStyle name="计算 2 2 11 3 5 2" xfId="27065" xr:uid="{00000000-0005-0000-0000-0000E9690000}"/>
    <cellStyle name="计算 2 2 11 3 6" xfId="27067" xr:uid="{00000000-0005-0000-0000-0000EB690000}"/>
    <cellStyle name="计算 2 2 11 4" xfId="26109" xr:uid="{00000000-0005-0000-0000-00002D660000}"/>
    <cellStyle name="计算 2 2 11 4 2" xfId="18394" xr:uid="{00000000-0005-0000-0000-00000A480000}"/>
    <cellStyle name="计算 2 2 11 4 2 2" xfId="18400" xr:uid="{00000000-0005-0000-0000-000010480000}"/>
    <cellStyle name="计算 2 2 11 4 3" xfId="10655" xr:uid="{00000000-0005-0000-0000-0000CF290000}"/>
    <cellStyle name="计算 2 2 11 4 3 2" xfId="18407" xr:uid="{00000000-0005-0000-0000-000017480000}"/>
    <cellStyle name="计算 2 2 11 4 4" xfId="18411" xr:uid="{00000000-0005-0000-0000-00001B480000}"/>
    <cellStyle name="计算 2 2 11 4 4 2" xfId="27069" xr:uid="{00000000-0005-0000-0000-0000ED690000}"/>
    <cellStyle name="计算 2 2 11 4 5" xfId="27072" xr:uid="{00000000-0005-0000-0000-0000F0690000}"/>
    <cellStyle name="计算 2 2 11 4 5 2" xfId="27074" xr:uid="{00000000-0005-0000-0000-0000F2690000}"/>
    <cellStyle name="计算 2 2 11 4 6" xfId="20230" xr:uid="{00000000-0005-0000-0000-0000364F0000}"/>
    <cellStyle name="计算 2 2 11 5" xfId="27075" xr:uid="{00000000-0005-0000-0000-0000F3690000}"/>
    <cellStyle name="计算 2 2 11 5 2" xfId="18446" xr:uid="{00000000-0005-0000-0000-00003E480000}"/>
    <cellStyle name="计算 2 2 11 5 2 2" xfId="18453" xr:uid="{00000000-0005-0000-0000-000045480000}"/>
    <cellStyle name="计算 2 2 11 5 3" xfId="10672" xr:uid="{00000000-0005-0000-0000-0000E0290000}"/>
    <cellStyle name="计算 2 2 11 5 3 2" xfId="18459" xr:uid="{00000000-0005-0000-0000-00004B480000}"/>
    <cellStyle name="计算 2 2 11 5 4" xfId="18462" xr:uid="{00000000-0005-0000-0000-00004E480000}"/>
    <cellStyle name="计算 2 2 11 5 4 2" xfId="27077" xr:uid="{00000000-0005-0000-0000-0000F5690000}"/>
    <cellStyle name="计算 2 2 11 5 5" xfId="27078" xr:uid="{00000000-0005-0000-0000-0000F6690000}"/>
    <cellStyle name="计算 2 2 11 5 5 2" xfId="27080" xr:uid="{00000000-0005-0000-0000-0000F8690000}"/>
    <cellStyle name="计算 2 2 11 5 6" xfId="27081" xr:uid="{00000000-0005-0000-0000-0000F9690000}"/>
    <cellStyle name="计算 2 2 11 6" xfId="27082" xr:uid="{00000000-0005-0000-0000-0000FA690000}"/>
    <cellStyle name="计算 2 2 11 6 2" xfId="18491" xr:uid="{00000000-0005-0000-0000-00006B480000}"/>
    <cellStyle name="计算 2 2 11 6 2 2" xfId="18498" xr:uid="{00000000-0005-0000-0000-000072480000}"/>
    <cellStyle name="计算 2 2 11 6 3" xfId="10692" xr:uid="{00000000-0005-0000-0000-0000F4290000}"/>
    <cellStyle name="计算 2 2 11 6 3 2" xfId="27086" xr:uid="{00000000-0005-0000-0000-0000FE690000}"/>
    <cellStyle name="计算 2 2 11 6 4" xfId="20875" xr:uid="{00000000-0005-0000-0000-0000BB510000}"/>
    <cellStyle name="计算 2 2 11 6 4 2" xfId="27088" xr:uid="{00000000-0005-0000-0000-0000006A0000}"/>
    <cellStyle name="计算 2 2 11 6 5" xfId="27089" xr:uid="{00000000-0005-0000-0000-0000016A0000}"/>
    <cellStyle name="计算 2 2 11 6 5 2" xfId="24643" xr:uid="{00000000-0005-0000-0000-000073600000}"/>
    <cellStyle name="计算 2 2 11 6 6" xfId="27090" xr:uid="{00000000-0005-0000-0000-0000026A0000}"/>
    <cellStyle name="计算 2 2 11 7" xfId="27091" xr:uid="{00000000-0005-0000-0000-0000036A0000}"/>
    <cellStyle name="计算 2 2 11 7 2" xfId="22582" xr:uid="{00000000-0005-0000-0000-000066580000}"/>
    <cellStyle name="计算 2 2 11 7 2 2" xfId="27094" xr:uid="{00000000-0005-0000-0000-0000066A0000}"/>
    <cellStyle name="计算 2 2 11 7 3" xfId="27100" xr:uid="{00000000-0005-0000-0000-00000C6A0000}"/>
    <cellStyle name="计算 2 2 11 7 3 2" xfId="27103" xr:uid="{00000000-0005-0000-0000-00000F6A0000}"/>
    <cellStyle name="计算 2 2 11 7 4" xfId="20883" xr:uid="{00000000-0005-0000-0000-0000C3510000}"/>
    <cellStyle name="计算 2 2 11 7 4 2" xfId="27107" xr:uid="{00000000-0005-0000-0000-0000136A0000}"/>
    <cellStyle name="计算 2 2 11 7 5" xfId="27108" xr:uid="{00000000-0005-0000-0000-0000146A0000}"/>
    <cellStyle name="计算 2 2 11 7 5 2" xfId="27110" xr:uid="{00000000-0005-0000-0000-0000166A0000}"/>
    <cellStyle name="计算 2 2 11 7 6" xfId="16887" xr:uid="{00000000-0005-0000-0000-000027420000}"/>
    <cellStyle name="计算 2 2 11 8" xfId="12988" xr:uid="{00000000-0005-0000-0000-0000EC320000}"/>
    <cellStyle name="计算 2 2 11 8 2" xfId="12992" xr:uid="{00000000-0005-0000-0000-0000F0320000}"/>
    <cellStyle name="计算 2 2 11 8 2 2" xfId="27113" xr:uid="{00000000-0005-0000-0000-0000196A0000}"/>
    <cellStyle name="计算 2 2 11 8 3" xfId="27116" xr:uid="{00000000-0005-0000-0000-00001C6A0000}"/>
    <cellStyle name="计算 2 2 11 8 3 2" xfId="27119" xr:uid="{00000000-0005-0000-0000-00001F6A0000}"/>
    <cellStyle name="计算 2 2 11 8 4" xfId="27121" xr:uid="{00000000-0005-0000-0000-0000216A0000}"/>
    <cellStyle name="计算 2 2 11 8 4 2" xfId="27124" xr:uid="{00000000-0005-0000-0000-0000246A0000}"/>
    <cellStyle name="计算 2 2 11 8 5" xfId="27125" xr:uid="{00000000-0005-0000-0000-0000256A0000}"/>
    <cellStyle name="计算 2 2 11 9" xfId="12997" xr:uid="{00000000-0005-0000-0000-0000F5320000}"/>
    <cellStyle name="计算 2 2 11 9 2" xfId="13003" xr:uid="{00000000-0005-0000-0000-0000FB320000}"/>
    <cellStyle name="计算 2 2 12" xfId="27126" xr:uid="{00000000-0005-0000-0000-0000266A0000}"/>
    <cellStyle name="计算 2 2 12 2" xfId="27130" xr:uid="{00000000-0005-0000-0000-00002A6A0000}"/>
    <cellStyle name="计算 2 2 12 2 2" xfId="18597" xr:uid="{00000000-0005-0000-0000-0000D5480000}"/>
    <cellStyle name="计算 2 2 12 3" xfId="24008" xr:uid="{00000000-0005-0000-0000-0000F85D0000}"/>
    <cellStyle name="计算 2 2 12 3 2" xfId="18654" xr:uid="{00000000-0005-0000-0000-00000E490000}"/>
    <cellStyle name="计算 2 2 12 4" xfId="26123" xr:uid="{00000000-0005-0000-0000-00003B660000}"/>
    <cellStyle name="计算 2 2 12 4 2" xfId="18719" xr:uid="{00000000-0005-0000-0000-00004F490000}"/>
    <cellStyle name="计算 2 2 12 5" xfId="27131" xr:uid="{00000000-0005-0000-0000-00002B6A0000}"/>
    <cellStyle name="计算 2 2 12 5 2" xfId="18771" xr:uid="{00000000-0005-0000-0000-000083490000}"/>
    <cellStyle name="计算 2 2 12 6" xfId="27132" xr:uid="{00000000-0005-0000-0000-00002C6A0000}"/>
    <cellStyle name="计算 2 2 12 7" xfId="27134" xr:uid="{00000000-0005-0000-0000-00002E6A0000}"/>
    <cellStyle name="计算 2 2 12 8" xfId="13013" xr:uid="{00000000-0005-0000-0000-000005330000}"/>
    <cellStyle name="计算 2 2 12 9" xfId="27135" xr:uid="{00000000-0005-0000-0000-00002F6A0000}"/>
    <cellStyle name="计算 2 2 13" xfId="27136" xr:uid="{00000000-0005-0000-0000-0000306A0000}"/>
    <cellStyle name="计算 2 2 13 2" xfId="27139" xr:uid="{00000000-0005-0000-0000-0000336A0000}"/>
    <cellStyle name="计算 2 2 13 2 2" xfId="18856" xr:uid="{00000000-0005-0000-0000-0000D8490000}"/>
    <cellStyle name="计算 2 2 13 3" xfId="24012" xr:uid="{00000000-0005-0000-0000-0000FC5D0000}"/>
    <cellStyle name="计算 2 2 13 3 2" xfId="18870" xr:uid="{00000000-0005-0000-0000-0000E6490000}"/>
    <cellStyle name="计算 2 2 13 4" xfId="27140" xr:uid="{00000000-0005-0000-0000-0000346A0000}"/>
    <cellStyle name="计算 2 2 13 4 2" xfId="1747" xr:uid="{00000000-0005-0000-0000-000003070000}"/>
    <cellStyle name="计算 2 2 13 5" xfId="27141" xr:uid="{00000000-0005-0000-0000-0000356A0000}"/>
    <cellStyle name="计算 2 2 13 5 2" xfId="18906" xr:uid="{00000000-0005-0000-0000-00000A4A0000}"/>
    <cellStyle name="计算 2 2 13 6" xfId="27142" xr:uid="{00000000-0005-0000-0000-0000366A0000}"/>
    <cellStyle name="计算 2 2 14" xfId="27144" xr:uid="{00000000-0005-0000-0000-0000386A0000}"/>
    <cellStyle name="计算 2 2 14 2" xfId="27146" xr:uid="{00000000-0005-0000-0000-00003A6A0000}"/>
    <cellStyle name="计算 2 2 14 2 2" xfId="18986" xr:uid="{00000000-0005-0000-0000-00005A4A0000}"/>
    <cellStyle name="计算 2 2 14 3" xfId="24017" xr:uid="{00000000-0005-0000-0000-0000015E0000}"/>
    <cellStyle name="计算 2 2 14 3 2" xfId="19008" xr:uid="{00000000-0005-0000-0000-0000704A0000}"/>
    <cellStyle name="计算 2 2 14 4" xfId="27148" xr:uid="{00000000-0005-0000-0000-00003C6A0000}"/>
    <cellStyle name="计算 2 2 14 4 2" xfId="19026" xr:uid="{00000000-0005-0000-0000-0000824A0000}"/>
    <cellStyle name="计算 2 2 14 5" xfId="27149" xr:uid="{00000000-0005-0000-0000-00003D6A0000}"/>
    <cellStyle name="计算 2 2 14 5 2" xfId="19041" xr:uid="{00000000-0005-0000-0000-0000914A0000}"/>
    <cellStyle name="计算 2 2 14 6" xfId="18522" xr:uid="{00000000-0005-0000-0000-00008A480000}"/>
    <cellStyle name="计算 2 2 15" xfId="27151" xr:uid="{00000000-0005-0000-0000-00003F6A0000}"/>
    <cellStyle name="计算 2 2 15 2" xfId="27155" xr:uid="{00000000-0005-0000-0000-0000436A0000}"/>
    <cellStyle name="计算 2 2 15 2 2" xfId="19115" xr:uid="{00000000-0005-0000-0000-0000DB4A0000}"/>
    <cellStyle name="计算 2 2 15 3" xfId="27157" xr:uid="{00000000-0005-0000-0000-0000456A0000}"/>
    <cellStyle name="计算 2 2 15 3 2" xfId="19136" xr:uid="{00000000-0005-0000-0000-0000F04A0000}"/>
    <cellStyle name="计算 2 2 15 4" xfId="27161" xr:uid="{00000000-0005-0000-0000-0000496A0000}"/>
    <cellStyle name="计算 2 2 15 4 2" xfId="19150" xr:uid="{00000000-0005-0000-0000-0000FE4A0000}"/>
    <cellStyle name="计算 2 2 15 5" xfId="22612" xr:uid="{00000000-0005-0000-0000-000084580000}"/>
    <cellStyle name="计算 2 2 15 5 2" xfId="19160" xr:uid="{00000000-0005-0000-0000-0000084B0000}"/>
    <cellStyle name="计算 2 2 15 6" xfId="18556" xr:uid="{00000000-0005-0000-0000-0000AC480000}"/>
    <cellStyle name="计算 2 2 16" xfId="27163" xr:uid="{00000000-0005-0000-0000-00004B6A0000}"/>
    <cellStyle name="计算 2 2 16 2" xfId="25463" xr:uid="{00000000-0005-0000-0000-0000A7630000}"/>
    <cellStyle name="计算 2 2 16 2 2" xfId="27165" xr:uid="{00000000-0005-0000-0000-00004D6A0000}"/>
    <cellStyle name="计算 2 2 16 3" xfId="27166" xr:uid="{00000000-0005-0000-0000-00004E6A0000}"/>
    <cellStyle name="计算 2 2 16 3 2" xfId="27167" xr:uid="{00000000-0005-0000-0000-00004F6A0000}"/>
    <cellStyle name="计算 2 2 16 4" xfId="27169" xr:uid="{00000000-0005-0000-0000-0000516A0000}"/>
    <cellStyle name="计算 2 2 16 4 2" xfId="1210" xr:uid="{00000000-0005-0000-0000-0000EA040000}"/>
    <cellStyle name="计算 2 2 16 5" xfId="22619" xr:uid="{00000000-0005-0000-0000-00008B580000}"/>
    <cellStyle name="计算 2 2 16 5 2" xfId="2196" xr:uid="{00000000-0005-0000-0000-0000C4080000}"/>
    <cellStyle name="计算 2 2 16 6" xfId="18570" xr:uid="{00000000-0005-0000-0000-0000BA480000}"/>
    <cellStyle name="计算 2 2 17" xfId="10512" xr:uid="{00000000-0005-0000-0000-000040290000}"/>
    <cellStyle name="计算 2 2 17 2" xfId="27171" xr:uid="{00000000-0005-0000-0000-0000536A0000}"/>
    <cellStyle name="计算 2 2 17 2 2" xfId="27173" xr:uid="{00000000-0005-0000-0000-0000556A0000}"/>
    <cellStyle name="计算 2 2 17 3" xfId="27175" xr:uid="{00000000-0005-0000-0000-0000576A0000}"/>
    <cellStyle name="计算 2 2 17 3 2" xfId="27176" xr:uid="{00000000-0005-0000-0000-0000586A0000}"/>
    <cellStyle name="计算 2 2 17 4" xfId="27178" xr:uid="{00000000-0005-0000-0000-00005A6A0000}"/>
    <cellStyle name="计算 2 2 17 4 2" xfId="25960" xr:uid="{00000000-0005-0000-0000-000098650000}"/>
    <cellStyle name="计算 2 2 17 5" xfId="22625" xr:uid="{00000000-0005-0000-0000-000091580000}"/>
    <cellStyle name="计算 2 2 17 5 2" xfId="22630" xr:uid="{00000000-0005-0000-0000-000096580000}"/>
    <cellStyle name="计算 2 2 17 6" xfId="18629" xr:uid="{00000000-0005-0000-0000-0000F5480000}"/>
    <cellStyle name="计算 2 2 18" xfId="26457" xr:uid="{00000000-0005-0000-0000-000089670000}"/>
    <cellStyle name="计算 2 2 18 2" xfId="26461" xr:uid="{00000000-0005-0000-0000-00008D670000}"/>
    <cellStyle name="计算 2 2 18 2 2" xfId="27181" xr:uid="{00000000-0005-0000-0000-00005D6A0000}"/>
    <cellStyle name="计算 2 2 18 3" xfId="27183" xr:uid="{00000000-0005-0000-0000-00005F6A0000}"/>
    <cellStyle name="计算 2 2 18 3 2" xfId="27186" xr:uid="{00000000-0005-0000-0000-0000626A0000}"/>
    <cellStyle name="计算 2 2 18 4" xfId="27188" xr:uid="{00000000-0005-0000-0000-0000646A0000}"/>
    <cellStyle name="计算 2 2 18 4 2" xfId="26094" xr:uid="{00000000-0005-0000-0000-00001E660000}"/>
    <cellStyle name="计算 2 2 18 5" xfId="22639" xr:uid="{00000000-0005-0000-0000-00009F580000}"/>
    <cellStyle name="计算 2 2 18 5 2" xfId="22645" xr:uid="{00000000-0005-0000-0000-0000A5580000}"/>
    <cellStyle name="计算 2 2 18 6" xfId="18693" xr:uid="{00000000-0005-0000-0000-000035490000}"/>
    <cellStyle name="计算 2 2 19" xfId="26465" xr:uid="{00000000-0005-0000-0000-000091670000}"/>
    <cellStyle name="计算 2 2 19 2" xfId="10979" xr:uid="{00000000-0005-0000-0000-0000132B0000}"/>
    <cellStyle name="计算 2 2 19 2 2" xfId="27192" xr:uid="{00000000-0005-0000-0000-0000686A0000}"/>
    <cellStyle name="计算 2 2 19 3" xfId="10993" xr:uid="{00000000-0005-0000-0000-0000212B0000}"/>
    <cellStyle name="计算 2 2 19 3 2" xfId="27199" xr:uid="{00000000-0005-0000-0000-00006F6A0000}"/>
    <cellStyle name="计算 2 2 19 4" xfId="27202" xr:uid="{00000000-0005-0000-0000-0000726A0000}"/>
    <cellStyle name="计算 2 2 19 4 2" xfId="26228" xr:uid="{00000000-0005-0000-0000-0000A4660000}"/>
    <cellStyle name="计算 2 2 19 5" xfId="22654" xr:uid="{00000000-0005-0000-0000-0000AE580000}"/>
    <cellStyle name="计算 2 2 2" xfId="13674" xr:uid="{00000000-0005-0000-0000-00009A350000}"/>
    <cellStyle name="计算 2 2 2 10" xfId="27205" xr:uid="{00000000-0005-0000-0000-0000756A0000}"/>
    <cellStyle name="计算 2 2 2 10 2" xfId="27206" xr:uid="{00000000-0005-0000-0000-0000766A0000}"/>
    <cellStyle name="计算 2 2 2 11" xfId="27208" xr:uid="{00000000-0005-0000-0000-0000786A0000}"/>
    <cellStyle name="计算 2 2 2 11 2" xfId="27210" xr:uid="{00000000-0005-0000-0000-00007A6A0000}"/>
    <cellStyle name="计算 2 2 2 12" xfId="21974" xr:uid="{00000000-0005-0000-0000-000006560000}"/>
    <cellStyle name="计算 2 2 2 12 2" xfId="27211" xr:uid="{00000000-0005-0000-0000-00007B6A0000}"/>
    <cellStyle name="计算 2 2 2 13" xfId="27212" xr:uid="{00000000-0005-0000-0000-00007C6A0000}"/>
    <cellStyle name="计算 2 2 2 14" xfId="27213" xr:uid="{00000000-0005-0000-0000-00007D6A0000}"/>
    <cellStyle name="计算 2 2 2 15" xfId="20215" xr:uid="{00000000-0005-0000-0000-0000274F0000}"/>
    <cellStyle name="计算 2 2 2 16" xfId="27214" xr:uid="{00000000-0005-0000-0000-00007E6A0000}"/>
    <cellStyle name="计算 2 2 2 2" xfId="13680" xr:uid="{00000000-0005-0000-0000-0000A0350000}"/>
    <cellStyle name="计算 2 2 2 2 2" xfId="27215" xr:uid="{00000000-0005-0000-0000-00007F6A0000}"/>
    <cellStyle name="计算 2 2 2 2 2 2" xfId="27217" xr:uid="{00000000-0005-0000-0000-0000816A0000}"/>
    <cellStyle name="计算 2 2 2 2 3" xfId="27218" xr:uid="{00000000-0005-0000-0000-0000826A0000}"/>
    <cellStyle name="计算 2 2 2 2 3 2" xfId="27219" xr:uid="{00000000-0005-0000-0000-0000836A0000}"/>
    <cellStyle name="计算 2 2 2 2 4" xfId="13526" xr:uid="{00000000-0005-0000-0000-000006350000}"/>
    <cellStyle name="计算 2 2 2 2 4 2" xfId="13529" xr:uid="{00000000-0005-0000-0000-000009350000}"/>
    <cellStyle name="计算 2 2 2 2 5" xfId="11637" xr:uid="{00000000-0005-0000-0000-0000A52D0000}"/>
    <cellStyle name="计算 2 2 2 2 5 2" xfId="380" xr:uid="{00000000-0005-0000-0000-0000A1010000}"/>
    <cellStyle name="计算 2 2 2 2 6" xfId="11642" xr:uid="{00000000-0005-0000-0000-0000AA2D0000}"/>
    <cellStyle name="计算 2 2 2 2 7" xfId="11654" xr:uid="{00000000-0005-0000-0000-0000B62D0000}"/>
    <cellStyle name="计算 2 2 2 2 8" xfId="8559" xr:uid="{00000000-0005-0000-0000-00009F210000}"/>
    <cellStyle name="计算 2 2 2 2 9" xfId="27220" xr:uid="{00000000-0005-0000-0000-0000846A0000}"/>
    <cellStyle name="计算 2 2 2 3" xfId="27223" xr:uid="{00000000-0005-0000-0000-0000876A0000}"/>
    <cellStyle name="计算 2 2 2 3 2" xfId="27225" xr:uid="{00000000-0005-0000-0000-0000896A0000}"/>
    <cellStyle name="计算 2 2 2 3 2 2" xfId="27227" xr:uid="{00000000-0005-0000-0000-00008B6A0000}"/>
    <cellStyle name="计算 2 2 2 3 3" xfId="27228" xr:uid="{00000000-0005-0000-0000-00008C6A0000}"/>
    <cellStyle name="计算 2 2 2 3 3 2" xfId="22144" xr:uid="{00000000-0005-0000-0000-0000B0560000}"/>
    <cellStyle name="计算 2 2 2 3 4" xfId="13537" xr:uid="{00000000-0005-0000-0000-000011350000}"/>
    <cellStyle name="计算 2 2 2 3 4 2" xfId="13540" xr:uid="{00000000-0005-0000-0000-000014350000}"/>
    <cellStyle name="计算 2 2 2 3 5" xfId="11677" xr:uid="{00000000-0005-0000-0000-0000CD2D0000}"/>
    <cellStyle name="计算 2 2 2 3 5 2" xfId="11682" xr:uid="{00000000-0005-0000-0000-0000D22D0000}"/>
    <cellStyle name="计算 2 2 2 3 6" xfId="11687" xr:uid="{00000000-0005-0000-0000-0000D72D0000}"/>
    <cellStyle name="计算 2 2 2 4" xfId="27229" xr:uid="{00000000-0005-0000-0000-00008D6A0000}"/>
    <cellStyle name="计算 2 2 2 4 2" xfId="27230" xr:uid="{00000000-0005-0000-0000-00008E6A0000}"/>
    <cellStyle name="计算 2 2 2 4 2 2" xfId="13053" xr:uid="{00000000-0005-0000-0000-00002D330000}"/>
    <cellStyle name="计算 2 2 2 4 3" xfId="27231" xr:uid="{00000000-0005-0000-0000-00008F6A0000}"/>
    <cellStyle name="计算 2 2 2 4 3 2" xfId="13974" xr:uid="{00000000-0005-0000-0000-0000C6360000}"/>
    <cellStyle name="计算 2 2 2 4 4" xfId="13550" xr:uid="{00000000-0005-0000-0000-00001E350000}"/>
    <cellStyle name="计算 2 2 2 4 4 2" xfId="13555" xr:uid="{00000000-0005-0000-0000-000023350000}"/>
    <cellStyle name="计算 2 2 2 4 5" xfId="11716" xr:uid="{00000000-0005-0000-0000-0000F42D0000}"/>
    <cellStyle name="计算 2 2 2 4 5 2" xfId="13563" xr:uid="{00000000-0005-0000-0000-00002B350000}"/>
    <cellStyle name="计算 2 2 2 4 6" xfId="13566" xr:uid="{00000000-0005-0000-0000-00002E350000}"/>
    <cellStyle name="计算 2 2 2 5" xfId="27232" xr:uid="{00000000-0005-0000-0000-0000906A0000}"/>
    <cellStyle name="计算 2 2 2 5 2" xfId="27233" xr:uid="{00000000-0005-0000-0000-0000916A0000}"/>
    <cellStyle name="计算 2 2 2 5 2 2" xfId="27234" xr:uid="{00000000-0005-0000-0000-0000926A0000}"/>
    <cellStyle name="计算 2 2 2 5 3" xfId="27236" xr:uid="{00000000-0005-0000-0000-0000946A0000}"/>
    <cellStyle name="计算 2 2 2 5 3 2" xfId="27237" xr:uid="{00000000-0005-0000-0000-0000956A0000}"/>
    <cellStyle name="计算 2 2 2 5 4" xfId="13589" xr:uid="{00000000-0005-0000-0000-000045350000}"/>
    <cellStyle name="计算 2 2 2 5 4 2" xfId="13593" xr:uid="{00000000-0005-0000-0000-000049350000}"/>
    <cellStyle name="计算 2 2 2 5 5" xfId="13595" xr:uid="{00000000-0005-0000-0000-00004B350000}"/>
    <cellStyle name="计算 2 2 2 5 5 2" xfId="13600" xr:uid="{00000000-0005-0000-0000-000050350000}"/>
    <cellStyle name="计算 2 2 2 5 6" xfId="13602" xr:uid="{00000000-0005-0000-0000-000052350000}"/>
    <cellStyle name="计算 2 2 2 6" xfId="27240" xr:uid="{00000000-0005-0000-0000-0000986A0000}"/>
    <cellStyle name="计算 2 2 2 6 2" xfId="27241" xr:uid="{00000000-0005-0000-0000-0000996A0000}"/>
    <cellStyle name="计算 2 2 2 6 2 2" xfId="27242" xr:uid="{00000000-0005-0000-0000-00009A6A0000}"/>
    <cellStyle name="计算 2 2 2 6 3" xfId="27243" xr:uid="{00000000-0005-0000-0000-00009B6A0000}"/>
    <cellStyle name="计算 2 2 2 6 3 2" xfId="27244" xr:uid="{00000000-0005-0000-0000-00009C6A0000}"/>
    <cellStyle name="计算 2 2 2 6 4" xfId="4491" xr:uid="{00000000-0005-0000-0000-0000BB110000}"/>
    <cellStyle name="计算 2 2 2 6 4 2" xfId="13618" xr:uid="{00000000-0005-0000-0000-000062350000}"/>
    <cellStyle name="计算 2 2 2 6 5" xfId="13620" xr:uid="{00000000-0005-0000-0000-000064350000}"/>
    <cellStyle name="计算 2 2 2 6 5 2" xfId="13624" xr:uid="{00000000-0005-0000-0000-000068350000}"/>
    <cellStyle name="计算 2 2 2 6 6" xfId="13626" xr:uid="{00000000-0005-0000-0000-00006A350000}"/>
    <cellStyle name="计算 2 2 2 7" xfId="27245" xr:uid="{00000000-0005-0000-0000-00009D6A0000}"/>
    <cellStyle name="计算 2 2 2 7 2" xfId="27246" xr:uid="{00000000-0005-0000-0000-00009E6A0000}"/>
    <cellStyle name="计算 2 2 2 7 2 2" xfId="27247" xr:uid="{00000000-0005-0000-0000-00009F6A0000}"/>
    <cellStyle name="计算 2 2 2 7 3" xfId="27249" xr:uid="{00000000-0005-0000-0000-0000A16A0000}"/>
    <cellStyle name="计算 2 2 2 7 3 2" xfId="27250" xr:uid="{00000000-0005-0000-0000-0000A26A0000}"/>
    <cellStyle name="计算 2 2 2 7 4" xfId="2272" xr:uid="{00000000-0005-0000-0000-000010090000}"/>
    <cellStyle name="计算 2 2 2 7 4 2" xfId="773" xr:uid="{00000000-0005-0000-0000-000035030000}"/>
    <cellStyle name="计算 2 2 2 7 5" xfId="4032" xr:uid="{00000000-0005-0000-0000-0000F00F0000}"/>
    <cellStyle name="计算 2 2 2 7 5 2" xfId="800" xr:uid="{00000000-0005-0000-0000-000050030000}"/>
    <cellStyle name="计算 2 2 2 7 6" xfId="13645" xr:uid="{00000000-0005-0000-0000-00007D350000}"/>
    <cellStyle name="计算 2 2 2 8" xfId="27252" xr:uid="{00000000-0005-0000-0000-0000A46A0000}"/>
    <cellStyle name="计算 2 2 2 8 2" xfId="27253" xr:uid="{00000000-0005-0000-0000-0000A56A0000}"/>
    <cellStyle name="计算 2 2 2 8 2 2" xfId="27254" xr:uid="{00000000-0005-0000-0000-0000A66A0000}"/>
    <cellStyle name="计算 2 2 2 8 3" xfId="27257" xr:uid="{00000000-0005-0000-0000-0000A96A0000}"/>
    <cellStyle name="计算 2 2 2 8 3 2" xfId="23290" xr:uid="{00000000-0005-0000-0000-00002A5B0000}"/>
    <cellStyle name="计算 2 2 2 8 4" xfId="2005" xr:uid="{00000000-0005-0000-0000-000005080000}"/>
    <cellStyle name="计算 2 2 2 8 4 2" xfId="27258" xr:uid="{00000000-0005-0000-0000-0000AA6A0000}"/>
    <cellStyle name="计算 2 2 2 8 5" xfId="27260" xr:uid="{00000000-0005-0000-0000-0000AC6A0000}"/>
    <cellStyle name="计算 2 2 2 9" xfId="16963" xr:uid="{00000000-0005-0000-0000-000073420000}"/>
    <cellStyle name="计算 2 2 2 9 2" xfId="16966" xr:uid="{00000000-0005-0000-0000-000076420000}"/>
    <cellStyle name="计算 2 2 20" xfId="27150" xr:uid="{00000000-0005-0000-0000-00003E6A0000}"/>
    <cellStyle name="计算 2 2 20 2" xfId="27154" xr:uid="{00000000-0005-0000-0000-0000426A0000}"/>
    <cellStyle name="计算 2 2 21" xfId="27162" xr:uid="{00000000-0005-0000-0000-00004A6A0000}"/>
    <cellStyle name="计算 2 2 21 2" xfId="25462" xr:uid="{00000000-0005-0000-0000-0000A6630000}"/>
    <cellStyle name="计算 2 2 22" xfId="10513" xr:uid="{00000000-0005-0000-0000-000041290000}"/>
    <cellStyle name="计算 2 2 22 2" xfId="27170" xr:uid="{00000000-0005-0000-0000-0000526A0000}"/>
    <cellStyle name="计算 2 2 23" xfId="26456" xr:uid="{00000000-0005-0000-0000-000088670000}"/>
    <cellStyle name="计算 2 2 23 2" xfId="26460" xr:uid="{00000000-0005-0000-0000-00008C670000}"/>
    <cellStyle name="计算 2 2 24" xfId="26464" xr:uid="{00000000-0005-0000-0000-000090670000}"/>
    <cellStyle name="计算 2 2 25" xfId="26467" xr:uid="{00000000-0005-0000-0000-000093670000}"/>
    <cellStyle name="计算 2 2 26" xfId="26472" xr:uid="{00000000-0005-0000-0000-000098670000}"/>
    <cellStyle name="计算 2 2 27" xfId="14948" xr:uid="{00000000-0005-0000-0000-0000943A0000}"/>
    <cellStyle name="计算 2 2 3" xfId="13686" xr:uid="{00000000-0005-0000-0000-0000A6350000}"/>
    <cellStyle name="计算 2 2 3 10" xfId="12914" xr:uid="{00000000-0005-0000-0000-0000A2320000}"/>
    <cellStyle name="计算 2 2 3 10 2" xfId="12918" xr:uid="{00000000-0005-0000-0000-0000A6320000}"/>
    <cellStyle name="计算 2 2 3 11" xfId="5106" xr:uid="{00000000-0005-0000-0000-000022140000}"/>
    <cellStyle name="计算 2 2 3 11 2" xfId="12923" xr:uid="{00000000-0005-0000-0000-0000AB320000}"/>
    <cellStyle name="计算 2 2 3 12" xfId="12928" xr:uid="{00000000-0005-0000-0000-0000B0320000}"/>
    <cellStyle name="计算 2 2 3 12 2" xfId="22203" xr:uid="{00000000-0005-0000-0000-0000EB560000}"/>
    <cellStyle name="计算 2 2 3 13" xfId="21162" xr:uid="{00000000-0005-0000-0000-0000DA520000}"/>
    <cellStyle name="计算 2 2 3 14" xfId="4169" xr:uid="{00000000-0005-0000-0000-000079100000}"/>
    <cellStyle name="计算 2 2 3 15" xfId="4592" xr:uid="{00000000-0005-0000-0000-000020120000}"/>
    <cellStyle name="计算 2 2 3 16" xfId="2601" xr:uid="{00000000-0005-0000-0000-0000590A0000}"/>
    <cellStyle name="计算 2 2 3 2" xfId="13696" xr:uid="{00000000-0005-0000-0000-0000B0350000}"/>
    <cellStyle name="计算 2 2 3 2 2" xfId="24438" xr:uid="{00000000-0005-0000-0000-0000A65F0000}"/>
    <cellStyle name="计算 2 2 3 2 2 2" xfId="24441" xr:uid="{00000000-0005-0000-0000-0000A95F0000}"/>
    <cellStyle name="计算 2 2 3 2 3" xfId="24459" xr:uid="{00000000-0005-0000-0000-0000BB5F0000}"/>
    <cellStyle name="计算 2 2 3 2 3 2" xfId="24461" xr:uid="{00000000-0005-0000-0000-0000BD5F0000}"/>
    <cellStyle name="计算 2 2 3 2 4" xfId="16505" xr:uid="{00000000-0005-0000-0000-0000A9400000}"/>
    <cellStyle name="计算 2 2 3 2 4 2" xfId="24476" xr:uid="{00000000-0005-0000-0000-0000CC5F0000}"/>
    <cellStyle name="计算 2 2 3 2 5" xfId="24485" xr:uid="{00000000-0005-0000-0000-0000D55F0000}"/>
    <cellStyle name="计算 2 2 3 2 5 2" xfId="24487" xr:uid="{00000000-0005-0000-0000-0000D75F0000}"/>
    <cellStyle name="计算 2 2 3 2 6" xfId="27261" xr:uid="{00000000-0005-0000-0000-0000AD6A0000}"/>
    <cellStyle name="计算 2 2 3 2 7" xfId="3930" xr:uid="{00000000-0005-0000-0000-00008A0F0000}"/>
    <cellStyle name="计算 2 2 3 2 8" xfId="27262" xr:uid="{00000000-0005-0000-0000-0000AE6A0000}"/>
    <cellStyle name="计算 2 2 3 2 9" xfId="27263" xr:uid="{00000000-0005-0000-0000-0000AF6A0000}"/>
    <cellStyle name="计算 2 2 3 3" xfId="27264" xr:uid="{00000000-0005-0000-0000-0000B06A0000}"/>
    <cellStyle name="计算 2 2 3 3 2" xfId="24596" xr:uid="{00000000-0005-0000-0000-000044600000}"/>
    <cellStyle name="计算 2 2 3 3 2 2" xfId="24598" xr:uid="{00000000-0005-0000-0000-000046600000}"/>
    <cellStyle name="计算 2 2 3 3 3" xfId="24609" xr:uid="{00000000-0005-0000-0000-000051600000}"/>
    <cellStyle name="计算 2 2 3 3 3 2" xfId="24611" xr:uid="{00000000-0005-0000-0000-000053600000}"/>
    <cellStyle name="计算 2 2 3 3 4" xfId="16509" xr:uid="{00000000-0005-0000-0000-0000AD400000}"/>
    <cellStyle name="计算 2 2 3 3 4 2" xfId="24625" xr:uid="{00000000-0005-0000-0000-000061600000}"/>
    <cellStyle name="计算 2 2 3 3 5" xfId="24638" xr:uid="{00000000-0005-0000-0000-00006E600000}"/>
    <cellStyle name="计算 2 2 3 3 5 2" xfId="24640" xr:uid="{00000000-0005-0000-0000-000070600000}"/>
    <cellStyle name="计算 2 2 3 3 6" xfId="27266" xr:uid="{00000000-0005-0000-0000-0000B26A0000}"/>
    <cellStyle name="计算 2 2 3 4" xfId="27267" xr:uid="{00000000-0005-0000-0000-0000B36A0000}"/>
    <cellStyle name="计算 2 2 3 4 2" xfId="24703" xr:uid="{00000000-0005-0000-0000-0000AF600000}"/>
    <cellStyle name="计算 2 2 3 4 2 2" xfId="21554" xr:uid="{00000000-0005-0000-0000-000062540000}"/>
    <cellStyle name="计算 2 2 3 4 3" xfId="24705" xr:uid="{00000000-0005-0000-0000-0000B1600000}"/>
    <cellStyle name="计算 2 2 3 4 3 2" xfId="21649" xr:uid="{00000000-0005-0000-0000-0000C1540000}"/>
    <cellStyle name="计算 2 2 3 4 4" xfId="24712" xr:uid="{00000000-0005-0000-0000-0000B8600000}"/>
    <cellStyle name="计算 2 2 3 4 4 2" xfId="21662" xr:uid="{00000000-0005-0000-0000-0000CE540000}"/>
    <cellStyle name="计算 2 2 3 4 5" xfId="24718" xr:uid="{00000000-0005-0000-0000-0000BE600000}"/>
    <cellStyle name="计算 2 2 3 4 5 2" xfId="21678" xr:uid="{00000000-0005-0000-0000-0000DE540000}"/>
    <cellStyle name="计算 2 2 3 4 6" xfId="27268" xr:uid="{00000000-0005-0000-0000-0000B46A0000}"/>
    <cellStyle name="计算 2 2 3 5" xfId="27269" xr:uid="{00000000-0005-0000-0000-0000B56A0000}"/>
    <cellStyle name="计算 2 2 3 5 2" xfId="20724" xr:uid="{00000000-0005-0000-0000-000024510000}"/>
    <cellStyle name="计算 2 2 3 5 2 2" xfId="20805" xr:uid="{00000000-0005-0000-0000-000075510000}"/>
    <cellStyle name="计算 2 2 3 5 3" xfId="24726" xr:uid="{00000000-0005-0000-0000-0000C6600000}"/>
    <cellStyle name="计算 2 2 3 5 3 2" xfId="22130" xr:uid="{00000000-0005-0000-0000-0000A2560000}"/>
    <cellStyle name="计算 2 2 3 5 4" xfId="24730" xr:uid="{00000000-0005-0000-0000-0000CA600000}"/>
    <cellStyle name="计算 2 2 3 5 4 2" xfId="23273" xr:uid="{00000000-0005-0000-0000-0000195B0000}"/>
    <cellStyle name="计算 2 2 3 5 5" xfId="24732" xr:uid="{00000000-0005-0000-0000-0000CC600000}"/>
    <cellStyle name="计算 2 2 3 5 5 2" xfId="24734" xr:uid="{00000000-0005-0000-0000-0000CE600000}"/>
    <cellStyle name="计算 2 2 3 5 6" xfId="27270" xr:uid="{00000000-0005-0000-0000-0000B66A0000}"/>
    <cellStyle name="计算 2 2 3 6" xfId="27272" xr:uid="{00000000-0005-0000-0000-0000B86A0000}"/>
    <cellStyle name="计算 2 2 3 6 2" xfId="27273" xr:uid="{00000000-0005-0000-0000-0000B96A0000}"/>
    <cellStyle name="计算 2 2 3 6 2 2" xfId="27274" xr:uid="{00000000-0005-0000-0000-0000BA6A0000}"/>
    <cellStyle name="计算 2 2 3 6 3" xfId="27275" xr:uid="{00000000-0005-0000-0000-0000BB6A0000}"/>
    <cellStyle name="计算 2 2 3 6 3 2" xfId="27277" xr:uid="{00000000-0005-0000-0000-0000BD6A0000}"/>
    <cellStyle name="计算 2 2 3 6 4" xfId="6177" xr:uid="{00000000-0005-0000-0000-000051180000}"/>
    <cellStyle name="计算 2 2 3 6 4 2" xfId="27278" xr:uid="{00000000-0005-0000-0000-0000BE6A0000}"/>
    <cellStyle name="计算 2 2 3 6 5" xfId="27279" xr:uid="{00000000-0005-0000-0000-0000BF6A0000}"/>
    <cellStyle name="计算 2 2 3 6 5 2" xfId="27280" xr:uid="{00000000-0005-0000-0000-0000C06A0000}"/>
    <cellStyle name="计算 2 2 3 6 6" xfId="27281" xr:uid="{00000000-0005-0000-0000-0000C16A0000}"/>
    <cellStyle name="计算 2 2 3 7" xfId="27282" xr:uid="{00000000-0005-0000-0000-0000C26A0000}"/>
    <cellStyle name="计算 2 2 3 7 2" xfId="27283" xr:uid="{00000000-0005-0000-0000-0000C36A0000}"/>
    <cellStyle name="计算 2 2 3 7 2 2" xfId="27284" xr:uid="{00000000-0005-0000-0000-0000C46A0000}"/>
    <cellStyle name="计算 2 2 3 7 3" xfId="27285" xr:uid="{00000000-0005-0000-0000-0000C56A0000}"/>
    <cellStyle name="计算 2 2 3 7 3 2" xfId="27287" xr:uid="{00000000-0005-0000-0000-0000C76A0000}"/>
    <cellStyle name="计算 2 2 3 7 4" xfId="6759" xr:uid="{00000000-0005-0000-0000-0000971A0000}"/>
    <cellStyle name="计算 2 2 3 7 4 2" xfId="27288" xr:uid="{00000000-0005-0000-0000-0000C86A0000}"/>
    <cellStyle name="计算 2 2 3 7 5" xfId="27291" xr:uid="{00000000-0005-0000-0000-0000CB6A0000}"/>
    <cellStyle name="计算 2 2 3 7 5 2" xfId="27292" xr:uid="{00000000-0005-0000-0000-0000CC6A0000}"/>
    <cellStyle name="计算 2 2 3 7 6" xfId="17848" xr:uid="{00000000-0005-0000-0000-0000E8450000}"/>
    <cellStyle name="计算 2 2 3 8" xfId="27293" xr:uid="{00000000-0005-0000-0000-0000CD6A0000}"/>
    <cellStyle name="计算 2 2 3 8 2" xfId="27294" xr:uid="{00000000-0005-0000-0000-0000CE6A0000}"/>
    <cellStyle name="计算 2 2 3 8 2 2" xfId="27295" xr:uid="{00000000-0005-0000-0000-0000CF6A0000}"/>
    <cellStyle name="计算 2 2 3 8 3" xfId="27297" xr:uid="{00000000-0005-0000-0000-0000D16A0000}"/>
    <cellStyle name="计算 2 2 3 8 3 2" xfId="27298" xr:uid="{00000000-0005-0000-0000-0000D26A0000}"/>
    <cellStyle name="计算 2 2 3 8 4" xfId="6768" xr:uid="{00000000-0005-0000-0000-0000A01A0000}"/>
    <cellStyle name="计算 2 2 3 8 4 2" xfId="27299" xr:uid="{00000000-0005-0000-0000-0000D36A0000}"/>
    <cellStyle name="计算 2 2 3 8 5" xfId="27301" xr:uid="{00000000-0005-0000-0000-0000D56A0000}"/>
    <cellStyle name="计算 2 2 3 9" xfId="16986" xr:uid="{00000000-0005-0000-0000-00008A420000}"/>
    <cellStyle name="计算 2 2 3 9 2" xfId="16989" xr:uid="{00000000-0005-0000-0000-00008D420000}"/>
    <cellStyle name="计算 2 2 4" xfId="13702" xr:uid="{00000000-0005-0000-0000-0000B6350000}"/>
    <cellStyle name="计算 2 2 4 10" xfId="27303" xr:uid="{00000000-0005-0000-0000-0000D76A0000}"/>
    <cellStyle name="计算 2 2 4 10 2" xfId="8516" xr:uid="{00000000-0005-0000-0000-000074210000}"/>
    <cellStyle name="计算 2 2 4 11" xfId="26960" xr:uid="{00000000-0005-0000-0000-000080690000}"/>
    <cellStyle name="计算 2 2 4 11 2" xfId="8572" xr:uid="{00000000-0005-0000-0000-0000AC210000}"/>
    <cellStyle name="计算 2 2 4 12" xfId="20444" xr:uid="{00000000-0005-0000-0000-00000C500000}"/>
    <cellStyle name="计算 2 2 4 12 2" xfId="8591" xr:uid="{00000000-0005-0000-0000-0000BF210000}"/>
    <cellStyle name="计算 2 2 4 13" xfId="21314" xr:uid="{00000000-0005-0000-0000-000072530000}"/>
    <cellStyle name="计算 2 2 4 14" xfId="24834" xr:uid="{00000000-0005-0000-0000-000032610000}"/>
    <cellStyle name="计算 2 2 4 15" xfId="18952" xr:uid="{00000000-0005-0000-0000-0000384A0000}"/>
    <cellStyle name="计算 2 2 4 16" xfId="11551" xr:uid="{00000000-0005-0000-0000-00004F2D0000}"/>
    <cellStyle name="计算 2 2 4 2" xfId="9214" xr:uid="{00000000-0005-0000-0000-00002E240000}"/>
    <cellStyle name="计算 2 2 4 2 2" xfId="9219" xr:uid="{00000000-0005-0000-0000-000033240000}"/>
    <cellStyle name="计算 2 2 4 2 2 2" xfId="25489" xr:uid="{00000000-0005-0000-0000-0000C1630000}"/>
    <cellStyle name="计算 2 2 4 2 3" xfId="25500" xr:uid="{00000000-0005-0000-0000-0000CC630000}"/>
    <cellStyle name="计算 2 2 4 2 3 2" xfId="25502" xr:uid="{00000000-0005-0000-0000-0000CE630000}"/>
    <cellStyle name="计算 2 2 4 2 4" xfId="16539" xr:uid="{00000000-0005-0000-0000-0000CB400000}"/>
    <cellStyle name="计算 2 2 4 2 4 2" xfId="12156" xr:uid="{00000000-0005-0000-0000-0000AC2F0000}"/>
    <cellStyle name="计算 2 2 4 2 5" xfId="23638" xr:uid="{00000000-0005-0000-0000-0000865C0000}"/>
    <cellStyle name="计算 2 2 4 2 5 2" xfId="23755" xr:uid="{00000000-0005-0000-0000-0000FB5C0000}"/>
    <cellStyle name="计算 2 2 4 2 6" xfId="11949" xr:uid="{00000000-0005-0000-0000-0000DD2E0000}"/>
    <cellStyle name="计算 2 2 4 2 7" xfId="25732" xr:uid="{00000000-0005-0000-0000-0000B4640000}"/>
    <cellStyle name="计算 2 2 4 2 8" xfId="26868" xr:uid="{00000000-0005-0000-0000-000024690000}"/>
    <cellStyle name="计算 2 2 4 2 9" xfId="26942" xr:uid="{00000000-0005-0000-0000-00006E690000}"/>
    <cellStyle name="计算 2 2 4 3" xfId="9226" xr:uid="{00000000-0005-0000-0000-00003A240000}"/>
    <cellStyle name="计算 2 2 4 3 2" xfId="25552" xr:uid="{00000000-0005-0000-0000-000000640000}"/>
    <cellStyle name="计算 2 2 4 3 2 2" xfId="25555" xr:uid="{00000000-0005-0000-0000-000003640000}"/>
    <cellStyle name="计算 2 2 4 3 3" xfId="25567" xr:uid="{00000000-0005-0000-0000-00000F640000}"/>
    <cellStyle name="计算 2 2 4 3 3 2" xfId="25570" xr:uid="{00000000-0005-0000-0000-000012640000}"/>
    <cellStyle name="计算 2 2 4 3 4" xfId="16543" xr:uid="{00000000-0005-0000-0000-0000CF400000}"/>
    <cellStyle name="计算 2 2 4 3 4 2" xfId="25577" xr:uid="{00000000-0005-0000-0000-000019640000}"/>
    <cellStyle name="计算 2 2 4 3 5" xfId="25584" xr:uid="{00000000-0005-0000-0000-000020640000}"/>
    <cellStyle name="计算 2 2 4 3 5 2" xfId="25587" xr:uid="{00000000-0005-0000-0000-000023640000}"/>
    <cellStyle name="计算 2 2 4 3 6" xfId="11965" xr:uid="{00000000-0005-0000-0000-0000ED2E0000}"/>
    <cellStyle name="计算 2 2 4 4" xfId="9229" xr:uid="{00000000-0005-0000-0000-00003D240000}"/>
    <cellStyle name="计算 2 2 4 4 2" xfId="25642" xr:uid="{00000000-0005-0000-0000-00005A640000}"/>
    <cellStyle name="计算 2 2 4 4 2 2" xfId="25644" xr:uid="{00000000-0005-0000-0000-00005C640000}"/>
    <cellStyle name="计算 2 2 4 4 3" xfId="25651" xr:uid="{00000000-0005-0000-0000-000063640000}"/>
    <cellStyle name="计算 2 2 4 4 3 2" xfId="25654" xr:uid="{00000000-0005-0000-0000-000066640000}"/>
    <cellStyle name="计算 2 2 4 4 4" xfId="25661" xr:uid="{00000000-0005-0000-0000-00006D640000}"/>
    <cellStyle name="计算 2 2 4 4 4 2" xfId="25663" xr:uid="{00000000-0005-0000-0000-00006F640000}"/>
    <cellStyle name="计算 2 2 4 4 5" xfId="25671" xr:uid="{00000000-0005-0000-0000-000077640000}"/>
    <cellStyle name="计算 2 2 4 4 5 2" xfId="25673" xr:uid="{00000000-0005-0000-0000-000079640000}"/>
    <cellStyle name="计算 2 2 4 4 6" xfId="17260" xr:uid="{00000000-0005-0000-0000-00009C430000}"/>
    <cellStyle name="计算 2 2 4 5" xfId="9231" xr:uid="{00000000-0005-0000-0000-00003F240000}"/>
    <cellStyle name="计算 2 2 4 5 2" xfId="21210" xr:uid="{00000000-0005-0000-0000-00000A530000}"/>
    <cellStyle name="计算 2 2 4 5 2 2" xfId="25706" xr:uid="{00000000-0005-0000-0000-00009A640000}"/>
    <cellStyle name="计算 2 2 4 5 3" xfId="25712" xr:uid="{00000000-0005-0000-0000-0000A0640000}"/>
    <cellStyle name="计算 2 2 4 5 3 2" xfId="25715" xr:uid="{00000000-0005-0000-0000-0000A3640000}"/>
    <cellStyle name="计算 2 2 4 5 4" xfId="25722" xr:uid="{00000000-0005-0000-0000-0000AA640000}"/>
    <cellStyle name="计算 2 2 4 5 4 2" xfId="25724" xr:uid="{00000000-0005-0000-0000-0000AC640000}"/>
    <cellStyle name="计算 2 2 4 5 5" xfId="13016" xr:uid="{00000000-0005-0000-0000-000008330000}"/>
    <cellStyle name="计算 2 2 4 5 5 2" xfId="13019" xr:uid="{00000000-0005-0000-0000-00000B330000}"/>
    <cellStyle name="计算 2 2 4 5 6" xfId="13024" xr:uid="{00000000-0005-0000-0000-000010330000}"/>
    <cellStyle name="计算 2 2 4 6" xfId="6876" xr:uid="{00000000-0005-0000-0000-00000C1B0000}"/>
    <cellStyle name="计算 2 2 4 6 2" xfId="27304" xr:uid="{00000000-0005-0000-0000-0000D86A0000}"/>
    <cellStyle name="计算 2 2 4 6 2 2" xfId="27305" xr:uid="{00000000-0005-0000-0000-0000D96A0000}"/>
    <cellStyle name="计算 2 2 4 6 3" xfId="27306" xr:uid="{00000000-0005-0000-0000-0000DA6A0000}"/>
    <cellStyle name="计算 2 2 4 6 3 2" xfId="27308" xr:uid="{00000000-0005-0000-0000-0000DC6A0000}"/>
    <cellStyle name="计算 2 2 4 6 4" xfId="6800" xr:uid="{00000000-0005-0000-0000-0000C01A0000}"/>
    <cellStyle name="计算 2 2 4 6 4 2" xfId="14157" xr:uid="{00000000-0005-0000-0000-00007D370000}"/>
    <cellStyle name="计算 2 2 4 6 5" xfId="27309" xr:uid="{00000000-0005-0000-0000-0000DD6A0000}"/>
    <cellStyle name="计算 2 2 4 6 5 2" xfId="2816" xr:uid="{00000000-0005-0000-0000-0000300B0000}"/>
    <cellStyle name="计算 2 2 4 6 6" xfId="27310" xr:uid="{00000000-0005-0000-0000-0000DE6A0000}"/>
    <cellStyle name="计算 2 2 4 7" xfId="27311" xr:uid="{00000000-0005-0000-0000-0000DF6A0000}"/>
    <cellStyle name="计算 2 2 4 7 2" xfId="27312" xr:uid="{00000000-0005-0000-0000-0000E06A0000}"/>
    <cellStyle name="计算 2 2 4 7 2 2" xfId="27314" xr:uid="{00000000-0005-0000-0000-0000E26A0000}"/>
    <cellStyle name="计算 2 2 4 7 3" xfId="27316" xr:uid="{00000000-0005-0000-0000-0000E46A0000}"/>
    <cellStyle name="计算 2 2 4 7 3 2" xfId="27318" xr:uid="{00000000-0005-0000-0000-0000E66A0000}"/>
    <cellStyle name="计算 2 2 4 7 4" xfId="6824" xr:uid="{00000000-0005-0000-0000-0000D81A0000}"/>
    <cellStyle name="计算 2 2 4 7 4 2" xfId="14935" xr:uid="{00000000-0005-0000-0000-0000873A0000}"/>
    <cellStyle name="计算 2 2 4 7 5" xfId="27321" xr:uid="{00000000-0005-0000-0000-0000E96A0000}"/>
    <cellStyle name="计算 2 2 4 7 5 2" xfId="3233" xr:uid="{00000000-0005-0000-0000-0000D10C0000}"/>
    <cellStyle name="计算 2 2 4 7 6" xfId="17871" xr:uid="{00000000-0005-0000-0000-0000FF450000}"/>
    <cellStyle name="计算 2 2 4 8" xfId="27322" xr:uid="{00000000-0005-0000-0000-0000EA6A0000}"/>
    <cellStyle name="计算 2 2 4 8 2" xfId="12511" xr:uid="{00000000-0005-0000-0000-00000F310000}"/>
    <cellStyle name="计算 2 2 4 8 2 2" xfId="12520" xr:uid="{00000000-0005-0000-0000-000018310000}"/>
    <cellStyle name="计算 2 2 4 8 3" xfId="12525" xr:uid="{00000000-0005-0000-0000-00001D310000}"/>
    <cellStyle name="计算 2 2 4 8 3 2" xfId="12532" xr:uid="{00000000-0005-0000-0000-000024310000}"/>
    <cellStyle name="计算 2 2 4 8 4" xfId="6348" xr:uid="{00000000-0005-0000-0000-0000FC180000}"/>
    <cellStyle name="计算 2 2 4 8 4 2" xfId="12537" xr:uid="{00000000-0005-0000-0000-000029310000}"/>
    <cellStyle name="计算 2 2 4 8 5" xfId="27324" xr:uid="{00000000-0005-0000-0000-0000EC6A0000}"/>
    <cellStyle name="计算 2 2 4 9" xfId="17002" xr:uid="{00000000-0005-0000-0000-00009A420000}"/>
    <cellStyle name="计算 2 2 4 9 2" xfId="6608" xr:uid="{00000000-0005-0000-0000-0000001A0000}"/>
    <cellStyle name="计算 2 2 5" xfId="13707" xr:uid="{00000000-0005-0000-0000-0000BB350000}"/>
    <cellStyle name="计算 2 2 5 10" xfId="18678" xr:uid="{00000000-0005-0000-0000-000026490000}"/>
    <cellStyle name="计算 2 2 5 10 2" xfId="27331" xr:uid="{00000000-0005-0000-0000-0000F36A0000}"/>
    <cellStyle name="计算 2 2 5 11" xfId="27335" xr:uid="{00000000-0005-0000-0000-0000F76A0000}"/>
    <cellStyle name="计算 2 2 5 11 2" xfId="27341" xr:uid="{00000000-0005-0000-0000-0000FD6A0000}"/>
    <cellStyle name="计算 2 2 5 12" xfId="27344" xr:uid="{00000000-0005-0000-0000-0000006B0000}"/>
    <cellStyle name="计算 2 2 5 12 2" xfId="27348" xr:uid="{00000000-0005-0000-0000-0000046B0000}"/>
    <cellStyle name="计算 2 2 5 13" xfId="25947" xr:uid="{00000000-0005-0000-0000-00008B650000}"/>
    <cellStyle name="计算 2 2 5 14" xfId="27353" xr:uid="{00000000-0005-0000-0000-0000096B0000}"/>
    <cellStyle name="计算 2 2 5 15" xfId="27356" xr:uid="{00000000-0005-0000-0000-00000C6B0000}"/>
    <cellStyle name="计算 2 2 5 16" xfId="8556" xr:uid="{00000000-0005-0000-0000-00009C210000}"/>
    <cellStyle name="计算 2 2 5 2" xfId="9249" xr:uid="{00000000-0005-0000-0000-000051240000}"/>
    <cellStyle name="计算 2 2 5 2 2" xfId="9254" xr:uid="{00000000-0005-0000-0000-000056240000}"/>
    <cellStyle name="计算 2 2 5 2 2 2" xfId="26353" xr:uid="{00000000-0005-0000-0000-000021670000}"/>
    <cellStyle name="计算 2 2 5 2 3" xfId="26368" xr:uid="{00000000-0005-0000-0000-000030670000}"/>
    <cellStyle name="计算 2 2 5 2 3 2" xfId="26370" xr:uid="{00000000-0005-0000-0000-000032670000}"/>
    <cellStyle name="计算 2 2 5 2 4" xfId="16569" xr:uid="{00000000-0005-0000-0000-0000E9400000}"/>
    <cellStyle name="计算 2 2 5 2 4 2" xfId="21004" xr:uid="{00000000-0005-0000-0000-00003C520000}"/>
    <cellStyle name="计算 2 2 5 2 5" xfId="26379" xr:uid="{00000000-0005-0000-0000-00003B670000}"/>
    <cellStyle name="计算 2 2 5 2 5 2" xfId="26381" xr:uid="{00000000-0005-0000-0000-00003D670000}"/>
    <cellStyle name="计算 2 2 5 2 6" xfId="12188" xr:uid="{00000000-0005-0000-0000-0000CC2F0000}"/>
    <cellStyle name="计算 2 2 5 2 7" xfId="24838" xr:uid="{00000000-0005-0000-0000-000036610000}"/>
    <cellStyle name="计算 2 2 5 2 8" xfId="25157" xr:uid="{00000000-0005-0000-0000-000075620000}"/>
    <cellStyle name="计算 2 2 5 2 9" xfId="25310" xr:uid="{00000000-0005-0000-0000-00000E630000}"/>
    <cellStyle name="计算 2 2 5 3" xfId="9259" xr:uid="{00000000-0005-0000-0000-00005B240000}"/>
    <cellStyle name="计算 2 2 5 3 2" xfId="26433" xr:uid="{00000000-0005-0000-0000-000071670000}"/>
    <cellStyle name="计算 2 2 5 3 2 2" xfId="26436" xr:uid="{00000000-0005-0000-0000-000074670000}"/>
    <cellStyle name="计算 2 2 5 3 3" xfId="26451" xr:uid="{00000000-0005-0000-0000-000083670000}"/>
    <cellStyle name="计算 2 2 5 3 3 2" xfId="26454" xr:uid="{00000000-0005-0000-0000-000086670000}"/>
    <cellStyle name="计算 2 2 5 3 4" xfId="16579" xr:uid="{00000000-0005-0000-0000-0000F3400000}"/>
    <cellStyle name="计算 2 2 5 3 4 2" xfId="26474" xr:uid="{00000000-0005-0000-0000-00009A670000}"/>
    <cellStyle name="计算 2 2 5 3 5" xfId="26485" xr:uid="{00000000-0005-0000-0000-0000A5670000}"/>
    <cellStyle name="计算 2 2 5 3 5 2" xfId="26488" xr:uid="{00000000-0005-0000-0000-0000A8670000}"/>
    <cellStyle name="计算 2 2 5 3 6" xfId="12203" xr:uid="{00000000-0005-0000-0000-0000DB2F0000}"/>
    <cellStyle name="计算 2 2 5 4" xfId="27357" xr:uid="{00000000-0005-0000-0000-00000D6B0000}"/>
    <cellStyle name="计算 2 2 5 4 2" xfId="26683" xr:uid="{00000000-0005-0000-0000-00006B680000}"/>
    <cellStyle name="计算 2 2 5 4 2 2" xfId="26685" xr:uid="{00000000-0005-0000-0000-00006D680000}"/>
    <cellStyle name="计算 2 2 5 4 3" xfId="26692" xr:uid="{00000000-0005-0000-0000-000074680000}"/>
    <cellStyle name="计算 2 2 5 4 3 2" xfId="26695" xr:uid="{00000000-0005-0000-0000-000077680000}"/>
    <cellStyle name="计算 2 2 5 4 4" xfId="26714" xr:uid="{00000000-0005-0000-0000-00008A680000}"/>
    <cellStyle name="计算 2 2 5 4 4 2" xfId="26716" xr:uid="{00000000-0005-0000-0000-00008C680000}"/>
    <cellStyle name="计算 2 2 5 4 5" xfId="26722" xr:uid="{00000000-0005-0000-0000-000092680000}"/>
    <cellStyle name="计算 2 2 5 4 5 2" xfId="26724" xr:uid="{00000000-0005-0000-0000-000094680000}"/>
    <cellStyle name="计算 2 2 5 4 6" xfId="17272" xr:uid="{00000000-0005-0000-0000-0000A8430000}"/>
    <cellStyle name="计算 2 2 5 5" xfId="27358" xr:uid="{00000000-0005-0000-0000-00000E6B0000}"/>
    <cellStyle name="计算 2 2 5 5 2" xfId="26836" xr:uid="{00000000-0005-0000-0000-000004690000}"/>
    <cellStyle name="计算 2 2 5 5 2 2" xfId="26838" xr:uid="{00000000-0005-0000-0000-000006690000}"/>
    <cellStyle name="计算 2 2 5 5 3" xfId="26847" xr:uid="{00000000-0005-0000-0000-00000F690000}"/>
    <cellStyle name="计算 2 2 5 5 3 2" xfId="26850" xr:uid="{00000000-0005-0000-0000-000012690000}"/>
    <cellStyle name="计算 2 2 5 5 4" xfId="26861" xr:uid="{00000000-0005-0000-0000-00001D690000}"/>
    <cellStyle name="计算 2 2 5 5 4 2" xfId="26863" xr:uid="{00000000-0005-0000-0000-00001F690000}"/>
    <cellStyle name="计算 2 2 5 5 5" xfId="13455" xr:uid="{00000000-0005-0000-0000-0000BF340000}"/>
    <cellStyle name="计算 2 2 5 5 5 2" xfId="13459" xr:uid="{00000000-0005-0000-0000-0000C3340000}"/>
    <cellStyle name="计算 2 2 5 5 6" xfId="13465" xr:uid="{00000000-0005-0000-0000-0000C9340000}"/>
    <cellStyle name="计算 2 2 5 6" xfId="27359" xr:uid="{00000000-0005-0000-0000-00000F6B0000}"/>
    <cellStyle name="计算 2 2 5 6 2" xfId="27361" xr:uid="{00000000-0005-0000-0000-0000116B0000}"/>
    <cellStyle name="计算 2 2 5 6 2 2" xfId="27364" xr:uid="{00000000-0005-0000-0000-0000146B0000}"/>
    <cellStyle name="计算 2 2 5 6 3" xfId="27366" xr:uid="{00000000-0005-0000-0000-0000166B0000}"/>
    <cellStyle name="计算 2 2 5 6 3 2" xfId="27370" xr:uid="{00000000-0005-0000-0000-00001A6B0000}"/>
    <cellStyle name="计算 2 2 5 6 4" xfId="6848" xr:uid="{00000000-0005-0000-0000-0000F01A0000}"/>
    <cellStyle name="计算 2 2 5 6 4 2" xfId="21768" xr:uid="{00000000-0005-0000-0000-000038550000}"/>
    <cellStyle name="计算 2 2 5 6 5" xfId="27372" xr:uid="{00000000-0005-0000-0000-00001C6B0000}"/>
    <cellStyle name="计算 2 2 5 6 5 2" xfId="27375" xr:uid="{00000000-0005-0000-0000-00001F6B0000}"/>
    <cellStyle name="计算 2 2 5 6 6" xfId="27376" xr:uid="{00000000-0005-0000-0000-0000206B0000}"/>
    <cellStyle name="计算 2 2 5 7" xfId="27380" xr:uid="{00000000-0005-0000-0000-0000246B0000}"/>
    <cellStyle name="计算 2 2 5 7 2" xfId="27383" xr:uid="{00000000-0005-0000-0000-0000276B0000}"/>
    <cellStyle name="计算 2 2 5 7 2 2" xfId="27387" xr:uid="{00000000-0005-0000-0000-00002B6B0000}"/>
    <cellStyle name="计算 2 2 5 7 3" xfId="27390" xr:uid="{00000000-0005-0000-0000-00002E6B0000}"/>
    <cellStyle name="计算 2 2 5 7 3 2" xfId="27394" xr:uid="{00000000-0005-0000-0000-0000326B0000}"/>
    <cellStyle name="计算 2 2 5 7 4" xfId="6865" xr:uid="{00000000-0005-0000-0000-0000011B0000}"/>
    <cellStyle name="计算 2 2 5 7 4 2" xfId="22374" xr:uid="{00000000-0005-0000-0000-000096570000}"/>
    <cellStyle name="计算 2 2 5 7 5" xfId="27396" xr:uid="{00000000-0005-0000-0000-0000346B0000}"/>
    <cellStyle name="计算 2 2 5 7 5 2" xfId="27402" xr:uid="{00000000-0005-0000-0000-00003A6B0000}"/>
    <cellStyle name="计算 2 2 5 7 6" xfId="2290" xr:uid="{00000000-0005-0000-0000-000022090000}"/>
    <cellStyle name="计算 2 2 5 8" xfId="27403" xr:uid="{00000000-0005-0000-0000-00003B6B0000}"/>
    <cellStyle name="计算 2 2 5 8 2" xfId="27405" xr:uid="{00000000-0005-0000-0000-00003D6B0000}"/>
    <cellStyle name="计算 2 2 5 8 2 2" xfId="27408" xr:uid="{00000000-0005-0000-0000-0000406B0000}"/>
    <cellStyle name="计算 2 2 5 8 3" xfId="27412" xr:uid="{00000000-0005-0000-0000-0000446B0000}"/>
    <cellStyle name="计算 2 2 5 8 3 2" xfId="27414" xr:uid="{00000000-0005-0000-0000-0000466B0000}"/>
    <cellStyle name="计算 2 2 5 8 4" xfId="6869" xr:uid="{00000000-0005-0000-0000-0000051B0000}"/>
    <cellStyle name="计算 2 2 5 8 4 2" xfId="27416" xr:uid="{00000000-0005-0000-0000-0000486B0000}"/>
    <cellStyle name="计算 2 2 5 8 5" xfId="27418" xr:uid="{00000000-0005-0000-0000-00004A6B0000}"/>
    <cellStyle name="计算 2 2 5 9" xfId="17015" xr:uid="{00000000-0005-0000-0000-0000A7420000}"/>
    <cellStyle name="计算 2 2 5 9 2" xfId="17019" xr:uid="{00000000-0005-0000-0000-0000AB420000}"/>
    <cellStyle name="计算 2 2 6" xfId="11706" xr:uid="{00000000-0005-0000-0000-0000EA2D0000}"/>
    <cellStyle name="计算 2 2 6 10" xfId="27423" xr:uid="{00000000-0005-0000-0000-00004F6B0000}"/>
    <cellStyle name="计算 2 2 6 10 2" xfId="27424" xr:uid="{00000000-0005-0000-0000-0000506B0000}"/>
    <cellStyle name="计算 2 2 6 11" xfId="27425" xr:uid="{00000000-0005-0000-0000-0000516B0000}"/>
    <cellStyle name="计算 2 2 6 11 2" xfId="27427" xr:uid="{00000000-0005-0000-0000-0000536B0000}"/>
    <cellStyle name="计算 2 2 6 12" xfId="27428" xr:uid="{00000000-0005-0000-0000-0000546B0000}"/>
    <cellStyle name="计算 2 2 6 12 2" xfId="27429" xr:uid="{00000000-0005-0000-0000-0000556B0000}"/>
    <cellStyle name="计算 2 2 6 13" xfId="27431" xr:uid="{00000000-0005-0000-0000-0000576B0000}"/>
    <cellStyle name="计算 2 2 6 14" xfId="27433" xr:uid="{00000000-0005-0000-0000-0000596B0000}"/>
    <cellStyle name="计算 2 2 6 15" xfId="2513" xr:uid="{00000000-0005-0000-0000-0000010A0000}"/>
    <cellStyle name="计算 2 2 6 16" xfId="3559" xr:uid="{00000000-0005-0000-0000-0000170E0000}"/>
    <cellStyle name="计算 2 2 6 2" xfId="2314" xr:uid="{00000000-0005-0000-0000-00003A090000}"/>
    <cellStyle name="计算 2 2 6 2 2" xfId="9274" xr:uid="{00000000-0005-0000-0000-00006A240000}"/>
    <cellStyle name="计算 2 2 6 2 2 2" xfId="23472" xr:uid="{00000000-0005-0000-0000-0000E05B0000}"/>
    <cellStyle name="计算 2 2 6 2 3" xfId="27435" xr:uid="{00000000-0005-0000-0000-00005B6B0000}"/>
    <cellStyle name="计算 2 2 6 2 3 2" xfId="23525" xr:uid="{00000000-0005-0000-0000-0000155C0000}"/>
    <cellStyle name="计算 2 2 6 2 4" xfId="914" xr:uid="{00000000-0005-0000-0000-0000C2030000}"/>
    <cellStyle name="计算 2 2 6 2 4 2" xfId="23574" xr:uid="{00000000-0005-0000-0000-0000465C0000}"/>
    <cellStyle name="计算 2 2 6 2 5" xfId="27436" xr:uid="{00000000-0005-0000-0000-00005C6B0000}"/>
    <cellStyle name="计算 2 2 6 2 5 2" xfId="27438" xr:uid="{00000000-0005-0000-0000-00005E6B0000}"/>
    <cellStyle name="计算 2 2 6 2 6" xfId="9400" xr:uid="{00000000-0005-0000-0000-0000E8240000}"/>
    <cellStyle name="计算 2 2 6 2 7" xfId="27440" xr:uid="{00000000-0005-0000-0000-0000606B0000}"/>
    <cellStyle name="计算 2 2 6 2 8" xfId="27442" xr:uid="{00000000-0005-0000-0000-0000626B0000}"/>
    <cellStyle name="计算 2 2 6 2 9" xfId="27444" xr:uid="{00000000-0005-0000-0000-0000646B0000}"/>
    <cellStyle name="计算 2 2 6 3" xfId="3602" xr:uid="{00000000-0005-0000-0000-0000420E0000}"/>
    <cellStyle name="计算 2 2 6 3 2" xfId="26930" xr:uid="{00000000-0005-0000-0000-000062690000}"/>
    <cellStyle name="计算 2 2 6 3 2 2" xfId="27445" xr:uid="{00000000-0005-0000-0000-0000656B0000}"/>
    <cellStyle name="计算 2 2 6 3 3" xfId="27446" xr:uid="{00000000-0005-0000-0000-0000666B0000}"/>
    <cellStyle name="计算 2 2 6 3 3 2" xfId="27447" xr:uid="{00000000-0005-0000-0000-0000676B0000}"/>
    <cellStyle name="计算 2 2 6 3 4" xfId="1323" xr:uid="{00000000-0005-0000-0000-00005B050000}"/>
    <cellStyle name="计算 2 2 6 3 4 2" xfId="27448" xr:uid="{00000000-0005-0000-0000-0000686B0000}"/>
    <cellStyle name="计算 2 2 6 3 5" xfId="27449" xr:uid="{00000000-0005-0000-0000-0000696B0000}"/>
    <cellStyle name="计算 2 2 6 3 5 2" xfId="27450" xr:uid="{00000000-0005-0000-0000-00006A6B0000}"/>
    <cellStyle name="计算 2 2 6 3 6" xfId="1352" xr:uid="{00000000-0005-0000-0000-000078050000}"/>
    <cellStyle name="计算 2 2 6 4" xfId="27451" xr:uid="{00000000-0005-0000-0000-00006B6B0000}"/>
    <cellStyle name="计算 2 2 6 4 2" xfId="27452" xr:uid="{00000000-0005-0000-0000-00006C6B0000}"/>
    <cellStyle name="计算 2 2 6 4 2 2" xfId="27454" xr:uid="{00000000-0005-0000-0000-00006E6B0000}"/>
    <cellStyle name="计算 2 2 6 4 3" xfId="27455" xr:uid="{00000000-0005-0000-0000-00006F6B0000}"/>
    <cellStyle name="计算 2 2 6 4 3 2" xfId="27457" xr:uid="{00000000-0005-0000-0000-0000716B0000}"/>
    <cellStyle name="计算 2 2 6 4 4" xfId="27459" xr:uid="{00000000-0005-0000-0000-0000736B0000}"/>
    <cellStyle name="计算 2 2 6 4 4 2" xfId="27460" xr:uid="{00000000-0005-0000-0000-0000746B0000}"/>
    <cellStyle name="计算 2 2 6 4 5" xfId="27461" xr:uid="{00000000-0005-0000-0000-0000756B0000}"/>
    <cellStyle name="计算 2 2 6 4 5 2" xfId="27462" xr:uid="{00000000-0005-0000-0000-0000766B0000}"/>
    <cellStyle name="计算 2 2 6 4 6" xfId="3638" xr:uid="{00000000-0005-0000-0000-0000660E0000}"/>
    <cellStyle name="计算 2 2 6 5" xfId="27463" xr:uid="{00000000-0005-0000-0000-0000776B0000}"/>
    <cellStyle name="计算 2 2 6 5 2" xfId="27464" xr:uid="{00000000-0005-0000-0000-0000786B0000}"/>
    <cellStyle name="计算 2 2 6 5 2 2" xfId="27466" xr:uid="{00000000-0005-0000-0000-00007A6B0000}"/>
    <cellStyle name="计算 2 2 6 5 3" xfId="27468" xr:uid="{00000000-0005-0000-0000-00007C6B0000}"/>
    <cellStyle name="计算 2 2 6 5 3 2" xfId="27470" xr:uid="{00000000-0005-0000-0000-00007E6B0000}"/>
    <cellStyle name="计算 2 2 6 5 4" xfId="27472" xr:uid="{00000000-0005-0000-0000-0000806B0000}"/>
    <cellStyle name="计算 2 2 6 5 4 2" xfId="27473" xr:uid="{00000000-0005-0000-0000-0000816B0000}"/>
    <cellStyle name="计算 2 2 6 5 5" xfId="27474" xr:uid="{00000000-0005-0000-0000-0000826B0000}"/>
    <cellStyle name="计算 2 2 6 5 5 2" xfId="27475" xr:uid="{00000000-0005-0000-0000-0000836B0000}"/>
    <cellStyle name="计算 2 2 6 5 6" xfId="3689" xr:uid="{00000000-0005-0000-0000-0000990E0000}"/>
    <cellStyle name="计算 2 2 6 6" xfId="27476" xr:uid="{00000000-0005-0000-0000-0000846B0000}"/>
    <cellStyle name="计算 2 2 6 6 2" xfId="27477" xr:uid="{00000000-0005-0000-0000-0000856B0000}"/>
    <cellStyle name="计算 2 2 6 6 2 2" xfId="27478" xr:uid="{00000000-0005-0000-0000-0000866B0000}"/>
    <cellStyle name="计算 2 2 6 6 3" xfId="27481" xr:uid="{00000000-0005-0000-0000-0000896B0000}"/>
    <cellStyle name="计算 2 2 6 6 3 2" xfId="27483" xr:uid="{00000000-0005-0000-0000-00008B6B0000}"/>
    <cellStyle name="计算 2 2 6 6 4" xfId="1481" xr:uid="{00000000-0005-0000-0000-0000F9050000}"/>
    <cellStyle name="计算 2 2 6 6 4 2" xfId="27484" xr:uid="{00000000-0005-0000-0000-00008C6B0000}"/>
    <cellStyle name="计算 2 2 6 6 5" xfId="27485" xr:uid="{00000000-0005-0000-0000-00008D6B0000}"/>
    <cellStyle name="计算 2 2 6 6 5 2" xfId="27486" xr:uid="{00000000-0005-0000-0000-00008E6B0000}"/>
    <cellStyle name="计算 2 2 6 6 6" xfId="27487" xr:uid="{00000000-0005-0000-0000-00008F6B0000}"/>
    <cellStyle name="计算 2 2 6 7" xfId="27491" xr:uid="{00000000-0005-0000-0000-0000936B0000}"/>
    <cellStyle name="计算 2 2 6 7 2" xfId="27493" xr:uid="{00000000-0005-0000-0000-0000956B0000}"/>
    <cellStyle name="计算 2 2 6 7 2 2" xfId="27494" xr:uid="{00000000-0005-0000-0000-0000966B0000}"/>
    <cellStyle name="计算 2 2 6 7 3" xfId="27495" xr:uid="{00000000-0005-0000-0000-0000976B0000}"/>
    <cellStyle name="计算 2 2 6 7 3 2" xfId="27497" xr:uid="{00000000-0005-0000-0000-0000996B0000}"/>
    <cellStyle name="计算 2 2 6 7 4" xfId="2484" xr:uid="{00000000-0005-0000-0000-0000E4090000}"/>
    <cellStyle name="计算 2 2 6 7 4 2" xfId="27498" xr:uid="{00000000-0005-0000-0000-00009A6B0000}"/>
    <cellStyle name="计算 2 2 6 7 5" xfId="27502" xr:uid="{00000000-0005-0000-0000-00009E6B0000}"/>
    <cellStyle name="计算 2 2 6 7 5 2" xfId="27504" xr:uid="{00000000-0005-0000-0000-0000A06B0000}"/>
    <cellStyle name="计算 2 2 6 7 6" xfId="3797" xr:uid="{00000000-0005-0000-0000-0000050F0000}"/>
    <cellStyle name="计算 2 2 6 8" xfId="27505" xr:uid="{00000000-0005-0000-0000-0000A16B0000}"/>
    <cellStyle name="计算 2 2 6 8 2" xfId="27506" xr:uid="{00000000-0005-0000-0000-0000A26B0000}"/>
    <cellStyle name="计算 2 2 6 8 2 2" xfId="27507" xr:uid="{00000000-0005-0000-0000-0000A36B0000}"/>
    <cellStyle name="计算 2 2 6 8 3" xfId="27509" xr:uid="{00000000-0005-0000-0000-0000A56B0000}"/>
    <cellStyle name="计算 2 2 6 8 3 2" xfId="27511" xr:uid="{00000000-0005-0000-0000-0000A76B0000}"/>
    <cellStyle name="计算 2 2 6 8 4" xfId="2075" xr:uid="{00000000-0005-0000-0000-00004B080000}"/>
    <cellStyle name="计算 2 2 6 8 4 2" xfId="27512" xr:uid="{00000000-0005-0000-0000-0000A86B0000}"/>
    <cellStyle name="计算 2 2 6 8 5" xfId="27516" xr:uid="{00000000-0005-0000-0000-0000AC6B0000}"/>
    <cellStyle name="计算 2 2 6 9" xfId="3888" xr:uid="{00000000-0005-0000-0000-0000600F0000}"/>
    <cellStyle name="计算 2 2 6 9 2" xfId="27517" xr:uid="{00000000-0005-0000-0000-0000AD6B0000}"/>
    <cellStyle name="计算 2 2 7" xfId="13715" xr:uid="{00000000-0005-0000-0000-0000C3350000}"/>
    <cellStyle name="计算 2 2 7 10" xfId="19752" xr:uid="{00000000-0005-0000-0000-0000584D0000}"/>
    <cellStyle name="计算 2 2 7 10 2" xfId="27518" xr:uid="{00000000-0005-0000-0000-0000AE6B0000}"/>
    <cellStyle name="计算 2 2 7 11" xfId="27519" xr:uid="{00000000-0005-0000-0000-0000AF6B0000}"/>
    <cellStyle name="计算 2 2 7 11 2" xfId="27520" xr:uid="{00000000-0005-0000-0000-0000B06B0000}"/>
    <cellStyle name="计算 2 2 7 12" xfId="27521" xr:uid="{00000000-0005-0000-0000-0000B16B0000}"/>
    <cellStyle name="计算 2 2 7 12 2" xfId="27522" xr:uid="{00000000-0005-0000-0000-0000B26B0000}"/>
    <cellStyle name="计算 2 2 7 13" xfId="27523" xr:uid="{00000000-0005-0000-0000-0000B36B0000}"/>
    <cellStyle name="计算 2 2 7 14" xfId="27524" xr:uid="{00000000-0005-0000-0000-0000B46B0000}"/>
    <cellStyle name="计算 2 2 7 15" xfId="3958" xr:uid="{00000000-0005-0000-0000-0000A60F0000}"/>
    <cellStyle name="计算 2 2 7 16" xfId="27526" xr:uid="{00000000-0005-0000-0000-0000B66B0000}"/>
    <cellStyle name="计算 2 2 7 2" xfId="9292" xr:uid="{00000000-0005-0000-0000-00007C240000}"/>
    <cellStyle name="计算 2 2 7 2 2" xfId="9300" xr:uid="{00000000-0005-0000-0000-000084240000}"/>
    <cellStyle name="计算 2 2 7 2 2 2" xfId="7157" xr:uid="{00000000-0005-0000-0000-0000251C0000}"/>
    <cellStyle name="计算 2 2 7 2 3" xfId="27528" xr:uid="{00000000-0005-0000-0000-0000B86B0000}"/>
    <cellStyle name="计算 2 2 7 2 3 2" xfId="27529" xr:uid="{00000000-0005-0000-0000-0000B96B0000}"/>
    <cellStyle name="计算 2 2 7 2 4" xfId="15896" xr:uid="{00000000-0005-0000-0000-0000483E0000}"/>
    <cellStyle name="计算 2 2 7 2 4 2" xfId="27530" xr:uid="{00000000-0005-0000-0000-0000BA6B0000}"/>
    <cellStyle name="计算 2 2 7 2 5" xfId="27531" xr:uid="{00000000-0005-0000-0000-0000BB6B0000}"/>
    <cellStyle name="计算 2 2 7 2 5 2" xfId="27532" xr:uid="{00000000-0005-0000-0000-0000BC6B0000}"/>
    <cellStyle name="计算 2 2 7 2 6" xfId="13872" xr:uid="{00000000-0005-0000-0000-000060360000}"/>
    <cellStyle name="计算 2 2 7 2 7" xfId="27535" xr:uid="{00000000-0005-0000-0000-0000BF6B0000}"/>
    <cellStyle name="计算 2 2 7 2 8" xfId="27536" xr:uid="{00000000-0005-0000-0000-0000C06B0000}"/>
    <cellStyle name="计算 2 2 7 2 9" xfId="27537" xr:uid="{00000000-0005-0000-0000-0000C16B0000}"/>
    <cellStyle name="计算 2 2 7 3" xfId="4018" xr:uid="{00000000-0005-0000-0000-0000E20F0000}"/>
    <cellStyle name="计算 2 2 7 3 2" xfId="27538" xr:uid="{00000000-0005-0000-0000-0000C26B0000}"/>
    <cellStyle name="计算 2 2 7 3 2 2" xfId="4034" xr:uid="{00000000-0005-0000-0000-0000F20F0000}"/>
    <cellStyle name="计算 2 2 7 3 3" xfId="27539" xr:uid="{00000000-0005-0000-0000-0000C36B0000}"/>
    <cellStyle name="计算 2 2 7 3 3 2" xfId="27259" xr:uid="{00000000-0005-0000-0000-0000AB6A0000}"/>
    <cellStyle name="计算 2 2 7 3 4" xfId="4073" xr:uid="{00000000-0005-0000-0000-000019100000}"/>
    <cellStyle name="计算 2 2 7 3 4 2" xfId="27541" xr:uid="{00000000-0005-0000-0000-0000C56B0000}"/>
    <cellStyle name="计算 2 2 7 3 5" xfId="27542" xr:uid="{00000000-0005-0000-0000-0000C66B0000}"/>
    <cellStyle name="计算 2 2 7 3 5 2" xfId="27544" xr:uid="{00000000-0005-0000-0000-0000C86B0000}"/>
    <cellStyle name="计算 2 2 7 3 6" xfId="4126" xr:uid="{00000000-0005-0000-0000-00004E100000}"/>
    <cellStyle name="计算 2 2 7 4" xfId="4147" xr:uid="{00000000-0005-0000-0000-000063100000}"/>
    <cellStyle name="计算 2 2 7 4 2" xfId="27545" xr:uid="{00000000-0005-0000-0000-0000C96B0000}"/>
    <cellStyle name="计算 2 2 7 4 2 2" xfId="27290" xr:uid="{00000000-0005-0000-0000-0000CA6A0000}"/>
    <cellStyle name="计算 2 2 7 4 3" xfId="27546" xr:uid="{00000000-0005-0000-0000-0000CA6B0000}"/>
    <cellStyle name="计算 2 2 7 4 3 2" xfId="27300" xr:uid="{00000000-0005-0000-0000-0000D46A0000}"/>
    <cellStyle name="计算 2 2 7 4 4" xfId="27548" xr:uid="{00000000-0005-0000-0000-0000CC6B0000}"/>
    <cellStyle name="计算 2 2 7 4 4 2" xfId="27549" xr:uid="{00000000-0005-0000-0000-0000CD6B0000}"/>
    <cellStyle name="计算 2 2 7 4 5" xfId="27550" xr:uid="{00000000-0005-0000-0000-0000CE6B0000}"/>
    <cellStyle name="计算 2 2 7 4 5 2" xfId="27551" xr:uid="{00000000-0005-0000-0000-0000CF6B0000}"/>
    <cellStyle name="计算 2 2 7 4 6" xfId="4229" xr:uid="{00000000-0005-0000-0000-0000B5100000}"/>
    <cellStyle name="计算 2 2 7 5" xfId="27552" xr:uid="{00000000-0005-0000-0000-0000D06B0000}"/>
    <cellStyle name="计算 2 2 7 5 2" xfId="27553" xr:uid="{00000000-0005-0000-0000-0000D16B0000}"/>
    <cellStyle name="计算 2 2 7 5 2 2" xfId="27320" xr:uid="{00000000-0005-0000-0000-0000E86A0000}"/>
    <cellStyle name="计算 2 2 7 5 3" xfId="27554" xr:uid="{00000000-0005-0000-0000-0000D26B0000}"/>
    <cellStyle name="计算 2 2 7 5 3 2" xfId="27323" xr:uid="{00000000-0005-0000-0000-0000EB6A0000}"/>
    <cellStyle name="计算 2 2 7 5 4" xfId="27557" xr:uid="{00000000-0005-0000-0000-0000D56B0000}"/>
    <cellStyle name="计算 2 2 7 5 4 2" xfId="27558" xr:uid="{00000000-0005-0000-0000-0000D66B0000}"/>
    <cellStyle name="计算 2 2 7 5 5" xfId="27559" xr:uid="{00000000-0005-0000-0000-0000D76B0000}"/>
    <cellStyle name="计算 2 2 7 5 5 2" xfId="880" xr:uid="{00000000-0005-0000-0000-0000A0030000}"/>
    <cellStyle name="计算 2 2 7 5 6" xfId="3585" xr:uid="{00000000-0005-0000-0000-0000310E0000}"/>
    <cellStyle name="计算 2 2 7 6" xfId="27560" xr:uid="{00000000-0005-0000-0000-0000D86B0000}"/>
    <cellStyle name="计算 2 2 7 6 2" xfId="27561" xr:uid="{00000000-0005-0000-0000-0000D96B0000}"/>
    <cellStyle name="计算 2 2 7 6 2 2" xfId="27399" xr:uid="{00000000-0005-0000-0000-0000376B0000}"/>
    <cellStyle name="计算 2 2 7 6 3" xfId="27562" xr:uid="{00000000-0005-0000-0000-0000DA6B0000}"/>
    <cellStyle name="计算 2 2 7 6 3 2" xfId="27422" xr:uid="{00000000-0005-0000-0000-00004E6B0000}"/>
    <cellStyle name="计算 2 2 7 6 4" xfId="1923" xr:uid="{00000000-0005-0000-0000-0000B3070000}"/>
    <cellStyle name="计算 2 2 7 6 4 2" xfId="27564" xr:uid="{00000000-0005-0000-0000-0000DC6B0000}"/>
    <cellStyle name="计算 2 2 7 6 5" xfId="27565" xr:uid="{00000000-0005-0000-0000-0000DD6B0000}"/>
    <cellStyle name="计算 2 2 7 6 5 2" xfId="4269" xr:uid="{00000000-0005-0000-0000-0000DD100000}"/>
    <cellStyle name="计算 2 2 7 6 6" xfId="27566" xr:uid="{00000000-0005-0000-0000-0000DE6B0000}"/>
    <cellStyle name="计算 2 2 7 7" xfId="27570" xr:uid="{00000000-0005-0000-0000-0000E26B0000}"/>
    <cellStyle name="计算 2 2 7 7 2" xfId="27573" xr:uid="{00000000-0005-0000-0000-0000E56B0000}"/>
    <cellStyle name="计算 2 2 7 7 2 2" xfId="27501" xr:uid="{00000000-0005-0000-0000-00009D6B0000}"/>
    <cellStyle name="计算 2 2 7 7 3" xfId="27575" xr:uid="{00000000-0005-0000-0000-0000E76B0000}"/>
    <cellStyle name="计算 2 2 7 7 3 2" xfId="27515" xr:uid="{00000000-0005-0000-0000-0000AB6B0000}"/>
    <cellStyle name="计算 2 2 7 7 4" xfId="2544" xr:uid="{00000000-0005-0000-0000-0000200A0000}"/>
    <cellStyle name="计算 2 2 7 7 4 2" xfId="27578" xr:uid="{00000000-0005-0000-0000-0000EA6B0000}"/>
    <cellStyle name="计算 2 2 7 7 5" xfId="27583" xr:uid="{00000000-0005-0000-0000-0000EF6B0000}"/>
    <cellStyle name="计算 2 2 7 7 5 2" xfId="27585" xr:uid="{00000000-0005-0000-0000-0000F16B0000}"/>
    <cellStyle name="计算 2 2 7 7 6" xfId="4311" xr:uid="{00000000-0005-0000-0000-000007110000}"/>
    <cellStyle name="计算 2 2 7 8" xfId="27586" xr:uid="{00000000-0005-0000-0000-0000F26B0000}"/>
    <cellStyle name="计算 2 2 7 8 2" xfId="27588" xr:uid="{00000000-0005-0000-0000-0000F46B0000}"/>
    <cellStyle name="计算 2 2 7 8 2 2" xfId="27581" xr:uid="{00000000-0005-0000-0000-0000ED6B0000}"/>
    <cellStyle name="计算 2 2 7 8 3" xfId="27590" xr:uid="{00000000-0005-0000-0000-0000F66B0000}"/>
    <cellStyle name="计算 2 2 7 8 3 2" xfId="27596" xr:uid="{00000000-0005-0000-0000-0000FC6B0000}"/>
    <cellStyle name="计算 2 2 7 8 4" xfId="4323" xr:uid="{00000000-0005-0000-0000-000013110000}"/>
    <cellStyle name="计算 2 2 7 8 4 2" xfId="27599" xr:uid="{00000000-0005-0000-0000-0000FF6B0000}"/>
    <cellStyle name="计算 2 2 7 8 5" xfId="27593" xr:uid="{00000000-0005-0000-0000-0000F96B0000}"/>
    <cellStyle name="计算 2 2 7 9" xfId="27600" xr:uid="{00000000-0005-0000-0000-0000006C0000}"/>
    <cellStyle name="计算 2 2 7 9 2" xfId="27602" xr:uid="{00000000-0005-0000-0000-0000026C0000}"/>
    <cellStyle name="计算 2 2 8" xfId="27603" xr:uid="{00000000-0005-0000-0000-0000036C0000}"/>
    <cellStyle name="计算 2 2 8 10" xfId="3290" xr:uid="{00000000-0005-0000-0000-00000A0D0000}"/>
    <cellStyle name="计算 2 2 8 10 2" xfId="171" xr:uid="{00000000-0005-0000-0000-0000B9000000}"/>
    <cellStyle name="计算 2 2 8 11" xfId="3299" xr:uid="{00000000-0005-0000-0000-0000130D0000}"/>
    <cellStyle name="计算 2 2 8 11 2" xfId="13036" xr:uid="{00000000-0005-0000-0000-00001C330000}"/>
    <cellStyle name="计算 2 2 8 12" xfId="3312" xr:uid="{00000000-0005-0000-0000-0000200D0000}"/>
    <cellStyle name="计算 2 2 8 12 2" xfId="23347" xr:uid="{00000000-0005-0000-0000-0000635B0000}"/>
    <cellStyle name="计算 2 2 8 13" xfId="21247" xr:uid="{00000000-0005-0000-0000-00002F530000}"/>
    <cellStyle name="计算 2 2 8 14" xfId="833" xr:uid="{00000000-0005-0000-0000-000071030000}"/>
    <cellStyle name="计算 2 2 8 15" xfId="4368" xr:uid="{00000000-0005-0000-0000-000040110000}"/>
    <cellStyle name="计算 2 2 8 16" xfId="2708" xr:uid="{00000000-0005-0000-0000-0000C40A0000}"/>
    <cellStyle name="计算 2 2 8 2" xfId="9315" xr:uid="{00000000-0005-0000-0000-000093240000}"/>
    <cellStyle name="计算 2 2 8 2 2" xfId="9319" xr:uid="{00000000-0005-0000-0000-000097240000}"/>
    <cellStyle name="计算 2 2 8 2 2 2" xfId="15203" xr:uid="{00000000-0005-0000-0000-0000933B0000}"/>
    <cellStyle name="计算 2 2 8 2 3" xfId="27605" xr:uid="{00000000-0005-0000-0000-0000056C0000}"/>
    <cellStyle name="计算 2 2 8 2 3 2" xfId="27606" xr:uid="{00000000-0005-0000-0000-0000066C0000}"/>
    <cellStyle name="计算 2 2 8 2 4" xfId="16618" xr:uid="{00000000-0005-0000-0000-00001A410000}"/>
    <cellStyle name="计算 2 2 8 2 4 2" xfId="27607" xr:uid="{00000000-0005-0000-0000-0000076C0000}"/>
    <cellStyle name="计算 2 2 8 2 5" xfId="27608" xr:uid="{00000000-0005-0000-0000-0000086C0000}"/>
    <cellStyle name="计算 2 2 8 2 5 2" xfId="27609" xr:uid="{00000000-0005-0000-0000-0000096C0000}"/>
    <cellStyle name="计算 2 2 8 2 6" xfId="13888" xr:uid="{00000000-0005-0000-0000-000070360000}"/>
    <cellStyle name="计算 2 2 8 2 7" xfId="744" xr:uid="{00000000-0005-0000-0000-000018030000}"/>
    <cellStyle name="计算 2 2 8 2 8" xfId="27611" xr:uid="{00000000-0005-0000-0000-00000B6C0000}"/>
    <cellStyle name="计算 2 2 8 2 9" xfId="27612" xr:uid="{00000000-0005-0000-0000-00000C6C0000}"/>
    <cellStyle name="计算 2 2 8 3" xfId="4424" xr:uid="{00000000-0005-0000-0000-000078110000}"/>
    <cellStyle name="计算 2 2 8 3 2" xfId="27613" xr:uid="{00000000-0005-0000-0000-00000D6C0000}"/>
    <cellStyle name="计算 2 2 8 3 2 2" xfId="4442" xr:uid="{00000000-0005-0000-0000-00008A110000}"/>
    <cellStyle name="计算 2 2 8 3 3" xfId="27614" xr:uid="{00000000-0005-0000-0000-00000E6C0000}"/>
    <cellStyle name="计算 2 2 8 3 3 2" xfId="27616" xr:uid="{00000000-0005-0000-0000-0000106C0000}"/>
    <cellStyle name="计算 2 2 8 3 4" xfId="4460" xr:uid="{00000000-0005-0000-0000-00009C110000}"/>
    <cellStyle name="计算 2 2 8 3 4 2" xfId="27618" xr:uid="{00000000-0005-0000-0000-0000126C0000}"/>
    <cellStyle name="计算 2 2 8 3 5" xfId="27619" xr:uid="{00000000-0005-0000-0000-0000136C0000}"/>
    <cellStyle name="计算 2 2 8 3 5 2" xfId="27621" xr:uid="{00000000-0005-0000-0000-0000156C0000}"/>
    <cellStyle name="计算 2 2 8 3 6" xfId="4477" xr:uid="{00000000-0005-0000-0000-0000AD110000}"/>
    <cellStyle name="计算 2 2 8 4" xfId="4505" xr:uid="{00000000-0005-0000-0000-0000C9110000}"/>
    <cellStyle name="计算 2 2 8 4 2" xfId="27622" xr:uid="{00000000-0005-0000-0000-0000166C0000}"/>
    <cellStyle name="计算 2 2 8 4 2 2" xfId="27624" xr:uid="{00000000-0005-0000-0000-0000186C0000}"/>
    <cellStyle name="计算 2 2 8 4 3" xfId="27625" xr:uid="{00000000-0005-0000-0000-0000196C0000}"/>
    <cellStyle name="计算 2 2 8 4 3 2" xfId="27627" xr:uid="{00000000-0005-0000-0000-00001B6C0000}"/>
    <cellStyle name="计算 2 2 8 4 4" xfId="27629" xr:uid="{00000000-0005-0000-0000-00001D6C0000}"/>
    <cellStyle name="计算 2 2 8 4 4 2" xfId="27630" xr:uid="{00000000-0005-0000-0000-00001E6C0000}"/>
    <cellStyle name="计算 2 2 8 4 5" xfId="27631" xr:uid="{00000000-0005-0000-0000-00001F6C0000}"/>
    <cellStyle name="计算 2 2 8 4 5 2" xfId="27632" xr:uid="{00000000-0005-0000-0000-0000206C0000}"/>
    <cellStyle name="计算 2 2 8 4 6" xfId="4533" xr:uid="{00000000-0005-0000-0000-0000E5110000}"/>
    <cellStyle name="计算 2 2 8 5" xfId="27633" xr:uid="{00000000-0005-0000-0000-0000216C0000}"/>
    <cellStyle name="计算 2 2 8 5 2" xfId="22002" xr:uid="{00000000-0005-0000-0000-000022560000}"/>
    <cellStyle name="计算 2 2 8 5 2 2" xfId="27636" xr:uid="{00000000-0005-0000-0000-0000246C0000}"/>
    <cellStyle name="计算 2 2 8 5 3" xfId="27637" xr:uid="{00000000-0005-0000-0000-0000256C0000}"/>
    <cellStyle name="计算 2 2 8 5 3 2" xfId="27641" xr:uid="{00000000-0005-0000-0000-0000296C0000}"/>
    <cellStyle name="计算 2 2 8 5 4" xfId="27643" xr:uid="{00000000-0005-0000-0000-00002B6C0000}"/>
    <cellStyle name="计算 2 2 8 5 4 2" xfId="27644" xr:uid="{00000000-0005-0000-0000-00002C6C0000}"/>
    <cellStyle name="计算 2 2 8 5 5" xfId="27645" xr:uid="{00000000-0005-0000-0000-00002D6C0000}"/>
    <cellStyle name="计算 2 2 8 5 5 2" xfId="20707" xr:uid="{00000000-0005-0000-0000-000013510000}"/>
    <cellStyle name="计算 2 2 8 5 6" xfId="509" xr:uid="{00000000-0005-0000-0000-00002B020000}"/>
    <cellStyle name="计算 2 2 8 6" xfId="27646" xr:uid="{00000000-0005-0000-0000-00002E6C0000}"/>
    <cellStyle name="计算 2 2 8 6 2" xfId="27649" xr:uid="{00000000-0005-0000-0000-0000316C0000}"/>
    <cellStyle name="计算 2 2 8 6 2 2" xfId="27654" xr:uid="{00000000-0005-0000-0000-0000366C0000}"/>
    <cellStyle name="计算 2 2 8 6 3" xfId="27656" xr:uid="{00000000-0005-0000-0000-0000386C0000}"/>
    <cellStyle name="计算 2 2 8 6 3 2" xfId="27660" xr:uid="{00000000-0005-0000-0000-00003C6C0000}"/>
    <cellStyle name="计算 2 2 8 6 4" xfId="2604" xr:uid="{00000000-0005-0000-0000-00005C0A0000}"/>
    <cellStyle name="计算 2 2 8 6 4 2" xfId="27661" xr:uid="{00000000-0005-0000-0000-00003D6C0000}"/>
    <cellStyle name="计算 2 2 8 6 5" xfId="27663" xr:uid="{00000000-0005-0000-0000-00003F6C0000}"/>
    <cellStyle name="计算 2 2 8 6 5 2" xfId="21189" xr:uid="{00000000-0005-0000-0000-0000F5520000}"/>
    <cellStyle name="计算 2 2 8 6 6" xfId="27665" xr:uid="{00000000-0005-0000-0000-0000416C0000}"/>
    <cellStyle name="计算 2 2 8 7" xfId="2506" xr:uid="{00000000-0005-0000-0000-0000FA090000}"/>
    <cellStyle name="计算 2 2 8 7 2" xfId="27668" xr:uid="{00000000-0005-0000-0000-0000446C0000}"/>
    <cellStyle name="计算 2 2 8 7 2 2" xfId="27673" xr:uid="{00000000-0005-0000-0000-0000496C0000}"/>
    <cellStyle name="计算 2 2 8 7 3" xfId="27676" xr:uid="{00000000-0005-0000-0000-00004C6C0000}"/>
    <cellStyle name="计算 2 2 8 7 3 2" xfId="27680" xr:uid="{00000000-0005-0000-0000-0000506C0000}"/>
    <cellStyle name="计算 2 2 8 7 4" xfId="2636" xr:uid="{00000000-0005-0000-0000-00007C0A0000}"/>
    <cellStyle name="计算 2 2 8 7 4 2" xfId="27684" xr:uid="{00000000-0005-0000-0000-0000546C0000}"/>
    <cellStyle name="计算 2 2 8 7 5" xfId="27686" xr:uid="{00000000-0005-0000-0000-0000566C0000}"/>
    <cellStyle name="计算 2 2 8 7 5 2" xfId="27688" xr:uid="{00000000-0005-0000-0000-0000586C0000}"/>
    <cellStyle name="计算 2 2 8 7 6" xfId="27690" xr:uid="{00000000-0005-0000-0000-00005A6C0000}"/>
    <cellStyle name="计算 2 2 8 8" xfId="27691" xr:uid="{00000000-0005-0000-0000-00005B6C0000}"/>
    <cellStyle name="计算 2 2 8 8 2" xfId="27695" xr:uid="{00000000-0005-0000-0000-00005F6C0000}"/>
    <cellStyle name="计算 2 2 8 8 2 2" xfId="27700" xr:uid="{00000000-0005-0000-0000-0000646C0000}"/>
    <cellStyle name="计算 2 2 8 8 3" xfId="27703" xr:uid="{00000000-0005-0000-0000-0000676C0000}"/>
    <cellStyle name="计算 2 2 8 8 3 2" xfId="27707" xr:uid="{00000000-0005-0000-0000-00006B6C0000}"/>
    <cellStyle name="计算 2 2 8 8 4" xfId="4649" xr:uid="{00000000-0005-0000-0000-000059120000}"/>
    <cellStyle name="计算 2 2 8 8 4 2" xfId="27710" xr:uid="{00000000-0005-0000-0000-00006E6C0000}"/>
    <cellStyle name="计算 2 2 8 8 5" xfId="27712" xr:uid="{00000000-0005-0000-0000-0000706C0000}"/>
    <cellStyle name="计算 2 2 8 9" xfId="27713" xr:uid="{00000000-0005-0000-0000-0000716C0000}"/>
    <cellStyle name="计算 2 2 8 9 2" xfId="27717" xr:uid="{00000000-0005-0000-0000-0000756C0000}"/>
    <cellStyle name="计算 2 2 9" xfId="27718" xr:uid="{00000000-0005-0000-0000-0000766C0000}"/>
    <cellStyle name="计算 2 2 9 10" xfId="27721" xr:uid="{00000000-0005-0000-0000-0000796C0000}"/>
    <cellStyle name="计算 2 2 9 10 2" xfId="3500" xr:uid="{00000000-0005-0000-0000-0000DC0D0000}"/>
    <cellStyle name="计算 2 2 9 11" xfId="27723" xr:uid="{00000000-0005-0000-0000-00007B6C0000}"/>
    <cellStyle name="计算 2 2 9 11 2" xfId="2384" xr:uid="{00000000-0005-0000-0000-000080090000}"/>
    <cellStyle name="计算 2 2 9 12" xfId="20458" xr:uid="{00000000-0005-0000-0000-00001A500000}"/>
    <cellStyle name="计算 2 2 9 12 2" xfId="2061" xr:uid="{00000000-0005-0000-0000-00003D080000}"/>
    <cellStyle name="计算 2 2 9 13" xfId="21340" xr:uid="{00000000-0005-0000-0000-00008C530000}"/>
    <cellStyle name="计算 2 2 9 14" xfId="27724" xr:uid="{00000000-0005-0000-0000-00007C6C0000}"/>
    <cellStyle name="计算 2 2 9 15" xfId="3546" xr:uid="{00000000-0005-0000-0000-00000A0E0000}"/>
    <cellStyle name="计算 2 2 9 16" xfId="3647" xr:uid="{00000000-0005-0000-0000-00006F0E0000}"/>
    <cellStyle name="计算 2 2 9 2" xfId="9338" xr:uid="{00000000-0005-0000-0000-0000AA240000}"/>
    <cellStyle name="计算 2 2 9 2 2" xfId="9342" xr:uid="{00000000-0005-0000-0000-0000AE240000}"/>
    <cellStyle name="计算 2 2 9 2 2 2" xfId="17022" xr:uid="{00000000-0005-0000-0000-0000AE420000}"/>
    <cellStyle name="计算 2 2 9 2 3" xfId="27725" xr:uid="{00000000-0005-0000-0000-00007D6C0000}"/>
    <cellStyle name="计算 2 2 9 2 3 2" xfId="27726" xr:uid="{00000000-0005-0000-0000-00007E6C0000}"/>
    <cellStyle name="计算 2 2 9 2 4" xfId="16634" xr:uid="{00000000-0005-0000-0000-00002A410000}"/>
    <cellStyle name="计算 2 2 9 2 4 2" xfId="27727" xr:uid="{00000000-0005-0000-0000-00007F6C0000}"/>
    <cellStyle name="计算 2 2 9 2 5" xfId="27729" xr:uid="{00000000-0005-0000-0000-0000816C0000}"/>
    <cellStyle name="计算 2 2 9 2 5 2" xfId="27731" xr:uid="{00000000-0005-0000-0000-0000836C0000}"/>
    <cellStyle name="计算 2 2 9 2 6" xfId="13919" xr:uid="{00000000-0005-0000-0000-00008F360000}"/>
    <cellStyle name="计算 2 2 9 2 7" xfId="27735" xr:uid="{00000000-0005-0000-0000-0000876C0000}"/>
    <cellStyle name="计算 2 2 9 2 8" xfId="27737" xr:uid="{00000000-0005-0000-0000-0000896C0000}"/>
    <cellStyle name="计算 2 2 9 2 9" xfId="27739" xr:uid="{00000000-0005-0000-0000-00008B6C0000}"/>
    <cellStyle name="计算 2 2 9 3" xfId="2258" xr:uid="{00000000-0005-0000-0000-000002090000}"/>
    <cellStyle name="计算 2 2 9 3 2" xfId="27740" xr:uid="{00000000-0005-0000-0000-00008C6C0000}"/>
    <cellStyle name="计算 2 2 9 3 2 2" xfId="715" xr:uid="{00000000-0005-0000-0000-0000FB020000}"/>
    <cellStyle name="计算 2 2 9 3 3" xfId="27742" xr:uid="{00000000-0005-0000-0000-00008E6C0000}"/>
    <cellStyle name="计算 2 2 9 3 3 2" xfId="27747" xr:uid="{00000000-0005-0000-0000-0000936C0000}"/>
    <cellStyle name="计算 2 2 9 3 4" xfId="27751" xr:uid="{00000000-0005-0000-0000-0000976C0000}"/>
    <cellStyle name="计算 2 2 9 3 4 2" xfId="27756" xr:uid="{00000000-0005-0000-0000-00009C6C0000}"/>
    <cellStyle name="计算 2 2 9 3 5" xfId="27758" xr:uid="{00000000-0005-0000-0000-00009E6C0000}"/>
    <cellStyle name="计算 2 2 9 3 5 2" xfId="25742" xr:uid="{00000000-0005-0000-0000-0000BE640000}"/>
    <cellStyle name="计算 2 2 9 3 6" xfId="4754" xr:uid="{00000000-0005-0000-0000-0000C2120000}"/>
    <cellStyle name="计算 2 2 9 4" xfId="2278" xr:uid="{00000000-0005-0000-0000-000016090000}"/>
    <cellStyle name="计算 2 2 9 4 2" xfId="763" xr:uid="{00000000-0005-0000-0000-00002B030000}"/>
    <cellStyle name="计算 2 2 9 4 2 2" xfId="2797" xr:uid="{00000000-0005-0000-0000-00001D0B0000}"/>
    <cellStyle name="计算 2 2 9 4 3" xfId="27760" xr:uid="{00000000-0005-0000-0000-0000A06C0000}"/>
    <cellStyle name="计算 2 2 9 4 3 2" xfId="27763" xr:uid="{00000000-0005-0000-0000-0000A36C0000}"/>
    <cellStyle name="计算 2 2 9 4 4" xfId="27765" xr:uid="{00000000-0005-0000-0000-0000A56C0000}"/>
    <cellStyle name="计算 2 2 9 4 4 2" xfId="26872" xr:uid="{00000000-0005-0000-0000-000028690000}"/>
    <cellStyle name="计算 2 2 9 4 5" xfId="27767" xr:uid="{00000000-0005-0000-0000-0000A76C0000}"/>
    <cellStyle name="计算 2 2 9 4 5 2" xfId="27769" xr:uid="{00000000-0005-0000-0000-0000A96C0000}"/>
    <cellStyle name="计算 2 2 9 4 6" xfId="4792" xr:uid="{00000000-0005-0000-0000-0000E8120000}"/>
    <cellStyle name="计算 2 2 9 5" xfId="27771" xr:uid="{00000000-0005-0000-0000-0000AB6C0000}"/>
    <cellStyle name="计算 2 2 9 5 2" xfId="787" xr:uid="{00000000-0005-0000-0000-000043030000}"/>
    <cellStyle name="计算 2 2 9 5 2 2" xfId="3235" xr:uid="{00000000-0005-0000-0000-0000D30C0000}"/>
    <cellStyle name="计算 2 2 9 5 3" xfId="27773" xr:uid="{00000000-0005-0000-0000-0000AD6C0000}"/>
    <cellStyle name="计算 2 2 9 5 3 2" xfId="27777" xr:uid="{00000000-0005-0000-0000-0000B16C0000}"/>
    <cellStyle name="计算 2 2 9 5 4" xfId="27778" xr:uid="{00000000-0005-0000-0000-0000B26C0000}"/>
    <cellStyle name="计算 2 2 9 5 4 2" xfId="27779" xr:uid="{00000000-0005-0000-0000-0000B36C0000}"/>
    <cellStyle name="计算 2 2 9 5 5" xfId="4820" xr:uid="{00000000-0005-0000-0000-000004130000}"/>
    <cellStyle name="计算 2 2 9 5 5 2" xfId="4828" xr:uid="{00000000-0005-0000-0000-00000C130000}"/>
    <cellStyle name="计算 2 2 9 5 6" xfId="4834" xr:uid="{00000000-0005-0000-0000-000012130000}"/>
    <cellStyle name="计算 2 2 9 6" xfId="27781" xr:uid="{00000000-0005-0000-0000-0000B56C0000}"/>
    <cellStyle name="计算 2 2 9 6 2" xfId="824" xr:uid="{00000000-0005-0000-0000-000068030000}"/>
    <cellStyle name="计算 2 2 9 6 2 2" xfId="27788" xr:uid="{00000000-0005-0000-0000-0000BC6C0000}"/>
    <cellStyle name="计算 2 2 9 6 3" xfId="4376" xr:uid="{00000000-0005-0000-0000-000048110000}"/>
    <cellStyle name="计算 2 2 9 6 3 2" xfId="4384" xr:uid="{00000000-0005-0000-0000-000050110000}"/>
    <cellStyle name="计算 2 2 9 6 4" xfId="2705" xr:uid="{00000000-0005-0000-0000-0000C10A0000}"/>
    <cellStyle name="计算 2 2 9 6 4 2" xfId="4397" xr:uid="{00000000-0005-0000-0000-00005D110000}"/>
    <cellStyle name="计算 2 2 9 6 5" xfId="4402" xr:uid="{00000000-0005-0000-0000-000062110000}"/>
    <cellStyle name="计算 2 2 9 6 5 2" xfId="4407" xr:uid="{00000000-0005-0000-0000-000067110000}"/>
    <cellStyle name="计算 2 2 9 6 6" xfId="4413" xr:uid="{00000000-0005-0000-0000-00006D110000}"/>
    <cellStyle name="计算 2 2 9 7" xfId="2518" xr:uid="{00000000-0005-0000-0000-0000060A0000}"/>
    <cellStyle name="计算 2 2 9 7 2" xfId="27792" xr:uid="{00000000-0005-0000-0000-0000C06C0000}"/>
    <cellStyle name="计算 2 2 9 7 2 2" xfId="370" xr:uid="{00000000-0005-0000-0000-000095010000}"/>
    <cellStyle name="计算 2 2 9 7 3" xfId="27796" xr:uid="{00000000-0005-0000-0000-0000C46C0000}"/>
    <cellStyle name="计算 2 2 9 7 3 2" xfId="27043" xr:uid="{00000000-0005-0000-0000-0000D3690000}"/>
    <cellStyle name="计算 2 2 9 7 4" xfId="25593" xr:uid="{00000000-0005-0000-0000-000029640000}"/>
    <cellStyle name="计算 2 2 9 7 4 2" xfId="27799" xr:uid="{00000000-0005-0000-0000-0000C76C0000}"/>
    <cellStyle name="计算 2 2 9 7 5" xfId="27802" xr:uid="{00000000-0005-0000-0000-0000CA6C0000}"/>
    <cellStyle name="计算 2 2 9 7 5 2" xfId="27805" xr:uid="{00000000-0005-0000-0000-0000CD6C0000}"/>
    <cellStyle name="计算 2 2 9 7 6" xfId="27808" xr:uid="{00000000-0005-0000-0000-0000D06C0000}"/>
    <cellStyle name="计算 2 2 9 8" xfId="3567" xr:uid="{00000000-0005-0000-0000-00001F0E0000}"/>
    <cellStyle name="计算 2 2 9 8 2" xfId="891" xr:uid="{00000000-0005-0000-0000-0000AB030000}"/>
    <cellStyle name="计算 2 2 9 8 2 2" xfId="1017" xr:uid="{00000000-0005-0000-0000-000029040000}"/>
    <cellStyle name="计算 2 2 9 8 3" xfId="4851" xr:uid="{00000000-0005-0000-0000-000023130000}"/>
    <cellStyle name="计算 2 2 9 8 3 2" xfId="1046" xr:uid="{00000000-0005-0000-0000-000046040000}"/>
    <cellStyle name="计算 2 2 9 8 4" xfId="4867" xr:uid="{00000000-0005-0000-0000-000033130000}"/>
    <cellStyle name="计算 2 2 9 8 4 2" xfId="3052" xr:uid="{00000000-0005-0000-0000-00001C0C0000}"/>
    <cellStyle name="计算 2 2 9 8 5" xfId="27812" xr:uid="{00000000-0005-0000-0000-0000D46C0000}"/>
    <cellStyle name="计算 2 2 9 9" xfId="3578" xr:uid="{00000000-0005-0000-0000-00002A0E0000}"/>
    <cellStyle name="计算 2 2 9 9 2" xfId="926" xr:uid="{00000000-0005-0000-0000-0000CE030000}"/>
    <cellStyle name="计算 2 20" xfId="26948" xr:uid="{00000000-0005-0000-0000-000074690000}"/>
    <cellStyle name="计算 2 21" xfId="26951" xr:uid="{00000000-0005-0000-0000-000077690000}"/>
    <cellStyle name="计算 2 3" xfId="27128" xr:uid="{00000000-0005-0000-0000-0000286A0000}"/>
    <cellStyle name="计算 2 3 10" xfId="27815" xr:uid="{00000000-0005-0000-0000-0000D76C0000}"/>
    <cellStyle name="计算 2 3 10 10" xfId="22940" xr:uid="{00000000-0005-0000-0000-0000CC590000}"/>
    <cellStyle name="计算 2 3 10 10 2" xfId="27817" xr:uid="{00000000-0005-0000-0000-0000D96C0000}"/>
    <cellStyle name="计算 2 3 10 11" xfId="16977" xr:uid="{00000000-0005-0000-0000-000081420000}"/>
    <cellStyle name="计算 2 3 10 11 2" xfId="27821" xr:uid="{00000000-0005-0000-0000-0000DD6C0000}"/>
    <cellStyle name="计算 2 3 10 12" xfId="27825" xr:uid="{00000000-0005-0000-0000-0000E16C0000}"/>
    <cellStyle name="计算 2 3 10 12 2" xfId="27830" xr:uid="{00000000-0005-0000-0000-0000E66C0000}"/>
    <cellStyle name="计算 2 3 10 13" xfId="27196" xr:uid="{00000000-0005-0000-0000-00006C6A0000}"/>
    <cellStyle name="计算 2 3 10 14" xfId="27836" xr:uid="{00000000-0005-0000-0000-0000EC6C0000}"/>
    <cellStyle name="计算 2 3 10 15" xfId="27842" xr:uid="{00000000-0005-0000-0000-0000F26C0000}"/>
    <cellStyle name="计算 2 3 10 16" xfId="24026" xr:uid="{00000000-0005-0000-0000-00000A5E0000}"/>
    <cellStyle name="计算 2 3 10 2" xfId="27843" xr:uid="{00000000-0005-0000-0000-0000F36C0000}"/>
    <cellStyle name="计算 2 3 10 2 2" xfId="27846" xr:uid="{00000000-0005-0000-0000-0000F66C0000}"/>
    <cellStyle name="计算 2 3 10 2 2 2" xfId="27850" xr:uid="{00000000-0005-0000-0000-0000FA6C0000}"/>
    <cellStyle name="计算 2 3 10 2 3" xfId="11025" xr:uid="{00000000-0005-0000-0000-0000412B0000}"/>
    <cellStyle name="计算 2 3 10 2 3 2" xfId="27856" xr:uid="{00000000-0005-0000-0000-0000006D0000}"/>
    <cellStyle name="计算 2 3 10 2 4" xfId="11237" xr:uid="{00000000-0005-0000-0000-0000152C0000}"/>
    <cellStyle name="计算 2 3 10 2 4 2" xfId="27859" xr:uid="{00000000-0005-0000-0000-0000036D0000}"/>
    <cellStyle name="计算 2 3 10 2 5" xfId="27860" xr:uid="{00000000-0005-0000-0000-0000046D0000}"/>
    <cellStyle name="计算 2 3 10 2 5 2" xfId="27862" xr:uid="{00000000-0005-0000-0000-0000066D0000}"/>
    <cellStyle name="计算 2 3 10 2 6" xfId="27863" xr:uid="{00000000-0005-0000-0000-0000076D0000}"/>
    <cellStyle name="计算 2 3 10 2 7" xfId="27866" xr:uid="{00000000-0005-0000-0000-00000A6D0000}"/>
    <cellStyle name="计算 2 3 10 2 8" xfId="22164" xr:uid="{00000000-0005-0000-0000-0000C4560000}"/>
    <cellStyle name="计算 2 3 10 2 9" xfId="27869" xr:uid="{00000000-0005-0000-0000-00000D6D0000}"/>
    <cellStyle name="计算 2 3 10 3" xfId="27871" xr:uid="{00000000-0005-0000-0000-00000F6D0000}"/>
    <cellStyle name="计算 2 3 10 3 2" xfId="27872" xr:uid="{00000000-0005-0000-0000-0000106D0000}"/>
    <cellStyle name="计算 2 3 10 3 2 2" xfId="27875" xr:uid="{00000000-0005-0000-0000-0000136D0000}"/>
    <cellStyle name="计算 2 3 10 3 3" xfId="11673" xr:uid="{00000000-0005-0000-0000-0000C92D0000}"/>
    <cellStyle name="计算 2 3 10 3 3 2" xfId="27880" xr:uid="{00000000-0005-0000-0000-0000186D0000}"/>
    <cellStyle name="计算 2 3 10 3 4" xfId="27882" xr:uid="{00000000-0005-0000-0000-00001A6D0000}"/>
    <cellStyle name="计算 2 3 10 3 4 2" xfId="27885" xr:uid="{00000000-0005-0000-0000-00001D6D0000}"/>
    <cellStyle name="计算 2 3 10 3 5" xfId="27886" xr:uid="{00000000-0005-0000-0000-00001E6D0000}"/>
    <cellStyle name="计算 2 3 10 3 5 2" xfId="27888" xr:uid="{00000000-0005-0000-0000-0000206D0000}"/>
    <cellStyle name="计算 2 3 10 3 6" xfId="27889" xr:uid="{00000000-0005-0000-0000-0000216D0000}"/>
    <cellStyle name="计算 2 3 10 4" xfId="26166" xr:uid="{00000000-0005-0000-0000-000066660000}"/>
    <cellStyle name="计算 2 3 10 4 2" xfId="27890" xr:uid="{00000000-0005-0000-0000-0000226D0000}"/>
    <cellStyle name="计算 2 3 10 4 2 2" xfId="14135" xr:uid="{00000000-0005-0000-0000-000067370000}"/>
    <cellStyle name="计算 2 3 10 4 3" xfId="959" xr:uid="{00000000-0005-0000-0000-0000EF030000}"/>
    <cellStyle name="计算 2 3 10 4 3 2" xfId="27891" xr:uid="{00000000-0005-0000-0000-0000236D0000}"/>
    <cellStyle name="计算 2 3 10 4 4" xfId="27893" xr:uid="{00000000-0005-0000-0000-0000256D0000}"/>
    <cellStyle name="计算 2 3 10 4 4 2" xfId="27895" xr:uid="{00000000-0005-0000-0000-0000276D0000}"/>
    <cellStyle name="计算 2 3 10 4 5" xfId="27897" xr:uid="{00000000-0005-0000-0000-0000296D0000}"/>
    <cellStyle name="计算 2 3 10 4 5 2" xfId="27898" xr:uid="{00000000-0005-0000-0000-00002A6D0000}"/>
    <cellStyle name="计算 2 3 10 4 6" xfId="27900" xr:uid="{00000000-0005-0000-0000-00002C6D0000}"/>
    <cellStyle name="计算 2 3 10 5" xfId="27902" xr:uid="{00000000-0005-0000-0000-00002E6D0000}"/>
    <cellStyle name="计算 2 3 10 5 2" xfId="27904" xr:uid="{00000000-0005-0000-0000-0000306D0000}"/>
    <cellStyle name="计算 2 3 10 5 2 2" xfId="27906" xr:uid="{00000000-0005-0000-0000-0000326D0000}"/>
    <cellStyle name="计算 2 3 10 5 3" xfId="145" xr:uid="{00000000-0005-0000-0000-00009D000000}"/>
    <cellStyle name="计算 2 3 10 5 3 2" xfId="27909" xr:uid="{00000000-0005-0000-0000-0000356D0000}"/>
    <cellStyle name="计算 2 3 10 5 4" xfId="2245" xr:uid="{00000000-0005-0000-0000-0000F5080000}"/>
    <cellStyle name="计算 2 3 10 5 4 2" xfId="27910" xr:uid="{00000000-0005-0000-0000-0000366D0000}"/>
    <cellStyle name="计算 2 3 10 5 5" xfId="27912" xr:uid="{00000000-0005-0000-0000-0000386D0000}"/>
    <cellStyle name="计算 2 3 10 5 5 2" xfId="27913" xr:uid="{00000000-0005-0000-0000-0000396D0000}"/>
    <cellStyle name="计算 2 3 10 5 6" xfId="27915" xr:uid="{00000000-0005-0000-0000-00003B6D0000}"/>
    <cellStyle name="计算 2 3 10 6" xfId="27916" xr:uid="{00000000-0005-0000-0000-00003C6D0000}"/>
    <cellStyle name="计算 2 3 10 6 2" xfId="27918" xr:uid="{00000000-0005-0000-0000-00003E6D0000}"/>
    <cellStyle name="计算 2 3 10 6 2 2" xfId="27920" xr:uid="{00000000-0005-0000-0000-0000406D0000}"/>
    <cellStyle name="计算 2 3 10 6 3" xfId="27923" xr:uid="{00000000-0005-0000-0000-0000436D0000}"/>
    <cellStyle name="计算 2 3 10 6 3 2" xfId="27925" xr:uid="{00000000-0005-0000-0000-0000456D0000}"/>
    <cellStyle name="计算 2 3 10 6 4" xfId="5063" xr:uid="{00000000-0005-0000-0000-0000F7130000}"/>
    <cellStyle name="计算 2 3 10 6 4 2" xfId="27926" xr:uid="{00000000-0005-0000-0000-0000466D0000}"/>
    <cellStyle name="计算 2 3 10 6 5" xfId="23452" xr:uid="{00000000-0005-0000-0000-0000CC5B0000}"/>
    <cellStyle name="计算 2 3 10 6 5 2" xfId="23454" xr:uid="{00000000-0005-0000-0000-0000CE5B0000}"/>
    <cellStyle name="计算 2 3 10 6 6" xfId="14217" xr:uid="{00000000-0005-0000-0000-0000B9370000}"/>
    <cellStyle name="计算 2 3 10 7" xfId="27927" xr:uid="{00000000-0005-0000-0000-0000476D0000}"/>
    <cellStyle name="计算 2 3 10 7 2" xfId="27929" xr:uid="{00000000-0005-0000-0000-0000496D0000}"/>
    <cellStyle name="计算 2 3 10 7 2 2" xfId="27932" xr:uid="{00000000-0005-0000-0000-00004C6D0000}"/>
    <cellStyle name="计算 2 3 10 7 3" xfId="27935" xr:uid="{00000000-0005-0000-0000-00004F6D0000}"/>
    <cellStyle name="计算 2 3 10 7 3 2" xfId="27938" xr:uid="{00000000-0005-0000-0000-0000526D0000}"/>
    <cellStyle name="计算 2 3 10 7 4" xfId="5069" xr:uid="{00000000-0005-0000-0000-0000FD130000}"/>
    <cellStyle name="计算 2 3 10 7 4 2" xfId="27940" xr:uid="{00000000-0005-0000-0000-0000546D0000}"/>
    <cellStyle name="计算 2 3 10 7 5" xfId="27941" xr:uid="{00000000-0005-0000-0000-0000556D0000}"/>
    <cellStyle name="计算 2 3 10 7 5 2" xfId="22984" xr:uid="{00000000-0005-0000-0000-0000F8590000}"/>
    <cellStyle name="计算 2 3 10 7 6" xfId="14220" xr:uid="{00000000-0005-0000-0000-0000BC370000}"/>
    <cellStyle name="计算 2 3 10 8" xfId="502" xr:uid="{00000000-0005-0000-0000-000023020000}"/>
    <cellStyle name="计算 2 3 10 8 2" xfId="999" xr:uid="{00000000-0005-0000-0000-000017040000}"/>
    <cellStyle name="计算 2 3 10 8 2 2" xfId="27943" xr:uid="{00000000-0005-0000-0000-0000576D0000}"/>
    <cellStyle name="计算 2 3 10 8 3" xfId="27946" xr:uid="{00000000-0005-0000-0000-00005A6D0000}"/>
    <cellStyle name="计算 2 3 10 8 3 2" xfId="27948" xr:uid="{00000000-0005-0000-0000-00005C6D0000}"/>
    <cellStyle name="计算 2 3 10 8 4" xfId="5076" xr:uid="{00000000-0005-0000-0000-000004140000}"/>
    <cellStyle name="计算 2 3 10 8 4 2" xfId="27951" xr:uid="{00000000-0005-0000-0000-00005F6D0000}"/>
    <cellStyle name="计算 2 3 10 8 5" xfId="27952" xr:uid="{00000000-0005-0000-0000-0000606D0000}"/>
    <cellStyle name="计算 2 3 10 9" xfId="543" xr:uid="{00000000-0005-0000-0000-00004E020000}"/>
    <cellStyle name="计算 2 3 10 9 2" xfId="1033" xr:uid="{00000000-0005-0000-0000-000039040000}"/>
    <cellStyle name="计算 2 3 11" xfId="27953" xr:uid="{00000000-0005-0000-0000-0000616D0000}"/>
    <cellStyle name="计算 2 3 11 10" xfId="26262" xr:uid="{00000000-0005-0000-0000-0000C6660000}"/>
    <cellStyle name="计算 2 3 11 10 2" xfId="26266" xr:uid="{00000000-0005-0000-0000-0000CA660000}"/>
    <cellStyle name="计算 2 3 11 11" xfId="15571" xr:uid="{00000000-0005-0000-0000-0000033D0000}"/>
    <cellStyle name="计算 2 3 11 11 2" xfId="27956" xr:uid="{00000000-0005-0000-0000-0000646D0000}"/>
    <cellStyle name="计算 2 3 11 12" xfId="27961" xr:uid="{00000000-0005-0000-0000-0000696D0000}"/>
    <cellStyle name="计算 2 3 11 12 2" xfId="27964" xr:uid="{00000000-0005-0000-0000-00006C6D0000}"/>
    <cellStyle name="计算 2 3 11 13" xfId="18766" xr:uid="{00000000-0005-0000-0000-00007E490000}"/>
    <cellStyle name="计算 2 3 11 14" xfId="27966" xr:uid="{00000000-0005-0000-0000-00006E6D0000}"/>
    <cellStyle name="计算 2 3 11 15" xfId="27968" xr:uid="{00000000-0005-0000-0000-0000706D0000}"/>
    <cellStyle name="计算 2 3 11 16" xfId="21055" xr:uid="{00000000-0005-0000-0000-00006F520000}"/>
    <cellStyle name="计算 2 3 11 2" xfId="26209" xr:uid="{00000000-0005-0000-0000-000091660000}"/>
    <cellStyle name="计算 2 3 11 2 2" xfId="27970" xr:uid="{00000000-0005-0000-0000-0000726D0000}"/>
    <cellStyle name="计算 2 3 11 2 2 2" xfId="27974" xr:uid="{00000000-0005-0000-0000-0000766D0000}"/>
    <cellStyle name="计算 2 3 11 2 3" xfId="12597" xr:uid="{00000000-0005-0000-0000-000065310000}"/>
    <cellStyle name="计算 2 3 11 2 3 2" xfId="27978" xr:uid="{00000000-0005-0000-0000-00007A6D0000}"/>
    <cellStyle name="计算 2 3 11 2 4" xfId="13122" xr:uid="{00000000-0005-0000-0000-000072330000}"/>
    <cellStyle name="计算 2 3 11 2 4 2" xfId="27981" xr:uid="{00000000-0005-0000-0000-00007D6D0000}"/>
    <cellStyle name="计算 2 3 11 2 5" xfId="27983" xr:uid="{00000000-0005-0000-0000-00007F6D0000}"/>
    <cellStyle name="计算 2 3 11 2 5 2" xfId="27985" xr:uid="{00000000-0005-0000-0000-0000816D0000}"/>
    <cellStyle name="计算 2 3 11 2 6" xfId="15995" xr:uid="{00000000-0005-0000-0000-0000AB3E0000}"/>
    <cellStyle name="计算 2 3 11 3" xfId="27988" xr:uid="{00000000-0005-0000-0000-0000846D0000}"/>
    <cellStyle name="计算 2 3 11 3 2" xfId="27991" xr:uid="{00000000-0005-0000-0000-0000876D0000}"/>
    <cellStyle name="计算 2 3 11 3 2 2" xfId="27994" xr:uid="{00000000-0005-0000-0000-00008A6D0000}"/>
    <cellStyle name="计算 2 3 11 3 3" xfId="12603" xr:uid="{00000000-0005-0000-0000-00006B310000}"/>
    <cellStyle name="计算 2 3 11 3 3 2" xfId="27997" xr:uid="{00000000-0005-0000-0000-00008D6D0000}"/>
    <cellStyle name="计算 2 3 11 3 4" xfId="28000" xr:uid="{00000000-0005-0000-0000-0000906D0000}"/>
    <cellStyle name="计算 2 3 11 3 4 2" xfId="28003" xr:uid="{00000000-0005-0000-0000-0000936D0000}"/>
    <cellStyle name="计算 2 3 11 3 5" xfId="28005" xr:uid="{00000000-0005-0000-0000-0000956D0000}"/>
    <cellStyle name="计算 2 3 11 3 5 2" xfId="28007" xr:uid="{00000000-0005-0000-0000-0000976D0000}"/>
    <cellStyle name="计算 2 3 11 3 6" xfId="16036" xr:uid="{00000000-0005-0000-0000-0000D43E0000}"/>
    <cellStyle name="计算 2 3 11 4" xfId="26172" xr:uid="{00000000-0005-0000-0000-00006C660000}"/>
    <cellStyle name="计算 2 3 11 4 2" xfId="28009" xr:uid="{00000000-0005-0000-0000-0000996D0000}"/>
    <cellStyle name="计算 2 3 11 4 2 2" xfId="21749" xr:uid="{00000000-0005-0000-0000-000025550000}"/>
    <cellStyle name="计算 2 3 11 4 3" xfId="12625" xr:uid="{00000000-0005-0000-0000-000081310000}"/>
    <cellStyle name="计算 2 3 11 4 3 2" xfId="28012" xr:uid="{00000000-0005-0000-0000-00009C6D0000}"/>
    <cellStyle name="计算 2 3 11 4 4" xfId="28015" xr:uid="{00000000-0005-0000-0000-00009F6D0000}"/>
    <cellStyle name="计算 2 3 11 4 4 2" xfId="28018" xr:uid="{00000000-0005-0000-0000-0000A26D0000}"/>
    <cellStyle name="计算 2 3 11 4 5" xfId="28020" xr:uid="{00000000-0005-0000-0000-0000A46D0000}"/>
    <cellStyle name="计算 2 3 11 4 5 2" xfId="28022" xr:uid="{00000000-0005-0000-0000-0000A66D0000}"/>
    <cellStyle name="计算 2 3 11 4 6" xfId="28024" xr:uid="{00000000-0005-0000-0000-0000A86D0000}"/>
    <cellStyle name="计算 2 3 11 5" xfId="28026" xr:uid="{00000000-0005-0000-0000-0000AA6D0000}"/>
    <cellStyle name="计算 2 3 11 5 2" xfId="28030" xr:uid="{00000000-0005-0000-0000-0000AE6D0000}"/>
    <cellStyle name="计算 2 3 11 5 2 2" xfId="28034" xr:uid="{00000000-0005-0000-0000-0000B26D0000}"/>
    <cellStyle name="计算 2 3 11 5 3" xfId="12648" xr:uid="{00000000-0005-0000-0000-000098310000}"/>
    <cellStyle name="计算 2 3 11 5 3 2" xfId="28039" xr:uid="{00000000-0005-0000-0000-0000B76D0000}"/>
    <cellStyle name="计算 2 3 11 5 4" xfId="5093" xr:uid="{00000000-0005-0000-0000-000015140000}"/>
    <cellStyle name="计算 2 3 11 5 4 2" xfId="28042" xr:uid="{00000000-0005-0000-0000-0000BA6D0000}"/>
    <cellStyle name="计算 2 3 11 5 5" xfId="28045" xr:uid="{00000000-0005-0000-0000-0000BD6D0000}"/>
    <cellStyle name="计算 2 3 11 5 5 2" xfId="28047" xr:uid="{00000000-0005-0000-0000-0000BF6D0000}"/>
    <cellStyle name="计算 2 3 11 5 6" xfId="28050" xr:uid="{00000000-0005-0000-0000-0000C26D0000}"/>
    <cellStyle name="计算 2 3 11 6" xfId="28052" xr:uid="{00000000-0005-0000-0000-0000C46D0000}"/>
    <cellStyle name="计算 2 3 11 6 2" xfId="28057" xr:uid="{00000000-0005-0000-0000-0000C96D0000}"/>
    <cellStyle name="计算 2 3 11 6 2 2" xfId="28060" xr:uid="{00000000-0005-0000-0000-0000CC6D0000}"/>
    <cellStyle name="计算 2 3 11 6 3" xfId="28066" xr:uid="{00000000-0005-0000-0000-0000D26D0000}"/>
    <cellStyle name="计算 2 3 11 6 3 2" xfId="28069" xr:uid="{00000000-0005-0000-0000-0000D56D0000}"/>
    <cellStyle name="计算 2 3 11 6 4" xfId="5110" xr:uid="{00000000-0005-0000-0000-000026140000}"/>
    <cellStyle name="计算 2 3 11 6 4 2" xfId="28072" xr:uid="{00000000-0005-0000-0000-0000D86D0000}"/>
    <cellStyle name="计算 2 3 11 6 5" xfId="28075" xr:uid="{00000000-0005-0000-0000-0000DB6D0000}"/>
    <cellStyle name="计算 2 3 11 6 5 2" xfId="28077" xr:uid="{00000000-0005-0000-0000-0000DD6D0000}"/>
    <cellStyle name="计算 2 3 11 6 6" xfId="14243" xr:uid="{00000000-0005-0000-0000-0000D3370000}"/>
    <cellStyle name="计算 2 3 11 7" xfId="28079" xr:uid="{00000000-0005-0000-0000-0000DF6D0000}"/>
    <cellStyle name="计算 2 3 11 7 2" xfId="28082" xr:uid="{00000000-0005-0000-0000-0000E26D0000}"/>
    <cellStyle name="计算 2 3 11 7 2 2" xfId="28084" xr:uid="{00000000-0005-0000-0000-0000E46D0000}"/>
    <cellStyle name="计算 2 3 11 7 3" xfId="28087" xr:uid="{00000000-0005-0000-0000-0000E76D0000}"/>
    <cellStyle name="计算 2 3 11 7 3 2" xfId="28089" xr:uid="{00000000-0005-0000-0000-0000E96D0000}"/>
    <cellStyle name="计算 2 3 11 7 4" xfId="5119" xr:uid="{00000000-0005-0000-0000-00002F140000}"/>
    <cellStyle name="计算 2 3 11 7 4 2" xfId="28090" xr:uid="{00000000-0005-0000-0000-0000EA6D0000}"/>
    <cellStyle name="计算 2 3 11 7 5" xfId="28091" xr:uid="{00000000-0005-0000-0000-0000EB6D0000}"/>
    <cellStyle name="计算 2 3 11 7 5 2" xfId="28092" xr:uid="{00000000-0005-0000-0000-0000EC6D0000}"/>
    <cellStyle name="计算 2 3 11 7 6" xfId="14248" xr:uid="{00000000-0005-0000-0000-0000D8370000}"/>
    <cellStyle name="计算 2 3 11 8" xfId="210" xr:uid="{00000000-0005-0000-0000-0000E4000000}"/>
    <cellStyle name="计算 2 3 11 8 2" xfId="12940" xr:uid="{00000000-0005-0000-0000-0000BC320000}"/>
    <cellStyle name="计算 2 3 11 8 2 2" xfId="28094" xr:uid="{00000000-0005-0000-0000-0000EE6D0000}"/>
    <cellStyle name="计算 2 3 11 8 3" xfId="28097" xr:uid="{00000000-0005-0000-0000-0000F16D0000}"/>
    <cellStyle name="计算 2 3 11 8 3 2" xfId="28099" xr:uid="{00000000-0005-0000-0000-0000F36D0000}"/>
    <cellStyle name="计算 2 3 11 8 4" xfId="5145" xr:uid="{00000000-0005-0000-0000-000049140000}"/>
    <cellStyle name="计算 2 3 11 8 4 2" xfId="28100" xr:uid="{00000000-0005-0000-0000-0000F46D0000}"/>
    <cellStyle name="计算 2 3 11 8 5" xfId="28101" xr:uid="{00000000-0005-0000-0000-0000F56D0000}"/>
    <cellStyle name="计算 2 3 11 9" xfId="13450" xr:uid="{00000000-0005-0000-0000-0000BA340000}"/>
    <cellStyle name="计算 2 3 11 9 2" xfId="12964" xr:uid="{00000000-0005-0000-0000-0000D4320000}"/>
    <cellStyle name="计算 2 3 12" xfId="28102" xr:uid="{00000000-0005-0000-0000-0000F66D0000}"/>
    <cellStyle name="计算 2 3 12 2" xfId="28104" xr:uid="{00000000-0005-0000-0000-0000F86D0000}"/>
    <cellStyle name="计算 2 3 12 2 2" xfId="28106" xr:uid="{00000000-0005-0000-0000-0000FA6D0000}"/>
    <cellStyle name="计算 2 3 12 3" xfId="24203" xr:uid="{00000000-0005-0000-0000-0000BB5E0000}"/>
    <cellStyle name="计算 2 3 12 3 2" xfId="28107" xr:uid="{00000000-0005-0000-0000-0000FB6D0000}"/>
    <cellStyle name="计算 2 3 12 4" xfId="28108" xr:uid="{00000000-0005-0000-0000-0000FC6D0000}"/>
    <cellStyle name="计算 2 3 12 4 2" xfId="28110" xr:uid="{00000000-0005-0000-0000-0000FE6D0000}"/>
    <cellStyle name="计算 2 3 12 5" xfId="28111" xr:uid="{00000000-0005-0000-0000-0000FF6D0000}"/>
    <cellStyle name="计算 2 3 12 5 2" xfId="28112" xr:uid="{00000000-0005-0000-0000-0000006E0000}"/>
    <cellStyle name="计算 2 3 12 6" xfId="28113" xr:uid="{00000000-0005-0000-0000-0000016E0000}"/>
    <cellStyle name="计算 2 3 12 7" xfId="28115" xr:uid="{00000000-0005-0000-0000-0000036E0000}"/>
    <cellStyle name="计算 2 3 12 8" xfId="6600" xr:uid="{00000000-0005-0000-0000-0000F8190000}"/>
    <cellStyle name="计算 2 3 12 9" xfId="28116" xr:uid="{00000000-0005-0000-0000-0000046E0000}"/>
    <cellStyle name="计算 2 3 13" xfId="28118" xr:uid="{00000000-0005-0000-0000-0000066E0000}"/>
    <cellStyle name="计算 2 3 13 2" xfId="23914" xr:uid="{00000000-0005-0000-0000-00009A5D0000}"/>
    <cellStyle name="计算 2 3 13 2 2" xfId="28121" xr:uid="{00000000-0005-0000-0000-0000096E0000}"/>
    <cellStyle name="计算 2 3 13 3" xfId="19473" xr:uid="{00000000-0005-0000-0000-0000414C0000}"/>
    <cellStyle name="计算 2 3 13 3 2" xfId="28122" xr:uid="{00000000-0005-0000-0000-00000A6E0000}"/>
    <cellStyle name="计算 2 3 13 4" xfId="28123" xr:uid="{00000000-0005-0000-0000-00000B6E0000}"/>
    <cellStyle name="计算 2 3 13 4 2" xfId="28124" xr:uid="{00000000-0005-0000-0000-00000C6E0000}"/>
    <cellStyle name="计算 2 3 13 5" xfId="28125" xr:uid="{00000000-0005-0000-0000-00000D6E0000}"/>
    <cellStyle name="计算 2 3 13 5 2" xfId="28126" xr:uid="{00000000-0005-0000-0000-00000E6E0000}"/>
    <cellStyle name="计算 2 3 13 6" xfId="16930" xr:uid="{00000000-0005-0000-0000-000052420000}"/>
    <cellStyle name="计算 2 3 14" xfId="28128" xr:uid="{00000000-0005-0000-0000-0000106E0000}"/>
    <cellStyle name="计算 2 3 14 2" xfId="28132" xr:uid="{00000000-0005-0000-0000-0000146E0000}"/>
    <cellStyle name="计算 2 3 14 2 2" xfId="7100" xr:uid="{00000000-0005-0000-0000-0000EC1B0000}"/>
    <cellStyle name="计算 2 3 14 3" xfId="19481" xr:uid="{00000000-0005-0000-0000-0000494C0000}"/>
    <cellStyle name="计算 2 3 14 3 2" xfId="28134" xr:uid="{00000000-0005-0000-0000-0000166E0000}"/>
    <cellStyle name="计算 2 3 14 4" xfId="28135" xr:uid="{00000000-0005-0000-0000-0000176E0000}"/>
    <cellStyle name="计算 2 3 14 4 2" xfId="28136" xr:uid="{00000000-0005-0000-0000-0000186E0000}"/>
    <cellStyle name="计算 2 3 14 5" xfId="28137" xr:uid="{00000000-0005-0000-0000-0000196E0000}"/>
    <cellStyle name="计算 2 3 14 5 2" xfId="28138" xr:uid="{00000000-0005-0000-0000-00001A6E0000}"/>
    <cellStyle name="计算 2 3 14 6" xfId="16934" xr:uid="{00000000-0005-0000-0000-000056420000}"/>
    <cellStyle name="计算 2 3 15" xfId="28142" xr:uid="{00000000-0005-0000-0000-00001E6E0000}"/>
    <cellStyle name="计算 2 3 15 2" xfId="28146" xr:uid="{00000000-0005-0000-0000-0000226E0000}"/>
    <cellStyle name="计算 2 3 15 2 2" xfId="17819" xr:uid="{00000000-0005-0000-0000-0000CB450000}"/>
    <cellStyle name="计算 2 3 15 3" xfId="19487" xr:uid="{00000000-0005-0000-0000-00004F4C0000}"/>
    <cellStyle name="计算 2 3 15 3 2" xfId="28148" xr:uid="{00000000-0005-0000-0000-0000246E0000}"/>
    <cellStyle name="计算 2 3 15 4" xfId="28149" xr:uid="{00000000-0005-0000-0000-0000256E0000}"/>
    <cellStyle name="计算 2 3 15 4 2" xfId="28150" xr:uid="{00000000-0005-0000-0000-0000266E0000}"/>
    <cellStyle name="计算 2 3 15 5" xfId="22852" xr:uid="{00000000-0005-0000-0000-000074590000}"/>
    <cellStyle name="计算 2 3 15 5 2" xfId="28151" xr:uid="{00000000-0005-0000-0000-0000276E0000}"/>
    <cellStyle name="计算 2 3 15 6" xfId="16938" xr:uid="{00000000-0005-0000-0000-00005A420000}"/>
    <cellStyle name="计算 2 3 16" xfId="28154" xr:uid="{00000000-0005-0000-0000-00002A6E0000}"/>
    <cellStyle name="计算 2 3 16 2" xfId="26312" xr:uid="{00000000-0005-0000-0000-0000F8660000}"/>
    <cellStyle name="计算 2 3 16 2 2" xfId="6149" xr:uid="{00000000-0005-0000-0000-000035180000}"/>
    <cellStyle name="计算 2 3 16 3" xfId="19499" xr:uid="{00000000-0005-0000-0000-00005B4C0000}"/>
    <cellStyle name="计算 2 3 16 3 2" xfId="28157" xr:uid="{00000000-0005-0000-0000-00002D6E0000}"/>
    <cellStyle name="计算 2 3 16 4" xfId="28160" xr:uid="{00000000-0005-0000-0000-0000306E0000}"/>
    <cellStyle name="计算 2 3 16 4 2" xfId="26976" xr:uid="{00000000-0005-0000-0000-000090690000}"/>
    <cellStyle name="计算 2 3 16 5" xfId="22863" xr:uid="{00000000-0005-0000-0000-00007F590000}"/>
    <cellStyle name="计算 2 3 16 5 2" xfId="28163" xr:uid="{00000000-0005-0000-0000-0000336E0000}"/>
    <cellStyle name="计算 2 3 16 6" xfId="16942" xr:uid="{00000000-0005-0000-0000-00005E420000}"/>
    <cellStyle name="计算 2 3 17" xfId="7414" xr:uid="{00000000-0005-0000-0000-0000261D0000}"/>
    <cellStyle name="计算 2 3 17 2" xfId="21286" xr:uid="{00000000-0005-0000-0000-000056530000}"/>
    <cellStyle name="计算 2 3 17 2 2" xfId="18226" xr:uid="{00000000-0005-0000-0000-000062470000}"/>
    <cellStyle name="计算 2 3 17 3" xfId="21289" xr:uid="{00000000-0005-0000-0000-000059530000}"/>
    <cellStyle name="计算 2 3 17 3 2" xfId="21291" xr:uid="{00000000-0005-0000-0000-00005B530000}"/>
    <cellStyle name="计算 2 3 17 4" xfId="21293" xr:uid="{00000000-0005-0000-0000-00005D530000}"/>
    <cellStyle name="计算 2 3 17 4 2" xfId="28166" xr:uid="{00000000-0005-0000-0000-0000366E0000}"/>
    <cellStyle name="计算 2 3 17 5" xfId="21298" xr:uid="{00000000-0005-0000-0000-000062530000}"/>
    <cellStyle name="计算 2 3 17 5 2" xfId="28167" xr:uid="{00000000-0005-0000-0000-0000376E0000}"/>
    <cellStyle name="计算 2 3 17 6" xfId="21303" xr:uid="{00000000-0005-0000-0000-000067530000}"/>
    <cellStyle name="计算 2 3 18" xfId="25926" xr:uid="{00000000-0005-0000-0000-000076650000}"/>
    <cellStyle name="计算 2 3 18 2" xfId="21320" xr:uid="{00000000-0005-0000-0000-000078530000}"/>
    <cellStyle name="计算 2 3 18 2 2" xfId="18545" xr:uid="{00000000-0005-0000-0000-0000A1480000}"/>
    <cellStyle name="计算 2 3 18 3" xfId="21327" xr:uid="{00000000-0005-0000-0000-00007F530000}"/>
    <cellStyle name="计算 2 3 18 3 2" xfId="13713" xr:uid="{00000000-0005-0000-0000-0000C1350000}"/>
    <cellStyle name="计算 2 3 18 4" xfId="21333" xr:uid="{00000000-0005-0000-0000-000085530000}"/>
    <cellStyle name="计算 2 3 18 4 2" xfId="25932" xr:uid="{00000000-0005-0000-0000-00007C650000}"/>
    <cellStyle name="计算 2 3 18 5" xfId="22879" xr:uid="{00000000-0005-0000-0000-00008F590000}"/>
    <cellStyle name="计算 2 3 18 5 2" xfId="25940" xr:uid="{00000000-0005-0000-0000-000084650000}"/>
    <cellStyle name="计算 2 3 18 6" xfId="25949" xr:uid="{00000000-0005-0000-0000-00008D650000}"/>
    <cellStyle name="计算 2 3 19" xfId="25970" xr:uid="{00000000-0005-0000-0000-0000A2650000}"/>
    <cellStyle name="计算 2 3 19 2" xfId="21344" xr:uid="{00000000-0005-0000-0000-000090530000}"/>
    <cellStyle name="计算 2 3 19 2 2" xfId="14008" xr:uid="{00000000-0005-0000-0000-0000E8360000}"/>
    <cellStyle name="计算 2 3 19 3" xfId="21351" xr:uid="{00000000-0005-0000-0000-000097530000}"/>
    <cellStyle name="计算 2 3 19 3 2" xfId="21355" xr:uid="{00000000-0005-0000-0000-00009B530000}"/>
    <cellStyle name="计算 2 3 19 4" xfId="21364" xr:uid="{00000000-0005-0000-0000-0000A4530000}"/>
    <cellStyle name="计算 2 3 19 4 2" xfId="25977" xr:uid="{00000000-0005-0000-0000-0000A9650000}"/>
    <cellStyle name="计算 2 3 19 5" xfId="25982" xr:uid="{00000000-0005-0000-0000-0000AE650000}"/>
    <cellStyle name="计算 2 3 2" xfId="18593" xr:uid="{00000000-0005-0000-0000-0000D1480000}"/>
    <cellStyle name="计算 2 3 2 10" xfId="7792" xr:uid="{00000000-0005-0000-0000-0000A01E0000}"/>
    <cellStyle name="计算 2 3 2 10 2" xfId="28171" xr:uid="{00000000-0005-0000-0000-00003B6E0000}"/>
    <cellStyle name="计算 2 3 2 11" xfId="28174" xr:uid="{00000000-0005-0000-0000-00003E6E0000}"/>
    <cellStyle name="计算 2 3 2 11 2" xfId="24364" xr:uid="{00000000-0005-0000-0000-00005C5F0000}"/>
    <cellStyle name="计算 2 3 2 12" xfId="28176" xr:uid="{00000000-0005-0000-0000-0000406E0000}"/>
    <cellStyle name="计算 2 3 2 12 2" xfId="24391" xr:uid="{00000000-0005-0000-0000-0000775F0000}"/>
    <cellStyle name="计算 2 3 2 13" xfId="28183" xr:uid="{00000000-0005-0000-0000-0000476E0000}"/>
    <cellStyle name="计算 2 3 2 14" xfId="28185" xr:uid="{00000000-0005-0000-0000-0000496E0000}"/>
    <cellStyle name="计算 2 3 2 15" xfId="7944" xr:uid="{00000000-0005-0000-0000-0000381F0000}"/>
    <cellStyle name="计算 2 3 2 16" xfId="27754" xr:uid="{00000000-0005-0000-0000-00009A6C0000}"/>
    <cellStyle name="计算 2 3 2 2" xfId="18599" xr:uid="{00000000-0005-0000-0000-0000D7480000}"/>
    <cellStyle name="计算 2 3 2 2 2" xfId="26495" xr:uid="{00000000-0005-0000-0000-0000AF670000}"/>
    <cellStyle name="计算 2 3 2 2 2 2" xfId="26501" xr:uid="{00000000-0005-0000-0000-0000B5670000}"/>
    <cellStyle name="计算 2 3 2 2 3" xfId="26505" xr:uid="{00000000-0005-0000-0000-0000B9670000}"/>
    <cellStyle name="计算 2 3 2 2 3 2" xfId="26508" xr:uid="{00000000-0005-0000-0000-0000BC670000}"/>
    <cellStyle name="计算 2 3 2 2 4" xfId="15289" xr:uid="{00000000-0005-0000-0000-0000E93B0000}"/>
    <cellStyle name="计算 2 3 2 2 4 2" xfId="15292" xr:uid="{00000000-0005-0000-0000-0000EC3B0000}"/>
    <cellStyle name="计算 2 3 2 2 5" xfId="15297" xr:uid="{00000000-0005-0000-0000-0000F13B0000}"/>
    <cellStyle name="计算 2 3 2 2 5 2" xfId="15300" xr:uid="{00000000-0005-0000-0000-0000F43B0000}"/>
    <cellStyle name="计算 2 3 2 2 6" xfId="15306" xr:uid="{00000000-0005-0000-0000-0000FA3B0000}"/>
    <cellStyle name="计算 2 3 2 2 7" xfId="12106" xr:uid="{00000000-0005-0000-0000-00007A2F0000}"/>
    <cellStyle name="计算 2 3 2 2 8" xfId="15319" xr:uid="{00000000-0005-0000-0000-0000073C0000}"/>
    <cellStyle name="计算 2 3 2 2 9" xfId="28188" xr:uid="{00000000-0005-0000-0000-00004C6E0000}"/>
    <cellStyle name="计算 2 3 2 3" xfId="28189" xr:uid="{00000000-0005-0000-0000-00004D6E0000}"/>
    <cellStyle name="计算 2 3 2 3 2" xfId="28191" xr:uid="{00000000-0005-0000-0000-00004F6E0000}"/>
    <cellStyle name="计算 2 3 2 3 2 2" xfId="13030" xr:uid="{00000000-0005-0000-0000-000016330000}"/>
    <cellStyle name="计算 2 3 2 3 3" xfId="28192" xr:uid="{00000000-0005-0000-0000-0000506E0000}"/>
    <cellStyle name="计算 2 3 2 3 3 2" xfId="28193" xr:uid="{00000000-0005-0000-0000-0000516E0000}"/>
    <cellStyle name="计算 2 3 2 3 4" xfId="15325" xr:uid="{00000000-0005-0000-0000-00000D3C0000}"/>
    <cellStyle name="计算 2 3 2 3 4 2" xfId="15327" xr:uid="{00000000-0005-0000-0000-00000F3C0000}"/>
    <cellStyle name="计算 2 3 2 3 5" xfId="15331" xr:uid="{00000000-0005-0000-0000-0000133C0000}"/>
    <cellStyle name="计算 2 3 2 3 5 2" xfId="15333" xr:uid="{00000000-0005-0000-0000-0000153C0000}"/>
    <cellStyle name="计算 2 3 2 3 6" xfId="15335" xr:uid="{00000000-0005-0000-0000-0000173C0000}"/>
    <cellStyle name="计算 2 3 2 4" xfId="28194" xr:uid="{00000000-0005-0000-0000-0000526E0000}"/>
    <cellStyle name="计算 2 3 2 4 2" xfId="26881" xr:uid="{00000000-0005-0000-0000-000031690000}"/>
    <cellStyle name="计算 2 3 2 4 2 2" xfId="13481" xr:uid="{00000000-0005-0000-0000-0000D9340000}"/>
    <cellStyle name="计算 2 3 2 4 3" xfId="28195" xr:uid="{00000000-0005-0000-0000-0000536E0000}"/>
    <cellStyle name="计算 2 3 2 4 3 2" xfId="28196" xr:uid="{00000000-0005-0000-0000-0000546E0000}"/>
    <cellStyle name="计算 2 3 2 4 4" xfId="15343" xr:uid="{00000000-0005-0000-0000-00001F3C0000}"/>
    <cellStyle name="计算 2 3 2 4 4 2" xfId="15345" xr:uid="{00000000-0005-0000-0000-0000213C0000}"/>
    <cellStyle name="计算 2 3 2 4 5" xfId="222" xr:uid="{00000000-0005-0000-0000-0000F1000000}"/>
    <cellStyle name="计算 2 3 2 4 5 2" xfId="1082" xr:uid="{00000000-0005-0000-0000-00006A040000}"/>
    <cellStyle name="计算 2 3 2 4 6" xfId="226" xr:uid="{00000000-0005-0000-0000-0000F5000000}"/>
    <cellStyle name="计算 2 3 2 5" xfId="28197" xr:uid="{00000000-0005-0000-0000-0000556E0000}"/>
    <cellStyle name="计算 2 3 2 5 2" xfId="28198" xr:uid="{00000000-0005-0000-0000-0000566E0000}"/>
    <cellStyle name="计算 2 3 2 5 2 2" xfId="28199" xr:uid="{00000000-0005-0000-0000-0000576E0000}"/>
    <cellStyle name="计算 2 3 2 5 3" xfId="28200" xr:uid="{00000000-0005-0000-0000-0000586E0000}"/>
    <cellStyle name="计算 2 3 2 5 3 2" xfId="28201" xr:uid="{00000000-0005-0000-0000-0000596E0000}"/>
    <cellStyle name="计算 2 3 2 5 4" xfId="15353" xr:uid="{00000000-0005-0000-0000-0000293C0000}"/>
    <cellStyle name="计算 2 3 2 5 4 2" xfId="15359" xr:uid="{00000000-0005-0000-0000-00002F3C0000}"/>
    <cellStyle name="计算 2 3 2 5 5" xfId="15361" xr:uid="{00000000-0005-0000-0000-0000313C0000}"/>
    <cellStyle name="计算 2 3 2 5 5 2" xfId="15367" xr:uid="{00000000-0005-0000-0000-0000373C0000}"/>
    <cellStyle name="计算 2 3 2 5 6" xfId="15370" xr:uid="{00000000-0005-0000-0000-00003A3C0000}"/>
    <cellStyle name="计算 2 3 2 6" xfId="17035" xr:uid="{00000000-0005-0000-0000-0000BB420000}"/>
    <cellStyle name="计算 2 3 2 6 2" xfId="28202" xr:uid="{00000000-0005-0000-0000-00005A6E0000}"/>
    <cellStyle name="计算 2 3 2 6 2 2" xfId="28203" xr:uid="{00000000-0005-0000-0000-00005B6E0000}"/>
    <cellStyle name="计算 2 3 2 6 3" xfId="28204" xr:uid="{00000000-0005-0000-0000-00005C6E0000}"/>
    <cellStyle name="计算 2 3 2 6 3 2" xfId="28205" xr:uid="{00000000-0005-0000-0000-00005D6E0000}"/>
    <cellStyle name="计算 2 3 2 6 4" xfId="11068" xr:uid="{00000000-0005-0000-0000-00006C2B0000}"/>
    <cellStyle name="计算 2 3 2 6 4 2" xfId="15396" xr:uid="{00000000-0005-0000-0000-0000543C0000}"/>
    <cellStyle name="计算 2 3 2 6 5" xfId="15398" xr:uid="{00000000-0005-0000-0000-0000563C0000}"/>
    <cellStyle name="计算 2 3 2 6 5 2" xfId="15400" xr:uid="{00000000-0005-0000-0000-0000583C0000}"/>
    <cellStyle name="计算 2 3 2 6 6" xfId="15402" xr:uid="{00000000-0005-0000-0000-00005A3C0000}"/>
    <cellStyle name="计算 2 3 2 7" xfId="28209" xr:uid="{00000000-0005-0000-0000-0000616E0000}"/>
    <cellStyle name="计算 2 3 2 7 2" xfId="26733" xr:uid="{00000000-0005-0000-0000-00009D680000}"/>
    <cellStyle name="计算 2 3 2 7 2 2" xfId="26734" xr:uid="{00000000-0005-0000-0000-00009E680000}"/>
    <cellStyle name="计算 2 3 2 7 3" xfId="26738" xr:uid="{00000000-0005-0000-0000-0000A2680000}"/>
    <cellStyle name="计算 2 3 2 7 3 2" xfId="26740" xr:uid="{00000000-0005-0000-0000-0000A4680000}"/>
    <cellStyle name="计算 2 3 2 7 4" xfId="6247" xr:uid="{00000000-0005-0000-0000-000097180000}"/>
    <cellStyle name="计算 2 3 2 7 4 2" xfId="15420" xr:uid="{00000000-0005-0000-0000-00006C3C0000}"/>
    <cellStyle name="计算 2 3 2 7 5" xfId="4441" xr:uid="{00000000-0005-0000-0000-000089110000}"/>
    <cellStyle name="计算 2 3 2 7 5 2" xfId="15423" xr:uid="{00000000-0005-0000-0000-00006F3C0000}"/>
    <cellStyle name="计算 2 3 2 7 6" xfId="15428" xr:uid="{00000000-0005-0000-0000-0000743C0000}"/>
    <cellStyle name="计算 2 3 2 8" xfId="28212" xr:uid="{00000000-0005-0000-0000-0000646E0000}"/>
    <cellStyle name="计算 2 3 2 8 2" xfId="28215" xr:uid="{00000000-0005-0000-0000-0000676E0000}"/>
    <cellStyle name="计算 2 3 2 8 2 2" xfId="14317" xr:uid="{00000000-0005-0000-0000-00001D380000}"/>
    <cellStyle name="计算 2 3 2 8 3" xfId="28217" xr:uid="{00000000-0005-0000-0000-0000696E0000}"/>
    <cellStyle name="计算 2 3 2 8 3 2" xfId="4418" xr:uid="{00000000-0005-0000-0000-000072110000}"/>
    <cellStyle name="计算 2 3 2 8 4" xfId="11076" xr:uid="{00000000-0005-0000-0000-0000742B0000}"/>
    <cellStyle name="计算 2 3 2 8 4 2" xfId="28219" xr:uid="{00000000-0005-0000-0000-00006B6E0000}"/>
    <cellStyle name="计算 2 3 2 8 5" xfId="27615" xr:uid="{00000000-0005-0000-0000-00000F6C0000}"/>
    <cellStyle name="计算 2 3 2 9" xfId="17128" xr:uid="{00000000-0005-0000-0000-000018430000}"/>
    <cellStyle name="计算 2 3 2 9 2" xfId="17133" xr:uid="{00000000-0005-0000-0000-00001D430000}"/>
    <cellStyle name="计算 2 3 20" xfId="28141" xr:uid="{00000000-0005-0000-0000-00001D6E0000}"/>
    <cellStyle name="计算 2 3 20 2" xfId="28145" xr:uid="{00000000-0005-0000-0000-0000216E0000}"/>
    <cellStyle name="计算 2 3 21" xfId="28153" xr:uid="{00000000-0005-0000-0000-0000296E0000}"/>
    <cellStyle name="计算 2 3 21 2" xfId="26311" xr:uid="{00000000-0005-0000-0000-0000F7660000}"/>
    <cellStyle name="计算 2 3 22" xfId="7413" xr:uid="{00000000-0005-0000-0000-0000251D0000}"/>
    <cellStyle name="计算 2 3 22 2" xfId="21285" xr:uid="{00000000-0005-0000-0000-000055530000}"/>
    <cellStyle name="计算 2 3 23" xfId="25925" xr:uid="{00000000-0005-0000-0000-000075650000}"/>
    <cellStyle name="计算 2 3 23 2" xfId="21319" xr:uid="{00000000-0005-0000-0000-000077530000}"/>
    <cellStyle name="计算 2 3 24" xfId="25969" xr:uid="{00000000-0005-0000-0000-0000A1650000}"/>
    <cellStyle name="计算 2 3 25" xfId="23769" xr:uid="{00000000-0005-0000-0000-0000095D0000}"/>
    <cellStyle name="计算 2 3 26" xfId="26002" xr:uid="{00000000-0005-0000-0000-0000C2650000}"/>
    <cellStyle name="计算 2 3 27" xfId="9238" xr:uid="{00000000-0005-0000-0000-000046240000}"/>
    <cellStyle name="计算 2 3 3" xfId="18607" xr:uid="{00000000-0005-0000-0000-0000DF480000}"/>
    <cellStyle name="计算 2 3 3 10" xfId="8919" xr:uid="{00000000-0005-0000-0000-000007230000}"/>
    <cellStyle name="计算 2 3 3 10 2" xfId="8929" xr:uid="{00000000-0005-0000-0000-000011230000}"/>
    <cellStyle name="计算 2 3 3 11" xfId="4213" xr:uid="{00000000-0005-0000-0000-0000A5100000}"/>
    <cellStyle name="计算 2 3 3 11 2" xfId="8977" xr:uid="{00000000-0005-0000-0000-000041230000}"/>
    <cellStyle name="计算 2 3 3 12" xfId="8999" xr:uid="{00000000-0005-0000-0000-000057230000}"/>
    <cellStyle name="计算 2 3 3 12 2" xfId="28221" xr:uid="{00000000-0005-0000-0000-00006D6E0000}"/>
    <cellStyle name="计算 2 3 3 13" xfId="25751" xr:uid="{00000000-0005-0000-0000-0000C7640000}"/>
    <cellStyle name="计算 2 3 3 14" xfId="5827" xr:uid="{00000000-0005-0000-0000-0000F3160000}"/>
    <cellStyle name="计算 2 3 3 15" xfId="5856" xr:uid="{00000000-0005-0000-0000-000010170000}"/>
    <cellStyle name="计算 2 3 3 16" xfId="5887" xr:uid="{00000000-0005-0000-0000-00002F170000}"/>
    <cellStyle name="计算 2 3 3 2" xfId="18613" xr:uid="{00000000-0005-0000-0000-0000E5480000}"/>
    <cellStyle name="计算 2 3 3 2 2" xfId="28222" xr:uid="{00000000-0005-0000-0000-00006E6E0000}"/>
    <cellStyle name="计算 2 3 3 2 2 2" xfId="28224" xr:uid="{00000000-0005-0000-0000-0000706E0000}"/>
    <cellStyle name="计算 2 3 3 2 3" xfId="28225" xr:uid="{00000000-0005-0000-0000-0000716E0000}"/>
    <cellStyle name="计算 2 3 3 2 3 2" xfId="28226" xr:uid="{00000000-0005-0000-0000-0000726E0000}"/>
    <cellStyle name="计算 2 3 3 2 4" xfId="16664" xr:uid="{00000000-0005-0000-0000-000048410000}"/>
    <cellStyle name="计算 2 3 3 2 4 2" xfId="28227" xr:uid="{00000000-0005-0000-0000-0000736E0000}"/>
    <cellStyle name="计算 2 3 3 2 5" xfId="28228" xr:uid="{00000000-0005-0000-0000-0000746E0000}"/>
    <cellStyle name="计算 2 3 3 2 5 2" xfId="28229" xr:uid="{00000000-0005-0000-0000-0000756E0000}"/>
    <cellStyle name="计算 2 3 3 2 6" xfId="28230" xr:uid="{00000000-0005-0000-0000-0000766E0000}"/>
    <cellStyle name="计算 2 3 3 2 7" xfId="12150" xr:uid="{00000000-0005-0000-0000-0000A62F0000}"/>
    <cellStyle name="计算 2 3 3 2 8" xfId="28231" xr:uid="{00000000-0005-0000-0000-0000776E0000}"/>
    <cellStyle name="计算 2 3 3 2 9" xfId="28232" xr:uid="{00000000-0005-0000-0000-0000786E0000}"/>
    <cellStyle name="计算 2 3 3 3" xfId="28233" xr:uid="{00000000-0005-0000-0000-0000796E0000}"/>
    <cellStyle name="计算 2 3 3 3 2" xfId="28235" xr:uid="{00000000-0005-0000-0000-00007B6E0000}"/>
    <cellStyle name="计算 2 3 3 3 2 2" xfId="20544" xr:uid="{00000000-0005-0000-0000-000070500000}"/>
    <cellStyle name="计算 2 3 3 3 3" xfId="28236" xr:uid="{00000000-0005-0000-0000-00007C6E0000}"/>
    <cellStyle name="计算 2 3 3 3 3 2" xfId="24262" xr:uid="{00000000-0005-0000-0000-0000F65E0000}"/>
    <cellStyle name="计算 2 3 3 3 4" xfId="16667" xr:uid="{00000000-0005-0000-0000-00004B410000}"/>
    <cellStyle name="计算 2 3 3 3 4 2" xfId="24402" xr:uid="{00000000-0005-0000-0000-0000825F0000}"/>
    <cellStyle name="计算 2 3 3 3 5" xfId="28237" xr:uid="{00000000-0005-0000-0000-00007D6E0000}"/>
    <cellStyle name="计算 2 3 3 3 5 2" xfId="24548" xr:uid="{00000000-0005-0000-0000-000014600000}"/>
    <cellStyle name="计算 2 3 3 3 6" xfId="28238" xr:uid="{00000000-0005-0000-0000-00007E6E0000}"/>
    <cellStyle name="计算 2 3 3 4" xfId="28239" xr:uid="{00000000-0005-0000-0000-00007F6E0000}"/>
    <cellStyle name="计算 2 3 3 4 2" xfId="28240" xr:uid="{00000000-0005-0000-0000-0000806E0000}"/>
    <cellStyle name="计算 2 3 3 4 2 2" xfId="21072" xr:uid="{00000000-0005-0000-0000-000080520000}"/>
    <cellStyle name="计算 2 3 3 4 3" xfId="28241" xr:uid="{00000000-0005-0000-0000-0000816E0000}"/>
    <cellStyle name="计算 2 3 3 4 3 2" xfId="25422" xr:uid="{00000000-0005-0000-0000-00007E630000}"/>
    <cellStyle name="计算 2 3 3 4 4" xfId="28244" xr:uid="{00000000-0005-0000-0000-0000846E0000}"/>
    <cellStyle name="计算 2 3 3 4 4 2" xfId="25475" xr:uid="{00000000-0005-0000-0000-0000B3630000}"/>
    <cellStyle name="计算 2 3 3 4 5" xfId="28245" xr:uid="{00000000-0005-0000-0000-0000856E0000}"/>
    <cellStyle name="计算 2 3 3 4 5 2" xfId="25535" xr:uid="{00000000-0005-0000-0000-0000EF630000}"/>
    <cellStyle name="计算 2 3 3 4 6" xfId="28246" xr:uid="{00000000-0005-0000-0000-0000866E0000}"/>
    <cellStyle name="计算 2 3 3 5" xfId="28247" xr:uid="{00000000-0005-0000-0000-0000876E0000}"/>
    <cellStyle name="计算 2 3 3 5 2" xfId="23773" xr:uid="{00000000-0005-0000-0000-00000D5D0000}"/>
    <cellStyle name="计算 2 3 3 5 2 2" xfId="23775" xr:uid="{00000000-0005-0000-0000-00000F5D0000}"/>
    <cellStyle name="计算 2 3 3 5 3" xfId="23779" xr:uid="{00000000-0005-0000-0000-0000135D0000}"/>
    <cellStyle name="计算 2 3 3 5 3 2" xfId="23783" xr:uid="{00000000-0005-0000-0000-0000175D0000}"/>
    <cellStyle name="计算 2 3 3 5 4" xfId="23787" xr:uid="{00000000-0005-0000-0000-00001B5D0000}"/>
    <cellStyle name="计算 2 3 3 5 4 2" xfId="26335" xr:uid="{00000000-0005-0000-0000-00000F670000}"/>
    <cellStyle name="计算 2 3 3 5 5" xfId="23789" xr:uid="{00000000-0005-0000-0000-00001D5D0000}"/>
    <cellStyle name="计算 2 3 3 5 5 2" xfId="26425" xr:uid="{00000000-0005-0000-0000-000069670000}"/>
    <cellStyle name="计算 2 3 3 5 6" xfId="23792" xr:uid="{00000000-0005-0000-0000-0000205D0000}"/>
    <cellStyle name="计算 2 3 3 6" xfId="17039" xr:uid="{00000000-0005-0000-0000-0000BF420000}"/>
    <cellStyle name="计算 2 3 3 6 2" xfId="23806" xr:uid="{00000000-0005-0000-0000-00002E5D0000}"/>
    <cellStyle name="计算 2 3 3 6 2 2" xfId="23808" xr:uid="{00000000-0005-0000-0000-0000305D0000}"/>
    <cellStyle name="计算 2 3 3 6 3" xfId="23812" xr:uid="{00000000-0005-0000-0000-0000345D0000}"/>
    <cellStyle name="计算 2 3 3 6 3 2" xfId="23816" xr:uid="{00000000-0005-0000-0000-0000385D0000}"/>
    <cellStyle name="计算 2 3 3 6 4" xfId="11113" xr:uid="{00000000-0005-0000-0000-0000992B0000}"/>
    <cellStyle name="计算 2 3 3 6 4 2" xfId="26920" xr:uid="{00000000-0005-0000-0000-000058690000}"/>
    <cellStyle name="计算 2 3 3 6 5" xfId="28248" xr:uid="{00000000-0005-0000-0000-0000886E0000}"/>
    <cellStyle name="计算 2 3 3 6 5 2" xfId="26927" xr:uid="{00000000-0005-0000-0000-00005F690000}"/>
    <cellStyle name="计算 2 3 3 6 6" xfId="28250" xr:uid="{00000000-0005-0000-0000-00008A6E0000}"/>
    <cellStyle name="计算 2 3 3 7" xfId="28254" xr:uid="{00000000-0005-0000-0000-00008E6E0000}"/>
    <cellStyle name="计算 2 3 3 7 2" xfId="23826" xr:uid="{00000000-0005-0000-0000-0000425D0000}"/>
    <cellStyle name="计算 2 3 3 7 2 2" xfId="23828" xr:uid="{00000000-0005-0000-0000-0000445D0000}"/>
    <cellStyle name="计算 2 3 3 7 3" xfId="23830" xr:uid="{00000000-0005-0000-0000-0000465D0000}"/>
    <cellStyle name="计算 2 3 3 7 3 2" xfId="23834" xr:uid="{00000000-0005-0000-0000-00004A5D0000}"/>
    <cellStyle name="计算 2 3 3 7 4" xfId="11117" xr:uid="{00000000-0005-0000-0000-00009D2B0000}"/>
    <cellStyle name="计算 2 3 3 7 4 2" xfId="28256" xr:uid="{00000000-0005-0000-0000-0000906E0000}"/>
    <cellStyle name="计算 2 3 3 7 5" xfId="27623" xr:uid="{00000000-0005-0000-0000-0000176C0000}"/>
    <cellStyle name="计算 2 3 3 7 5 2" xfId="28258" xr:uid="{00000000-0005-0000-0000-0000926E0000}"/>
    <cellStyle name="计算 2 3 3 7 6" xfId="18013" xr:uid="{00000000-0005-0000-0000-00008D460000}"/>
    <cellStyle name="计算 2 3 3 8" xfId="28261" xr:uid="{00000000-0005-0000-0000-0000956E0000}"/>
    <cellStyle name="计算 2 3 3 8 2" xfId="23845" xr:uid="{00000000-0005-0000-0000-0000555D0000}"/>
    <cellStyle name="计算 2 3 3 8 2 2" xfId="21878" xr:uid="{00000000-0005-0000-0000-0000A6550000}"/>
    <cellStyle name="计算 2 3 3 8 3" xfId="23848" xr:uid="{00000000-0005-0000-0000-0000585D0000}"/>
    <cellStyle name="计算 2 3 3 8 3 2" xfId="23852" xr:uid="{00000000-0005-0000-0000-00005C5D0000}"/>
    <cellStyle name="计算 2 3 3 8 4" xfId="11123" xr:uid="{00000000-0005-0000-0000-0000A32B0000}"/>
    <cellStyle name="计算 2 3 3 8 4 2" xfId="28264" xr:uid="{00000000-0005-0000-0000-0000986E0000}"/>
    <cellStyle name="计算 2 3 3 8 5" xfId="27626" xr:uid="{00000000-0005-0000-0000-00001A6C0000}"/>
    <cellStyle name="计算 2 3 3 9" xfId="17163" xr:uid="{00000000-0005-0000-0000-00003B430000}"/>
    <cellStyle name="计算 2 3 3 9 2" xfId="17167" xr:uid="{00000000-0005-0000-0000-00003F430000}"/>
    <cellStyle name="计算 2 3 4" xfId="18619" xr:uid="{00000000-0005-0000-0000-0000EB480000}"/>
    <cellStyle name="计算 2 3 4 10" xfId="28266" xr:uid="{00000000-0005-0000-0000-00009A6E0000}"/>
    <cellStyle name="计算 2 3 4 10 2" xfId="28267" xr:uid="{00000000-0005-0000-0000-00009B6E0000}"/>
    <cellStyle name="计算 2 3 4 11" xfId="27044" xr:uid="{00000000-0005-0000-0000-0000D4690000}"/>
    <cellStyle name="计算 2 3 4 11 2" xfId="28268" xr:uid="{00000000-0005-0000-0000-00009C6E0000}"/>
    <cellStyle name="计算 2 3 4 12" xfId="28270" xr:uid="{00000000-0005-0000-0000-00009E6E0000}"/>
    <cellStyle name="计算 2 3 4 12 2" xfId="28271" xr:uid="{00000000-0005-0000-0000-00009F6E0000}"/>
    <cellStyle name="计算 2 3 4 13" xfId="21486" xr:uid="{00000000-0005-0000-0000-00001E540000}"/>
    <cellStyle name="计算 2 3 4 14" xfId="28272" xr:uid="{00000000-0005-0000-0000-0000A06E0000}"/>
    <cellStyle name="计算 2 3 4 15" xfId="19049" xr:uid="{00000000-0005-0000-0000-0000994A0000}"/>
    <cellStyle name="计算 2 3 4 16" xfId="20552" xr:uid="{00000000-0005-0000-0000-000078500000}"/>
    <cellStyle name="计算 2 3 4 2" xfId="28274" xr:uid="{00000000-0005-0000-0000-0000A26E0000}"/>
    <cellStyle name="计算 2 3 4 2 2" xfId="28277" xr:uid="{00000000-0005-0000-0000-0000A56E0000}"/>
    <cellStyle name="计算 2 3 4 2 2 2" xfId="2741" xr:uid="{00000000-0005-0000-0000-0000E50A0000}"/>
    <cellStyle name="计算 2 3 4 2 3" xfId="28279" xr:uid="{00000000-0005-0000-0000-0000A76E0000}"/>
    <cellStyle name="计算 2 3 4 2 3 2" xfId="28280" xr:uid="{00000000-0005-0000-0000-0000A86E0000}"/>
    <cellStyle name="计算 2 3 4 2 4" xfId="12415" xr:uid="{00000000-0005-0000-0000-0000AF300000}"/>
    <cellStyle name="计算 2 3 4 2 4 2" xfId="28281" xr:uid="{00000000-0005-0000-0000-0000A96E0000}"/>
    <cellStyle name="计算 2 3 4 2 5" xfId="21986" xr:uid="{00000000-0005-0000-0000-000012560000}"/>
    <cellStyle name="计算 2 3 4 2 5 2" xfId="28283" xr:uid="{00000000-0005-0000-0000-0000AB6E0000}"/>
    <cellStyle name="计算 2 3 4 2 6" xfId="17332" xr:uid="{00000000-0005-0000-0000-0000E4430000}"/>
    <cellStyle name="计算 2 3 4 2 7" xfId="28284" xr:uid="{00000000-0005-0000-0000-0000AC6E0000}"/>
    <cellStyle name="计算 2 3 4 2 8" xfId="28285" xr:uid="{00000000-0005-0000-0000-0000AD6E0000}"/>
    <cellStyle name="计算 2 3 4 2 9" xfId="28286" xr:uid="{00000000-0005-0000-0000-0000AE6E0000}"/>
    <cellStyle name="计算 2 3 4 3" xfId="28287" xr:uid="{00000000-0005-0000-0000-0000AF6E0000}"/>
    <cellStyle name="计算 2 3 4 3 2" xfId="28289" xr:uid="{00000000-0005-0000-0000-0000B16E0000}"/>
    <cellStyle name="计算 2 3 4 3 2 2" xfId="2551" xr:uid="{00000000-0005-0000-0000-0000270A0000}"/>
    <cellStyle name="计算 2 3 4 3 3" xfId="28291" xr:uid="{00000000-0005-0000-0000-0000B36E0000}"/>
    <cellStyle name="计算 2 3 4 3 3 2" xfId="28293" xr:uid="{00000000-0005-0000-0000-0000B56E0000}"/>
    <cellStyle name="计算 2 3 4 3 4" xfId="12428" xr:uid="{00000000-0005-0000-0000-0000BC300000}"/>
    <cellStyle name="计算 2 3 4 3 4 2" xfId="28295" xr:uid="{00000000-0005-0000-0000-0000B76E0000}"/>
    <cellStyle name="计算 2 3 4 3 5" xfId="21991" xr:uid="{00000000-0005-0000-0000-000017560000}"/>
    <cellStyle name="计算 2 3 4 3 5 2" xfId="28297" xr:uid="{00000000-0005-0000-0000-0000B96E0000}"/>
    <cellStyle name="计算 2 3 4 3 6" xfId="17334" xr:uid="{00000000-0005-0000-0000-0000E6430000}"/>
    <cellStyle name="计算 2 3 4 4" xfId="28298" xr:uid="{00000000-0005-0000-0000-0000BA6E0000}"/>
    <cellStyle name="计算 2 3 4 4 2" xfId="28299" xr:uid="{00000000-0005-0000-0000-0000BB6E0000}"/>
    <cellStyle name="计算 2 3 4 4 2 2" xfId="28301" xr:uid="{00000000-0005-0000-0000-0000BD6E0000}"/>
    <cellStyle name="计算 2 3 4 4 3" xfId="28303" xr:uid="{00000000-0005-0000-0000-0000BF6E0000}"/>
    <cellStyle name="计算 2 3 4 4 3 2" xfId="28306" xr:uid="{00000000-0005-0000-0000-0000C26E0000}"/>
    <cellStyle name="计算 2 3 4 4 4" xfId="28309" xr:uid="{00000000-0005-0000-0000-0000C56E0000}"/>
    <cellStyle name="计算 2 3 4 4 4 2" xfId="28311" xr:uid="{00000000-0005-0000-0000-0000C76E0000}"/>
    <cellStyle name="计算 2 3 4 4 5" xfId="28314" xr:uid="{00000000-0005-0000-0000-0000CA6E0000}"/>
    <cellStyle name="计算 2 3 4 4 5 2" xfId="28317" xr:uid="{00000000-0005-0000-0000-0000CD6E0000}"/>
    <cellStyle name="计算 2 3 4 4 6" xfId="17346" xr:uid="{00000000-0005-0000-0000-0000F2430000}"/>
    <cellStyle name="计算 2 3 4 5" xfId="28318" xr:uid="{00000000-0005-0000-0000-0000CE6E0000}"/>
    <cellStyle name="计算 2 3 4 5 2" xfId="23937" xr:uid="{00000000-0005-0000-0000-0000B15D0000}"/>
    <cellStyle name="计算 2 3 4 5 2 2" xfId="23940" xr:uid="{00000000-0005-0000-0000-0000B45D0000}"/>
    <cellStyle name="计算 2 3 4 5 3" xfId="23943" xr:uid="{00000000-0005-0000-0000-0000B75D0000}"/>
    <cellStyle name="计算 2 3 4 5 3 2" xfId="23947" xr:uid="{00000000-0005-0000-0000-0000BB5D0000}"/>
    <cellStyle name="计算 2 3 4 5 4" xfId="23951" xr:uid="{00000000-0005-0000-0000-0000BF5D0000}"/>
    <cellStyle name="计算 2 3 4 5 4 2" xfId="480" xr:uid="{00000000-0005-0000-0000-00000B020000}"/>
    <cellStyle name="计算 2 3 4 5 5" xfId="20523" xr:uid="{00000000-0005-0000-0000-00005B500000}"/>
    <cellStyle name="计算 2 3 4 5 5 2" xfId="20528" xr:uid="{00000000-0005-0000-0000-000060500000}"/>
    <cellStyle name="计算 2 3 4 5 6" xfId="17352" xr:uid="{00000000-0005-0000-0000-0000F8430000}"/>
    <cellStyle name="计算 2 3 4 6" xfId="28320" xr:uid="{00000000-0005-0000-0000-0000D06E0000}"/>
    <cellStyle name="计算 2 3 4 6 2" xfId="23958" xr:uid="{00000000-0005-0000-0000-0000C65D0000}"/>
    <cellStyle name="计算 2 3 4 6 2 2" xfId="13792" xr:uid="{00000000-0005-0000-0000-000010360000}"/>
    <cellStyle name="计算 2 3 4 6 3" xfId="23962" xr:uid="{00000000-0005-0000-0000-0000CA5D0000}"/>
    <cellStyle name="计算 2 3 4 6 3 2" xfId="13801" xr:uid="{00000000-0005-0000-0000-000019360000}"/>
    <cellStyle name="计算 2 3 4 6 4" xfId="11138" xr:uid="{00000000-0005-0000-0000-0000B22B0000}"/>
    <cellStyle name="计算 2 3 4 6 4 2" xfId="13812" xr:uid="{00000000-0005-0000-0000-000024360000}"/>
    <cellStyle name="计算 2 3 4 6 5" xfId="28321" xr:uid="{00000000-0005-0000-0000-0000D16E0000}"/>
    <cellStyle name="计算 2 3 4 6 5 2" xfId="28324" xr:uid="{00000000-0005-0000-0000-0000D46E0000}"/>
    <cellStyle name="计算 2 3 4 6 6" xfId="28325" xr:uid="{00000000-0005-0000-0000-0000D56E0000}"/>
    <cellStyle name="计算 2 3 4 7" xfId="28330" xr:uid="{00000000-0005-0000-0000-0000DA6E0000}"/>
    <cellStyle name="计算 2 3 4 7 2" xfId="23972" xr:uid="{00000000-0005-0000-0000-0000D45D0000}"/>
    <cellStyle name="计算 2 3 4 7 2 2" xfId="13910" xr:uid="{00000000-0005-0000-0000-000086360000}"/>
    <cellStyle name="计算 2 3 4 7 3" xfId="23976" xr:uid="{00000000-0005-0000-0000-0000D85D0000}"/>
    <cellStyle name="计算 2 3 4 7 3 2" xfId="13936" xr:uid="{00000000-0005-0000-0000-0000A0360000}"/>
    <cellStyle name="计算 2 3 4 7 4" xfId="134" xr:uid="{00000000-0005-0000-0000-000091000000}"/>
    <cellStyle name="计算 2 3 4 7 4 2" xfId="13955" xr:uid="{00000000-0005-0000-0000-0000B3360000}"/>
    <cellStyle name="计算 2 3 4 7 5" xfId="27635" xr:uid="{00000000-0005-0000-0000-0000236C0000}"/>
    <cellStyle name="计算 2 3 4 7 5 2" xfId="28331" xr:uid="{00000000-0005-0000-0000-0000DB6E0000}"/>
    <cellStyle name="计算 2 3 4 7 6" xfId="18058" xr:uid="{00000000-0005-0000-0000-0000BA460000}"/>
    <cellStyle name="计算 2 3 4 8" xfId="28334" xr:uid="{00000000-0005-0000-0000-0000DE6E0000}"/>
    <cellStyle name="计算 2 3 4 8 2" xfId="20258" xr:uid="{00000000-0005-0000-0000-0000524F0000}"/>
    <cellStyle name="计算 2 3 4 8 2 2" xfId="17431" xr:uid="{00000000-0005-0000-0000-000047440000}"/>
    <cellStyle name="计算 2 3 4 8 3" xfId="20263" xr:uid="{00000000-0005-0000-0000-0000574F0000}"/>
    <cellStyle name="计算 2 3 4 8 3 2" xfId="17462" xr:uid="{00000000-0005-0000-0000-000066440000}"/>
    <cellStyle name="计算 2 3 4 8 4" xfId="11147" xr:uid="{00000000-0005-0000-0000-0000BB2B0000}"/>
    <cellStyle name="计算 2 3 4 8 4 2" xfId="17484" xr:uid="{00000000-0005-0000-0000-00007C440000}"/>
    <cellStyle name="计算 2 3 4 8 5" xfId="27639" xr:uid="{00000000-0005-0000-0000-0000276C0000}"/>
    <cellStyle name="计算 2 3 4 9" xfId="11259" xr:uid="{00000000-0005-0000-0000-00002B2C0000}"/>
    <cellStyle name="计算 2 3 4 9 2" xfId="17199" xr:uid="{00000000-0005-0000-0000-00005F430000}"/>
    <cellStyle name="计算 2 3 5" xfId="28335" xr:uid="{00000000-0005-0000-0000-0000DF6E0000}"/>
    <cellStyle name="计算 2 3 5 10" xfId="28338" xr:uid="{00000000-0005-0000-0000-0000E26E0000}"/>
    <cellStyle name="计算 2 3 5 10 2" xfId="28339" xr:uid="{00000000-0005-0000-0000-0000E36E0000}"/>
    <cellStyle name="计算 2 3 5 11" xfId="28340" xr:uid="{00000000-0005-0000-0000-0000E46E0000}"/>
    <cellStyle name="计算 2 3 5 11 2" xfId="21505" xr:uid="{00000000-0005-0000-0000-000031540000}"/>
    <cellStyle name="计算 2 3 5 12" xfId="28341" xr:uid="{00000000-0005-0000-0000-0000E56E0000}"/>
    <cellStyle name="计算 2 3 5 12 2" xfId="20227" xr:uid="{00000000-0005-0000-0000-0000334F0000}"/>
    <cellStyle name="计算 2 3 5 13" xfId="26031" xr:uid="{00000000-0005-0000-0000-0000DF650000}"/>
    <cellStyle name="计算 2 3 5 14" xfId="28342" xr:uid="{00000000-0005-0000-0000-0000E66E0000}"/>
    <cellStyle name="计算 2 3 5 15" xfId="28344" xr:uid="{00000000-0005-0000-0000-0000E86E0000}"/>
    <cellStyle name="计算 2 3 5 16" xfId="21078" xr:uid="{00000000-0005-0000-0000-000086520000}"/>
    <cellStyle name="计算 2 3 5 2" xfId="28346" xr:uid="{00000000-0005-0000-0000-0000EA6E0000}"/>
    <cellStyle name="计算 2 3 5 2 2" xfId="28350" xr:uid="{00000000-0005-0000-0000-0000EE6E0000}"/>
    <cellStyle name="计算 2 3 5 2 2 2" xfId="1313" xr:uid="{00000000-0005-0000-0000-000051050000}"/>
    <cellStyle name="计算 2 3 5 2 3" xfId="28352" xr:uid="{00000000-0005-0000-0000-0000F06E0000}"/>
    <cellStyle name="计算 2 3 5 2 3 2" xfId="2214" xr:uid="{00000000-0005-0000-0000-0000D6080000}"/>
    <cellStyle name="计算 2 3 5 2 4" xfId="14774" xr:uid="{00000000-0005-0000-0000-0000E6390000}"/>
    <cellStyle name="计算 2 3 5 2 4 2" xfId="28353" xr:uid="{00000000-0005-0000-0000-0000F16E0000}"/>
    <cellStyle name="计算 2 3 5 2 5" xfId="28355" xr:uid="{00000000-0005-0000-0000-0000F36E0000}"/>
    <cellStyle name="计算 2 3 5 2 5 2" xfId="28356" xr:uid="{00000000-0005-0000-0000-0000F46E0000}"/>
    <cellStyle name="计算 2 3 5 2 6" xfId="17357" xr:uid="{00000000-0005-0000-0000-0000FD430000}"/>
    <cellStyle name="计算 2 3 5 2 7" xfId="28357" xr:uid="{00000000-0005-0000-0000-0000F56E0000}"/>
    <cellStyle name="计算 2 3 5 2 8" xfId="28358" xr:uid="{00000000-0005-0000-0000-0000F66E0000}"/>
    <cellStyle name="计算 2 3 5 2 9" xfId="28360" xr:uid="{00000000-0005-0000-0000-0000F86E0000}"/>
    <cellStyle name="计算 2 3 5 3" xfId="24522" xr:uid="{00000000-0005-0000-0000-0000FA5F0000}"/>
    <cellStyle name="计算 2 3 5 3 2" xfId="28361" xr:uid="{00000000-0005-0000-0000-0000F96E0000}"/>
    <cellStyle name="计算 2 3 5 3 2 2" xfId="28362" xr:uid="{00000000-0005-0000-0000-0000FA6E0000}"/>
    <cellStyle name="计算 2 3 5 3 3" xfId="28365" xr:uid="{00000000-0005-0000-0000-0000FD6E0000}"/>
    <cellStyle name="计算 2 3 5 3 3 2" xfId="28366" xr:uid="{00000000-0005-0000-0000-0000FE6E0000}"/>
    <cellStyle name="计算 2 3 5 3 4" xfId="14789" xr:uid="{00000000-0005-0000-0000-0000F5390000}"/>
    <cellStyle name="计算 2 3 5 3 4 2" xfId="28369" xr:uid="{00000000-0005-0000-0000-0000016F0000}"/>
    <cellStyle name="计算 2 3 5 3 5" xfId="28372" xr:uid="{00000000-0005-0000-0000-0000046F0000}"/>
    <cellStyle name="计算 2 3 5 3 5 2" xfId="28373" xr:uid="{00000000-0005-0000-0000-0000056F0000}"/>
    <cellStyle name="计算 2 3 5 3 6" xfId="17360" xr:uid="{00000000-0005-0000-0000-000000440000}"/>
    <cellStyle name="计算 2 3 5 4" xfId="28375" xr:uid="{00000000-0005-0000-0000-0000076F0000}"/>
    <cellStyle name="计算 2 3 5 4 2" xfId="28376" xr:uid="{00000000-0005-0000-0000-0000086F0000}"/>
    <cellStyle name="计算 2 3 5 4 2 2" xfId="28380" xr:uid="{00000000-0005-0000-0000-00000C6F0000}"/>
    <cellStyle name="计算 2 3 5 4 3" xfId="28383" xr:uid="{00000000-0005-0000-0000-00000F6F0000}"/>
    <cellStyle name="计算 2 3 5 4 3 2" xfId="28387" xr:uid="{00000000-0005-0000-0000-0000136F0000}"/>
    <cellStyle name="计算 2 3 5 4 4" xfId="28391" xr:uid="{00000000-0005-0000-0000-0000176F0000}"/>
    <cellStyle name="计算 2 3 5 4 4 2" xfId="410" xr:uid="{00000000-0005-0000-0000-0000C1010000}"/>
    <cellStyle name="计算 2 3 5 4 5" xfId="28393" xr:uid="{00000000-0005-0000-0000-0000196F0000}"/>
    <cellStyle name="计算 2 3 5 4 5 2" xfId="28397" xr:uid="{00000000-0005-0000-0000-00001D6F0000}"/>
    <cellStyle name="计算 2 3 5 4 6" xfId="17376" xr:uid="{00000000-0005-0000-0000-000010440000}"/>
    <cellStyle name="计算 2 3 5 5" xfId="28400" xr:uid="{00000000-0005-0000-0000-0000206F0000}"/>
    <cellStyle name="计算 2 3 5 5 2" xfId="24030" xr:uid="{00000000-0005-0000-0000-00000E5E0000}"/>
    <cellStyle name="计算 2 3 5 5 2 2" xfId="24035" xr:uid="{00000000-0005-0000-0000-0000135E0000}"/>
    <cellStyle name="计算 2 3 5 5 3" xfId="24039" xr:uid="{00000000-0005-0000-0000-0000175E0000}"/>
    <cellStyle name="计算 2 3 5 5 3 2" xfId="24043" xr:uid="{00000000-0005-0000-0000-00001B5E0000}"/>
    <cellStyle name="计算 2 3 5 5 4" xfId="24048" xr:uid="{00000000-0005-0000-0000-0000205E0000}"/>
    <cellStyle name="计算 2 3 5 5 4 2" xfId="28401" xr:uid="{00000000-0005-0000-0000-0000216F0000}"/>
    <cellStyle name="计算 2 3 5 5 5" xfId="21048" xr:uid="{00000000-0005-0000-0000-000068520000}"/>
    <cellStyle name="计算 2 3 5 5 5 2" xfId="21054" xr:uid="{00000000-0005-0000-0000-00006E520000}"/>
    <cellStyle name="计算 2 3 5 5 6" xfId="17383" xr:uid="{00000000-0005-0000-0000-000017440000}"/>
    <cellStyle name="计算 2 3 5 6" xfId="28405" xr:uid="{00000000-0005-0000-0000-0000256F0000}"/>
    <cellStyle name="计算 2 3 5 6 2" xfId="24061" xr:uid="{00000000-0005-0000-0000-00002D5E0000}"/>
    <cellStyle name="计算 2 3 5 6 2 2" xfId="24066" xr:uid="{00000000-0005-0000-0000-0000325E0000}"/>
    <cellStyle name="计算 2 3 5 6 3" xfId="24071" xr:uid="{00000000-0005-0000-0000-0000375E0000}"/>
    <cellStyle name="计算 2 3 5 6 3 2" xfId="24076" xr:uid="{00000000-0005-0000-0000-00003C5E0000}"/>
    <cellStyle name="计算 2 3 5 6 4" xfId="11165" xr:uid="{00000000-0005-0000-0000-0000CD2B0000}"/>
    <cellStyle name="计算 2 3 5 6 4 2" xfId="28406" xr:uid="{00000000-0005-0000-0000-0000266F0000}"/>
    <cellStyle name="计算 2 3 5 6 5" xfId="28410" xr:uid="{00000000-0005-0000-0000-00002A6F0000}"/>
    <cellStyle name="计算 2 3 5 6 5 2" xfId="28414" xr:uid="{00000000-0005-0000-0000-00002E6F0000}"/>
    <cellStyle name="计算 2 3 5 6 6" xfId="28417" xr:uid="{00000000-0005-0000-0000-0000316F0000}"/>
    <cellStyle name="计算 2 3 5 7" xfId="28420" xr:uid="{00000000-0005-0000-0000-0000346F0000}"/>
    <cellStyle name="计算 2 3 5 7 2" xfId="24094" xr:uid="{00000000-0005-0000-0000-00004E5E0000}"/>
    <cellStyle name="计算 2 3 5 7 2 2" xfId="24099" xr:uid="{00000000-0005-0000-0000-0000535E0000}"/>
    <cellStyle name="计算 2 3 5 7 3" xfId="24104" xr:uid="{00000000-0005-0000-0000-0000585E0000}"/>
    <cellStyle name="计算 2 3 5 7 3 2" xfId="1528" xr:uid="{00000000-0005-0000-0000-000028060000}"/>
    <cellStyle name="计算 2 3 5 7 4" xfId="11174" xr:uid="{00000000-0005-0000-0000-0000D62B0000}"/>
    <cellStyle name="计算 2 3 5 7 4 2" xfId="28425" xr:uid="{00000000-0005-0000-0000-0000396F0000}"/>
    <cellStyle name="计算 2 3 5 7 5" xfId="27651" xr:uid="{00000000-0005-0000-0000-0000336C0000}"/>
    <cellStyle name="计算 2 3 5 7 5 2" xfId="28428" xr:uid="{00000000-0005-0000-0000-00003C6F0000}"/>
    <cellStyle name="计算 2 3 5 7 6" xfId="18100" xr:uid="{00000000-0005-0000-0000-0000E4460000}"/>
    <cellStyle name="计算 2 3 5 8" xfId="28434" xr:uid="{00000000-0005-0000-0000-0000426F0000}"/>
    <cellStyle name="计算 2 3 5 8 2" xfId="24129" xr:uid="{00000000-0005-0000-0000-0000715E0000}"/>
    <cellStyle name="计算 2 3 5 8 2 2" xfId="24133" xr:uid="{00000000-0005-0000-0000-0000755E0000}"/>
    <cellStyle name="计算 2 3 5 8 3" xfId="24138" xr:uid="{00000000-0005-0000-0000-00007A5E0000}"/>
    <cellStyle name="计算 2 3 5 8 3 2" xfId="24142" xr:uid="{00000000-0005-0000-0000-00007E5E0000}"/>
    <cellStyle name="计算 2 3 5 8 4" xfId="11181" xr:uid="{00000000-0005-0000-0000-0000DD2B0000}"/>
    <cellStyle name="计算 2 3 5 8 4 2" xfId="28435" xr:uid="{00000000-0005-0000-0000-0000436F0000}"/>
    <cellStyle name="计算 2 3 5 8 5" xfId="27658" xr:uid="{00000000-0005-0000-0000-00003A6C0000}"/>
    <cellStyle name="计算 2 3 5 9" xfId="11269" xr:uid="{00000000-0005-0000-0000-0000352C0000}"/>
    <cellStyle name="计算 2 3 5 9 2" xfId="17234" xr:uid="{00000000-0005-0000-0000-000082430000}"/>
    <cellStyle name="计算 2 3 6" xfId="28436" xr:uid="{00000000-0005-0000-0000-0000446F0000}"/>
    <cellStyle name="计算 2 3 6 10" xfId="28440" xr:uid="{00000000-0005-0000-0000-0000486F0000}"/>
    <cellStyle name="计算 2 3 6 10 2" xfId="28208" xr:uid="{00000000-0005-0000-0000-0000606E0000}"/>
    <cellStyle name="计算 2 3 6 11" xfId="28444" xr:uid="{00000000-0005-0000-0000-00004C6F0000}"/>
    <cellStyle name="计算 2 3 6 11 2" xfId="28253" xr:uid="{00000000-0005-0000-0000-00008D6E0000}"/>
    <cellStyle name="计算 2 3 6 12" xfId="28451" xr:uid="{00000000-0005-0000-0000-0000536F0000}"/>
    <cellStyle name="计算 2 3 6 12 2" xfId="28329" xr:uid="{00000000-0005-0000-0000-0000D96E0000}"/>
    <cellStyle name="计算 2 3 6 13" xfId="28453" xr:uid="{00000000-0005-0000-0000-0000556F0000}"/>
    <cellStyle name="计算 2 3 6 14" xfId="28459" xr:uid="{00000000-0005-0000-0000-00005B6F0000}"/>
    <cellStyle name="计算 2 3 6 15" xfId="28468" xr:uid="{00000000-0005-0000-0000-0000646F0000}"/>
    <cellStyle name="计算 2 3 6 16" xfId="2564" xr:uid="{00000000-0005-0000-0000-0000340A0000}"/>
    <cellStyle name="计算 2 3 6 2" xfId="28474" xr:uid="{00000000-0005-0000-0000-00006A6F0000}"/>
    <cellStyle name="计算 2 3 6 2 2" xfId="28477" xr:uid="{00000000-0005-0000-0000-00006D6F0000}"/>
    <cellStyle name="计算 2 3 6 2 2 2" xfId="28478" xr:uid="{00000000-0005-0000-0000-00006E6F0000}"/>
    <cellStyle name="计算 2 3 6 2 3" xfId="28479" xr:uid="{00000000-0005-0000-0000-00006F6F0000}"/>
    <cellStyle name="计算 2 3 6 2 3 2" xfId="19835" xr:uid="{00000000-0005-0000-0000-0000AB4D0000}"/>
    <cellStyle name="计算 2 3 6 2 4" xfId="5236" xr:uid="{00000000-0005-0000-0000-0000A4140000}"/>
    <cellStyle name="计算 2 3 6 2 4 2" xfId="28480" xr:uid="{00000000-0005-0000-0000-0000706F0000}"/>
    <cellStyle name="计算 2 3 6 2 5" xfId="28482" xr:uid="{00000000-0005-0000-0000-0000726F0000}"/>
    <cellStyle name="计算 2 3 6 2 5 2" xfId="28483" xr:uid="{00000000-0005-0000-0000-0000736F0000}"/>
    <cellStyle name="计算 2 3 6 2 6" xfId="17395" xr:uid="{00000000-0005-0000-0000-000023440000}"/>
    <cellStyle name="计算 2 3 6 2 7" xfId="28485" xr:uid="{00000000-0005-0000-0000-0000756F0000}"/>
    <cellStyle name="计算 2 3 6 2 8" xfId="28486" xr:uid="{00000000-0005-0000-0000-0000766F0000}"/>
    <cellStyle name="计算 2 3 6 2 9" xfId="28487" xr:uid="{00000000-0005-0000-0000-0000776F0000}"/>
    <cellStyle name="计算 2 3 6 3" xfId="24528" xr:uid="{00000000-0005-0000-0000-000000600000}"/>
    <cellStyle name="计算 2 3 6 3 2" xfId="28488" xr:uid="{00000000-0005-0000-0000-0000786F0000}"/>
    <cellStyle name="计算 2 3 6 3 2 2" xfId="28489" xr:uid="{00000000-0005-0000-0000-0000796F0000}"/>
    <cellStyle name="计算 2 3 6 3 3" xfId="28490" xr:uid="{00000000-0005-0000-0000-00007A6F0000}"/>
    <cellStyle name="计算 2 3 6 3 3 2" xfId="28491" xr:uid="{00000000-0005-0000-0000-00007B6F0000}"/>
    <cellStyle name="计算 2 3 6 3 4" xfId="5633" xr:uid="{00000000-0005-0000-0000-000031160000}"/>
    <cellStyle name="计算 2 3 6 3 4 2" xfId="28492" xr:uid="{00000000-0005-0000-0000-00007C6F0000}"/>
    <cellStyle name="计算 2 3 6 3 5" xfId="28494" xr:uid="{00000000-0005-0000-0000-00007E6F0000}"/>
    <cellStyle name="计算 2 3 6 3 5 2" xfId="28495" xr:uid="{00000000-0005-0000-0000-00007F6F0000}"/>
    <cellStyle name="计算 2 3 6 3 6" xfId="7363" xr:uid="{00000000-0005-0000-0000-0000F31C0000}"/>
    <cellStyle name="计算 2 3 6 4" xfId="28496" xr:uid="{00000000-0005-0000-0000-0000806F0000}"/>
    <cellStyle name="计算 2 3 6 4 2" xfId="28117" xr:uid="{00000000-0005-0000-0000-0000056E0000}"/>
    <cellStyle name="计算 2 3 6 4 2 2" xfId="23913" xr:uid="{00000000-0005-0000-0000-0000995D0000}"/>
    <cellStyle name="计算 2 3 6 4 3" xfId="28127" xr:uid="{00000000-0005-0000-0000-00000F6E0000}"/>
    <cellStyle name="计算 2 3 6 4 3 2" xfId="28131" xr:uid="{00000000-0005-0000-0000-0000136E0000}"/>
    <cellStyle name="计算 2 3 6 4 4" xfId="28140" xr:uid="{00000000-0005-0000-0000-00001C6E0000}"/>
    <cellStyle name="计算 2 3 6 4 4 2" xfId="28144" xr:uid="{00000000-0005-0000-0000-0000206E0000}"/>
    <cellStyle name="计算 2 3 6 4 5" xfId="28152" xr:uid="{00000000-0005-0000-0000-0000286E0000}"/>
    <cellStyle name="计算 2 3 6 4 5 2" xfId="26310" xr:uid="{00000000-0005-0000-0000-0000F6660000}"/>
    <cellStyle name="计算 2 3 6 4 6" xfId="7412" xr:uid="{00000000-0005-0000-0000-0000241D0000}"/>
    <cellStyle name="计算 2 3 6 5" xfId="28498" xr:uid="{00000000-0005-0000-0000-0000826F0000}"/>
    <cellStyle name="计算 2 3 6 5 2" xfId="24217" xr:uid="{00000000-0005-0000-0000-0000C95E0000}"/>
    <cellStyle name="计算 2 3 6 5 2 2" xfId="24220" xr:uid="{00000000-0005-0000-0000-0000CC5E0000}"/>
    <cellStyle name="计算 2 3 6 5 3" xfId="24223" xr:uid="{00000000-0005-0000-0000-0000CF5E0000}"/>
    <cellStyle name="计算 2 3 6 5 3 2" xfId="24227" xr:uid="{00000000-0005-0000-0000-0000D35E0000}"/>
    <cellStyle name="计算 2 3 6 5 4" xfId="24231" xr:uid="{00000000-0005-0000-0000-0000D75E0000}"/>
    <cellStyle name="计算 2 3 6 5 4 2" xfId="28499" xr:uid="{00000000-0005-0000-0000-0000836F0000}"/>
    <cellStyle name="计算 2 3 6 5 5" xfId="24234" xr:uid="{00000000-0005-0000-0000-0000DA5E0000}"/>
    <cellStyle name="计算 2 3 6 5 5 2" xfId="28504" xr:uid="{00000000-0005-0000-0000-0000886F0000}"/>
    <cellStyle name="计算 2 3 6 5 6" xfId="7479" xr:uid="{00000000-0005-0000-0000-0000671D0000}"/>
    <cellStyle name="计算 2 3 6 6" xfId="28505" xr:uid="{00000000-0005-0000-0000-0000896F0000}"/>
    <cellStyle name="计算 2 3 6 6 2" xfId="24248" xr:uid="{00000000-0005-0000-0000-0000E85E0000}"/>
    <cellStyle name="计算 2 3 6 6 2 2" xfId="24252" xr:uid="{00000000-0005-0000-0000-0000EC5E0000}"/>
    <cellStyle name="计算 2 3 6 6 3" xfId="24255" xr:uid="{00000000-0005-0000-0000-0000EF5E0000}"/>
    <cellStyle name="计算 2 3 6 6 3 2" xfId="24259" xr:uid="{00000000-0005-0000-0000-0000F35E0000}"/>
    <cellStyle name="计算 2 3 6 6 4" xfId="7518" xr:uid="{00000000-0005-0000-0000-00008E1D0000}"/>
    <cellStyle name="计算 2 3 6 6 4 2" xfId="28506" xr:uid="{00000000-0005-0000-0000-00008A6F0000}"/>
    <cellStyle name="计算 2 3 6 6 5" xfId="28508" xr:uid="{00000000-0005-0000-0000-00008C6F0000}"/>
    <cellStyle name="计算 2 3 6 6 5 2" xfId="28512" xr:uid="{00000000-0005-0000-0000-0000906F0000}"/>
    <cellStyle name="计算 2 3 6 6 6" xfId="28513" xr:uid="{00000000-0005-0000-0000-0000916F0000}"/>
    <cellStyle name="计算 2 3 6 7" xfId="28516" xr:uid="{00000000-0005-0000-0000-0000946F0000}"/>
    <cellStyle name="计算 2 3 6 7 2" xfId="24269" xr:uid="{00000000-0005-0000-0000-0000FD5E0000}"/>
    <cellStyle name="计算 2 3 6 7 2 2" xfId="24273" xr:uid="{00000000-0005-0000-0000-0000015F0000}"/>
    <cellStyle name="计算 2 3 6 7 3" xfId="24276" xr:uid="{00000000-0005-0000-0000-0000045F0000}"/>
    <cellStyle name="计算 2 3 6 7 3 2" xfId="20812" xr:uid="{00000000-0005-0000-0000-00007C510000}"/>
    <cellStyle name="计算 2 3 6 7 4" xfId="7581" xr:uid="{00000000-0005-0000-0000-0000CD1D0000}"/>
    <cellStyle name="计算 2 3 6 7 4 2" xfId="28522" xr:uid="{00000000-0005-0000-0000-00009A6F0000}"/>
    <cellStyle name="计算 2 3 6 7 5" xfId="27670" xr:uid="{00000000-0005-0000-0000-0000466C0000}"/>
    <cellStyle name="计算 2 3 6 7 5 2" xfId="28523" xr:uid="{00000000-0005-0000-0000-00009B6F0000}"/>
    <cellStyle name="计算 2 3 6 7 6" xfId="7593" xr:uid="{00000000-0005-0000-0000-0000D91D0000}"/>
    <cellStyle name="计算 2 3 6 8" xfId="28527" xr:uid="{00000000-0005-0000-0000-00009F6F0000}"/>
    <cellStyle name="计算 2 3 6 8 2" xfId="24287" xr:uid="{00000000-0005-0000-0000-00000F5F0000}"/>
    <cellStyle name="计算 2 3 6 8 2 2" xfId="7615" xr:uid="{00000000-0005-0000-0000-0000EF1D0000}"/>
    <cellStyle name="计算 2 3 6 8 3" xfId="24290" xr:uid="{00000000-0005-0000-0000-0000125F0000}"/>
    <cellStyle name="计算 2 3 6 8 3 2" xfId="7634" xr:uid="{00000000-0005-0000-0000-0000021E0000}"/>
    <cellStyle name="计算 2 3 6 8 4" xfId="7647" xr:uid="{00000000-0005-0000-0000-00000F1E0000}"/>
    <cellStyle name="计算 2 3 6 8 4 2" xfId="7653" xr:uid="{00000000-0005-0000-0000-0000151E0000}"/>
    <cellStyle name="计算 2 3 6 8 5" xfId="27678" xr:uid="{00000000-0005-0000-0000-00004E6C0000}"/>
    <cellStyle name="计算 2 3 6 9" xfId="7689" xr:uid="{00000000-0005-0000-0000-0000391E0000}"/>
    <cellStyle name="计算 2 3 6 9 2" xfId="24310" xr:uid="{00000000-0005-0000-0000-0000265F0000}"/>
    <cellStyle name="计算 2 3 7" xfId="25934" xr:uid="{00000000-0005-0000-0000-00007E650000}"/>
    <cellStyle name="计算 2 3 7 10" xfId="430" xr:uid="{00000000-0005-0000-0000-0000D7010000}"/>
    <cellStyle name="计算 2 3 7 10 2" xfId="28529" xr:uid="{00000000-0005-0000-0000-0000A16F0000}"/>
    <cellStyle name="计算 2 3 7 11" xfId="25059" xr:uid="{00000000-0005-0000-0000-000013620000}"/>
    <cellStyle name="计算 2 3 7 11 2" xfId="25063" xr:uid="{00000000-0005-0000-0000-000017620000}"/>
    <cellStyle name="计算 2 3 7 12" xfId="25069" xr:uid="{00000000-0005-0000-0000-00001D620000}"/>
    <cellStyle name="计算 2 3 7 12 2" xfId="759" xr:uid="{00000000-0005-0000-0000-000027030000}"/>
    <cellStyle name="计算 2 3 7 13" xfId="25076" xr:uid="{00000000-0005-0000-0000-000024620000}"/>
    <cellStyle name="计算 2 3 7 14" xfId="25087" xr:uid="{00000000-0005-0000-0000-00002F620000}"/>
    <cellStyle name="计算 2 3 7 15" xfId="7728" xr:uid="{00000000-0005-0000-0000-0000601E0000}"/>
    <cellStyle name="计算 2 3 7 16" xfId="26870" xr:uid="{00000000-0005-0000-0000-000026690000}"/>
    <cellStyle name="计算 2 3 7 2" xfId="28533" xr:uid="{00000000-0005-0000-0000-0000A56F0000}"/>
    <cellStyle name="计算 2 3 7 2 2" xfId="28535" xr:uid="{00000000-0005-0000-0000-0000A76F0000}"/>
    <cellStyle name="计算 2 3 7 2 2 2" xfId="1075" xr:uid="{00000000-0005-0000-0000-000063040000}"/>
    <cellStyle name="计算 2 3 7 2 3" xfId="28536" xr:uid="{00000000-0005-0000-0000-0000A86F0000}"/>
    <cellStyle name="计算 2 3 7 2 3 2" xfId="1108" xr:uid="{00000000-0005-0000-0000-000084040000}"/>
    <cellStyle name="计算 2 3 7 2 4" xfId="16703" xr:uid="{00000000-0005-0000-0000-00006F410000}"/>
    <cellStyle name="计算 2 3 7 2 4 2" xfId="1132" xr:uid="{00000000-0005-0000-0000-00009C040000}"/>
    <cellStyle name="计算 2 3 7 2 5" xfId="28537" xr:uid="{00000000-0005-0000-0000-0000A96F0000}"/>
    <cellStyle name="计算 2 3 7 2 5 2" xfId="28538" xr:uid="{00000000-0005-0000-0000-0000AA6F0000}"/>
    <cellStyle name="计算 2 3 7 2 6" xfId="17410" xr:uid="{00000000-0005-0000-0000-000032440000}"/>
    <cellStyle name="计算 2 3 7 2 7" xfId="28540" xr:uid="{00000000-0005-0000-0000-0000AC6F0000}"/>
    <cellStyle name="计算 2 3 7 2 8" xfId="28541" xr:uid="{00000000-0005-0000-0000-0000AD6F0000}"/>
    <cellStyle name="计算 2 3 7 2 9" xfId="28542" xr:uid="{00000000-0005-0000-0000-0000AE6F0000}"/>
    <cellStyle name="计算 2 3 7 3" xfId="24540" xr:uid="{00000000-0005-0000-0000-00000C600000}"/>
    <cellStyle name="计算 2 3 7 3 2" xfId="28543" xr:uid="{00000000-0005-0000-0000-0000AF6F0000}"/>
    <cellStyle name="计算 2 3 7 3 2 2" xfId="318" xr:uid="{00000000-0005-0000-0000-00005D010000}"/>
    <cellStyle name="计算 2 3 7 3 3" xfId="28544" xr:uid="{00000000-0005-0000-0000-0000B06F0000}"/>
    <cellStyle name="计算 2 3 7 3 3 2" xfId="695" xr:uid="{00000000-0005-0000-0000-0000E7020000}"/>
    <cellStyle name="计算 2 3 7 3 4" xfId="5711" xr:uid="{00000000-0005-0000-0000-00007F160000}"/>
    <cellStyle name="计算 2 3 7 3 4 2" xfId="551" xr:uid="{00000000-0005-0000-0000-000057020000}"/>
    <cellStyle name="计算 2 3 7 3 5" xfId="28545" xr:uid="{00000000-0005-0000-0000-0000B16F0000}"/>
    <cellStyle name="计算 2 3 7 3 5 2" xfId="604" xr:uid="{00000000-0005-0000-0000-00008C020000}"/>
    <cellStyle name="计算 2 3 7 3 6" xfId="2901" xr:uid="{00000000-0005-0000-0000-0000850B0000}"/>
    <cellStyle name="计算 2 3 7 4" xfId="7791" xr:uid="{00000000-0005-0000-0000-00009F1E0000}"/>
    <cellStyle name="计算 2 3 7 4 2" xfId="28168" xr:uid="{00000000-0005-0000-0000-0000386E0000}"/>
    <cellStyle name="计算 2 3 7 4 2 2" xfId="5531" xr:uid="{00000000-0005-0000-0000-0000CB150000}"/>
    <cellStyle name="计算 2 3 7 4 3" xfId="28546" xr:uid="{00000000-0005-0000-0000-0000B26F0000}"/>
    <cellStyle name="计算 2 3 7 4 3 2" xfId="5578" xr:uid="{00000000-0005-0000-0000-0000FA150000}"/>
    <cellStyle name="计算 2 3 7 4 4" xfId="28550" xr:uid="{00000000-0005-0000-0000-0000B66F0000}"/>
    <cellStyle name="计算 2 3 7 4 4 2" xfId="4000" xr:uid="{00000000-0005-0000-0000-0000D00F0000}"/>
    <cellStyle name="计算 2 3 7 4 5" xfId="28554" xr:uid="{00000000-0005-0000-0000-0000BA6F0000}"/>
    <cellStyle name="计算 2 3 7 4 5 2" xfId="28558" xr:uid="{00000000-0005-0000-0000-0000BE6F0000}"/>
    <cellStyle name="计算 2 3 7 4 6" xfId="3212" xr:uid="{00000000-0005-0000-0000-0000BC0C0000}"/>
    <cellStyle name="计算 2 3 7 5" xfId="28173" xr:uid="{00000000-0005-0000-0000-00003D6E0000}"/>
    <cellStyle name="计算 2 3 7 5 2" xfId="24361" xr:uid="{00000000-0005-0000-0000-0000595F0000}"/>
    <cellStyle name="计算 2 3 7 5 2 2" xfId="5960" xr:uid="{00000000-0005-0000-0000-000078170000}"/>
    <cellStyle name="计算 2 3 7 5 3" xfId="24365" xr:uid="{00000000-0005-0000-0000-00005D5F0000}"/>
    <cellStyle name="计算 2 3 7 5 3 2" xfId="6064" xr:uid="{00000000-0005-0000-0000-0000E0170000}"/>
    <cellStyle name="计算 2 3 7 5 4" xfId="24369" xr:uid="{00000000-0005-0000-0000-0000615F0000}"/>
    <cellStyle name="计算 2 3 7 5 4 2" xfId="5473" xr:uid="{00000000-0005-0000-0000-000091150000}"/>
    <cellStyle name="计算 2 3 7 5 5" xfId="24372" xr:uid="{00000000-0005-0000-0000-0000645F0000}"/>
    <cellStyle name="计算 2 3 7 5 5 2" xfId="28562" xr:uid="{00000000-0005-0000-0000-0000C26F0000}"/>
    <cellStyle name="计算 2 3 7 5 6" xfId="3332" xr:uid="{00000000-0005-0000-0000-0000340D0000}"/>
    <cellStyle name="计算 2 3 7 6" xfId="28175" xr:uid="{00000000-0005-0000-0000-00003F6E0000}"/>
    <cellStyle name="计算 2 3 7 6 2" xfId="24387" xr:uid="{00000000-0005-0000-0000-0000735F0000}"/>
    <cellStyle name="计算 2 3 7 6 2 2" xfId="24392" xr:uid="{00000000-0005-0000-0000-0000785F0000}"/>
    <cellStyle name="计算 2 3 7 6 3" xfId="24395" xr:uid="{00000000-0005-0000-0000-00007B5F0000}"/>
    <cellStyle name="计算 2 3 7 6 3 2" xfId="24398" xr:uid="{00000000-0005-0000-0000-00007E5F0000}"/>
    <cellStyle name="计算 2 3 7 6 4" xfId="7840" xr:uid="{00000000-0005-0000-0000-0000D01E0000}"/>
    <cellStyle name="计算 2 3 7 6 4 2" xfId="28563" xr:uid="{00000000-0005-0000-0000-0000C36F0000}"/>
    <cellStyle name="计算 2 3 7 6 5" xfId="28565" xr:uid="{00000000-0005-0000-0000-0000C56F0000}"/>
    <cellStyle name="计算 2 3 7 6 5 2" xfId="28567" xr:uid="{00000000-0005-0000-0000-0000C76F0000}"/>
    <cellStyle name="计算 2 3 7 6 6" xfId="28568" xr:uid="{00000000-0005-0000-0000-0000C86F0000}"/>
    <cellStyle name="计算 2 3 7 7" xfId="28179" xr:uid="{00000000-0005-0000-0000-0000436E0000}"/>
    <cellStyle name="计算 2 3 7 7 2" xfId="24412" xr:uid="{00000000-0005-0000-0000-00008C5F0000}"/>
    <cellStyle name="计算 2 3 7 7 2 2" xfId="24416" xr:uid="{00000000-0005-0000-0000-0000905F0000}"/>
    <cellStyle name="计算 2 3 7 7 3" xfId="24420" xr:uid="{00000000-0005-0000-0000-0000945F0000}"/>
    <cellStyle name="计算 2 3 7 7 3 2" xfId="24425" xr:uid="{00000000-0005-0000-0000-0000995F0000}"/>
    <cellStyle name="计算 2 3 7 7 4" xfId="7861" xr:uid="{00000000-0005-0000-0000-0000E51E0000}"/>
    <cellStyle name="计算 2 3 7 7 4 2" xfId="28569" xr:uid="{00000000-0005-0000-0000-0000C96F0000}"/>
    <cellStyle name="计算 2 3 7 7 5" xfId="27697" xr:uid="{00000000-0005-0000-0000-0000616C0000}"/>
    <cellStyle name="计算 2 3 7 7 5 2" xfId="28570" xr:uid="{00000000-0005-0000-0000-0000CA6F0000}"/>
    <cellStyle name="计算 2 3 7 7 6" xfId="3425" xr:uid="{00000000-0005-0000-0000-0000910D0000}"/>
    <cellStyle name="计算 2 3 7 8" xfId="28184" xr:uid="{00000000-0005-0000-0000-0000486E0000}"/>
    <cellStyle name="计算 2 3 7 8 2" xfId="24434" xr:uid="{00000000-0005-0000-0000-0000A25F0000}"/>
    <cellStyle name="计算 2 3 7 8 2 2" xfId="7887" xr:uid="{00000000-0005-0000-0000-0000FF1E0000}"/>
    <cellStyle name="计算 2 3 7 8 3" xfId="24436" xr:uid="{00000000-0005-0000-0000-0000A45F0000}"/>
    <cellStyle name="计算 2 3 7 8 3 2" xfId="7908" xr:uid="{00000000-0005-0000-0000-0000141F0000}"/>
    <cellStyle name="计算 2 3 7 8 4" xfId="7912" xr:uid="{00000000-0005-0000-0000-0000181F0000}"/>
    <cellStyle name="计算 2 3 7 8 4 2" xfId="7925" xr:uid="{00000000-0005-0000-0000-0000251F0000}"/>
    <cellStyle name="计算 2 3 7 8 5" xfId="27705" xr:uid="{00000000-0005-0000-0000-0000696C0000}"/>
    <cellStyle name="计算 2 3 7 9" xfId="7941" xr:uid="{00000000-0005-0000-0000-0000351F0000}"/>
    <cellStyle name="计算 2 3 7 9 2" xfId="24452" xr:uid="{00000000-0005-0000-0000-0000B45F0000}"/>
    <cellStyle name="计算 2 3 8" xfId="28571" xr:uid="{00000000-0005-0000-0000-0000CB6F0000}"/>
    <cellStyle name="计算 2 3 8 10" xfId="6926" xr:uid="{00000000-0005-0000-0000-00003E1B0000}"/>
    <cellStyle name="计算 2 3 8 10 2" xfId="6934" xr:uid="{00000000-0005-0000-0000-0000461B0000}"/>
    <cellStyle name="计算 2 3 8 11" xfId="876" xr:uid="{00000000-0005-0000-0000-00009C030000}"/>
    <cellStyle name="计算 2 3 8 11 2" xfId="11131" xr:uid="{00000000-0005-0000-0000-0000AB2B0000}"/>
    <cellStyle name="计算 2 3 8 12" xfId="6945" xr:uid="{00000000-0005-0000-0000-0000511B0000}"/>
    <cellStyle name="计算 2 3 8 12 2" xfId="11152" xr:uid="{00000000-0005-0000-0000-0000C02B0000}"/>
    <cellStyle name="计算 2 3 8 13" xfId="28574" xr:uid="{00000000-0005-0000-0000-0000CE6F0000}"/>
    <cellStyle name="计算 2 3 8 14" xfId="28578" xr:uid="{00000000-0005-0000-0000-0000D26F0000}"/>
    <cellStyle name="计算 2 3 8 15" xfId="28580" xr:uid="{00000000-0005-0000-0000-0000D46F0000}"/>
    <cellStyle name="计算 2 3 8 16" xfId="28583" xr:uid="{00000000-0005-0000-0000-0000D76F0000}"/>
    <cellStyle name="计算 2 3 8 2" xfId="28585" xr:uid="{00000000-0005-0000-0000-0000D96F0000}"/>
    <cellStyle name="计算 2 3 8 2 2" xfId="28587" xr:uid="{00000000-0005-0000-0000-0000DB6F0000}"/>
    <cellStyle name="计算 2 3 8 2 2 2" xfId="8632" xr:uid="{00000000-0005-0000-0000-0000E8210000}"/>
    <cellStyle name="计算 2 3 8 2 3" xfId="28588" xr:uid="{00000000-0005-0000-0000-0000DC6F0000}"/>
    <cellStyle name="计算 2 3 8 2 3 2" xfId="8673" xr:uid="{00000000-0005-0000-0000-000011220000}"/>
    <cellStyle name="计算 2 3 8 2 4" xfId="16722" xr:uid="{00000000-0005-0000-0000-000082410000}"/>
    <cellStyle name="计算 2 3 8 2 4 2" xfId="8701" xr:uid="{00000000-0005-0000-0000-00002D220000}"/>
    <cellStyle name="计算 2 3 8 2 5" xfId="28589" xr:uid="{00000000-0005-0000-0000-0000DD6F0000}"/>
    <cellStyle name="计算 2 3 8 2 5 2" xfId="2481" xr:uid="{00000000-0005-0000-0000-0000E1090000}"/>
    <cellStyle name="计算 2 3 8 2 6" xfId="17422" xr:uid="{00000000-0005-0000-0000-00003E440000}"/>
    <cellStyle name="计算 2 3 8 2 7" xfId="13470" xr:uid="{00000000-0005-0000-0000-0000CE340000}"/>
    <cellStyle name="计算 2 3 8 2 8" xfId="28590" xr:uid="{00000000-0005-0000-0000-0000DE6F0000}"/>
    <cellStyle name="计算 2 3 8 2 9" xfId="28591" xr:uid="{00000000-0005-0000-0000-0000DF6F0000}"/>
    <cellStyle name="计算 2 3 8 3" xfId="24547" xr:uid="{00000000-0005-0000-0000-000013600000}"/>
    <cellStyle name="计算 2 3 8 3 2" xfId="28592" xr:uid="{00000000-0005-0000-0000-0000E06F0000}"/>
    <cellStyle name="计算 2 3 8 3 2 2" xfId="2320" xr:uid="{00000000-0005-0000-0000-000040090000}"/>
    <cellStyle name="计算 2 3 8 3 3" xfId="28593" xr:uid="{00000000-0005-0000-0000-0000E16F0000}"/>
    <cellStyle name="计算 2 3 8 3 3 2" xfId="245" xr:uid="{00000000-0005-0000-0000-00000C010000}"/>
    <cellStyle name="计算 2 3 8 3 4" xfId="5795" xr:uid="{00000000-0005-0000-0000-0000D3160000}"/>
    <cellStyle name="计算 2 3 8 3 4 2" xfId="7984" xr:uid="{00000000-0005-0000-0000-0000601F0000}"/>
    <cellStyle name="计算 2 3 8 3 5" xfId="28594" xr:uid="{00000000-0005-0000-0000-0000E26F0000}"/>
    <cellStyle name="计算 2 3 8 3 5 2" xfId="7992" xr:uid="{00000000-0005-0000-0000-0000681F0000}"/>
    <cellStyle name="计算 2 3 8 3 6" xfId="7999" xr:uid="{00000000-0005-0000-0000-00006F1F0000}"/>
    <cellStyle name="计算 2 3 8 4" xfId="6174" xr:uid="{00000000-0005-0000-0000-00004E180000}"/>
    <cellStyle name="计算 2 3 8 4 2" xfId="28595" xr:uid="{00000000-0005-0000-0000-0000E36F0000}"/>
    <cellStyle name="计算 2 3 8 4 2 2" xfId="7025" xr:uid="{00000000-0005-0000-0000-0000A11B0000}"/>
    <cellStyle name="计算 2 3 8 4 3" xfId="28597" xr:uid="{00000000-0005-0000-0000-0000E56F0000}"/>
    <cellStyle name="计算 2 3 8 4 3 2" xfId="7106" xr:uid="{00000000-0005-0000-0000-0000F21B0000}"/>
    <cellStyle name="计算 2 3 8 4 4" xfId="28600" xr:uid="{00000000-0005-0000-0000-0000E86F0000}"/>
    <cellStyle name="计算 2 3 8 4 4 2" xfId="7143" xr:uid="{00000000-0005-0000-0000-0000171C0000}"/>
    <cellStyle name="计算 2 3 8 4 5" xfId="28602" xr:uid="{00000000-0005-0000-0000-0000EA6F0000}"/>
    <cellStyle name="计算 2 3 8 4 5 2" xfId="7184" xr:uid="{00000000-0005-0000-0000-0000401C0000}"/>
    <cellStyle name="计算 2 3 8 4 6" xfId="7228" xr:uid="{00000000-0005-0000-0000-00006C1C0000}"/>
    <cellStyle name="计算 2 3 8 5" xfId="28604" xr:uid="{00000000-0005-0000-0000-0000EC6F0000}"/>
    <cellStyle name="计算 2 3 8 5 2" xfId="24504" xr:uid="{00000000-0005-0000-0000-0000E85F0000}"/>
    <cellStyle name="计算 2 3 8 5 2 2" xfId="4022" xr:uid="{00000000-0005-0000-0000-0000E60F0000}"/>
    <cellStyle name="计算 2 3 8 5 3" xfId="24507" xr:uid="{00000000-0005-0000-0000-0000EB5F0000}"/>
    <cellStyle name="计算 2 3 8 5 3 2" xfId="4420" xr:uid="{00000000-0005-0000-0000-000074110000}"/>
    <cellStyle name="计算 2 3 8 5 4" xfId="24511" xr:uid="{00000000-0005-0000-0000-0000EF5F0000}"/>
    <cellStyle name="计算 2 3 8 5 4 2" xfId="2261" xr:uid="{00000000-0005-0000-0000-000005090000}"/>
    <cellStyle name="计算 2 3 8 5 5" xfId="24514" xr:uid="{00000000-0005-0000-0000-0000F25F0000}"/>
    <cellStyle name="计算 2 3 8 5 5 2" xfId="4992" xr:uid="{00000000-0005-0000-0000-0000B0130000}"/>
    <cellStyle name="计算 2 3 8 5 6" xfId="5211" xr:uid="{00000000-0005-0000-0000-00008B140000}"/>
    <cellStyle name="计算 2 3 8 6" xfId="28605" xr:uid="{00000000-0005-0000-0000-0000ED6F0000}"/>
    <cellStyle name="计算 2 3 8 6 2" xfId="24533" xr:uid="{00000000-0005-0000-0000-000005600000}"/>
    <cellStyle name="计算 2 3 8 6 2 2" xfId="24536" xr:uid="{00000000-0005-0000-0000-000008600000}"/>
    <cellStyle name="计算 2 3 8 6 3" xfId="24541" xr:uid="{00000000-0005-0000-0000-00000D600000}"/>
    <cellStyle name="计算 2 3 8 6 3 2" xfId="24544" xr:uid="{00000000-0005-0000-0000-000010600000}"/>
    <cellStyle name="计算 2 3 8 6 4" xfId="8011" xr:uid="{00000000-0005-0000-0000-00007B1F0000}"/>
    <cellStyle name="计算 2 3 8 6 4 2" xfId="28607" xr:uid="{00000000-0005-0000-0000-0000EF6F0000}"/>
    <cellStyle name="计算 2 3 8 6 5" xfId="28609" xr:uid="{00000000-0005-0000-0000-0000F16F0000}"/>
    <cellStyle name="计算 2 3 8 6 5 2" xfId="8027" xr:uid="{00000000-0005-0000-0000-00008B1F0000}"/>
    <cellStyle name="计算 2 3 8 6 6" xfId="28612" xr:uid="{00000000-0005-0000-0000-0000F46F0000}"/>
    <cellStyle name="计算 2 3 8 7" xfId="2584" xr:uid="{00000000-0005-0000-0000-0000480A0000}"/>
    <cellStyle name="计算 2 3 8 7 2" xfId="24562" xr:uid="{00000000-0005-0000-0000-000022600000}"/>
    <cellStyle name="计算 2 3 8 7 2 2" xfId="24567" xr:uid="{00000000-0005-0000-0000-000027600000}"/>
    <cellStyle name="计算 2 3 8 7 3" xfId="24570" xr:uid="{00000000-0005-0000-0000-00002A600000}"/>
    <cellStyle name="计算 2 3 8 7 3 2" xfId="24574" xr:uid="{00000000-0005-0000-0000-00002E600000}"/>
    <cellStyle name="计算 2 3 8 7 4" xfId="8051" xr:uid="{00000000-0005-0000-0000-0000A31F0000}"/>
    <cellStyle name="计算 2 3 8 7 4 2" xfId="28614" xr:uid="{00000000-0005-0000-0000-0000F66F0000}"/>
    <cellStyle name="计算 2 3 8 7 5" xfId="28615" xr:uid="{00000000-0005-0000-0000-0000F76F0000}"/>
    <cellStyle name="计算 2 3 8 7 5 2" xfId="6280" xr:uid="{00000000-0005-0000-0000-0000B8180000}"/>
    <cellStyle name="计算 2 3 8 7 6" xfId="28617" xr:uid="{00000000-0005-0000-0000-0000F96F0000}"/>
    <cellStyle name="计算 2 3 8 8" xfId="25734" xr:uid="{00000000-0005-0000-0000-0000B6640000}"/>
    <cellStyle name="计算 2 3 8 8 2" xfId="24586" xr:uid="{00000000-0005-0000-0000-00003A600000}"/>
    <cellStyle name="计算 2 3 8 8 2 2" xfId="24590" xr:uid="{00000000-0005-0000-0000-00003E600000}"/>
    <cellStyle name="计算 2 3 8 8 3" xfId="24592" xr:uid="{00000000-0005-0000-0000-000040600000}"/>
    <cellStyle name="计算 2 3 8 8 3 2" xfId="24594" xr:uid="{00000000-0005-0000-0000-000042600000}"/>
    <cellStyle name="计算 2 3 8 8 4" xfId="8096" xr:uid="{00000000-0005-0000-0000-0000D01F0000}"/>
    <cellStyle name="计算 2 3 8 8 4 2" xfId="28618" xr:uid="{00000000-0005-0000-0000-0000FA6F0000}"/>
    <cellStyle name="计算 2 3 8 8 5" xfId="28619" xr:uid="{00000000-0005-0000-0000-0000FB6F0000}"/>
    <cellStyle name="计算 2 3 8 9" xfId="25738" xr:uid="{00000000-0005-0000-0000-0000BA640000}"/>
    <cellStyle name="计算 2 3 8 9 2" xfId="24604" xr:uid="{00000000-0005-0000-0000-00004C600000}"/>
    <cellStyle name="计算 2 3 9" xfId="28620" xr:uid="{00000000-0005-0000-0000-0000FC6F0000}"/>
    <cellStyle name="计算 2 3 9 10" xfId="7222" xr:uid="{00000000-0005-0000-0000-0000661C0000}"/>
    <cellStyle name="计算 2 3 9 10 2" xfId="28622" xr:uid="{00000000-0005-0000-0000-0000FE6F0000}"/>
    <cellStyle name="计算 2 3 9 11" xfId="28624" xr:uid="{00000000-0005-0000-0000-000000700000}"/>
    <cellStyle name="计算 2 3 9 11 2" xfId="28625" xr:uid="{00000000-0005-0000-0000-000001700000}"/>
    <cellStyle name="计算 2 3 9 12" xfId="28628" xr:uid="{00000000-0005-0000-0000-000004700000}"/>
    <cellStyle name="计算 2 3 9 12 2" xfId="15889" xr:uid="{00000000-0005-0000-0000-0000413E0000}"/>
    <cellStyle name="计算 2 3 9 13" xfId="28629" xr:uid="{00000000-0005-0000-0000-000005700000}"/>
    <cellStyle name="计算 2 3 9 14" xfId="28630" xr:uid="{00000000-0005-0000-0000-000006700000}"/>
    <cellStyle name="计算 2 3 9 15" xfId="28631" xr:uid="{00000000-0005-0000-0000-000007700000}"/>
    <cellStyle name="计算 2 3 9 16" xfId="21883" xr:uid="{00000000-0005-0000-0000-0000AB550000}"/>
    <cellStyle name="计算 2 3 9 2" xfId="28632" xr:uid="{00000000-0005-0000-0000-000008700000}"/>
    <cellStyle name="计算 2 3 9 2 2" xfId="28635" xr:uid="{00000000-0005-0000-0000-00000B700000}"/>
    <cellStyle name="计算 2 3 9 2 2 2" xfId="6474" xr:uid="{00000000-0005-0000-0000-00007A190000}"/>
    <cellStyle name="计算 2 3 9 2 3" xfId="28637" xr:uid="{00000000-0005-0000-0000-00000D700000}"/>
    <cellStyle name="计算 2 3 9 2 3 2" xfId="10921" xr:uid="{00000000-0005-0000-0000-0000D92A0000}"/>
    <cellStyle name="计算 2 3 9 2 4" xfId="12547" xr:uid="{00000000-0005-0000-0000-000033310000}"/>
    <cellStyle name="计算 2 3 9 2 4 2" xfId="8160" xr:uid="{00000000-0005-0000-0000-000010200000}"/>
    <cellStyle name="计算 2 3 9 2 5" xfId="22137" xr:uid="{00000000-0005-0000-0000-0000A9560000}"/>
    <cellStyle name="计算 2 3 9 2 5 2" xfId="2877" xr:uid="{00000000-0005-0000-0000-00006D0B0000}"/>
    <cellStyle name="计算 2 3 9 2 6" xfId="17453" xr:uid="{00000000-0005-0000-0000-00005D440000}"/>
    <cellStyle name="计算 2 3 9 2 7" xfId="28640" xr:uid="{00000000-0005-0000-0000-000010700000}"/>
    <cellStyle name="计算 2 3 9 2 8" xfId="28642" xr:uid="{00000000-0005-0000-0000-000012700000}"/>
    <cellStyle name="计算 2 3 9 2 9" xfId="28644" xr:uid="{00000000-0005-0000-0000-000014700000}"/>
    <cellStyle name="计算 2 3 9 3" xfId="28606" xr:uid="{00000000-0005-0000-0000-0000EE6F0000}"/>
    <cellStyle name="计算 2 3 9 3 2" xfId="28645" xr:uid="{00000000-0005-0000-0000-000015700000}"/>
    <cellStyle name="计算 2 3 9 3 2 2" xfId="6878" xr:uid="{00000000-0005-0000-0000-00000E1B0000}"/>
    <cellStyle name="计算 2 3 9 3 3" xfId="28646" xr:uid="{00000000-0005-0000-0000-000016700000}"/>
    <cellStyle name="计算 2 3 9 3 3 2" xfId="8175" xr:uid="{00000000-0005-0000-0000-00001F200000}"/>
    <cellStyle name="计算 2 3 9 3 4" xfId="5907" xr:uid="{00000000-0005-0000-0000-000043170000}"/>
    <cellStyle name="计算 2 3 9 3 4 2" xfId="8180" xr:uid="{00000000-0005-0000-0000-000024200000}"/>
    <cellStyle name="计算 2 3 9 3 5" xfId="22141" xr:uid="{00000000-0005-0000-0000-0000AD560000}"/>
    <cellStyle name="计算 2 3 9 3 5 2" xfId="8191" xr:uid="{00000000-0005-0000-0000-00002F200000}"/>
    <cellStyle name="计算 2 3 9 3 6" xfId="8200" xr:uid="{00000000-0005-0000-0000-000038200000}"/>
    <cellStyle name="计算 2 3 9 4" xfId="6756" xr:uid="{00000000-0005-0000-0000-0000941A0000}"/>
    <cellStyle name="计算 2 3 9 4 2" xfId="28647" xr:uid="{00000000-0005-0000-0000-000017700000}"/>
    <cellStyle name="计算 2 3 9 4 2 2" xfId="8229" xr:uid="{00000000-0005-0000-0000-000055200000}"/>
    <cellStyle name="计算 2 3 9 4 3" xfId="28649" xr:uid="{00000000-0005-0000-0000-000019700000}"/>
    <cellStyle name="计算 2 3 9 4 3 2" xfId="8236" xr:uid="{00000000-0005-0000-0000-00005C200000}"/>
    <cellStyle name="计算 2 3 9 4 4" xfId="28652" xr:uid="{00000000-0005-0000-0000-00001C700000}"/>
    <cellStyle name="计算 2 3 9 4 4 2" xfId="8242" xr:uid="{00000000-0005-0000-0000-000062200000}"/>
    <cellStyle name="计算 2 3 9 4 5" xfId="28655" xr:uid="{00000000-0005-0000-0000-00001F700000}"/>
    <cellStyle name="计算 2 3 9 4 5 2" xfId="8248" xr:uid="{00000000-0005-0000-0000-000068200000}"/>
    <cellStyle name="计算 2 3 9 4 6" xfId="8258" xr:uid="{00000000-0005-0000-0000-000072200000}"/>
    <cellStyle name="计算 2 3 9 5" xfId="28658" xr:uid="{00000000-0005-0000-0000-000022700000}"/>
    <cellStyle name="计算 2 3 9 5 2" xfId="24659" xr:uid="{00000000-0005-0000-0000-000083600000}"/>
    <cellStyle name="计算 2 3 9 5 2 2" xfId="8278" xr:uid="{00000000-0005-0000-0000-000086200000}"/>
    <cellStyle name="计算 2 3 9 5 3" xfId="24663" xr:uid="{00000000-0005-0000-0000-000087600000}"/>
    <cellStyle name="计算 2 3 9 5 3 2" xfId="8286" xr:uid="{00000000-0005-0000-0000-00008E200000}"/>
    <cellStyle name="计算 2 3 9 5 4" xfId="24666" xr:uid="{00000000-0005-0000-0000-00008A600000}"/>
    <cellStyle name="计算 2 3 9 5 4 2" xfId="6239" xr:uid="{00000000-0005-0000-0000-00008F180000}"/>
    <cellStyle name="计算 2 3 9 5 5" xfId="21866" xr:uid="{00000000-0005-0000-0000-00009A550000}"/>
    <cellStyle name="计算 2 3 9 5 5 2" xfId="8296" xr:uid="{00000000-0005-0000-0000-000098200000}"/>
    <cellStyle name="计算 2 3 9 5 6" xfId="8306" xr:uid="{00000000-0005-0000-0000-0000A2200000}"/>
    <cellStyle name="计算 2 3 9 6" xfId="28660" xr:uid="{00000000-0005-0000-0000-000024700000}"/>
    <cellStyle name="计算 2 3 9 6 2" xfId="24674" xr:uid="{00000000-0005-0000-0000-000092600000}"/>
    <cellStyle name="计算 2 3 9 6 2 2" xfId="8319" xr:uid="{00000000-0005-0000-0000-0000AF200000}"/>
    <cellStyle name="计算 2 3 9 6 3" xfId="24678" xr:uid="{00000000-0005-0000-0000-000096600000}"/>
    <cellStyle name="计算 2 3 9 6 3 2" xfId="8332" xr:uid="{00000000-0005-0000-0000-0000BC200000}"/>
    <cellStyle name="计算 2 3 9 6 4" xfId="24681" xr:uid="{00000000-0005-0000-0000-000099600000}"/>
    <cellStyle name="计算 2 3 9 6 4 2" xfId="8343" xr:uid="{00000000-0005-0000-0000-0000C7200000}"/>
    <cellStyle name="计算 2 3 9 6 5" xfId="28663" xr:uid="{00000000-0005-0000-0000-000027700000}"/>
    <cellStyle name="计算 2 3 9 6 5 2" xfId="8354" xr:uid="{00000000-0005-0000-0000-0000D2200000}"/>
    <cellStyle name="计算 2 3 9 6 6" xfId="28666" xr:uid="{00000000-0005-0000-0000-00002A700000}"/>
    <cellStyle name="计算 2 3 9 7" xfId="423" xr:uid="{00000000-0005-0000-0000-0000CF010000}"/>
    <cellStyle name="计算 2 3 9 7 2" xfId="24692" xr:uid="{00000000-0005-0000-0000-0000A4600000}"/>
    <cellStyle name="计算 2 3 9 7 2 2" xfId="8369" xr:uid="{00000000-0005-0000-0000-0000E1200000}"/>
    <cellStyle name="计算 2 3 9 7 3" xfId="24698" xr:uid="{00000000-0005-0000-0000-0000AA600000}"/>
    <cellStyle name="计算 2 3 9 7 3 2" xfId="8384" xr:uid="{00000000-0005-0000-0000-0000F0200000}"/>
    <cellStyle name="计算 2 3 9 7 4" xfId="1260" xr:uid="{00000000-0005-0000-0000-00001C050000}"/>
    <cellStyle name="计算 2 3 9 7 4 2" xfId="8395" xr:uid="{00000000-0005-0000-0000-0000FB200000}"/>
    <cellStyle name="计算 2 3 9 7 5" xfId="28668" xr:uid="{00000000-0005-0000-0000-00002C700000}"/>
    <cellStyle name="计算 2 3 9 7 5 2" xfId="8401" xr:uid="{00000000-0005-0000-0000-000001210000}"/>
    <cellStyle name="计算 2 3 9 7 6" xfId="28670" xr:uid="{00000000-0005-0000-0000-00002E700000}"/>
    <cellStyle name="计算 2 3 9 8" xfId="470" xr:uid="{00000000-0005-0000-0000-000001020000}"/>
    <cellStyle name="计算 2 3 9 8 2" xfId="4562" xr:uid="{00000000-0005-0000-0000-000002120000}"/>
    <cellStyle name="计算 2 3 9 8 2 2" xfId="21456" xr:uid="{00000000-0005-0000-0000-000000540000}"/>
    <cellStyle name="计算 2 3 9 8 3" xfId="21478" xr:uid="{00000000-0005-0000-0000-000016540000}"/>
    <cellStyle name="计算 2 3 9 8 3 2" xfId="21481" xr:uid="{00000000-0005-0000-0000-000019540000}"/>
    <cellStyle name="计算 2 3 9 8 4" xfId="21500" xr:uid="{00000000-0005-0000-0000-00002C540000}"/>
    <cellStyle name="计算 2 3 9 8 4 2" xfId="21503" xr:uid="{00000000-0005-0000-0000-00002F540000}"/>
    <cellStyle name="计算 2 3 9 8 5" xfId="28673" xr:uid="{00000000-0005-0000-0000-000031700000}"/>
    <cellStyle name="计算 2 3 9 9" xfId="519" xr:uid="{00000000-0005-0000-0000-000035020000}"/>
    <cellStyle name="计算 2 3 9 9 2" xfId="5221" xr:uid="{00000000-0005-0000-0000-000095140000}"/>
    <cellStyle name="计算 2 4" xfId="24004" xr:uid="{00000000-0005-0000-0000-0000F45D0000}"/>
    <cellStyle name="计算 2 4 10" xfId="28674" xr:uid="{00000000-0005-0000-0000-000032700000}"/>
    <cellStyle name="计算 2 4 10 10" xfId="28676" xr:uid="{00000000-0005-0000-0000-000034700000}"/>
    <cellStyle name="计算 2 4 10 10 2" xfId="28679" xr:uid="{00000000-0005-0000-0000-000037700000}"/>
    <cellStyle name="计算 2 4 10 11" xfId="17151" xr:uid="{00000000-0005-0000-0000-00002F430000}"/>
    <cellStyle name="计算 2 4 10 11 2" xfId="28682" xr:uid="{00000000-0005-0000-0000-00003A700000}"/>
    <cellStyle name="计算 2 4 10 12" xfId="28686" xr:uid="{00000000-0005-0000-0000-00003E700000}"/>
    <cellStyle name="计算 2 4 10 12 2" xfId="28692" xr:uid="{00000000-0005-0000-0000-000044700000}"/>
    <cellStyle name="计算 2 4 10 13" xfId="28697" xr:uid="{00000000-0005-0000-0000-000049700000}"/>
    <cellStyle name="计算 2 4 10 14" xfId="28699" xr:uid="{00000000-0005-0000-0000-00004B700000}"/>
    <cellStyle name="计算 2 4 10 15" xfId="28701" xr:uid="{00000000-0005-0000-0000-00004D700000}"/>
    <cellStyle name="计算 2 4 10 16" xfId="24209" xr:uid="{00000000-0005-0000-0000-0000C15E0000}"/>
    <cellStyle name="计算 2 4 10 2" xfId="28703" xr:uid="{00000000-0005-0000-0000-00004F700000}"/>
    <cellStyle name="计算 2 4 10 2 2" xfId="28705" xr:uid="{00000000-0005-0000-0000-000051700000}"/>
    <cellStyle name="计算 2 4 10 2 2 2" xfId="28707" xr:uid="{00000000-0005-0000-0000-000053700000}"/>
    <cellStyle name="计算 2 4 10 2 3" xfId="28710" xr:uid="{00000000-0005-0000-0000-000056700000}"/>
    <cellStyle name="计算 2 4 10 2 3 2" xfId="28715" xr:uid="{00000000-0005-0000-0000-00005B700000}"/>
    <cellStyle name="计算 2 4 10 2 4" xfId="11662" xr:uid="{00000000-0005-0000-0000-0000BE2D0000}"/>
    <cellStyle name="计算 2 4 10 2 4 2" xfId="28719" xr:uid="{00000000-0005-0000-0000-00005F700000}"/>
    <cellStyle name="计算 2 4 10 2 5" xfId="28723" xr:uid="{00000000-0005-0000-0000-000063700000}"/>
    <cellStyle name="计算 2 4 10 2 5 2" xfId="28727" xr:uid="{00000000-0005-0000-0000-000067700000}"/>
    <cellStyle name="计算 2 4 10 2 6" xfId="28731" xr:uid="{00000000-0005-0000-0000-00006B700000}"/>
    <cellStyle name="计算 2 4 10 2 7" xfId="28736" xr:uid="{00000000-0005-0000-0000-000070700000}"/>
    <cellStyle name="计算 2 4 10 2 8" xfId="28741" xr:uid="{00000000-0005-0000-0000-000075700000}"/>
    <cellStyle name="计算 2 4 10 2 9" xfId="28743" xr:uid="{00000000-0005-0000-0000-000077700000}"/>
    <cellStyle name="计算 2 4 10 3" xfId="28745" xr:uid="{00000000-0005-0000-0000-000079700000}"/>
    <cellStyle name="计算 2 4 10 3 2" xfId="28747" xr:uid="{00000000-0005-0000-0000-00007B700000}"/>
    <cellStyle name="计算 2 4 10 3 2 2" xfId="28749" xr:uid="{00000000-0005-0000-0000-00007D700000}"/>
    <cellStyle name="计算 2 4 10 3 3" xfId="28753" xr:uid="{00000000-0005-0000-0000-000081700000}"/>
    <cellStyle name="计算 2 4 10 3 3 2" xfId="28758" xr:uid="{00000000-0005-0000-0000-000086700000}"/>
    <cellStyle name="计算 2 4 10 3 4" xfId="28762" xr:uid="{00000000-0005-0000-0000-00008A700000}"/>
    <cellStyle name="计算 2 4 10 3 4 2" xfId="16171" xr:uid="{00000000-0005-0000-0000-00005B3F0000}"/>
    <cellStyle name="计算 2 4 10 3 5" xfId="28767" xr:uid="{00000000-0005-0000-0000-00008F700000}"/>
    <cellStyle name="计算 2 4 10 3 5 2" xfId="6296" xr:uid="{00000000-0005-0000-0000-0000C8180000}"/>
    <cellStyle name="计算 2 4 10 3 6" xfId="28771" xr:uid="{00000000-0005-0000-0000-000093700000}"/>
    <cellStyle name="计算 2 4 10 4" xfId="28774" xr:uid="{00000000-0005-0000-0000-000096700000}"/>
    <cellStyle name="计算 2 4 10 4 2" xfId="28778" xr:uid="{00000000-0005-0000-0000-00009A700000}"/>
    <cellStyle name="计算 2 4 10 4 2 2" xfId="28780" xr:uid="{00000000-0005-0000-0000-00009C700000}"/>
    <cellStyle name="计算 2 4 10 4 3" xfId="28784" xr:uid="{00000000-0005-0000-0000-0000A0700000}"/>
    <cellStyle name="计算 2 4 10 4 3 2" xfId="28789" xr:uid="{00000000-0005-0000-0000-0000A5700000}"/>
    <cellStyle name="计算 2 4 10 4 4" xfId="28793" xr:uid="{00000000-0005-0000-0000-0000A9700000}"/>
    <cellStyle name="计算 2 4 10 4 4 2" xfId="16882" xr:uid="{00000000-0005-0000-0000-000022420000}"/>
    <cellStyle name="计算 2 4 10 4 5" xfId="27848" xr:uid="{00000000-0005-0000-0000-0000F86C0000}"/>
    <cellStyle name="计算 2 4 10 4 5 2" xfId="6683" xr:uid="{00000000-0005-0000-0000-00004B1A0000}"/>
    <cellStyle name="计算 2 4 10 4 6" xfId="28799" xr:uid="{00000000-0005-0000-0000-0000AF700000}"/>
    <cellStyle name="计算 2 4 10 5" xfId="28802" xr:uid="{00000000-0005-0000-0000-0000B2700000}"/>
    <cellStyle name="计算 2 4 10 5 2" xfId="28805" xr:uid="{00000000-0005-0000-0000-0000B5700000}"/>
    <cellStyle name="计算 2 4 10 5 2 2" xfId="28808" xr:uid="{00000000-0005-0000-0000-0000B8700000}"/>
    <cellStyle name="计算 2 4 10 5 3" xfId="28812" xr:uid="{00000000-0005-0000-0000-0000BC700000}"/>
    <cellStyle name="计算 2 4 10 5 3 2" xfId="28819" xr:uid="{00000000-0005-0000-0000-0000C3700000}"/>
    <cellStyle name="计算 2 4 10 5 4" xfId="28823" xr:uid="{00000000-0005-0000-0000-0000C7700000}"/>
    <cellStyle name="计算 2 4 10 5 4 2" xfId="28828" xr:uid="{00000000-0005-0000-0000-0000CC700000}"/>
    <cellStyle name="计算 2 4 10 5 5" xfId="27854" xr:uid="{00000000-0005-0000-0000-0000FE6C0000}"/>
    <cellStyle name="计算 2 4 10 5 5 2" xfId="28831" xr:uid="{00000000-0005-0000-0000-0000CF700000}"/>
    <cellStyle name="计算 2 4 10 5 6" xfId="28835" xr:uid="{00000000-0005-0000-0000-0000D3700000}"/>
    <cellStyle name="计算 2 4 10 6" xfId="27360" xr:uid="{00000000-0005-0000-0000-0000106B0000}"/>
    <cellStyle name="计算 2 4 10 6 2" xfId="27363" xr:uid="{00000000-0005-0000-0000-0000136B0000}"/>
    <cellStyle name="计算 2 4 10 6 2 2" xfId="28837" xr:uid="{00000000-0005-0000-0000-0000D5700000}"/>
    <cellStyle name="计算 2 4 10 6 3" xfId="28839" xr:uid="{00000000-0005-0000-0000-0000D7700000}"/>
    <cellStyle name="计算 2 4 10 6 3 2" xfId="28844" xr:uid="{00000000-0005-0000-0000-0000DC700000}"/>
    <cellStyle name="计算 2 4 10 6 4" xfId="28847" xr:uid="{00000000-0005-0000-0000-0000DF700000}"/>
    <cellStyle name="计算 2 4 10 6 4 2" xfId="28849" xr:uid="{00000000-0005-0000-0000-0000E1700000}"/>
    <cellStyle name="计算 2 4 10 6 5" xfId="27857" xr:uid="{00000000-0005-0000-0000-0000016D0000}"/>
    <cellStyle name="计算 2 4 10 6 5 2" xfId="28851" xr:uid="{00000000-0005-0000-0000-0000E3700000}"/>
    <cellStyle name="计算 2 4 10 6 6" xfId="14991" xr:uid="{00000000-0005-0000-0000-0000BF3A0000}"/>
    <cellStyle name="计算 2 4 10 7" xfId="27365" xr:uid="{00000000-0005-0000-0000-0000156B0000}"/>
    <cellStyle name="计算 2 4 10 7 2" xfId="27369" xr:uid="{00000000-0005-0000-0000-0000196B0000}"/>
    <cellStyle name="计算 2 4 10 7 2 2" xfId="28853" xr:uid="{00000000-0005-0000-0000-0000E5700000}"/>
    <cellStyle name="计算 2 4 10 7 3" xfId="28855" xr:uid="{00000000-0005-0000-0000-0000E7700000}"/>
    <cellStyle name="计算 2 4 10 7 3 2" xfId="28858" xr:uid="{00000000-0005-0000-0000-0000EA700000}"/>
    <cellStyle name="计算 2 4 10 7 4" xfId="28861" xr:uid="{00000000-0005-0000-0000-0000ED700000}"/>
    <cellStyle name="计算 2 4 10 7 4 2" xfId="28862" xr:uid="{00000000-0005-0000-0000-0000EE700000}"/>
    <cellStyle name="计算 2 4 10 7 5" xfId="27861" xr:uid="{00000000-0005-0000-0000-0000056D0000}"/>
    <cellStyle name="计算 2 4 10 7 5 2" xfId="28863" xr:uid="{00000000-0005-0000-0000-0000EF700000}"/>
    <cellStyle name="计算 2 4 10 7 6" xfId="14996" xr:uid="{00000000-0005-0000-0000-0000C43A0000}"/>
    <cellStyle name="计算 2 4 10 8" xfId="6847" xr:uid="{00000000-0005-0000-0000-0000EF1A0000}"/>
    <cellStyle name="计算 2 4 10 8 2" xfId="21767" xr:uid="{00000000-0005-0000-0000-000037550000}"/>
    <cellStyle name="计算 2 4 10 8 2 2" xfId="21771" xr:uid="{00000000-0005-0000-0000-00003B550000}"/>
    <cellStyle name="计算 2 4 10 8 3" xfId="21775" xr:uid="{00000000-0005-0000-0000-00003F550000}"/>
    <cellStyle name="计算 2 4 10 8 3 2" xfId="28865" xr:uid="{00000000-0005-0000-0000-0000F1700000}"/>
    <cellStyle name="计算 2 4 10 8 4" xfId="21780" xr:uid="{00000000-0005-0000-0000-000044550000}"/>
    <cellStyle name="计算 2 4 10 8 4 2" xfId="17781" xr:uid="{00000000-0005-0000-0000-0000A5450000}"/>
    <cellStyle name="计算 2 4 10 8 5" xfId="21784" xr:uid="{00000000-0005-0000-0000-000048550000}"/>
    <cellStyle name="计算 2 4 10 9" xfId="27371" xr:uid="{00000000-0005-0000-0000-00001B6B0000}"/>
    <cellStyle name="计算 2 4 10 9 2" xfId="27374" xr:uid="{00000000-0005-0000-0000-00001E6B0000}"/>
    <cellStyle name="计算 2 4 11" xfId="24294" xr:uid="{00000000-0005-0000-0000-0000165F0000}"/>
    <cellStyle name="计算 2 4 11 10" xfId="22338" xr:uid="{00000000-0005-0000-0000-000072570000}"/>
    <cellStyle name="计算 2 4 11 10 2" xfId="22343" xr:uid="{00000000-0005-0000-0000-000077570000}"/>
    <cellStyle name="计算 2 4 11 11" xfId="15791" xr:uid="{00000000-0005-0000-0000-0000DF3D0000}"/>
    <cellStyle name="计算 2 4 11 11 2" xfId="22352" xr:uid="{00000000-0005-0000-0000-000080570000}"/>
    <cellStyle name="计算 2 4 11 12" xfId="22361" xr:uid="{00000000-0005-0000-0000-000089570000}"/>
    <cellStyle name="计算 2 4 11 12 2" xfId="22365" xr:uid="{00000000-0005-0000-0000-00008D570000}"/>
    <cellStyle name="计算 2 4 11 13" xfId="18902" xr:uid="{00000000-0005-0000-0000-0000064A0000}"/>
    <cellStyle name="计算 2 4 11 14" xfId="28866" xr:uid="{00000000-0005-0000-0000-0000F2700000}"/>
    <cellStyle name="计算 2 4 11 15" xfId="28868" xr:uid="{00000000-0005-0000-0000-0000F4700000}"/>
    <cellStyle name="计算 2 4 11 16" xfId="28503" xr:uid="{00000000-0005-0000-0000-0000876F0000}"/>
    <cellStyle name="计算 2 4 11 2" xfId="24297" xr:uid="{00000000-0005-0000-0000-0000195F0000}"/>
    <cellStyle name="计算 2 4 11 2 2" xfId="28870" xr:uid="{00000000-0005-0000-0000-0000F6700000}"/>
    <cellStyle name="计算 2 4 11 2 2 2" xfId="28872" xr:uid="{00000000-0005-0000-0000-0000F8700000}"/>
    <cellStyle name="计算 2 4 11 2 3" xfId="28875" xr:uid="{00000000-0005-0000-0000-0000FB700000}"/>
    <cellStyle name="计算 2 4 11 2 3 2" xfId="28879" xr:uid="{00000000-0005-0000-0000-0000FF700000}"/>
    <cellStyle name="计算 2 4 11 2 4" xfId="11710" xr:uid="{00000000-0005-0000-0000-0000EE2D0000}"/>
    <cellStyle name="计算 2 4 11 2 4 2" xfId="28882" xr:uid="{00000000-0005-0000-0000-000002710000}"/>
    <cellStyle name="计算 2 4 11 2 5" xfId="28885" xr:uid="{00000000-0005-0000-0000-000005710000}"/>
    <cellStyle name="计算 2 4 11 2 5 2" xfId="28888" xr:uid="{00000000-0005-0000-0000-000008710000}"/>
    <cellStyle name="计算 2 4 11 2 6" xfId="28891" xr:uid="{00000000-0005-0000-0000-00000B710000}"/>
    <cellStyle name="计算 2 4 11 3" xfId="28894" xr:uid="{00000000-0005-0000-0000-00000E710000}"/>
    <cellStyle name="计算 2 4 11 3 2" xfId="22266" xr:uid="{00000000-0005-0000-0000-00002A570000}"/>
    <cellStyle name="计算 2 4 11 3 2 2" xfId="22270" xr:uid="{00000000-0005-0000-0000-00002E570000}"/>
    <cellStyle name="计算 2 4 11 3 3" xfId="22274" xr:uid="{00000000-0005-0000-0000-000032570000}"/>
    <cellStyle name="计算 2 4 11 3 3 2" xfId="28896" xr:uid="{00000000-0005-0000-0000-000010710000}"/>
    <cellStyle name="计算 2 4 11 3 4" xfId="22279" xr:uid="{00000000-0005-0000-0000-000037570000}"/>
    <cellStyle name="计算 2 4 11 3 4 2" xfId="23049" xr:uid="{00000000-0005-0000-0000-0000395A0000}"/>
    <cellStyle name="计算 2 4 11 3 5" xfId="22284" xr:uid="{00000000-0005-0000-0000-00003C570000}"/>
    <cellStyle name="计算 2 4 11 3 5 2" xfId="28899" xr:uid="{00000000-0005-0000-0000-000013710000}"/>
    <cellStyle name="计算 2 4 11 3 6" xfId="22288" xr:uid="{00000000-0005-0000-0000-000040570000}"/>
    <cellStyle name="计算 2 4 11 4" xfId="28901" xr:uid="{00000000-0005-0000-0000-000015710000}"/>
    <cellStyle name="计算 2 4 11 4 2" xfId="28904" xr:uid="{00000000-0005-0000-0000-000018710000}"/>
    <cellStyle name="计算 2 4 11 4 2 2" xfId="28907" xr:uid="{00000000-0005-0000-0000-00001B710000}"/>
    <cellStyle name="计算 2 4 11 4 3" xfId="28910" xr:uid="{00000000-0005-0000-0000-00001E710000}"/>
    <cellStyle name="计算 2 4 11 4 3 2" xfId="28914" xr:uid="{00000000-0005-0000-0000-000022710000}"/>
    <cellStyle name="计算 2 4 11 4 4" xfId="28917" xr:uid="{00000000-0005-0000-0000-000025710000}"/>
    <cellStyle name="计算 2 4 11 4 4 2" xfId="23500" xr:uid="{00000000-0005-0000-0000-0000FC5B0000}"/>
    <cellStyle name="计算 2 4 11 4 5" xfId="27874" xr:uid="{00000000-0005-0000-0000-0000126D0000}"/>
    <cellStyle name="计算 2 4 11 4 5 2" xfId="378" xr:uid="{00000000-0005-0000-0000-00009F010000}"/>
    <cellStyle name="计算 2 4 11 4 6" xfId="28922" xr:uid="{00000000-0005-0000-0000-00002A710000}"/>
    <cellStyle name="计算 2 4 11 5" xfId="28924" xr:uid="{00000000-0005-0000-0000-00002C710000}"/>
    <cellStyle name="计算 2 4 11 5 2" xfId="28927" xr:uid="{00000000-0005-0000-0000-00002F710000}"/>
    <cellStyle name="计算 2 4 11 5 2 2" xfId="28930" xr:uid="{00000000-0005-0000-0000-000032710000}"/>
    <cellStyle name="计算 2 4 11 5 3" xfId="28934" xr:uid="{00000000-0005-0000-0000-000036710000}"/>
    <cellStyle name="计算 2 4 11 5 3 2" xfId="28938" xr:uid="{00000000-0005-0000-0000-00003A710000}"/>
    <cellStyle name="计算 2 4 11 5 4" xfId="28942" xr:uid="{00000000-0005-0000-0000-00003E710000}"/>
    <cellStyle name="计算 2 4 11 5 4 2" xfId="28946" xr:uid="{00000000-0005-0000-0000-000042710000}"/>
    <cellStyle name="计算 2 4 11 5 5" xfId="27878" xr:uid="{00000000-0005-0000-0000-0000166D0000}"/>
    <cellStyle name="计算 2 4 11 5 5 2" xfId="28948" xr:uid="{00000000-0005-0000-0000-000044710000}"/>
    <cellStyle name="计算 2 4 11 5 6" xfId="28951" xr:uid="{00000000-0005-0000-0000-000047710000}"/>
    <cellStyle name="计算 2 4 11 6" xfId="27382" xr:uid="{00000000-0005-0000-0000-0000266B0000}"/>
    <cellStyle name="计算 2 4 11 6 2" xfId="27386" xr:uid="{00000000-0005-0000-0000-00002A6B0000}"/>
    <cellStyle name="计算 2 4 11 6 2 2" xfId="28953" xr:uid="{00000000-0005-0000-0000-000049710000}"/>
    <cellStyle name="计算 2 4 11 6 3" xfId="28955" xr:uid="{00000000-0005-0000-0000-00004B710000}"/>
    <cellStyle name="计算 2 4 11 6 3 2" xfId="28959" xr:uid="{00000000-0005-0000-0000-00004F710000}"/>
    <cellStyle name="计算 2 4 11 6 4" xfId="28962" xr:uid="{00000000-0005-0000-0000-000052710000}"/>
    <cellStyle name="计算 2 4 11 6 4 2" xfId="28963" xr:uid="{00000000-0005-0000-0000-000053710000}"/>
    <cellStyle name="计算 2 4 11 6 5" xfId="27884" xr:uid="{00000000-0005-0000-0000-00001C6D0000}"/>
    <cellStyle name="计算 2 4 11 6 5 2" xfId="28964" xr:uid="{00000000-0005-0000-0000-000054710000}"/>
    <cellStyle name="计算 2 4 11 6 6" xfId="15009" xr:uid="{00000000-0005-0000-0000-0000D13A0000}"/>
    <cellStyle name="计算 2 4 11 7" xfId="27389" xr:uid="{00000000-0005-0000-0000-00002D6B0000}"/>
    <cellStyle name="计算 2 4 11 7 2" xfId="27393" xr:uid="{00000000-0005-0000-0000-0000316B0000}"/>
    <cellStyle name="计算 2 4 11 7 2 2" xfId="28966" xr:uid="{00000000-0005-0000-0000-000056710000}"/>
    <cellStyle name="计算 2 4 11 7 3" xfId="28968" xr:uid="{00000000-0005-0000-0000-000058710000}"/>
    <cellStyle name="计算 2 4 11 7 3 2" xfId="28971" xr:uid="{00000000-0005-0000-0000-00005B710000}"/>
    <cellStyle name="计算 2 4 11 7 4" xfId="28974" xr:uid="{00000000-0005-0000-0000-00005E710000}"/>
    <cellStyle name="计算 2 4 11 7 4 2" xfId="28975" xr:uid="{00000000-0005-0000-0000-00005F710000}"/>
    <cellStyle name="计算 2 4 11 7 5" xfId="27887" xr:uid="{00000000-0005-0000-0000-00001F6D0000}"/>
    <cellStyle name="计算 2 4 11 7 5 2" xfId="28976" xr:uid="{00000000-0005-0000-0000-000060710000}"/>
    <cellStyle name="计算 2 4 11 7 6" xfId="15015" xr:uid="{00000000-0005-0000-0000-0000D73A0000}"/>
    <cellStyle name="计算 2 4 11 8" xfId="6864" xr:uid="{00000000-0005-0000-0000-0000001B0000}"/>
    <cellStyle name="计算 2 4 11 8 2" xfId="22373" xr:uid="{00000000-0005-0000-0000-000095570000}"/>
    <cellStyle name="计算 2 4 11 8 2 2" xfId="22377" xr:uid="{00000000-0005-0000-0000-000099570000}"/>
    <cellStyle name="计算 2 4 11 8 3" xfId="22380" xr:uid="{00000000-0005-0000-0000-00009C570000}"/>
    <cellStyle name="计算 2 4 11 8 3 2" xfId="28978" xr:uid="{00000000-0005-0000-0000-000062710000}"/>
    <cellStyle name="计算 2 4 11 8 4" xfId="22385" xr:uid="{00000000-0005-0000-0000-0000A1570000}"/>
    <cellStyle name="计算 2 4 11 8 4 2" xfId="28979" xr:uid="{00000000-0005-0000-0000-000063710000}"/>
    <cellStyle name="计算 2 4 11 8 5" xfId="22389" xr:uid="{00000000-0005-0000-0000-0000A5570000}"/>
    <cellStyle name="计算 2 4 11 9" xfId="27395" xr:uid="{00000000-0005-0000-0000-0000336B0000}"/>
    <cellStyle name="计算 2 4 11 9 2" xfId="27401" xr:uid="{00000000-0005-0000-0000-0000396B0000}"/>
    <cellStyle name="计算 2 4 12" xfId="24299" xr:uid="{00000000-0005-0000-0000-00001B5F0000}"/>
    <cellStyle name="计算 2 4 12 2" xfId="24303" xr:uid="{00000000-0005-0000-0000-00001F5F0000}"/>
    <cellStyle name="计算 2 4 12 2 2" xfId="14026" xr:uid="{00000000-0005-0000-0000-0000FA360000}"/>
    <cellStyle name="计算 2 4 12 3" xfId="24347" xr:uid="{00000000-0005-0000-0000-00004B5F0000}"/>
    <cellStyle name="计算 2 4 12 3 2" xfId="14060" xr:uid="{00000000-0005-0000-0000-00001C370000}"/>
    <cellStyle name="计算 2 4 12 4" xfId="28980" xr:uid="{00000000-0005-0000-0000-000064710000}"/>
    <cellStyle name="计算 2 4 12 4 2" xfId="14112" xr:uid="{00000000-0005-0000-0000-000050370000}"/>
    <cellStyle name="计算 2 4 12 5" xfId="28982" xr:uid="{00000000-0005-0000-0000-000066710000}"/>
    <cellStyle name="计算 2 4 12 5 2" xfId="1809" xr:uid="{00000000-0005-0000-0000-000041070000}"/>
    <cellStyle name="计算 2 4 12 6" xfId="27404" xr:uid="{00000000-0005-0000-0000-00003C6B0000}"/>
    <cellStyle name="计算 2 4 12 7" xfId="27411" xr:uid="{00000000-0005-0000-0000-0000436B0000}"/>
    <cellStyle name="计算 2 4 12 8" xfId="6868" xr:uid="{00000000-0005-0000-0000-0000041B0000}"/>
    <cellStyle name="计算 2 4 12 9" xfId="27417" xr:uid="{00000000-0005-0000-0000-0000496B0000}"/>
    <cellStyle name="计算 2 4 13" xfId="24309" xr:uid="{00000000-0005-0000-0000-0000255F0000}"/>
    <cellStyle name="计算 2 4 13 2" xfId="24313" xr:uid="{00000000-0005-0000-0000-0000295F0000}"/>
    <cellStyle name="计算 2 4 13 2 2" xfId="28986" xr:uid="{00000000-0005-0000-0000-00006A710000}"/>
    <cellStyle name="计算 2 4 13 3" xfId="24350" xr:uid="{00000000-0005-0000-0000-00004E5F0000}"/>
    <cellStyle name="计算 2 4 13 3 2" xfId="28988" xr:uid="{00000000-0005-0000-0000-00006C710000}"/>
    <cellStyle name="计算 2 4 13 4" xfId="28989" xr:uid="{00000000-0005-0000-0000-00006D710000}"/>
    <cellStyle name="计算 2 4 13 4 2" xfId="28991" xr:uid="{00000000-0005-0000-0000-00006F710000}"/>
    <cellStyle name="计算 2 4 13 5" xfId="28992" xr:uid="{00000000-0005-0000-0000-000070710000}"/>
    <cellStyle name="计算 2 4 13 5 2" xfId="28995" xr:uid="{00000000-0005-0000-0000-000073710000}"/>
    <cellStyle name="计算 2 4 13 6" xfId="17018" xr:uid="{00000000-0005-0000-0000-0000AA420000}"/>
    <cellStyle name="计算 2 4 14" xfId="24316" xr:uid="{00000000-0005-0000-0000-00002C5F0000}"/>
    <cellStyle name="计算 2 4 14 2" xfId="24319" xr:uid="{00000000-0005-0000-0000-00002F5F0000}"/>
    <cellStyle name="计算 2 4 14 2 2" xfId="28997" xr:uid="{00000000-0005-0000-0000-000075710000}"/>
    <cellStyle name="计算 2 4 14 3" xfId="83" xr:uid="{00000000-0005-0000-0000-00005A000000}"/>
    <cellStyle name="计算 2 4 14 3 2" xfId="1198" xr:uid="{00000000-0005-0000-0000-0000DE040000}"/>
    <cellStyle name="计算 2 4 14 4" xfId="28998" xr:uid="{00000000-0005-0000-0000-000076710000}"/>
    <cellStyle name="计算 2 4 14 4 2" xfId="29000" xr:uid="{00000000-0005-0000-0000-000078710000}"/>
    <cellStyle name="计算 2 4 14 5" xfId="29001" xr:uid="{00000000-0005-0000-0000-000079710000}"/>
    <cellStyle name="计算 2 4 14 5 2" xfId="29004" xr:uid="{00000000-0005-0000-0000-00007C710000}"/>
    <cellStyle name="计算 2 4 14 6" xfId="17025" xr:uid="{00000000-0005-0000-0000-0000B1420000}"/>
    <cellStyle name="计算 2 4 15" xfId="7710" xr:uid="{00000000-0005-0000-0000-00004E1E0000}"/>
    <cellStyle name="计算 2 4 15 2" xfId="29006" xr:uid="{00000000-0005-0000-0000-00007E710000}"/>
    <cellStyle name="计算 2 4 15 2 2" xfId="29007" xr:uid="{00000000-0005-0000-0000-00007F710000}"/>
    <cellStyle name="计算 2 4 15 3" xfId="29008" xr:uid="{00000000-0005-0000-0000-000080710000}"/>
    <cellStyle name="计算 2 4 15 3 2" xfId="29009" xr:uid="{00000000-0005-0000-0000-000081710000}"/>
    <cellStyle name="计算 2 4 15 4" xfId="29010" xr:uid="{00000000-0005-0000-0000-000082710000}"/>
    <cellStyle name="计算 2 4 15 4 2" xfId="29011" xr:uid="{00000000-0005-0000-0000-000083710000}"/>
    <cellStyle name="计算 2 4 15 5" xfId="29012" xr:uid="{00000000-0005-0000-0000-000084710000}"/>
    <cellStyle name="计算 2 4 15 5 2" xfId="29013" xr:uid="{00000000-0005-0000-0000-000085710000}"/>
    <cellStyle name="计算 2 4 15 6" xfId="17029" xr:uid="{00000000-0005-0000-0000-0000B5420000}"/>
    <cellStyle name="计算 2 4 16" xfId="27682" xr:uid="{00000000-0005-0000-0000-0000526C0000}"/>
    <cellStyle name="计算 2 4 16 2" xfId="29015" xr:uid="{00000000-0005-0000-0000-000087710000}"/>
    <cellStyle name="计算 2 4 16 2 2" xfId="29016" xr:uid="{00000000-0005-0000-0000-000088710000}"/>
    <cellStyle name="计算 2 4 16 3" xfId="29017" xr:uid="{00000000-0005-0000-0000-000089710000}"/>
    <cellStyle name="计算 2 4 16 3 2" xfId="23389" xr:uid="{00000000-0005-0000-0000-00008D5B0000}"/>
    <cellStyle name="计算 2 4 16 4" xfId="29018" xr:uid="{00000000-0005-0000-0000-00008A710000}"/>
    <cellStyle name="计算 2 4 16 4 2" xfId="27864" xr:uid="{00000000-0005-0000-0000-0000086D0000}"/>
    <cellStyle name="计算 2 4 16 5" xfId="29019" xr:uid="{00000000-0005-0000-0000-00008B710000}"/>
    <cellStyle name="计算 2 4 16 5 2" xfId="29020" xr:uid="{00000000-0005-0000-0000-00008C710000}"/>
    <cellStyle name="计算 2 4 16 6" xfId="29021" xr:uid="{00000000-0005-0000-0000-00008D710000}"/>
    <cellStyle name="计算 2 4 17" xfId="18156" xr:uid="{00000000-0005-0000-0000-00001C470000}"/>
    <cellStyle name="计算 2 4 17 2" xfId="29023" xr:uid="{00000000-0005-0000-0000-00008F710000}"/>
    <cellStyle name="计算 2 4 17 2 2" xfId="15943" xr:uid="{00000000-0005-0000-0000-0000773E0000}"/>
    <cellStyle name="计算 2 4 17 3" xfId="29024" xr:uid="{00000000-0005-0000-0000-000090710000}"/>
    <cellStyle name="计算 2 4 17 3 2" xfId="15963" xr:uid="{00000000-0005-0000-0000-00008B3E0000}"/>
    <cellStyle name="计算 2 4 17 4" xfId="29025" xr:uid="{00000000-0005-0000-0000-000091710000}"/>
    <cellStyle name="计算 2 4 17 4 2" xfId="16000" xr:uid="{00000000-0005-0000-0000-0000B03E0000}"/>
    <cellStyle name="计算 2 4 17 5" xfId="29026" xr:uid="{00000000-0005-0000-0000-000092710000}"/>
    <cellStyle name="计算 2 4 17 5 2" xfId="16042" xr:uid="{00000000-0005-0000-0000-0000DA3E0000}"/>
    <cellStyle name="计算 2 4 17 6" xfId="29028" xr:uid="{00000000-0005-0000-0000-000094710000}"/>
    <cellStyle name="计算 2 4 18" xfId="26514" xr:uid="{00000000-0005-0000-0000-0000C2670000}"/>
    <cellStyle name="计算 2 4 18 2" xfId="26518" xr:uid="{00000000-0005-0000-0000-0000C6670000}"/>
    <cellStyle name="计算 2 4 18 2 2" xfId="26524" xr:uid="{00000000-0005-0000-0000-0000CC670000}"/>
    <cellStyle name="计算 2 4 18 3" xfId="26531" xr:uid="{00000000-0005-0000-0000-0000D3670000}"/>
    <cellStyle name="计算 2 4 18 3 2" xfId="21274" xr:uid="{00000000-0005-0000-0000-00004A530000}"/>
    <cellStyle name="计算 2 4 18 4" xfId="25283" xr:uid="{00000000-0005-0000-0000-0000F3620000}"/>
    <cellStyle name="计算 2 4 18 4 2" xfId="26537" xr:uid="{00000000-0005-0000-0000-0000D9670000}"/>
    <cellStyle name="计算 2 4 18 5" xfId="26543" xr:uid="{00000000-0005-0000-0000-0000DF670000}"/>
    <cellStyle name="计算 2 4 18 5 2" xfId="26548" xr:uid="{00000000-0005-0000-0000-0000E4670000}"/>
    <cellStyle name="计算 2 4 18 6" xfId="26554" xr:uid="{00000000-0005-0000-0000-0000EA670000}"/>
    <cellStyle name="计算 2 4 19" xfId="26573" xr:uid="{00000000-0005-0000-0000-0000FD670000}"/>
    <cellStyle name="计算 2 4 19 2" xfId="26577" xr:uid="{00000000-0005-0000-0000-000001680000}"/>
    <cellStyle name="计算 2 4 19 2 2" xfId="26583" xr:uid="{00000000-0005-0000-0000-000007680000}"/>
    <cellStyle name="计算 2 4 19 3" xfId="26589" xr:uid="{00000000-0005-0000-0000-00000D680000}"/>
    <cellStyle name="计算 2 4 19 3 2" xfId="26596" xr:uid="{00000000-0005-0000-0000-000014680000}"/>
    <cellStyle name="计算 2 4 19 4" xfId="25294" xr:uid="{00000000-0005-0000-0000-0000FE620000}"/>
    <cellStyle name="计算 2 4 19 4 2" xfId="26602" xr:uid="{00000000-0005-0000-0000-00001A680000}"/>
    <cellStyle name="计算 2 4 19 5" xfId="26608" xr:uid="{00000000-0005-0000-0000-000020680000}"/>
    <cellStyle name="计算 2 4 2" xfId="18651" xr:uid="{00000000-0005-0000-0000-00000B490000}"/>
    <cellStyle name="计算 2 4 2 10" xfId="23513" xr:uid="{00000000-0005-0000-0000-0000095C0000}"/>
    <cellStyle name="计算 2 4 2 10 2" xfId="12057" xr:uid="{00000000-0005-0000-0000-0000492F0000}"/>
    <cellStyle name="计算 2 4 2 11" xfId="25488" xr:uid="{00000000-0005-0000-0000-0000C0630000}"/>
    <cellStyle name="计算 2 4 2 11 2" xfId="12069" xr:uid="{00000000-0005-0000-0000-0000552F0000}"/>
    <cellStyle name="计算 2 4 2 12" xfId="25493" xr:uid="{00000000-0005-0000-0000-0000C5630000}"/>
    <cellStyle name="计算 2 4 2 12 2" xfId="12080" xr:uid="{00000000-0005-0000-0000-0000602F0000}"/>
    <cellStyle name="计算 2 4 2 13" xfId="25495" xr:uid="{00000000-0005-0000-0000-0000C7630000}"/>
    <cellStyle name="计算 2 4 2 14" xfId="25498" xr:uid="{00000000-0005-0000-0000-0000CA630000}"/>
    <cellStyle name="计算 2 4 2 15" xfId="10166" xr:uid="{00000000-0005-0000-0000-0000E6270000}"/>
    <cellStyle name="计算 2 4 2 16" xfId="3055" xr:uid="{00000000-0005-0000-0000-00001F0C0000}"/>
    <cellStyle name="计算 2 4 2 2" xfId="18656" xr:uid="{00000000-0005-0000-0000-000010490000}"/>
    <cellStyle name="计算 2 4 2 2 2" xfId="29030" xr:uid="{00000000-0005-0000-0000-000096710000}"/>
    <cellStyle name="计算 2 4 2 2 2 2" xfId="29033" xr:uid="{00000000-0005-0000-0000-000099710000}"/>
    <cellStyle name="计算 2 4 2 2 3" xfId="29035" xr:uid="{00000000-0005-0000-0000-00009B710000}"/>
    <cellStyle name="计算 2 4 2 2 3 2" xfId="29037" xr:uid="{00000000-0005-0000-0000-00009D710000}"/>
    <cellStyle name="计算 2 4 2 2 4" xfId="17062" xr:uid="{00000000-0005-0000-0000-0000D6420000}"/>
    <cellStyle name="计算 2 4 2 2 4 2" xfId="17065" xr:uid="{00000000-0005-0000-0000-0000D9420000}"/>
    <cellStyle name="计算 2 4 2 2 5" xfId="17069" xr:uid="{00000000-0005-0000-0000-0000DD420000}"/>
    <cellStyle name="计算 2 4 2 2 5 2" xfId="17073" xr:uid="{00000000-0005-0000-0000-0000E1420000}"/>
    <cellStyle name="计算 2 4 2 2 6" xfId="17078" xr:uid="{00000000-0005-0000-0000-0000E6420000}"/>
    <cellStyle name="计算 2 4 2 2 7" xfId="12337" xr:uid="{00000000-0005-0000-0000-000061300000}"/>
    <cellStyle name="计算 2 4 2 2 8" xfId="8937" xr:uid="{00000000-0005-0000-0000-000019230000}"/>
    <cellStyle name="计算 2 4 2 2 9" xfId="29039" xr:uid="{00000000-0005-0000-0000-00009F710000}"/>
    <cellStyle name="计算 2 4 2 3" xfId="29040" xr:uid="{00000000-0005-0000-0000-0000A0710000}"/>
    <cellStyle name="计算 2 4 2 3 2" xfId="29043" xr:uid="{00000000-0005-0000-0000-0000A3710000}"/>
    <cellStyle name="计算 2 4 2 3 2 2" xfId="26060" xr:uid="{00000000-0005-0000-0000-0000FC650000}"/>
    <cellStyle name="计算 2 4 2 3 3" xfId="29046" xr:uid="{00000000-0005-0000-0000-0000A6710000}"/>
    <cellStyle name="计算 2 4 2 3 3 2" xfId="29049" xr:uid="{00000000-0005-0000-0000-0000A9710000}"/>
    <cellStyle name="计算 2 4 2 3 4" xfId="17088" xr:uid="{00000000-0005-0000-0000-0000F0420000}"/>
    <cellStyle name="计算 2 4 2 3 4 2" xfId="17094" xr:uid="{00000000-0005-0000-0000-0000F6420000}"/>
    <cellStyle name="计算 2 4 2 3 5" xfId="17099" xr:uid="{00000000-0005-0000-0000-0000FB420000}"/>
    <cellStyle name="计算 2 4 2 3 5 2" xfId="17105" xr:uid="{00000000-0005-0000-0000-000001430000}"/>
    <cellStyle name="计算 2 4 2 3 6" xfId="17109" xr:uid="{00000000-0005-0000-0000-000005430000}"/>
    <cellStyle name="计算 2 4 2 4" xfId="28438" xr:uid="{00000000-0005-0000-0000-0000466F0000}"/>
    <cellStyle name="计算 2 4 2 4 2" xfId="28206" xr:uid="{00000000-0005-0000-0000-00005E6E0000}"/>
    <cellStyle name="计算 2 4 2 4 2 2" xfId="26730" xr:uid="{00000000-0005-0000-0000-00009A680000}"/>
    <cellStyle name="计算 2 4 2 4 3" xfId="28210" xr:uid="{00000000-0005-0000-0000-0000626E0000}"/>
    <cellStyle name="计算 2 4 2 4 3 2" xfId="28213" xr:uid="{00000000-0005-0000-0000-0000656E0000}"/>
    <cellStyle name="计算 2 4 2 4 4" xfId="17124" xr:uid="{00000000-0005-0000-0000-000014430000}"/>
    <cellStyle name="计算 2 4 2 4 4 2" xfId="17130" xr:uid="{00000000-0005-0000-0000-00001A430000}"/>
    <cellStyle name="计算 2 4 2 4 5" xfId="17136" xr:uid="{00000000-0005-0000-0000-000020430000}"/>
    <cellStyle name="计算 2 4 2 4 5 2" xfId="17142" xr:uid="{00000000-0005-0000-0000-000026430000}"/>
    <cellStyle name="计算 2 4 2 4 6" xfId="17146" xr:uid="{00000000-0005-0000-0000-00002A430000}"/>
    <cellStyle name="计算 2 4 2 5" xfId="28441" xr:uid="{00000000-0005-0000-0000-0000496F0000}"/>
    <cellStyle name="计算 2 4 2 5 2" xfId="28251" xr:uid="{00000000-0005-0000-0000-00008B6E0000}"/>
    <cellStyle name="计算 2 4 2 5 2 2" xfId="23824" xr:uid="{00000000-0005-0000-0000-0000405D0000}"/>
    <cellStyle name="计算 2 4 2 5 3" xfId="28259" xr:uid="{00000000-0005-0000-0000-0000936E0000}"/>
    <cellStyle name="计算 2 4 2 5 3 2" xfId="23843" xr:uid="{00000000-0005-0000-0000-0000535D0000}"/>
    <cellStyle name="计算 2 4 2 5 4" xfId="17159" xr:uid="{00000000-0005-0000-0000-000037430000}"/>
    <cellStyle name="计算 2 4 2 5 4 2" xfId="17165" xr:uid="{00000000-0005-0000-0000-00003D430000}"/>
    <cellStyle name="计算 2 4 2 5 5" xfId="17171" xr:uid="{00000000-0005-0000-0000-000043430000}"/>
    <cellStyle name="计算 2 4 2 5 5 2" xfId="17176" xr:uid="{00000000-0005-0000-0000-000048430000}"/>
    <cellStyle name="计算 2 4 2 5 6" xfId="17183" xr:uid="{00000000-0005-0000-0000-00004F430000}"/>
    <cellStyle name="计算 2 4 2 6" xfId="28447" xr:uid="{00000000-0005-0000-0000-00004F6F0000}"/>
    <cellStyle name="计算 2 4 2 6 2" xfId="28326" xr:uid="{00000000-0005-0000-0000-0000D66E0000}"/>
    <cellStyle name="计算 2 4 2 6 2 2" xfId="23970" xr:uid="{00000000-0005-0000-0000-0000D25D0000}"/>
    <cellStyle name="计算 2 4 2 6 3" xfId="28332" xr:uid="{00000000-0005-0000-0000-0000DC6E0000}"/>
    <cellStyle name="计算 2 4 2 6 3 2" xfId="20255" xr:uid="{00000000-0005-0000-0000-00004F4F0000}"/>
    <cellStyle name="计算 2 4 2 6 4" xfId="11265" xr:uid="{00000000-0005-0000-0000-0000312C0000}"/>
    <cellStyle name="计算 2 4 2 6 4 2" xfId="17196" xr:uid="{00000000-0005-0000-0000-00005C430000}"/>
    <cellStyle name="计算 2 4 2 6 5" xfId="17203" xr:uid="{00000000-0005-0000-0000-000063430000}"/>
    <cellStyle name="计算 2 4 2 6 5 2" xfId="17209" xr:uid="{00000000-0005-0000-0000-000069430000}"/>
    <cellStyle name="计算 2 4 2 6 6" xfId="17215" xr:uid="{00000000-0005-0000-0000-00006F430000}"/>
    <cellStyle name="计算 2 4 2 7" xfId="28455" xr:uid="{00000000-0005-0000-0000-0000576F0000}"/>
    <cellStyle name="计算 2 4 2 7 2" xfId="28422" xr:uid="{00000000-0005-0000-0000-0000366F0000}"/>
    <cellStyle name="计算 2 4 2 7 2 2" xfId="24091" xr:uid="{00000000-0005-0000-0000-00004B5E0000}"/>
    <cellStyle name="计算 2 4 2 7 3" xfId="28431" xr:uid="{00000000-0005-0000-0000-00003F6F0000}"/>
    <cellStyle name="计算 2 4 2 7 3 2" xfId="24125" xr:uid="{00000000-0005-0000-0000-00006D5E0000}"/>
    <cellStyle name="计算 2 4 2 7 4" xfId="11273" xr:uid="{00000000-0005-0000-0000-0000392C0000}"/>
    <cellStyle name="计算 2 4 2 7 4 2" xfId="17228" xr:uid="{00000000-0005-0000-0000-00007C430000}"/>
    <cellStyle name="计算 2 4 2 7 5" xfId="719" xr:uid="{00000000-0005-0000-0000-0000FF020000}"/>
    <cellStyle name="计算 2 4 2 7 5 2" xfId="17237" xr:uid="{00000000-0005-0000-0000-000085430000}"/>
    <cellStyle name="计算 2 4 2 7 6" xfId="17244" xr:uid="{00000000-0005-0000-0000-00008C430000}"/>
    <cellStyle name="计算 2 4 2 8" xfId="28462" xr:uid="{00000000-0005-0000-0000-00005E6F0000}"/>
    <cellStyle name="计算 2 4 2 8 2" xfId="28518" xr:uid="{00000000-0005-0000-0000-0000966F0000}"/>
    <cellStyle name="计算 2 4 2 8 2 2" xfId="24268" xr:uid="{00000000-0005-0000-0000-0000FC5E0000}"/>
    <cellStyle name="计算 2 4 2 8 3" xfId="28524" xr:uid="{00000000-0005-0000-0000-00009C6F0000}"/>
    <cellStyle name="计算 2 4 2 8 3 2" xfId="24283" xr:uid="{00000000-0005-0000-0000-00000B5F0000}"/>
    <cellStyle name="计算 2 4 2 8 4" xfId="7687" xr:uid="{00000000-0005-0000-0000-0000371E0000}"/>
    <cellStyle name="计算 2 4 2 8 4 2" xfId="24305" xr:uid="{00000000-0005-0000-0000-0000215F0000}"/>
    <cellStyle name="计算 2 4 2 8 5" xfId="27744" xr:uid="{00000000-0005-0000-0000-0000906C0000}"/>
    <cellStyle name="计算 2 4 2 9" xfId="28472" xr:uid="{00000000-0005-0000-0000-0000686F0000}"/>
    <cellStyle name="计算 2 4 2 9 2" xfId="28181" xr:uid="{00000000-0005-0000-0000-0000456E0000}"/>
    <cellStyle name="计算 2 4 20" xfId="7709" xr:uid="{00000000-0005-0000-0000-00004D1E0000}"/>
    <cellStyle name="计算 2 4 20 2" xfId="29005" xr:uid="{00000000-0005-0000-0000-00007D710000}"/>
    <cellStyle name="计算 2 4 21" xfId="27681" xr:uid="{00000000-0005-0000-0000-0000516C0000}"/>
    <cellStyle name="计算 2 4 21 2" xfId="29014" xr:uid="{00000000-0005-0000-0000-000086710000}"/>
    <cellStyle name="计算 2 4 22" xfId="18155" xr:uid="{00000000-0005-0000-0000-00001B470000}"/>
    <cellStyle name="计算 2 4 22 2" xfId="29022" xr:uid="{00000000-0005-0000-0000-00008E710000}"/>
    <cellStyle name="计算 2 4 23" xfId="26513" xr:uid="{00000000-0005-0000-0000-0000C1670000}"/>
    <cellStyle name="计算 2 4 23 2" xfId="26517" xr:uid="{00000000-0005-0000-0000-0000C5670000}"/>
    <cellStyle name="计算 2 4 24" xfId="26572" xr:uid="{00000000-0005-0000-0000-0000FC670000}"/>
    <cellStyle name="计算 2 4 25" xfId="26620" xr:uid="{00000000-0005-0000-0000-00002C680000}"/>
    <cellStyle name="计算 2 4 26" xfId="26646" xr:uid="{00000000-0005-0000-0000-000046680000}"/>
    <cellStyle name="计算 2 4 27" xfId="26682" xr:uid="{00000000-0005-0000-0000-00006A680000}"/>
    <cellStyle name="计算 2 4 3" xfId="18664" xr:uid="{00000000-0005-0000-0000-000018490000}"/>
    <cellStyle name="计算 2 4 3 10" xfId="12204" xr:uid="{00000000-0005-0000-0000-0000DC2F0000}"/>
    <cellStyle name="计算 2 4 3 10 2" xfId="28484" xr:uid="{00000000-0005-0000-0000-0000746F0000}"/>
    <cellStyle name="计算 2 4 3 11" xfId="25786" xr:uid="{00000000-0005-0000-0000-0000EA640000}"/>
    <cellStyle name="计算 2 4 3 11 2" xfId="25797" xr:uid="{00000000-0005-0000-0000-0000F5640000}"/>
    <cellStyle name="计算 2 4 3 12" xfId="25908" xr:uid="{00000000-0005-0000-0000-000064650000}"/>
    <cellStyle name="计算 2 4 3 12 2" xfId="25927" xr:uid="{00000000-0005-0000-0000-000077650000}"/>
    <cellStyle name="计算 2 4 3 13" xfId="26052" xr:uid="{00000000-0005-0000-0000-0000F4650000}"/>
    <cellStyle name="计算 2 4 3 14" xfId="26178" xr:uid="{00000000-0005-0000-0000-000072660000}"/>
    <cellStyle name="计算 2 4 3 15" xfId="26300" xr:uid="{00000000-0005-0000-0000-0000EC660000}"/>
    <cellStyle name="计算 2 4 3 16" xfId="26383" xr:uid="{00000000-0005-0000-0000-00003F670000}"/>
    <cellStyle name="计算 2 4 3 2" xfId="18669" xr:uid="{00000000-0005-0000-0000-00001D490000}"/>
    <cellStyle name="计算 2 4 3 2 2" xfId="29052" xr:uid="{00000000-0005-0000-0000-0000AC710000}"/>
    <cellStyle name="计算 2 4 3 2 2 2" xfId="29057" xr:uid="{00000000-0005-0000-0000-0000B1710000}"/>
    <cellStyle name="计算 2 4 3 2 3" xfId="29059" xr:uid="{00000000-0005-0000-0000-0000B3710000}"/>
    <cellStyle name="计算 2 4 3 2 3 2" xfId="29062" xr:uid="{00000000-0005-0000-0000-0000B6710000}"/>
    <cellStyle name="计算 2 4 3 2 4" xfId="16764" xr:uid="{00000000-0005-0000-0000-0000AC410000}"/>
    <cellStyle name="计算 2 4 3 2 4 2" xfId="29065" xr:uid="{00000000-0005-0000-0000-0000B9710000}"/>
    <cellStyle name="计算 2 4 3 2 5" xfId="1699" xr:uid="{00000000-0005-0000-0000-0000D3060000}"/>
    <cellStyle name="计算 2 4 3 2 5 2" xfId="2242" xr:uid="{00000000-0005-0000-0000-0000F2080000}"/>
    <cellStyle name="计算 2 4 3 2 6" xfId="1717" xr:uid="{00000000-0005-0000-0000-0000E5060000}"/>
    <cellStyle name="计算 2 4 3 2 7" xfId="1743" xr:uid="{00000000-0005-0000-0000-0000FF060000}"/>
    <cellStyle name="计算 2 4 3 2 8" xfId="1772" xr:uid="{00000000-0005-0000-0000-00001C070000}"/>
    <cellStyle name="计算 2 4 3 2 9" xfId="1804" xr:uid="{00000000-0005-0000-0000-00003C070000}"/>
    <cellStyle name="计算 2 4 3 3" xfId="29067" xr:uid="{00000000-0005-0000-0000-0000BB710000}"/>
    <cellStyle name="计算 2 4 3 3 2" xfId="29070" xr:uid="{00000000-0005-0000-0000-0000BE710000}"/>
    <cellStyle name="计算 2 4 3 3 2 2" xfId="27378" xr:uid="{00000000-0005-0000-0000-0000226B0000}"/>
    <cellStyle name="计算 2 4 3 3 3" xfId="29073" xr:uid="{00000000-0005-0000-0000-0000C1710000}"/>
    <cellStyle name="计算 2 4 3 3 3 2" xfId="27489" xr:uid="{00000000-0005-0000-0000-0000916B0000}"/>
    <cellStyle name="计算 2 4 3 3 4" xfId="16768" xr:uid="{00000000-0005-0000-0000-0000B0410000}"/>
    <cellStyle name="计算 2 4 3 3 4 2" xfId="27568" xr:uid="{00000000-0005-0000-0000-0000E06B0000}"/>
    <cellStyle name="计算 2 4 3 3 5" xfId="1276" xr:uid="{00000000-0005-0000-0000-00002C050000}"/>
    <cellStyle name="计算 2 4 3 3 5 2" xfId="2507" xr:uid="{00000000-0005-0000-0000-0000FB090000}"/>
    <cellStyle name="计算 2 4 3 3 6" xfId="1975" xr:uid="{00000000-0005-0000-0000-0000E7070000}"/>
    <cellStyle name="计算 2 4 3 4" xfId="29076" xr:uid="{00000000-0005-0000-0000-0000C4710000}"/>
    <cellStyle name="计算 2 4 3 4 2" xfId="28452" xr:uid="{00000000-0005-0000-0000-0000546F0000}"/>
    <cellStyle name="计算 2 4 3 4 2 2" xfId="28419" xr:uid="{00000000-0005-0000-0000-0000336F0000}"/>
    <cellStyle name="计算 2 4 3 4 3" xfId="28458" xr:uid="{00000000-0005-0000-0000-00005A6F0000}"/>
    <cellStyle name="计算 2 4 3 4 3 2" xfId="28515" xr:uid="{00000000-0005-0000-0000-0000936F0000}"/>
    <cellStyle name="计算 2 4 3 4 4" xfId="28467" xr:uid="{00000000-0005-0000-0000-0000636F0000}"/>
    <cellStyle name="计算 2 4 3 4 4 2" xfId="28178" xr:uid="{00000000-0005-0000-0000-0000426E0000}"/>
    <cellStyle name="计算 2 4 3 4 5" xfId="2566" xr:uid="{00000000-0005-0000-0000-0000360A0000}"/>
    <cellStyle name="计算 2 4 3 4 5 2" xfId="2585" xr:uid="{00000000-0005-0000-0000-0000490A0000}"/>
    <cellStyle name="计算 2 4 3 4 6" xfId="2591" xr:uid="{00000000-0005-0000-0000-00004F0A0000}"/>
    <cellStyle name="计算 2 4 3 5" xfId="24850" xr:uid="{00000000-0005-0000-0000-000042610000}"/>
    <cellStyle name="计算 2 4 3 5 2" xfId="24859" xr:uid="{00000000-0005-0000-0000-00004B610000}"/>
    <cellStyle name="计算 2 4 3 5 2 2" xfId="24878" xr:uid="{00000000-0005-0000-0000-00005E610000}"/>
    <cellStyle name="计算 2 4 3 5 3" xfId="24889" xr:uid="{00000000-0005-0000-0000-000069610000}"/>
    <cellStyle name="计算 2 4 3 5 3 2" xfId="24894" xr:uid="{00000000-0005-0000-0000-00006E610000}"/>
    <cellStyle name="计算 2 4 3 5 4" xfId="24907" xr:uid="{00000000-0005-0000-0000-00007B610000}"/>
    <cellStyle name="计算 2 4 3 5 4 2" xfId="25072" xr:uid="{00000000-0005-0000-0000-000020620000}"/>
    <cellStyle name="计算 2 4 3 5 5" xfId="2652" xr:uid="{00000000-0005-0000-0000-00008C0A0000}"/>
    <cellStyle name="计算 2 4 3 5 5 2" xfId="2672" xr:uid="{00000000-0005-0000-0000-0000A00A0000}"/>
    <cellStyle name="计算 2 4 3 5 6" xfId="2678" xr:uid="{00000000-0005-0000-0000-0000A60A0000}"/>
    <cellStyle name="计算 2 4 3 6" xfId="24863" xr:uid="{00000000-0005-0000-0000-00004F610000}"/>
    <cellStyle name="计算 2 4 3 6 2" xfId="24871" xr:uid="{00000000-0005-0000-0000-000057610000}"/>
    <cellStyle name="计算 2 4 3 6 2 2" xfId="24945" xr:uid="{00000000-0005-0000-0000-0000A1610000}"/>
    <cellStyle name="计算 2 4 3 6 3" xfId="24952" xr:uid="{00000000-0005-0000-0000-0000A8610000}"/>
    <cellStyle name="计算 2 4 3 6 3 2" xfId="24961" xr:uid="{00000000-0005-0000-0000-0000B1610000}"/>
    <cellStyle name="计算 2 4 3 6 4" xfId="11292" xr:uid="{00000000-0005-0000-0000-00004C2C0000}"/>
    <cellStyle name="计算 2 4 3 6 4 2" xfId="25257" xr:uid="{00000000-0005-0000-0000-0000D9620000}"/>
    <cellStyle name="计算 2 4 3 6 5" xfId="2745" xr:uid="{00000000-0005-0000-0000-0000E90A0000}"/>
    <cellStyle name="计算 2 4 3 6 5 2" xfId="2766" xr:uid="{00000000-0005-0000-0000-0000FE0A0000}"/>
    <cellStyle name="计算 2 4 3 6 6" xfId="2776" xr:uid="{00000000-0005-0000-0000-0000080B0000}"/>
    <cellStyle name="计算 2 4 3 7" xfId="24855" xr:uid="{00000000-0005-0000-0000-000047610000}"/>
    <cellStyle name="计算 2 4 3 7 2" xfId="24881" xr:uid="{00000000-0005-0000-0000-000061610000}"/>
    <cellStyle name="计算 2 4 3 7 2 2" xfId="24998" xr:uid="{00000000-0005-0000-0000-0000D6610000}"/>
    <cellStyle name="计算 2 4 3 7 3" xfId="25004" xr:uid="{00000000-0005-0000-0000-0000DC610000}"/>
    <cellStyle name="计算 2 4 3 7 3 2" xfId="25014" xr:uid="{00000000-0005-0000-0000-0000E6610000}"/>
    <cellStyle name="计算 2 4 3 7 4" xfId="11305" xr:uid="{00000000-0005-0000-0000-0000592C0000}"/>
    <cellStyle name="计算 2 4 3 7 4 2" xfId="25364" xr:uid="{00000000-0005-0000-0000-000044630000}"/>
    <cellStyle name="计算 2 4 3 7 5" xfId="2801" xr:uid="{00000000-0005-0000-0000-0000210B0000}"/>
    <cellStyle name="计算 2 4 3 7 5 2" xfId="25374" xr:uid="{00000000-0005-0000-0000-00004E630000}"/>
    <cellStyle name="计算 2 4 3 7 6" xfId="18281" xr:uid="{00000000-0005-0000-0000-000099470000}"/>
    <cellStyle name="计算 2 4 3 8" xfId="24885" xr:uid="{00000000-0005-0000-0000-000065610000}"/>
    <cellStyle name="计算 2 4 3 8 2" xfId="24898" xr:uid="{00000000-0005-0000-0000-000072610000}"/>
    <cellStyle name="计算 2 4 3 8 2 2" xfId="25043" xr:uid="{00000000-0005-0000-0000-000003620000}"/>
    <cellStyle name="计算 2 4 3 8 3" xfId="25047" xr:uid="{00000000-0005-0000-0000-000007620000}"/>
    <cellStyle name="计算 2 4 3 8 3 2" xfId="25053" xr:uid="{00000000-0005-0000-0000-00000D620000}"/>
    <cellStyle name="计算 2 4 3 8 4" xfId="9818" xr:uid="{00000000-0005-0000-0000-00008A260000}"/>
    <cellStyle name="计算 2 4 3 8 4 2" xfId="25440" xr:uid="{00000000-0005-0000-0000-000090630000}"/>
    <cellStyle name="计算 2 4 3 8 5" xfId="27761" xr:uid="{00000000-0005-0000-0000-0000A16C0000}"/>
    <cellStyle name="计算 2 4 3 9" xfId="24904" xr:uid="{00000000-0005-0000-0000-000078610000}"/>
    <cellStyle name="计算 2 4 3 9 2" xfId="25077" xr:uid="{00000000-0005-0000-0000-000025620000}"/>
    <cellStyle name="计算 2 4 4" xfId="18675" xr:uid="{00000000-0005-0000-0000-000023490000}"/>
    <cellStyle name="计算 2 4 4 10" xfId="17890" xr:uid="{00000000-0005-0000-0000-000012460000}"/>
    <cellStyle name="计算 2 4 4 10 2" xfId="29078" xr:uid="{00000000-0005-0000-0000-0000C6710000}"/>
    <cellStyle name="计算 2 4 4 11" xfId="29079" xr:uid="{00000000-0005-0000-0000-0000C7710000}"/>
    <cellStyle name="计算 2 4 4 11 2" xfId="29083" xr:uid="{00000000-0005-0000-0000-0000CB710000}"/>
    <cellStyle name="计算 2 4 4 12" xfId="29084" xr:uid="{00000000-0005-0000-0000-0000CC710000}"/>
    <cellStyle name="计算 2 4 4 12 2" xfId="29085" xr:uid="{00000000-0005-0000-0000-0000CD710000}"/>
    <cellStyle name="计算 2 4 4 13" xfId="1081" xr:uid="{00000000-0005-0000-0000-000069040000}"/>
    <cellStyle name="计算 2 4 4 14" xfId="29086" xr:uid="{00000000-0005-0000-0000-0000CE710000}"/>
    <cellStyle name="计算 2 4 4 15" xfId="29087" xr:uid="{00000000-0005-0000-0000-0000CF710000}"/>
    <cellStyle name="计算 2 4 4 16" xfId="29088" xr:uid="{00000000-0005-0000-0000-0000D0710000}"/>
    <cellStyle name="计算 2 4 4 2" xfId="27327" xr:uid="{00000000-0005-0000-0000-0000EF6A0000}"/>
    <cellStyle name="计算 2 4 4 2 2" xfId="461" xr:uid="{00000000-0005-0000-0000-0000F7010000}"/>
    <cellStyle name="计算 2 4 4 2 2 2" xfId="29091" xr:uid="{00000000-0005-0000-0000-0000D3710000}"/>
    <cellStyle name="计算 2 4 4 2 3" xfId="504" xr:uid="{00000000-0005-0000-0000-000025020000}"/>
    <cellStyle name="计算 2 4 4 2 3 2" xfId="29096" xr:uid="{00000000-0005-0000-0000-0000D8710000}"/>
    <cellStyle name="计算 2 4 4 2 4" xfId="16788" xr:uid="{00000000-0005-0000-0000-0000C4410000}"/>
    <cellStyle name="计算 2 4 4 2 4 2" xfId="29101" xr:uid="{00000000-0005-0000-0000-0000DD710000}"/>
    <cellStyle name="计算 2 4 4 2 5" xfId="3021" xr:uid="{00000000-0005-0000-0000-0000FD0B0000}"/>
    <cellStyle name="计算 2 4 4 2 5 2" xfId="195" xr:uid="{00000000-0005-0000-0000-0000D3000000}"/>
    <cellStyle name="计算 2 4 4 2 6" xfId="3034" xr:uid="{00000000-0005-0000-0000-00000A0C0000}"/>
    <cellStyle name="计算 2 4 4 2 7" xfId="3046" xr:uid="{00000000-0005-0000-0000-0000160C0000}"/>
    <cellStyle name="计算 2 4 4 2 8" xfId="3067" xr:uid="{00000000-0005-0000-0000-00002B0C0000}"/>
    <cellStyle name="计算 2 4 4 2 9" xfId="3080" xr:uid="{00000000-0005-0000-0000-0000380C0000}"/>
    <cellStyle name="计算 2 4 4 3" xfId="29104" xr:uid="{00000000-0005-0000-0000-0000E0710000}"/>
    <cellStyle name="计算 2 4 4 3 2" xfId="29107" xr:uid="{00000000-0005-0000-0000-0000E3710000}"/>
    <cellStyle name="计算 2 4 4 3 2 2" xfId="29110" xr:uid="{00000000-0005-0000-0000-0000E6710000}"/>
    <cellStyle name="计算 2 4 4 3 3" xfId="29113" xr:uid="{00000000-0005-0000-0000-0000E9710000}"/>
    <cellStyle name="计算 2 4 4 3 3 2" xfId="29116" xr:uid="{00000000-0005-0000-0000-0000EC710000}"/>
    <cellStyle name="计算 2 4 4 3 4" xfId="16792" xr:uid="{00000000-0005-0000-0000-0000C8410000}"/>
    <cellStyle name="计算 2 4 4 3 4 2" xfId="11742" xr:uid="{00000000-0005-0000-0000-00000E2E0000}"/>
    <cellStyle name="计算 2 4 4 3 5" xfId="3106" xr:uid="{00000000-0005-0000-0000-0000520C0000}"/>
    <cellStyle name="计算 2 4 4 3 5 2" xfId="3114" xr:uid="{00000000-0005-0000-0000-00005A0C0000}"/>
    <cellStyle name="计算 2 4 4 3 6" xfId="3121" xr:uid="{00000000-0005-0000-0000-0000610C0000}"/>
    <cellStyle name="计算 2 4 4 4" xfId="29119" xr:uid="{00000000-0005-0000-0000-0000EF710000}"/>
    <cellStyle name="计算 2 4 4 4 2" xfId="29121" xr:uid="{00000000-0005-0000-0000-0000F1710000}"/>
    <cellStyle name="计算 2 4 4 4 2 2" xfId="29124" xr:uid="{00000000-0005-0000-0000-0000F4710000}"/>
    <cellStyle name="计算 2 4 4 4 3" xfId="29126" xr:uid="{00000000-0005-0000-0000-0000F6710000}"/>
    <cellStyle name="计算 2 4 4 4 3 2" xfId="29130" xr:uid="{00000000-0005-0000-0000-0000FA710000}"/>
    <cellStyle name="计算 2 4 4 4 4" xfId="29133" xr:uid="{00000000-0005-0000-0000-0000FD710000}"/>
    <cellStyle name="计算 2 4 4 4 4 2" xfId="29136" xr:uid="{00000000-0005-0000-0000-000000720000}"/>
    <cellStyle name="计算 2 4 4 4 5" xfId="3179" xr:uid="{00000000-0005-0000-0000-00009B0C0000}"/>
    <cellStyle name="计算 2 4 4 4 5 2" xfId="1388" xr:uid="{00000000-0005-0000-0000-00009C050000}"/>
    <cellStyle name="计算 2 4 4 4 6" xfId="3186" xr:uid="{00000000-0005-0000-0000-0000A20C0000}"/>
    <cellStyle name="计算 2 4 4 5" xfId="24913" xr:uid="{00000000-0005-0000-0000-000081610000}"/>
    <cellStyle name="计算 2 4 4 5 2" xfId="24918" xr:uid="{00000000-0005-0000-0000-000086610000}"/>
    <cellStyle name="计算 2 4 4 5 2 2" xfId="25177" xr:uid="{00000000-0005-0000-0000-000089620000}"/>
    <cellStyle name="计算 2 4 4 5 3" xfId="25184" xr:uid="{00000000-0005-0000-0000-000090620000}"/>
    <cellStyle name="计算 2 4 4 5 3 2" xfId="25189" xr:uid="{00000000-0005-0000-0000-000095620000}"/>
    <cellStyle name="计算 2 4 4 5 4" xfId="25198" xr:uid="{00000000-0005-0000-0000-00009E620000}"/>
    <cellStyle name="计算 2 4 4 5 4 2" xfId="25861" xr:uid="{00000000-0005-0000-0000-000035650000}"/>
    <cellStyle name="计算 2 4 4 5 5" xfId="1167" xr:uid="{00000000-0005-0000-0000-0000BF040000}"/>
    <cellStyle name="计算 2 4 4 5 5 2" xfId="2421" xr:uid="{00000000-0005-0000-0000-0000A5090000}"/>
    <cellStyle name="计算 2 4 4 5 6" xfId="1179" xr:uid="{00000000-0005-0000-0000-0000CB040000}"/>
    <cellStyle name="计算 2 4 4 6" xfId="24926" xr:uid="{00000000-0005-0000-0000-00008E610000}"/>
    <cellStyle name="计算 2 4 4 6 2" xfId="24930" xr:uid="{00000000-0005-0000-0000-000092610000}"/>
    <cellStyle name="计算 2 4 4 6 2 2" xfId="21392" xr:uid="{00000000-0005-0000-0000-0000C0530000}"/>
    <cellStyle name="计算 2 4 4 6 3" xfId="25206" xr:uid="{00000000-0005-0000-0000-0000A6620000}"/>
    <cellStyle name="计算 2 4 4 6 3 2" xfId="21443" xr:uid="{00000000-0005-0000-0000-0000F3530000}"/>
    <cellStyle name="计算 2 4 4 6 4" xfId="11341" xr:uid="{00000000-0005-0000-0000-00007D2C0000}"/>
    <cellStyle name="计算 2 4 4 6 4 2" xfId="21473" xr:uid="{00000000-0005-0000-0000-000011540000}"/>
    <cellStyle name="计算 2 4 4 6 5" xfId="2897" xr:uid="{00000000-0005-0000-0000-0000810B0000}"/>
    <cellStyle name="计算 2 4 4 6 5 2" xfId="2912" xr:uid="{00000000-0005-0000-0000-0000900B0000}"/>
    <cellStyle name="计算 2 4 4 6 6" xfId="2948" xr:uid="{00000000-0005-0000-0000-0000B40B0000}"/>
    <cellStyle name="计算 2 4 4 7" xfId="24867" xr:uid="{00000000-0005-0000-0000-000053610000}"/>
    <cellStyle name="计算 2 4 4 7 2" xfId="24938" xr:uid="{00000000-0005-0000-0000-00009A610000}"/>
    <cellStyle name="计算 2 4 4 7 2 2" xfId="21571" xr:uid="{00000000-0005-0000-0000-000073540000}"/>
    <cellStyle name="计算 2 4 4 7 3" xfId="25215" xr:uid="{00000000-0005-0000-0000-0000AF620000}"/>
    <cellStyle name="计算 2 4 4 7 3 2" xfId="21596" xr:uid="{00000000-0005-0000-0000-00008C540000}"/>
    <cellStyle name="计算 2 4 4 7 4" xfId="11359" xr:uid="{00000000-0005-0000-0000-00008F2C0000}"/>
    <cellStyle name="计算 2 4 4 7 4 2" xfId="21619" xr:uid="{00000000-0005-0000-0000-0000A3540000}"/>
    <cellStyle name="计算 2 4 4 7 5" xfId="3239" xr:uid="{00000000-0005-0000-0000-0000D70C0000}"/>
    <cellStyle name="计算 2 4 4 7 5 2" xfId="26153" xr:uid="{00000000-0005-0000-0000-000059660000}"/>
    <cellStyle name="计算 2 4 4 7 6" xfId="18324" xr:uid="{00000000-0005-0000-0000-0000C4470000}"/>
    <cellStyle name="计算 2 4 4 8" xfId="24948" xr:uid="{00000000-0005-0000-0000-0000A4610000}"/>
    <cellStyle name="计算 2 4 4 8 2" xfId="24956" xr:uid="{00000000-0005-0000-0000-0000AC610000}"/>
    <cellStyle name="计算 2 4 4 8 2 2" xfId="25233" xr:uid="{00000000-0005-0000-0000-0000C1620000}"/>
    <cellStyle name="计算 2 4 4 8 3" xfId="25237" xr:uid="{00000000-0005-0000-0000-0000C5620000}"/>
    <cellStyle name="计算 2 4 4 8 3 2" xfId="25241" xr:uid="{00000000-0005-0000-0000-0000C9620000}"/>
    <cellStyle name="计算 2 4 4 8 4" xfId="11374" xr:uid="{00000000-0005-0000-0000-00009E2C0000}"/>
    <cellStyle name="计算 2 4 4 8 4 2" xfId="26276" xr:uid="{00000000-0005-0000-0000-0000D4660000}"/>
    <cellStyle name="计算 2 4 4 8 5" xfId="27775" xr:uid="{00000000-0005-0000-0000-0000AF6C0000}"/>
    <cellStyle name="计算 2 4 4 9" xfId="11294" xr:uid="{00000000-0005-0000-0000-00004E2C0000}"/>
    <cellStyle name="计算 2 4 4 9 2" xfId="25254" xr:uid="{00000000-0005-0000-0000-0000D6620000}"/>
    <cellStyle name="计算 2 4 5" xfId="27334" xr:uid="{00000000-0005-0000-0000-0000F66A0000}"/>
    <cellStyle name="计算 2 4 5 10" xfId="29138" xr:uid="{00000000-0005-0000-0000-000002720000}"/>
    <cellStyle name="计算 2 4 5 10 2" xfId="29141" xr:uid="{00000000-0005-0000-0000-000005720000}"/>
    <cellStyle name="计算 2 4 5 11" xfId="24119" xr:uid="{00000000-0005-0000-0000-0000675E0000}"/>
    <cellStyle name="计算 2 4 5 11 2" xfId="29144" xr:uid="{00000000-0005-0000-0000-000008720000}"/>
    <cellStyle name="计算 2 4 5 12" xfId="29147" xr:uid="{00000000-0005-0000-0000-00000B720000}"/>
    <cellStyle name="计算 2 4 5 12 2" xfId="29149" xr:uid="{00000000-0005-0000-0000-00000D720000}"/>
    <cellStyle name="计算 2 4 5 13" xfId="29150" xr:uid="{00000000-0005-0000-0000-00000E720000}"/>
    <cellStyle name="计算 2 4 5 14" xfId="29151" xr:uid="{00000000-0005-0000-0000-00000F720000}"/>
    <cellStyle name="计算 2 4 5 15" xfId="29152" xr:uid="{00000000-0005-0000-0000-000010720000}"/>
    <cellStyle name="计算 2 4 5 16" xfId="29154" xr:uid="{00000000-0005-0000-0000-000012720000}"/>
    <cellStyle name="计算 2 4 5 2" xfId="27336" xr:uid="{00000000-0005-0000-0000-0000F86A0000}"/>
    <cellStyle name="计算 2 4 5 2 2" xfId="29155" xr:uid="{00000000-0005-0000-0000-000013720000}"/>
    <cellStyle name="计算 2 4 5 2 2 2" xfId="4823" xr:uid="{00000000-0005-0000-0000-000007130000}"/>
    <cellStyle name="计算 2 4 5 2 3" xfId="29158" xr:uid="{00000000-0005-0000-0000-000016720000}"/>
    <cellStyle name="计算 2 4 5 2 3 2" xfId="13340" xr:uid="{00000000-0005-0000-0000-00004C340000}"/>
    <cellStyle name="计算 2 4 5 2 4" xfId="16811" xr:uid="{00000000-0005-0000-0000-0000DB410000}"/>
    <cellStyle name="计算 2 4 5 2 4 2" xfId="13415" xr:uid="{00000000-0005-0000-0000-000097340000}"/>
    <cellStyle name="计算 2 4 5 2 5" xfId="3275" xr:uid="{00000000-0005-0000-0000-0000FB0C0000}"/>
    <cellStyle name="计算 2 4 5 2 5 2" xfId="13487" xr:uid="{00000000-0005-0000-0000-0000DF340000}"/>
    <cellStyle name="计算 2 4 5 2 6" xfId="29160" xr:uid="{00000000-0005-0000-0000-000018720000}"/>
    <cellStyle name="计算 2 4 5 2 7" xfId="29162" xr:uid="{00000000-0005-0000-0000-00001A720000}"/>
    <cellStyle name="计算 2 4 5 2 8" xfId="29163" xr:uid="{00000000-0005-0000-0000-00001B720000}"/>
    <cellStyle name="计算 2 4 5 2 9" xfId="29164" xr:uid="{00000000-0005-0000-0000-00001C720000}"/>
    <cellStyle name="计算 2 4 5 3" xfId="24551" xr:uid="{00000000-0005-0000-0000-000017600000}"/>
    <cellStyle name="计算 2 4 5 3 2" xfId="29165" xr:uid="{00000000-0005-0000-0000-00001D720000}"/>
    <cellStyle name="计算 2 4 5 3 2 2" xfId="14713" xr:uid="{00000000-0005-0000-0000-0000A9390000}"/>
    <cellStyle name="计算 2 4 5 3 3" xfId="29167" xr:uid="{00000000-0005-0000-0000-00001F720000}"/>
    <cellStyle name="计算 2 4 5 3 3 2" xfId="14879" xr:uid="{00000000-0005-0000-0000-00004F3A0000}"/>
    <cellStyle name="计算 2 4 5 3 4" xfId="16816" xr:uid="{00000000-0005-0000-0000-0000E0410000}"/>
    <cellStyle name="计算 2 4 5 3 4 2" xfId="14647" xr:uid="{00000000-0005-0000-0000-000067390000}"/>
    <cellStyle name="计算 2 4 5 3 5" xfId="174" xr:uid="{00000000-0005-0000-0000-0000BC000000}"/>
    <cellStyle name="计算 2 4 5 3 5 2" xfId="4982" xr:uid="{00000000-0005-0000-0000-0000A6130000}"/>
    <cellStyle name="计算 2 4 5 3 6" xfId="29169" xr:uid="{00000000-0005-0000-0000-000021720000}"/>
    <cellStyle name="计算 2 4 5 4" xfId="29171" xr:uid="{00000000-0005-0000-0000-000023720000}"/>
    <cellStyle name="计算 2 4 5 4 2" xfId="29173" xr:uid="{00000000-0005-0000-0000-000025720000}"/>
    <cellStyle name="计算 2 4 5 4 2 2" xfId="16593" xr:uid="{00000000-0005-0000-0000-000001410000}"/>
    <cellStyle name="计算 2 4 5 4 3" xfId="29175" xr:uid="{00000000-0005-0000-0000-000027720000}"/>
    <cellStyle name="计算 2 4 5 4 3 2" xfId="16692" xr:uid="{00000000-0005-0000-0000-000064410000}"/>
    <cellStyle name="计算 2 4 5 4 4" xfId="29179" xr:uid="{00000000-0005-0000-0000-00002B720000}"/>
    <cellStyle name="计算 2 4 5 4 4 2" xfId="16839" xr:uid="{00000000-0005-0000-0000-0000F7410000}"/>
    <cellStyle name="计算 2 4 5 4 5" xfId="29181" xr:uid="{00000000-0005-0000-0000-00002D720000}"/>
    <cellStyle name="计算 2 4 5 4 5 2" xfId="16983" xr:uid="{00000000-0005-0000-0000-000087420000}"/>
    <cellStyle name="计算 2 4 5 4 6" xfId="29184" xr:uid="{00000000-0005-0000-0000-000030720000}"/>
    <cellStyle name="计算 2 4 5 5" xfId="24967" xr:uid="{00000000-0005-0000-0000-0000B7610000}"/>
    <cellStyle name="计算 2 4 5 5 2" xfId="24971" xr:uid="{00000000-0005-0000-0000-0000BB610000}"/>
    <cellStyle name="计算 2 4 5 5 2 2" xfId="18355" xr:uid="{00000000-0005-0000-0000-0000E3470000}"/>
    <cellStyle name="计算 2 4 5 5 3" xfId="25322" xr:uid="{00000000-0005-0000-0000-00001A630000}"/>
    <cellStyle name="计算 2 4 5 5 3 2" xfId="18683" xr:uid="{00000000-0005-0000-0000-00002B490000}"/>
    <cellStyle name="计算 2 4 5 5 4" xfId="25327" xr:uid="{00000000-0005-0000-0000-00001F630000}"/>
    <cellStyle name="计算 2 4 5 5 4 2" xfId="18875" xr:uid="{00000000-0005-0000-0000-0000EB490000}"/>
    <cellStyle name="计算 2 4 5 5 5" xfId="25330" xr:uid="{00000000-0005-0000-0000-000022630000}"/>
    <cellStyle name="计算 2 4 5 5 5 2" xfId="19017" xr:uid="{00000000-0005-0000-0000-0000794A0000}"/>
    <cellStyle name="计算 2 4 5 5 6" xfId="25335" xr:uid="{00000000-0005-0000-0000-000027630000}"/>
    <cellStyle name="计算 2 4 5 6" xfId="24978" xr:uid="{00000000-0005-0000-0000-0000C2610000}"/>
    <cellStyle name="计算 2 4 5 6 2" xfId="24982" xr:uid="{00000000-0005-0000-0000-0000C6610000}"/>
    <cellStyle name="计算 2 4 5 6 2 2" xfId="19890" xr:uid="{00000000-0005-0000-0000-0000E24D0000}"/>
    <cellStyle name="计算 2 4 5 6 3" xfId="25342" xr:uid="{00000000-0005-0000-0000-00002E630000}"/>
    <cellStyle name="计算 2 4 5 6 3 2" xfId="19974" xr:uid="{00000000-0005-0000-0000-0000364E0000}"/>
    <cellStyle name="计算 2 4 5 6 4" xfId="11399" xr:uid="{00000000-0005-0000-0000-0000B72C0000}"/>
    <cellStyle name="计算 2 4 5 6 4 2" xfId="20081" xr:uid="{00000000-0005-0000-0000-0000A14E0000}"/>
    <cellStyle name="计算 2 4 5 6 5" xfId="29186" xr:uid="{00000000-0005-0000-0000-000032720000}"/>
    <cellStyle name="计算 2 4 5 6 5 2" xfId="20148" xr:uid="{00000000-0005-0000-0000-0000E44E0000}"/>
    <cellStyle name="计算 2 4 5 6 6" xfId="22562" xr:uid="{00000000-0005-0000-0000-000052580000}"/>
    <cellStyle name="计算 2 4 5 7" xfId="24875" xr:uid="{00000000-0005-0000-0000-00005B610000}"/>
    <cellStyle name="计算 2 4 5 7 2" xfId="24990" xr:uid="{00000000-0005-0000-0000-0000CE610000}"/>
    <cellStyle name="计算 2 4 5 7 2 2" xfId="20866" xr:uid="{00000000-0005-0000-0000-0000B2510000}"/>
    <cellStyle name="计算 2 4 5 7 3" xfId="25348" xr:uid="{00000000-0005-0000-0000-000034630000}"/>
    <cellStyle name="计算 2 4 5 7 3 2" xfId="20965" xr:uid="{00000000-0005-0000-0000-000015520000}"/>
    <cellStyle name="计算 2 4 5 7 4" xfId="11417" xr:uid="{00000000-0005-0000-0000-0000C92C0000}"/>
    <cellStyle name="计算 2 4 5 7 4 2" xfId="21035" xr:uid="{00000000-0005-0000-0000-00005B520000}"/>
    <cellStyle name="计算 2 4 5 7 5" xfId="27783" xr:uid="{00000000-0005-0000-0000-0000B76C0000}"/>
    <cellStyle name="计算 2 4 5 7 5 2" xfId="21156" xr:uid="{00000000-0005-0000-0000-0000D4520000}"/>
    <cellStyle name="计算 2 4 5 7 6" xfId="18375" xr:uid="{00000000-0005-0000-0000-0000F7470000}"/>
    <cellStyle name="计算 2 4 5 8" xfId="25001" xr:uid="{00000000-0005-0000-0000-0000D9610000}"/>
    <cellStyle name="计算 2 4 5 8 2" xfId="25009" xr:uid="{00000000-0005-0000-0000-0000E1610000}"/>
    <cellStyle name="计算 2 4 5 8 2 2" xfId="22207" xr:uid="{00000000-0005-0000-0000-0000EF560000}"/>
    <cellStyle name="计算 2 4 5 8 3" xfId="25355" xr:uid="{00000000-0005-0000-0000-00003B630000}"/>
    <cellStyle name="计算 2 4 5 8 3 2" xfId="22327" xr:uid="{00000000-0005-0000-0000-000067570000}"/>
    <cellStyle name="计算 2 4 5 8 4" xfId="4705" xr:uid="{00000000-0005-0000-0000-000091120000}"/>
    <cellStyle name="计算 2 4 5 8 4 2" xfId="22420" xr:uid="{00000000-0005-0000-0000-0000C4570000}"/>
    <cellStyle name="计算 2 4 5 8 5" xfId="4382" xr:uid="{00000000-0005-0000-0000-00004E110000}"/>
    <cellStyle name="计算 2 4 5 9" xfId="11308" xr:uid="{00000000-0005-0000-0000-00005C2C0000}"/>
    <cellStyle name="计算 2 4 5 9 2" xfId="25361" xr:uid="{00000000-0005-0000-0000-000041630000}"/>
    <cellStyle name="计算 2 4 6" xfId="27342" xr:uid="{00000000-0005-0000-0000-0000FE6A0000}"/>
    <cellStyle name="计算 2 4 6 10" xfId="29189" xr:uid="{00000000-0005-0000-0000-000035720000}"/>
    <cellStyle name="计算 2 4 6 10 2" xfId="16079" xr:uid="{00000000-0005-0000-0000-0000FF3E0000}"/>
    <cellStyle name="计算 2 4 6 11" xfId="29190" xr:uid="{00000000-0005-0000-0000-000036720000}"/>
    <cellStyle name="计算 2 4 6 11 2" xfId="16247" xr:uid="{00000000-0005-0000-0000-0000A73F0000}"/>
    <cellStyle name="计算 2 4 6 12" xfId="29192" xr:uid="{00000000-0005-0000-0000-000038720000}"/>
    <cellStyle name="计算 2 4 6 12 2" xfId="16280" xr:uid="{00000000-0005-0000-0000-0000C83F0000}"/>
    <cellStyle name="计算 2 4 6 13" xfId="29194" xr:uid="{00000000-0005-0000-0000-00003A720000}"/>
    <cellStyle name="计算 2 4 6 14" xfId="29196" xr:uid="{00000000-0005-0000-0000-00003C720000}"/>
    <cellStyle name="计算 2 4 6 15" xfId="29199" xr:uid="{00000000-0005-0000-0000-00003F720000}"/>
    <cellStyle name="计算 2 4 6 16" xfId="9498" xr:uid="{00000000-0005-0000-0000-00004A250000}"/>
    <cellStyle name="计算 2 4 6 2" xfId="27345" xr:uid="{00000000-0005-0000-0000-0000016B0000}"/>
    <cellStyle name="计算 2 4 6 2 2" xfId="29200" xr:uid="{00000000-0005-0000-0000-000040720000}"/>
    <cellStyle name="计算 2 4 6 2 2 2" xfId="29202" xr:uid="{00000000-0005-0000-0000-000042720000}"/>
    <cellStyle name="计算 2 4 6 2 3" xfId="29203" xr:uid="{00000000-0005-0000-0000-000043720000}"/>
    <cellStyle name="计算 2 4 6 2 3 2" xfId="29205" xr:uid="{00000000-0005-0000-0000-000045720000}"/>
    <cellStyle name="计算 2 4 6 2 4" xfId="16836" xr:uid="{00000000-0005-0000-0000-0000F4410000}"/>
    <cellStyle name="计算 2 4 6 2 4 2" xfId="29207" xr:uid="{00000000-0005-0000-0000-000047720000}"/>
    <cellStyle name="计算 2 4 6 2 5" xfId="3360" xr:uid="{00000000-0005-0000-0000-0000500D0000}"/>
    <cellStyle name="计算 2 4 6 2 5 2" xfId="29208" xr:uid="{00000000-0005-0000-0000-000048720000}"/>
    <cellStyle name="计算 2 4 6 2 6" xfId="29209" xr:uid="{00000000-0005-0000-0000-000049720000}"/>
    <cellStyle name="计算 2 4 6 2 7" xfId="29211" xr:uid="{00000000-0005-0000-0000-00004B720000}"/>
    <cellStyle name="计算 2 4 6 2 8" xfId="29212" xr:uid="{00000000-0005-0000-0000-00004C720000}"/>
    <cellStyle name="计算 2 4 6 2 9" xfId="29213" xr:uid="{00000000-0005-0000-0000-00004D720000}"/>
    <cellStyle name="计算 2 4 6 3" xfId="24557" xr:uid="{00000000-0005-0000-0000-00001D600000}"/>
    <cellStyle name="计算 2 4 6 3 2" xfId="29214" xr:uid="{00000000-0005-0000-0000-00004E720000}"/>
    <cellStyle name="计算 2 4 6 3 2 2" xfId="5135" xr:uid="{00000000-0005-0000-0000-00003F140000}"/>
    <cellStyle name="计算 2 4 6 3 3" xfId="26957" xr:uid="{00000000-0005-0000-0000-00007D690000}"/>
    <cellStyle name="计算 2 4 6 3 3 2" xfId="9561" xr:uid="{00000000-0005-0000-0000-000089250000}"/>
    <cellStyle name="计算 2 4 6 3 4" xfId="5603" xr:uid="{00000000-0005-0000-0000-000013160000}"/>
    <cellStyle name="计算 2 4 6 3 4 2" xfId="9573" xr:uid="{00000000-0005-0000-0000-000095250000}"/>
    <cellStyle name="计算 2 4 6 3 5" xfId="2173" xr:uid="{00000000-0005-0000-0000-0000AD080000}"/>
    <cellStyle name="计算 2 4 6 3 5 2" xfId="26959" xr:uid="{00000000-0005-0000-0000-00007F690000}"/>
    <cellStyle name="计算 2 4 6 3 6" xfId="26963" xr:uid="{00000000-0005-0000-0000-000083690000}"/>
    <cellStyle name="计算 2 4 6 4" xfId="29215" xr:uid="{00000000-0005-0000-0000-00004F720000}"/>
    <cellStyle name="计算 2 4 6 4 2" xfId="29216" xr:uid="{00000000-0005-0000-0000-000050720000}"/>
    <cellStyle name="计算 2 4 6 4 2 2" xfId="3414" xr:uid="{00000000-0005-0000-0000-0000860D0000}"/>
    <cellStyle name="计算 2 4 6 4 3" xfId="29217" xr:uid="{00000000-0005-0000-0000-000051720000}"/>
    <cellStyle name="计算 2 4 6 4 3 2" xfId="3450" xr:uid="{00000000-0005-0000-0000-0000AA0D0000}"/>
    <cellStyle name="计算 2 4 6 4 4" xfId="29220" xr:uid="{00000000-0005-0000-0000-000054720000}"/>
    <cellStyle name="计算 2 4 6 4 4 2" xfId="1287" xr:uid="{00000000-0005-0000-0000-000037050000}"/>
    <cellStyle name="计算 2 4 6 4 5" xfId="29221" xr:uid="{00000000-0005-0000-0000-000055720000}"/>
    <cellStyle name="计算 2 4 6 4 5 2" xfId="27722" xr:uid="{00000000-0005-0000-0000-00007A6C0000}"/>
    <cellStyle name="计算 2 4 6 4 6" xfId="29222" xr:uid="{00000000-0005-0000-0000-000056720000}"/>
    <cellStyle name="计算 2 4 6 5" xfId="25021" xr:uid="{00000000-0005-0000-0000-0000ED610000}"/>
    <cellStyle name="计算 2 4 6 5 2" xfId="25024" xr:uid="{00000000-0005-0000-0000-0000F0610000}"/>
    <cellStyle name="计算 2 4 6 5 2 2" xfId="5197" xr:uid="{00000000-0005-0000-0000-00007D140000}"/>
    <cellStyle name="计算 2 4 6 5 3" xfId="25404" xr:uid="{00000000-0005-0000-0000-00006C630000}"/>
    <cellStyle name="计算 2 4 6 5 3 2" xfId="9613" xr:uid="{00000000-0005-0000-0000-0000BD250000}"/>
    <cellStyle name="计算 2 4 6 5 4" xfId="25408" xr:uid="{00000000-0005-0000-0000-000070630000}"/>
    <cellStyle name="计算 2 4 6 5 4 2" xfId="9627" xr:uid="{00000000-0005-0000-0000-0000CB250000}"/>
    <cellStyle name="计算 2 4 6 5 5" xfId="25410" xr:uid="{00000000-0005-0000-0000-000072630000}"/>
    <cellStyle name="计算 2 4 6 5 5 2" xfId="29223" xr:uid="{00000000-0005-0000-0000-000057720000}"/>
    <cellStyle name="计算 2 4 6 5 6" xfId="25412" xr:uid="{00000000-0005-0000-0000-000074630000}"/>
    <cellStyle name="计算 2 4 6 6" xfId="25030" xr:uid="{00000000-0005-0000-0000-0000F6610000}"/>
    <cellStyle name="计算 2 4 6 6 2" xfId="25033" xr:uid="{00000000-0005-0000-0000-0000F9610000}"/>
    <cellStyle name="计算 2 4 6 6 2 2" xfId="9652" xr:uid="{00000000-0005-0000-0000-0000E4250000}"/>
    <cellStyle name="计算 2 4 6 6 3" xfId="25419" xr:uid="{00000000-0005-0000-0000-00007B630000}"/>
    <cellStyle name="计算 2 4 6 6 3 2" xfId="9665" xr:uid="{00000000-0005-0000-0000-0000F1250000}"/>
    <cellStyle name="计算 2 4 6 6 4" xfId="9675" xr:uid="{00000000-0005-0000-0000-0000FB250000}"/>
    <cellStyle name="计算 2 4 6 6 4 2" xfId="9682" xr:uid="{00000000-0005-0000-0000-000002260000}"/>
    <cellStyle name="计算 2 4 6 6 5" xfId="29224" xr:uid="{00000000-0005-0000-0000-000058720000}"/>
    <cellStyle name="计算 2 4 6 6 5 2" xfId="29225" xr:uid="{00000000-0005-0000-0000-000059720000}"/>
    <cellStyle name="计算 2 4 6 6 6" xfId="22568" xr:uid="{00000000-0005-0000-0000-000058580000}"/>
    <cellStyle name="计算 2 4 6 7" xfId="24896" xr:uid="{00000000-0005-0000-0000-000070610000}"/>
    <cellStyle name="计算 2 4 6 7 2" xfId="25039" xr:uid="{00000000-0005-0000-0000-0000FF610000}"/>
    <cellStyle name="计算 2 4 6 7 2 2" xfId="9711" xr:uid="{00000000-0005-0000-0000-00001F260000}"/>
    <cellStyle name="计算 2 4 6 7 3" xfId="25426" xr:uid="{00000000-0005-0000-0000-000082630000}"/>
    <cellStyle name="计算 2 4 6 7 3 2" xfId="9724" xr:uid="{00000000-0005-0000-0000-00002C260000}"/>
    <cellStyle name="计算 2 4 6 7 4" xfId="9734" xr:uid="{00000000-0005-0000-0000-000036260000}"/>
    <cellStyle name="计算 2 4 6 7 4 2" xfId="9742" xr:uid="{00000000-0005-0000-0000-00003E260000}"/>
    <cellStyle name="计算 2 4 6 7 5" xfId="372" xr:uid="{00000000-0005-0000-0000-000098010000}"/>
    <cellStyle name="计算 2 4 6 7 5 2" xfId="560" xr:uid="{00000000-0005-0000-0000-000060020000}"/>
    <cellStyle name="计算 2 4 6 7 6" xfId="398" xr:uid="{00000000-0005-0000-0000-0000B4010000}"/>
    <cellStyle name="计算 2 4 6 8" xfId="25046" xr:uid="{00000000-0005-0000-0000-000006620000}"/>
    <cellStyle name="计算 2 4 6 8 2" xfId="25050" xr:uid="{00000000-0005-0000-0000-00000A620000}"/>
    <cellStyle name="计算 2 4 6 8 2 2" xfId="9763" xr:uid="{00000000-0005-0000-0000-000053260000}"/>
    <cellStyle name="计算 2 4 6 8 3" xfId="25432" xr:uid="{00000000-0005-0000-0000-000088630000}"/>
    <cellStyle name="计算 2 4 6 8 3 2" xfId="9777" xr:uid="{00000000-0005-0000-0000-000061260000}"/>
    <cellStyle name="计算 2 4 6 8 4" xfId="9789" xr:uid="{00000000-0005-0000-0000-00006D260000}"/>
    <cellStyle name="计算 2 4 6 8 4 2" xfId="9800" xr:uid="{00000000-0005-0000-0000-000078260000}"/>
    <cellStyle name="计算 2 4 6 8 5" xfId="27040" xr:uid="{00000000-0005-0000-0000-0000D0690000}"/>
    <cellStyle name="计算 2 4 6 9" xfId="9822" xr:uid="{00000000-0005-0000-0000-00008E260000}"/>
    <cellStyle name="计算 2 4 6 9 2" xfId="25437" xr:uid="{00000000-0005-0000-0000-00008D630000}"/>
    <cellStyle name="计算 2 4 7" xfId="25942" xr:uid="{00000000-0005-0000-0000-000086650000}"/>
    <cellStyle name="计算 2 4 7 10" xfId="10187" xr:uid="{00000000-0005-0000-0000-0000FB270000}"/>
    <cellStyle name="计算 2 4 7 10 2" xfId="12292" xr:uid="{00000000-0005-0000-0000-000034300000}"/>
    <cellStyle name="计算 2 4 7 11" xfId="25557" xr:uid="{00000000-0005-0000-0000-000005640000}"/>
    <cellStyle name="计算 2 4 7 11 2" xfId="12307" xr:uid="{00000000-0005-0000-0000-000043300000}"/>
    <cellStyle name="计算 2 4 7 12" xfId="25560" xr:uid="{00000000-0005-0000-0000-000008640000}"/>
    <cellStyle name="计算 2 4 7 12 2" xfId="12319" xr:uid="{00000000-0005-0000-0000-00004F300000}"/>
    <cellStyle name="计算 2 4 7 13" xfId="25562" xr:uid="{00000000-0005-0000-0000-00000A640000}"/>
    <cellStyle name="计算 2 4 7 14" xfId="25565" xr:uid="{00000000-0005-0000-0000-00000D640000}"/>
    <cellStyle name="计算 2 4 7 15" xfId="9838" xr:uid="{00000000-0005-0000-0000-00009E260000}"/>
    <cellStyle name="计算 2 4 7 16" xfId="4912" xr:uid="{00000000-0005-0000-0000-000060130000}"/>
    <cellStyle name="计算 2 4 7 2" xfId="29226" xr:uid="{00000000-0005-0000-0000-00005A720000}"/>
    <cellStyle name="计算 2 4 7 2 2" xfId="29228" xr:uid="{00000000-0005-0000-0000-00005C720000}"/>
    <cellStyle name="计算 2 4 7 2 2 2" xfId="17790" xr:uid="{00000000-0005-0000-0000-0000AE450000}"/>
    <cellStyle name="计算 2 4 7 2 3" xfId="29229" xr:uid="{00000000-0005-0000-0000-00005D720000}"/>
    <cellStyle name="计算 2 4 7 2 3 2" xfId="2100" xr:uid="{00000000-0005-0000-0000-000064080000}"/>
    <cellStyle name="计算 2 4 7 2 4" xfId="16851" xr:uid="{00000000-0005-0000-0000-000003420000}"/>
    <cellStyle name="计算 2 4 7 2 4 2" xfId="29231" xr:uid="{00000000-0005-0000-0000-00005F720000}"/>
    <cellStyle name="计算 2 4 7 2 5" xfId="2820" xr:uid="{00000000-0005-0000-0000-0000340B0000}"/>
    <cellStyle name="计算 2 4 7 2 5 2" xfId="13721" xr:uid="{00000000-0005-0000-0000-0000C9350000}"/>
    <cellStyle name="计算 2 4 7 2 6" xfId="13724" xr:uid="{00000000-0005-0000-0000-0000CC350000}"/>
    <cellStyle name="计算 2 4 7 2 7" xfId="9426" xr:uid="{00000000-0005-0000-0000-000002250000}"/>
    <cellStyle name="计算 2 4 7 2 8" xfId="2866" xr:uid="{00000000-0005-0000-0000-0000620B0000}"/>
    <cellStyle name="计算 2 4 7 2 9" xfId="13735" xr:uid="{00000000-0005-0000-0000-0000D7350000}"/>
    <cellStyle name="计算 2 4 7 3" xfId="24566" xr:uid="{00000000-0005-0000-0000-000026600000}"/>
    <cellStyle name="计算 2 4 7 3 2" xfId="29232" xr:uid="{00000000-0005-0000-0000-000060720000}"/>
    <cellStyle name="计算 2 4 7 3 2 2" xfId="5329" xr:uid="{00000000-0005-0000-0000-000001150000}"/>
    <cellStyle name="计算 2 4 7 3 3" xfId="29233" xr:uid="{00000000-0005-0000-0000-000061720000}"/>
    <cellStyle name="计算 2 4 7 3 3 2" xfId="538" xr:uid="{00000000-0005-0000-0000-000049020000}"/>
    <cellStyle name="计算 2 4 7 3 4" xfId="9864" xr:uid="{00000000-0005-0000-0000-0000B8260000}"/>
    <cellStyle name="计算 2 4 7 3 4 2" xfId="9870" xr:uid="{00000000-0005-0000-0000-0000BE260000}"/>
    <cellStyle name="计算 2 4 7 3 5" xfId="944" xr:uid="{00000000-0005-0000-0000-0000E0030000}"/>
    <cellStyle name="计算 2 4 7 3 5 2" xfId="9878" xr:uid="{00000000-0005-0000-0000-0000C6260000}"/>
    <cellStyle name="计算 2 4 7 3 6" xfId="9884" xr:uid="{00000000-0005-0000-0000-0000CC260000}"/>
    <cellStyle name="计算 2 4 7 4" xfId="431" xr:uid="{00000000-0005-0000-0000-0000D8010000}"/>
    <cellStyle name="计算 2 4 7 4 2" xfId="28528" xr:uid="{00000000-0005-0000-0000-0000A06F0000}"/>
    <cellStyle name="计算 2 4 7 4 2 2" xfId="5349" xr:uid="{00000000-0005-0000-0000-000015150000}"/>
    <cellStyle name="计算 2 4 7 4 3" xfId="29234" xr:uid="{00000000-0005-0000-0000-000062720000}"/>
    <cellStyle name="计算 2 4 7 4 3 2" xfId="9897" xr:uid="{00000000-0005-0000-0000-0000D9260000}"/>
    <cellStyle name="计算 2 4 7 4 4" xfId="29236" xr:uid="{00000000-0005-0000-0000-000064720000}"/>
    <cellStyle name="计算 2 4 7 4 4 2" xfId="9910" xr:uid="{00000000-0005-0000-0000-0000E6260000}"/>
    <cellStyle name="计算 2 4 7 4 5" xfId="9916" xr:uid="{00000000-0005-0000-0000-0000EC260000}"/>
    <cellStyle name="计算 2 4 7 4 5 2" xfId="9924" xr:uid="{00000000-0005-0000-0000-0000F4260000}"/>
    <cellStyle name="计算 2 4 7 4 6" xfId="9934" xr:uid="{00000000-0005-0000-0000-0000FE260000}"/>
    <cellStyle name="计算 2 4 7 5" xfId="25058" xr:uid="{00000000-0005-0000-0000-000012620000}"/>
    <cellStyle name="计算 2 4 7 5 2" xfId="25061" xr:uid="{00000000-0005-0000-0000-000015620000}"/>
    <cellStyle name="计算 2 4 7 5 2 2" xfId="5363" xr:uid="{00000000-0005-0000-0000-000023150000}"/>
    <cellStyle name="计算 2 4 7 5 3" xfId="25468" xr:uid="{00000000-0005-0000-0000-0000AC630000}"/>
    <cellStyle name="计算 2 4 7 5 3 2" xfId="9941" xr:uid="{00000000-0005-0000-0000-000005270000}"/>
    <cellStyle name="计算 2 4 7 5 4" xfId="25471" xr:uid="{00000000-0005-0000-0000-0000AF630000}"/>
    <cellStyle name="计算 2 4 7 5 4 2" xfId="9953" xr:uid="{00000000-0005-0000-0000-000011270000}"/>
    <cellStyle name="计算 2 4 7 5 5" xfId="9960" xr:uid="{00000000-0005-0000-0000-000018270000}"/>
    <cellStyle name="计算 2 4 7 5 5 2" xfId="9967" xr:uid="{00000000-0005-0000-0000-00001F270000}"/>
    <cellStyle name="计算 2 4 7 5 6" xfId="9975" xr:uid="{00000000-0005-0000-0000-000027270000}"/>
    <cellStyle name="计算 2 4 7 6" xfId="25068" xr:uid="{00000000-0005-0000-0000-00001C620000}"/>
    <cellStyle name="计算 2 4 7 6 2" xfId="761" xr:uid="{00000000-0005-0000-0000-000029030000}"/>
    <cellStyle name="计算 2 4 7 6 2 2" xfId="9982" xr:uid="{00000000-0005-0000-0000-00002E270000}"/>
    <cellStyle name="计算 2 4 7 6 3" xfId="592" xr:uid="{00000000-0005-0000-0000-000080020000}"/>
    <cellStyle name="计算 2 4 7 6 3 2" xfId="9994" xr:uid="{00000000-0005-0000-0000-00003A270000}"/>
    <cellStyle name="计算 2 4 7 6 4" xfId="10007" xr:uid="{00000000-0005-0000-0000-000047270000}"/>
    <cellStyle name="计算 2 4 7 6 4 2" xfId="10011" xr:uid="{00000000-0005-0000-0000-00004B270000}"/>
    <cellStyle name="计算 2 4 7 6 5" xfId="10016" xr:uid="{00000000-0005-0000-0000-000050270000}"/>
    <cellStyle name="计算 2 4 7 6 5 2" xfId="6965" xr:uid="{00000000-0005-0000-0000-0000651B0000}"/>
    <cellStyle name="计算 2 4 7 6 6" xfId="10030" xr:uid="{00000000-0005-0000-0000-00005E270000}"/>
    <cellStyle name="计算 2 4 7 7" xfId="25073" xr:uid="{00000000-0005-0000-0000-000021620000}"/>
    <cellStyle name="计算 2 4 7 7 2" xfId="25079" xr:uid="{00000000-0005-0000-0000-000027620000}"/>
    <cellStyle name="计算 2 4 7 7 2 2" xfId="10044" xr:uid="{00000000-0005-0000-0000-00006C270000}"/>
    <cellStyle name="计算 2 4 7 7 3" xfId="25480" xr:uid="{00000000-0005-0000-0000-0000B8630000}"/>
    <cellStyle name="计算 2 4 7 7 3 2" xfId="10057" xr:uid="{00000000-0005-0000-0000-000079270000}"/>
    <cellStyle name="计算 2 4 7 7 4" xfId="10068" xr:uid="{00000000-0005-0000-0000-000084270000}"/>
    <cellStyle name="计算 2 4 7 7 4 2" xfId="10073" xr:uid="{00000000-0005-0000-0000-000089270000}"/>
    <cellStyle name="计算 2 4 7 7 5" xfId="1013" xr:uid="{00000000-0005-0000-0000-000025040000}"/>
    <cellStyle name="计算 2 4 7 7 5 2" xfId="10080" xr:uid="{00000000-0005-0000-0000-000090270000}"/>
    <cellStyle name="计算 2 4 7 7 6" xfId="10091" xr:uid="{00000000-0005-0000-0000-00009B270000}"/>
    <cellStyle name="计算 2 4 7 8" xfId="25085" xr:uid="{00000000-0005-0000-0000-00002D620000}"/>
    <cellStyle name="计算 2 4 7 8 2" xfId="25089" xr:uid="{00000000-0005-0000-0000-000031620000}"/>
    <cellStyle name="计算 2 4 7 8 2 2" xfId="10104" xr:uid="{00000000-0005-0000-0000-0000A8270000}"/>
    <cellStyle name="计算 2 4 7 8 3" xfId="25486" xr:uid="{00000000-0005-0000-0000-0000BE630000}"/>
    <cellStyle name="计算 2 4 7 8 3 2" xfId="10116" xr:uid="{00000000-0005-0000-0000-0000B4270000}"/>
    <cellStyle name="计算 2 4 7 8 4" xfId="10127" xr:uid="{00000000-0005-0000-0000-0000BF270000}"/>
    <cellStyle name="计算 2 4 7 8 4 2" xfId="10132" xr:uid="{00000000-0005-0000-0000-0000C4270000}"/>
    <cellStyle name="计算 2 4 7 8 5" xfId="1042" xr:uid="{00000000-0005-0000-0000-000042040000}"/>
    <cellStyle name="计算 2 4 7 9" xfId="7725" xr:uid="{00000000-0005-0000-0000-00005D1E0000}"/>
    <cellStyle name="计算 2 4 7 9 2" xfId="25496" xr:uid="{00000000-0005-0000-0000-0000C8630000}"/>
    <cellStyle name="计算 2 4 8" xfId="27351" xr:uid="{00000000-0005-0000-0000-0000076B0000}"/>
    <cellStyle name="计算 2 4 8 10" xfId="1351" xr:uid="{00000000-0005-0000-0000-000077050000}"/>
    <cellStyle name="计算 2 4 8 10 2" xfId="29210" xr:uid="{00000000-0005-0000-0000-00004A720000}"/>
    <cellStyle name="计算 2 4 8 11" xfId="29237" xr:uid="{00000000-0005-0000-0000-000065720000}"/>
    <cellStyle name="计算 2 4 8 11 2" xfId="26965" xr:uid="{00000000-0005-0000-0000-000085690000}"/>
    <cellStyle name="计算 2 4 8 12" xfId="29238" xr:uid="{00000000-0005-0000-0000-000066720000}"/>
    <cellStyle name="计算 2 4 8 12 2" xfId="29239" xr:uid="{00000000-0005-0000-0000-000067720000}"/>
    <cellStyle name="计算 2 4 8 13" xfId="29240" xr:uid="{00000000-0005-0000-0000-000068720000}"/>
    <cellStyle name="计算 2 4 8 14" xfId="29242" xr:uid="{00000000-0005-0000-0000-00006A720000}"/>
    <cellStyle name="计算 2 4 8 15" xfId="29244" xr:uid="{00000000-0005-0000-0000-00006C720000}"/>
    <cellStyle name="计算 2 4 8 16" xfId="29247" xr:uid="{00000000-0005-0000-0000-00006F720000}"/>
    <cellStyle name="计算 2 4 8 2" xfId="29248" xr:uid="{00000000-0005-0000-0000-000070720000}"/>
    <cellStyle name="计算 2 4 8 2 2" xfId="29250" xr:uid="{00000000-0005-0000-0000-000072720000}"/>
    <cellStyle name="计算 2 4 8 2 2 2" xfId="2569" xr:uid="{00000000-0005-0000-0000-0000390A0000}"/>
    <cellStyle name="计算 2 4 8 2 3" xfId="29251" xr:uid="{00000000-0005-0000-0000-000073720000}"/>
    <cellStyle name="计算 2 4 8 2 3 2" xfId="12050" xr:uid="{00000000-0005-0000-0000-0000422F0000}"/>
    <cellStyle name="计算 2 4 8 2 4" xfId="16862" xr:uid="{00000000-0005-0000-0000-00000E420000}"/>
    <cellStyle name="计算 2 4 8 2 4 2" xfId="12099" xr:uid="{00000000-0005-0000-0000-0000732F0000}"/>
    <cellStyle name="计算 2 4 8 2 5" xfId="2629" xr:uid="{00000000-0005-0000-0000-0000750A0000}"/>
    <cellStyle name="计算 2 4 8 2 5 2" xfId="12142" xr:uid="{00000000-0005-0000-0000-00009E2F0000}"/>
    <cellStyle name="计算 2 4 8 2 6" xfId="13861" xr:uid="{00000000-0005-0000-0000-000055360000}"/>
    <cellStyle name="计算 2 4 8 2 7" xfId="9440" xr:uid="{00000000-0005-0000-0000-000010250000}"/>
    <cellStyle name="计算 2 4 8 2 8" xfId="12803" xr:uid="{00000000-0005-0000-0000-000033320000}"/>
    <cellStyle name="计算 2 4 8 2 9" xfId="13868" xr:uid="{00000000-0005-0000-0000-00005C360000}"/>
    <cellStyle name="计算 2 4 8 3" xfId="24573" xr:uid="{00000000-0005-0000-0000-00002D600000}"/>
    <cellStyle name="计算 2 4 8 3 2" xfId="29252" xr:uid="{00000000-0005-0000-0000-000074720000}"/>
    <cellStyle name="计算 2 4 8 3 2 2" xfId="2657" xr:uid="{00000000-0005-0000-0000-0000910A0000}"/>
    <cellStyle name="计算 2 4 8 3 3" xfId="29253" xr:uid="{00000000-0005-0000-0000-000075720000}"/>
    <cellStyle name="计算 2 4 8 3 3 2" xfId="10182" xr:uid="{00000000-0005-0000-0000-0000F6270000}"/>
    <cellStyle name="计算 2 4 8 3 4" xfId="10190" xr:uid="{00000000-0005-0000-0000-0000FE270000}"/>
    <cellStyle name="计算 2 4 8 3 4 2" xfId="10197" xr:uid="{00000000-0005-0000-0000-000005280000}"/>
    <cellStyle name="计算 2 4 8 3 5" xfId="2725" xr:uid="{00000000-0005-0000-0000-0000D50A0000}"/>
    <cellStyle name="计算 2 4 8 3 5 2" xfId="10204" xr:uid="{00000000-0005-0000-0000-00000C280000}"/>
    <cellStyle name="计算 2 4 8 3 6" xfId="10209" xr:uid="{00000000-0005-0000-0000-000011280000}"/>
    <cellStyle name="计算 2 4 8 4" xfId="10236" xr:uid="{00000000-0005-0000-0000-00002C280000}"/>
    <cellStyle name="计算 2 4 8 4 2" xfId="29193" xr:uid="{00000000-0005-0000-0000-000039720000}"/>
    <cellStyle name="计算 2 4 8 4 2 2" xfId="2752" xr:uid="{00000000-0005-0000-0000-0000F00A0000}"/>
    <cellStyle name="计算 2 4 8 4 3" xfId="29195" xr:uid="{00000000-0005-0000-0000-00003B720000}"/>
    <cellStyle name="计算 2 4 8 4 3 2" xfId="10242" xr:uid="{00000000-0005-0000-0000-000032280000}"/>
    <cellStyle name="计算 2 4 8 4 4" xfId="29198" xr:uid="{00000000-0005-0000-0000-00003E720000}"/>
    <cellStyle name="计算 2 4 8 4 4 2" xfId="9491" xr:uid="{00000000-0005-0000-0000-000043250000}"/>
    <cellStyle name="计算 2 4 8 4 5" xfId="9499" xr:uid="{00000000-0005-0000-0000-00004B250000}"/>
    <cellStyle name="计算 2 4 8 4 5 2" xfId="9509" xr:uid="{00000000-0005-0000-0000-000055250000}"/>
    <cellStyle name="计算 2 4 8 4 6" xfId="9516" xr:uid="{00000000-0005-0000-0000-00005C250000}"/>
    <cellStyle name="计算 2 4 8 5" xfId="25096" xr:uid="{00000000-0005-0000-0000-000038620000}"/>
    <cellStyle name="计算 2 4 8 5 2" xfId="25098" xr:uid="{00000000-0005-0000-0000-00003A620000}"/>
    <cellStyle name="计算 2 4 8 5 2 2" xfId="5299" xr:uid="{00000000-0005-0000-0000-0000E3140000}"/>
    <cellStyle name="计算 2 4 8 5 3" xfId="25525" xr:uid="{00000000-0005-0000-0000-0000E5630000}"/>
    <cellStyle name="计算 2 4 8 5 3 2" xfId="10253" xr:uid="{00000000-0005-0000-0000-00003D280000}"/>
    <cellStyle name="计算 2 4 8 5 4" xfId="25528" xr:uid="{00000000-0005-0000-0000-0000E8630000}"/>
    <cellStyle name="计算 2 4 8 5 4 2" xfId="10263" xr:uid="{00000000-0005-0000-0000-000047280000}"/>
    <cellStyle name="计算 2 4 8 5 5" xfId="10269" xr:uid="{00000000-0005-0000-0000-00004D280000}"/>
    <cellStyle name="计算 2 4 8 5 5 2" xfId="10274" xr:uid="{00000000-0005-0000-0000-000052280000}"/>
    <cellStyle name="计算 2 4 8 5 6" xfId="10280" xr:uid="{00000000-0005-0000-0000-000058280000}"/>
    <cellStyle name="计算 2 4 8 6" xfId="25103" xr:uid="{00000000-0005-0000-0000-00003F620000}"/>
    <cellStyle name="计算 2 4 8 6 2" xfId="25105" xr:uid="{00000000-0005-0000-0000-000041620000}"/>
    <cellStyle name="计算 2 4 8 6 2 2" xfId="10287" xr:uid="{00000000-0005-0000-0000-00005F280000}"/>
    <cellStyle name="计算 2 4 8 6 3" xfId="25533" xr:uid="{00000000-0005-0000-0000-0000ED630000}"/>
    <cellStyle name="计算 2 4 8 6 3 2" xfId="10297" xr:uid="{00000000-0005-0000-0000-000069280000}"/>
    <cellStyle name="计算 2 4 8 6 4" xfId="10308" xr:uid="{00000000-0005-0000-0000-000074280000}"/>
    <cellStyle name="计算 2 4 8 6 4 2" xfId="10313" xr:uid="{00000000-0005-0000-0000-000079280000}"/>
    <cellStyle name="计算 2 4 8 6 5" xfId="10318" xr:uid="{00000000-0005-0000-0000-00007E280000}"/>
    <cellStyle name="计算 2 4 8 6 5 2" xfId="10328" xr:uid="{00000000-0005-0000-0000-000088280000}"/>
    <cellStyle name="计算 2 4 8 6 6" xfId="10333" xr:uid="{00000000-0005-0000-0000-00008D280000}"/>
    <cellStyle name="计算 2 4 8 7" xfId="2671" xr:uid="{00000000-0005-0000-0000-00009F0A0000}"/>
    <cellStyle name="计算 2 4 8 7 2" xfId="25110" xr:uid="{00000000-0005-0000-0000-000046620000}"/>
    <cellStyle name="计算 2 4 8 7 2 2" xfId="10343" xr:uid="{00000000-0005-0000-0000-000097280000}"/>
    <cellStyle name="计算 2 4 8 7 3" xfId="25540" xr:uid="{00000000-0005-0000-0000-0000F4630000}"/>
    <cellStyle name="计算 2 4 8 7 3 2" xfId="10356" xr:uid="{00000000-0005-0000-0000-0000A4280000}"/>
    <cellStyle name="计算 2 4 8 7 4" xfId="10368" xr:uid="{00000000-0005-0000-0000-0000B0280000}"/>
    <cellStyle name="计算 2 4 8 7 4 2" xfId="10374" xr:uid="{00000000-0005-0000-0000-0000B6280000}"/>
    <cellStyle name="计算 2 4 8 7 5" xfId="4887" xr:uid="{00000000-0005-0000-0000-000047130000}"/>
    <cellStyle name="计算 2 4 8 7 5 2" xfId="10382" xr:uid="{00000000-0005-0000-0000-0000BE280000}"/>
    <cellStyle name="计算 2 4 8 7 6" xfId="10387" xr:uid="{00000000-0005-0000-0000-0000C3280000}"/>
    <cellStyle name="计算 2 4 8 8" xfId="25115" xr:uid="{00000000-0005-0000-0000-00004B620000}"/>
    <cellStyle name="计算 2 4 8 8 2" xfId="25118" xr:uid="{00000000-0005-0000-0000-00004E620000}"/>
    <cellStyle name="计算 2 4 8 8 2 2" xfId="10399" xr:uid="{00000000-0005-0000-0000-0000CF280000}"/>
    <cellStyle name="计算 2 4 8 8 3" xfId="25550" xr:uid="{00000000-0005-0000-0000-0000FE630000}"/>
    <cellStyle name="计算 2 4 8 8 3 2" xfId="10410" xr:uid="{00000000-0005-0000-0000-0000DA280000}"/>
    <cellStyle name="计算 2 4 8 8 4" xfId="10420" xr:uid="{00000000-0005-0000-0000-0000E4280000}"/>
    <cellStyle name="计算 2 4 8 8 4 2" xfId="10432" xr:uid="{00000000-0005-0000-0000-0000F0280000}"/>
    <cellStyle name="计算 2 4 8 8 5" xfId="4900" xr:uid="{00000000-0005-0000-0000-000054130000}"/>
    <cellStyle name="计算 2 4 8 9" xfId="25123" xr:uid="{00000000-0005-0000-0000-000053620000}"/>
    <cellStyle name="计算 2 4 8 9 2" xfId="25563" xr:uid="{00000000-0005-0000-0000-00000B640000}"/>
    <cellStyle name="计算 2 4 9" xfId="27354" xr:uid="{00000000-0005-0000-0000-00000A6B0000}"/>
    <cellStyle name="计算 2 4 9 10" xfId="3877" xr:uid="{00000000-0005-0000-0000-0000550F0000}"/>
    <cellStyle name="计算 2 4 9 10 2" xfId="29254" xr:uid="{00000000-0005-0000-0000-000076720000}"/>
    <cellStyle name="计算 2 4 9 11" xfId="29255" xr:uid="{00000000-0005-0000-0000-000077720000}"/>
    <cellStyle name="计算 2 4 9 11 2" xfId="29258" xr:uid="{00000000-0005-0000-0000-00007A720000}"/>
    <cellStyle name="计算 2 4 9 12" xfId="29259" xr:uid="{00000000-0005-0000-0000-00007B720000}"/>
    <cellStyle name="计算 2 4 9 12 2" xfId="29260" xr:uid="{00000000-0005-0000-0000-00007C720000}"/>
    <cellStyle name="计算 2 4 9 13" xfId="15368" xr:uid="{00000000-0005-0000-0000-0000383C0000}"/>
    <cellStyle name="计算 2 4 9 14" xfId="29261" xr:uid="{00000000-0005-0000-0000-00007D720000}"/>
    <cellStyle name="计算 2 4 9 15" xfId="29262" xr:uid="{00000000-0005-0000-0000-00007E720000}"/>
    <cellStyle name="计算 2 4 9 16" xfId="29263" xr:uid="{00000000-0005-0000-0000-00007F720000}"/>
    <cellStyle name="计算 2 4 9 2" xfId="29264" xr:uid="{00000000-0005-0000-0000-000080720000}"/>
    <cellStyle name="计算 2 4 9 2 2" xfId="29267" xr:uid="{00000000-0005-0000-0000-000083720000}"/>
    <cellStyle name="计算 2 4 9 2 2 2" xfId="29269" xr:uid="{00000000-0005-0000-0000-000085720000}"/>
    <cellStyle name="计算 2 4 9 2 3" xfId="29271" xr:uid="{00000000-0005-0000-0000-000087720000}"/>
    <cellStyle name="计算 2 4 9 2 3 2" xfId="29273" xr:uid="{00000000-0005-0000-0000-000089720000}"/>
    <cellStyle name="计算 2 4 9 2 4" xfId="16876" xr:uid="{00000000-0005-0000-0000-00001C420000}"/>
    <cellStyle name="计算 2 4 9 2 4 2" xfId="29275" xr:uid="{00000000-0005-0000-0000-00008B720000}"/>
    <cellStyle name="计算 2 4 9 2 5" xfId="356" xr:uid="{00000000-0005-0000-0000-000086010000}"/>
    <cellStyle name="计算 2 4 9 2 5 2" xfId="29277" xr:uid="{00000000-0005-0000-0000-00008D720000}"/>
    <cellStyle name="计算 2 4 9 2 6" xfId="29279" xr:uid="{00000000-0005-0000-0000-00008F720000}"/>
    <cellStyle name="计算 2 4 9 2 7" xfId="29283" xr:uid="{00000000-0005-0000-0000-000093720000}"/>
    <cellStyle name="计算 2 4 9 2 8" xfId="29285" xr:uid="{00000000-0005-0000-0000-000095720000}"/>
    <cellStyle name="计算 2 4 9 2 9" xfId="17366" xr:uid="{00000000-0005-0000-0000-000006440000}"/>
    <cellStyle name="计算 2 4 9 3" xfId="28613" xr:uid="{00000000-0005-0000-0000-0000F56F0000}"/>
    <cellStyle name="计算 2 4 9 3 2" xfId="29286" xr:uid="{00000000-0005-0000-0000-000096720000}"/>
    <cellStyle name="计算 2 4 9 3 2 2" xfId="5946" xr:uid="{00000000-0005-0000-0000-00006A170000}"/>
    <cellStyle name="计算 2 4 9 3 3" xfId="29287" xr:uid="{00000000-0005-0000-0000-000097720000}"/>
    <cellStyle name="计算 2 4 9 3 3 2" xfId="10487" xr:uid="{00000000-0005-0000-0000-000027290000}"/>
    <cellStyle name="计算 2 4 9 3 4" xfId="29289" xr:uid="{00000000-0005-0000-0000-000099720000}"/>
    <cellStyle name="计算 2 4 9 3 4 2" xfId="10505" xr:uid="{00000000-0005-0000-0000-000039290000}"/>
    <cellStyle name="计算 2 4 9 3 5" xfId="1235" xr:uid="{00000000-0005-0000-0000-000003050000}"/>
    <cellStyle name="计算 2 4 9 3 5 2" xfId="29292" xr:uid="{00000000-0005-0000-0000-00009C720000}"/>
    <cellStyle name="计算 2 4 9 3 6" xfId="29294" xr:uid="{00000000-0005-0000-0000-00009E720000}"/>
    <cellStyle name="计算 2 4 9 4" xfId="10548" xr:uid="{00000000-0005-0000-0000-000064290000}"/>
    <cellStyle name="计算 2 4 9 4 2" xfId="29296" xr:uid="{00000000-0005-0000-0000-0000A0720000}"/>
    <cellStyle name="计算 2 4 9 4 2 2" xfId="6050" xr:uid="{00000000-0005-0000-0000-0000D2170000}"/>
    <cellStyle name="计算 2 4 9 4 3" xfId="29297" xr:uid="{00000000-0005-0000-0000-0000A1720000}"/>
    <cellStyle name="计算 2 4 9 4 3 2" xfId="10555" xr:uid="{00000000-0005-0000-0000-00006B290000}"/>
    <cellStyle name="计算 2 4 9 4 4" xfId="29299" xr:uid="{00000000-0005-0000-0000-0000A3720000}"/>
    <cellStyle name="计算 2 4 9 4 4 2" xfId="10574" xr:uid="{00000000-0005-0000-0000-00007E290000}"/>
    <cellStyle name="计算 2 4 9 4 5" xfId="10587" xr:uid="{00000000-0005-0000-0000-00008B290000}"/>
    <cellStyle name="计算 2 4 9 4 5 2" xfId="29301" xr:uid="{00000000-0005-0000-0000-0000A5720000}"/>
    <cellStyle name="计算 2 4 9 4 6" xfId="29303" xr:uid="{00000000-0005-0000-0000-0000A7720000}"/>
    <cellStyle name="计算 2 4 9 5" xfId="25128" xr:uid="{00000000-0005-0000-0000-000058620000}"/>
    <cellStyle name="计算 2 4 9 5 2" xfId="25131" xr:uid="{00000000-0005-0000-0000-00005B620000}"/>
    <cellStyle name="计算 2 4 9 5 2 2" xfId="6091" xr:uid="{00000000-0005-0000-0000-0000FB170000}"/>
    <cellStyle name="计算 2 4 9 5 3" xfId="25600" xr:uid="{00000000-0005-0000-0000-000030640000}"/>
    <cellStyle name="计算 2 4 9 5 3 2" xfId="10614" xr:uid="{00000000-0005-0000-0000-0000A6290000}"/>
    <cellStyle name="计算 2 4 9 5 4" xfId="25602" xr:uid="{00000000-0005-0000-0000-000032640000}"/>
    <cellStyle name="计算 2 4 9 5 4 2" xfId="10630" xr:uid="{00000000-0005-0000-0000-0000B6290000}"/>
    <cellStyle name="计算 2 4 9 5 5" xfId="10639" xr:uid="{00000000-0005-0000-0000-0000BF290000}"/>
    <cellStyle name="计算 2 4 9 5 5 2" xfId="165" xr:uid="{00000000-0005-0000-0000-0000B2000000}"/>
    <cellStyle name="计算 2 4 9 5 6" xfId="25605" xr:uid="{00000000-0005-0000-0000-000035640000}"/>
    <cellStyle name="计算 2 4 9 6" xfId="25136" xr:uid="{00000000-0005-0000-0000-000060620000}"/>
    <cellStyle name="计算 2 4 9 6 2" xfId="25139" xr:uid="{00000000-0005-0000-0000-000063620000}"/>
    <cellStyle name="计算 2 4 9 6 2 2" xfId="10659" xr:uid="{00000000-0005-0000-0000-0000D3290000}"/>
    <cellStyle name="计算 2 4 9 6 3" xfId="25613" xr:uid="{00000000-0005-0000-0000-00003D640000}"/>
    <cellStyle name="计算 2 4 9 6 3 2" xfId="10677" xr:uid="{00000000-0005-0000-0000-0000E5290000}"/>
    <cellStyle name="计算 2 4 9 6 4" xfId="25615" xr:uid="{00000000-0005-0000-0000-00003F640000}"/>
    <cellStyle name="计算 2 4 9 6 4 2" xfId="10697" xr:uid="{00000000-0005-0000-0000-0000F9290000}"/>
    <cellStyle name="计算 2 4 9 6 5" xfId="29306" xr:uid="{00000000-0005-0000-0000-0000AA720000}"/>
    <cellStyle name="计算 2 4 9 6 5 2" xfId="27097" xr:uid="{00000000-0005-0000-0000-0000096A0000}"/>
    <cellStyle name="计算 2 4 9 6 6" xfId="29308" xr:uid="{00000000-0005-0000-0000-0000AC720000}"/>
    <cellStyle name="计算 2 4 9 7" xfId="2693" xr:uid="{00000000-0005-0000-0000-0000B50A0000}"/>
    <cellStyle name="计算 2 4 9 7 2" xfId="25147" xr:uid="{00000000-0005-0000-0000-00006B620000}"/>
    <cellStyle name="计算 2 4 9 7 2 2" xfId="10732" xr:uid="{00000000-0005-0000-0000-00001C2A0000}"/>
    <cellStyle name="计算 2 4 9 7 3" xfId="25624" xr:uid="{00000000-0005-0000-0000-000048640000}"/>
    <cellStyle name="计算 2 4 9 7 3 2" xfId="10755" xr:uid="{00000000-0005-0000-0000-0000332A0000}"/>
    <cellStyle name="计算 2 4 9 7 4" xfId="25627" xr:uid="{00000000-0005-0000-0000-00004B640000}"/>
    <cellStyle name="计算 2 4 9 7 4 2" xfId="10771" xr:uid="{00000000-0005-0000-0000-0000432A0000}"/>
    <cellStyle name="计算 2 4 9 7 5" xfId="29311" xr:uid="{00000000-0005-0000-0000-0000AF720000}"/>
    <cellStyle name="计算 2 4 9 7 5 2" xfId="29313" xr:uid="{00000000-0005-0000-0000-0000B1720000}"/>
    <cellStyle name="计算 2 4 9 7 6" xfId="29317" xr:uid="{00000000-0005-0000-0000-0000B5720000}"/>
    <cellStyle name="计算 2 4 9 8" xfId="25153" xr:uid="{00000000-0005-0000-0000-000071620000}"/>
    <cellStyle name="计算 2 4 9 8 2" xfId="25634" xr:uid="{00000000-0005-0000-0000-000052640000}"/>
    <cellStyle name="计算 2 4 9 8 2 2" xfId="1787" xr:uid="{00000000-0005-0000-0000-00002B070000}"/>
    <cellStyle name="计算 2 4 9 8 3" xfId="25637" xr:uid="{00000000-0005-0000-0000-000055640000}"/>
    <cellStyle name="计算 2 4 9 8 3 2" xfId="10809" xr:uid="{00000000-0005-0000-0000-0000692A0000}"/>
    <cellStyle name="计算 2 4 9 8 4" xfId="25640" xr:uid="{00000000-0005-0000-0000-000058640000}"/>
    <cellStyle name="计算 2 4 9 8 4 2" xfId="10822" xr:uid="{00000000-0005-0000-0000-0000762A0000}"/>
    <cellStyle name="计算 2 4 9 8 5" xfId="29321" xr:uid="{00000000-0005-0000-0000-0000B9720000}"/>
    <cellStyle name="计算 2 4 9 9" xfId="29322" xr:uid="{00000000-0005-0000-0000-0000BA720000}"/>
    <cellStyle name="计算 2 4 9 9 2" xfId="25648" xr:uid="{00000000-0005-0000-0000-000060640000}"/>
    <cellStyle name="计算 2 5" xfId="26118" xr:uid="{00000000-0005-0000-0000-000036660000}"/>
    <cellStyle name="计算 2 5 10" xfId="29324" xr:uid="{00000000-0005-0000-0000-0000BC720000}"/>
    <cellStyle name="计算 2 5 10 10" xfId="8598" xr:uid="{00000000-0005-0000-0000-0000C6210000}"/>
    <cellStyle name="计算 2 5 10 10 2" xfId="8603" xr:uid="{00000000-0005-0000-0000-0000CB210000}"/>
    <cellStyle name="计算 2 5 10 11" xfId="2613" xr:uid="{00000000-0005-0000-0000-0000650A0000}"/>
    <cellStyle name="计算 2 5 10 11 2" xfId="8638" xr:uid="{00000000-0005-0000-0000-0000EE210000}"/>
    <cellStyle name="计算 2 5 10 12" xfId="5651" xr:uid="{00000000-0005-0000-0000-000043160000}"/>
    <cellStyle name="计算 2 5 10 12 2" xfId="5665" xr:uid="{00000000-0005-0000-0000-000051160000}"/>
    <cellStyle name="计算 2 5 10 13" xfId="5673" xr:uid="{00000000-0005-0000-0000-000059160000}"/>
    <cellStyle name="计算 2 5 10 14" xfId="5692" xr:uid="{00000000-0005-0000-0000-00006C160000}"/>
    <cellStyle name="计算 2 5 10 15" xfId="5717" xr:uid="{00000000-0005-0000-0000-000085160000}"/>
    <cellStyle name="计算 2 5 10 16" xfId="5734" xr:uid="{00000000-0005-0000-0000-000096160000}"/>
    <cellStyle name="计算 2 5 10 2" xfId="29326" xr:uid="{00000000-0005-0000-0000-0000BE720000}"/>
    <cellStyle name="计算 2 5 10 2 2" xfId="29327" xr:uid="{00000000-0005-0000-0000-0000BF720000}"/>
    <cellStyle name="计算 2 5 10 2 2 2" xfId="29328" xr:uid="{00000000-0005-0000-0000-0000C0720000}"/>
    <cellStyle name="计算 2 5 10 2 3" xfId="27179" xr:uid="{00000000-0005-0000-0000-00005B6A0000}"/>
    <cellStyle name="计算 2 5 10 2 3 2" xfId="29329" xr:uid="{00000000-0005-0000-0000-0000C1720000}"/>
    <cellStyle name="计算 2 5 10 2 4" xfId="29331" xr:uid="{00000000-0005-0000-0000-0000C3720000}"/>
    <cellStyle name="计算 2 5 10 2 4 2" xfId="29335" xr:uid="{00000000-0005-0000-0000-0000C7720000}"/>
    <cellStyle name="计算 2 5 10 2 5" xfId="29338" xr:uid="{00000000-0005-0000-0000-0000CA720000}"/>
    <cellStyle name="计算 2 5 10 2 5 2" xfId="15967" xr:uid="{00000000-0005-0000-0000-00008F3E0000}"/>
    <cellStyle name="计算 2 5 10 2 6" xfId="29342" xr:uid="{00000000-0005-0000-0000-0000CE720000}"/>
    <cellStyle name="计算 2 5 10 2 7" xfId="29344" xr:uid="{00000000-0005-0000-0000-0000D0720000}"/>
    <cellStyle name="计算 2 5 10 2 8" xfId="26046" xr:uid="{00000000-0005-0000-0000-0000EE650000}"/>
    <cellStyle name="计算 2 5 10 2 9" xfId="29347" xr:uid="{00000000-0005-0000-0000-0000D3720000}"/>
    <cellStyle name="计算 2 5 10 3" xfId="29349" xr:uid="{00000000-0005-0000-0000-0000D5720000}"/>
    <cellStyle name="计算 2 5 10 3 2" xfId="29350" xr:uid="{00000000-0005-0000-0000-0000D6720000}"/>
    <cellStyle name="计算 2 5 10 3 2 2" xfId="18205" xr:uid="{00000000-0005-0000-0000-00004D470000}"/>
    <cellStyle name="计算 2 5 10 3 3" xfId="27185" xr:uid="{00000000-0005-0000-0000-0000616A0000}"/>
    <cellStyle name="计算 2 5 10 3 3 2" xfId="10904" xr:uid="{00000000-0005-0000-0000-0000C82A0000}"/>
    <cellStyle name="计算 2 5 10 3 4" xfId="29351" xr:uid="{00000000-0005-0000-0000-0000D7720000}"/>
    <cellStyle name="计算 2 5 10 3 4 2" xfId="29354" xr:uid="{00000000-0005-0000-0000-0000DA720000}"/>
    <cellStyle name="计算 2 5 10 3 5" xfId="29357" xr:uid="{00000000-0005-0000-0000-0000DD720000}"/>
    <cellStyle name="计算 2 5 10 3 5 2" xfId="16007" xr:uid="{00000000-0005-0000-0000-0000B73E0000}"/>
    <cellStyle name="计算 2 5 10 3 6" xfId="29359" xr:uid="{00000000-0005-0000-0000-0000DF720000}"/>
    <cellStyle name="计算 2 5 10 4" xfId="29361" xr:uid="{00000000-0005-0000-0000-0000E1720000}"/>
    <cellStyle name="计算 2 5 10 4 2" xfId="26087" xr:uid="{00000000-0005-0000-0000-000017660000}"/>
    <cellStyle name="计算 2 5 10 4 2 2" xfId="29362" xr:uid="{00000000-0005-0000-0000-0000E2720000}"/>
    <cellStyle name="计算 2 5 10 4 3" xfId="26093" xr:uid="{00000000-0005-0000-0000-00001D660000}"/>
    <cellStyle name="计算 2 5 10 4 3 2" xfId="15630" xr:uid="{00000000-0005-0000-0000-00003E3D0000}"/>
    <cellStyle name="计算 2 5 10 4 4" xfId="26102" xr:uid="{00000000-0005-0000-0000-000026660000}"/>
    <cellStyle name="计算 2 5 10 4 4 2" xfId="29364" xr:uid="{00000000-0005-0000-0000-0000E4720000}"/>
    <cellStyle name="计算 2 5 10 4 5" xfId="29366" xr:uid="{00000000-0005-0000-0000-0000E6720000}"/>
    <cellStyle name="计算 2 5 10 4 5 2" xfId="29368" xr:uid="{00000000-0005-0000-0000-0000E8720000}"/>
    <cellStyle name="计算 2 5 10 4 6" xfId="28378" xr:uid="{00000000-0005-0000-0000-00000A6F0000}"/>
    <cellStyle name="计算 2 5 10 5" xfId="29371" xr:uid="{00000000-0005-0000-0000-0000EB720000}"/>
    <cellStyle name="计算 2 5 10 5 2" xfId="29372" xr:uid="{00000000-0005-0000-0000-0000EC720000}"/>
    <cellStyle name="计算 2 5 10 5 2 2" xfId="27147" xr:uid="{00000000-0005-0000-0000-00003B6A0000}"/>
    <cellStyle name="计算 2 5 10 5 3" xfId="22644" xr:uid="{00000000-0005-0000-0000-0000A4580000}"/>
    <cellStyle name="计算 2 5 10 5 3 2" xfId="27160" xr:uid="{00000000-0005-0000-0000-0000486A0000}"/>
    <cellStyle name="计算 2 5 10 5 4" xfId="29373" xr:uid="{00000000-0005-0000-0000-0000ED720000}"/>
    <cellStyle name="计算 2 5 10 5 4 2" xfId="27168" xr:uid="{00000000-0005-0000-0000-0000506A0000}"/>
    <cellStyle name="计算 2 5 10 5 5" xfId="29374" xr:uid="{00000000-0005-0000-0000-0000EE720000}"/>
    <cellStyle name="计算 2 5 10 5 5 2" xfId="27177" xr:uid="{00000000-0005-0000-0000-0000596A0000}"/>
    <cellStyle name="计算 2 5 10 5 6" xfId="28386" xr:uid="{00000000-0005-0000-0000-0000126F0000}"/>
    <cellStyle name="计算 2 5 10 6" xfId="1878" xr:uid="{00000000-0005-0000-0000-000086070000}"/>
    <cellStyle name="计算 2 5 10 6 2" xfId="29375" xr:uid="{00000000-0005-0000-0000-0000EF720000}"/>
    <cellStyle name="计算 2 5 10 6 2 2" xfId="29376" xr:uid="{00000000-0005-0000-0000-0000F0720000}"/>
    <cellStyle name="计算 2 5 10 6 3" xfId="18698" xr:uid="{00000000-0005-0000-0000-00003A490000}"/>
    <cellStyle name="计算 2 5 10 6 3 2" xfId="29377" xr:uid="{00000000-0005-0000-0000-0000F1720000}"/>
    <cellStyle name="计算 2 5 10 6 4" xfId="340" xr:uid="{00000000-0005-0000-0000-000075010000}"/>
    <cellStyle name="计算 2 5 10 6 4 2" xfId="29378" xr:uid="{00000000-0005-0000-0000-0000F2720000}"/>
    <cellStyle name="计算 2 5 10 6 5" xfId="273" xr:uid="{00000000-0005-0000-0000-00002C010000}"/>
    <cellStyle name="计算 2 5 10 6 5 2" xfId="29381" xr:uid="{00000000-0005-0000-0000-0000F5720000}"/>
    <cellStyle name="计算 2 5 10 6 6" xfId="406" xr:uid="{00000000-0005-0000-0000-0000BC010000}"/>
    <cellStyle name="计算 2 5 10 7" xfId="5102" xr:uid="{00000000-0005-0000-0000-00001E140000}"/>
    <cellStyle name="计算 2 5 10 7 2" xfId="5113" xr:uid="{00000000-0005-0000-0000-000029140000}"/>
    <cellStyle name="计算 2 5 10 7 2 2" xfId="29384" xr:uid="{00000000-0005-0000-0000-0000F8720000}"/>
    <cellStyle name="计算 2 5 10 7 3" xfId="18712" xr:uid="{00000000-0005-0000-0000-000048490000}"/>
    <cellStyle name="计算 2 5 10 7 3 2" xfId="29385" xr:uid="{00000000-0005-0000-0000-0000F9720000}"/>
    <cellStyle name="计算 2 5 10 7 4" xfId="29386" xr:uid="{00000000-0005-0000-0000-0000FA720000}"/>
    <cellStyle name="计算 2 5 10 7 4 2" xfId="29387" xr:uid="{00000000-0005-0000-0000-0000FB720000}"/>
    <cellStyle name="计算 2 5 10 7 5" xfId="29388" xr:uid="{00000000-0005-0000-0000-0000FC720000}"/>
    <cellStyle name="计算 2 5 10 7 5 2" xfId="4581" xr:uid="{00000000-0005-0000-0000-000015120000}"/>
    <cellStyle name="计算 2 5 10 7 6" xfId="28396" xr:uid="{00000000-0005-0000-0000-00001C6F0000}"/>
    <cellStyle name="计算 2 5 10 8" xfId="35" xr:uid="{00000000-0005-0000-0000-000027000000}"/>
    <cellStyle name="计算 2 5 10 8 2" xfId="5121" xr:uid="{00000000-0005-0000-0000-000031140000}"/>
    <cellStyle name="计算 2 5 10 8 2 2" xfId="19837" xr:uid="{00000000-0005-0000-0000-0000AD4D0000}"/>
    <cellStyle name="计算 2 5 10 8 3" xfId="18725" xr:uid="{00000000-0005-0000-0000-000055490000}"/>
    <cellStyle name="计算 2 5 10 8 3 2" xfId="29389" xr:uid="{00000000-0005-0000-0000-0000FD720000}"/>
    <cellStyle name="计算 2 5 10 8 4" xfId="29390" xr:uid="{00000000-0005-0000-0000-0000FE720000}"/>
    <cellStyle name="计算 2 5 10 8 4 2" xfId="29391" xr:uid="{00000000-0005-0000-0000-0000FF720000}"/>
    <cellStyle name="计算 2 5 10 8 5" xfId="29392" xr:uid="{00000000-0005-0000-0000-000000730000}"/>
    <cellStyle name="计算 2 5 10 9" xfId="5132" xr:uid="{00000000-0005-0000-0000-00003C140000}"/>
    <cellStyle name="计算 2 5 10 9 2" xfId="5148" xr:uid="{00000000-0005-0000-0000-00004C140000}"/>
    <cellStyle name="计算 2 5 11" xfId="29393" xr:uid="{00000000-0005-0000-0000-000001730000}"/>
    <cellStyle name="计算 2 5 11 10" xfId="13446" xr:uid="{00000000-0005-0000-0000-0000B6340000}"/>
    <cellStyle name="计算 2 5 11 10 2" xfId="29394" xr:uid="{00000000-0005-0000-0000-000002730000}"/>
    <cellStyle name="计算 2 5 11 11" xfId="25778" xr:uid="{00000000-0005-0000-0000-0000E2640000}"/>
    <cellStyle name="计算 2 5 11 11 2" xfId="1185" xr:uid="{00000000-0005-0000-0000-0000D1040000}"/>
    <cellStyle name="计算 2 5 11 12" xfId="5556" xr:uid="{00000000-0005-0000-0000-0000E4150000}"/>
    <cellStyle name="计算 2 5 11 12 2" xfId="6098" xr:uid="{00000000-0005-0000-0000-000002180000}"/>
    <cellStyle name="计算 2 5 11 13" xfId="6102" xr:uid="{00000000-0005-0000-0000-000006180000}"/>
    <cellStyle name="计算 2 5 11 14" xfId="6112" xr:uid="{00000000-0005-0000-0000-000010180000}"/>
    <cellStyle name="计算 2 5 11 15" xfId="6135" xr:uid="{00000000-0005-0000-0000-000027180000}"/>
    <cellStyle name="计算 2 5 11 16" xfId="28561" xr:uid="{00000000-0005-0000-0000-0000C16F0000}"/>
    <cellStyle name="计算 2 5 11 2" xfId="29397" xr:uid="{00000000-0005-0000-0000-000005730000}"/>
    <cellStyle name="计算 2 5 11 2 2" xfId="27823" xr:uid="{00000000-0005-0000-0000-0000DF6C0000}"/>
    <cellStyle name="计算 2 5 11 2 2 2" xfId="27828" xr:uid="{00000000-0005-0000-0000-0000E46C0000}"/>
    <cellStyle name="计算 2 5 11 2 3" xfId="27190" xr:uid="{00000000-0005-0000-0000-0000666A0000}"/>
    <cellStyle name="计算 2 5 11 2 3 2" xfId="29398" xr:uid="{00000000-0005-0000-0000-000006730000}"/>
    <cellStyle name="计算 2 5 11 2 4" xfId="27832" xr:uid="{00000000-0005-0000-0000-0000E86C0000}"/>
    <cellStyle name="计算 2 5 11 2 4 2" xfId="29401" xr:uid="{00000000-0005-0000-0000-000009730000}"/>
    <cellStyle name="计算 2 5 11 2 5" xfId="27837" xr:uid="{00000000-0005-0000-0000-0000ED6C0000}"/>
    <cellStyle name="计算 2 5 11 2 5 2" xfId="29404" xr:uid="{00000000-0005-0000-0000-00000C730000}"/>
    <cellStyle name="计算 2 5 11 2 6" xfId="24024" xr:uid="{00000000-0005-0000-0000-0000085E0000}"/>
    <cellStyle name="计算 2 5 11 3" xfId="23435" xr:uid="{00000000-0005-0000-0000-0000BB5B0000}"/>
    <cellStyle name="计算 2 5 11 3 2" xfId="29407" xr:uid="{00000000-0005-0000-0000-00000F730000}"/>
    <cellStyle name="计算 2 5 11 3 2 2" xfId="29408" xr:uid="{00000000-0005-0000-0000-000010730000}"/>
    <cellStyle name="计算 2 5 11 3 3" xfId="27198" xr:uid="{00000000-0005-0000-0000-00006E6A0000}"/>
    <cellStyle name="计算 2 5 11 3 3 2" xfId="29409" xr:uid="{00000000-0005-0000-0000-000011730000}"/>
    <cellStyle name="计算 2 5 11 3 4" xfId="29412" xr:uid="{00000000-0005-0000-0000-000014730000}"/>
    <cellStyle name="计算 2 5 11 3 4 2" xfId="29415" xr:uid="{00000000-0005-0000-0000-000017730000}"/>
    <cellStyle name="计算 2 5 11 3 5" xfId="29418" xr:uid="{00000000-0005-0000-0000-00001A730000}"/>
    <cellStyle name="计算 2 5 11 3 5 2" xfId="29420" xr:uid="{00000000-0005-0000-0000-00001C730000}"/>
    <cellStyle name="计算 2 5 11 3 6" xfId="100" xr:uid="{00000000-0005-0000-0000-00006C000000}"/>
    <cellStyle name="计算 2 5 11 4" xfId="29423" xr:uid="{00000000-0005-0000-0000-00001F730000}"/>
    <cellStyle name="计算 2 5 11 4 2" xfId="26221" xr:uid="{00000000-0005-0000-0000-00009D660000}"/>
    <cellStyle name="计算 2 5 11 4 2 2" xfId="17496" xr:uid="{00000000-0005-0000-0000-000088440000}"/>
    <cellStyle name="计算 2 5 11 4 3" xfId="26227" xr:uid="{00000000-0005-0000-0000-0000A3660000}"/>
    <cellStyle name="计算 2 5 11 4 3 2" xfId="17324" xr:uid="{00000000-0005-0000-0000-0000DC430000}"/>
    <cellStyle name="计算 2 5 11 4 4" xfId="26235" xr:uid="{00000000-0005-0000-0000-0000AB660000}"/>
    <cellStyle name="计算 2 5 11 4 4 2" xfId="17528" xr:uid="{00000000-0005-0000-0000-0000A8440000}"/>
    <cellStyle name="计算 2 5 11 4 5" xfId="29424" xr:uid="{00000000-0005-0000-0000-000020730000}"/>
    <cellStyle name="计算 2 5 11 4 5 2" xfId="17547" xr:uid="{00000000-0005-0000-0000-0000BB440000}"/>
    <cellStyle name="计算 2 5 11 4 6" xfId="24033" xr:uid="{00000000-0005-0000-0000-0000115E0000}"/>
    <cellStyle name="计算 2 5 11 5" xfId="29428" xr:uid="{00000000-0005-0000-0000-000024730000}"/>
    <cellStyle name="计算 2 5 11 5 2" xfId="29431" xr:uid="{00000000-0005-0000-0000-000027730000}"/>
    <cellStyle name="计算 2 5 11 5 2 2" xfId="17592" xr:uid="{00000000-0005-0000-0000-0000E8440000}"/>
    <cellStyle name="计算 2 5 11 5 3" xfId="22660" xr:uid="{00000000-0005-0000-0000-0000B4580000}"/>
    <cellStyle name="计算 2 5 11 5 3 2" xfId="29432" xr:uid="{00000000-0005-0000-0000-000028730000}"/>
    <cellStyle name="计算 2 5 11 5 4" xfId="29435" xr:uid="{00000000-0005-0000-0000-00002B730000}"/>
    <cellStyle name="计算 2 5 11 5 4 2" xfId="29436" xr:uid="{00000000-0005-0000-0000-00002C730000}"/>
    <cellStyle name="计算 2 5 11 5 5" xfId="29438" xr:uid="{00000000-0005-0000-0000-00002E730000}"/>
    <cellStyle name="计算 2 5 11 5 5 2" xfId="29439" xr:uid="{00000000-0005-0000-0000-00002F730000}"/>
    <cellStyle name="计算 2 5 11 5 6" xfId="29441" xr:uid="{00000000-0005-0000-0000-000031730000}"/>
    <cellStyle name="计算 2 5 11 6" xfId="29444" xr:uid="{00000000-0005-0000-0000-000034730000}"/>
    <cellStyle name="计算 2 5 11 6 2" xfId="29447" xr:uid="{00000000-0005-0000-0000-000037730000}"/>
    <cellStyle name="计算 2 5 11 6 2 2" xfId="29448" xr:uid="{00000000-0005-0000-0000-000038730000}"/>
    <cellStyle name="计算 2 5 11 6 3" xfId="18757" xr:uid="{00000000-0005-0000-0000-000075490000}"/>
    <cellStyle name="计算 2 5 11 6 3 2" xfId="29449" xr:uid="{00000000-0005-0000-0000-000039730000}"/>
    <cellStyle name="计算 2 5 11 6 4" xfId="29450" xr:uid="{00000000-0005-0000-0000-00003A730000}"/>
    <cellStyle name="计算 2 5 11 6 4 2" xfId="29451" xr:uid="{00000000-0005-0000-0000-00003B730000}"/>
    <cellStyle name="计算 2 5 11 6 5" xfId="29452" xr:uid="{00000000-0005-0000-0000-00003C730000}"/>
    <cellStyle name="计算 2 5 11 6 5 2" xfId="3249" xr:uid="{00000000-0005-0000-0000-0000E10C0000}"/>
    <cellStyle name="计算 2 5 11 6 6" xfId="29453" xr:uid="{00000000-0005-0000-0000-00003D730000}"/>
    <cellStyle name="计算 2 5 11 7" xfId="29455" xr:uid="{00000000-0005-0000-0000-00003F730000}"/>
    <cellStyle name="计算 2 5 11 7 2" xfId="29458" xr:uid="{00000000-0005-0000-0000-000042730000}"/>
    <cellStyle name="计算 2 5 11 7 2 2" xfId="29459" xr:uid="{00000000-0005-0000-0000-000043730000}"/>
    <cellStyle name="计算 2 5 11 7 3" xfId="18769" xr:uid="{00000000-0005-0000-0000-000081490000}"/>
    <cellStyle name="计算 2 5 11 7 3 2" xfId="29460" xr:uid="{00000000-0005-0000-0000-000044730000}"/>
    <cellStyle name="计算 2 5 11 7 4" xfId="29461" xr:uid="{00000000-0005-0000-0000-000045730000}"/>
    <cellStyle name="计算 2 5 11 7 4 2" xfId="29462" xr:uid="{00000000-0005-0000-0000-000046730000}"/>
    <cellStyle name="计算 2 5 11 7 5" xfId="29463" xr:uid="{00000000-0005-0000-0000-000047730000}"/>
    <cellStyle name="计算 2 5 11 7 5 2" xfId="14236" xr:uid="{00000000-0005-0000-0000-0000CC370000}"/>
    <cellStyle name="计算 2 5 11 7 6" xfId="21058" xr:uid="{00000000-0005-0000-0000-000072520000}"/>
    <cellStyle name="计算 2 5 11 8" xfId="29465" xr:uid="{00000000-0005-0000-0000-000049730000}"/>
    <cellStyle name="计算 2 5 11 8 2" xfId="29467" xr:uid="{00000000-0005-0000-0000-00004B730000}"/>
    <cellStyle name="计算 2 5 11 8 2 2" xfId="29468" xr:uid="{00000000-0005-0000-0000-00004C730000}"/>
    <cellStyle name="计算 2 5 11 8 3" xfId="18782" xr:uid="{00000000-0005-0000-0000-00008E490000}"/>
    <cellStyle name="计算 2 5 11 8 3 2" xfId="29469" xr:uid="{00000000-0005-0000-0000-00004D730000}"/>
    <cellStyle name="计算 2 5 11 8 4" xfId="29470" xr:uid="{00000000-0005-0000-0000-00004E730000}"/>
    <cellStyle name="计算 2 5 11 8 4 2" xfId="29471" xr:uid="{00000000-0005-0000-0000-00004F730000}"/>
    <cellStyle name="计算 2 5 11 8 5" xfId="29472" xr:uid="{00000000-0005-0000-0000-000050730000}"/>
    <cellStyle name="计算 2 5 11 9" xfId="29475" xr:uid="{00000000-0005-0000-0000-000053730000}"/>
    <cellStyle name="计算 2 5 11 9 2" xfId="29478" xr:uid="{00000000-0005-0000-0000-000056730000}"/>
    <cellStyle name="计算 2 5 12" xfId="29480" xr:uid="{00000000-0005-0000-0000-000058730000}"/>
    <cellStyle name="计算 2 5 12 2" xfId="29482" xr:uid="{00000000-0005-0000-0000-00005A730000}"/>
    <cellStyle name="计算 2 5 12 2 2" xfId="29483" xr:uid="{00000000-0005-0000-0000-00005B730000}"/>
    <cellStyle name="计算 2 5 12 3" xfId="5208" xr:uid="{00000000-0005-0000-0000-000088140000}"/>
    <cellStyle name="计算 2 5 12 3 2" xfId="29484" xr:uid="{00000000-0005-0000-0000-00005C730000}"/>
    <cellStyle name="计算 2 5 12 4" xfId="29485" xr:uid="{00000000-0005-0000-0000-00005D730000}"/>
    <cellStyle name="计算 2 5 12 4 2" xfId="29486" xr:uid="{00000000-0005-0000-0000-00005E730000}"/>
    <cellStyle name="计算 2 5 12 5" xfId="29489" xr:uid="{00000000-0005-0000-0000-000061730000}"/>
    <cellStyle name="计算 2 5 12 5 2" xfId="29493" xr:uid="{00000000-0005-0000-0000-000065730000}"/>
    <cellStyle name="计算 2 5 12 6" xfId="4262" xr:uid="{00000000-0005-0000-0000-0000D6100000}"/>
    <cellStyle name="计算 2 5 12 7" xfId="29499" xr:uid="{00000000-0005-0000-0000-00006B730000}"/>
    <cellStyle name="计算 2 5 12 8" xfId="29502" xr:uid="{00000000-0005-0000-0000-00006E730000}"/>
    <cellStyle name="计算 2 5 12 9" xfId="29507" xr:uid="{00000000-0005-0000-0000-000073730000}"/>
    <cellStyle name="计算 2 5 13" xfId="29509" xr:uid="{00000000-0005-0000-0000-000075730000}"/>
    <cellStyle name="计算 2 5 13 2" xfId="29511" xr:uid="{00000000-0005-0000-0000-000077730000}"/>
    <cellStyle name="计算 2 5 13 2 2" xfId="29512" xr:uid="{00000000-0005-0000-0000-000078730000}"/>
    <cellStyle name="计算 2 5 13 3" xfId="9602" xr:uid="{00000000-0005-0000-0000-0000B2250000}"/>
    <cellStyle name="计算 2 5 13 3 2" xfId="29513" xr:uid="{00000000-0005-0000-0000-000079730000}"/>
    <cellStyle name="计算 2 5 13 4" xfId="27235" xr:uid="{00000000-0005-0000-0000-0000936A0000}"/>
    <cellStyle name="计算 2 5 13 4 2" xfId="29515" xr:uid="{00000000-0005-0000-0000-00007B730000}"/>
    <cellStyle name="计算 2 5 13 5" xfId="29517" xr:uid="{00000000-0005-0000-0000-00007D730000}"/>
    <cellStyle name="计算 2 5 13 5 2" xfId="29521" xr:uid="{00000000-0005-0000-0000-000081730000}"/>
    <cellStyle name="计算 2 5 13 6" xfId="3726" xr:uid="{00000000-0005-0000-0000-0000BE0E0000}"/>
    <cellStyle name="计算 2 5 14" xfId="29522" xr:uid="{00000000-0005-0000-0000-000082730000}"/>
    <cellStyle name="计算 2 5 14 2" xfId="29524" xr:uid="{00000000-0005-0000-0000-000084730000}"/>
    <cellStyle name="计算 2 5 14 2 2" xfId="29525" xr:uid="{00000000-0005-0000-0000-000085730000}"/>
    <cellStyle name="计算 2 5 14 3" xfId="9619" xr:uid="{00000000-0005-0000-0000-0000C3250000}"/>
    <cellStyle name="计算 2 5 14 3 2" xfId="29526" xr:uid="{00000000-0005-0000-0000-000086730000}"/>
    <cellStyle name="计算 2 5 14 4" xfId="27238" xr:uid="{00000000-0005-0000-0000-0000966A0000}"/>
    <cellStyle name="计算 2 5 14 4 2" xfId="29528" xr:uid="{00000000-0005-0000-0000-000088730000}"/>
    <cellStyle name="计算 2 5 14 5" xfId="29530" xr:uid="{00000000-0005-0000-0000-00008A730000}"/>
    <cellStyle name="计算 2 5 14 5 2" xfId="29533" xr:uid="{00000000-0005-0000-0000-00008D730000}"/>
    <cellStyle name="计算 2 5 14 6" xfId="4080" xr:uid="{00000000-0005-0000-0000-000020100000}"/>
    <cellStyle name="计算 2 5 15" xfId="29534" xr:uid="{00000000-0005-0000-0000-00008E730000}"/>
    <cellStyle name="计算 2 5 15 2" xfId="29538" xr:uid="{00000000-0005-0000-0000-000092730000}"/>
    <cellStyle name="计算 2 5 15 2 2" xfId="29541" xr:uid="{00000000-0005-0000-0000-000095730000}"/>
    <cellStyle name="计算 2 5 15 3" xfId="9634" xr:uid="{00000000-0005-0000-0000-0000D2250000}"/>
    <cellStyle name="计算 2 5 15 3 2" xfId="29542" xr:uid="{00000000-0005-0000-0000-000096730000}"/>
    <cellStyle name="计算 2 5 15 4" xfId="13592" xr:uid="{00000000-0005-0000-0000-000048350000}"/>
    <cellStyle name="计算 2 5 15 4 2" xfId="29543" xr:uid="{00000000-0005-0000-0000-000097730000}"/>
    <cellStyle name="计算 2 5 15 5" xfId="29545" xr:uid="{00000000-0005-0000-0000-000099730000}"/>
    <cellStyle name="计算 2 5 15 5 2" xfId="29548" xr:uid="{00000000-0005-0000-0000-00009C730000}"/>
    <cellStyle name="计算 2 5 15 6" xfId="2499" xr:uid="{00000000-0005-0000-0000-0000F3090000}"/>
    <cellStyle name="计算 2 5 16" xfId="29550" xr:uid="{00000000-0005-0000-0000-00009E730000}"/>
    <cellStyle name="计算 2 5 16 2" xfId="29553" xr:uid="{00000000-0005-0000-0000-0000A1730000}"/>
    <cellStyle name="计算 2 5 16 2 2" xfId="29557" xr:uid="{00000000-0005-0000-0000-0000A5730000}"/>
    <cellStyle name="计算 2 5 16 3" xfId="29558" xr:uid="{00000000-0005-0000-0000-0000A6730000}"/>
    <cellStyle name="计算 2 5 16 3 2" xfId="29560" xr:uid="{00000000-0005-0000-0000-0000A8730000}"/>
    <cellStyle name="计算 2 5 16 4" xfId="13599" xr:uid="{00000000-0005-0000-0000-00004F350000}"/>
    <cellStyle name="计算 2 5 16 4 2" xfId="29562" xr:uid="{00000000-0005-0000-0000-0000AA730000}"/>
    <cellStyle name="计算 2 5 16 5" xfId="29564" xr:uid="{00000000-0005-0000-0000-0000AC730000}"/>
    <cellStyle name="计算 2 5 16 5 2" xfId="29567" xr:uid="{00000000-0005-0000-0000-0000AF730000}"/>
    <cellStyle name="计算 2 5 16 6" xfId="29569" xr:uid="{00000000-0005-0000-0000-0000B1730000}"/>
    <cellStyle name="计算 2 5 17" xfId="29571" xr:uid="{00000000-0005-0000-0000-0000B3730000}"/>
    <cellStyle name="计算 2 5 17 2" xfId="29574" xr:uid="{00000000-0005-0000-0000-0000B6730000}"/>
    <cellStyle name="计算 2 5 17 2 2" xfId="29578" xr:uid="{00000000-0005-0000-0000-0000BA730000}"/>
    <cellStyle name="计算 2 5 17 3" xfId="29579" xr:uid="{00000000-0005-0000-0000-0000BB730000}"/>
    <cellStyle name="计算 2 5 17 3 2" xfId="29581" xr:uid="{00000000-0005-0000-0000-0000BD730000}"/>
    <cellStyle name="计算 2 5 17 4" xfId="29582" xr:uid="{00000000-0005-0000-0000-0000BE730000}"/>
    <cellStyle name="计算 2 5 17 4 2" xfId="29584" xr:uid="{00000000-0005-0000-0000-0000C0730000}"/>
    <cellStyle name="计算 2 5 17 5" xfId="29586" xr:uid="{00000000-0005-0000-0000-0000C2730000}"/>
    <cellStyle name="计算 2 5 17 5 2" xfId="29590" xr:uid="{00000000-0005-0000-0000-0000C6730000}"/>
    <cellStyle name="计算 2 5 17 6" xfId="29593" xr:uid="{00000000-0005-0000-0000-0000C9730000}"/>
    <cellStyle name="计算 2 5 18" xfId="29596" xr:uid="{00000000-0005-0000-0000-0000CC730000}"/>
    <cellStyle name="计算 2 5 18 2" xfId="29599" xr:uid="{00000000-0005-0000-0000-0000CF730000}"/>
    <cellStyle name="计算 2 5 18 2 2" xfId="29602" xr:uid="{00000000-0005-0000-0000-0000D2730000}"/>
    <cellStyle name="计算 2 5 18 3" xfId="29605" xr:uid="{00000000-0005-0000-0000-0000D5730000}"/>
    <cellStyle name="计算 2 5 18 3 2" xfId="29607" xr:uid="{00000000-0005-0000-0000-0000D7730000}"/>
    <cellStyle name="计算 2 5 18 4" xfId="29610" xr:uid="{00000000-0005-0000-0000-0000DA730000}"/>
    <cellStyle name="计算 2 5 18 4 2" xfId="29612" xr:uid="{00000000-0005-0000-0000-0000DC730000}"/>
    <cellStyle name="计算 2 5 18 5" xfId="29615" xr:uid="{00000000-0005-0000-0000-0000DF730000}"/>
    <cellStyle name="计算 2 5 18 5 2" xfId="29618" xr:uid="{00000000-0005-0000-0000-0000E2730000}"/>
    <cellStyle name="计算 2 5 18 6" xfId="29620" xr:uid="{00000000-0005-0000-0000-0000E4730000}"/>
    <cellStyle name="计算 2 5 19" xfId="24352" xr:uid="{00000000-0005-0000-0000-0000505F0000}"/>
    <cellStyle name="计算 2 5 19 2" xfId="29622" xr:uid="{00000000-0005-0000-0000-0000E6730000}"/>
    <cellStyle name="计算 2 5 19 2 2" xfId="29626" xr:uid="{00000000-0005-0000-0000-0000EA730000}"/>
    <cellStyle name="计算 2 5 19 3" xfId="29629" xr:uid="{00000000-0005-0000-0000-0000ED730000}"/>
    <cellStyle name="计算 2 5 19 3 2" xfId="29632" xr:uid="{00000000-0005-0000-0000-0000F0730000}"/>
    <cellStyle name="计算 2 5 19 4" xfId="29636" xr:uid="{00000000-0005-0000-0000-0000F4730000}"/>
    <cellStyle name="计算 2 5 19 4 2" xfId="29639" xr:uid="{00000000-0005-0000-0000-0000F7730000}"/>
    <cellStyle name="计算 2 5 19 5" xfId="29641" xr:uid="{00000000-0005-0000-0000-0000F9730000}"/>
    <cellStyle name="计算 2 5 2" xfId="18723" xr:uid="{00000000-0005-0000-0000-000053490000}"/>
    <cellStyle name="计算 2 5 2 10" xfId="10359" xr:uid="{00000000-0005-0000-0000-0000A7280000}"/>
    <cellStyle name="计算 2 5 2 10 2" xfId="5790" xr:uid="{00000000-0005-0000-0000-0000CE160000}"/>
    <cellStyle name="计算 2 5 2 11" xfId="27313" xr:uid="{00000000-0005-0000-0000-0000E16A0000}"/>
    <cellStyle name="计算 2 5 2 11 2" xfId="5808" xr:uid="{00000000-0005-0000-0000-0000E0160000}"/>
    <cellStyle name="计算 2 5 2 12" xfId="29643" xr:uid="{00000000-0005-0000-0000-0000FB730000}"/>
    <cellStyle name="计算 2 5 2 12 2" xfId="3187" xr:uid="{00000000-0005-0000-0000-0000A30C0000}"/>
    <cellStyle name="计算 2 5 2 13" xfId="29644" xr:uid="{00000000-0005-0000-0000-0000FC730000}"/>
    <cellStyle name="计算 2 5 2 14" xfId="29645" xr:uid="{00000000-0005-0000-0000-0000FD730000}"/>
    <cellStyle name="计算 2 5 2 15" xfId="11222" xr:uid="{00000000-0005-0000-0000-0000062C0000}"/>
    <cellStyle name="计算 2 5 2 16" xfId="29646" xr:uid="{00000000-0005-0000-0000-0000FE730000}"/>
    <cellStyle name="计算 2 5 2 2" xfId="18729" xr:uid="{00000000-0005-0000-0000-000059490000}"/>
    <cellStyle name="计算 2 5 2 2 2" xfId="29647" xr:uid="{00000000-0005-0000-0000-0000FF730000}"/>
    <cellStyle name="计算 2 5 2 2 2 2" xfId="7477" xr:uid="{00000000-0005-0000-0000-0000651D0000}"/>
    <cellStyle name="计算 2 5 2 2 3" xfId="22758" xr:uid="{00000000-0005-0000-0000-000016590000}"/>
    <cellStyle name="计算 2 5 2 2 3 2" xfId="8371" xr:uid="{00000000-0005-0000-0000-0000E3200000}"/>
    <cellStyle name="计算 2 5 2 2 4" xfId="29650" xr:uid="{00000000-0005-0000-0000-000002740000}"/>
    <cellStyle name="计算 2 5 2 2 4 2" xfId="8424" xr:uid="{00000000-0005-0000-0000-000018210000}"/>
    <cellStyle name="计算 2 5 2 2 5" xfId="29652" xr:uid="{00000000-0005-0000-0000-000004740000}"/>
    <cellStyle name="计算 2 5 2 2 5 2" xfId="8475" xr:uid="{00000000-0005-0000-0000-00004B210000}"/>
    <cellStyle name="计算 2 5 2 2 6" xfId="29654" xr:uid="{00000000-0005-0000-0000-000006740000}"/>
    <cellStyle name="计算 2 5 2 2 7" xfId="29657" xr:uid="{00000000-0005-0000-0000-000009740000}"/>
    <cellStyle name="计算 2 5 2 2 8" xfId="29658" xr:uid="{00000000-0005-0000-0000-00000A740000}"/>
    <cellStyle name="计算 2 5 2 2 9" xfId="29659" xr:uid="{00000000-0005-0000-0000-00000B740000}"/>
    <cellStyle name="计算 2 5 2 3" xfId="29660" xr:uid="{00000000-0005-0000-0000-00000C740000}"/>
    <cellStyle name="计算 2 5 2 3 2" xfId="29663" xr:uid="{00000000-0005-0000-0000-00000F740000}"/>
    <cellStyle name="计算 2 5 2 3 2 2" xfId="7545" xr:uid="{00000000-0005-0000-0000-0000A91D0000}"/>
    <cellStyle name="计算 2 5 2 3 3" xfId="22769" xr:uid="{00000000-0005-0000-0000-000021590000}"/>
    <cellStyle name="计算 2 5 2 3 3 2" xfId="8645" xr:uid="{00000000-0005-0000-0000-0000F5210000}"/>
    <cellStyle name="计算 2 5 2 3 4" xfId="29666" xr:uid="{00000000-0005-0000-0000-000012740000}"/>
    <cellStyle name="计算 2 5 2 3 4 2" xfId="8682" xr:uid="{00000000-0005-0000-0000-00001A220000}"/>
    <cellStyle name="计算 2 5 2 3 5" xfId="29669" xr:uid="{00000000-0005-0000-0000-000015740000}"/>
    <cellStyle name="计算 2 5 2 3 5 2" xfId="8706" xr:uid="{00000000-0005-0000-0000-000032220000}"/>
    <cellStyle name="计算 2 5 2 3 6" xfId="29672" xr:uid="{00000000-0005-0000-0000-000018740000}"/>
    <cellStyle name="计算 2 5 2 4" xfId="29676" xr:uid="{00000000-0005-0000-0000-00001C740000}"/>
    <cellStyle name="计算 2 5 2 4 2" xfId="29678" xr:uid="{00000000-0005-0000-0000-00001E740000}"/>
    <cellStyle name="计算 2 5 2 4 2 2" xfId="3483" xr:uid="{00000000-0005-0000-0000-0000CB0D0000}"/>
    <cellStyle name="计算 2 5 2 4 3" xfId="22781" xr:uid="{00000000-0005-0000-0000-00002D590000}"/>
    <cellStyle name="计算 2 5 2 4 3 2" xfId="235" xr:uid="{00000000-0005-0000-0000-000000010000}"/>
    <cellStyle name="计算 2 5 2 4 4" xfId="29680" xr:uid="{00000000-0005-0000-0000-000020740000}"/>
    <cellStyle name="计算 2 5 2 4 4 2" xfId="8791" xr:uid="{00000000-0005-0000-0000-000087220000}"/>
    <cellStyle name="计算 2 5 2 4 5" xfId="29682" xr:uid="{00000000-0005-0000-0000-000022740000}"/>
    <cellStyle name="计算 2 5 2 4 5 2" xfId="8807" xr:uid="{00000000-0005-0000-0000-000097220000}"/>
    <cellStyle name="计算 2 5 2 4 6" xfId="29685" xr:uid="{00000000-0005-0000-0000-000025740000}"/>
    <cellStyle name="计算 2 5 2 5" xfId="29688" xr:uid="{00000000-0005-0000-0000-000028740000}"/>
    <cellStyle name="计算 2 5 2 5 2" xfId="29690" xr:uid="{00000000-0005-0000-0000-00002A740000}"/>
    <cellStyle name="计算 2 5 2 5 2 2" xfId="7670" xr:uid="{00000000-0005-0000-0000-0000261E0000}"/>
    <cellStyle name="计算 2 5 2 5 3" xfId="22793" xr:uid="{00000000-0005-0000-0000-000039590000}"/>
    <cellStyle name="计算 2 5 2 5 3 2" xfId="9056" xr:uid="{00000000-0005-0000-0000-000090230000}"/>
    <cellStyle name="计算 2 5 2 5 4" xfId="29692" xr:uid="{00000000-0005-0000-0000-00002C740000}"/>
    <cellStyle name="计算 2 5 2 5 4 2" xfId="9114" xr:uid="{00000000-0005-0000-0000-0000CA230000}"/>
    <cellStyle name="计算 2 5 2 5 5" xfId="29694" xr:uid="{00000000-0005-0000-0000-00002E740000}"/>
    <cellStyle name="计算 2 5 2 5 5 2" xfId="9162" xr:uid="{00000000-0005-0000-0000-0000FA230000}"/>
    <cellStyle name="计算 2 5 2 5 6" xfId="29697" xr:uid="{00000000-0005-0000-0000-000031740000}"/>
    <cellStyle name="计算 2 5 2 6" xfId="29702" xr:uid="{00000000-0005-0000-0000-000036740000}"/>
    <cellStyle name="计算 2 5 2 6 2" xfId="29705" xr:uid="{00000000-0005-0000-0000-000039740000}"/>
    <cellStyle name="计算 2 5 2 6 2 2" xfId="9281" xr:uid="{00000000-0005-0000-0000-000071240000}"/>
    <cellStyle name="计算 2 5 2 6 3" xfId="29708" xr:uid="{00000000-0005-0000-0000-00003C740000}"/>
    <cellStyle name="计算 2 5 2 6 3 2" xfId="9303" xr:uid="{00000000-0005-0000-0000-000087240000}"/>
    <cellStyle name="计算 2 5 2 6 4" xfId="29710" xr:uid="{00000000-0005-0000-0000-00003E740000}"/>
    <cellStyle name="计算 2 5 2 6 4 2" xfId="9327" xr:uid="{00000000-0005-0000-0000-00009F240000}"/>
    <cellStyle name="计算 2 5 2 6 5" xfId="29713" xr:uid="{00000000-0005-0000-0000-000041740000}"/>
    <cellStyle name="计算 2 5 2 6 5 2" xfId="9349" xr:uid="{00000000-0005-0000-0000-0000B5240000}"/>
    <cellStyle name="计算 2 5 2 6 6" xfId="19163" xr:uid="{00000000-0005-0000-0000-00000B4B0000}"/>
    <cellStyle name="计算 2 5 2 7" xfId="29716" xr:uid="{00000000-0005-0000-0000-000044740000}"/>
    <cellStyle name="计算 2 5 2 7 2" xfId="29719" xr:uid="{00000000-0005-0000-0000-000047740000}"/>
    <cellStyle name="计算 2 5 2 7 2 2" xfId="29723" xr:uid="{00000000-0005-0000-0000-00004B740000}"/>
    <cellStyle name="计算 2 5 2 7 3" xfId="29726" xr:uid="{00000000-0005-0000-0000-00004E740000}"/>
    <cellStyle name="计算 2 5 2 7 3 2" xfId="29730" xr:uid="{00000000-0005-0000-0000-000052740000}"/>
    <cellStyle name="计算 2 5 2 7 4" xfId="29734" xr:uid="{00000000-0005-0000-0000-000056740000}"/>
    <cellStyle name="计算 2 5 2 7 4 2" xfId="29738" xr:uid="{00000000-0005-0000-0000-00005A740000}"/>
    <cellStyle name="计算 2 5 2 7 5" xfId="29742" xr:uid="{00000000-0005-0000-0000-00005E740000}"/>
    <cellStyle name="计算 2 5 2 7 5 2" xfId="29746" xr:uid="{00000000-0005-0000-0000-000062740000}"/>
    <cellStyle name="计算 2 5 2 7 6" xfId="18563" xr:uid="{00000000-0005-0000-0000-0000B3480000}"/>
    <cellStyle name="计算 2 5 2 8" xfId="29748" xr:uid="{00000000-0005-0000-0000-000064740000}"/>
    <cellStyle name="计算 2 5 2 8 2" xfId="29752" xr:uid="{00000000-0005-0000-0000-000068740000}"/>
    <cellStyle name="计算 2 5 2 8 2 2" xfId="29756" xr:uid="{00000000-0005-0000-0000-00006C740000}"/>
    <cellStyle name="计算 2 5 2 8 3" xfId="29759" xr:uid="{00000000-0005-0000-0000-00006F740000}"/>
    <cellStyle name="计算 2 5 2 8 3 2" xfId="29762" xr:uid="{00000000-0005-0000-0000-000072740000}"/>
    <cellStyle name="计算 2 5 2 8 4" xfId="29768" xr:uid="{00000000-0005-0000-0000-000078740000}"/>
    <cellStyle name="计算 2 5 2 8 4 2" xfId="29770" xr:uid="{00000000-0005-0000-0000-00007A740000}"/>
    <cellStyle name="计算 2 5 2 8 5" xfId="29774" xr:uid="{00000000-0005-0000-0000-00007E740000}"/>
    <cellStyle name="计算 2 5 2 9" xfId="29777" xr:uid="{00000000-0005-0000-0000-000081740000}"/>
    <cellStyle name="计算 2 5 2 9 2" xfId="29779" xr:uid="{00000000-0005-0000-0000-000083740000}"/>
    <cellStyle name="计算 2 5 20" xfId="29535" xr:uid="{00000000-0005-0000-0000-00008F730000}"/>
    <cellStyle name="计算 2 5 20 2" xfId="29539" xr:uid="{00000000-0005-0000-0000-000093730000}"/>
    <cellStyle name="计算 2 5 21" xfId="29551" xr:uid="{00000000-0005-0000-0000-00009F730000}"/>
    <cellStyle name="计算 2 5 21 2" xfId="29554" xr:uid="{00000000-0005-0000-0000-0000A2730000}"/>
    <cellStyle name="计算 2 5 22" xfId="29572" xr:uid="{00000000-0005-0000-0000-0000B4730000}"/>
    <cellStyle name="计算 2 5 22 2" xfId="29575" xr:uid="{00000000-0005-0000-0000-0000B7730000}"/>
    <cellStyle name="计算 2 5 23" xfId="29597" xr:uid="{00000000-0005-0000-0000-0000CD730000}"/>
    <cellStyle name="计算 2 5 23 2" xfId="29600" xr:uid="{00000000-0005-0000-0000-0000D0730000}"/>
    <cellStyle name="计算 2 5 24" xfId="24353" xr:uid="{00000000-0005-0000-0000-0000515F0000}"/>
    <cellStyle name="计算 2 5 25" xfId="29782" xr:uid="{00000000-0005-0000-0000-000086740000}"/>
    <cellStyle name="计算 2 5 26" xfId="29783" xr:uid="{00000000-0005-0000-0000-000087740000}"/>
    <cellStyle name="计算 2 5 27" xfId="29784" xr:uid="{00000000-0005-0000-0000-000088740000}"/>
    <cellStyle name="计算 2 5 3" xfId="10729" xr:uid="{00000000-0005-0000-0000-0000192A0000}"/>
    <cellStyle name="计算 2 5 3 10" xfId="29788" xr:uid="{00000000-0005-0000-0000-00008C740000}"/>
    <cellStyle name="计算 2 5 3 10 2" xfId="9202" xr:uid="{00000000-0005-0000-0000-000022240000}"/>
    <cellStyle name="计算 2 5 3 11" xfId="29793" xr:uid="{00000000-0005-0000-0000-000091740000}"/>
    <cellStyle name="计算 2 5 3 11 2" xfId="86" xr:uid="{00000000-0005-0000-0000-00005D000000}"/>
    <cellStyle name="计算 2 5 3 12" xfId="29796" xr:uid="{00000000-0005-0000-0000-000094740000}"/>
    <cellStyle name="计算 2 5 3 12 2" xfId="2303" xr:uid="{00000000-0005-0000-0000-00002F090000}"/>
    <cellStyle name="计算 2 5 3 13" xfId="29798" xr:uid="{00000000-0005-0000-0000-000096740000}"/>
    <cellStyle name="计算 2 5 3 14" xfId="29800" xr:uid="{00000000-0005-0000-0000-000098740000}"/>
    <cellStyle name="计算 2 5 3 15" xfId="29802" xr:uid="{00000000-0005-0000-0000-00009A740000}"/>
    <cellStyle name="计算 2 5 3 16" xfId="29804" xr:uid="{00000000-0005-0000-0000-00009C740000}"/>
    <cellStyle name="计算 2 5 3 2" xfId="29805" xr:uid="{00000000-0005-0000-0000-00009D740000}"/>
    <cellStyle name="计算 2 5 3 2 2" xfId="29809" xr:uid="{00000000-0005-0000-0000-0000A1740000}"/>
    <cellStyle name="计算 2 5 3 2 2 2" xfId="7828" xr:uid="{00000000-0005-0000-0000-0000C41E0000}"/>
    <cellStyle name="计算 2 5 3 2 3" xfId="22805" xr:uid="{00000000-0005-0000-0000-000045590000}"/>
    <cellStyle name="计算 2 5 3 2 3 2" xfId="10744" xr:uid="{00000000-0005-0000-0000-0000282A0000}"/>
    <cellStyle name="计算 2 5 3 2 4" xfId="29813" xr:uid="{00000000-0005-0000-0000-0000A5740000}"/>
    <cellStyle name="计算 2 5 3 2 4 2" xfId="10802" xr:uid="{00000000-0005-0000-0000-0000622A0000}"/>
    <cellStyle name="计算 2 5 3 2 5" xfId="29815" xr:uid="{00000000-0005-0000-0000-0000A7740000}"/>
    <cellStyle name="计算 2 5 3 2 5 2" xfId="10842" xr:uid="{00000000-0005-0000-0000-00008A2A0000}"/>
    <cellStyle name="计算 2 5 3 2 6" xfId="29817" xr:uid="{00000000-0005-0000-0000-0000A9740000}"/>
    <cellStyle name="计算 2 5 3 2 7" xfId="29820" xr:uid="{00000000-0005-0000-0000-0000AC740000}"/>
    <cellStyle name="计算 2 5 3 2 8" xfId="29821" xr:uid="{00000000-0005-0000-0000-0000AD740000}"/>
    <cellStyle name="计算 2 5 3 2 9" xfId="259" xr:uid="{00000000-0005-0000-0000-00001C010000}"/>
    <cellStyle name="计算 2 5 3 3" xfId="29822" xr:uid="{00000000-0005-0000-0000-0000AE740000}"/>
    <cellStyle name="计算 2 5 3 3 2" xfId="29825" xr:uid="{00000000-0005-0000-0000-0000B1740000}"/>
    <cellStyle name="计算 2 5 3 3 2 2" xfId="6455" xr:uid="{00000000-0005-0000-0000-000067190000}"/>
    <cellStyle name="计算 2 5 3 3 3" xfId="22815" xr:uid="{00000000-0005-0000-0000-00004F590000}"/>
    <cellStyle name="计算 2 5 3 3 3 2" xfId="94" xr:uid="{00000000-0005-0000-0000-000065000000}"/>
    <cellStyle name="计算 2 5 3 3 4" xfId="29829" xr:uid="{00000000-0005-0000-0000-0000B5740000}"/>
    <cellStyle name="计算 2 5 3 3 4 2" xfId="2297" xr:uid="{00000000-0005-0000-0000-000029090000}"/>
    <cellStyle name="计算 2 5 3 3 5" xfId="29832" xr:uid="{00000000-0005-0000-0000-0000B8740000}"/>
    <cellStyle name="计算 2 5 3 3 5 2" xfId="2825" xr:uid="{00000000-0005-0000-0000-0000390B0000}"/>
    <cellStyle name="计算 2 5 3 3 6" xfId="29835" xr:uid="{00000000-0005-0000-0000-0000BB740000}"/>
    <cellStyle name="计算 2 5 3 4" xfId="29840" xr:uid="{00000000-0005-0000-0000-0000C0740000}"/>
    <cellStyle name="计算 2 5 3 4 2" xfId="29842" xr:uid="{00000000-0005-0000-0000-0000C2740000}"/>
    <cellStyle name="计算 2 5 3 4 2 2" xfId="6857" xr:uid="{00000000-0005-0000-0000-0000F91A0000}"/>
    <cellStyle name="计算 2 5 3 4 3" xfId="22827" xr:uid="{00000000-0005-0000-0000-00005B590000}"/>
    <cellStyle name="计算 2 5 3 4 3 2" xfId="1762" xr:uid="{00000000-0005-0000-0000-000012070000}"/>
    <cellStyle name="计算 2 5 3 4 4" xfId="29846" xr:uid="{00000000-0005-0000-0000-0000C6740000}"/>
    <cellStyle name="计算 2 5 3 4 4 2" xfId="10997" xr:uid="{00000000-0005-0000-0000-0000252B0000}"/>
    <cellStyle name="计算 2 5 3 4 5" xfId="29849" xr:uid="{00000000-0005-0000-0000-0000C9740000}"/>
    <cellStyle name="计算 2 5 3 4 5 2" xfId="11009" xr:uid="{00000000-0005-0000-0000-0000312B0000}"/>
    <cellStyle name="计算 2 5 3 4 6" xfId="29853" xr:uid="{00000000-0005-0000-0000-0000CD740000}"/>
    <cellStyle name="计算 2 5 3 5" xfId="29857" xr:uid="{00000000-0005-0000-0000-0000D1740000}"/>
    <cellStyle name="计算 2 5 3 5 2" xfId="25171" xr:uid="{00000000-0005-0000-0000-000083620000}"/>
    <cellStyle name="计算 2 5 3 5 2 2" xfId="7932" xr:uid="{00000000-0005-0000-0000-00002C1F0000}"/>
    <cellStyle name="计算 2 5 3 5 3" xfId="22837" xr:uid="{00000000-0005-0000-0000-000065590000}"/>
    <cellStyle name="计算 2 5 3 5 3 2" xfId="11193" xr:uid="{00000000-0005-0000-0000-0000E92B0000}"/>
    <cellStyle name="计算 2 5 3 5 4" xfId="25807" xr:uid="{00000000-0005-0000-0000-0000FF640000}"/>
    <cellStyle name="计算 2 5 3 5 4 2" xfId="11210" xr:uid="{00000000-0005-0000-0000-0000FA2B0000}"/>
    <cellStyle name="计算 2 5 3 5 5" xfId="25810" xr:uid="{00000000-0005-0000-0000-000002650000}"/>
    <cellStyle name="计算 2 5 3 5 5 2" xfId="11220" xr:uid="{00000000-0005-0000-0000-0000042C0000}"/>
    <cellStyle name="计算 2 5 3 5 6" xfId="1213" xr:uid="{00000000-0005-0000-0000-0000ED040000}"/>
    <cellStyle name="计算 2 5 3 6" xfId="29860" xr:uid="{00000000-0005-0000-0000-0000D4740000}"/>
    <cellStyle name="计算 2 5 3 6 2" xfId="1064" xr:uid="{00000000-0005-0000-0000-000058040000}"/>
    <cellStyle name="计算 2 5 3 6 2 2" xfId="11405" xr:uid="{00000000-0005-0000-0000-0000BD2C0000}"/>
    <cellStyle name="计算 2 5 3 6 3" xfId="1087" xr:uid="{00000000-0005-0000-0000-00006F040000}"/>
    <cellStyle name="计算 2 5 3 6 3 2" xfId="11446" xr:uid="{00000000-0005-0000-0000-0000E62C0000}"/>
    <cellStyle name="计算 2 5 3 6 4" xfId="2160" xr:uid="{00000000-0005-0000-0000-0000A0080000}"/>
    <cellStyle name="计算 2 5 3 6 4 2" xfId="11465" xr:uid="{00000000-0005-0000-0000-0000F92C0000}"/>
    <cellStyle name="计算 2 5 3 6 5" xfId="2182" xr:uid="{00000000-0005-0000-0000-0000B6080000}"/>
    <cellStyle name="计算 2 5 3 6 5 2" xfId="11482" xr:uid="{00000000-0005-0000-0000-00000A2D0000}"/>
    <cellStyle name="计算 2 5 3 6 6" xfId="2192" xr:uid="{00000000-0005-0000-0000-0000C0080000}"/>
    <cellStyle name="计算 2 5 3 7" xfId="24921" xr:uid="{00000000-0005-0000-0000-000089610000}"/>
    <cellStyle name="计算 2 5 3 7 2" xfId="25181" xr:uid="{00000000-0005-0000-0000-00008D620000}"/>
    <cellStyle name="计算 2 5 3 7 2 2" xfId="12631" xr:uid="{00000000-0005-0000-0000-000087310000}"/>
    <cellStyle name="计算 2 5 3 7 3" xfId="25820" xr:uid="{00000000-0005-0000-0000-00000C650000}"/>
    <cellStyle name="计算 2 5 3 7 3 2" xfId="12671" xr:uid="{00000000-0005-0000-0000-0000AF310000}"/>
    <cellStyle name="计算 2 5 3 7 4" xfId="12571" xr:uid="{00000000-0005-0000-0000-00004B310000}"/>
    <cellStyle name="计算 2 5 3 7 4 2" xfId="12710" xr:uid="{00000000-0005-0000-0000-0000D6310000}"/>
    <cellStyle name="计算 2 5 3 7 5" xfId="29863" xr:uid="{00000000-0005-0000-0000-0000D7740000}"/>
    <cellStyle name="计算 2 5 3 7 5 2" xfId="12743" xr:uid="{00000000-0005-0000-0000-0000F7310000}"/>
    <cellStyle name="计算 2 5 3 7 6" xfId="18578" xr:uid="{00000000-0005-0000-0000-0000C2480000}"/>
    <cellStyle name="计算 2 5 3 8" xfId="29867" xr:uid="{00000000-0005-0000-0000-0000DB740000}"/>
    <cellStyle name="计算 2 5 3 8 2" xfId="25193" xr:uid="{00000000-0005-0000-0000-000099620000}"/>
    <cellStyle name="计算 2 5 3 8 2 2" xfId="15733" xr:uid="{00000000-0005-0000-0000-0000A53D0000}"/>
    <cellStyle name="计算 2 5 3 8 3" xfId="25831" xr:uid="{00000000-0005-0000-0000-000017650000}"/>
    <cellStyle name="计算 2 5 3 8 3 2" xfId="15773" xr:uid="{00000000-0005-0000-0000-0000CD3D0000}"/>
    <cellStyle name="计算 2 5 3 8 4" xfId="15512" xr:uid="{00000000-0005-0000-0000-0000C83C0000}"/>
    <cellStyle name="计算 2 5 3 8 4 2" xfId="15822" xr:uid="{00000000-0005-0000-0000-0000FE3D0000}"/>
    <cellStyle name="计算 2 5 3 8 5" xfId="29871" xr:uid="{00000000-0005-0000-0000-0000DF740000}"/>
    <cellStyle name="计算 2 5 3 9" xfId="29874" xr:uid="{00000000-0005-0000-0000-0000E2740000}"/>
    <cellStyle name="计算 2 5 3 9 2" xfId="25864" xr:uid="{00000000-0005-0000-0000-000038650000}"/>
    <cellStyle name="计算 2 5 4" xfId="18735" xr:uid="{00000000-0005-0000-0000-00005F490000}"/>
    <cellStyle name="计算 2 5 4 10" xfId="22400" xr:uid="{00000000-0005-0000-0000-0000B0570000}"/>
    <cellStyle name="计算 2 5 4 10 2" xfId="29876" xr:uid="{00000000-0005-0000-0000-0000E4740000}"/>
    <cellStyle name="计算 2 5 4 11" xfId="29877" xr:uid="{00000000-0005-0000-0000-0000E5740000}"/>
    <cellStyle name="计算 2 5 4 11 2" xfId="29879" xr:uid="{00000000-0005-0000-0000-0000E7740000}"/>
    <cellStyle name="计算 2 5 4 12" xfId="29880" xr:uid="{00000000-0005-0000-0000-0000E8740000}"/>
    <cellStyle name="计算 2 5 4 12 2" xfId="29881" xr:uid="{00000000-0005-0000-0000-0000E9740000}"/>
    <cellStyle name="计算 2 5 4 13" xfId="29883" xr:uid="{00000000-0005-0000-0000-0000EB740000}"/>
    <cellStyle name="计算 2 5 4 14" xfId="29884" xr:uid="{00000000-0005-0000-0000-0000EC740000}"/>
    <cellStyle name="计算 2 5 4 15" xfId="29885" xr:uid="{00000000-0005-0000-0000-0000ED740000}"/>
    <cellStyle name="计算 2 5 4 16" xfId="29886" xr:uid="{00000000-0005-0000-0000-0000EE740000}"/>
    <cellStyle name="计算 2 5 4 2" xfId="29887" xr:uid="{00000000-0005-0000-0000-0000EF740000}"/>
    <cellStyle name="计算 2 5 4 2 2" xfId="29891" xr:uid="{00000000-0005-0000-0000-0000F3740000}"/>
    <cellStyle name="计算 2 5 4 2 2 2" xfId="29895" xr:uid="{00000000-0005-0000-0000-0000F7740000}"/>
    <cellStyle name="计算 2 5 4 2 3" xfId="22854" xr:uid="{00000000-0005-0000-0000-000076590000}"/>
    <cellStyle name="计算 2 5 4 2 3 2" xfId="29898" xr:uid="{00000000-0005-0000-0000-0000FA740000}"/>
    <cellStyle name="计算 2 5 4 2 4" xfId="29901" xr:uid="{00000000-0005-0000-0000-0000FD740000}"/>
    <cellStyle name="计算 2 5 4 2 4 2" xfId="29903" xr:uid="{00000000-0005-0000-0000-0000FF740000}"/>
    <cellStyle name="计算 2 5 4 2 5" xfId="29906" xr:uid="{00000000-0005-0000-0000-000002750000}"/>
    <cellStyle name="计算 2 5 4 2 5 2" xfId="29908" xr:uid="{00000000-0005-0000-0000-000004750000}"/>
    <cellStyle name="计算 2 5 4 2 6" xfId="29910" xr:uid="{00000000-0005-0000-0000-000006750000}"/>
    <cellStyle name="计算 2 5 4 2 7" xfId="29913" xr:uid="{00000000-0005-0000-0000-000009750000}"/>
    <cellStyle name="计算 2 5 4 2 8" xfId="29914" xr:uid="{00000000-0005-0000-0000-00000A750000}"/>
    <cellStyle name="计算 2 5 4 2 9" xfId="29916" xr:uid="{00000000-0005-0000-0000-00000C750000}"/>
    <cellStyle name="计算 2 5 4 3" xfId="29917" xr:uid="{00000000-0005-0000-0000-00000D750000}"/>
    <cellStyle name="计算 2 5 4 3 2" xfId="29921" xr:uid="{00000000-0005-0000-0000-000011750000}"/>
    <cellStyle name="计算 2 5 4 3 2 2" xfId="26981" xr:uid="{00000000-0005-0000-0000-000095690000}"/>
    <cellStyle name="计算 2 5 4 3 3" xfId="22867" xr:uid="{00000000-0005-0000-0000-000083590000}"/>
    <cellStyle name="计算 2 5 4 3 3 2" xfId="29924" xr:uid="{00000000-0005-0000-0000-000014750000}"/>
    <cellStyle name="计算 2 5 4 3 4" xfId="29928" xr:uid="{00000000-0005-0000-0000-000018750000}"/>
    <cellStyle name="计算 2 5 4 3 4 2" xfId="29930" xr:uid="{00000000-0005-0000-0000-00001A750000}"/>
    <cellStyle name="计算 2 5 4 3 5" xfId="29933" xr:uid="{00000000-0005-0000-0000-00001D750000}"/>
    <cellStyle name="计算 2 5 4 3 5 2" xfId="6526" xr:uid="{00000000-0005-0000-0000-0000AE190000}"/>
    <cellStyle name="计算 2 5 4 3 6" xfId="29935" xr:uid="{00000000-0005-0000-0000-00001F750000}"/>
    <cellStyle name="计算 2 5 4 4" xfId="29938" xr:uid="{00000000-0005-0000-0000-000022750000}"/>
    <cellStyle name="计算 2 5 4 4 2" xfId="29940" xr:uid="{00000000-0005-0000-0000-000024750000}"/>
    <cellStyle name="计算 2 5 4 4 2 2" xfId="29943" xr:uid="{00000000-0005-0000-0000-000027750000}"/>
    <cellStyle name="计算 2 5 4 4 3" xfId="21300" xr:uid="{00000000-0005-0000-0000-000064530000}"/>
    <cellStyle name="计算 2 5 4 4 3 2" xfId="29946" xr:uid="{00000000-0005-0000-0000-00002A750000}"/>
    <cellStyle name="计算 2 5 4 4 4" xfId="29949" xr:uid="{00000000-0005-0000-0000-00002D750000}"/>
    <cellStyle name="计算 2 5 4 4 4 2" xfId="29951" xr:uid="{00000000-0005-0000-0000-00002F750000}"/>
    <cellStyle name="计算 2 5 4 4 5" xfId="29953" xr:uid="{00000000-0005-0000-0000-000031750000}"/>
    <cellStyle name="计算 2 5 4 4 5 2" xfId="29956" xr:uid="{00000000-0005-0000-0000-000034750000}"/>
    <cellStyle name="计算 2 5 4 4 6" xfId="29958" xr:uid="{00000000-0005-0000-0000-000036750000}"/>
    <cellStyle name="计算 2 5 4 5" xfId="29961" xr:uid="{00000000-0005-0000-0000-000039750000}"/>
    <cellStyle name="计算 2 5 4 5 2" xfId="21336" xr:uid="{00000000-0005-0000-0000-000088530000}"/>
    <cellStyle name="计算 2 5 4 5 2 2" xfId="25938" xr:uid="{00000000-0005-0000-0000-000082650000}"/>
    <cellStyle name="计算 2 5 4 5 3" xfId="22884" xr:uid="{00000000-0005-0000-0000-000094590000}"/>
    <cellStyle name="计算 2 5 4 5 3 2" xfId="25946" xr:uid="{00000000-0005-0000-0000-00008A650000}"/>
    <cellStyle name="计算 2 5 4 5 4" xfId="25953" xr:uid="{00000000-0005-0000-0000-000091650000}"/>
    <cellStyle name="计算 2 5 4 5 4 2" xfId="29963" xr:uid="{00000000-0005-0000-0000-00003B750000}"/>
    <cellStyle name="计算 2 5 4 5 5" xfId="25956" xr:uid="{00000000-0005-0000-0000-000094650000}"/>
    <cellStyle name="计算 2 5 4 5 5 2" xfId="29965" xr:uid="{00000000-0005-0000-0000-00003D750000}"/>
    <cellStyle name="计算 2 5 4 5 6" xfId="25962" xr:uid="{00000000-0005-0000-0000-00009A650000}"/>
    <cellStyle name="计算 2 5 4 6" xfId="29969" xr:uid="{00000000-0005-0000-0000-000041750000}"/>
    <cellStyle name="计算 2 5 4 6 2" xfId="21368" xr:uid="{00000000-0005-0000-0000-0000A8530000}"/>
    <cellStyle name="计算 2 5 4 6 2 2" xfId="25980" xr:uid="{00000000-0005-0000-0000-0000AC650000}"/>
    <cellStyle name="计算 2 5 4 6 3" xfId="25985" xr:uid="{00000000-0005-0000-0000-0000B1650000}"/>
    <cellStyle name="计算 2 5 4 6 3 2" xfId="25988" xr:uid="{00000000-0005-0000-0000-0000B4650000}"/>
    <cellStyle name="计算 2 5 4 6 4" xfId="956" xr:uid="{00000000-0005-0000-0000-0000EC030000}"/>
    <cellStyle name="计算 2 5 4 6 4 2" xfId="29972" xr:uid="{00000000-0005-0000-0000-000044750000}"/>
    <cellStyle name="计算 2 5 4 6 5" xfId="29974" xr:uid="{00000000-0005-0000-0000-000046750000}"/>
    <cellStyle name="计算 2 5 4 6 5 2" xfId="29978" xr:uid="{00000000-0005-0000-0000-00004A750000}"/>
    <cellStyle name="计算 2 5 4 6 6" xfId="22632" xr:uid="{00000000-0005-0000-0000-000098580000}"/>
    <cellStyle name="计算 2 5 4 7" xfId="24934" xr:uid="{00000000-0005-0000-0000-000096610000}"/>
    <cellStyle name="计算 2 5 4 7 2" xfId="21398" xr:uid="{00000000-0005-0000-0000-0000C6530000}"/>
    <cellStyle name="计算 2 5 4 7 2 2" xfId="25991" xr:uid="{00000000-0005-0000-0000-0000B7650000}"/>
    <cellStyle name="计算 2 5 4 7 3" xfId="25994" xr:uid="{00000000-0005-0000-0000-0000BA650000}"/>
    <cellStyle name="计算 2 5 4 7 3 2" xfId="25998" xr:uid="{00000000-0005-0000-0000-0000BE650000}"/>
    <cellStyle name="计算 2 5 4 7 4" xfId="148" xr:uid="{00000000-0005-0000-0000-0000A1000000}"/>
    <cellStyle name="计算 2 5 4 7 4 2" xfId="29983" xr:uid="{00000000-0005-0000-0000-00004F750000}"/>
    <cellStyle name="计算 2 5 4 7 5" xfId="29986" xr:uid="{00000000-0005-0000-0000-000052750000}"/>
    <cellStyle name="计算 2 5 4 7 5 2" xfId="29991" xr:uid="{00000000-0005-0000-0000-000057750000}"/>
    <cellStyle name="计算 2 5 4 7 6" xfId="18637" xr:uid="{00000000-0005-0000-0000-0000FD480000}"/>
    <cellStyle name="计算 2 5 4 8" xfId="29994" xr:uid="{00000000-0005-0000-0000-00005A750000}"/>
    <cellStyle name="计算 2 5 4 8 2" xfId="21452" xr:uid="{00000000-0005-0000-0000-0000FC530000}"/>
    <cellStyle name="计算 2 5 4 8 2 2" xfId="26008" xr:uid="{00000000-0005-0000-0000-0000C8650000}"/>
    <cellStyle name="计算 2 5 4 8 3" xfId="26011" xr:uid="{00000000-0005-0000-0000-0000CB650000}"/>
    <cellStyle name="计算 2 5 4 8 3 2" xfId="26015" xr:uid="{00000000-0005-0000-0000-0000CF650000}"/>
    <cellStyle name="计算 2 5 4 8 4" xfId="15532" xr:uid="{00000000-0005-0000-0000-0000DC3C0000}"/>
    <cellStyle name="计算 2 5 4 8 4 2" xfId="29998" xr:uid="{00000000-0005-0000-0000-00005E750000}"/>
    <cellStyle name="计算 2 5 4 8 5" xfId="30001" xr:uid="{00000000-0005-0000-0000-000061750000}"/>
    <cellStyle name="计算 2 5 4 9" xfId="11335" xr:uid="{00000000-0005-0000-0000-0000772C0000}"/>
    <cellStyle name="计算 2 5 4 9 2" xfId="21477" xr:uid="{00000000-0005-0000-0000-000015540000}"/>
    <cellStyle name="计算 2 5 5" xfId="30005" xr:uid="{00000000-0005-0000-0000-000065750000}"/>
    <cellStyle name="计算 2 5 5 10" xfId="30006" xr:uid="{00000000-0005-0000-0000-000066750000}"/>
    <cellStyle name="计算 2 5 5 10 2" xfId="30009" xr:uid="{00000000-0005-0000-0000-000069750000}"/>
    <cellStyle name="计算 2 5 5 11" xfId="30010" xr:uid="{00000000-0005-0000-0000-00006A750000}"/>
    <cellStyle name="计算 2 5 5 11 2" xfId="2514" xr:uid="{00000000-0005-0000-0000-0000020A0000}"/>
    <cellStyle name="计算 2 5 5 12" xfId="23326" xr:uid="{00000000-0005-0000-0000-00004E5B0000}"/>
    <cellStyle name="计算 2 5 5 12 2" xfId="30013" xr:uid="{00000000-0005-0000-0000-00006D750000}"/>
    <cellStyle name="计算 2 5 5 13" xfId="30015" xr:uid="{00000000-0005-0000-0000-00006F750000}"/>
    <cellStyle name="计算 2 5 5 14" xfId="30016" xr:uid="{00000000-0005-0000-0000-000070750000}"/>
    <cellStyle name="计算 2 5 5 15" xfId="30017" xr:uid="{00000000-0005-0000-0000-000071750000}"/>
    <cellStyle name="计算 2 5 5 16" xfId="30019" xr:uid="{00000000-0005-0000-0000-000073750000}"/>
    <cellStyle name="计算 2 5 5 2" xfId="30020" xr:uid="{00000000-0005-0000-0000-000074750000}"/>
    <cellStyle name="计算 2 5 5 2 2" xfId="30024" xr:uid="{00000000-0005-0000-0000-000078750000}"/>
    <cellStyle name="计算 2 5 5 2 2 2" xfId="30029" xr:uid="{00000000-0005-0000-0000-00007D750000}"/>
    <cellStyle name="计算 2 5 5 2 3" xfId="22897" xr:uid="{00000000-0005-0000-0000-0000A1590000}"/>
    <cellStyle name="计算 2 5 5 2 3 2" xfId="30033" xr:uid="{00000000-0005-0000-0000-000081750000}"/>
    <cellStyle name="计算 2 5 5 2 4" xfId="30037" xr:uid="{00000000-0005-0000-0000-000085750000}"/>
    <cellStyle name="计算 2 5 5 2 4 2" xfId="30039" xr:uid="{00000000-0005-0000-0000-000087750000}"/>
    <cellStyle name="计算 2 5 5 2 5" xfId="30043" xr:uid="{00000000-0005-0000-0000-00008B750000}"/>
    <cellStyle name="计算 2 5 5 2 5 2" xfId="30045" xr:uid="{00000000-0005-0000-0000-00008D750000}"/>
    <cellStyle name="计算 2 5 5 2 6" xfId="30048" xr:uid="{00000000-0005-0000-0000-000090750000}"/>
    <cellStyle name="计算 2 5 5 2 7" xfId="30051" xr:uid="{00000000-0005-0000-0000-000093750000}"/>
    <cellStyle name="计算 2 5 5 2 8" xfId="30052" xr:uid="{00000000-0005-0000-0000-000094750000}"/>
    <cellStyle name="计算 2 5 5 2 9" xfId="30053" xr:uid="{00000000-0005-0000-0000-000095750000}"/>
    <cellStyle name="计算 2 5 5 3" xfId="30054" xr:uid="{00000000-0005-0000-0000-000096750000}"/>
    <cellStyle name="计算 2 5 5 3 2" xfId="30058" xr:uid="{00000000-0005-0000-0000-00009A750000}"/>
    <cellStyle name="计算 2 5 5 3 2 2" xfId="30061" xr:uid="{00000000-0005-0000-0000-00009D750000}"/>
    <cellStyle name="计算 2 5 5 3 3" xfId="22907" xr:uid="{00000000-0005-0000-0000-0000AB590000}"/>
    <cellStyle name="计算 2 5 5 3 3 2" xfId="30065" xr:uid="{00000000-0005-0000-0000-0000A1750000}"/>
    <cellStyle name="计算 2 5 5 3 4" xfId="30070" xr:uid="{00000000-0005-0000-0000-0000A6750000}"/>
    <cellStyle name="计算 2 5 5 3 4 2" xfId="30072" xr:uid="{00000000-0005-0000-0000-0000A8750000}"/>
    <cellStyle name="计算 2 5 5 3 5" xfId="30076" xr:uid="{00000000-0005-0000-0000-0000AC750000}"/>
    <cellStyle name="计算 2 5 5 3 5 2" xfId="30078" xr:uid="{00000000-0005-0000-0000-0000AE750000}"/>
    <cellStyle name="计算 2 5 5 3 6" xfId="30081" xr:uid="{00000000-0005-0000-0000-0000B1750000}"/>
    <cellStyle name="计算 2 5 5 4" xfId="30084" xr:uid="{00000000-0005-0000-0000-0000B4750000}"/>
    <cellStyle name="计算 2 5 5 4 2" xfId="30086" xr:uid="{00000000-0005-0000-0000-0000B6750000}"/>
    <cellStyle name="计算 2 5 5 4 2 2" xfId="30089" xr:uid="{00000000-0005-0000-0000-0000B9750000}"/>
    <cellStyle name="计算 2 5 5 4 3" xfId="22918" xr:uid="{00000000-0005-0000-0000-0000B6590000}"/>
    <cellStyle name="计算 2 5 5 4 3 2" xfId="30094" xr:uid="{00000000-0005-0000-0000-0000BE750000}"/>
    <cellStyle name="计算 2 5 5 4 4" xfId="30098" xr:uid="{00000000-0005-0000-0000-0000C2750000}"/>
    <cellStyle name="计算 2 5 5 4 4 2" xfId="30100" xr:uid="{00000000-0005-0000-0000-0000C4750000}"/>
    <cellStyle name="计算 2 5 5 4 5" xfId="30103" xr:uid="{00000000-0005-0000-0000-0000C7750000}"/>
    <cellStyle name="计算 2 5 5 4 5 2" xfId="30106" xr:uid="{00000000-0005-0000-0000-0000CA750000}"/>
    <cellStyle name="计算 2 5 5 4 6" xfId="30109" xr:uid="{00000000-0005-0000-0000-0000CD750000}"/>
    <cellStyle name="计算 2 5 5 5" xfId="30112" xr:uid="{00000000-0005-0000-0000-0000D0750000}"/>
    <cellStyle name="计算 2 5 5 5 2" xfId="13653" xr:uid="{00000000-0005-0000-0000-000085350000}"/>
    <cellStyle name="计算 2 5 5 5 2 2" xfId="26073" xr:uid="{00000000-0005-0000-0000-000009660000}"/>
    <cellStyle name="计算 2 5 5 5 3" xfId="22926" xr:uid="{00000000-0005-0000-0000-0000BE590000}"/>
    <cellStyle name="计算 2 5 5 5 3 2" xfId="26079" xr:uid="{00000000-0005-0000-0000-00000F660000}"/>
    <cellStyle name="计算 2 5 5 5 4" xfId="26085" xr:uid="{00000000-0005-0000-0000-000015660000}"/>
    <cellStyle name="计算 2 5 5 5 4 2" xfId="30114" xr:uid="{00000000-0005-0000-0000-0000D2750000}"/>
    <cellStyle name="计算 2 5 5 5 5" xfId="26089" xr:uid="{00000000-0005-0000-0000-000019660000}"/>
    <cellStyle name="计算 2 5 5 5 5 2" xfId="30117" xr:uid="{00000000-0005-0000-0000-0000D5750000}"/>
    <cellStyle name="计算 2 5 5 5 6" xfId="26097" xr:uid="{00000000-0005-0000-0000-000021660000}"/>
    <cellStyle name="计算 2 5 5 6" xfId="30121" xr:uid="{00000000-0005-0000-0000-0000D9750000}"/>
    <cellStyle name="计算 2 5 5 6 2" xfId="21548" xr:uid="{00000000-0005-0000-0000-00005C540000}"/>
    <cellStyle name="计算 2 5 5 6 2 2" xfId="26112" xr:uid="{00000000-0005-0000-0000-000030660000}"/>
    <cellStyle name="计算 2 5 5 6 3" xfId="26116" xr:uid="{00000000-0005-0000-0000-000034660000}"/>
    <cellStyle name="计算 2 5 5 6 3 2" xfId="26120" xr:uid="{00000000-0005-0000-0000-000038660000}"/>
    <cellStyle name="计算 2 5 5 6 4" xfId="12622" xr:uid="{00000000-0005-0000-0000-00007E310000}"/>
    <cellStyle name="计算 2 5 5 6 4 2" xfId="30127" xr:uid="{00000000-0005-0000-0000-0000DF750000}"/>
    <cellStyle name="计算 2 5 5 6 5" xfId="30129" xr:uid="{00000000-0005-0000-0000-0000E1750000}"/>
    <cellStyle name="计算 2 5 5 6 5 2" xfId="30136" xr:uid="{00000000-0005-0000-0000-0000E8750000}"/>
    <cellStyle name="计算 2 5 5 6 6" xfId="22648" xr:uid="{00000000-0005-0000-0000-0000A8580000}"/>
    <cellStyle name="计算 2 5 5 7" xfId="24942" xr:uid="{00000000-0005-0000-0000-00009E610000}"/>
    <cellStyle name="计算 2 5 5 7 2" xfId="21576" xr:uid="{00000000-0005-0000-0000-000078540000}"/>
    <cellStyle name="计算 2 5 5 7 2 2" xfId="26128" xr:uid="{00000000-0005-0000-0000-000040660000}"/>
    <cellStyle name="计算 2 5 5 7 3" xfId="26132" xr:uid="{00000000-0005-0000-0000-000044660000}"/>
    <cellStyle name="计算 2 5 5 7 3 2" xfId="26136" xr:uid="{00000000-0005-0000-0000-000048660000}"/>
    <cellStyle name="计算 2 5 5 7 4" xfId="12645" xr:uid="{00000000-0005-0000-0000-000095310000}"/>
    <cellStyle name="计算 2 5 5 7 4 2" xfId="30142" xr:uid="{00000000-0005-0000-0000-0000EE750000}"/>
    <cellStyle name="计算 2 5 5 7 5" xfId="30144" xr:uid="{00000000-0005-0000-0000-0000F0750000}"/>
    <cellStyle name="计算 2 5 5 7 5 2" xfId="30152" xr:uid="{00000000-0005-0000-0000-0000F8750000}"/>
    <cellStyle name="计算 2 5 5 7 6" xfId="18703" xr:uid="{00000000-0005-0000-0000-00003F490000}"/>
    <cellStyle name="计算 2 5 5 8" xfId="30154" xr:uid="{00000000-0005-0000-0000-0000FA750000}"/>
    <cellStyle name="计算 2 5 5 8 2" xfId="21603" xr:uid="{00000000-0005-0000-0000-000093540000}"/>
    <cellStyle name="计算 2 5 5 8 2 2" xfId="26143" xr:uid="{00000000-0005-0000-0000-00004F660000}"/>
    <cellStyle name="计算 2 5 5 8 3" xfId="26146" xr:uid="{00000000-0005-0000-0000-000052660000}"/>
    <cellStyle name="计算 2 5 5 8 3 2" xfId="9451" xr:uid="{00000000-0005-0000-0000-00001B250000}"/>
    <cellStyle name="计算 2 5 5 8 4" xfId="15550" xr:uid="{00000000-0005-0000-0000-0000EE3C0000}"/>
    <cellStyle name="计算 2 5 5 8 4 2" xfId="30157" xr:uid="{00000000-0005-0000-0000-0000FD750000}"/>
    <cellStyle name="计算 2 5 5 8 5" xfId="30161" xr:uid="{00000000-0005-0000-0000-000001760000}"/>
    <cellStyle name="计算 2 5 5 9" xfId="11351" xr:uid="{00000000-0005-0000-0000-0000872C0000}"/>
    <cellStyle name="计算 2 5 5 9 2" xfId="21624" xr:uid="{00000000-0005-0000-0000-0000A8540000}"/>
    <cellStyle name="计算 2 5 6" xfId="30164" xr:uid="{00000000-0005-0000-0000-000004760000}"/>
    <cellStyle name="计算 2 5 6 10" xfId="12240" xr:uid="{00000000-0005-0000-0000-000000300000}"/>
    <cellStyle name="计算 2 5 6 10 2" xfId="30166" xr:uid="{00000000-0005-0000-0000-000006760000}"/>
    <cellStyle name="计算 2 5 6 11" xfId="30167" xr:uid="{00000000-0005-0000-0000-000007760000}"/>
    <cellStyle name="计算 2 5 6 11 2" xfId="7304" xr:uid="{00000000-0005-0000-0000-0000B81C0000}"/>
    <cellStyle name="计算 2 5 6 12" xfId="30168" xr:uid="{00000000-0005-0000-0000-000008760000}"/>
    <cellStyle name="计算 2 5 6 12 2" xfId="30169" xr:uid="{00000000-0005-0000-0000-000009760000}"/>
    <cellStyle name="计算 2 5 6 13" xfId="6997" xr:uid="{00000000-0005-0000-0000-0000851B0000}"/>
    <cellStyle name="计算 2 5 6 14" xfId="30171" xr:uid="{00000000-0005-0000-0000-00000B760000}"/>
    <cellStyle name="计算 2 5 6 15" xfId="30172" xr:uid="{00000000-0005-0000-0000-00000C760000}"/>
    <cellStyle name="计算 2 5 6 16" xfId="11317" xr:uid="{00000000-0005-0000-0000-0000652C0000}"/>
    <cellStyle name="计算 2 5 6 2" xfId="30173" xr:uid="{00000000-0005-0000-0000-00000D760000}"/>
    <cellStyle name="计算 2 5 6 2 2" xfId="30176" xr:uid="{00000000-0005-0000-0000-000010760000}"/>
    <cellStyle name="计算 2 5 6 2 2 2" xfId="23716" xr:uid="{00000000-0005-0000-0000-0000D45C0000}"/>
    <cellStyle name="计算 2 5 6 2 3" xfId="22937" xr:uid="{00000000-0005-0000-0000-0000C9590000}"/>
    <cellStyle name="计算 2 5 6 2 3 2" xfId="30177" xr:uid="{00000000-0005-0000-0000-000011760000}"/>
    <cellStyle name="计算 2 5 6 2 4" xfId="30179" xr:uid="{00000000-0005-0000-0000-000013760000}"/>
    <cellStyle name="计算 2 5 6 2 4 2" xfId="30180" xr:uid="{00000000-0005-0000-0000-000014760000}"/>
    <cellStyle name="计算 2 5 6 2 5" xfId="30182" xr:uid="{00000000-0005-0000-0000-000016760000}"/>
    <cellStyle name="计算 2 5 6 2 5 2" xfId="30183" xr:uid="{00000000-0005-0000-0000-000017760000}"/>
    <cellStyle name="计算 2 5 6 2 6" xfId="30184" xr:uid="{00000000-0005-0000-0000-000018760000}"/>
    <cellStyle name="计算 2 5 6 2 7" xfId="30187" xr:uid="{00000000-0005-0000-0000-00001B760000}"/>
    <cellStyle name="计算 2 5 6 2 8" xfId="30188" xr:uid="{00000000-0005-0000-0000-00001C760000}"/>
    <cellStyle name="计算 2 5 6 2 9" xfId="30189" xr:uid="{00000000-0005-0000-0000-00001D760000}"/>
    <cellStyle name="计算 2 5 6 3" xfId="30190" xr:uid="{00000000-0005-0000-0000-00001E760000}"/>
    <cellStyle name="计算 2 5 6 3 2" xfId="30191" xr:uid="{00000000-0005-0000-0000-00001F760000}"/>
    <cellStyle name="计算 2 5 6 3 2 2" xfId="30192" xr:uid="{00000000-0005-0000-0000-000020760000}"/>
    <cellStyle name="计算 2 5 6 3 3" xfId="22942" xr:uid="{00000000-0005-0000-0000-0000CE590000}"/>
    <cellStyle name="计算 2 5 6 3 3 2" xfId="27818" xr:uid="{00000000-0005-0000-0000-0000DA6C0000}"/>
    <cellStyle name="计算 2 5 6 3 4" xfId="16979" xr:uid="{00000000-0005-0000-0000-000083420000}"/>
    <cellStyle name="计算 2 5 6 3 4 2" xfId="27822" xr:uid="{00000000-0005-0000-0000-0000DE6C0000}"/>
    <cellStyle name="计算 2 5 6 3 5" xfId="27827" xr:uid="{00000000-0005-0000-0000-0000E36C0000}"/>
    <cellStyle name="计算 2 5 6 3 5 2" xfId="27831" xr:uid="{00000000-0005-0000-0000-0000E76C0000}"/>
    <cellStyle name="计算 2 5 6 3 6" xfId="27195" xr:uid="{00000000-0005-0000-0000-00006B6A0000}"/>
    <cellStyle name="计算 2 5 6 4" xfId="30193" xr:uid="{00000000-0005-0000-0000-000021760000}"/>
    <cellStyle name="计算 2 5 6 4 2" xfId="30194" xr:uid="{00000000-0005-0000-0000-000022760000}"/>
    <cellStyle name="计算 2 5 6 4 2 2" xfId="30195" xr:uid="{00000000-0005-0000-0000-000023760000}"/>
    <cellStyle name="计算 2 5 6 4 3" xfId="22945" xr:uid="{00000000-0005-0000-0000-0000D1590000}"/>
    <cellStyle name="计算 2 5 6 4 3 2" xfId="30196" xr:uid="{00000000-0005-0000-0000-000024760000}"/>
    <cellStyle name="计算 2 5 6 4 4" xfId="30198" xr:uid="{00000000-0005-0000-0000-000026760000}"/>
    <cellStyle name="计算 2 5 6 4 4 2" xfId="30199" xr:uid="{00000000-0005-0000-0000-000027760000}"/>
    <cellStyle name="计算 2 5 6 4 5" xfId="30201" xr:uid="{00000000-0005-0000-0000-000029760000}"/>
    <cellStyle name="计算 2 5 6 4 5 2" xfId="30202" xr:uid="{00000000-0005-0000-0000-00002A760000}"/>
    <cellStyle name="计算 2 5 6 4 6" xfId="30203" xr:uid="{00000000-0005-0000-0000-00002B760000}"/>
    <cellStyle name="计算 2 5 6 5" xfId="30205" xr:uid="{00000000-0005-0000-0000-00002D760000}"/>
    <cellStyle name="计算 2 5 6 5 2" xfId="25224" xr:uid="{00000000-0005-0000-0000-0000B8620000}"/>
    <cellStyle name="计算 2 5 6 5 2 2" xfId="26216" xr:uid="{00000000-0005-0000-0000-000098660000}"/>
    <cellStyle name="计算 2 5 6 5 3" xfId="22951" xr:uid="{00000000-0005-0000-0000-0000D7590000}"/>
    <cellStyle name="计算 2 5 6 5 3 2" xfId="17286" xr:uid="{00000000-0005-0000-0000-0000B6430000}"/>
    <cellStyle name="计算 2 5 6 5 4" xfId="26220" xr:uid="{00000000-0005-0000-0000-00009C660000}"/>
    <cellStyle name="计算 2 5 6 5 4 2" xfId="17408" xr:uid="{00000000-0005-0000-0000-000030440000}"/>
    <cellStyle name="计算 2 5 6 5 5" xfId="26223" xr:uid="{00000000-0005-0000-0000-00009F660000}"/>
    <cellStyle name="计算 2 5 6 5 5 2" xfId="17497" xr:uid="{00000000-0005-0000-0000-000089440000}"/>
    <cellStyle name="计算 2 5 6 5 6" xfId="26232" xr:uid="{00000000-0005-0000-0000-0000A8660000}"/>
    <cellStyle name="计算 2 5 6 6" xfId="30206" xr:uid="{00000000-0005-0000-0000-00002E760000}"/>
    <cellStyle name="计算 2 5 6 6 2" xfId="25229" xr:uid="{00000000-0005-0000-0000-0000BD620000}"/>
    <cellStyle name="计算 2 5 6 6 2 2" xfId="26244" xr:uid="{00000000-0005-0000-0000-0000B4660000}"/>
    <cellStyle name="计算 2 5 6 6 3" xfId="26246" xr:uid="{00000000-0005-0000-0000-0000B6660000}"/>
    <cellStyle name="计算 2 5 6 6 3 2" xfId="26248" xr:uid="{00000000-0005-0000-0000-0000B8660000}"/>
    <cellStyle name="计算 2 5 6 6 4" xfId="1254" xr:uid="{00000000-0005-0000-0000-000016050000}"/>
    <cellStyle name="计算 2 5 6 6 4 2" xfId="30207" xr:uid="{00000000-0005-0000-0000-00002F760000}"/>
    <cellStyle name="计算 2 5 6 6 5" xfId="30208" xr:uid="{00000000-0005-0000-0000-000030760000}"/>
    <cellStyle name="计算 2 5 6 6 5 2" xfId="30212" xr:uid="{00000000-0005-0000-0000-000034760000}"/>
    <cellStyle name="计算 2 5 6 6 6" xfId="22663" xr:uid="{00000000-0005-0000-0000-0000B7580000}"/>
    <cellStyle name="计算 2 5 6 7" xfId="24963" xr:uid="{00000000-0005-0000-0000-0000B3610000}"/>
    <cellStyle name="计算 2 5 6 7 2" xfId="25236" xr:uid="{00000000-0005-0000-0000-0000C4620000}"/>
    <cellStyle name="计算 2 5 6 7 2 2" xfId="24831" xr:uid="{00000000-0005-0000-0000-00002F610000}"/>
    <cellStyle name="计算 2 5 6 7 3" xfId="26252" xr:uid="{00000000-0005-0000-0000-0000BC660000}"/>
    <cellStyle name="计算 2 5 6 7 3 2" xfId="26254" xr:uid="{00000000-0005-0000-0000-0000BE660000}"/>
    <cellStyle name="计算 2 5 6 7 4" xfId="3091" xr:uid="{00000000-0005-0000-0000-0000430C0000}"/>
    <cellStyle name="计算 2 5 6 7 4 2" xfId="30214" xr:uid="{00000000-0005-0000-0000-000036760000}"/>
    <cellStyle name="计算 2 5 6 7 5" xfId="30215" xr:uid="{00000000-0005-0000-0000-000037760000}"/>
    <cellStyle name="计算 2 5 6 7 5 2" xfId="30218" xr:uid="{00000000-0005-0000-0000-00003A760000}"/>
    <cellStyle name="计算 2 5 6 7 6" xfId="18753" xr:uid="{00000000-0005-0000-0000-000071490000}"/>
    <cellStyle name="计算 2 5 6 8" xfId="30220" xr:uid="{00000000-0005-0000-0000-00003C760000}"/>
    <cellStyle name="计算 2 5 6 8 2" xfId="25246" xr:uid="{00000000-0005-0000-0000-0000CE620000}"/>
    <cellStyle name="计算 2 5 6 8 2 2" xfId="26260" xr:uid="{00000000-0005-0000-0000-0000C4660000}"/>
    <cellStyle name="计算 2 5 6 8 3" xfId="26264" xr:uid="{00000000-0005-0000-0000-0000C8660000}"/>
    <cellStyle name="计算 2 5 6 8 3 2" xfId="26269" xr:uid="{00000000-0005-0000-0000-0000CD660000}"/>
    <cellStyle name="计算 2 5 6 8 4" xfId="15568" xr:uid="{00000000-0005-0000-0000-0000003D0000}"/>
    <cellStyle name="计算 2 5 6 8 4 2" xfId="27958" xr:uid="{00000000-0005-0000-0000-0000666D0000}"/>
    <cellStyle name="计算 2 5 6 8 5" xfId="27959" xr:uid="{00000000-0005-0000-0000-0000676D0000}"/>
    <cellStyle name="计算 2 5 6 9" xfId="11369" xr:uid="{00000000-0005-0000-0000-0000992C0000}"/>
    <cellStyle name="计算 2 5 6 9 2" xfId="26280" xr:uid="{00000000-0005-0000-0000-0000D8660000}"/>
    <cellStyle name="计算 2 5 7" xfId="30222" xr:uid="{00000000-0005-0000-0000-00003E760000}"/>
    <cellStyle name="计算 2 5 7 10" xfId="10412" xr:uid="{00000000-0005-0000-0000-0000DC280000}"/>
    <cellStyle name="计算 2 5 7 10 2" xfId="10192" xr:uid="{00000000-0005-0000-0000-000000280000}"/>
    <cellStyle name="计算 2 5 7 11" xfId="12519" xr:uid="{00000000-0005-0000-0000-000017310000}"/>
    <cellStyle name="计算 2 5 7 11 2" xfId="9482" xr:uid="{00000000-0005-0000-0000-00003A250000}"/>
    <cellStyle name="计算 2 5 7 12" xfId="30224" xr:uid="{00000000-0005-0000-0000-000040760000}"/>
    <cellStyle name="计算 2 5 7 12 2" xfId="10257" xr:uid="{00000000-0005-0000-0000-000041280000}"/>
    <cellStyle name="计算 2 5 7 13" xfId="30225" xr:uid="{00000000-0005-0000-0000-000041760000}"/>
    <cellStyle name="计算 2 5 7 14" xfId="30226" xr:uid="{00000000-0005-0000-0000-000042760000}"/>
    <cellStyle name="计算 2 5 7 15" xfId="11485" xr:uid="{00000000-0005-0000-0000-00000D2D0000}"/>
    <cellStyle name="计算 2 5 7 16" xfId="30227" xr:uid="{00000000-0005-0000-0000-000043760000}"/>
    <cellStyle name="计算 2 5 7 2" xfId="30228" xr:uid="{00000000-0005-0000-0000-000044760000}"/>
    <cellStyle name="计算 2 5 7 2 2" xfId="30230" xr:uid="{00000000-0005-0000-0000-000046760000}"/>
    <cellStyle name="计算 2 5 7 2 2 2" xfId="30231" xr:uid="{00000000-0005-0000-0000-000047760000}"/>
    <cellStyle name="计算 2 5 7 2 3" xfId="22958" xr:uid="{00000000-0005-0000-0000-0000DE590000}"/>
    <cellStyle name="计算 2 5 7 2 3 2" xfId="30232" xr:uid="{00000000-0005-0000-0000-000048760000}"/>
    <cellStyle name="计算 2 5 7 2 4" xfId="30234" xr:uid="{00000000-0005-0000-0000-00004A760000}"/>
    <cellStyle name="计算 2 5 7 2 4 2" xfId="30235" xr:uid="{00000000-0005-0000-0000-00004B760000}"/>
    <cellStyle name="计算 2 5 7 2 5" xfId="30236" xr:uid="{00000000-0005-0000-0000-00004C760000}"/>
    <cellStyle name="计算 2 5 7 2 5 2" xfId="30237" xr:uid="{00000000-0005-0000-0000-00004D760000}"/>
    <cellStyle name="计算 2 5 7 2 6" xfId="30238" xr:uid="{00000000-0005-0000-0000-00004E760000}"/>
    <cellStyle name="计算 2 5 7 2 7" xfId="30240" xr:uid="{00000000-0005-0000-0000-000050760000}"/>
    <cellStyle name="计算 2 5 7 2 8" xfId="30241" xr:uid="{00000000-0005-0000-0000-000051760000}"/>
    <cellStyle name="计算 2 5 7 2 9" xfId="30242" xr:uid="{00000000-0005-0000-0000-000052760000}"/>
    <cellStyle name="计算 2 5 7 3" xfId="30244" xr:uid="{00000000-0005-0000-0000-000054760000}"/>
    <cellStyle name="计算 2 5 7 3 2" xfId="30245" xr:uid="{00000000-0005-0000-0000-000055760000}"/>
    <cellStyle name="计算 2 5 7 3 2 2" xfId="30246" xr:uid="{00000000-0005-0000-0000-000056760000}"/>
    <cellStyle name="计算 2 5 7 3 3" xfId="22962" xr:uid="{00000000-0005-0000-0000-0000E2590000}"/>
    <cellStyle name="计算 2 5 7 3 3 2" xfId="30247" xr:uid="{00000000-0005-0000-0000-000057760000}"/>
    <cellStyle name="计算 2 5 7 3 4" xfId="30249" xr:uid="{00000000-0005-0000-0000-000059760000}"/>
    <cellStyle name="计算 2 5 7 3 4 2" xfId="30250" xr:uid="{00000000-0005-0000-0000-00005A760000}"/>
    <cellStyle name="计算 2 5 7 3 5" xfId="30251" xr:uid="{00000000-0005-0000-0000-00005B760000}"/>
    <cellStyle name="计算 2 5 7 3 5 2" xfId="30252" xr:uid="{00000000-0005-0000-0000-00005C760000}"/>
    <cellStyle name="计算 2 5 7 3 6" xfId="30253" xr:uid="{00000000-0005-0000-0000-00005D760000}"/>
    <cellStyle name="计算 2 5 7 4" xfId="30254" xr:uid="{00000000-0005-0000-0000-00005E760000}"/>
    <cellStyle name="计算 2 5 7 4 2" xfId="30255" xr:uid="{00000000-0005-0000-0000-00005F760000}"/>
    <cellStyle name="计算 2 5 7 4 2 2" xfId="30256" xr:uid="{00000000-0005-0000-0000-000060760000}"/>
    <cellStyle name="计算 2 5 7 4 3" xfId="22964" xr:uid="{00000000-0005-0000-0000-0000E4590000}"/>
    <cellStyle name="计算 2 5 7 4 3 2" xfId="30257" xr:uid="{00000000-0005-0000-0000-000061760000}"/>
    <cellStyle name="计算 2 5 7 4 4" xfId="30259" xr:uid="{00000000-0005-0000-0000-000063760000}"/>
    <cellStyle name="计算 2 5 7 4 4 2" xfId="30261" xr:uid="{00000000-0005-0000-0000-000065760000}"/>
    <cellStyle name="计算 2 5 7 4 5" xfId="30262" xr:uid="{00000000-0005-0000-0000-000066760000}"/>
    <cellStyle name="计算 2 5 7 4 5 2" xfId="30263" xr:uid="{00000000-0005-0000-0000-000067760000}"/>
    <cellStyle name="计算 2 5 7 4 6" xfId="30264" xr:uid="{00000000-0005-0000-0000-000068760000}"/>
    <cellStyle name="计算 2 5 7 5" xfId="30265" xr:uid="{00000000-0005-0000-0000-000069760000}"/>
    <cellStyle name="计算 2 5 7 5 2" xfId="25249" xr:uid="{00000000-0005-0000-0000-0000D1620000}"/>
    <cellStyle name="计算 2 5 7 5 2 2" xfId="26319" xr:uid="{00000000-0005-0000-0000-0000FF660000}"/>
    <cellStyle name="计算 2 5 7 5 3" xfId="26321" xr:uid="{00000000-0005-0000-0000-000001670000}"/>
    <cellStyle name="计算 2 5 7 5 3 2" xfId="26323" xr:uid="{00000000-0005-0000-0000-000003670000}"/>
    <cellStyle name="计算 2 5 7 5 4" xfId="208" xr:uid="{00000000-0005-0000-0000-0000E2000000}"/>
    <cellStyle name="计算 2 5 7 5 4 2" xfId="30266" xr:uid="{00000000-0005-0000-0000-00006A760000}"/>
    <cellStyle name="计算 2 5 7 5 5" xfId="26325" xr:uid="{00000000-0005-0000-0000-000005670000}"/>
    <cellStyle name="计算 2 5 7 5 5 2" xfId="30267" xr:uid="{00000000-0005-0000-0000-00006B760000}"/>
    <cellStyle name="计算 2 5 7 5 6" xfId="26328" xr:uid="{00000000-0005-0000-0000-000008670000}"/>
    <cellStyle name="计算 2 5 7 6" xfId="30269" xr:uid="{00000000-0005-0000-0000-00006D760000}"/>
    <cellStyle name="计算 2 5 7 6 2" xfId="20931" xr:uid="{00000000-0005-0000-0000-0000F3510000}"/>
    <cellStyle name="计算 2 5 7 6 2 2" xfId="23644" xr:uid="{00000000-0005-0000-0000-00008C5C0000}"/>
    <cellStyle name="计算 2 5 7 6 3" xfId="20937" xr:uid="{00000000-0005-0000-0000-0000F9510000}"/>
    <cellStyle name="计算 2 5 7 6 3 2" xfId="23647" xr:uid="{00000000-0005-0000-0000-00008F5C0000}"/>
    <cellStyle name="计算 2 5 7 6 4" xfId="12703" xr:uid="{00000000-0005-0000-0000-0000CF310000}"/>
    <cellStyle name="计算 2 5 7 6 4 2" xfId="30270" xr:uid="{00000000-0005-0000-0000-00006E760000}"/>
    <cellStyle name="计算 2 5 7 6 5" xfId="23648" xr:uid="{00000000-0005-0000-0000-0000905C0000}"/>
    <cellStyle name="计算 2 5 7 6 5 2" xfId="30271" xr:uid="{00000000-0005-0000-0000-00006F760000}"/>
    <cellStyle name="计算 2 5 7 6 6" xfId="22670" xr:uid="{00000000-0005-0000-0000-0000BE580000}"/>
    <cellStyle name="计算 2 5 7 7" xfId="25258" xr:uid="{00000000-0005-0000-0000-0000DA620000}"/>
    <cellStyle name="计算 2 5 7 7 2" xfId="25261" xr:uid="{00000000-0005-0000-0000-0000DD620000}"/>
    <cellStyle name="计算 2 5 7 7 2 2" xfId="26340" xr:uid="{00000000-0005-0000-0000-000014670000}"/>
    <cellStyle name="计算 2 5 7 7 3" xfId="26342" xr:uid="{00000000-0005-0000-0000-000016670000}"/>
    <cellStyle name="计算 2 5 7 7 3 2" xfId="5601" xr:uid="{00000000-0005-0000-0000-000011160000}"/>
    <cellStyle name="计算 2 5 7 7 4" xfId="12717" xr:uid="{00000000-0005-0000-0000-0000DD310000}"/>
    <cellStyle name="计算 2 5 7 7 4 2" xfId="9191" xr:uid="{00000000-0005-0000-0000-000017240000}"/>
    <cellStyle name="计算 2 5 7 7 5" xfId="30273" xr:uid="{00000000-0005-0000-0000-000071760000}"/>
    <cellStyle name="计算 2 5 7 7 5 2" xfId="11240" xr:uid="{00000000-0005-0000-0000-0000182C0000}"/>
    <cellStyle name="计算 2 5 7 7 6" xfId="18801" xr:uid="{00000000-0005-0000-0000-0000A1490000}"/>
    <cellStyle name="计算 2 5 7 8" xfId="30275" xr:uid="{00000000-0005-0000-0000-000073760000}"/>
    <cellStyle name="计算 2 5 7 8 2" xfId="25267" xr:uid="{00000000-0005-0000-0000-0000E3620000}"/>
    <cellStyle name="计算 2 5 7 8 2 2" xfId="26347" xr:uid="{00000000-0005-0000-0000-00001B670000}"/>
    <cellStyle name="计算 2 5 7 8 3" xfId="26349" xr:uid="{00000000-0005-0000-0000-00001D670000}"/>
    <cellStyle name="计算 2 5 7 8 3 2" xfId="26351" xr:uid="{00000000-0005-0000-0000-00001F670000}"/>
    <cellStyle name="计算 2 5 7 8 4" xfId="15581" xr:uid="{00000000-0005-0000-0000-00000D3D0000}"/>
    <cellStyle name="计算 2 5 7 8 4 2" xfId="30276" xr:uid="{00000000-0005-0000-0000-000074760000}"/>
    <cellStyle name="计算 2 5 7 8 5" xfId="30277" xr:uid="{00000000-0005-0000-0000-000075760000}"/>
    <cellStyle name="计算 2 5 7 9" xfId="8823" xr:uid="{00000000-0005-0000-0000-0000A7220000}"/>
    <cellStyle name="计算 2 5 7 9 2" xfId="26362" xr:uid="{00000000-0005-0000-0000-00002A670000}"/>
    <cellStyle name="计算 2 5 8" xfId="30280" xr:uid="{00000000-0005-0000-0000-000078760000}"/>
    <cellStyle name="计算 2 5 8 10" xfId="30283" xr:uid="{00000000-0005-0000-0000-00007B760000}"/>
    <cellStyle name="计算 2 5 8 10 2" xfId="11275" xr:uid="{00000000-0005-0000-0000-00003B2C0000}"/>
    <cellStyle name="计算 2 5 8 11" xfId="30286" xr:uid="{00000000-0005-0000-0000-00007E760000}"/>
    <cellStyle name="计算 2 5 8 11 2" xfId="11312" xr:uid="{00000000-0005-0000-0000-0000602C0000}"/>
    <cellStyle name="计算 2 5 8 12" xfId="30288" xr:uid="{00000000-0005-0000-0000-000080760000}"/>
    <cellStyle name="计算 2 5 8 12 2" xfId="11363" xr:uid="{00000000-0005-0000-0000-0000932C0000}"/>
    <cellStyle name="计算 2 5 8 13" xfId="30290" xr:uid="{00000000-0005-0000-0000-000082760000}"/>
    <cellStyle name="计算 2 5 8 14" xfId="30292" xr:uid="{00000000-0005-0000-0000-000084760000}"/>
    <cellStyle name="计算 2 5 8 15" xfId="30293" xr:uid="{00000000-0005-0000-0000-000085760000}"/>
    <cellStyle name="计算 2 5 8 16" xfId="30295" xr:uid="{00000000-0005-0000-0000-000087760000}"/>
    <cellStyle name="计算 2 5 8 2" xfId="30296" xr:uid="{00000000-0005-0000-0000-000088760000}"/>
    <cellStyle name="计算 2 5 8 2 2" xfId="8990" xr:uid="{00000000-0005-0000-0000-00004E230000}"/>
    <cellStyle name="计算 2 5 8 2 2 2" xfId="2619" xr:uid="{00000000-0005-0000-0000-00006B0A0000}"/>
    <cellStyle name="计算 2 5 8 2 3" xfId="6970" xr:uid="{00000000-0005-0000-0000-00006A1B0000}"/>
    <cellStyle name="计算 2 5 8 2 3 2" xfId="30299" xr:uid="{00000000-0005-0000-0000-00008B760000}"/>
    <cellStyle name="计算 2 5 8 2 4" xfId="30302" xr:uid="{00000000-0005-0000-0000-00008E760000}"/>
    <cellStyle name="计算 2 5 8 2 4 2" xfId="30304" xr:uid="{00000000-0005-0000-0000-000090760000}"/>
    <cellStyle name="计算 2 5 8 2 5" xfId="30306" xr:uid="{00000000-0005-0000-0000-000092760000}"/>
    <cellStyle name="计算 2 5 8 2 5 2" xfId="30308" xr:uid="{00000000-0005-0000-0000-000094760000}"/>
    <cellStyle name="计算 2 5 8 2 6" xfId="30309" xr:uid="{00000000-0005-0000-0000-000095760000}"/>
    <cellStyle name="计算 2 5 8 2 7" xfId="30311" xr:uid="{00000000-0005-0000-0000-000097760000}"/>
    <cellStyle name="计算 2 5 8 2 8" xfId="30312" xr:uid="{00000000-0005-0000-0000-000098760000}"/>
    <cellStyle name="计算 2 5 8 2 9" xfId="30313" xr:uid="{00000000-0005-0000-0000-000099760000}"/>
    <cellStyle name="计算 2 5 8 3" xfId="30315" xr:uid="{00000000-0005-0000-0000-00009B760000}"/>
    <cellStyle name="计算 2 5 8 3 2" xfId="9020" xr:uid="{00000000-0005-0000-0000-00006C230000}"/>
    <cellStyle name="计算 2 5 8 3 2 2" xfId="345" xr:uid="{00000000-0005-0000-0000-00007B010000}"/>
    <cellStyle name="计算 2 5 8 3 3" xfId="7020" xr:uid="{00000000-0005-0000-0000-00009C1B0000}"/>
    <cellStyle name="计算 2 5 8 3 3 2" xfId="30317" xr:uid="{00000000-0005-0000-0000-00009D760000}"/>
    <cellStyle name="计算 2 5 8 3 4" xfId="30320" xr:uid="{00000000-0005-0000-0000-0000A0760000}"/>
    <cellStyle name="计算 2 5 8 3 4 2" xfId="30322" xr:uid="{00000000-0005-0000-0000-0000A2760000}"/>
    <cellStyle name="计算 2 5 8 3 5" xfId="30324" xr:uid="{00000000-0005-0000-0000-0000A4760000}"/>
    <cellStyle name="计算 2 5 8 3 5 2" xfId="30326" xr:uid="{00000000-0005-0000-0000-0000A6760000}"/>
    <cellStyle name="计算 2 5 8 3 6" xfId="30327" xr:uid="{00000000-0005-0000-0000-0000A7760000}"/>
    <cellStyle name="计算 2 5 8 4" xfId="30328" xr:uid="{00000000-0005-0000-0000-0000A8760000}"/>
    <cellStyle name="计算 2 5 8 4 2" xfId="9086" xr:uid="{00000000-0005-0000-0000-0000AE230000}"/>
    <cellStyle name="计算 2 5 8 4 2 2" xfId="9089" xr:uid="{00000000-0005-0000-0000-0000B1230000}"/>
    <cellStyle name="计算 2 5 8 4 3" xfId="7096" xr:uid="{00000000-0005-0000-0000-0000E81B0000}"/>
    <cellStyle name="计算 2 5 8 4 3 2" xfId="23761" xr:uid="{00000000-0005-0000-0000-0000015D0000}"/>
    <cellStyle name="计算 2 5 8 4 4" xfId="30331" xr:uid="{00000000-0005-0000-0000-0000AB760000}"/>
    <cellStyle name="计算 2 5 8 4 4 2" xfId="30334" xr:uid="{00000000-0005-0000-0000-0000AE760000}"/>
    <cellStyle name="计算 2 5 8 4 5" xfId="30336" xr:uid="{00000000-0005-0000-0000-0000B0760000}"/>
    <cellStyle name="计算 2 5 8 4 5 2" xfId="30339" xr:uid="{00000000-0005-0000-0000-0000B3760000}"/>
    <cellStyle name="计算 2 5 8 4 6" xfId="30340" xr:uid="{00000000-0005-0000-0000-0000B4760000}"/>
    <cellStyle name="计算 2 5 8 5" xfId="30341" xr:uid="{00000000-0005-0000-0000-0000B5760000}"/>
    <cellStyle name="计算 2 5 8 5 2" xfId="9146" xr:uid="{00000000-0005-0000-0000-0000EA230000}"/>
    <cellStyle name="计算 2 5 8 5 2 2" xfId="1547" xr:uid="{00000000-0005-0000-0000-00003B060000}"/>
    <cellStyle name="计算 2 5 8 5 3" xfId="7140" xr:uid="{00000000-0005-0000-0000-0000141C0000}"/>
    <cellStyle name="计算 2 5 8 5 3 2" xfId="24497" xr:uid="{00000000-0005-0000-0000-0000E15F0000}"/>
    <cellStyle name="计算 2 5 8 5 4" xfId="26408" xr:uid="{00000000-0005-0000-0000-000058670000}"/>
    <cellStyle name="计算 2 5 8 5 4 2" xfId="30343" xr:uid="{00000000-0005-0000-0000-0000B7760000}"/>
    <cellStyle name="计算 2 5 8 5 5" xfId="26411" xr:uid="{00000000-0005-0000-0000-00005B670000}"/>
    <cellStyle name="计算 2 5 8 5 5 2" xfId="30346" xr:uid="{00000000-0005-0000-0000-0000BA760000}"/>
    <cellStyle name="计算 2 5 8 5 6" xfId="26414" xr:uid="{00000000-0005-0000-0000-00005E670000}"/>
    <cellStyle name="计算 2 5 8 6" xfId="30351" xr:uid="{00000000-0005-0000-0000-0000BF760000}"/>
    <cellStyle name="计算 2 5 8 6 2" xfId="9186" xr:uid="{00000000-0005-0000-0000-000012240000}"/>
    <cellStyle name="计算 2 5 8 6 2 2" xfId="12780" xr:uid="{00000000-0005-0000-0000-00001C320000}"/>
    <cellStyle name="计算 2 5 8 6 3" xfId="7190" xr:uid="{00000000-0005-0000-0000-0000461C0000}"/>
    <cellStyle name="计算 2 5 8 6 3 2" xfId="26422" xr:uid="{00000000-0005-0000-0000-000066670000}"/>
    <cellStyle name="计算 2 5 8 6 4" xfId="12738" xr:uid="{00000000-0005-0000-0000-0000F2310000}"/>
    <cellStyle name="计算 2 5 8 6 4 2" xfId="30353" xr:uid="{00000000-0005-0000-0000-0000C1760000}"/>
    <cellStyle name="计算 2 5 8 6 5" xfId="30356" xr:uid="{00000000-0005-0000-0000-0000C4760000}"/>
    <cellStyle name="计算 2 5 8 6 5 2" xfId="30359" xr:uid="{00000000-0005-0000-0000-0000C7760000}"/>
    <cellStyle name="计算 2 5 8 6 6" xfId="22681" xr:uid="{00000000-0005-0000-0000-0000C9580000}"/>
    <cellStyle name="计算 2 5 8 7" xfId="2765" xr:uid="{00000000-0005-0000-0000-0000FD0A0000}"/>
    <cellStyle name="计算 2 5 8 7 2" xfId="12809" xr:uid="{00000000-0005-0000-0000-000039320000}"/>
    <cellStyle name="计算 2 5 8 7 2 2" xfId="9529" xr:uid="{00000000-0005-0000-0000-000069250000}"/>
    <cellStyle name="计算 2 5 8 7 3" xfId="12816" xr:uid="{00000000-0005-0000-0000-000040320000}"/>
    <cellStyle name="计算 2 5 8 7 3 2" xfId="13898" xr:uid="{00000000-0005-0000-0000-00007A360000}"/>
    <cellStyle name="计算 2 5 8 7 4" xfId="12749" xr:uid="{00000000-0005-0000-0000-0000FD310000}"/>
    <cellStyle name="计算 2 5 8 7 4 2" xfId="13925" xr:uid="{00000000-0005-0000-0000-000095360000}"/>
    <cellStyle name="计算 2 5 8 7 5" xfId="30363" xr:uid="{00000000-0005-0000-0000-0000CB760000}"/>
    <cellStyle name="计算 2 5 8 7 5 2" xfId="13946" xr:uid="{00000000-0005-0000-0000-0000AA360000}"/>
    <cellStyle name="计算 2 5 8 7 6" xfId="22685" xr:uid="{00000000-0005-0000-0000-0000CD580000}"/>
    <cellStyle name="计算 2 5 8 8" xfId="30365" xr:uid="{00000000-0005-0000-0000-0000CD760000}"/>
    <cellStyle name="计算 2 5 8 8 2" xfId="12849" xr:uid="{00000000-0005-0000-0000-000061320000}"/>
    <cellStyle name="计算 2 5 8 8 2 2" xfId="10947" xr:uid="{00000000-0005-0000-0000-0000F32A0000}"/>
    <cellStyle name="计算 2 5 8 8 3" xfId="26432" xr:uid="{00000000-0005-0000-0000-000070670000}"/>
    <cellStyle name="计算 2 5 8 8 3 2" xfId="17428" xr:uid="{00000000-0005-0000-0000-000044440000}"/>
    <cellStyle name="计算 2 5 8 8 4" xfId="15597" xr:uid="{00000000-0005-0000-0000-00001D3D0000}"/>
    <cellStyle name="计算 2 5 8 8 4 2" xfId="17459" xr:uid="{00000000-0005-0000-0000-000063440000}"/>
    <cellStyle name="计算 2 5 8 8 5" xfId="30367" xr:uid="{00000000-0005-0000-0000-0000CF760000}"/>
    <cellStyle name="计算 2 5 8 9" xfId="30369" xr:uid="{00000000-0005-0000-0000-0000D1760000}"/>
    <cellStyle name="计算 2 5 8 9 2" xfId="26447" xr:uid="{00000000-0005-0000-0000-00007F670000}"/>
    <cellStyle name="计算 2 5 9" xfId="30370" xr:uid="{00000000-0005-0000-0000-0000D2760000}"/>
    <cellStyle name="计算 2 5 9 10" xfId="549" xr:uid="{00000000-0005-0000-0000-000055020000}"/>
    <cellStyle name="计算 2 5 9 10 2" xfId="23628" xr:uid="{00000000-0005-0000-0000-00007C5C0000}"/>
    <cellStyle name="计算 2 5 9 11" xfId="30372" xr:uid="{00000000-0005-0000-0000-0000D4760000}"/>
    <cellStyle name="计算 2 5 9 11 2" xfId="30373" xr:uid="{00000000-0005-0000-0000-0000D5760000}"/>
    <cellStyle name="计算 2 5 9 12" xfId="30374" xr:uid="{00000000-0005-0000-0000-0000D6760000}"/>
    <cellStyle name="计算 2 5 9 12 2" xfId="30375" xr:uid="{00000000-0005-0000-0000-0000D7760000}"/>
    <cellStyle name="计算 2 5 9 13" xfId="30377" xr:uid="{00000000-0005-0000-0000-0000D9760000}"/>
    <cellStyle name="计算 2 5 9 14" xfId="30378" xr:uid="{00000000-0005-0000-0000-0000DA760000}"/>
    <cellStyle name="计算 2 5 9 15" xfId="30379" xr:uid="{00000000-0005-0000-0000-0000DB760000}"/>
    <cellStyle name="计算 2 5 9 16" xfId="30380" xr:uid="{00000000-0005-0000-0000-0000DC760000}"/>
    <cellStyle name="计算 2 5 9 2" xfId="30381" xr:uid="{00000000-0005-0000-0000-0000DD760000}"/>
    <cellStyle name="计算 2 5 9 2 2" xfId="30384" xr:uid="{00000000-0005-0000-0000-0000E0760000}"/>
    <cellStyle name="计算 2 5 9 2 2 2" xfId="30386" xr:uid="{00000000-0005-0000-0000-0000E2760000}"/>
    <cellStyle name="计算 2 5 9 2 3" xfId="30388" xr:uid="{00000000-0005-0000-0000-0000E4760000}"/>
    <cellStyle name="计算 2 5 9 2 3 2" xfId="30390" xr:uid="{00000000-0005-0000-0000-0000E6760000}"/>
    <cellStyle name="计算 2 5 9 2 4" xfId="30393" xr:uid="{00000000-0005-0000-0000-0000E9760000}"/>
    <cellStyle name="计算 2 5 9 2 4 2" xfId="30396" xr:uid="{00000000-0005-0000-0000-0000EC760000}"/>
    <cellStyle name="计算 2 5 9 2 5" xfId="30399" xr:uid="{00000000-0005-0000-0000-0000EF760000}"/>
    <cellStyle name="计算 2 5 9 2 5 2" xfId="30402" xr:uid="{00000000-0005-0000-0000-0000F2760000}"/>
    <cellStyle name="计算 2 5 9 2 6" xfId="30404" xr:uid="{00000000-0005-0000-0000-0000F4760000}"/>
    <cellStyle name="计算 2 5 9 2 7" xfId="30407" xr:uid="{00000000-0005-0000-0000-0000F7760000}"/>
    <cellStyle name="计算 2 5 9 2 8" xfId="30409" xr:uid="{00000000-0005-0000-0000-0000F9760000}"/>
    <cellStyle name="计算 2 5 9 2 9" xfId="30412" xr:uid="{00000000-0005-0000-0000-0000FC760000}"/>
    <cellStyle name="计算 2 5 9 3" xfId="30414" xr:uid="{00000000-0005-0000-0000-0000FE760000}"/>
    <cellStyle name="计算 2 5 9 3 2" xfId="30417" xr:uid="{00000000-0005-0000-0000-000001770000}"/>
    <cellStyle name="计算 2 5 9 3 2 2" xfId="27867" xr:uid="{00000000-0005-0000-0000-00000B6D0000}"/>
    <cellStyle name="计算 2 5 9 3 3" xfId="30420" xr:uid="{00000000-0005-0000-0000-000004770000}"/>
    <cellStyle name="计算 2 5 9 3 3 2" xfId="30422" xr:uid="{00000000-0005-0000-0000-000006770000}"/>
    <cellStyle name="计算 2 5 9 3 4" xfId="30426" xr:uid="{00000000-0005-0000-0000-00000A770000}"/>
    <cellStyle name="计算 2 5 9 3 4 2" xfId="30428" xr:uid="{00000000-0005-0000-0000-00000C770000}"/>
    <cellStyle name="计算 2 5 9 3 5" xfId="30432" xr:uid="{00000000-0005-0000-0000-000010770000}"/>
    <cellStyle name="计算 2 5 9 3 5 2" xfId="30436" xr:uid="{00000000-0005-0000-0000-000014770000}"/>
    <cellStyle name="计算 2 5 9 3 6" xfId="30438" xr:uid="{00000000-0005-0000-0000-000016770000}"/>
    <cellStyle name="计算 2 5 9 4" xfId="30440" xr:uid="{00000000-0005-0000-0000-000018770000}"/>
    <cellStyle name="计算 2 5 9 4 2" xfId="30442" xr:uid="{00000000-0005-0000-0000-00001A770000}"/>
    <cellStyle name="计算 2 5 9 4 2 2" xfId="30444" xr:uid="{00000000-0005-0000-0000-00001C770000}"/>
    <cellStyle name="计算 2 5 9 4 3" xfId="30446" xr:uid="{00000000-0005-0000-0000-00001E770000}"/>
    <cellStyle name="计算 2 5 9 4 3 2" xfId="30448" xr:uid="{00000000-0005-0000-0000-000020770000}"/>
    <cellStyle name="计算 2 5 9 4 4" xfId="30451" xr:uid="{00000000-0005-0000-0000-000023770000}"/>
    <cellStyle name="计算 2 5 9 4 4 2" xfId="30453" xr:uid="{00000000-0005-0000-0000-000025770000}"/>
    <cellStyle name="计算 2 5 9 4 5" xfId="30456" xr:uid="{00000000-0005-0000-0000-000028770000}"/>
    <cellStyle name="计算 2 5 9 4 5 2" xfId="30459" xr:uid="{00000000-0005-0000-0000-00002B770000}"/>
    <cellStyle name="计算 2 5 9 4 6" xfId="30461" xr:uid="{00000000-0005-0000-0000-00002D770000}"/>
    <cellStyle name="计算 2 5 9 5" xfId="30462" xr:uid="{00000000-0005-0000-0000-00002E770000}"/>
    <cellStyle name="计算 2 5 9 5 2" xfId="25287" xr:uid="{00000000-0005-0000-0000-0000F7620000}"/>
    <cellStyle name="计算 2 5 9 5 2 2" xfId="26541" xr:uid="{00000000-0005-0000-0000-0000DD670000}"/>
    <cellStyle name="计算 2 5 9 5 3" xfId="26546" xr:uid="{00000000-0005-0000-0000-0000E2670000}"/>
    <cellStyle name="计算 2 5 9 5 3 2" xfId="26552" xr:uid="{00000000-0005-0000-0000-0000E8670000}"/>
    <cellStyle name="计算 2 5 9 5 4" xfId="26557" xr:uid="{00000000-0005-0000-0000-0000ED670000}"/>
    <cellStyle name="计算 2 5 9 5 4 2" xfId="30465" xr:uid="{00000000-0005-0000-0000-000031770000}"/>
    <cellStyle name="计算 2 5 9 5 5" xfId="26562" xr:uid="{00000000-0005-0000-0000-0000F2670000}"/>
    <cellStyle name="计算 2 5 9 5 5 2" xfId="30468" xr:uid="{00000000-0005-0000-0000-000034770000}"/>
    <cellStyle name="计算 2 5 9 5 6" xfId="26566" xr:uid="{00000000-0005-0000-0000-0000F6670000}"/>
    <cellStyle name="计算 2 5 9 6" xfId="30470" xr:uid="{00000000-0005-0000-0000-000036770000}"/>
    <cellStyle name="计算 2 5 9 6 2" xfId="25298" xr:uid="{00000000-0005-0000-0000-000002630000}"/>
    <cellStyle name="计算 2 5 9 6 2 2" xfId="26606" xr:uid="{00000000-0005-0000-0000-00001E680000}"/>
    <cellStyle name="计算 2 5 9 6 3" xfId="26612" xr:uid="{00000000-0005-0000-0000-000024680000}"/>
    <cellStyle name="计算 2 5 9 6 3 2" xfId="26615" xr:uid="{00000000-0005-0000-0000-000027680000}"/>
    <cellStyle name="计算 2 5 9 6 4" xfId="26618" xr:uid="{00000000-0005-0000-0000-00002A680000}"/>
    <cellStyle name="计算 2 5 9 6 4 2" xfId="30473" xr:uid="{00000000-0005-0000-0000-000039770000}"/>
    <cellStyle name="计算 2 5 9 6 5" xfId="30476" xr:uid="{00000000-0005-0000-0000-00003C770000}"/>
    <cellStyle name="计算 2 5 9 6 5 2" xfId="30480" xr:uid="{00000000-0005-0000-0000-000040770000}"/>
    <cellStyle name="计算 2 5 9 6 6" xfId="30483" xr:uid="{00000000-0005-0000-0000-000043770000}"/>
    <cellStyle name="计算 2 5 9 7" xfId="30485" xr:uid="{00000000-0005-0000-0000-000045770000}"/>
    <cellStyle name="计算 2 5 9 7 2" xfId="25302" xr:uid="{00000000-0005-0000-0000-000006630000}"/>
    <cellStyle name="计算 2 5 9 7 2 2" xfId="26633" xr:uid="{00000000-0005-0000-0000-000039680000}"/>
    <cellStyle name="计算 2 5 9 7 3" xfId="26636" xr:uid="{00000000-0005-0000-0000-00003C680000}"/>
    <cellStyle name="计算 2 5 9 7 3 2" xfId="26639" xr:uid="{00000000-0005-0000-0000-00003F680000}"/>
    <cellStyle name="计算 2 5 9 7 4" xfId="26643" xr:uid="{00000000-0005-0000-0000-000043680000}"/>
    <cellStyle name="计算 2 5 9 7 4 2" xfId="30488" xr:uid="{00000000-0005-0000-0000-000048770000}"/>
    <cellStyle name="计算 2 5 9 7 5" xfId="30491" xr:uid="{00000000-0005-0000-0000-00004B770000}"/>
    <cellStyle name="计算 2 5 9 7 5 2" xfId="30494" xr:uid="{00000000-0005-0000-0000-00004E770000}"/>
    <cellStyle name="计算 2 5 9 7 6" xfId="30496" xr:uid="{00000000-0005-0000-0000-000050770000}"/>
    <cellStyle name="计算 2 5 9 8" xfId="30498" xr:uid="{00000000-0005-0000-0000-000052770000}"/>
    <cellStyle name="计算 2 5 9 8 2" xfId="26664" xr:uid="{00000000-0005-0000-0000-000058680000}"/>
    <cellStyle name="计算 2 5 9 8 2 2" xfId="26668" xr:uid="{00000000-0005-0000-0000-00005C680000}"/>
    <cellStyle name="计算 2 5 9 8 3" xfId="26672" xr:uid="{00000000-0005-0000-0000-000060680000}"/>
    <cellStyle name="计算 2 5 9 8 3 2" xfId="26675" xr:uid="{00000000-0005-0000-0000-000063680000}"/>
    <cellStyle name="计算 2 5 9 8 4" xfId="26680" xr:uid="{00000000-0005-0000-0000-000068680000}"/>
    <cellStyle name="计算 2 5 9 8 4 2" xfId="30501" xr:uid="{00000000-0005-0000-0000-000055770000}"/>
    <cellStyle name="计算 2 5 9 8 5" xfId="30506" xr:uid="{00000000-0005-0000-0000-00005A770000}"/>
    <cellStyle name="计算 2 5 9 9" xfId="30507" xr:uid="{00000000-0005-0000-0000-00005B770000}"/>
    <cellStyle name="计算 2 5 9 9 2" xfId="26690" xr:uid="{00000000-0005-0000-0000-000072680000}"/>
    <cellStyle name="计算 2 6" xfId="30509" xr:uid="{00000000-0005-0000-0000-00005D770000}"/>
    <cellStyle name="计算 2 6 10" xfId="30511" xr:uid="{00000000-0005-0000-0000-00005F770000}"/>
    <cellStyle name="计算 2 6 10 10" xfId="14959" xr:uid="{00000000-0005-0000-0000-00009F3A0000}"/>
    <cellStyle name="计算 2 6 10 10 2" xfId="30512" xr:uid="{00000000-0005-0000-0000-000060770000}"/>
    <cellStyle name="计算 2 6 10 11" xfId="3200" xr:uid="{00000000-0005-0000-0000-0000B00C0000}"/>
    <cellStyle name="计算 2 6 10 11 2" xfId="30515" xr:uid="{00000000-0005-0000-0000-000063770000}"/>
    <cellStyle name="计算 2 6 10 12" xfId="6544" xr:uid="{00000000-0005-0000-0000-0000C0190000}"/>
    <cellStyle name="计算 2 6 10 12 2" xfId="9236" xr:uid="{00000000-0005-0000-0000-000044240000}"/>
    <cellStyle name="计算 2 6 10 13" xfId="7704" xr:uid="{00000000-0005-0000-0000-0000481E0000}"/>
    <cellStyle name="计算 2 6 10 14" xfId="87" xr:uid="{00000000-0005-0000-0000-00005E000000}"/>
    <cellStyle name="计算 2 6 10 15" xfId="9242" xr:uid="{00000000-0005-0000-0000-00004A240000}"/>
    <cellStyle name="计算 2 6 10 16" xfId="9255" xr:uid="{00000000-0005-0000-0000-000057240000}"/>
    <cellStyle name="计算 2 6 10 2" xfId="30518" xr:uid="{00000000-0005-0000-0000-000066770000}"/>
    <cellStyle name="计算 2 6 10 2 2" xfId="30519" xr:uid="{00000000-0005-0000-0000-000067770000}"/>
    <cellStyle name="计算 2 6 10 2 2 2" xfId="30522" xr:uid="{00000000-0005-0000-0000-00006A770000}"/>
    <cellStyle name="计算 2 6 10 2 3" xfId="18543" xr:uid="{00000000-0005-0000-0000-00009F480000}"/>
    <cellStyle name="计算 2 6 10 2 3 2" xfId="30525" xr:uid="{00000000-0005-0000-0000-00006D770000}"/>
    <cellStyle name="计算 2 6 10 2 4" xfId="30527" xr:uid="{00000000-0005-0000-0000-00006F770000}"/>
    <cellStyle name="计算 2 6 10 2 4 2" xfId="30530" xr:uid="{00000000-0005-0000-0000-000072770000}"/>
    <cellStyle name="计算 2 6 10 2 5" xfId="30531" xr:uid="{00000000-0005-0000-0000-000073770000}"/>
    <cellStyle name="计算 2 6 10 2 5 2" xfId="30532" xr:uid="{00000000-0005-0000-0000-000074770000}"/>
    <cellStyle name="计算 2 6 10 2 6" xfId="11595" xr:uid="{00000000-0005-0000-0000-00007B2D0000}"/>
    <cellStyle name="计算 2 6 10 2 7" xfId="2770" xr:uid="{00000000-0005-0000-0000-0000020B0000}"/>
    <cellStyle name="计算 2 6 10 2 8" xfId="13226" xr:uid="{00000000-0005-0000-0000-0000DA330000}"/>
    <cellStyle name="计算 2 6 10 2 9" xfId="13244" xr:uid="{00000000-0005-0000-0000-0000EC330000}"/>
    <cellStyle name="计算 2 6 10 3" xfId="30534" xr:uid="{00000000-0005-0000-0000-000076770000}"/>
    <cellStyle name="计算 2 6 10 3 2" xfId="11705" xr:uid="{00000000-0005-0000-0000-0000E92D0000}"/>
    <cellStyle name="计算 2 6 10 3 2 2" xfId="2313" xr:uid="{00000000-0005-0000-0000-000039090000}"/>
    <cellStyle name="计算 2 6 10 3 3" xfId="13714" xr:uid="{00000000-0005-0000-0000-0000C2350000}"/>
    <cellStyle name="计算 2 6 10 3 3 2" xfId="9291" xr:uid="{00000000-0005-0000-0000-00007B240000}"/>
    <cellStyle name="计算 2 6 10 3 4" xfId="27604" xr:uid="{00000000-0005-0000-0000-0000046C0000}"/>
    <cellStyle name="计算 2 6 10 3 4 2" xfId="9314" xr:uid="{00000000-0005-0000-0000-000092240000}"/>
    <cellStyle name="计算 2 6 10 3 5" xfId="27719" xr:uid="{00000000-0005-0000-0000-0000776C0000}"/>
    <cellStyle name="计算 2 6 10 3 5 2" xfId="9337" xr:uid="{00000000-0005-0000-0000-0000A9240000}"/>
    <cellStyle name="计算 2 6 10 3 6" xfId="11602" xr:uid="{00000000-0005-0000-0000-0000822D0000}"/>
    <cellStyle name="计算 2 6 10 4" xfId="30535" xr:uid="{00000000-0005-0000-0000-000077770000}"/>
    <cellStyle name="计算 2 6 10 4 2" xfId="28437" xr:uid="{00000000-0005-0000-0000-0000456F0000}"/>
    <cellStyle name="计算 2 6 10 4 2 2" xfId="28475" xr:uid="{00000000-0005-0000-0000-00006B6F0000}"/>
    <cellStyle name="计算 2 6 10 4 3" xfId="25935" xr:uid="{00000000-0005-0000-0000-00007F650000}"/>
    <cellStyle name="计算 2 6 10 4 3 2" xfId="28534" xr:uid="{00000000-0005-0000-0000-0000A66F0000}"/>
    <cellStyle name="计算 2 6 10 4 4" xfId="28572" xr:uid="{00000000-0005-0000-0000-0000CC6F0000}"/>
    <cellStyle name="计算 2 6 10 4 4 2" xfId="28586" xr:uid="{00000000-0005-0000-0000-0000DA6F0000}"/>
    <cellStyle name="计算 2 6 10 4 5" xfId="28621" xr:uid="{00000000-0005-0000-0000-0000FD6F0000}"/>
    <cellStyle name="计算 2 6 10 4 5 2" xfId="28633" xr:uid="{00000000-0005-0000-0000-000009700000}"/>
    <cellStyle name="计算 2 6 10 4 6" xfId="8546" xr:uid="{00000000-0005-0000-0000-000092210000}"/>
    <cellStyle name="计算 2 6 10 5" xfId="30537" xr:uid="{00000000-0005-0000-0000-000079770000}"/>
    <cellStyle name="计算 2 6 10 5 2" xfId="27343" xr:uid="{00000000-0005-0000-0000-0000FF6A0000}"/>
    <cellStyle name="计算 2 6 10 5 2 2" xfId="27346" xr:uid="{00000000-0005-0000-0000-0000026B0000}"/>
    <cellStyle name="计算 2 6 10 5 3" xfId="25943" xr:uid="{00000000-0005-0000-0000-000087650000}"/>
    <cellStyle name="计算 2 6 10 5 3 2" xfId="29227" xr:uid="{00000000-0005-0000-0000-00005B720000}"/>
    <cellStyle name="计算 2 6 10 5 4" xfId="27352" xr:uid="{00000000-0005-0000-0000-0000086B0000}"/>
    <cellStyle name="计算 2 6 10 5 4 2" xfId="29249" xr:uid="{00000000-0005-0000-0000-000071720000}"/>
    <cellStyle name="计算 2 6 10 5 5" xfId="27355" xr:uid="{00000000-0005-0000-0000-00000B6B0000}"/>
    <cellStyle name="计算 2 6 10 5 5 2" xfId="29265" xr:uid="{00000000-0005-0000-0000-000081720000}"/>
    <cellStyle name="计算 2 6 10 5 6" xfId="8553" xr:uid="{00000000-0005-0000-0000-000099210000}"/>
    <cellStyle name="计算 2 6 10 6" xfId="30538" xr:uid="{00000000-0005-0000-0000-00007A770000}"/>
    <cellStyle name="计算 2 6 10 6 2" xfId="30165" xr:uid="{00000000-0005-0000-0000-000005760000}"/>
    <cellStyle name="计算 2 6 10 6 2 2" xfId="30174" xr:uid="{00000000-0005-0000-0000-00000E760000}"/>
    <cellStyle name="计算 2 6 10 6 3" xfId="30223" xr:uid="{00000000-0005-0000-0000-00003F760000}"/>
    <cellStyle name="计算 2 6 10 6 3 2" xfId="30229" xr:uid="{00000000-0005-0000-0000-000045760000}"/>
    <cellStyle name="计算 2 6 10 6 4" xfId="30281" xr:uid="{00000000-0005-0000-0000-000079760000}"/>
    <cellStyle name="计算 2 6 10 6 4 2" xfId="30297" xr:uid="{00000000-0005-0000-0000-000089760000}"/>
    <cellStyle name="计算 2 6 10 6 5" xfId="30371" xr:uid="{00000000-0005-0000-0000-0000D3760000}"/>
    <cellStyle name="计算 2 6 10 6 5 2" xfId="30382" xr:uid="{00000000-0005-0000-0000-0000DE760000}"/>
    <cellStyle name="计算 2 6 10 6 6" xfId="8567" xr:uid="{00000000-0005-0000-0000-0000A7210000}"/>
    <cellStyle name="计算 2 6 10 7" xfId="1141" xr:uid="{00000000-0005-0000-0000-0000A5040000}"/>
    <cellStyle name="计算 2 6 10 7 2" xfId="3609" xr:uid="{00000000-0005-0000-0000-0000490E0000}"/>
    <cellStyle name="计算 2 6 10 7 2 2" xfId="30540" xr:uid="{00000000-0005-0000-0000-00007C770000}"/>
    <cellStyle name="计算 2 6 10 7 3" xfId="30542" xr:uid="{00000000-0005-0000-0000-00007E770000}"/>
    <cellStyle name="计算 2 6 10 7 3 2" xfId="30544" xr:uid="{00000000-0005-0000-0000-000080770000}"/>
    <cellStyle name="计算 2 6 10 7 4" xfId="30546" xr:uid="{00000000-0005-0000-0000-000082770000}"/>
    <cellStyle name="计算 2 6 10 7 4 2" xfId="30548" xr:uid="{00000000-0005-0000-0000-000084770000}"/>
    <cellStyle name="计算 2 6 10 7 5" xfId="16492" xr:uid="{00000000-0005-0000-0000-00009C400000}"/>
    <cellStyle name="计算 2 6 10 7 5 2" xfId="16497" xr:uid="{00000000-0005-0000-0000-0000A1400000}"/>
    <cellStyle name="计算 2 6 10 7 6" xfId="3808" xr:uid="{00000000-0005-0000-0000-0000100F0000}"/>
    <cellStyle name="计算 2 6 10 8" xfId="1158" xr:uid="{00000000-0005-0000-0000-0000B6040000}"/>
    <cellStyle name="计算 2 6 10 8 2" xfId="4141" xr:uid="{00000000-0005-0000-0000-00005D100000}"/>
    <cellStyle name="计算 2 6 10 8 2 2" xfId="30550" xr:uid="{00000000-0005-0000-0000-000086770000}"/>
    <cellStyle name="计算 2 6 10 8 3" xfId="30552" xr:uid="{00000000-0005-0000-0000-000088770000}"/>
    <cellStyle name="计算 2 6 10 8 3 2" xfId="30554" xr:uid="{00000000-0005-0000-0000-00008A770000}"/>
    <cellStyle name="计算 2 6 10 8 4" xfId="30556" xr:uid="{00000000-0005-0000-0000-00008C770000}"/>
    <cellStyle name="计算 2 6 10 8 4 2" xfId="30558" xr:uid="{00000000-0005-0000-0000-00008E770000}"/>
    <cellStyle name="计算 2 6 10 8 5" xfId="16525" xr:uid="{00000000-0005-0000-0000-0000BD400000}"/>
    <cellStyle name="计算 2 6 10 9" xfId="6685" xr:uid="{00000000-0005-0000-0000-00004D1A0000}"/>
    <cellStyle name="计算 2 6 10 9 2" xfId="4500" xr:uid="{00000000-0005-0000-0000-0000C4110000}"/>
    <cellStyle name="计算 2 6 11" xfId="30561" xr:uid="{00000000-0005-0000-0000-000091770000}"/>
    <cellStyle name="计算 2 6 11 10" xfId="15047" xr:uid="{00000000-0005-0000-0000-0000F73A0000}"/>
    <cellStyle name="计算 2 6 11 10 2" xfId="30565" xr:uid="{00000000-0005-0000-0000-000095770000}"/>
    <cellStyle name="计算 2 6 11 11" xfId="30567" xr:uid="{00000000-0005-0000-0000-000097770000}"/>
    <cellStyle name="计算 2 6 11 11 2" xfId="30570" xr:uid="{00000000-0005-0000-0000-00009A770000}"/>
    <cellStyle name="计算 2 6 11 12" xfId="6001" xr:uid="{00000000-0005-0000-0000-0000A1170000}"/>
    <cellStyle name="计算 2 6 11 12 2" xfId="9344" xr:uid="{00000000-0005-0000-0000-0000B0240000}"/>
    <cellStyle name="计算 2 6 11 13" xfId="9348" xr:uid="{00000000-0005-0000-0000-0000B4240000}"/>
    <cellStyle name="计算 2 6 11 14" xfId="9354" xr:uid="{00000000-0005-0000-0000-0000BA240000}"/>
    <cellStyle name="计算 2 6 11 15" xfId="9359" xr:uid="{00000000-0005-0000-0000-0000BF240000}"/>
    <cellStyle name="计算 2 6 11 16" xfId="4993" xr:uid="{00000000-0005-0000-0000-0000B1130000}"/>
    <cellStyle name="计算 2 6 11 2" xfId="30573" xr:uid="{00000000-0005-0000-0000-00009D770000}"/>
    <cellStyle name="计算 2 6 11 2 2" xfId="30574" xr:uid="{00000000-0005-0000-0000-00009E770000}"/>
    <cellStyle name="计算 2 6 11 2 2 2" xfId="30575" xr:uid="{00000000-0005-0000-0000-00009F770000}"/>
    <cellStyle name="计算 2 6 11 2 3" xfId="14010" xr:uid="{00000000-0005-0000-0000-0000EA360000}"/>
    <cellStyle name="计算 2 6 11 2 3 2" xfId="30577" xr:uid="{00000000-0005-0000-0000-0000A1770000}"/>
    <cellStyle name="计算 2 6 11 2 4" xfId="30578" xr:uid="{00000000-0005-0000-0000-0000A2770000}"/>
    <cellStyle name="计算 2 6 11 2 4 2" xfId="30579" xr:uid="{00000000-0005-0000-0000-0000A3770000}"/>
    <cellStyle name="计算 2 6 11 2 5" xfId="30581" xr:uid="{00000000-0005-0000-0000-0000A5770000}"/>
    <cellStyle name="计算 2 6 11 2 5 2" xfId="30582" xr:uid="{00000000-0005-0000-0000-0000A6770000}"/>
    <cellStyle name="计算 2 6 11 2 6" xfId="14660" xr:uid="{00000000-0005-0000-0000-000074390000}"/>
    <cellStyle name="计算 2 6 11 3" xfId="30584" xr:uid="{00000000-0005-0000-0000-0000A8770000}"/>
    <cellStyle name="计算 2 6 11 3 2" xfId="30585" xr:uid="{00000000-0005-0000-0000-0000A9770000}"/>
    <cellStyle name="计算 2 6 11 3 2 2" xfId="30586" xr:uid="{00000000-0005-0000-0000-0000AA770000}"/>
    <cellStyle name="计算 2 6 11 3 3" xfId="21359" xr:uid="{00000000-0005-0000-0000-00009F530000}"/>
    <cellStyle name="计算 2 6 11 3 3 2" xfId="30589" xr:uid="{00000000-0005-0000-0000-0000AD770000}"/>
    <cellStyle name="计算 2 6 11 3 4" xfId="30591" xr:uid="{00000000-0005-0000-0000-0000AF770000}"/>
    <cellStyle name="计算 2 6 11 3 4 2" xfId="30593" xr:uid="{00000000-0005-0000-0000-0000B1770000}"/>
    <cellStyle name="计算 2 6 11 3 5" xfId="30596" xr:uid="{00000000-0005-0000-0000-0000B4770000}"/>
    <cellStyle name="计算 2 6 11 3 5 2" xfId="30598" xr:uid="{00000000-0005-0000-0000-0000B6770000}"/>
    <cellStyle name="计算 2 6 11 3 6" xfId="14803" xr:uid="{00000000-0005-0000-0000-0000033A0000}"/>
    <cellStyle name="计算 2 6 11 4" xfId="30600" xr:uid="{00000000-0005-0000-0000-0000B8770000}"/>
    <cellStyle name="计算 2 6 11 4 2" xfId="30601" xr:uid="{00000000-0005-0000-0000-0000B9770000}"/>
    <cellStyle name="计算 2 6 11 4 2 2" xfId="30602" xr:uid="{00000000-0005-0000-0000-0000BA770000}"/>
    <cellStyle name="计算 2 6 11 4 3" xfId="25976" xr:uid="{00000000-0005-0000-0000-0000A8650000}"/>
    <cellStyle name="计算 2 6 11 4 3 2" xfId="30604" xr:uid="{00000000-0005-0000-0000-0000BC770000}"/>
    <cellStyle name="计算 2 6 11 4 4" xfId="30605" xr:uid="{00000000-0005-0000-0000-0000BD770000}"/>
    <cellStyle name="计算 2 6 11 4 4 2" xfId="30606" xr:uid="{00000000-0005-0000-0000-0000BE770000}"/>
    <cellStyle name="计算 2 6 11 4 5" xfId="30608" xr:uid="{00000000-0005-0000-0000-0000C0770000}"/>
    <cellStyle name="计算 2 6 11 4 5 2" xfId="30609" xr:uid="{00000000-0005-0000-0000-0000C1770000}"/>
    <cellStyle name="计算 2 6 11 4 6" xfId="3862" xr:uid="{00000000-0005-0000-0000-0000460F0000}"/>
    <cellStyle name="计算 2 6 11 5" xfId="30611" xr:uid="{00000000-0005-0000-0000-0000C3770000}"/>
    <cellStyle name="计算 2 6 11 5 2" xfId="30612" xr:uid="{00000000-0005-0000-0000-0000C4770000}"/>
    <cellStyle name="计算 2 6 11 5 2 2" xfId="14132" xr:uid="{00000000-0005-0000-0000-000064370000}"/>
    <cellStyle name="计算 2 6 11 5 3" xfId="30614" xr:uid="{00000000-0005-0000-0000-0000C6770000}"/>
    <cellStyle name="计算 2 6 11 5 3 2" xfId="30615" xr:uid="{00000000-0005-0000-0000-0000C7770000}"/>
    <cellStyle name="计算 2 6 11 5 4" xfId="30616" xr:uid="{00000000-0005-0000-0000-0000C8770000}"/>
    <cellStyle name="计算 2 6 11 5 4 2" xfId="30617" xr:uid="{00000000-0005-0000-0000-0000C9770000}"/>
    <cellStyle name="计算 2 6 11 5 5" xfId="30618" xr:uid="{00000000-0005-0000-0000-0000CA770000}"/>
    <cellStyle name="计算 2 6 11 5 5 2" xfId="30619" xr:uid="{00000000-0005-0000-0000-0000CB770000}"/>
    <cellStyle name="计算 2 6 11 5 6" xfId="4949" xr:uid="{00000000-0005-0000-0000-000085130000}"/>
    <cellStyle name="计算 2 6 11 6" xfId="30620" xr:uid="{00000000-0005-0000-0000-0000CC770000}"/>
    <cellStyle name="计算 2 6 11 6 2" xfId="1822" xr:uid="{00000000-0005-0000-0000-00004E070000}"/>
    <cellStyle name="计算 2 6 11 6 2 2" xfId="1840" xr:uid="{00000000-0005-0000-0000-000060070000}"/>
    <cellStyle name="计算 2 6 11 6 3" xfId="1831" xr:uid="{00000000-0005-0000-0000-000057070000}"/>
    <cellStyle name="计算 2 6 11 6 3 2" xfId="30622" xr:uid="{00000000-0005-0000-0000-0000CE770000}"/>
    <cellStyle name="计算 2 6 11 6 4" xfId="1836" xr:uid="{00000000-0005-0000-0000-00005C070000}"/>
    <cellStyle name="计算 2 6 11 6 4 2" xfId="30623" xr:uid="{00000000-0005-0000-0000-0000CF770000}"/>
    <cellStyle name="计算 2 6 11 6 5" xfId="1906" xr:uid="{00000000-0005-0000-0000-0000A2070000}"/>
    <cellStyle name="计算 2 6 11 6 5 2" xfId="30624" xr:uid="{00000000-0005-0000-0000-0000D0770000}"/>
    <cellStyle name="计算 2 6 11 6 6" xfId="66" xr:uid="{00000000-0005-0000-0000-000047000000}"/>
    <cellStyle name="计算 2 6 11 7" xfId="30625" xr:uid="{00000000-0005-0000-0000-0000D1770000}"/>
    <cellStyle name="计算 2 6 11 7 2" xfId="30626" xr:uid="{00000000-0005-0000-0000-0000D2770000}"/>
    <cellStyle name="计算 2 6 11 7 2 2" xfId="30627" xr:uid="{00000000-0005-0000-0000-0000D3770000}"/>
    <cellStyle name="计算 2 6 11 7 3" xfId="30629" xr:uid="{00000000-0005-0000-0000-0000D5770000}"/>
    <cellStyle name="计算 2 6 11 7 3 2" xfId="30630" xr:uid="{00000000-0005-0000-0000-0000D6770000}"/>
    <cellStyle name="计算 2 6 11 7 4" xfId="30631" xr:uid="{00000000-0005-0000-0000-0000D7770000}"/>
    <cellStyle name="计算 2 6 11 7 4 2" xfId="30632" xr:uid="{00000000-0005-0000-0000-0000D8770000}"/>
    <cellStyle name="计算 2 6 11 7 5" xfId="16654" xr:uid="{00000000-0005-0000-0000-00003E410000}"/>
    <cellStyle name="计算 2 6 11 7 5 2" xfId="16656" xr:uid="{00000000-0005-0000-0000-000040410000}"/>
    <cellStyle name="计算 2 6 11 7 6" xfId="7605" xr:uid="{00000000-0005-0000-0000-0000E51D0000}"/>
    <cellStyle name="计算 2 6 11 8" xfId="30633" xr:uid="{00000000-0005-0000-0000-0000D9770000}"/>
    <cellStyle name="计算 2 6 11 8 2" xfId="30634" xr:uid="{00000000-0005-0000-0000-0000DA770000}"/>
    <cellStyle name="计算 2 6 11 8 2 2" xfId="30636" xr:uid="{00000000-0005-0000-0000-0000DC770000}"/>
    <cellStyle name="计算 2 6 11 8 3" xfId="30638" xr:uid="{00000000-0005-0000-0000-0000DE770000}"/>
    <cellStyle name="计算 2 6 11 8 3 2" xfId="30639" xr:uid="{00000000-0005-0000-0000-0000DF770000}"/>
    <cellStyle name="计算 2 6 11 8 4" xfId="30640" xr:uid="{00000000-0005-0000-0000-0000E0770000}"/>
    <cellStyle name="计算 2 6 11 8 4 2" xfId="30641" xr:uid="{00000000-0005-0000-0000-0000E1770000}"/>
    <cellStyle name="计算 2 6 11 8 5" xfId="16681" xr:uid="{00000000-0005-0000-0000-000059410000}"/>
    <cellStyle name="计算 2 6 11 9" xfId="30643" xr:uid="{00000000-0005-0000-0000-0000E3770000}"/>
    <cellStyle name="计算 2 6 11 9 2" xfId="30646" xr:uid="{00000000-0005-0000-0000-0000E6770000}"/>
    <cellStyle name="计算 2 6 12" xfId="30648" xr:uid="{00000000-0005-0000-0000-0000E8770000}"/>
    <cellStyle name="计算 2 6 12 2" xfId="30650" xr:uid="{00000000-0005-0000-0000-0000EA770000}"/>
    <cellStyle name="计算 2 6 12 2 2" xfId="30651" xr:uid="{00000000-0005-0000-0000-0000EB770000}"/>
    <cellStyle name="计算 2 6 12 3" xfId="30653" xr:uid="{00000000-0005-0000-0000-0000ED770000}"/>
    <cellStyle name="计算 2 6 12 3 2" xfId="30655" xr:uid="{00000000-0005-0000-0000-0000EF770000}"/>
    <cellStyle name="计算 2 6 12 4" xfId="30656" xr:uid="{00000000-0005-0000-0000-0000F0770000}"/>
    <cellStyle name="计算 2 6 12 4 2" xfId="30657" xr:uid="{00000000-0005-0000-0000-0000F1770000}"/>
    <cellStyle name="计算 2 6 12 5" xfId="30658" xr:uid="{00000000-0005-0000-0000-0000F2770000}"/>
    <cellStyle name="计算 2 6 12 5 2" xfId="30660" xr:uid="{00000000-0005-0000-0000-0000F4770000}"/>
    <cellStyle name="计算 2 6 12 6" xfId="4132" xr:uid="{00000000-0005-0000-0000-000054100000}"/>
    <cellStyle name="计算 2 6 12 7" xfId="30663" xr:uid="{00000000-0005-0000-0000-0000F7770000}"/>
    <cellStyle name="计算 2 6 12 8" xfId="30665" xr:uid="{00000000-0005-0000-0000-0000F9770000}"/>
    <cellStyle name="计算 2 6 12 9" xfId="30670" xr:uid="{00000000-0005-0000-0000-0000FE770000}"/>
    <cellStyle name="计算 2 6 13" xfId="30674" xr:uid="{00000000-0005-0000-0000-000002780000}"/>
    <cellStyle name="计算 2 6 13 2" xfId="30675" xr:uid="{00000000-0005-0000-0000-000003780000}"/>
    <cellStyle name="计算 2 6 13 2 2" xfId="30676" xr:uid="{00000000-0005-0000-0000-000004780000}"/>
    <cellStyle name="计算 2 6 13 3" xfId="30678" xr:uid="{00000000-0005-0000-0000-000006780000}"/>
    <cellStyle name="计算 2 6 13 3 2" xfId="30680" xr:uid="{00000000-0005-0000-0000-000008780000}"/>
    <cellStyle name="计算 2 6 13 4" xfId="30681" xr:uid="{00000000-0005-0000-0000-000009780000}"/>
    <cellStyle name="计算 2 6 13 4 2" xfId="30682" xr:uid="{00000000-0005-0000-0000-00000A780000}"/>
    <cellStyle name="计算 2 6 13 5" xfId="30683" xr:uid="{00000000-0005-0000-0000-00000B780000}"/>
    <cellStyle name="计算 2 6 13 5 2" xfId="30684" xr:uid="{00000000-0005-0000-0000-00000C780000}"/>
    <cellStyle name="计算 2 6 13 6" xfId="4687" xr:uid="{00000000-0005-0000-0000-00007F120000}"/>
    <cellStyle name="计算 2 6 14" xfId="30685" xr:uid="{00000000-0005-0000-0000-00000D780000}"/>
    <cellStyle name="计算 2 6 14 2" xfId="30686" xr:uid="{00000000-0005-0000-0000-00000E780000}"/>
    <cellStyle name="计算 2 6 14 2 2" xfId="839" xr:uid="{00000000-0005-0000-0000-000077030000}"/>
    <cellStyle name="计算 2 6 14 3" xfId="30687" xr:uid="{00000000-0005-0000-0000-00000F780000}"/>
    <cellStyle name="计算 2 6 14 3 2" xfId="855" xr:uid="{00000000-0005-0000-0000-000087030000}"/>
    <cellStyle name="计算 2 6 14 4" xfId="30688" xr:uid="{00000000-0005-0000-0000-000010780000}"/>
    <cellStyle name="计算 2 6 14 4 2" xfId="881" xr:uid="{00000000-0005-0000-0000-0000A1030000}"/>
    <cellStyle name="计算 2 6 14 5" xfId="30689" xr:uid="{00000000-0005-0000-0000-000011780000}"/>
    <cellStyle name="计算 2 6 14 5 2" xfId="911" xr:uid="{00000000-0005-0000-0000-0000BF030000}"/>
    <cellStyle name="计算 2 6 14 6" xfId="1676" xr:uid="{00000000-0005-0000-0000-0000BC060000}"/>
    <cellStyle name="计算 2 6 15" xfId="30690" xr:uid="{00000000-0005-0000-0000-000012780000}"/>
    <cellStyle name="计算 2 6 15 2" xfId="30692" xr:uid="{00000000-0005-0000-0000-000014780000}"/>
    <cellStyle name="计算 2 6 15 2 2" xfId="30694" xr:uid="{00000000-0005-0000-0000-000016780000}"/>
    <cellStyle name="计算 2 6 15 3" xfId="30695" xr:uid="{00000000-0005-0000-0000-000017780000}"/>
    <cellStyle name="计算 2 6 15 3 2" xfId="30696" xr:uid="{00000000-0005-0000-0000-000018780000}"/>
    <cellStyle name="计算 2 6 15 4" xfId="30697" xr:uid="{00000000-0005-0000-0000-000019780000}"/>
    <cellStyle name="计算 2 6 15 4 2" xfId="30698" xr:uid="{00000000-0005-0000-0000-00001A780000}"/>
    <cellStyle name="计算 2 6 15 5" xfId="30699" xr:uid="{00000000-0005-0000-0000-00001B780000}"/>
    <cellStyle name="计算 2 6 15 5 2" xfId="30700" xr:uid="{00000000-0005-0000-0000-00001C780000}"/>
    <cellStyle name="计算 2 6 15 6" xfId="30701" xr:uid="{00000000-0005-0000-0000-00001D780000}"/>
    <cellStyle name="计算 2 6 16" xfId="30702" xr:uid="{00000000-0005-0000-0000-00001E780000}"/>
    <cellStyle name="计算 2 6 16 2" xfId="30704" xr:uid="{00000000-0005-0000-0000-000020780000}"/>
    <cellStyle name="计算 2 6 16 2 2" xfId="30706" xr:uid="{00000000-0005-0000-0000-000022780000}"/>
    <cellStyle name="计算 2 6 16 3" xfId="30707" xr:uid="{00000000-0005-0000-0000-000023780000}"/>
    <cellStyle name="计算 2 6 16 3 2" xfId="30708" xr:uid="{00000000-0005-0000-0000-000024780000}"/>
    <cellStyle name="计算 2 6 16 4" xfId="30709" xr:uid="{00000000-0005-0000-0000-000025780000}"/>
    <cellStyle name="计算 2 6 16 4 2" xfId="30710" xr:uid="{00000000-0005-0000-0000-000026780000}"/>
    <cellStyle name="计算 2 6 16 5" xfId="30711" xr:uid="{00000000-0005-0000-0000-000027780000}"/>
    <cellStyle name="计算 2 6 16 5 2" xfId="30712" xr:uid="{00000000-0005-0000-0000-000028780000}"/>
    <cellStyle name="计算 2 6 16 6" xfId="30713" xr:uid="{00000000-0005-0000-0000-000029780000}"/>
    <cellStyle name="计算 2 6 17" xfId="16198" xr:uid="{00000000-0005-0000-0000-0000763F0000}"/>
    <cellStyle name="计算 2 6 17 2" xfId="30716" xr:uid="{00000000-0005-0000-0000-00002C780000}"/>
    <cellStyle name="计算 2 6 17 2 2" xfId="30718" xr:uid="{00000000-0005-0000-0000-00002E780000}"/>
    <cellStyle name="计算 2 6 17 3" xfId="30719" xr:uid="{00000000-0005-0000-0000-00002F780000}"/>
    <cellStyle name="计算 2 6 17 3 2" xfId="30721" xr:uid="{00000000-0005-0000-0000-000031780000}"/>
    <cellStyle name="计算 2 6 17 4" xfId="30722" xr:uid="{00000000-0005-0000-0000-000032780000}"/>
    <cellStyle name="计算 2 6 17 4 2" xfId="30723" xr:uid="{00000000-0005-0000-0000-000033780000}"/>
    <cellStyle name="计算 2 6 17 5" xfId="30724" xr:uid="{00000000-0005-0000-0000-000034780000}"/>
    <cellStyle name="计算 2 6 17 5 2" xfId="30727" xr:uid="{00000000-0005-0000-0000-000037780000}"/>
    <cellStyle name="计算 2 6 17 6" xfId="30731" xr:uid="{00000000-0005-0000-0000-00003B780000}"/>
    <cellStyle name="计算 2 6 18" xfId="26522" xr:uid="{00000000-0005-0000-0000-0000CA670000}"/>
    <cellStyle name="计算 2 6 18 2" xfId="26528" xr:uid="{00000000-0005-0000-0000-0000D0670000}"/>
    <cellStyle name="计算 2 6 18 2 2" xfId="30735" xr:uid="{00000000-0005-0000-0000-00003F780000}"/>
    <cellStyle name="计算 2 6 18 3" xfId="30739" xr:uid="{00000000-0005-0000-0000-000043780000}"/>
    <cellStyle name="计算 2 6 18 3 2" xfId="30741" xr:uid="{00000000-0005-0000-0000-000045780000}"/>
    <cellStyle name="计算 2 6 18 4" xfId="30744" xr:uid="{00000000-0005-0000-0000-000048780000}"/>
    <cellStyle name="计算 2 6 18 4 2" xfId="30745" xr:uid="{00000000-0005-0000-0000-000049780000}"/>
    <cellStyle name="计算 2 6 18 5" xfId="30748" xr:uid="{00000000-0005-0000-0000-00004C780000}"/>
    <cellStyle name="计算 2 6 18 5 2" xfId="30749" xr:uid="{00000000-0005-0000-0000-00004D780000}"/>
    <cellStyle name="计算 2 6 18 6" xfId="30753" xr:uid="{00000000-0005-0000-0000-000051780000}"/>
    <cellStyle name="计算 2 6 19" xfId="26535" xr:uid="{00000000-0005-0000-0000-0000D7670000}"/>
    <cellStyle name="计算 2 6 19 2" xfId="21279" xr:uid="{00000000-0005-0000-0000-00004F530000}"/>
    <cellStyle name="计算 2 6 19 2 2" xfId="13082" xr:uid="{00000000-0005-0000-0000-00004A330000}"/>
    <cellStyle name="计算 2 6 19 3" xfId="30757" xr:uid="{00000000-0005-0000-0000-000055780000}"/>
    <cellStyle name="计算 2 6 19 3 2" xfId="30761" xr:uid="{00000000-0005-0000-0000-000059780000}"/>
    <cellStyle name="计算 2 6 19 4" xfId="30763" xr:uid="{00000000-0005-0000-0000-00005B780000}"/>
    <cellStyle name="计算 2 6 19 4 2" xfId="30767" xr:uid="{00000000-0005-0000-0000-00005F780000}"/>
    <cellStyle name="计算 2 6 19 5" xfId="30769" xr:uid="{00000000-0005-0000-0000-000061780000}"/>
    <cellStyle name="计算 2 6 2" xfId="18775" xr:uid="{00000000-0005-0000-0000-000087490000}"/>
    <cellStyle name="计算 2 6 2 10" xfId="30771" xr:uid="{00000000-0005-0000-0000-000063780000}"/>
    <cellStyle name="计算 2 6 2 10 2" xfId="30773" xr:uid="{00000000-0005-0000-0000-000065780000}"/>
    <cellStyle name="计算 2 6 2 11" xfId="30774" xr:uid="{00000000-0005-0000-0000-000066780000}"/>
    <cellStyle name="计算 2 6 2 11 2" xfId="30776" xr:uid="{00000000-0005-0000-0000-000068780000}"/>
    <cellStyle name="计算 2 6 2 12" xfId="30777" xr:uid="{00000000-0005-0000-0000-000069780000}"/>
    <cellStyle name="计算 2 6 2 12 2" xfId="30778" xr:uid="{00000000-0005-0000-0000-00006A780000}"/>
    <cellStyle name="计算 2 6 2 13" xfId="30779" xr:uid="{00000000-0005-0000-0000-00006B780000}"/>
    <cellStyle name="计算 2 6 2 14" xfId="30780" xr:uid="{00000000-0005-0000-0000-00006C780000}"/>
    <cellStyle name="计算 2 6 2 15" xfId="30781" xr:uid="{00000000-0005-0000-0000-00006D780000}"/>
    <cellStyle name="计算 2 6 2 16" xfId="30782" xr:uid="{00000000-0005-0000-0000-00006E780000}"/>
    <cellStyle name="计算 2 6 2 2" xfId="18778" xr:uid="{00000000-0005-0000-0000-00008A490000}"/>
    <cellStyle name="计算 2 6 2 2 2" xfId="30785" xr:uid="{00000000-0005-0000-0000-000071780000}"/>
    <cellStyle name="计算 2 6 2 2 2 2" xfId="30789" xr:uid="{00000000-0005-0000-0000-000075780000}"/>
    <cellStyle name="计算 2 6 2 2 3" xfId="30792" xr:uid="{00000000-0005-0000-0000-000078780000}"/>
    <cellStyle name="计算 2 6 2 2 3 2" xfId="30796" xr:uid="{00000000-0005-0000-0000-00007C780000}"/>
    <cellStyle name="计算 2 6 2 2 4" xfId="30800" xr:uid="{00000000-0005-0000-0000-000080780000}"/>
    <cellStyle name="计算 2 6 2 2 4 2" xfId="30804" xr:uid="{00000000-0005-0000-0000-000084780000}"/>
    <cellStyle name="计算 2 6 2 2 5" xfId="30808" xr:uid="{00000000-0005-0000-0000-000088780000}"/>
    <cellStyle name="计算 2 6 2 2 5 2" xfId="30811" xr:uid="{00000000-0005-0000-0000-00008B780000}"/>
    <cellStyle name="计算 2 6 2 2 6" xfId="30814" xr:uid="{00000000-0005-0000-0000-00008E780000}"/>
    <cellStyle name="计算 2 6 2 2 7" xfId="30818" xr:uid="{00000000-0005-0000-0000-000092780000}"/>
    <cellStyle name="计算 2 6 2 2 8" xfId="30820" xr:uid="{00000000-0005-0000-0000-000094780000}"/>
    <cellStyle name="计算 2 6 2 2 9" xfId="30822" xr:uid="{00000000-0005-0000-0000-000096780000}"/>
    <cellStyle name="计算 2 6 2 3" xfId="30824" xr:uid="{00000000-0005-0000-0000-000098780000}"/>
    <cellStyle name="计算 2 6 2 3 2" xfId="30827" xr:uid="{00000000-0005-0000-0000-00009B780000}"/>
    <cellStyle name="计算 2 6 2 3 2 2" xfId="30830" xr:uid="{00000000-0005-0000-0000-00009E780000}"/>
    <cellStyle name="计算 2 6 2 3 3" xfId="30833" xr:uid="{00000000-0005-0000-0000-0000A1780000}"/>
    <cellStyle name="计算 2 6 2 3 3 2" xfId="30836" xr:uid="{00000000-0005-0000-0000-0000A4780000}"/>
    <cellStyle name="计算 2 6 2 3 4" xfId="30839" xr:uid="{00000000-0005-0000-0000-0000A7780000}"/>
    <cellStyle name="计算 2 6 2 3 4 2" xfId="30841" xr:uid="{00000000-0005-0000-0000-0000A9780000}"/>
    <cellStyle name="计算 2 6 2 3 5" xfId="30843" xr:uid="{00000000-0005-0000-0000-0000AB780000}"/>
    <cellStyle name="计算 2 6 2 3 5 2" xfId="30845" xr:uid="{00000000-0005-0000-0000-0000AD780000}"/>
    <cellStyle name="计算 2 6 2 3 6" xfId="30847" xr:uid="{00000000-0005-0000-0000-0000AF780000}"/>
    <cellStyle name="计算 2 6 2 4" xfId="30850" xr:uid="{00000000-0005-0000-0000-0000B2780000}"/>
    <cellStyle name="计算 2 6 2 4 2" xfId="30852" xr:uid="{00000000-0005-0000-0000-0000B4780000}"/>
    <cellStyle name="计算 2 6 2 4 2 2" xfId="30854" xr:uid="{00000000-0005-0000-0000-0000B6780000}"/>
    <cellStyle name="计算 2 6 2 4 3" xfId="30856" xr:uid="{00000000-0005-0000-0000-0000B8780000}"/>
    <cellStyle name="计算 2 6 2 4 3 2" xfId="30858" xr:uid="{00000000-0005-0000-0000-0000BA780000}"/>
    <cellStyle name="计算 2 6 2 4 4" xfId="30860" xr:uid="{00000000-0005-0000-0000-0000BC780000}"/>
    <cellStyle name="计算 2 6 2 4 4 2" xfId="30862" xr:uid="{00000000-0005-0000-0000-0000BE780000}"/>
    <cellStyle name="计算 2 6 2 4 5" xfId="30864" xr:uid="{00000000-0005-0000-0000-0000C0780000}"/>
    <cellStyle name="计算 2 6 2 4 5 2" xfId="30867" xr:uid="{00000000-0005-0000-0000-0000C3780000}"/>
    <cellStyle name="计算 2 6 2 4 6" xfId="30869" xr:uid="{00000000-0005-0000-0000-0000C5780000}"/>
    <cellStyle name="计算 2 6 2 5" xfId="30872" xr:uid="{00000000-0005-0000-0000-0000C8780000}"/>
    <cellStyle name="计算 2 6 2 5 2" xfId="30874" xr:uid="{00000000-0005-0000-0000-0000CA780000}"/>
    <cellStyle name="计算 2 6 2 5 2 2" xfId="30876" xr:uid="{00000000-0005-0000-0000-0000CC780000}"/>
    <cellStyle name="计算 2 6 2 5 3" xfId="30878" xr:uid="{00000000-0005-0000-0000-0000CE780000}"/>
    <cellStyle name="计算 2 6 2 5 3 2" xfId="30880" xr:uid="{00000000-0005-0000-0000-0000D0780000}"/>
    <cellStyle name="计算 2 6 2 5 4" xfId="30882" xr:uid="{00000000-0005-0000-0000-0000D2780000}"/>
    <cellStyle name="计算 2 6 2 5 4 2" xfId="30884" xr:uid="{00000000-0005-0000-0000-0000D4780000}"/>
    <cellStyle name="计算 2 6 2 5 5" xfId="30886" xr:uid="{00000000-0005-0000-0000-0000D6780000}"/>
    <cellStyle name="计算 2 6 2 5 5 2" xfId="30889" xr:uid="{00000000-0005-0000-0000-0000D9780000}"/>
    <cellStyle name="计算 2 6 2 5 6" xfId="30891" xr:uid="{00000000-0005-0000-0000-0000DB780000}"/>
    <cellStyle name="计算 2 6 2 6" xfId="30896" xr:uid="{00000000-0005-0000-0000-0000E0780000}"/>
    <cellStyle name="计算 2 6 2 6 2" xfId="30900" xr:uid="{00000000-0005-0000-0000-0000E4780000}"/>
    <cellStyle name="计算 2 6 2 6 2 2" xfId="30903" xr:uid="{00000000-0005-0000-0000-0000E7780000}"/>
    <cellStyle name="计算 2 6 2 6 3" xfId="30905" xr:uid="{00000000-0005-0000-0000-0000E9780000}"/>
    <cellStyle name="计算 2 6 2 6 3 2" xfId="30907" xr:uid="{00000000-0005-0000-0000-0000EB780000}"/>
    <cellStyle name="计算 2 6 2 6 4" xfId="30909" xr:uid="{00000000-0005-0000-0000-0000ED780000}"/>
    <cellStyle name="计算 2 6 2 6 4 2" xfId="30912" xr:uid="{00000000-0005-0000-0000-0000F0780000}"/>
    <cellStyle name="计算 2 6 2 6 5" xfId="30914" xr:uid="{00000000-0005-0000-0000-0000F2780000}"/>
    <cellStyle name="计算 2 6 2 6 5 2" xfId="30917" xr:uid="{00000000-0005-0000-0000-0000F5780000}"/>
    <cellStyle name="计算 2 6 2 6 6" xfId="30919" xr:uid="{00000000-0005-0000-0000-0000F7780000}"/>
    <cellStyle name="计算 2 6 2 7" xfId="30922" xr:uid="{00000000-0005-0000-0000-0000FA780000}"/>
    <cellStyle name="计算 2 6 2 7 2" xfId="30925" xr:uid="{00000000-0005-0000-0000-0000FD780000}"/>
    <cellStyle name="计算 2 6 2 7 2 2" xfId="30928" xr:uid="{00000000-0005-0000-0000-000000790000}"/>
    <cellStyle name="计算 2 6 2 7 3" xfId="30931" xr:uid="{00000000-0005-0000-0000-000003790000}"/>
    <cellStyle name="计算 2 6 2 7 3 2" xfId="30935" xr:uid="{00000000-0005-0000-0000-000007790000}"/>
    <cellStyle name="计算 2 6 2 7 4" xfId="30940" xr:uid="{00000000-0005-0000-0000-00000C790000}"/>
    <cellStyle name="计算 2 6 2 7 4 2" xfId="30945" xr:uid="{00000000-0005-0000-0000-000011790000}"/>
    <cellStyle name="计算 2 6 2 7 5" xfId="30951" xr:uid="{00000000-0005-0000-0000-000017790000}"/>
    <cellStyle name="计算 2 6 2 7 5 2" xfId="30957" xr:uid="{00000000-0005-0000-0000-00001D790000}"/>
    <cellStyle name="计算 2 6 2 7 6" xfId="30961" xr:uid="{00000000-0005-0000-0000-000021790000}"/>
    <cellStyle name="计算 2 6 2 8" xfId="30964" xr:uid="{00000000-0005-0000-0000-000024790000}"/>
    <cellStyle name="计算 2 6 2 8 2" xfId="30968" xr:uid="{00000000-0005-0000-0000-000028790000}"/>
    <cellStyle name="计算 2 6 2 8 2 2" xfId="30971" xr:uid="{00000000-0005-0000-0000-00002B790000}"/>
    <cellStyle name="计算 2 6 2 8 3" xfId="30973" xr:uid="{00000000-0005-0000-0000-00002D790000}"/>
    <cellStyle name="计算 2 6 2 8 3 2" xfId="30976" xr:uid="{00000000-0005-0000-0000-000030790000}"/>
    <cellStyle name="计算 2 6 2 8 4" xfId="30979" xr:uid="{00000000-0005-0000-0000-000033790000}"/>
    <cellStyle name="计算 2 6 2 8 4 2" xfId="30983" xr:uid="{00000000-0005-0000-0000-000037790000}"/>
    <cellStyle name="计算 2 6 2 8 5" xfId="30987" xr:uid="{00000000-0005-0000-0000-00003B790000}"/>
    <cellStyle name="计算 2 6 2 9" xfId="30990" xr:uid="{00000000-0005-0000-0000-00003E790000}"/>
    <cellStyle name="计算 2 6 2 9 2" xfId="30992" xr:uid="{00000000-0005-0000-0000-000040790000}"/>
    <cellStyle name="计算 2 6 20" xfId="30691" xr:uid="{00000000-0005-0000-0000-000013780000}"/>
    <cellStyle name="计算 2 6 20 2" xfId="30693" xr:uid="{00000000-0005-0000-0000-000015780000}"/>
    <cellStyle name="计算 2 6 21" xfId="30703" xr:uid="{00000000-0005-0000-0000-00001F780000}"/>
    <cellStyle name="计算 2 6 21 2" xfId="30705" xr:uid="{00000000-0005-0000-0000-000021780000}"/>
    <cellStyle name="计算 2 6 22" xfId="16197" xr:uid="{00000000-0005-0000-0000-0000753F0000}"/>
    <cellStyle name="计算 2 6 22 2" xfId="30717" xr:uid="{00000000-0005-0000-0000-00002D780000}"/>
    <cellStyle name="计算 2 6 23" xfId="26523" xr:uid="{00000000-0005-0000-0000-0000CB670000}"/>
    <cellStyle name="计算 2 6 23 2" xfId="26529" xr:uid="{00000000-0005-0000-0000-0000D1670000}"/>
    <cellStyle name="计算 2 6 24" xfId="26536" xr:uid="{00000000-0005-0000-0000-0000D8670000}"/>
    <cellStyle name="计算 2 6 25" xfId="25288" xr:uid="{00000000-0005-0000-0000-0000F8620000}"/>
    <cellStyle name="计算 2 6 26" xfId="26547" xr:uid="{00000000-0005-0000-0000-0000E3670000}"/>
    <cellStyle name="计算 2 6 27" xfId="26558" xr:uid="{00000000-0005-0000-0000-0000EE670000}"/>
    <cellStyle name="计算 2 6 3" xfId="10752" xr:uid="{00000000-0005-0000-0000-0000302A0000}"/>
    <cellStyle name="计算 2 6 3 10" xfId="30995" xr:uid="{00000000-0005-0000-0000-000043790000}"/>
    <cellStyle name="计算 2 6 3 10 2" xfId="30998" xr:uid="{00000000-0005-0000-0000-000046790000}"/>
    <cellStyle name="计算 2 6 3 11" xfId="31000" xr:uid="{00000000-0005-0000-0000-000048790000}"/>
    <cellStyle name="计算 2 6 3 11 2" xfId="31004" xr:uid="{00000000-0005-0000-0000-00004C790000}"/>
    <cellStyle name="计算 2 6 3 12" xfId="31006" xr:uid="{00000000-0005-0000-0000-00004E790000}"/>
    <cellStyle name="计算 2 6 3 12 2" xfId="31008" xr:uid="{00000000-0005-0000-0000-000050790000}"/>
    <cellStyle name="计算 2 6 3 13" xfId="21947" xr:uid="{00000000-0005-0000-0000-0000EB550000}"/>
    <cellStyle name="计算 2 6 3 14" xfId="21951" xr:uid="{00000000-0005-0000-0000-0000EF550000}"/>
    <cellStyle name="计算 2 6 3 15" xfId="21954" xr:uid="{00000000-0005-0000-0000-0000F2550000}"/>
    <cellStyle name="计算 2 6 3 16" xfId="21957" xr:uid="{00000000-0005-0000-0000-0000F5550000}"/>
    <cellStyle name="计算 2 6 3 2" xfId="31009" xr:uid="{00000000-0005-0000-0000-000051790000}"/>
    <cellStyle name="计算 2 6 3 2 2" xfId="19345" xr:uid="{00000000-0005-0000-0000-0000C14B0000}"/>
    <cellStyle name="计算 2 6 3 2 2 2" xfId="19348" xr:uid="{00000000-0005-0000-0000-0000C44B0000}"/>
    <cellStyle name="计算 2 6 3 2 3" xfId="19352" xr:uid="{00000000-0005-0000-0000-0000C84B0000}"/>
    <cellStyle name="计算 2 6 3 2 3 2" xfId="31012" xr:uid="{00000000-0005-0000-0000-000054790000}"/>
    <cellStyle name="计算 2 6 3 2 4" xfId="31014" xr:uid="{00000000-0005-0000-0000-000056790000}"/>
    <cellStyle name="计算 2 6 3 2 4 2" xfId="31016" xr:uid="{00000000-0005-0000-0000-000058790000}"/>
    <cellStyle name="计算 2 6 3 2 5" xfId="31018" xr:uid="{00000000-0005-0000-0000-00005A790000}"/>
    <cellStyle name="计算 2 6 3 2 5 2" xfId="31020" xr:uid="{00000000-0005-0000-0000-00005C790000}"/>
    <cellStyle name="计算 2 6 3 2 6" xfId="31022" xr:uid="{00000000-0005-0000-0000-00005E790000}"/>
    <cellStyle name="计算 2 6 3 2 7" xfId="31025" xr:uid="{00000000-0005-0000-0000-000061790000}"/>
    <cellStyle name="计算 2 6 3 2 8" xfId="31026" xr:uid="{00000000-0005-0000-0000-000062790000}"/>
    <cellStyle name="计算 2 6 3 2 9" xfId="31027" xr:uid="{00000000-0005-0000-0000-000063790000}"/>
    <cellStyle name="计算 2 6 3 3" xfId="31028" xr:uid="{00000000-0005-0000-0000-000064790000}"/>
    <cellStyle name="计算 2 6 3 3 2" xfId="19366" xr:uid="{00000000-0005-0000-0000-0000D64B0000}"/>
    <cellStyle name="计算 2 6 3 3 2 2" xfId="19369" xr:uid="{00000000-0005-0000-0000-0000D94B0000}"/>
    <cellStyle name="计算 2 6 3 3 3" xfId="19375" xr:uid="{00000000-0005-0000-0000-0000DF4B0000}"/>
    <cellStyle name="计算 2 6 3 3 3 2" xfId="31030" xr:uid="{00000000-0005-0000-0000-000066790000}"/>
    <cellStyle name="计算 2 6 3 3 4" xfId="31032" xr:uid="{00000000-0005-0000-0000-000068790000}"/>
    <cellStyle name="计算 2 6 3 3 4 2" xfId="31034" xr:uid="{00000000-0005-0000-0000-00006A790000}"/>
    <cellStyle name="计算 2 6 3 3 5" xfId="31036" xr:uid="{00000000-0005-0000-0000-00006C790000}"/>
    <cellStyle name="计算 2 6 3 3 5 2" xfId="31038" xr:uid="{00000000-0005-0000-0000-00006E790000}"/>
    <cellStyle name="计算 2 6 3 3 6" xfId="31041" xr:uid="{00000000-0005-0000-0000-000071790000}"/>
    <cellStyle name="计算 2 6 3 4" xfId="31045" xr:uid="{00000000-0005-0000-0000-000075790000}"/>
    <cellStyle name="计算 2 6 3 4 2" xfId="17702" xr:uid="{00000000-0005-0000-0000-000056450000}"/>
    <cellStyle name="计算 2 6 3 4 2 2" xfId="13745" xr:uid="{00000000-0005-0000-0000-0000E1350000}"/>
    <cellStyle name="计算 2 6 3 4 3" xfId="17724" xr:uid="{00000000-0005-0000-0000-00006C450000}"/>
    <cellStyle name="计算 2 6 3 4 3 2" xfId="31047" xr:uid="{00000000-0005-0000-0000-000077790000}"/>
    <cellStyle name="计算 2 6 3 4 4" xfId="31049" xr:uid="{00000000-0005-0000-0000-000079790000}"/>
    <cellStyle name="计算 2 6 3 4 4 2" xfId="31051" xr:uid="{00000000-0005-0000-0000-00007B790000}"/>
    <cellStyle name="计算 2 6 3 4 5" xfId="31053" xr:uid="{00000000-0005-0000-0000-00007D790000}"/>
    <cellStyle name="计算 2 6 3 4 5 2" xfId="31056" xr:uid="{00000000-0005-0000-0000-000080790000}"/>
    <cellStyle name="计算 2 6 3 4 6" xfId="31060" xr:uid="{00000000-0005-0000-0000-000084790000}"/>
    <cellStyle name="计算 2 6 3 5" xfId="31064" xr:uid="{00000000-0005-0000-0000-000088790000}"/>
    <cellStyle name="计算 2 6 3 5 2" xfId="17884" xr:uid="{00000000-0005-0000-0000-00000C460000}"/>
    <cellStyle name="计算 2 6 3 5 2 2" xfId="118" xr:uid="{00000000-0005-0000-0000-000080000000}"/>
    <cellStyle name="计算 2 6 3 5 3" xfId="17912" xr:uid="{00000000-0005-0000-0000-000028460000}"/>
    <cellStyle name="计算 2 6 3 5 3 2" xfId="31066" xr:uid="{00000000-0005-0000-0000-00008A790000}"/>
    <cellStyle name="计算 2 6 3 5 4" xfId="31068" xr:uid="{00000000-0005-0000-0000-00008C790000}"/>
    <cellStyle name="计算 2 6 3 5 4 2" xfId="31070" xr:uid="{00000000-0005-0000-0000-00008E790000}"/>
    <cellStyle name="计算 2 6 3 5 5" xfId="31072" xr:uid="{00000000-0005-0000-0000-000090790000}"/>
    <cellStyle name="计算 2 6 3 5 5 2" xfId="31075" xr:uid="{00000000-0005-0000-0000-000093790000}"/>
    <cellStyle name="计算 2 6 3 5 6" xfId="31078" xr:uid="{00000000-0005-0000-0000-000096790000}"/>
    <cellStyle name="计算 2 6 3 6" xfId="31084" xr:uid="{00000000-0005-0000-0000-00009C790000}"/>
    <cellStyle name="计算 2 6 3 6 2" xfId="18084" xr:uid="{00000000-0005-0000-0000-0000D4460000}"/>
    <cellStyle name="计算 2 6 3 6 2 2" xfId="18095" xr:uid="{00000000-0005-0000-0000-0000DF460000}"/>
    <cellStyle name="计算 2 6 3 6 3" xfId="18130" xr:uid="{00000000-0005-0000-0000-000002470000}"/>
    <cellStyle name="计算 2 6 3 6 3 2" xfId="31088" xr:uid="{00000000-0005-0000-0000-0000A0790000}"/>
    <cellStyle name="计算 2 6 3 6 4" xfId="31090" xr:uid="{00000000-0005-0000-0000-0000A2790000}"/>
    <cellStyle name="计算 2 6 3 6 4 2" xfId="31093" xr:uid="{00000000-0005-0000-0000-0000A5790000}"/>
    <cellStyle name="计算 2 6 3 6 5" xfId="31095" xr:uid="{00000000-0005-0000-0000-0000A7790000}"/>
    <cellStyle name="计算 2 6 3 6 5 2" xfId="31099" xr:uid="{00000000-0005-0000-0000-0000AB790000}"/>
    <cellStyle name="计算 2 6 3 6 6" xfId="31101" xr:uid="{00000000-0005-0000-0000-0000AD790000}"/>
    <cellStyle name="计算 2 6 3 7" xfId="24974" xr:uid="{00000000-0005-0000-0000-0000BE610000}"/>
    <cellStyle name="计算 2 6 3 7 2" xfId="18359" xr:uid="{00000000-0005-0000-0000-0000E7470000}"/>
    <cellStyle name="计算 2 6 3 7 2 2" xfId="18366" xr:uid="{00000000-0005-0000-0000-0000EE470000}"/>
    <cellStyle name="计算 2 6 3 7 3" xfId="18419" xr:uid="{00000000-0005-0000-0000-000023480000}"/>
    <cellStyle name="计算 2 6 3 7 3 2" xfId="18425" xr:uid="{00000000-0005-0000-0000-000029480000}"/>
    <cellStyle name="计算 2 6 3 7 4" xfId="31104" xr:uid="{00000000-0005-0000-0000-0000B0790000}"/>
    <cellStyle name="计算 2 6 3 7 4 2" xfId="18470" xr:uid="{00000000-0005-0000-0000-000056480000}"/>
    <cellStyle name="计算 2 6 3 7 5" xfId="31108" xr:uid="{00000000-0005-0000-0000-0000B4790000}"/>
    <cellStyle name="计算 2 6 3 7 5 2" xfId="18505" xr:uid="{00000000-0005-0000-0000-000079480000}"/>
    <cellStyle name="计算 2 6 3 7 6" xfId="31113" xr:uid="{00000000-0005-0000-0000-0000B9790000}"/>
    <cellStyle name="计算 2 6 3 8" xfId="31115" xr:uid="{00000000-0005-0000-0000-0000BB790000}"/>
    <cellStyle name="计算 2 6 3 8 2" xfId="18687" xr:uid="{00000000-0005-0000-0000-00002F490000}"/>
    <cellStyle name="计算 2 6 3 8 2 2" xfId="18696" xr:uid="{00000000-0005-0000-0000-000038490000}"/>
    <cellStyle name="计算 2 6 3 8 3" xfId="31119" xr:uid="{00000000-0005-0000-0000-0000BF790000}"/>
    <cellStyle name="计算 2 6 3 8 3 2" xfId="18746" xr:uid="{00000000-0005-0000-0000-00006A490000}"/>
    <cellStyle name="计算 2 6 3 8 4" xfId="31122" xr:uid="{00000000-0005-0000-0000-0000C2790000}"/>
    <cellStyle name="计算 2 6 3 8 4 2" xfId="18793" xr:uid="{00000000-0005-0000-0000-000099490000}"/>
    <cellStyle name="计算 2 6 3 8 5" xfId="31124" xr:uid="{00000000-0005-0000-0000-0000C4790000}"/>
    <cellStyle name="计算 2 6 3 9" xfId="31126" xr:uid="{00000000-0005-0000-0000-0000C6790000}"/>
    <cellStyle name="计算 2 6 3 9 2" xfId="31130" xr:uid="{00000000-0005-0000-0000-0000CA790000}"/>
    <cellStyle name="计算 2 6 4" xfId="18785" xr:uid="{00000000-0005-0000-0000-000091490000}"/>
    <cellStyle name="计算 2 6 4 10" xfId="6819" xr:uid="{00000000-0005-0000-0000-0000D31A0000}"/>
    <cellStyle name="计算 2 6 4 10 2" xfId="31134" xr:uid="{00000000-0005-0000-0000-0000CE790000}"/>
    <cellStyle name="计算 2 6 4 11" xfId="31136" xr:uid="{00000000-0005-0000-0000-0000D0790000}"/>
    <cellStyle name="计算 2 6 4 11 2" xfId="31140" xr:uid="{00000000-0005-0000-0000-0000D4790000}"/>
    <cellStyle name="计算 2 6 4 12" xfId="31142" xr:uid="{00000000-0005-0000-0000-0000D6790000}"/>
    <cellStyle name="计算 2 6 4 12 2" xfId="31144" xr:uid="{00000000-0005-0000-0000-0000D8790000}"/>
    <cellStyle name="计算 2 6 4 13" xfId="31146" xr:uid="{00000000-0005-0000-0000-0000DA790000}"/>
    <cellStyle name="计算 2 6 4 14" xfId="31150" xr:uid="{00000000-0005-0000-0000-0000DE790000}"/>
    <cellStyle name="计算 2 6 4 15" xfId="31152" xr:uid="{00000000-0005-0000-0000-0000E0790000}"/>
    <cellStyle name="计算 2 6 4 16" xfId="31154" xr:uid="{00000000-0005-0000-0000-0000E2790000}"/>
    <cellStyle name="计算 2 6 4 2" xfId="31155" xr:uid="{00000000-0005-0000-0000-0000E3790000}"/>
    <cellStyle name="计算 2 6 4 2 2" xfId="31158" xr:uid="{00000000-0005-0000-0000-0000E6790000}"/>
    <cellStyle name="计算 2 6 4 2 2 2" xfId="31160" xr:uid="{00000000-0005-0000-0000-0000E8790000}"/>
    <cellStyle name="计算 2 6 4 2 3" xfId="31162" xr:uid="{00000000-0005-0000-0000-0000EA790000}"/>
    <cellStyle name="计算 2 6 4 2 3 2" xfId="31164" xr:uid="{00000000-0005-0000-0000-0000EC790000}"/>
    <cellStyle name="计算 2 6 4 2 4" xfId="31166" xr:uid="{00000000-0005-0000-0000-0000EE790000}"/>
    <cellStyle name="计算 2 6 4 2 4 2" xfId="31168" xr:uid="{00000000-0005-0000-0000-0000F0790000}"/>
    <cellStyle name="计算 2 6 4 2 5" xfId="31170" xr:uid="{00000000-0005-0000-0000-0000F2790000}"/>
    <cellStyle name="计算 2 6 4 2 5 2" xfId="31172" xr:uid="{00000000-0005-0000-0000-0000F4790000}"/>
    <cellStyle name="计算 2 6 4 2 6" xfId="31174" xr:uid="{00000000-0005-0000-0000-0000F6790000}"/>
    <cellStyle name="计算 2 6 4 2 7" xfId="31177" xr:uid="{00000000-0005-0000-0000-0000F9790000}"/>
    <cellStyle name="计算 2 6 4 2 8" xfId="31178" xr:uid="{00000000-0005-0000-0000-0000FA790000}"/>
    <cellStyle name="计算 2 6 4 2 9" xfId="31179" xr:uid="{00000000-0005-0000-0000-0000FB790000}"/>
    <cellStyle name="计算 2 6 4 3" xfId="31180" xr:uid="{00000000-0005-0000-0000-0000FC790000}"/>
    <cellStyle name="计算 2 6 4 3 2" xfId="31182" xr:uid="{00000000-0005-0000-0000-0000FE790000}"/>
    <cellStyle name="计算 2 6 4 3 2 2" xfId="31184" xr:uid="{00000000-0005-0000-0000-0000007A0000}"/>
    <cellStyle name="计算 2 6 4 3 3" xfId="31187" xr:uid="{00000000-0005-0000-0000-0000037A0000}"/>
    <cellStyle name="计算 2 6 4 3 3 2" xfId="31189" xr:uid="{00000000-0005-0000-0000-0000057A0000}"/>
    <cellStyle name="计算 2 6 4 3 4" xfId="31191" xr:uid="{00000000-0005-0000-0000-0000077A0000}"/>
    <cellStyle name="计算 2 6 4 3 4 2" xfId="31193" xr:uid="{00000000-0005-0000-0000-0000097A0000}"/>
    <cellStyle name="计算 2 6 4 3 5" xfId="31195" xr:uid="{00000000-0005-0000-0000-00000B7A0000}"/>
    <cellStyle name="计算 2 6 4 3 5 2" xfId="31197" xr:uid="{00000000-0005-0000-0000-00000D7A0000}"/>
    <cellStyle name="计算 2 6 4 3 6" xfId="31199" xr:uid="{00000000-0005-0000-0000-00000F7A0000}"/>
    <cellStyle name="计算 2 6 4 4" xfId="31202" xr:uid="{00000000-0005-0000-0000-0000127A0000}"/>
    <cellStyle name="计算 2 6 4 4 2" xfId="31204" xr:uid="{00000000-0005-0000-0000-0000147A0000}"/>
    <cellStyle name="计算 2 6 4 4 2 2" xfId="31206" xr:uid="{00000000-0005-0000-0000-0000167A0000}"/>
    <cellStyle name="计算 2 6 4 4 3" xfId="31209" xr:uid="{00000000-0005-0000-0000-0000197A0000}"/>
    <cellStyle name="计算 2 6 4 4 3 2" xfId="31211" xr:uid="{00000000-0005-0000-0000-00001B7A0000}"/>
    <cellStyle name="计算 2 6 4 4 4" xfId="31213" xr:uid="{00000000-0005-0000-0000-00001D7A0000}"/>
    <cellStyle name="计算 2 6 4 4 4 2" xfId="31215" xr:uid="{00000000-0005-0000-0000-00001F7A0000}"/>
    <cellStyle name="计算 2 6 4 4 5" xfId="31217" xr:uid="{00000000-0005-0000-0000-0000217A0000}"/>
    <cellStyle name="计算 2 6 4 4 5 2" xfId="19598" xr:uid="{00000000-0005-0000-0000-0000BE4C0000}"/>
    <cellStyle name="计算 2 6 4 4 6" xfId="31220" xr:uid="{00000000-0005-0000-0000-0000247A0000}"/>
    <cellStyle name="计算 2 6 4 5" xfId="31223" xr:uid="{00000000-0005-0000-0000-0000277A0000}"/>
    <cellStyle name="计算 2 6 4 5 2" xfId="31225" xr:uid="{00000000-0005-0000-0000-0000297A0000}"/>
    <cellStyle name="计算 2 6 4 5 2 2" xfId="31228" xr:uid="{00000000-0005-0000-0000-00002C7A0000}"/>
    <cellStyle name="计算 2 6 4 5 3" xfId="31231" xr:uid="{00000000-0005-0000-0000-00002F7A0000}"/>
    <cellStyle name="计算 2 6 4 5 3 2" xfId="31234" xr:uid="{00000000-0005-0000-0000-0000327A0000}"/>
    <cellStyle name="计算 2 6 4 5 4" xfId="31236" xr:uid="{00000000-0005-0000-0000-0000347A0000}"/>
    <cellStyle name="计算 2 6 4 5 4 2" xfId="31239" xr:uid="{00000000-0005-0000-0000-0000377A0000}"/>
    <cellStyle name="计算 2 6 4 5 5" xfId="31241" xr:uid="{00000000-0005-0000-0000-0000397A0000}"/>
    <cellStyle name="计算 2 6 4 5 5 2" xfId="31245" xr:uid="{00000000-0005-0000-0000-00003D7A0000}"/>
    <cellStyle name="计算 2 6 4 5 6" xfId="31247" xr:uid="{00000000-0005-0000-0000-00003F7A0000}"/>
    <cellStyle name="计算 2 6 4 6" xfId="31252" xr:uid="{00000000-0005-0000-0000-0000447A0000}"/>
    <cellStyle name="计算 2 6 4 6 2" xfId="31256" xr:uid="{00000000-0005-0000-0000-0000487A0000}"/>
    <cellStyle name="计算 2 6 4 6 2 2" xfId="1161" xr:uid="{00000000-0005-0000-0000-0000B9040000}"/>
    <cellStyle name="计算 2 6 4 6 3" xfId="31259" xr:uid="{00000000-0005-0000-0000-00004B7A0000}"/>
    <cellStyle name="计算 2 6 4 6 3 2" xfId="31261" xr:uid="{00000000-0005-0000-0000-00004D7A0000}"/>
    <cellStyle name="计算 2 6 4 6 4" xfId="15680" xr:uid="{00000000-0005-0000-0000-0000703D0000}"/>
    <cellStyle name="计算 2 6 4 6 4 2" xfId="31263" xr:uid="{00000000-0005-0000-0000-00004F7A0000}"/>
    <cellStyle name="计算 2 6 4 6 5" xfId="31265" xr:uid="{00000000-0005-0000-0000-0000517A0000}"/>
    <cellStyle name="计算 2 6 4 6 5 2" xfId="31268" xr:uid="{00000000-0005-0000-0000-0000547A0000}"/>
    <cellStyle name="计算 2 6 4 6 6" xfId="31270" xr:uid="{00000000-0005-0000-0000-0000567A0000}"/>
    <cellStyle name="计算 2 6 4 7" xfId="24986" xr:uid="{00000000-0005-0000-0000-0000CA610000}"/>
    <cellStyle name="计算 2 6 4 7 2" xfId="31273" xr:uid="{00000000-0005-0000-0000-0000597A0000}"/>
    <cellStyle name="计算 2 6 4 7 2 2" xfId="31276" xr:uid="{00000000-0005-0000-0000-00005C7A0000}"/>
    <cellStyle name="计算 2 6 4 7 3" xfId="31279" xr:uid="{00000000-0005-0000-0000-00005F7A0000}"/>
    <cellStyle name="计算 2 6 4 7 3 2" xfId="31282" xr:uid="{00000000-0005-0000-0000-0000627A0000}"/>
    <cellStyle name="计算 2 6 4 7 4" xfId="15694" xr:uid="{00000000-0005-0000-0000-00007E3D0000}"/>
    <cellStyle name="计算 2 6 4 7 4 2" xfId="31286" xr:uid="{00000000-0005-0000-0000-0000667A0000}"/>
    <cellStyle name="计算 2 6 4 7 5" xfId="31292" xr:uid="{00000000-0005-0000-0000-00006C7A0000}"/>
    <cellStyle name="计算 2 6 4 7 5 2" xfId="31296" xr:uid="{00000000-0005-0000-0000-0000707A0000}"/>
    <cellStyle name="计算 2 6 4 7 6" xfId="31300" xr:uid="{00000000-0005-0000-0000-0000747A0000}"/>
    <cellStyle name="计算 2 6 4 8" xfId="31302" xr:uid="{00000000-0005-0000-0000-0000767A0000}"/>
    <cellStyle name="计算 2 6 4 8 2" xfId="31306" xr:uid="{00000000-0005-0000-0000-00007A7A0000}"/>
    <cellStyle name="计算 2 6 4 8 2 2" xfId="31309" xr:uid="{00000000-0005-0000-0000-00007D7A0000}"/>
    <cellStyle name="计算 2 6 4 8 3" xfId="31311" xr:uid="{00000000-0005-0000-0000-00007F7A0000}"/>
    <cellStyle name="计算 2 6 4 8 3 2" xfId="31314" xr:uid="{00000000-0005-0000-0000-0000827A0000}"/>
    <cellStyle name="计算 2 6 4 8 4" xfId="15706" xr:uid="{00000000-0005-0000-0000-00008A3D0000}"/>
    <cellStyle name="计算 2 6 4 8 4 2" xfId="31317" xr:uid="{00000000-0005-0000-0000-0000857A0000}"/>
    <cellStyle name="计算 2 6 4 8 5" xfId="31320" xr:uid="{00000000-0005-0000-0000-0000887A0000}"/>
    <cellStyle name="计算 2 6 4 9" xfId="11394" xr:uid="{00000000-0005-0000-0000-0000B22C0000}"/>
    <cellStyle name="计算 2 6 4 9 2" xfId="31322" xr:uid="{00000000-0005-0000-0000-00008A7A0000}"/>
    <cellStyle name="计算 2 6 5" xfId="31324" xr:uid="{00000000-0005-0000-0000-00008C7A0000}"/>
    <cellStyle name="计算 2 6 5 10" xfId="31326" xr:uid="{00000000-0005-0000-0000-00008E7A0000}"/>
    <cellStyle name="计算 2 6 5 10 2" xfId="30898" xr:uid="{00000000-0005-0000-0000-0000E2780000}"/>
    <cellStyle name="计算 2 6 5 11" xfId="31331" xr:uid="{00000000-0005-0000-0000-0000937A0000}"/>
    <cellStyle name="计算 2 6 5 11 2" xfId="31086" xr:uid="{00000000-0005-0000-0000-00009E790000}"/>
    <cellStyle name="计算 2 6 5 12" xfId="31335" xr:uid="{00000000-0005-0000-0000-0000977A0000}"/>
    <cellStyle name="计算 2 6 5 12 2" xfId="31254" xr:uid="{00000000-0005-0000-0000-0000467A0000}"/>
    <cellStyle name="计算 2 6 5 13" xfId="31337" xr:uid="{00000000-0005-0000-0000-0000997A0000}"/>
    <cellStyle name="计算 2 6 5 14" xfId="31339" xr:uid="{00000000-0005-0000-0000-00009B7A0000}"/>
    <cellStyle name="计算 2 6 5 15" xfId="31341" xr:uid="{00000000-0005-0000-0000-00009D7A0000}"/>
    <cellStyle name="计算 2 6 5 16" xfId="31343" xr:uid="{00000000-0005-0000-0000-00009F7A0000}"/>
    <cellStyle name="计算 2 6 5 2" xfId="31345" xr:uid="{00000000-0005-0000-0000-0000A17A0000}"/>
    <cellStyle name="计算 2 6 5 2 2" xfId="31348" xr:uid="{00000000-0005-0000-0000-0000A47A0000}"/>
    <cellStyle name="计算 2 6 5 2 2 2" xfId="31351" xr:uid="{00000000-0005-0000-0000-0000A77A0000}"/>
    <cellStyle name="计算 2 6 5 2 3" xfId="31354" xr:uid="{00000000-0005-0000-0000-0000AA7A0000}"/>
    <cellStyle name="计算 2 6 5 2 3 2" xfId="31357" xr:uid="{00000000-0005-0000-0000-0000AD7A0000}"/>
    <cellStyle name="计算 2 6 5 2 4" xfId="31360" xr:uid="{00000000-0005-0000-0000-0000B07A0000}"/>
    <cellStyle name="计算 2 6 5 2 4 2" xfId="31362" xr:uid="{00000000-0005-0000-0000-0000B27A0000}"/>
    <cellStyle name="计算 2 6 5 2 5" xfId="31364" xr:uid="{00000000-0005-0000-0000-0000B47A0000}"/>
    <cellStyle name="计算 2 6 5 2 5 2" xfId="31366" xr:uid="{00000000-0005-0000-0000-0000B67A0000}"/>
    <cellStyle name="计算 2 6 5 2 6" xfId="31368" xr:uid="{00000000-0005-0000-0000-0000B87A0000}"/>
    <cellStyle name="计算 2 6 5 2 7" xfId="31371" xr:uid="{00000000-0005-0000-0000-0000BB7A0000}"/>
    <cellStyle name="计算 2 6 5 2 8" xfId="31372" xr:uid="{00000000-0005-0000-0000-0000BC7A0000}"/>
    <cellStyle name="计算 2 6 5 2 9" xfId="27844" xr:uid="{00000000-0005-0000-0000-0000F46C0000}"/>
    <cellStyle name="计算 2 6 5 3" xfId="31373" xr:uid="{00000000-0005-0000-0000-0000BD7A0000}"/>
    <cellStyle name="计算 2 6 5 3 2" xfId="31375" xr:uid="{00000000-0005-0000-0000-0000BF7A0000}"/>
    <cellStyle name="计算 2 6 5 3 2 2" xfId="31378" xr:uid="{00000000-0005-0000-0000-0000C27A0000}"/>
    <cellStyle name="计算 2 6 5 3 3" xfId="24814" xr:uid="{00000000-0005-0000-0000-00001E610000}"/>
    <cellStyle name="计算 2 6 5 3 3 2" xfId="26182" xr:uid="{00000000-0005-0000-0000-000076660000}"/>
    <cellStyle name="计算 2 6 5 3 4" xfId="17115" xr:uid="{00000000-0005-0000-0000-00000B430000}"/>
    <cellStyle name="计算 2 6 5 3 4 2" xfId="26186" xr:uid="{00000000-0005-0000-0000-00007A660000}"/>
    <cellStyle name="计算 2 6 5 3 5" xfId="26190" xr:uid="{00000000-0005-0000-0000-00007E660000}"/>
    <cellStyle name="计算 2 6 5 3 5 2" xfId="26194" xr:uid="{00000000-0005-0000-0000-000082660000}"/>
    <cellStyle name="计算 2 6 5 3 6" xfId="26198" xr:uid="{00000000-0005-0000-0000-000086660000}"/>
    <cellStyle name="计算 2 6 5 4" xfId="31381" xr:uid="{00000000-0005-0000-0000-0000C57A0000}"/>
    <cellStyle name="计算 2 6 5 4 2" xfId="31383" xr:uid="{00000000-0005-0000-0000-0000C77A0000}"/>
    <cellStyle name="计算 2 6 5 4 2 2" xfId="31386" xr:uid="{00000000-0005-0000-0000-0000CA7A0000}"/>
    <cellStyle name="计算 2 6 5 4 3" xfId="31389" xr:uid="{00000000-0005-0000-0000-0000CD7A0000}"/>
    <cellStyle name="计算 2 6 5 4 3 2" xfId="31392" xr:uid="{00000000-0005-0000-0000-0000D07A0000}"/>
    <cellStyle name="计算 2 6 5 4 4" xfId="31395" xr:uid="{00000000-0005-0000-0000-0000D37A0000}"/>
    <cellStyle name="计算 2 6 5 4 4 2" xfId="31397" xr:uid="{00000000-0005-0000-0000-0000D57A0000}"/>
    <cellStyle name="计算 2 6 5 4 5" xfId="31399" xr:uid="{00000000-0005-0000-0000-0000D77A0000}"/>
    <cellStyle name="计算 2 6 5 4 5 2" xfId="31402" xr:uid="{00000000-0005-0000-0000-0000DA7A0000}"/>
    <cellStyle name="计算 2 6 5 4 6" xfId="31404" xr:uid="{00000000-0005-0000-0000-0000DC7A0000}"/>
    <cellStyle name="计算 2 6 5 5" xfId="31407" xr:uid="{00000000-0005-0000-0000-0000DF7A0000}"/>
    <cellStyle name="计算 2 6 5 5 2" xfId="31410" xr:uid="{00000000-0005-0000-0000-0000E27A0000}"/>
    <cellStyle name="计算 2 6 5 5 2 2" xfId="31414" xr:uid="{00000000-0005-0000-0000-0000E67A0000}"/>
    <cellStyle name="计算 2 6 5 5 3" xfId="31417" xr:uid="{00000000-0005-0000-0000-0000E97A0000}"/>
    <cellStyle name="计算 2 6 5 5 3 2" xfId="31420" xr:uid="{00000000-0005-0000-0000-0000EC7A0000}"/>
    <cellStyle name="计算 2 6 5 5 4" xfId="31423" xr:uid="{00000000-0005-0000-0000-0000EF7A0000}"/>
    <cellStyle name="计算 2 6 5 5 4 2" xfId="31425" xr:uid="{00000000-0005-0000-0000-0000F17A0000}"/>
    <cellStyle name="计算 2 6 5 5 5" xfId="31427" xr:uid="{00000000-0005-0000-0000-0000F37A0000}"/>
    <cellStyle name="计算 2 6 5 5 5 2" xfId="31430" xr:uid="{00000000-0005-0000-0000-0000F67A0000}"/>
    <cellStyle name="计算 2 6 5 5 6" xfId="31432" xr:uid="{00000000-0005-0000-0000-0000F87A0000}"/>
    <cellStyle name="计算 2 6 5 6" xfId="31436" xr:uid="{00000000-0005-0000-0000-0000FC7A0000}"/>
    <cellStyle name="计算 2 6 5 6 2" xfId="31440" xr:uid="{00000000-0005-0000-0000-0000007B0000}"/>
    <cellStyle name="计算 2 6 5 6 2 2" xfId="31445" xr:uid="{00000000-0005-0000-0000-0000057B0000}"/>
    <cellStyle name="计算 2 6 5 6 3" xfId="31450" xr:uid="{00000000-0005-0000-0000-00000A7B0000}"/>
    <cellStyle name="计算 2 6 5 6 3 2" xfId="31453" xr:uid="{00000000-0005-0000-0000-00000D7B0000}"/>
    <cellStyle name="计算 2 6 5 6 4" xfId="31456" xr:uid="{00000000-0005-0000-0000-0000107B0000}"/>
    <cellStyle name="计算 2 6 5 6 4 2" xfId="31458" xr:uid="{00000000-0005-0000-0000-0000127B0000}"/>
    <cellStyle name="计算 2 6 5 6 5" xfId="31460" xr:uid="{00000000-0005-0000-0000-0000147B0000}"/>
    <cellStyle name="计算 2 6 5 6 5 2" xfId="31463" xr:uid="{00000000-0005-0000-0000-0000177B0000}"/>
    <cellStyle name="计算 2 6 5 6 6" xfId="31465" xr:uid="{00000000-0005-0000-0000-0000197B0000}"/>
    <cellStyle name="计算 2 6 5 7" xfId="24994" xr:uid="{00000000-0005-0000-0000-0000D2610000}"/>
    <cellStyle name="计算 2 6 5 7 2" xfId="31468" xr:uid="{00000000-0005-0000-0000-00001C7B0000}"/>
    <cellStyle name="计算 2 6 5 7 2 2" xfId="31474" xr:uid="{00000000-0005-0000-0000-0000227B0000}"/>
    <cellStyle name="计算 2 6 5 7 3" xfId="31477" xr:uid="{00000000-0005-0000-0000-0000257B0000}"/>
    <cellStyle name="计算 2 6 5 7 3 2" xfId="31483" xr:uid="{00000000-0005-0000-0000-00002B7B0000}"/>
    <cellStyle name="计算 2 6 5 7 4" xfId="31486" xr:uid="{00000000-0005-0000-0000-00002E7B0000}"/>
    <cellStyle name="计算 2 6 5 7 4 2" xfId="31491" xr:uid="{00000000-0005-0000-0000-0000337B0000}"/>
    <cellStyle name="计算 2 6 5 7 5" xfId="31493" xr:uid="{00000000-0005-0000-0000-0000357B0000}"/>
    <cellStyle name="计算 2 6 5 7 5 2" xfId="31497" xr:uid="{00000000-0005-0000-0000-0000397B0000}"/>
    <cellStyle name="计算 2 6 5 7 6" xfId="31500" xr:uid="{00000000-0005-0000-0000-00003C7B0000}"/>
    <cellStyle name="计算 2 6 5 8" xfId="31502" xr:uid="{00000000-0005-0000-0000-00003E7B0000}"/>
    <cellStyle name="计算 2 6 5 8 2" xfId="31506" xr:uid="{00000000-0005-0000-0000-0000427B0000}"/>
    <cellStyle name="计算 2 6 5 8 2 2" xfId="31510" xr:uid="{00000000-0005-0000-0000-0000467B0000}"/>
    <cellStyle name="计算 2 6 5 8 3" xfId="20973" xr:uid="{00000000-0005-0000-0000-00001D520000}"/>
    <cellStyle name="计算 2 6 5 8 3 2" xfId="20978" xr:uid="{00000000-0005-0000-0000-000022520000}"/>
    <cellStyle name="计算 2 6 5 8 4" xfId="15747" xr:uid="{00000000-0005-0000-0000-0000B33D0000}"/>
    <cellStyle name="计算 2 6 5 8 4 2" xfId="20984" xr:uid="{00000000-0005-0000-0000-000028520000}"/>
    <cellStyle name="计算 2 6 5 8 5" xfId="20991" xr:uid="{00000000-0005-0000-0000-00002F520000}"/>
    <cellStyle name="计算 2 6 5 9" xfId="11410" xr:uid="{00000000-0005-0000-0000-0000C22C0000}"/>
    <cellStyle name="计算 2 6 5 9 2" xfId="31513" xr:uid="{00000000-0005-0000-0000-0000497B0000}"/>
    <cellStyle name="计算 2 6 6" xfId="3608" xr:uid="{00000000-0005-0000-0000-0000480E0000}"/>
    <cellStyle name="计算 2 6 6 10" xfId="9393" xr:uid="{00000000-0005-0000-0000-0000E1240000}"/>
    <cellStyle name="计算 2 6 6 10 2" xfId="31516" xr:uid="{00000000-0005-0000-0000-00004C7B0000}"/>
    <cellStyle name="计算 2 6 6 11" xfId="31517" xr:uid="{00000000-0005-0000-0000-00004D7B0000}"/>
    <cellStyle name="计算 2 6 6 11 2" xfId="31519" xr:uid="{00000000-0005-0000-0000-00004F7B0000}"/>
    <cellStyle name="计算 2 6 6 12" xfId="31520" xr:uid="{00000000-0005-0000-0000-0000507B0000}"/>
    <cellStyle name="计算 2 6 6 12 2" xfId="31522" xr:uid="{00000000-0005-0000-0000-0000527B0000}"/>
    <cellStyle name="计算 2 6 6 13" xfId="31523" xr:uid="{00000000-0005-0000-0000-0000537B0000}"/>
    <cellStyle name="计算 2 6 6 14" xfId="31524" xr:uid="{00000000-0005-0000-0000-0000547B0000}"/>
    <cellStyle name="计算 2 6 6 15" xfId="19344" xr:uid="{00000000-0005-0000-0000-0000C04B0000}"/>
    <cellStyle name="计算 2 6 6 16" xfId="31525" xr:uid="{00000000-0005-0000-0000-0000557B0000}"/>
    <cellStyle name="计算 2 6 6 2" xfId="30541" xr:uid="{00000000-0005-0000-0000-00007D770000}"/>
    <cellStyle name="计算 2 6 6 2 2" xfId="31526" xr:uid="{00000000-0005-0000-0000-0000567B0000}"/>
    <cellStyle name="计算 2 6 6 2 2 2" xfId="31527" xr:uid="{00000000-0005-0000-0000-0000577B0000}"/>
    <cellStyle name="计算 2 6 6 2 3" xfId="31528" xr:uid="{00000000-0005-0000-0000-0000587B0000}"/>
    <cellStyle name="计算 2 6 6 2 3 2" xfId="31529" xr:uid="{00000000-0005-0000-0000-0000597B0000}"/>
    <cellStyle name="计算 2 6 6 2 4" xfId="31530" xr:uid="{00000000-0005-0000-0000-00005A7B0000}"/>
    <cellStyle name="计算 2 6 6 2 4 2" xfId="31531" xr:uid="{00000000-0005-0000-0000-00005B7B0000}"/>
    <cellStyle name="计算 2 6 6 2 5" xfId="31533" xr:uid="{00000000-0005-0000-0000-00005D7B0000}"/>
    <cellStyle name="计算 2 6 6 2 5 2" xfId="31534" xr:uid="{00000000-0005-0000-0000-00005E7B0000}"/>
    <cellStyle name="计算 2 6 6 2 6" xfId="31535" xr:uid="{00000000-0005-0000-0000-00005F7B0000}"/>
    <cellStyle name="计算 2 6 6 2 7" xfId="31538" xr:uid="{00000000-0005-0000-0000-0000627B0000}"/>
    <cellStyle name="计算 2 6 6 2 8" xfId="31539" xr:uid="{00000000-0005-0000-0000-0000637B0000}"/>
    <cellStyle name="计算 2 6 6 2 9" xfId="31540" xr:uid="{00000000-0005-0000-0000-0000647B0000}"/>
    <cellStyle name="计算 2 6 6 3" xfId="31541" xr:uid="{00000000-0005-0000-0000-0000657B0000}"/>
    <cellStyle name="计算 2 6 6 3 2" xfId="31542" xr:uid="{00000000-0005-0000-0000-0000667B0000}"/>
    <cellStyle name="计算 2 6 6 3 2 2" xfId="31543" xr:uid="{00000000-0005-0000-0000-0000677B0000}"/>
    <cellStyle name="计算 2 6 6 3 3" xfId="28677" xr:uid="{00000000-0005-0000-0000-000035700000}"/>
    <cellStyle name="计算 2 6 6 3 3 2" xfId="28680" xr:uid="{00000000-0005-0000-0000-000038700000}"/>
    <cellStyle name="计算 2 6 6 3 4" xfId="17153" xr:uid="{00000000-0005-0000-0000-000031430000}"/>
    <cellStyle name="计算 2 6 6 3 4 2" xfId="28684" xr:uid="{00000000-0005-0000-0000-00003C700000}"/>
    <cellStyle name="计算 2 6 6 3 5" xfId="28689" xr:uid="{00000000-0005-0000-0000-000041700000}"/>
    <cellStyle name="计算 2 6 6 3 5 2" xfId="28694" xr:uid="{00000000-0005-0000-0000-000046700000}"/>
    <cellStyle name="计算 2 6 6 3 6" xfId="28696" xr:uid="{00000000-0005-0000-0000-000048700000}"/>
    <cellStyle name="计算 2 6 6 4" xfId="31544" xr:uid="{00000000-0005-0000-0000-0000687B0000}"/>
    <cellStyle name="计算 2 6 6 4 2" xfId="31545" xr:uid="{00000000-0005-0000-0000-0000697B0000}"/>
    <cellStyle name="计算 2 6 6 4 2 2" xfId="31546" xr:uid="{00000000-0005-0000-0000-00006A7B0000}"/>
    <cellStyle name="计算 2 6 6 4 3" xfId="31547" xr:uid="{00000000-0005-0000-0000-00006B7B0000}"/>
    <cellStyle name="计算 2 6 6 4 3 2" xfId="31548" xr:uid="{00000000-0005-0000-0000-00006C7B0000}"/>
    <cellStyle name="计算 2 6 6 4 4" xfId="31549" xr:uid="{00000000-0005-0000-0000-00006D7B0000}"/>
    <cellStyle name="计算 2 6 6 4 4 2" xfId="16182" xr:uid="{00000000-0005-0000-0000-0000663F0000}"/>
    <cellStyle name="计算 2 6 6 4 5" xfId="31551" xr:uid="{00000000-0005-0000-0000-00006F7B0000}"/>
    <cellStyle name="计算 2 6 6 4 5 2" xfId="31552" xr:uid="{00000000-0005-0000-0000-0000707B0000}"/>
    <cellStyle name="计算 2 6 6 4 6" xfId="31553" xr:uid="{00000000-0005-0000-0000-0000717B0000}"/>
    <cellStyle name="计算 2 6 6 5" xfId="31555" xr:uid="{00000000-0005-0000-0000-0000737B0000}"/>
    <cellStyle name="计算 2 6 6 5 2" xfId="31556" xr:uid="{00000000-0005-0000-0000-0000747B0000}"/>
    <cellStyle name="计算 2 6 6 5 2 2" xfId="31557" xr:uid="{00000000-0005-0000-0000-0000757B0000}"/>
    <cellStyle name="计算 2 6 6 5 3" xfId="31558" xr:uid="{00000000-0005-0000-0000-0000767B0000}"/>
    <cellStyle name="计算 2 6 6 5 3 2" xfId="31559" xr:uid="{00000000-0005-0000-0000-0000777B0000}"/>
    <cellStyle name="计算 2 6 6 5 4" xfId="31560" xr:uid="{00000000-0005-0000-0000-0000787B0000}"/>
    <cellStyle name="计算 2 6 6 5 4 2" xfId="16904" xr:uid="{00000000-0005-0000-0000-000038420000}"/>
    <cellStyle name="计算 2 6 6 5 5" xfId="31561" xr:uid="{00000000-0005-0000-0000-0000797B0000}"/>
    <cellStyle name="计算 2 6 6 5 5 2" xfId="31562" xr:uid="{00000000-0005-0000-0000-00007A7B0000}"/>
    <cellStyle name="计算 2 6 6 5 6" xfId="31563" xr:uid="{00000000-0005-0000-0000-00007B7B0000}"/>
    <cellStyle name="计算 2 6 6 6" xfId="31565" xr:uid="{00000000-0005-0000-0000-00007D7B0000}"/>
    <cellStyle name="计算 2 6 6 6 2" xfId="31566" xr:uid="{00000000-0005-0000-0000-00007E7B0000}"/>
    <cellStyle name="计算 2 6 6 6 2 2" xfId="31567" xr:uid="{00000000-0005-0000-0000-00007F7B0000}"/>
    <cellStyle name="计算 2 6 6 6 3" xfId="31568" xr:uid="{00000000-0005-0000-0000-0000807B0000}"/>
    <cellStyle name="计算 2 6 6 6 3 2" xfId="31569" xr:uid="{00000000-0005-0000-0000-0000817B0000}"/>
    <cellStyle name="计算 2 6 6 6 4" xfId="31570" xr:uid="{00000000-0005-0000-0000-0000827B0000}"/>
    <cellStyle name="计算 2 6 6 6 4 2" xfId="31571" xr:uid="{00000000-0005-0000-0000-0000837B0000}"/>
    <cellStyle name="计算 2 6 6 6 5" xfId="31572" xr:uid="{00000000-0005-0000-0000-0000847B0000}"/>
    <cellStyle name="计算 2 6 6 6 5 2" xfId="31573" xr:uid="{00000000-0005-0000-0000-0000857B0000}"/>
    <cellStyle name="计算 2 6 6 6 6" xfId="31574" xr:uid="{00000000-0005-0000-0000-0000867B0000}"/>
    <cellStyle name="计算 2 6 6 7" xfId="25016" xr:uid="{00000000-0005-0000-0000-0000E8610000}"/>
    <cellStyle name="计算 2 6 6 7 2" xfId="31576" xr:uid="{00000000-0005-0000-0000-0000887B0000}"/>
    <cellStyle name="计算 2 6 6 7 2 2" xfId="31577" xr:uid="{00000000-0005-0000-0000-0000897B0000}"/>
    <cellStyle name="计算 2 6 6 7 3" xfId="31579" xr:uid="{00000000-0005-0000-0000-00008B7B0000}"/>
    <cellStyle name="计算 2 6 6 7 3 2" xfId="31586" xr:uid="{00000000-0005-0000-0000-0000927B0000}"/>
    <cellStyle name="计算 2 6 6 7 4" xfId="31588" xr:uid="{00000000-0005-0000-0000-0000947B0000}"/>
    <cellStyle name="计算 2 6 6 7 4 2" xfId="31593" xr:uid="{00000000-0005-0000-0000-0000997B0000}"/>
    <cellStyle name="计算 2 6 6 7 5" xfId="31595" xr:uid="{00000000-0005-0000-0000-00009B7B0000}"/>
    <cellStyle name="计算 2 6 6 7 5 2" xfId="31598" xr:uid="{00000000-0005-0000-0000-00009E7B0000}"/>
    <cellStyle name="计算 2 6 6 7 6" xfId="31601" xr:uid="{00000000-0005-0000-0000-0000A17B0000}"/>
    <cellStyle name="计算 2 6 6 8" xfId="31604" xr:uid="{00000000-0005-0000-0000-0000A47B0000}"/>
    <cellStyle name="计算 2 6 6 8 2" xfId="31605" xr:uid="{00000000-0005-0000-0000-0000A57B0000}"/>
    <cellStyle name="计算 2 6 6 8 2 2" xfId="31606" xr:uid="{00000000-0005-0000-0000-0000A67B0000}"/>
    <cellStyle name="计算 2 6 6 8 3" xfId="22336" xr:uid="{00000000-0005-0000-0000-000070570000}"/>
    <cellStyle name="计算 2 6 6 8 3 2" xfId="22345" xr:uid="{00000000-0005-0000-0000-000079570000}"/>
    <cellStyle name="计算 2 6 6 8 4" xfId="15793" xr:uid="{00000000-0005-0000-0000-0000E13D0000}"/>
    <cellStyle name="计算 2 6 6 8 4 2" xfId="22354" xr:uid="{00000000-0005-0000-0000-000082570000}"/>
    <cellStyle name="计算 2 6 6 8 5" xfId="22359" xr:uid="{00000000-0005-0000-0000-000087570000}"/>
    <cellStyle name="计算 2 6 6 9" xfId="4710" xr:uid="{00000000-0005-0000-0000-000096120000}"/>
    <cellStyle name="计算 2 6 6 9 2" xfId="31608" xr:uid="{00000000-0005-0000-0000-0000A87B0000}"/>
    <cellStyle name="计算 2 6 7" xfId="30543" xr:uid="{00000000-0005-0000-0000-00007F770000}"/>
    <cellStyle name="计算 2 6 7 10" xfId="31609" xr:uid="{00000000-0005-0000-0000-0000A97B0000}"/>
    <cellStyle name="计算 2 6 7 10 2" xfId="31611" xr:uid="{00000000-0005-0000-0000-0000AB7B0000}"/>
    <cellStyle name="计算 2 6 7 11" xfId="31612" xr:uid="{00000000-0005-0000-0000-0000AC7B0000}"/>
    <cellStyle name="计算 2 6 7 11 2" xfId="31615" xr:uid="{00000000-0005-0000-0000-0000AF7B0000}"/>
    <cellStyle name="计算 2 6 7 12" xfId="31616" xr:uid="{00000000-0005-0000-0000-0000B07B0000}"/>
    <cellStyle name="计算 2 6 7 12 2" xfId="31618" xr:uid="{00000000-0005-0000-0000-0000B27B0000}"/>
    <cellStyle name="计算 2 6 7 13" xfId="31619" xr:uid="{00000000-0005-0000-0000-0000B37B0000}"/>
    <cellStyle name="计算 2 6 7 14" xfId="31620" xr:uid="{00000000-0005-0000-0000-0000B47B0000}"/>
    <cellStyle name="计算 2 6 7 15" xfId="31621" xr:uid="{00000000-0005-0000-0000-0000B57B0000}"/>
    <cellStyle name="计算 2 6 7 16" xfId="31622" xr:uid="{00000000-0005-0000-0000-0000B67B0000}"/>
    <cellStyle name="计算 2 6 7 2" xfId="30545" xr:uid="{00000000-0005-0000-0000-000081770000}"/>
    <cellStyle name="计算 2 6 7 2 2" xfId="31624" xr:uid="{00000000-0005-0000-0000-0000B87B0000}"/>
    <cellStyle name="计算 2 6 7 2 2 2" xfId="31625" xr:uid="{00000000-0005-0000-0000-0000B97B0000}"/>
    <cellStyle name="计算 2 6 7 2 3" xfId="31626" xr:uid="{00000000-0005-0000-0000-0000BA7B0000}"/>
    <cellStyle name="计算 2 6 7 2 3 2" xfId="31627" xr:uid="{00000000-0005-0000-0000-0000BB7B0000}"/>
    <cellStyle name="计算 2 6 7 2 4" xfId="31628" xr:uid="{00000000-0005-0000-0000-0000BC7B0000}"/>
    <cellStyle name="计算 2 6 7 2 4 2" xfId="31629" xr:uid="{00000000-0005-0000-0000-0000BD7B0000}"/>
    <cellStyle name="计算 2 6 7 2 5" xfId="31630" xr:uid="{00000000-0005-0000-0000-0000BE7B0000}"/>
    <cellStyle name="计算 2 6 7 2 5 2" xfId="31631" xr:uid="{00000000-0005-0000-0000-0000BF7B0000}"/>
    <cellStyle name="计算 2 6 7 2 6" xfId="31632" xr:uid="{00000000-0005-0000-0000-0000C07B0000}"/>
    <cellStyle name="计算 2 6 7 2 7" xfId="31634" xr:uid="{00000000-0005-0000-0000-0000C27B0000}"/>
    <cellStyle name="计算 2 6 7 2 8" xfId="26971" xr:uid="{00000000-0005-0000-0000-00008B690000}"/>
    <cellStyle name="计算 2 6 7 2 9" xfId="31635" xr:uid="{00000000-0005-0000-0000-0000C37B0000}"/>
    <cellStyle name="计算 2 6 7 3" xfId="31636" xr:uid="{00000000-0005-0000-0000-0000C47B0000}"/>
    <cellStyle name="计算 2 6 7 3 2" xfId="31637" xr:uid="{00000000-0005-0000-0000-0000C57B0000}"/>
    <cellStyle name="计算 2 6 7 3 2 2" xfId="31638" xr:uid="{00000000-0005-0000-0000-0000C67B0000}"/>
    <cellStyle name="计算 2 6 7 3 3" xfId="31639" xr:uid="{00000000-0005-0000-0000-0000C77B0000}"/>
    <cellStyle name="计算 2 6 7 3 3 2" xfId="31640" xr:uid="{00000000-0005-0000-0000-0000C87B0000}"/>
    <cellStyle name="计算 2 6 7 3 4" xfId="31641" xr:uid="{00000000-0005-0000-0000-0000C97B0000}"/>
    <cellStyle name="计算 2 6 7 3 4 2" xfId="31642" xr:uid="{00000000-0005-0000-0000-0000CA7B0000}"/>
    <cellStyle name="计算 2 6 7 3 5" xfId="31643" xr:uid="{00000000-0005-0000-0000-0000CB7B0000}"/>
    <cellStyle name="计算 2 6 7 3 5 2" xfId="31644" xr:uid="{00000000-0005-0000-0000-0000CC7B0000}"/>
    <cellStyle name="计算 2 6 7 3 6" xfId="31645" xr:uid="{00000000-0005-0000-0000-0000CD7B0000}"/>
    <cellStyle name="计算 2 6 7 4" xfId="31646" xr:uid="{00000000-0005-0000-0000-0000CE7B0000}"/>
    <cellStyle name="计算 2 6 7 4 2" xfId="31647" xr:uid="{00000000-0005-0000-0000-0000CF7B0000}"/>
    <cellStyle name="计算 2 6 7 4 2 2" xfId="31648" xr:uid="{00000000-0005-0000-0000-0000D07B0000}"/>
    <cellStyle name="计算 2 6 7 4 3" xfId="31649" xr:uid="{00000000-0005-0000-0000-0000D17B0000}"/>
    <cellStyle name="计算 2 6 7 4 3 2" xfId="31650" xr:uid="{00000000-0005-0000-0000-0000D27B0000}"/>
    <cellStyle name="计算 2 6 7 4 4" xfId="31651" xr:uid="{00000000-0005-0000-0000-0000D37B0000}"/>
    <cellStyle name="计算 2 6 7 4 4 2" xfId="7488" xr:uid="{00000000-0005-0000-0000-0000701D0000}"/>
    <cellStyle name="计算 2 6 7 4 5" xfId="31652" xr:uid="{00000000-0005-0000-0000-0000D47B0000}"/>
    <cellStyle name="计算 2 6 7 4 5 2" xfId="31653" xr:uid="{00000000-0005-0000-0000-0000D57B0000}"/>
    <cellStyle name="计算 2 6 7 4 6" xfId="31654" xr:uid="{00000000-0005-0000-0000-0000D67B0000}"/>
    <cellStyle name="计算 2 6 7 5" xfId="31655" xr:uid="{00000000-0005-0000-0000-0000D77B0000}"/>
    <cellStyle name="计算 2 6 7 5 2" xfId="31656" xr:uid="{00000000-0005-0000-0000-0000D87B0000}"/>
    <cellStyle name="计算 2 6 7 5 2 2" xfId="31657" xr:uid="{00000000-0005-0000-0000-0000D97B0000}"/>
    <cellStyle name="计算 2 6 7 5 3" xfId="31658" xr:uid="{00000000-0005-0000-0000-0000DA7B0000}"/>
    <cellStyle name="计算 2 6 7 5 3 2" xfId="31659" xr:uid="{00000000-0005-0000-0000-0000DB7B0000}"/>
    <cellStyle name="计算 2 6 7 5 4" xfId="31660" xr:uid="{00000000-0005-0000-0000-0000DC7B0000}"/>
    <cellStyle name="计算 2 6 7 5 4 2" xfId="9642" xr:uid="{00000000-0005-0000-0000-0000DA250000}"/>
    <cellStyle name="计算 2 6 7 5 5" xfId="31661" xr:uid="{00000000-0005-0000-0000-0000DD7B0000}"/>
    <cellStyle name="计算 2 6 7 5 5 2" xfId="31662" xr:uid="{00000000-0005-0000-0000-0000DE7B0000}"/>
    <cellStyle name="计算 2 6 7 5 6" xfId="31663" xr:uid="{00000000-0005-0000-0000-0000DF7B0000}"/>
    <cellStyle name="计算 2 6 7 6" xfId="31665" xr:uid="{00000000-0005-0000-0000-0000E17B0000}"/>
    <cellStyle name="计算 2 6 7 6 2" xfId="23218" xr:uid="{00000000-0005-0000-0000-0000E25A0000}"/>
    <cellStyle name="计算 2 6 7 6 2 2" xfId="23220" xr:uid="{00000000-0005-0000-0000-0000E45A0000}"/>
    <cellStyle name="计算 2 6 7 6 3" xfId="23238" xr:uid="{00000000-0005-0000-0000-0000F65A0000}"/>
    <cellStyle name="计算 2 6 7 6 3 2" xfId="23244" xr:uid="{00000000-0005-0000-0000-0000FC5A0000}"/>
    <cellStyle name="计算 2 6 7 6 4" xfId="15818" xr:uid="{00000000-0005-0000-0000-0000FA3D0000}"/>
    <cellStyle name="计算 2 6 7 6 4 2" xfId="31666" xr:uid="{00000000-0005-0000-0000-0000E27B0000}"/>
    <cellStyle name="计算 2 6 7 6 5" xfId="23268" xr:uid="{00000000-0005-0000-0000-0000145B0000}"/>
    <cellStyle name="计算 2 6 7 6 5 2" xfId="31667" xr:uid="{00000000-0005-0000-0000-0000E37B0000}"/>
    <cellStyle name="计算 2 6 7 6 6" xfId="24737" xr:uid="{00000000-0005-0000-0000-0000D1600000}"/>
    <cellStyle name="计算 2 6 7 7" xfId="25365" xr:uid="{00000000-0005-0000-0000-000045630000}"/>
    <cellStyle name="计算 2 6 7 7 2" xfId="31668" xr:uid="{00000000-0005-0000-0000-0000E47B0000}"/>
    <cellStyle name="计算 2 6 7 7 2 2" xfId="31669" xr:uid="{00000000-0005-0000-0000-0000E57B0000}"/>
    <cellStyle name="计算 2 6 7 7 3" xfId="31671" xr:uid="{00000000-0005-0000-0000-0000E77B0000}"/>
    <cellStyle name="计算 2 6 7 7 3 2" xfId="31674" xr:uid="{00000000-0005-0000-0000-0000EA7B0000}"/>
    <cellStyle name="计算 2 6 7 7 4" xfId="31676" xr:uid="{00000000-0005-0000-0000-0000EC7B0000}"/>
    <cellStyle name="计算 2 6 7 7 4 2" xfId="31679" xr:uid="{00000000-0005-0000-0000-0000EF7B0000}"/>
    <cellStyle name="计算 2 6 7 7 5" xfId="31681" xr:uid="{00000000-0005-0000-0000-0000F17B0000}"/>
    <cellStyle name="计算 2 6 7 7 5 2" xfId="31683" xr:uid="{00000000-0005-0000-0000-0000F37B0000}"/>
    <cellStyle name="计算 2 6 7 7 6" xfId="31685" xr:uid="{00000000-0005-0000-0000-0000F57B0000}"/>
    <cellStyle name="计算 2 6 7 8" xfId="31689" xr:uid="{00000000-0005-0000-0000-0000F97B0000}"/>
    <cellStyle name="计算 2 6 7 8 2" xfId="31690" xr:uid="{00000000-0005-0000-0000-0000FA7B0000}"/>
    <cellStyle name="计算 2 6 7 8 2 2" xfId="31692" xr:uid="{00000000-0005-0000-0000-0000FC7B0000}"/>
    <cellStyle name="计算 2 6 7 8 3" xfId="31693" xr:uid="{00000000-0005-0000-0000-0000FD7B0000}"/>
    <cellStyle name="计算 2 6 7 8 3 2" xfId="31697" xr:uid="{00000000-0005-0000-0000-0000017C0000}"/>
    <cellStyle name="计算 2 6 7 8 4" xfId="31700" xr:uid="{00000000-0005-0000-0000-0000047C0000}"/>
    <cellStyle name="计算 2 6 7 8 4 2" xfId="31703" xr:uid="{00000000-0005-0000-0000-0000077C0000}"/>
    <cellStyle name="计算 2 6 7 8 5" xfId="31706" xr:uid="{00000000-0005-0000-0000-00000A7C0000}"/>
    <cellStyle name="计算 2 6 7 9" xfId="11431" xr:uid="{00000000-0005-0000-0000-0000D72C0000}"/>
    <cellStyle name="计算 2 6 7 9 2" xfId="31708" xr:uid="{00000000-0005-0000-0000-00000C7C0000}"/>
    <cellStyle name="计算 2 6 8" xfId="30547" xr:uid="{00000000-0005-0000-0000-000083770000}"/>
    <cellStyle name="计算 2 6 8 10" xfId="31711" xr:uid="{00000000-0005-0000-0000-00000F7C0000}"/>
    <cellStyle name="计算 2 6 8 10 2" xfId="31714" xr:uid="{00000000-0005-0000-0000-0000127C0000}"/>
    <cellStyle name="计算 2 6 8 11" xfId="31716" xr:uid="{00000000-0005-0000-0000-0000147C0000}"/>
    <cellStyle name="计算 2 6 8 11 2" xfId="31720" xr:uid="{00000000-0005-0000-0000-0000187C0000}"/>
    <cellStyle name="计算 2 6 8 12" xfId="31725" xr:uid="{00000000-0005-0000-0000-00001D7C0000}"/>
    <cellStyle name="计算 2 6 8 12 2" xfId="31728" xr:uid="{00000000-0005-0000-0000-0000207C0000}"/>
    <cellStyle name="计算 2 6 8 13" xfId="22087" xr:uid="{00000000-0005-0000-0000-000077560000}"/>
    <cellStyle name="计算 2 6 8 14" xfId="22094" xr:uid="{00000000-0005-0000-0000-00007E560000}"/>
    <cellStyle name="计算 2 6 8 15" xfId="22099" xr:uid="{00000000-0005-0000-0000-000083560000}"/>
    <cellStyle name="计算 2 6 8 16" xfId="22104" xr:uid="{00000000-0005-0000-0000-000088560000}"/>
    <cellStyle name="计算 2 6 8 2" xfId="30549" xr:uid="{00000000-0005-0000-0000-000085770000}"/>
    <cellStyle name="计算 2 6 8 2 2" xfId="1461" xr:uid="{00000000-0005-0000-0000-0000E5050000}"/>
    <cellStyle name="计算 2 6 8 2 2 2" xfId="11101" xr:uid="{00000000-0005-0000-0000-00008D2B0000}"/>
    <cellStyle name="计算 2 6 8 2 3" xfId="20350" xr:uid="{00000000-0005-0000-0000-0000AE4F0000}"/>
    <cellStyle name="计算 2 6 8 2 3 2" xfId="31730" xr:uid="{00000000-0005-0000-0000-0000227C0000}"/>
    <cellStyle name="计算 2 6 8 2 4" xfId="31731" xr:uid="{00000000-0005-0000-0000-0000237C0000}"/>
    <cellStyle name="计算 2 6 8 2 4 2" xfId="31732" xr:uid="{00000000-0005-0000-0000-0000247C0000}"/>
    <cellStyle name="计算 2 6 8 2 5" xfId="31733" xr:uid="{00000000-0005-0000-0000-0000257C0000}"/>
    <cellStyle name="计算 2 6 8 2 5 2" xfId="31734" xr:uid="{00000000-0005-0000-0000-0000267C0000}"/>
    <cellStyle name="计算 2 6 8 2 6" xfId="31735" xr:uid="{00000000-0005-0000-0000-0000277C0000}"/>
    <cellStyle name="计算 2 6 8 2 7" xfId="31737" xr:uid="{00000000-0005-0000-0000-0000297C0000}"/>
    <cellStyle name="计算 2 6 8 2 8" xfId="26990" xr:uid="{00000000-0005-0000-0000-00009E690000}"/>
    <cellStyle name="计算 2 6 8 2 9" xfId="31738" xr:uid="{00000000-0005-0000-0000-00002A7C0000}"/>
    <cellStyle name="计算 2 6 8 3" xfId="31739" xr:uid="{00000000-0005-0000-0000-00002B7C0000}"/>
    <cellStyle name="计算 2 6 8 3 2" xfId="11182" xr:uid="{00000000-0005-0000-0000-0000DE2B0000}"/>
    <cellStyle name="计算 2 6 8 3 2 2" xfId="20360" xr:uid="{00000000-0005-0000-0000-0000B84F0000}"/>
    <cellStyle name="计算 2 6 8 3 3" xfId="20362" xr:uid="{00000000-0005-0000-0000-0000BA4F0000}"/>
    <cellStyle name="计算 2 6 8 3 3 2" xfId="31740" xr:uid="{00000000-0005-0000-0000-00002C7C0000}"/>
    <cellStyle name="计算 2 6 8 3 4" xfId="31741" xr:uid="{00000000-0005-0000-0000-00002D7C0000}"/>
    <cellStyle name="计算 2 6 8 3 4 2" xfId="31742" xr:uid="{00000000-0005-0000-0000-00002E7C0000}"/>
    <cellStyle name="计算 2 6 8 3 5" xfId="31743" xr:uid="{00000000-0005-0000-0000-00002F7C0000}"/>
    <cellStyle name="计算 2 6 8 3 5 2" xfId="31744" xr:uid="{00000000-0005-0000-0000-0000307C0000}"/>
    <cellStyle name="计算 2 6 8 3 6" xfId="31745" xr:uid="{00000000-0005-0000-0000-0000317C0000}"/>
    <cellStyle name="计算 2 6 8 4" xfId="31746" xr:uid="{00000000-0005-0000-0000-0000327C0000}"/>
    <cellStyle name="计算 2 6 8 4 2" xfId="11198" xr:uid="{00000000-0005-0000-0000-0000EE2B0000}"/>
    <cellStyle name="计算 2 6 8 4 2 2" xfId="15504" xr:uid="{00000000-0005-0000-0000-0000C03C0000}"/>
    <cellStyle name="计算 2 6 8 4 3" xfId="19441" xr:uid="{00000000-0005-0000-0000-0000214C0000}"/>
    <cellStyle name="计算 2 6 8 4 3 2" xfId="31747" xr:uid="{00000000-0005-0000-0000-0000337C0000}"/>
    <cellStyle name="计算 2 6 8 4 4" xfId="31748" xr:uid="{00000000-0005-0000-0000-0000347C0000}"/>
    <cellStyle name="计算 2 6 8 4 4 2" xfId="31749" xr:uid="{00000000-0005-0000-0000-0000357C0000}"/>
    <cellStyle name="计算 2 6 8 4 5" xfId="31750" xr:uid="{00000000-0005-0000-0000-0000367C0000}"/>
    <cellStyle name="计算 2 6 8 4 5 2" xfId="31751" xr:uid="{00000000-0005-0000-0000-0000377C0000}"/>
    <cellStyle name="计算 2 6 8 4 6" xfId="31752" xr:uid="{00000000-0005-0000-0000-0000387C0000}"/>
    <cellStyle name="计算 2 6 8 5" xfId="31753" xr:uid="{00000000-0005-0000-0000-0000397C0000}"/>
    <cellStyle name="计算 2 6 8 5 2" xfId="11213" xr:uid="{00000000-0005-0000-0000-0000FD2B0000}"/>
    <cellStyle name="计算 2 6 8 5 2 2" xfId="2135" xr:uid="{00000000-0005-0000-0000-000087080000}"/>
    <cellStyle name="计算 2 6 8 5 3" xfId="20368" xr:uid="{00000000-0005-0000-0000-0000C04F0000}"/>
    <cellStyle name="计算 2 6 8 5 3 2" xfId="31754" xr:uid="{00000000-0005-0000-0000-00003A7C0000}"/>
    <cellStyle name="计算 2 6 8 5 4" xfId="31755" xr:uid="{00000000-0005-0000-0000-00003B7C0000}"/>
    <cellStyle name="计算 2 6 8 5 4 2" xfId="31756" xr:uid="{00000000-0005-0000-0000-00003C7C0000}"/>
    <cellStyle name="计算 2 6 8 5 5" xfId="31757" xr:uid="{00000000-0005-0000-0000-00003D7C0000}"/>
    <cellStyle name="计算 2 6 8 5 5 2" xfId="31758" xr:uid="{00000000-0005-0000-0000-00003E7C0000}"/>
    <cellStyle name="计算 2 6 8 5 6" xfId="31759" xr:uid="{00000000-0005-0000-0000-00003F7C0000}"/>
    <cellStyle name="计算 2 6 8 6" xfId="31760" xr:uid="{00000000-0005-0000-0000-0000407C0000}"/>
    <cellStyle name="计算 2 6 8 6 2" xfId="11225" xr:uid="{00000000-0005-0000-0000-0000092C0000}"/>
    <cellStyle name="计算 2 6 8 6 2 2" xfId="20378" xr:uid="{00000000-0005-0000-0000-0000CA4F0000}"/>
    <cellStyle name="计算 2 6 8 6 3" xfId="20380" xr:uid="{00000000-0005-0000-0000-0000CC4F0000}"/>
    <cellStyle name="计算 2 6 8 6 3 2" xfId="31762" xr:uid="{00000000-0005-0000-0000-0000427C0000}"/>
    <cellStyle name="计算 2 6 8 6 4" xfId="31763" xr:uid="{00000000-0005-0000-0000-0000437C0000}"/>
    <cellStyle name="计算 2 6 8 6 4 2" xfId="31764" xr:uid="{00000000-0005-0000-0000-0000447C0000}"/>
    <cellStyle name="计算 2 6 8 6 5" xfId="31765" xr:uid="{00000000-0005-0000-0000-0000457C0000}"/>
    <cellStyle name="计算 2 6 8 6 5 2" xfId="31766" xr:uid="{00000000-0005-0000-0000-0000467C0000}"/>
    <cellStyle name="计算 2 6 8 6 6" xfId="31767" xr:uid="{00000000-0005-0000-0000-0000477C0000}"/>
    <cellStyle name="计算 2 6 8 7" xfId="25375" xr:uid="{00000000-0005-0000-0000-00004F630000}"/>
    <cellStyle name="计算 2 6 8 7 2" xfId="20389" xr:uid="{00000000-0005-0000-0000-0000D54F0000}"/>
    <cellStyle name="计算 2 6 8 7 2 2" xfId="20392" xr:uid="{00000000-0005-0000-0000-0000D84F0000}"/>
    <cellStyle name="计算 2 6 8 7 3" xfId="20393" xr:uid="{00000000-0005-0000-0000-0000D94F0000}"/>
    <cellStyle name="计算 2 6 8 7 3 2" xfId="31770" xr:uid="{00000000-0005-0000-0000-00004A7C0000}"/>
    <cellStyle name="计算 2 6 8 7 4" xfId="31771" xr:uid="{00000000-0005-0000-0000-00004B7C0000}"/>
    <cellStyle name="计算 2 6 8 7 4 2" xfId="31773" xr:uid="{00000000-0005-0000-0000-00004D7C0000}"/>
    <cellStyle name="计算 2 6 8 7 5" xfId="31774" xr:uid="{00000000-0005-0000-0000-00004E7C0000}"/>
    <cellStyle name="计算 2 6 8 7 5 2" xfId="31775" xr:uid="{00000000-0005-0000-0000-00004F7C0000}"/>
    <cellStyle name="计算 2 6 8 7 6" xfId="31776" xr:uid="{00000000-0005-0000-0000-0000507C0000}"/>
    <cellStyle name="计算 2 6 8 8" xfId="31778" xr:uid="{00000000-0005-0000-0000-0000527C0000}"/>
    <cellStyle name="计算 2 6 8 8 2" xfId="20403" xr:uid="{00000000-0005-0000-0000-0000E34F0000}"/>
    <cellStyle name="计算 2 6 8 8 2 2" xfId="31780" xr:uid="{00000000-0005-0000-0000-0000547C0000}"/>
    <cellStyle name="计算 2 6 8 8 3" xfId="31781" xr:uid="{00000000-0005-0000-0000-0000557C0000}"/>
    <cellStyle name="计算 2 6 8 8 3 2" xfId="31784" xr:uid="{00000000-0005-0000-0000-0000587C0000}"/>
    <cellStyle name="计算 2 6 8 8 4" xfId="31785" xr:uid="{00000000-0005-0000-0000-0000597C0000}"/>
    <cellStyle name="计算 2 6 8 8 4 2" xfId="31787" xr:uid="{00000000-0005-0000-0000-00005B7C0000}"/>
    <cellStyle name="计算 2 6 8 8 5" xfId="31788" xr:uid="{00000000-0005-0000-0000-00005C7C0000}"/>
    <cellStyle name="计算 2 6 8 9" xfId="11722" xr:uid="{00000000-0005-0000-0000-0000FA2D0000}"/>
    <cellStyle name="计算 2 6 8 9 2" xfId="31789" xr:uid="{00000000-0005-0000-0000-00005D7C0000}"/>
    <cellStyle name="计算 2 6 9" xfId="16493" xr:uid="{00000000-0005-0000-0000-00009D400000}"/>
    <cellStyle name="计算 2 6 9 10" xfId="31793" xr:uid="{00000000-0005-0000-0000-0000617C0000}"/>
    <cellStyle name="计算 2 6 9 10 2" xfId="31796" xr:uid="{00000000-0005-0000-0000-0000647C0000}"/>
    <cellStyle name="计算 2 6 9 11" xfId="31799" xr:uid="{00000000-0005-0000-0000-0000677C0000}"/>
    <cellStyle name="计算 2 6 9 11 2" xfId="31802" xr:uid="{00000000-0005-0000-0000-00006A7C0000}"/>
    <cellStyle name="计算 2 6 9 12" xfId="31807" xr:uid="{00000000-0005-0000-0000-00006F7C0000}"/>
    <cellStyle name="计算 2 6 9 12 2" xfId="31809" xr:uid="{00000000-0005-0000-0000-0000717C0000}"/>
    <cellStyle name="计算 2 6 9 13" xfId="31813" xr:uid="{00000000-0005-0000-0000-0000757C0000}"/>
    <cellStyle name="计算 2 6 9 14" xfId="31815" xr:uid="{00000000-0005-0000-0000-0000777C0000}"/>
    <cellStyle name="计算 2 6 9 15" xfId="31817" xr:uid="{00000000-0005-0000-0000-0000797C0000}"/>
    <cellStyle name="计算 2 6 9 16" xfId="31819" xr:uid="{00000000-0005-0000-0000-00007B7C0000}"/>
    <cellStyle name="计算 2 6 9 2" xfId="16498" xr:uid="{00000000-0005-0000-0000-0000A2400000}"/>
    <cellStyle name="计算 2 6 9 2 2" xfId="31820" xr:uid="{00000000-0005-0000-0000-00007C7C0000}"/>
    <cellStyle name="计算 2 6 9 2 2 2" xfId="31821" xr:uid="{00000000-0005-0000-0000-00007D7C0000}"/>
    <cellStyle name="计算 2 6 9 2 3" xfId="31822" xr:uid="{00000000-0005-0000-0000-00007E7C0000}"/>
    <cellStyle name="计算 2 6 9 2 3 2" xfId="31823" xr:uid="{00000000-0005-0000-0000-00007F7C0000}"/>
    <cellStyle name="计算 2 6 9 2 4" xfId="31824" xr:uid="{00000000-0005-0000-0000-0000807C0000}"/>
    <cellStyle name="计算 2 6 9 2 4 2" xfId="31827" xr:uid="{00000000-0005-0000-0000-0000837C0000}"/>
    <cellStyle name="计算 2 6 9 2 5" xfId="31829" xr:uid="{00000000-0005-0000-0000-0000857C0000}"/>
    <cellStyle name="计算 2 6 9 2 5 2" xfId="31831" xr:uid="{00000000-0005-0000-0000-0000877C0000}"/>
    <cellStyle name="计算 2 6 9 2 6" xfId="31833" xr:uid="{00000000-0005-0000-0000-0000897C0000}"/>
    <cellStyle name="计算 2 6 9 2 7" xfId="31836" xr:uid="{00000000-0005-0000-0000-00008C7C0000}"/>
    <cellStyle name="计算 2 6 9 2 8" xfId="27000" xr:uid="{00000000-0005-0000-0000-0000A8690000}"/>
    <cellStyle name="计算 2 6 9 2 9" xfId="31838" xr:uid="{00000000-0005-0000-0000-00008E7C0000}"/>
    <cellStyle name="计算 2 6 9 3" xfId="31839" xr:uid="{00000000-0005-0000-0000-00008F7C0000}"/>
    <cellStyle name="计算 2 6 9 3 2" xfId="31840" xr:uid="{00000000-0005-0000-0000-0000907C0000}"/>
    <cellStyle name="计算 2 6 9 3 2 2" xfId="31841" xr:uid="{00000000-0005-0000-0000-0000917C0000}"/>
    <cellStyle name="计算 2 6 9 3 3" xfId="31843" xr:uid="{00000000-0005-0000-0000-0000937C0000}"/>
    <cellStyle name="计算 2 6 9 3 3 2" xfId="31844" xr:uid="{00000000-0005-0000-0000-0000947C0000}"/>
    <cellStyle name="计算 2 6 9 3 4" xfId="31846" xr:uid="{00000000-0005-0000-0000-0000967C0000}"/>
    <cellStyle name="计算 2 6 9 3 4 2" xfId="31847" xr:uid="{00000000-0005-0000-0000-0000977C0000}"/>
    <cellStyle name="计算 2 6 9 3 5" xfId="31849" xr:uid="{00000000-0005-0000-0000-0000997C0000}"/>
    <cellStyle name="计算 2 6 9 3 5 2" xfId="31851" xr:uid="{00000000-0005-0000-0000-00009B7C0000}"/>
    <cellStyle name="计算 2 6 9 3 6" xfId="31853" xr:uid="{00000000-0005-0000-0000-00009D7C0000}"/>
    <cellStyle name="计算 2 6 9 4" xfId="31854" xr:uid="{00000000-0005-0000-0000-00009E7C0000}"/>
    <cellStyle name="计算 2 6 9 4 2" xfId="31855" xr:uid="{00000000-0005-0000-0000-00009F7C0000}"/>
    <cellStyle name="计算 2 6 9 4 2 2" xfId="31856" xr:uid="{00000000-0005-0000-0000-0000A07C0000}"/>
    <cellStyle name="计算 2 6 9 4 3" xfId="31858" xr:uid="{00000000-0005-0000-0000-0000A27C0000}"/>
    <cellStyle name="计算 2 6 9 4 3 2" xfId="30011" xr:uid="{00000000-0005-0000-0000-00006B750000}"/>
    <cellStyle name="计算 2 6 9 4 4" xfId="31859" xr:uid="{00000000-0005-0000-0000-0000A37C0000}"/>
    <cellStyle name="计算 2 6 9 4 4 2" xfId="31860" xr:uid="{00000000-0005-0000-0000-0000A47C0000}"/>
    <cellStyle name="计算 2 6 9 4 5" xfId="31862" xr:uid="{00000000-0005-0000-0000-0000A67C0000}"/>
    <cellStyle name="计算 2 6 9 4 5 2" xfId="31864" xr:uid="{00000000-0005-0000-0000-0000A87C0000}"/>
    <cellStyle name="计算 2 6 9 4 6" xfId="31866" xr:uid="{00000000-0005-0000-0000-0000AA7C0000}"/>
    <cellStyle name="计算 2 6 9 5" xfId="31867" xr:uid="{00000000-0005-0000-0000-0000AB7C0000}"/>
    <cellStyle name="计算 2 6 9 5 2" xfId="31869" xr:uid="{00000000-0005-0000-0000-0000AD7C0000}"/>
    <cellStyle name="计算 2 6 9 5 2 2" xfId="31872" xr:uid="{00000000-0005-0000-0000-0000B07C0000}"/>
    <cellStyle name="计算 2 6 9 5 3" xfId="31873" xr:uid="{00000000-0005-0000-0000-0000B17C0000}"/>
    <cellStyle name="计算 2 6 9 5 3 2" xfId="31874" xr:uid="{00000000-0005-0000-0000-0000B27C0000}"/>
    <cellStyle name="计算 2 6 9 5 4" xfId="31875" xr:uid="{00000000-0005-0000-0000-0000B37C0000}"/>
    <cellStyle name="计算 2 6 9 5 4 2" xfId="31876" xr:uid="{00000000-0005-0000-0000-0000B47C0000}"/>
    <cellStyle name="计算 2 6 9 5 5" xfId="31878" xr:uid="{00000000-0005-0000-0000-0000B67C0000}"/>
    <cellStyle name="计算 2 6 9 5 5 2" xfId="31880" xr:uid="{00000000-0005-0000-0000-0000B87C0000}"/>
    <cellStyle name="计算 2 6 9 5 6" xfId="31882" xr:uid="{00000000-0005-0000-0000-0000BA7C0000}"/>
    <cellStyle name="计算 2 6 9 6" xfId="31883" xr:uid="{00000000-0005-0000-0000-0000BB7C0000}"/>
    <cellStyle name="计算 2 6 9 6 2" xfId="31885" xr:uid="{00000000-0005-0000-0000-0000BD7C0000}"/>
    <cellStyle name="计算 2 6 9 6 2 2" xfId="31888" xr:uid="{00000000-0005-0000-0000-0000C07C0000}"/>
    <cellStyle name="计算 2 6 9 6 3" xfId="31889" xr:uid="{00000000-0005-0000-0000-0000C17C0000}"/>
    <cellStyle name="计算 2 6 9 6 3 2" xfId="31890" xr:uid="{00000000-0005-0000-0000-0000C27C0000}"/>
    <cellStyle name="计算 2 6 9 6 4" xfId="25912" xr:uid="{00000000-0005-0000-0000-000068650000}"/>
    <cellStyle name="计算 2 6 9 6 4 2" xfId="31891" xr:uid="{00000000-0005-0000-0000-0000C37C0000}"/>
    <cellStyle name="计算 2 6 9 6 5" xfId="31893" xr:uid="{00000000-0005-0000-0000-0000C57C0000}"/>
    <cellStyle name="计算 2 6 9 6 5 2" xfId="31895" xr:uid="{00000000-0005-0000-0000-0000C77C0000}"/>
    <cellStyle name="计算 2 6 9 6 6" xfId="31897" xr:uid="{00000000-0005-0000-0000-0000C97C0000}"/>
    <cellStyle name="计算 2 6 9 7" xfId="31900" xr:uid="{00000000-0005-0000-0000-0000CC7C0000}"/>
    <cellStyle name="计算 2 6 9 7 2" xfId="31902" xr:uid="{00000000-0005-0000-0000-0000CE7C0000}"/>
    <cellStyle name="计算 2 6 9 7 2 2" xfId="31905" xr:uid="{00000000-0005-0000-0000-0000D17C0000}"/>
    <cellStyle name="计算 2 6 9 7 3" xfId="31906" xr:uid="{00000000-0005-0000-0000-0000D27C0000}"/>
    <cellStyle name="计算 2 6 9 7 3 2" xfId="31909" xr:uid="{00000000-0005-0000-0000-0000D57C0000}"/>
    <cellStyle name="计算 2 6 9 7 4" xfId="25917" xr:uid="{00000000-0005-0000-0000-00006D650000}"/>
    <cellStyle name="计算 2 6 9 7 4 2" xfId="31911" xr:uid="{00000000-0005-0000-0000-0000D77C0000}"/>
    <cellStyle name="计算 2 6 9 7 5" xfId="31914" xr:uid="{00000000-0005-0000-0000-0000DA7C0000}"/>
    <cellStyle name="计算 2 6 9 7 5 2" xfId="31917" xr:uid="{00000000-0005-0000-0000-0000DD7C0000}"/>
    <cellStyle name="计算 2 6 9 7 6" xfId="31920" xr:uid="{00000000-0005-0000-0000-0000E07C0000}"/>
    <cellStyle name="计算 2 6 9 8" xfId="31923" xr:uid="{00000000-0005-0000-0000-0000E37C0000}"/>
    <cellStyle name="计算 2 6 9 8 2" xfId="31925" xr:uid="{00000000-0005-0000-0000-0000E57C0000}"/>
    <cellStyle name="计算 2 6 9 8 2 2" xfId="31928" xr:uid="{00000000-0005-0000-0000-0000E87C0000}"/>
    <cellStyle name="计算 2 6 9 8 3" xfId="31929" xr:uid="{00000000-0005-0000-0000-0000E97C0000}"/>
    <cellStyle name="计算 2 6 9 8 3 2" xfId="31932" xr:uid="{00000000-0005-0000-0000-0000EC7C0000}"/>
    <cellStyle name="计算 2 6 9 8 4" xfId="25922" xr:uid="{00000000-0005-0000-0000-000072650000}"/>
    <cellStyle name="计算 2 6 9 8 4 2" xfId="31935" xr:uid="{00000000-0005-0000-0000-0000EF7C0000}"/>
    <cellStyle name="计算 2 6 9 8 5" xfId="31939" xr:uid="{00000000-0005-0000-0000-0000F37C0000}"/>
    <cellStyle name="计算 2 6 9 9" xfId="11730" xr:uid="{00000000-0005-0000-0000-0000022E0000}"/>
    <cellStyle name="计算 2 6 9 9 2" xfId="31941" xr:uid="{00000000-0005-0000-0000-0000F57C0000}"/>
    <cellStyle name="计算 2 7" xfId="31942" xr:uid="{00000000-0005-0000-0000-0000F67C0000}"/>
    <cellStyle name="计算 2 7 10" xfId="31943" xr:uid="{00000000-0005-0000-0000-0000F77C0000}"/>
    <cellStyle name="计算 2 7 10 10" xfId="12442" xr:uid="{00000000-0005-0000-0000-0000CA300000}"/>
    <cellStyle name="计算 2 7 10 10 2" xfId="28471" xr:uid="{00000000-0005-0000-0000-0000676F0000}"/>
    <cellStyle name="计算 2 7 10 11" xfId="12448" xr:uid="{00000000-0005-0000-0000-0000D0300000}"/>
    <cellStyle name="计算 2 7 10 11 2" xfId="24903" xr:uid="{00000000-0005-0000-0000-000077610000}"/>
    <cellStyle name="计算 2 7 10 12" xfId="7002" xr:uid="{00000000-0005-0000-0000-00008A1B0000}"/>
    <cellStyle name="计算 2 7 10 12 2" xfId="11295" xr:uid="{00000000-0005-0000-0000-00004F2C0000}"/>
    <cellStyle name="计算 2 7 10 13" xfId="7960" xr:uid="{00000000-0005-0000-0000-0000481F0000}"/>
    <cellStyle name="计算 2 7 10 14" xfId="11311" xr:uid="{00000000-0005-0000-0000-00005F2C0000}"/>
    <cellStyle name="计算 2 7 10 15" xfId="11320" xr:uid="{00000000-0005-0000-0000-0000682C0000}"/>
    <cellStyle name="计算 2 7 10 16" xfId="11322" xr:uid="{00000000-0005-0000-0000-00006A2C0000}"/>
    <cellStyle name="计算 2 7 10 2" xfId="4123" xr:uid="{00000000-0005-0000-0000-00004B100000}"/>
    <cellStyle name="计算 2 7 10 2 2" xfId="31945" xr:uid="{00000000-0005-0000-0000-0000F97C0000}"/>
    <cellStyle name="计算 2 7 10 2 2 2" xfId="31947" xr:uid="{00000000-0005-0000-0000-0000FB7C0000}"/>
    <cellStyle name="计算 2 7 10 2 3" xfId="26525" xr:uid="{00000000-0005-0000-0000-0000CD670000}"/>
    <cellStyle name="计算 2 7 10 2 3 2" xfId="31949" xr:uid="{00000000-0005-0000-0000-0000FD7C0000}"/>
    <cellStyle name="计算 2 7 10 2 4" xfId="31950" xr:uid="{00000000-0005-0000-0000-0000FE7C0000}"/>
    <cellStyle name="计算 2 7 10 2 4 2" xfId="31952" xr:uid="{00000000-0005-0000-0000-0000007D0000}"/>
    <cellStyle name="计算 2 7 10 2 5" xfId="31954" xr:uid="{00000000-0005-0000-0000-0000027D0000}"/>
    <cellStyle name="计算 2 7 10 2 5 2" xfId="31955" xr:uid="{00000000-0005-0000-0000-0000037D0000}"/>
    <cellStyle name="计算 2 7 10 2 6" xfId="31958" xr:uid="{00000000-0005-0000-0000-0000067D0000}"/>
    <cellStyle name="计算 2 7 10 2 7" xfId="31185" xr:uid="{00000000-0005-0000-0000-0000017A0000}"/>
    <cellStyle name="计算 2 7 10 2 8" xfId="31959" xr:uid="{00000000-0005-0000-0000-0000077D0000}"/>
    <cellStyle name="计算 2 7 10 2 9" xfId="31960" xr:uid="{00000000-0005-0000-0000-0000087D0000}"/>
    <cellStyle name="计算 2 7 10 3" xfId="4139" xr:uid="{00000000-0005-0000-0000-00005B100000}"/>
    <cellStyle name="计算 2 7 10 3 2" xfId="31961" xr:uid="{00000000-0005-0000-0000-0000097D0000}"/>
    <cellStyle name="计算 2 7 10 3 2 2" xfId="31963" xr:uid="{00000000-0005-0000-0000-00000B7D0000}"/>
    <cellStyle name="计算 2 7 10 3 3" xfId="21275" xr:uid="{00000000-0005-0000-0000-00004B530000}"/>
    <cellStyle name="计算 2 7 10 3 3 2" xfId="31965" xr:uid="{00000000-0005-0000-0000-00000D7D0000}"/>
    <cellStyle name="计算 2 7 10 3 4" xfId="31966" xr:uid="{00000000-0005-0000-0000-00000E7D0000}"/>
    <cellStyle name="计算 2 7 10 3 4 2" xfId="31968" xr:uid="{00000000-0005-0000-0000-0000107D0000}"/>
    <cellStyle name="计算 2 7 10 3 5" xfId="31970" xr:uid="{00000000-0005-0000-0000-0000127D0000}"/>
    <cellStyle name="计算 2 7 10 3 5 2" xfId="31971" xr:uid="{00000000-0005-0000-0000-0000137D0000}"/>
    <cellStyle name="计算 2 7 10 3 6" xfId="31974" xr:uid="{00000000-0005-0000-0000-0000167D0000}"/>
    <cellStyle name="计算 2 7 10 4" xfId="2425" xr:uid="{00000000-0005-0000-0000-0000A9090000}"/>
    <cellStyle name="计算 2 7 10 4 2" xfId="31975" xr:uid="{00000000-0005-0000-0000-0000177D0000}"/>
    <cellStyle name="计算 2 7 10 4 2 2" xfId="31977" xr:uid="{00000000-0005-0000-0000-0000197D0000}"/>
    <cellStyle name="计算 2 7 10 4 3" xfId="26538" xr:uid="{00000000-0005-0000-0000-0000DA670000}"/>
    <cellStyle name="计算 2 7 10 4 3 2" xfId="31979" xr:uid="{00000000-0005-0000-0000-00001B7D0000}"/>
    <cellStyle name="计算 2 7 10 4 4" xfId="31980" xr:uid="{00000000-0005-0000-0000-00001C7D0000}"/>
    <cellStyle name="计算 2 7 10 4 4 2" xfId="31982" xr:uid="{00000000-0005-0000-0000-00001E7D0000}"/>
    <cellStyle name="计算 2 7 10 4 5" xfId="31984" xr:uid="{00000000-0005-0000-0000-0000207D0000}"/>
    <cellStyle name="计算 2 7 10 4 5 2" xfId="31986" xr:uid="{00000000-0005-0000-0000-0000227D0000}"/>
    <cellStyle name="计算 2 7 10 4 6" xfId="31989" xr:uid="{00000000-0005-0000-0000-0000257D0000}"/>
    <cellStyle name="计算 2 7 10 5" xfId="2436" xr:uid="{00000000-0005-0000-0000-0000B4090000}"/>
    <cellStyle name="计算 2 7 10 5 2" xfId="31990" xr:uid="{00000000-0005-0000-0000-0000267D0000}"/>
    <cellStyle name="计算 2 7 10 5 2 2" xfId="31992" xr:uid="{00000000-0005-0000-0000-0000287D0000}"/>
    <cellStyle name="计算 2 7 10 5 3" xfId="26549" xr:uid="{00000000-0005-0000-0000-0000E5670000}"/>
    <cellStyle name="计算 2 7 10 5 3 2" xfId="31994" xr:uid="{00000000-0005-0000-0000-00002A7D0000}"/>
    <cellStyle name="计算 2 7 10 5 4" xfId="31995" xr:uid="{00000000-0005-0000-0000-00002B7D0000}"/>
    <cellStyle name="计算 2 7 10 5 4 2" xfId="31997" xr:uid="{00000000-0005-0000-0000-00002D7D0000}"/>
    <cellStyle name="计算 2 7 10 5 5" xfId="31999" xr:uid="{00000000-0005-0000-0000-00002F7D0000}"/>
    <cellStyle name="计算 2 7 10 5 5 2" xfId="32000" xr:uid="{00000000-0005-0000-0000-0000307D0000}"/>
    <cellStyle name="计算 2 7 10 5 6" xfId="32003" xr:uid="{00000000-0005-0000-0000-0000337D0000}"/>
    <cellStyle name="计算 2 7 10 6" xfId="32004" xr:uid="{00000000-0005-0000-0000-0000347D0000}"/>
    <cellStyle name="计算 2 7 10 6 2" xfId="32005" xr:uid="{00000000-0005-0000-0000-0000357D0000}"/>
    <cellStyle name="计算 2 7 10 6 2 2" xfId="32007" xr:uid="{00000000-0005-0000-0000-0000377D0000}"/>
    <cellStyle name="计算 2 7 10 6 3" xfId="32008" xr:uid="{00000000-0005-0000-0000-0000387D0000}"/>
    <cellStyle name="计算 2 7 10 6 3 2" xfId="32010" xr:uid="{00000000-0005-0000-0000-00003A7D0000}"/>
    <cellStyle name="计算 2 7 10 6 4" xfId="32011" xr:uid="{00000000-0005-0000-0000-00003B7D0000}"/>
    <cellStyle name="计算 2 7 10 6 4 2" xfId="32012" xr:uid="{00000000-0005-0000-0000-00003C7D0000}"/>
    <cellStyle name="计算 2 7 10 6 5" xfId="32014" xr:uid="{00000000-0005-0000-0000-00003E7D0000}"/>
    <cellStyle name="计算 2 7 10 6 5 2" xfId="32015" xr:uid="{00000000-0005-0000-0000-00003F7D0000}"/>
    <cellStyle name="计算 2 7 10 6 6" xfId="32017" xr:uid="{00000000-0005-0000-0000-0000417D0000}"/>
    <cellStyle name="计算 2 7 10 7" xfId="400" xr:uid="{00000000-0005-0000-0000-0000B6010000}"/>
    <cellStyle name="计算 2 7 10 7 2" xfId="582" xr:uid="{00000000-0005-0000-0000-000076020000}"/>
    <cellStyle name="计算 2 7 10 7 2 2" xfId="32019" xr:uid="{00000000-0005-0000-0000-0000437D0000}"/>
    <cellStyle name="计算 2 7 10 7 3" xfId="32020" xr:uid="{00000000-0005-0000-0000-0000447D0000}"/>
    <cellStyle name="计算 2 7 10 7 3 2" xfId="32022" xr:uid="{00000000-0005-0000-0000-0000467D0000}"/>
    <cellStyle name="计算 2 7 10 7 4" xfId="32023" xr:uid="{00000000-0005-0000-0000-0000477D0000}"/>
    <cellStyle name="计算 2 7 10 7 4 2" xfId="32024" xr:uid="{00000000-0005-0000-0000-0000487D0000}"/>
    <cellStyle name="计算 2 7 10 7 5" xfId="23296" xr:uid="{00000000-0005-0000-0000-0000305B0000}"/>
    <cellStyle name="计算 2 7 10 7 5 2" xfId="23298" xr:uid="{00000000-0005-0000-0000-0000325B0000}"/>
    <cellStyle name="计算 2 7 10 7 6" xfId="23300" xr:uid="{00000000-0005-0000-0000-0000345B0000}"/>
    <cellStyle name="计算 2 7 10 8" xfId="71" xr:uid="{00000000-0005-0000-0000-00004D000000}"/>
    <cellStyle name="计算 2 7 10 8 2" xfId="805" xr:uid="{00000000-0005-0000-0000-000055030000}"/>
    <cellStyle name="计算 2 7 10 8 2 2" xfId="32026" xr:uid="{00000000-0005-0000-0000-00004A7D0000}"/>
    <cellStyle name="计算 2 7 10 8 3" xfId="32027" xr:uid="{00000000-0005-0000-0000-00004B7D0000}"/>
    <cellStyle name="计算 2 7 10 8 3 2" xfId="32030" xr:uid="{00000000-0005-0000-0000-00004E7D0000}"/>
    <cellStyle name="计算 2 7 10 8 4" xfId="32031" xr:uid="{00000000-0005-0000-0000-00004F7D0000}"/>
    <cellStyle name="计算 2 7 10 8 4 2" xfId="4388" xr:uid="{00000000-0005-0000-0000-000054110000}"/>
    <cellStyle name="计算 2 7 10 8 5" xfId="23309" xr:uid="{00000000-0005-0000-0000-00003D5B0000}"/>
    <cellStyle name="计算 2 7 10 9" xfId="446" xr:uid="{00000000-0005-0000-0000-0000E7010000}"/>
    <cellStyle name="计算 2 7 10 9 2" xfId="11244" xr:uid="{00000000-0005-0000-0000-00001C2C0000}"/>
    <cellStyle name="计算 2 7 11" xfId="32032" xr:uid="{00000000-0005-0000-0000-0000507D0000}"/>
    <cellStyle name="计算 2 7 11 10" xfId="12513" xr:uid="{00000000-0005-0000-0000-000011310000}"/>
    <cellStyle name="计算 2 7 11 10 2" xfId="32034" xr:uid="{00000000-0005-0000-0000-0000527D0000}"/>
    <cellStyle name="计算 2 7 11 11" xfId="32037" xr:uid="{00000000-0005-0000-0000-0000557D0000}"/>
    <cellStyle name="计算 2 7 11 11 2" xfId="32039" xr:uid="{00000000-0005-0000-0000-0000577D0000}"/>
    <cellStyle name="计算 2 7 11 12" xfId="11476" xr:uid="{00000000-0005-0000-0000-0000042D0000}"/>
    <cellStyle name="计算 2 7 11 12 2" xfId="10305" xr:uid="{00000000-0005-0000-0000-000071280000}"/>
    <cellStyle name="计算 2 7 11 13" xfId="11481" xr:uid="{00000000-0005-0000-0000-0000092D0000}"/>
    <cellStyle name="计算 2 7 11 14" xfId="11488" xr:uid="{00000000-0005-0000-0000-0000102D0000}"/>
    <cellStyle name="计算 2 7 11 15" xfId="11494" xr:uid="{00000000-0005-0000-0000-0000162D0000}"/>
    <cellStyle name="计算 2 7 11 16" xfId="8295" xr:uid="{00000000-0005-0000-0000-000097200000}"/>
    <cellStyle name="计算 2 7 11 2" xfId="4227" xr:uid="{00000000-0005-0000-0000-0000B3100000}"/>
    <cellStyle name="计算 2 7 11 2 2" xfId="32042" xr:uid="{00000000-0005-0000-0000-00005A7D0000}"/>
    <cellStyle name="计算 2 7 11 2 2 2" xfId="32043" xr:uid="{00000000-0005-0000-0000-00005B7D0000}"/>
    <cellStyle name="计算 2 7 11 2 3" xfId="26581" xr:uid="{00000000-0005-0000-0000-000005680000}"/>
    <cellStyle name="计算 2 7 11 2 3 2" xfId="32044" xr:uid="{00000000-0005-0000-0000-00005C7D0000}"/>
    <cellStyle name="计算 2 7 11 2 4" xfId="32046" xr:uid="{00000000-0005-0000-0000-00005E7D0000}"/>
    <cellStyle name="计算 2 7 11 2 4 2" xfId="32048" xr:uid="{00000000-0005-0000-0000-0000607D0000}"/>
    <cellStyle name="计算 2 7 11 2 5" xfId="32051" xr:uid="{00000000-0005-0000-0000-0000637D0000}"/>
    <cellStyle name="计算 2 7 11 2 5 2" xfId="32052" xr:uid="{00000000-0005-0000-0000-0000647D0000}"/>
    <cellStyle name="计算 2 7 11 2 6" xfId="32055" xr:uid="{00000000-0005-0000-0000-0000677D0000}"/>
    <cellStyle name="计算 2 7 11 3" xfId="32057" xr:uid="{00000000-0005-0000-0000-0000697D0000}"/>
    <cellStyle name="计算 2 7 11 3 2" xfId="32058" xr:uid="{00000000-0005-0000-0000-00006A7D0000}"/>
    <cellStyle name="计算 2 7 11 3 2 2" xfId="32059" xr:uid="{00000000-0005-0000-0000-00006B7D0000}"/>
    <cellStyle name="计算 2 7 11 3 3" xfId="26594" xr:uid="{00000000-0005-0000-0000-000012680000}"/>
    <cellStyle name="计算 2 7 11 3 3 2" xfId="32060" xr:uid="{00000000-0005-0000-0000-00006C7D0000}"/>
    <cellStyle name="计算 2 7 11 3 4" xfId="32061" xr:uid="{00000000-0005-0000-0000-00006D7D0000}"/>
    <cellStyle name="计算 2 7 11 3 4 2" xfId="32063" xr:uid="{00000000-0005-0000-0000-00006F7D0000}"/>
    <cellStyle name="计算 2 7 11 3 5" xfId="32066" xr:uid="{00000000-0005-0000-0000-0000727D0000}"/>
    <cellStyle name="计算 2 7 11 3 5 2" xfId="32067" xr:uid="{00000000-0005-0000-0000-0000737D0000}"/>
    <cellStyle name="计算 2 7 11 3 6" xfId="32070" xr:uid="{00000000-0005-0000-0000-0000767D0000}"/>
    <cellStyle name="计算 2 7 11 4" xfId="32072" xr:uid="{00000000-0005-0000-0000-0000787D0000}"/>
    <cellStyle name="计算 2 7 11 4 2" xfId="32073" xr:uid="{00000000-0005-0000-0000-0000797D0000}"/>
    <cellStyle name="计算 2 7 11 4 2 2" xfId="32074" xr:uid="{00000000-0005-0000-0000-00007A7D0000}"/>
    <cellStyle name="计算 2 7 11 4 3" xfId="26600" xr:uid="{00000000-0005-0000-0000-000018680000}"/>
    <cellStyle name="计算 2 7 11 4 3 2" xfId="32075" xr:uid="{00000000-0005-0000-0000-00007B7D0000}"/>
    <cellStyle name="计算 2 7 11 4 4" xfId="32076" xr:uid="{00000000-0005-0000-0000-00007C7D0000}"/>
    <cellStyle name="计算 2 7 11 4 4 2" xfId="32078" xr:uid="{00000000-0005-0000-0000-00007E7D0000}"/>
    <cellStyle name="计算 2 7 11 4 5" xfId="32081" xr:uid="{00000000-0005-0000-0000-0000817D0000}"/>
    <cellStyle name="计算 2 7 11 4 5 2" xfId="32082" xr:uid="{00000000-0005-0000-0000-0000827D0000}"/>
    <cellStyle name="计算 2 7 11 4 6" xfId="32085" xr:uid="{00000000-0005-0000-0000-0000857D0000}"/>
    <cellStyle name="计算 2 7 11 5" xfId="32086" xr:uid="{00000000-0005-0000-0000-0000867D0000}"/>
    <cellStyle name="计算 2 7 11 5 2" xfId="32087" xr:uid="{00000000-0005-0000-0000-0000877D0000}"/>
    <cellStyle name="计算 2 7 11 5 2 2" xfId="26574" xr:uid="{00000000-0005-0000-0000-0000FE670000}"/>
    <cellStyle name="计算 2 7 11 5 3" xfId="32088" xr:uid="{00000000-0005-0000-0000-0000887D0000}"/>
    <cellStyle name="计算 2 7 11 5 3 2" xfId="32089" xr:uid="{00000000-0005-0000-0000-0000897D0000}"/>
    <cellStyle name="计算 2 7 11 5 4" xfId="32090" xr:uid="{00000000-0005-0000-0000-00008A7D0000}"/>
    <cellStyle name="计算 2 7 11 5 4 2" xfId="32092" xr:uid="{00000000-0005-0000-0000-00008C7D0000}"/>
    <cellStyle name="计算 2 7 11 5 5" xfId="32094" xr:uid="{00000000-0005-0000-0000-00008E7D0000}"/>
    <cellStyle name="计算 2 7 11 5 5 2" xfId="32096" xr:uid="{00000000-0005-0000-0000-0000907D0000}"/>
    <cellStyle name="计算 2 7 11 5 6" xfId="24345" xr:uid="{00000000-0005-0000-0000-0000495F0000}"/>
    <cellStyle name="计算 2 7 11 6" xfId="32098" xr:uid="{00000000-0005-0000-0000-0000927D0000}"/>
    <cellStyle name="计算 2 7 11 6 2" xfId="32099" xr:uid="{00000000-0005-0000-0000-0000937D0000}"/>
    <cellStyle name="计算 2 7 11 6 2 2" xfId="32100" xr:uid="{00000000-0005-0000-0000-0000947D0000}"/>
    <cellStyle name="计算 2 7 11 6 3" xfId="32104" xr:uid="{00000000-0005-0000-0000-0000987D0000}"/>
    <cellStyle name="计算 2 7 11 6 3 2" xfId="32105" xr:uid="{00000000-0005-0000-0000-0000997D0000}"/>
    <cellStyle name="计算 2 7 11 6 4" xfId="32106" xr:uid="{00000000-0005-0000-0000-00009A7D0000}"/>
    <cellStyle name="计算 2 7 11 6 4 2" xfId="32107" xr:uid="{00000000-0005-0000-0000-00009B7D0000}"/>
    <cellStyle name="计算 2 7 11 6 5" xfId="32109" xr:uid="{00000000-0005-0000-0000-00009D7D0000}"/>
    <cellStyle name="计算 2 7 11 6 5 2" xfId="32111" xr:uid="{00000000-0005-0000-0000-00009F7D0000}"/>
    <cellStyle name="计算 2 7 11 6 6" xfId="32113" xr:uid="{00000000-0005-0000-0000-0000A17D0000}"/>
    <cellStyle name="计算 2 7 11 7" xfId="32114" xr:uid="{00000000-0005-0000-0000-0000A27D0000}"/>
    <cellStyle name="计算 2 7 11 7 2" xfId="32115" xr:uid="{00000000-0005-0000-0000-0000A37D0000}"/>
    <cellStyle name="计算 2 7 11 7 2 2" xfId="32116" xr:uid="{00000000-0005-0000-0000-0000A47D0000}"/>
    <cellStyle name="计算 2 7 11 7 3" xfId="32117" xr:uid="{00000000-0005-0000-0000-0000A57D0000}"/>
    <cellStyle name="计算 2 7 11 7 3 2" xfId="32118" xr:uid="{00000000-0005-0000-0000-0000A67D0000}"/>
    <cellStyle name="计算 2 7 11 7 4" xfId="32119" xr:uid="{00000000-0005-0000-0000-0000A77D0000}"/>
    <cellStyle name="计算 2 7 11 7 4 2" xfId="32120" xr:uid="{00000000-0005-0000-0000-0000A87D0000}"/>
    <cellStyle name="计算 2 7 11 7 5" xfId="23409" xr:uid="{00000000-0005-0000-0000-0000A15B0000}"/>
    <cellStyle name="计算 2 7 11 7 5 2" xfId="23411" xr:uid="{00000000-0005-0000-0000-0000A35B0000}"/>
    <cellStyle name="计算 2 7 11 7 6" xfId="23414" xr:uid="{00000000-0005-0000-0000-0000A65B0000}"/>
    <cellStyle name="计算 2 7 11 8" xfId="32122" xr:uid="{00000000-0005-0000-0000-0000AA7D0000}"/>
    <cellStyle name="计算 2 7 11 8 2" xfId="32124" xr:uid="{00000000-0005-0000-0000-0000AC7D0000}"/>
    <cellStyle name="计算 2 7 11 8 2 2" xfId="32125" xr:uid="{00000000-0005-0000-0000-0000AD7D0000}"/>
    <cellStyle name="计算 2 7 11 8 3" xfId="32126" xr:uid="{00000000-0005-0000-0000-0000AE7D0000}"/>
    <cellStyle name="计算 2 7 11 8 3 2" xfId="32127" xr:uid="{00000000-0005-0000-0000-0000AF7D0000}"/>
    <cellStyle name="计算 2 7 11 8 4" xfId="32128" xr:uid="{00000000-0005-0000-0000-0000B07D0000}"/>
    <cellStyle name="计算 2 7 11 8 4 2" xfId="32129" xr:uid="{00000000-0005-0000-0000-0000B17D0000}"/>
    <cellStyle name="计算 2 7 11 8 5" xfId="23423" xr:uid="{00000000-0005-0000-0000-0000AF5B0000}"/>
    <cellStyle name="计算 2 7 11 9" xfId="32130" xr:uid="{00000000-0005-0000-0000-0000B27D0000}"/>
    <cellStyle name="计算 2 7 11 9 2" xfId="32131" xr:uid="{00000000-0005-0000-0000-0000B37D0000}"/>
    <cellStyle name="计算 2 7 12" xfId="32132" xr:uid="{00000000-0005-0000-0000-0000B47D0000}"/>
    <cellStyle name="计算 2 7 12 2" xfId="3586" xr:uid="{00000000-0005-0000-0000-0000320E0000}"/>
    <cellStyle name="计算 2 7 12 2 2" xfId="32135" xr:uid="{00000000-0005-0000-0000-0000B77D0000}"/>
    <cellStyle name="计算 2 7 12 3" xfId="32138" xr:uid="{00000000-0005-0000-0000-0000BA7D0000}"/>
    <cellStyle name="计算 2 7 12 3 2" xfId="32139" xr:uid="{00000000-0005-0000-0000-0000BB7D0000}"/>
    <cellStyle name="计算 2 7 12 4" xfId="32142" xr:uid="{00000000-0005-0000-0000-0000BE7D0000}"/>
    <cellStyle name="计算 2 7 12 4 2" xfId="32143" xr:uid="{00000000-0005-0000-0000-0000BF7D0000}"/>
    <cellStyle name="计算 2 7 12 5" xfId="32145" xr:uid="{00000000-0005-0000-0000-0000C17D0000}"/>
    <cellStyle name="计算 2 7 12 5 2" xfId="32147" xr:uid="{00000000-0005-0000-0000-0000C37D0000}"/>
    <cellStyle name="计算 2 7 12 6" xfId="32150" xr:uid="{00000000-0005-0000-0000-0000C67D0000}"/>
    <cellStyle name="计算 2 7 12 7" xfId="32152" xr:uid="{00000000-0005-0000-0000-0000C87D0000}"/>
    <cellStyle name="计算 2 7 12 8" xfId="32154" xr:uid="{00000000-0005-0000-0000-0000CA7D0000}"/>
    <cellStyle name="计算 2 7 12 9" xfId="32158" xr:uid="{00000000-0005-0000-0000-0000CE7D0000}"/>
    <cellStyle name="计算 2 7 13" xfId="32161" xr:uid="{00000000-0005-0000-0000-0000D17D0000}"/>
    <cellStyle name="计算 2 7 13 2" xfId="1960" xr:uid="{00000000-0005-0000-0000-0000D8070000}"/>
    <cellStyle name="计算 2 7 13 2 2" xfId="32163" xr:uid="{00000000-0005-0000-0000-0000D37D0000}"/>
    <cellStyle name="计算 2 7 13 3" xfId="32165" xr:uid="{00000000-0005-0000-0000-0000D57D0000}"/>
    <cellStyle name="计算 2 7 13 3 2" xfId="32166" xr:uid="{00000000-0005-0000-0000-0000D67D0000}"/>
    <cellStyle name="计算 2 7 13 4" xfId="32167" xr:uid="{00000000-0005-0000-0000-0000D77D0000}"/>
    <cellStyle name="计算 2 7 13 4 2" xfId="32168" xr:uid="{00000000-0005-0000-0000-0000D87D0000}"/>
    <cellStyle name="计算 2 7 13 5" xfId="32169" xr:uid="{00000000-0005-0000-0000-0000D97D0000}"/>
    <cellStyle name="计算 2 7 13 5 2" xfId="32170" xr:uid="{00000000-0005-0000-0000-0000DA7D0000}"/>
    <cellStyle name="计算 2 7 13 6" xfId="32171" xr:uid="{00000000-0005-0000-0000-0000DB7D0000}"/>
    <cellStyle name="计算 2 7 14" xfId="32172" xr:uid="{00000000-0005-0000-0000-0000DC7D0000}"/>
    <cellStyle name="计算 2 7 14 2" xfId="4309" xr:uid="{00000000-0005-0000-0000-000005110000}"/>
    <cellStyle name="计算 2 7 14 2 2" xfId="17556" xr:uid="{00000000-0005-0000-0000-0000C4440000}"/>
    <cellStyle name="计算 2 7 14 3" xfId="17572" xr:uid="{00000000-0005-0000-0000-0000D4440000}"/>
    <cellStyle name="计算 2 7 14 3 2" xfId="17575" xr:uid="{00000000-0005-0000-0000-0000D7440000}"/>
    <cellStyle name="计算 2 7 14 4" xfId="17595" xr:uid="{00000000-0005-0000-0000-0000EB440000}"/>
    <cellStyle name="计算 2 7 14 4 2" xfId="2575" xr:uid="{00000000-0005-0000-0000-00003F0A0000}"/>
    <cellStyle name="计算 2 7 14 5" xfId="15390" xr:uid="{00000000-0005-0000-0000-00004E3C0000}"/>
    <cellStyle name="计算 2 7 14 5 2" xfId="17624" xr:uid="{00000000-0005-0000-0000-000008450000}"/>
    <cellStyle name="计算 2 7 14 6" xfId="17775" xr:uid="{00000000-0005-0000-0000-00009F450000}"/>
    <cellStyle name="计算 2 7 15" xfId="32173" xr:uid="{00000000-0005-0000-0000-0000DD7D0000}"/>
    <cellStyle name="计算 2 7 15 2" xfId="4338" xr:uid="{00000000-0005-0000-0000-000022110000}"/>
    <cellStyle name="计算 2 7 15 2 2" xfId="32177" xr:uid="{00000000-0005-0000-0000-0000E17D0000}"/>
    <cellStyle name="计算 2 7 15 3" xfId="32179" xr:uid="{00000000-0005-0000-0000-0000E37D0000}"/>
    <cellStyle name="计算 2 7 15 3 2" xfId="32180" xr:uid="{00000000-0005-0000-0000-0000E47D0000}"/>
    <cellStyle name="计算 2 7 15 4" xfId="29433" xr:uid="{00000000-0005-0000-0000-000029730000}"/>
    <cellStyle name="计算 2 7 15 4 2" xfId="32181" xr:uid="{00000000-0005-0000-0000-0000E57D0000}"/>
    <cellStyle name="计算 2 7 15 5" xfId="24745" xr:uid="{00000000-0005-0000-0000-0000D9600000}"/>
    <cellStyle name="计算 2 7 15 5 2" xfId="32182" xr:uid="{00000000-0005-0000-0000-0000E67D0000}"/>
    <cellStyle name="计算 2 7 15 6" xfId="19935" xr:uid="{00000000-0005-0000-0000-00000F4E0000}"/>
    <cellStyle name="计算 2 7 16" xfId="32184" xr:uid="{00000000-0005-0000-0000-0000E87D0000}"/>
    <cellStyle name="计算 2 7 16 2" xfId="32187" xr:uid="{00000000-0005-0000-0000-0000EB7D0000}"/>
    <cellStyle name="计算 2 7 16 2 2" xfId="32190" xr:uid="{00000000-0005-0000-0000-0000EE7D0000}"/>
    <cellStyle name="计算 2 7 16 3" xfId="32192" xr:uid="{00000000-0005-0000-0000-0000F07D0000}"/>
    <cellStyle name="计算 2 7 16 3 2" xfId="32193" xr:uid="{00000000-0005-0000-0000-0000F17D0000}"/>
    <cellStyle name="计算 2 7 16 4" xfId="29437" xr:uid="{00000000-0005-0000-0000-00002D730000}"/>
    <cellStyle name="计算 2 7 16 4 2" xfId="32194" xr:uid="{00000000-0005-0000-0000-0000F27D0000}"/>
    <cellStyle name="计算 2 7 16 5" xfId="24748" xr:uid="{00000000-0005-0000-0000-0000DC600000}"/>
    <cellStyle name="计算 2 7 16 5 2" xfId="32195" xr:uid="{00000000-0005-0000-0000-0000F37D0000}"/>
    <cellStyle name="计算 2 7 16 6" xfId="19940" xr:uid="{00000000-0005-0000-0000-0000144E0000}"/>
    <cellStyle name="计算 2 7 17" xfId="10577" xr:uid="{00000000-0005-0000-0000-000081290000}"/>
    <cellStyle name="计算 2 7 17 2" xfId="32197" xr:uid="{00000000-0005-0000-0000-0000F57D0000}"/>
    <cellStyle name="计算 2 7 17 2 2" xfId="32200" xr:uid="{00000000-0005-0000-0000-0000F87D0000}"/>
    <cellStyle name="计算 2 7 17 3" xfId="32202" xr:uid="{00000000-0005-0000-0000-0000FA7D0000}"/>
    <cellStyle name="计算 2 7 17 3 2" xfId="32203" xr:uid="{00000000-0005-0000-0000-0000FB7D0000}"/>
    <cellStyle name="计算 2 7 17 4" xfId="29440" xr:uid="{00000000-0005-0000-0000-000030730000}"/>
    <cellStyle name="计算 2 7 17 4 2" xfId="32204" xr:uid="{00000000-0005-0000-0000-0000FC7D0000}"/>
    <cellStyle name="计算 2 7 17 5" xfId="24750" xr:uid="{00000000-0005-0000-0000-0000DE600000}"/>
    <cellStyle name="计算 2 7 17 5 2" xfId="32205" xr:uid="{00000000-0005-0000-0000-0000FD7D0000}"/>
    <cellStyle name="计算 2 7 17 6" xfId="19954" xr:uid="{00000000-0005-0000-0000-0000224E0000}"/>
    <cellStyle name="计算 2 7 18" xfId="26697" xr:uid="{00000000-0005-0000-0000-000079680000}"/>
    <cellStyle name="计算 2 7 18 2" xfId="26701" xr:uid="{00000000-0005-0000-0000-00007D680000}"/>
    <cellStyle name="计算 2 7 18 2 2" xfId="32207" xr:uid="{00000000-0005-0000-0000-0000FF7D0000}"/>
    <cellStyle name="计算 2 7 18 3" xfId="32209" xr:uid="{00000000-0005-0000-0000-0000017E0000}"/>
    <cellStyle name="计算 2 7 18 3 2" xfId="32210" xr:uid="{00000000-0005-0000-0000-0000027E0000}"/>
    <cellStyle name="计算 2 7 18 4" xfId="32211" xr:uid="{00000000-0005-0000-0000-0000037E0000}"/>
    <cellStyle name="计算 2 7 18 4 2" xfId="32212" xr:uid="{00000000-0005-0000-0000-0000047E0000}"/>
    <cellStyle name="计算 2 7 18 5" xfId="24755" xr:uid="{00000000-0005-0000-0000-0000E3600000}"/>
    <cellStyle name="计算 2 7 18 5 2" xfId="32213" xr:uid="{00000000-0005-0000-0000-0000057E0000}"/>
    <cellStyle name="计算 2 7 18 6" xfId="19980" xr:uid="{00000000-0005-0000-0000-00003C4E0000}"/>
    <cellStyle name="计算 2 7 19" xfId="26704" xr:uid="{00000000-0005-0000-0000-000080680000}"/>
    <cellStyle name="计算 2 7 19 2" xfId="19383" xr:uid="{00000000-0005-0000-0000-0000E74B0000}"/>
    <cellStyle name="计算 2 7 19 2 2" xfId="17826" xr:uid="{00000000-0005-0000-0000-0000D2450000}"/>
    <cellStyle name="计算 2 7 19 3" xfId="19387" xr:uid="{00000000-0005-0000-0000-0000EB4B0000}"/>
    <cellStyle name="计算 2 7 19 3 2" xfId="17987" xr:uid="{00000000-0005-0000-0000-000073460000}"/>
    <cellStyle name="计算 2 7 19 4" xfId="19390" xr:uid="{00000000-0005-0000-0000-0000EE4B0000}"/>
    <cellStyle name="计算 2 7 19 4 2" xfId="18235" xr:uid="{00000000-0005-0000-0000-00006B470000}"/>
    <cellStyle name="计算 2 7 19 5" xfId="19393" xr:uid="{00000000-0005-0000-0000-0000F14B0000}"/>
    <cellStyle name="计算 2 7 2" xfId="13841" xr:uid="{00000000-0005-0000-0000-000041360000}"/>
    <cellStyle name="计算 2 7 2 10" xfId="32214" xr:uid="{00000000-0005-0000-0000-0000067E0000}"/>
    <cellStyle name="计算 2 7 2 10 2" xfId="17454" xr:uid="{00000000-0005-0000-0000-00005E440000}"/>
    <cellStyle name="计算 2 7 2 11" xfId="32216" xr:uid="{00000000-0005-0000-0000-0000087E0000}"/>
    <cellStyle name="计算 2 7 2 11 2" xfId="8199" xr:uid="{00000000-0005-0000-0000-000037200000}"/>
    <cellStyle name="计算 2 7 2 12" xfId="32219" xr:uid="{00000000-0005-0000-0000-00000B7E0000}"/>
    <cellStyle name="计算 2 7 2 12 2" xfId="8257" xr:uid="{00000000-0005-0000-0000-000071200000}"/>
    <cellStyle name="计算 2 7 2 13" xfId="32220" xr:uid="{00000000-0005-0000-0000-00000C7E0000}"/>
    <cellStyle name="计算 2 7 2 14" xfId="32221" xr:uid="{00000000-0005-0000-0000-00000D7E0000}"/>
    <cellStyle name="计算 2 7 2 15" xfId="32222" xr:uid="{00000000-0005-0000-0000-00000E7E0000}"/>
    <cellStyle name="计算 2 7 2 16" xfId="32223" xr:uid="{00000000-0005-0000-0000-00000F7E0000}"/>
    <cellStyle name="计算 2 7 2 2" xfId="13849" xr:uid="{00000000-0005-0000-0000-000049360000}"/>
    <cellStyle name="计算 2 7 2 2 2" xfId="32224" xr:uid="{00000000-0005-0000-0000-0000107E0000}"/>
    <cellStyle name="计算 2 7 2 2 2 2" xfId="23012" xr:uid="{00000000-0005-0000-0000-0000145A0000}"/>
    <cellStyle name="计算 2 7 2 2 3" xfId="32226" xr:uid="{00000000-0005-0000-0000-0000127E0000}"/>
    <cellStyle name="计算 2 7 2 2 3 2" xfId="23022" xr:uid="{00000000-0005-0000-0000-00001E5A0000}"/>
    <cellStyle name="计算 2 7 2 2 4" xfId="32229" xr:uid="{00000000-0005-0000-0000-0000157E0000}"/>
    <cellStyle name="计算 2 7 2 2 4 2" xfId="21228" xr:uid="{00000000-0005-0000-0000-00001C530000}"/>
    <cellStyle name="计算 2 7 2 2 5" xfId="336" xr:uid="{00000000-0005-0000-0000-000071010000}"/>
    <cellStyle name="计算 2 7 2 2 5 2" xfId="726" xr:uid="{00000000-0005-0000-0000-000006030000}"/>
    <cellStyle name="计算 2 7 2 2 6" xfId="269" xr:uid="{00000000-0005-0000-0000-000028010000}"/>
    <cellStyle name="计算 2 7 2 2 7" xfId="4736" xr:uid="{00000000-0005-0000-0000-0000B0120000}"/>
    <cellStyle name="计算 2 7 2 2 8" xfId="4742" xr:uid="{00000000-0005-0000-0000-0000B6120000}"/>
    <cellStyle name="计算 2 7 2 2 9" xfId="4749" xr:uid="{00000000-0005-0000-0000-0000BD120000}"/>
    <cellStyle name="计算 2 7 2 3" xfId="32232" xr:uid="{00000000-0005-0000-0000-0000187E0000}"/>
    <cellStyle name="计算 2 7 2 3 2" xfId="2555" xr:uid="{00000000-0005-0000-0000-00002B0A0000}"/>
    <cellStyle name="计算 2 7 2 3 2 2" xfId="2560" xr:uid="{00000000-0005-0000-0000-0000300A0000}"/>
    <cellStyle name="计算 2 7 2 3 3" xfId="2647" xr:uid="{00000000-0005-0000-0000-0000870A0000}"/>
    <cellStyle name="计算 2 7 2 3 3 2" xfId="23087" xr:uid="{00000000-0005-0000-0000-00005F5A0000}"/>
    <cellStyle name="计算 2 7 2 3 4" xfId="567" xr:uid="{00000000-0005-0000-0000-000067020000}"/>
    <cellStyle name="计算 2 7 2 3 4 2" xfId="21233" xr:uid="{00000000-0005-0000-0000-000021530000}"/>
    <cellStyle name="计算 2 7 2 3 5" xfId="767" xr:uid="{00000000-0005-0000-0000-00002F030000}"/>
    <cellStyle name="计算 2 7 2 3 5 2" xfId="2807" xr:uid="{00000000-0005-0000-0000-0000270B0000}"/>
    <cellStyle name="计算 2 7 2 3 6" xfId="4775" xr:uid="{00000000-0005-0000-0000-0000D7120000}"/>
    <cellStyle name="计算 2 7 2 4" xfId="32234" xr:uid="{00000000-0005-0000-0000-00001A7E0000}"/>
    <cellStyle name="计算 2 7 2 4 2" xfId="3168" xr:uid="{00000000-0005-0000-0000-0000900C0000}"/>
    <cellStyle name="计算 2 7 2 4 2 2" xfId="3175" xr:uid="{00000000-0005-0000-0000-0000970C0000}"/>
    <cellStyle name="计算 2 7 2 4 3" xfId="2341" xr:uid="{00000000-0005-0000-0000-000055090000}"/>
    <cellStyle name="计算 2 7 2 4 3 2" xfId="23206" xr:uid="{00000000-0005-0000-0000-0000D65A0000}"/>
    <cellStyle name="计算 2 7 2 4 4" xfId="32236" xr:uid="{00000000-0005-0000-0000-00001C7E0000}"/>
    <cellStyle name="计算 2 7 2 4 4 2" xfId="21239" xr:uid="{00000000-0005-0000-0000-000027530000}"/>
    <cellStyle name="计算 2 7 2 4 5" xfId="793" xr:uid="{00000000-0005-0000-0000-000049030000}"/>
    <cellStyle name="计算 2 7 2 4 5 2" xfId="3246" xr:uid="{00000000-0005-0000-0000-0000DE0C0000}"/>
    <cellStyle name="计算 2 7 2 4 6" xfId="4799" xr:uid="{00000000-0005-0000-0000-0000EF120000}"/>
    <cellStyle name="计算 2 7 2 5" xfId="32238" xr:uid="{00000000-0005-0000-0000-00001E7E0000}"/>
    <cellStyle name="计算 2 7 2 5 2" xfId="3298" xr:uid="{00000000-0005-0000-0000-0000120D0000}"/>
    <cellStyle name="计算 2 7 2 5 2 2" xfId="13035" xr:uid="{00000000-0005-0000-0000-00001B330000}"/>
    <cellStyle name="计算 2 7 2 5 3" xfId="3311" xr:uid="{00000000-0005-0000-0000-00001F0D0000}"/>
    <cellStyle name="计算 2 7 2 5 3 2" xfId="23348" xr:uid="{00000000-0005-0000-0000-0000645B0000}"/>
    <cellStyle name="计算 2 7 2 5 4" xfId="32240" xr:uid="{00000000-0005-0000-0000-0000207E0000}"/>
    <cellStyle name="计算 2 7 2 5 4 2" xfId="21251" xr:uid="{00000000-0005-0000-0000-000033530000}"/>
    <cellStyle name="计算 2 7 2 5 5" xfId="830" xr:uid="{00000000-0005-0000-0000-00006E030000}"/>
    <cellStyle name="计算 2 7 2 5 5 2" xfId="2024" xr:uid="{00000000-0005-0000-0000-000018080000}"/>
    <cellStyle name="计算 2 7 2 5 6" xfId="4371" xr:uid="{00000000-0005-0000-0000-000043110000}"/>
    <cellStyle name="计算 2 7 2 6" xfId="32243" xr:uid="{00000000-0005-0000-0000-0000237E0000}"/>
    <cellStyle name="计算 2 7 2 6 2" xfId="3379" xr:uid="{00000000-0005-0000-0000-0000630D0000}"/>
    <cellStyle name="计算 2 7 2 6 2 2" xfId="9594" xr:uid="{00000000-0005-0000-0000-0000AA250000}"/>
    <cellStyle name="计算 2 7 2 6 3" xfId="13040" xr:uid="{00000000-0005-0000-0000-000020330000}"/>
    <cellStyle name="计算 2 7 2 6 3 2" xfId="9633" xr:uid="{00000000-0005-0000-0000-0000D1250000}"/>
    <cellStyle name="计算 2 7 2 6 4" xfId="32246" xr:uid="{00000000-0005-0000-0000-0000267E0000}"/>
    <cellStyle name="计算 2 7 2 6 4 2" xfId="9690" xr:uid="{00000000-0005-0000-0000-00000A260000}"/>
    <cellStyle name="计算 2 7 2 6 5" xfId="860" xr:uid="{00000000-0005-0000-0000-00008C030000}"/>
    <cellStyle name="计算 2 7 2 6 5 2" xfId="361" xr:uid="{00000000-0005-0000-0000-00008C010000}"/>
    <cellStyle name="计算 2 7 2 6 6" xfId="4841" xr:uid="{00000000-0005-0000-0000-000019130000}"/>
    <cellStyle name="计算 2 7 2 7" xfId="32249" xr:uid="{00000000-0005-0000-0000-0000297E0000}"/>
    <cellStyle name="计算 2 7 2 7 2" xfId="3413" xr:uid="{00000000-0005-0000-0000-0000850D0000}"/>
    <cellStyle name="计算 2 7 2 7 2 2" xfId="9922" xr:uid="{00000000-0005-0000-0000-0000F2260000}"/>
    <cellStyle name="计算 2 7 2 7 3" xfId="13046" xr:uid="{00000000-0005-0000-0000-000026330000}"/>
    <cellStyle name="计算 2 7 2 7 3 2" xfId="9965" xr:uid="{00000000-0005-0000-0000-00001D270000}"/>
    <cellStyle name="计算 2 7 2 7 4" xfId="32252" xr:uid="{00000000-0005-0000-0000-00002C7E0000}"/>
    <cellStyle name="计算 2 7 2 7 4 2" xfId="10024" xr:uid="{00000000-0005-0000-0000-000058270000}"/>
    <cellStyle name="计算 2 7 2 7 5" xfId="900" xr:uid="{00000000-0005-0000-0000-0000B4030000}"/>
    <cellStyle name="计算 2 7 2 7 5 2" xfId="1008" xr:uid="{00000000-0005-0000-0000-000020040000}"/>
    <cellStyle name="计算 2 7 2 7 6" xfId="4860" xr:uid="{00000000-0005-0000-0000-00002C130000}"/>
    <cellStyle name="计算 2 7 2 8" xfId="32256" xr:uid="{00000000-0005-0000-0000-0000307E0000}"/>
    <cellStyle name="计算 2 7 2 8 2" xfId="3449" xr:uid="{00000000-0005-0000-0000-0000A90D0000}"/>
    <cellStyle name="计算 2 7 2 8 2 2" xfId="9504" xr:uid="{00000000-0005-0000-0000-000050250000}"/>
    <cellStyle name="计算 2 7 2 8 3" xfId="13057" xr:uid="{00000000-0005-0000-0000-000031330000}"/>
    <cellStyle name="计算 2 7 2 8 3 2" xfId="10271" xr:uid="{00000000-0005-0000-0000-00004F280000}"/>
    <cellStyle name="计算 2 7 2 8 4" xfId="32260" xr:uid="{00000000-0005-0000-0000-0000347E0000}"/>
    <cellStyle name="计算 2 7 2 8 4 2" xfId="10322" xr:uid="{00000000-0005-0000-0000-000082280000}"/>
    <cellStyle name="计算 2 7 2 8 5" xfId="930" xr:uid="{00000000-0005-0000-0000-0000D2030000}"/>
    <cellStyle name="计算 2 7 2 9" xfId="32263" xr:uid="{00000000-0005-0000-0000-0000377E0000}"/>
    <cellStyle name="计算 2 7 2 9 2" xfId="1291" xr:uid="{00000000-0005-0000-0000-00003B050000}"/>
    <cellStyle name="计算 2 7 20" xfId="32174" xr:uid="{00000000-0005-0000-0000-0000DE7D0000}"/>
    <cellStyle name="计算 2 7 20 2" xfId="4339" xr:uid="{00000000-0005-0000-0000-000023110000}"/>
    <cellStyle name="计算 2 7 21" xfId="32185" xr:uid="{00000000-0005-0000-0000-0000E97D0000}"/>
    <cellStyle name="计算 2 7 21 2" xfId="32188" xr:uid="{00000000-0005-0000-0000-0000EC7D0000}"/>
    <cellStyle name="计算 2 7 22" xfId="10576" xr:uid="{00000000-0005-0000-0000-000080290000}"/>
    <cellStyle name="计算 2 7 22 2" xfId="32198" xr:uid="{00000000-0005-0000-0000-0000F67D0000}"/>
    <cellStyle name="计算 2 7 23" xfId="26698" xr:uid="{00000000-0005-0000-0000-00007A680000}"/>
    <cellStyle name="计算 2 7 23 2" xfId="26702" xr:uid="{00000000-0005-0000-0000-00007E680000}"/>
    <cellStyle name="计算 2 7 24" xfId="26705" xr:uid="{00000000-0005-0000-0000-000081680000}"/>
    <cellStyle name="计算 2 7 25" xfId="26708" xr:uid="{00000000-0005-0000-0000-000084680000}"/>
    <cellStyle name="计算 2 7 26" xfId="26711" xr:uid="{00000000-0005-0000-0000-000087680000}"/>
    <cellStyle name="计算 2 7 27" xfId="14966" xr:uid="{00000000-0005-0000-0000-0000A63A0000}"/>
    <cellStyle name="计算 2 7 3" xfId="10769" xr:uid="{00000000-0005-0000-0000-0000412A0000}"/>
    <cellStyle name="计算 2 7 3 10" xfId="32266" xr:uid="{00000000-0005-0000-0000-00003A7E0000}"/>
    <cellStyle name="计算 2 7 3 10 2" xfId="32271" xr:uid="{00000000-0005-0000-0000-00003F7E0000}"/>
    <cellStyle name="计算 2 7 3 11" xfId="32273" xr:uid="{00000000-0005-0000-0000-0000417E0000}"/>
    <cellStyle name="计算 2 7 3 11 2" xfId="32277" xr:uid="{00000000-0005-0000-0000-0000457E0000}"/>
    <cellStyle name="计算 2 7 3 12" xfId="32279" xr:uid="{00000000-0005-0000-0000-0000477E0000}"/>
    <cellStyle name="计算 2 7 3 12 2" xfId="32282" xr:uid="{00000000-0005-0000-0000-00004A7E0000}"/>
    <cellStyle name="计算 2 7 3 13" xfId="1625" xr:uid="{00000000-0005-0000-0000-000089060000}"/>
    <cellStyle name="计算 2 7 3 14" xfId="1636" xr:uid="{00000000-0005-0000-0000-000094060000}"/>
    <cellStyle name="计算 2 7 3 15" xfId="1647" xr:uid="{00000000-0005-0000-0000-00009F060000}"/>
    <cellStyle name="计算 2 7 3 16" xfId="8017" xr:uid="{00000000-0005-0000-0000-0000811F0000}"/>
    <cellStyle name="计算 2 7 3 2" xfId="32283" xr:uid="{00000000-0005-0000-0000-00004B7E0000}"/>
    <cellStyle name="计算 2 7 3 2 2" xfId="32286" xr:uid="{00000000-0005-0000-0000-00004E7E0000}"/>
    <cellStyle name="计算 2 7 3 2 2 2" xfId="32288" xr:uid="{00000000-0005-0000-0000-0000507E0000}"/>
    <cellStyle name="计算 2 7 3 2 3" xfId="32290" xr:uid="{00000000-0005-0000-0000-0000527E0000}"/>
    <cellStyle name="计算 2 7 3 2 3 2" xfId="32292" xr:uid="{00000000-0005-0000-0000-0000547E0000}"/>
    <cellStyle name="计算 2 7 3 2 4" xfId="32294" xr:uid="{00000000-0005-0000-0000-0000567E0000}"/>
    <cellStyle name="计算 2 7 3 2 4 2" xfId="32296" xr:uid="{00000000-0005-0000-0000-0000587E0000}"/>
    <cellStyle name="计算 2 7 3 2 5" xfId="5001" xr:uid="{00000000-0005-0000-0000-0000B9130000}"/>
    <cellStyle name="计算 2 7 3 2 5 2" xfId="5004" xr:uid="{00000000-0005-0000-0000-0000BC130000}"/>
    <cellStyle name="计算 2 7 3 2 6" xfId="5010" xr:uid="{00000000-0005-0000-0000-0000C2130000}"/>
    <cellStyle name="计算 2 7 3 2 7" xfId="5018" xr:uid="{00000000-0005-0000-0000-0000CA130000}"/>
    <cellStyle name="计算 2 7 3 2 8" xfId="5024" xr:uid="{00000000-0005-0000-0000-0000D0130000}"/>
    <cellStyle name="计算 2 7 3 2 9" xfId="5028" xr:uid="{00000000-0005-0000-0000-0000D4130000}"/>
    <cellStyle name="计算 2 7 3 3" xfId="32298" xr:uid="{00000000-0005-0000-0000-00005A7E0000}"/>
    <cellStyle name="计算 2 7 3 3 2" xfId="13095" xr:uid="{00000000-0005-0000-0000-000057330000}"/>
    <cellStyle name="计算 2 7 3 3 2 2" xfId="13099" xr:uid="{00000000-0005-0000-0000-00005B330000}"/>
    <cellStyle name="计算 2 7 3 3 3" xfId="13103" xr:uid="{00000000-0005-0000-0000-00005F330000}"/>
    <cellStyle name="计算 2 7 3 3 3 2" xfId="32301" xr:uid="{00000000-0005-0000-0000-00005D7E0000}"/>
    <cellStyle name="计算 2 7 3 3 4" xfId="2461" xr:uid="{00000000-0005-0000-0000-0000CD090000}"/>
    <cellStyle name="计算 2 7 3 3 4 2" xfId="32304" xr:uid="{00000000-0005-0000-0000-0000607E0000}"/>
    <cellStyle name="计算 2 7 3 3 5" xfId="5041" xr:uid="{00000000-0005-0000-0000-0000E1130000}"/>
    <cellStyle name="计算 2 7 3 3 5 2" xfId="3512" xr:uid="{00000000-0005-0000-0000-0000E80D0000}"/>
    <cellStyle name="计算 2 7 3 3 6" xfId="5046" xr:uid="{00000000-0005-0000-0000-0000E6130000}"/>
    <cellStyle name="计算 2 7 3 4" xfId="32306" xr:uid="{00000000-0005-0000-0000-0000627E0000}"/>
    <cellStyle name="计算 2 7 3 4 2" xfId="5162" xr:uid="{00000000-0005-0000-0000-00005A140000}"/>
    <cellStyle name="计算 2 7 3 4 2 2" xfId="11238" xr:uid="{00000000-0005-0000-0000-0000162C0000}"/>
    <cellStyle name="计算 2 7 3 4 3" xfId="13112" xr:uid="{00000000-0005-0000-0000-000068330000}"/>
    <cellStyle name="计算 2 7 3 4 3 2" xfId="27881" xr:uid="{00000000-0005-0000-0000-0000196D0000}"/>
    <cellStyle name="计算 2 7 3 4 4" xfId="32308" xr:uid="{00000000-0005-0000-0000-0000647E0000}"/>
    <cellStyle name="计算 2 7 3 4 4 2" xfId="27892" xr:uid="{00000000-0005-0000-0000-0000246D0000}"/>
    <cellStyle name="计算 2 7 3 4 5" xfId="4243" xr:uid="{00000000-0005-0000-0000-0000C3100000}"/>
    <cellStyle name="计算 2 7 3 4 5 2" xfId="2247" xr:uid="{00000000-0005-0000-0000-0000F7080000}"/>
    <cellStyle name="计算 2 7 3 4 6" xfId="2284" xr:uid="{00000000-0005-0000-0000-00001C090000}"/>
    <cellStyle name="计算 2 7 3 5" xfId="32310" xr:uid="{00000000-0005-0000-0000-0000667E0000}"/>
    <cellStyle name="计算 2 7 3 5 2" xfId="5178" xr:uid="{00000000-0005-0000-0000-00006A140000}"/>
    <cellStyle name="计算 2 7 3 5 2 2" xfId="13123" xr:uid="{00000000-0005-0000-0000-000073330000}"/>
    <cellStyle name="计算 2 7 3 5 3" xfId="13126" xr:uid="{00000000-0005-0000-0000-000076330000}"/>
    <cellStyle name="计算 2 7 3 5 3 2" xfId="27999" xr:uid="{00000000-0005-0000-0000-00008F6D0000}"/>
    <cellStyle name="计算 2 7 3 5 4" xfId="32312" xr:uid="{00000000-0005-0000-0000-0000687E0000}"/>
    <cellStyle name="计算 2 7 3 5 4 2" xfId="28014" xr:uid="{00000000-0005-0000-0000-00009E6D0000}"/>
    <cellStyle name="计算 2 7 3 5 5" xfId="1873" xr:uid="{00000000-0005-0000-0000-000081070000}"/>
    <cellStyle name="计算 2 7 3 5 5 2" xfId="5091" xr:uid="{00000000-0005-0000-0000-000013140000}"/>
    <cellStyle name="计算 2 7 3 5 6" xfId="5098" xr:uid="{00000000-0005-0000-0000-00001A140000}"/>
    <cellStyle name="计算 2 7 3 6" xfId="32315" xr:uid="{00000000-0005-0000-0000-00006B7E0000}"/>
    <cellStyle name="计算 2 7 3 6 2" xfId="5185" xr:uid="{00000000-0005-0000-0000-000071140000}"/>
    <cellStyle name="计算 2 7 3 6 2 2" xfId="13136" xr:uid="{00000000-0005-0000-0000-000080330000}"/>
    <cellStyle name="计算 2 7 3 6 3" xfId="13139" xr:uid="{00000000-0005-0000-0000-000083330000}"/>
    <cellStyle name="计算 2 7 3 6 3 2" xfId="32318" xr:uid="{00000000-0005-0000-0000-00006E7E0000}"/>
    <cellStyle name="计算 2 7 3 6 4" xfId="32320" xr:uid="{00000000-0005-0000-0000-0000707E0000}"/>
    <cellStyle name="计算 2 7 3 6 4 2" xfId="32323" xr:uid="{00000000-0005-0000-0000-0000737E0000}"/>
    <cellStyle name="计算 2 7 3 6 5" xfId="4252" xr:uid="{00000000-0005-0000-0000-0000CC100000}"/>
    <cellStyle name="计算 2 7 3 6 5 2" xfId="3160" xr:uid="{00000000-0005-0000-0000-0000880C0000}"/>
    <cellStyle name="计算 2 7 3 6 6" xfId="5151" xr:uid="{00000000-0005-0000-0000-00004F140000}"/>
    <cellStyle name="计算 2 7 3 7" xfId="25026" xr:uid="{00000000-0005-0000-0000-0000F2610000}"/>
    <cellStyle name="计算 2 7 3 7 2" xfId="5199" xr:uid="{00000000-0005-0000-0000-00007F140000}"/>
    <cellStyle name="计算 2 7 3 7 2 2" xfId="13151" xr:uid="{00000000-0005-0000-0000-00008F330000}"/>
    <cellStyle name="计算 2 7 3 7 3" xfId="13155" xr:uid="{00000000-0005-0000-0000-000093330000}"/>
    <cellStyle name="计算 2 7 3 7 3 2" xfId="32325" xr:uid="{00000000-0005-0000-0000-0000757E0000}"/>
    <cellStyle name="计算 2 7 3 7 4" xfId="32327" xr:uid="{00000000-0005-0000-0000-0000777E0000}"/>
    <cellStyle name="计算 2 7 3 7 4 2" xfId="32330" xr:uid="{00000000-0005-0000-0000-00007A7E0000}"/>
    <cellStyle name="计算 2 7 3 7 5" xfId="4264" xr:uid="{00000000-0005-0000-0000-0000D8100000}"/>
    <cellStyle name="计算 2 7 3 7 5 2" xfId="5166" xr:uid="{00000000-0005-0000-0000-00005E140000}"/>
    <cellStyle name="计算 2 7 3 7 6" xfId="5169" xr:uid="{00000000-0005-0000-0000-000061140000}"/>
    <cellStyle name="计算 2 7 3 8" xfId="32332" xr:uid="{00000000-0005-0000-0000-00007C7E0000}"/>
    <cellStyle name="计算 2 7 3 8 2" xfId="9610" xr:uid="{00000000-0005-0000-0000-0000BA250000}"/>
    <cellStyle name="计算 2 7 3 8 2 2" xfId="13162" xr:uid="{00000000-0005-0000-0000-00009A330000}"/>
    <cellStyle name="计算 2 7 3 8 3" xfId="13168" xr:uid="{00000000-0005-0000-0000-0000A0330000}"/>
    <cellStyle name="计算 2 7 3 8 3 2" xfId="32337" xr:uid="{00000000-0005-0000-0000-0000817E0000}"/>
    <cellStyle name="计算 2 7 3 8 4" xfId="32339" xr:uid="{00000000-0005-0000-0000-0000837E0000}"/>
    <cellStyle name="计算 2 7 3 8 4 2" xfId="32342" xr:uid="{00000000-0005-0000-0000-0000867E0000}"/>
    <cellStyle name="计算 2 7 3 8 5" xfId="3723" xr:uid="{00000000-0005-0000-0000-0000BB0E0000}"/>
    <cellStyle name="计算 2 7 3 9" xfId="32343" xr:uid="{00000000-0005-0000-0000-0000877E0000}"/>
    <cellStyle name="计算 2 7 3 9 2" xfId="9624" xr:uid="{00000000-0005-0000-0000-0000C8250000}"/>
    <cellStyle name="计算 2 7 4" xfId="13854" xr:uid="{00000000-0005-0000-0000-00004E360000}"/>
    <cellStyle name="计算 2 7 4 10" xfId="32347" xr:uid="{00000000-0005-0000-0000-00008B7E0000}"/>
    <cellStyle name="计算 2 7 4 10 2" xfId="32351" xr:uid="{00000000-0005-0000-0000-00008F7E0000}"/>
    <cellStyle name="计算 2 7 4 11" xfId="9877" xr:uid="{00000000-0005-0000-0000-0000C5260000}"/>
    <cellStyle name="计算 2 7 4 11 2" xfId="32353" xr:uid="{00000000-0005-0000-0000-0000917E0000}"/>
    <cellStyle name="计算 2 7 4 12" xfId="20584" xr:uid="{00000000-0005-0000-0000-000098500000}"/>
    <cellStyle name="计算 2 7 4 12 2" xfId="23707" xr:uid="{00000000-0005-0000-0000-0000CB5C0000}"/>
    <cellStyle name="计算 2 7 4 13" xfId="11997" xr:uid="{00000000-0005-0000-0000-00000D2F0000}"/>
    <cellStyle name="计算 2 7 4 14" xfId="12035" xr:uid="{00000000-0005-0000-0000-0000332F0000}"/>
    <cellStyle name="计算 2 7 4 15" xfId="12083" xr:uid="{00000000-0005-0000-0000-0000632F0000}"/>
    <cellStyle name="计算 2 7 4 16" xfId="12122" xr:uid="{00000000-0005-0000-0000-00008A2F0000}"/>
    <cellStyle name="计算 2 7 4 2" xfId="23693" xr:uid="{00000000-0005-0000-0000-0000BD5C0000}"/>
    <cellStyle name="计算 2 7 4 2 2" xfId="32354" xr:uid="{00000000-0005-0000-0000-0000927E0000}"/>
    <cellStyle name="计算 2 7 4 2 2 2" xfId="15271" xr:uid="{00000000-0005-0000-0000-0000D73B0000}"/>
    <cellStyle name="计算 2 7 4 2 3" xfId="32356" xr:uid="{00000000-0005-0000-0000-0000947E0000}"/>
    <cellStyle name="计算 2 7 4 2 3 2" xfId="32358" xr:uid="{00000000-0005-0000-0000-0000967E0000}"/>
    <cellStyle name="计算 2 7 4 2 4" xfId="32360" xr:uid="{00000000-0005-0000-0000-0000987E0000}"/>
    <cellStyle name="计算 2 7 4 2 4 2" xfId="32362" xr:uid="{00000000-0005-0000-0000-00009A7E0000}"/>
    <cellStyle name="计算 2 7 4 2 5" xfId="3662" xr:uid="{00000000-0005-0000-0000-00007E0E0000}"/>
    <cellStyle name="计算 2 7 4 2 5 2" xfId="3676" xr:uid="{00000000-0005-0000-0000-00008C0E0000}"/>
    <cellStyle name="计算 2 7 4 2 6" xfId="3682" xr:uid="{00000000-0005-0000-0000-0000920E0000}"/>
    <cellStyle name="计算 2 7 4 2 7" xfId="5271" xr:uid="{00000000-0005-0000-0000-0000C7140000}"/>
    <cellStyle name="计算 2 7 4 2 8" xfId="5277" xr:uid="{00000000-0005-0000-0000-0000CD140000}"/>
    <cellStyle name="计算 2 7 4 2 9" xfId="5284" xr:uid="{00000000-0005-0000-0000-0000D4140000}"/>
    <cellStyle name="计算 2 7 4 3" xfId="23697" xr:uid="{00000000-0005-0000-0000-0000C15C0000}"/>
    <cellStyle name="计算 2 7 4 3 2" xfId="13198" xr:uid="{00000000-0005-0000-0000-0000BE330000}"/>
    <cellStyle name="计算 2 7 4 3 2 2" xfId="13206" xr:uid="{00000000-0005-0000-0000-0000C6330000}"/>
    <cellStyle name="计算 2 7 4 3 3" xfId="13210" xr:uid="{00000000-0005-0000-0000-0000CA330000}"/>
    <cellStyle name="计算 2 7 4 3 3 2" xfId="32365" xr:uid="{00000000-0005-0000-0000-00009D7E0000}"/>
    <cellStyle name="计算 2 7 4 3 4" xfId="1490" xr:uid="{00000000-0005-0000-0000-000002060000}"/>
    <cellStyle name="计算 2 7 4 3 4 2" xfId="32368" xr:uid="{00000000-0005-0000-0000-0000A07E0000}"/>
    <cellStyle name="计算 2 7 4 3 5" xfId="1507" xr:uid="{00000000-0005-0000-0000-000013060000}"/>
    <cellStyle name="计算 2 7 4 3 5 2" xfId="3715" xr:uid="{00000000-0005-0000-0000-0000B30E0000}"/>
    <cellStyle name="计算 2 7 4 3 6" xfId="1524" xr:uid="{00000000-0005-0000-0000-000024060000}"/>
    <cellStyle name="计算 2 7 4 4" xfId="32370" xr:uid="{00000000-0005-0000-0000-0000A27E0000}"/>
    <cellStyle name="计算 2 7 4 4 2" xfId="3738" xr:uid="{00000000-0005-0000-0000-0000CA0E0000}"/>
    <cellStyle name="计算 2 7 4 4 2 2" xfId="13221" xr:uid="{00000000-0005-0000-0000-0000D5330000}"/>
    <cellStyle name="计算 2 7 4 4 3" xfId="13224" xr:uid="{00000000-0005-0000-0000-0000D8330000}"/>
    <cellStyle name="计算 2 7 4 4 3 2" xfId="32373" xr:uid="{00000000-0005-0000-0000-0000A57E0000}"/>
    <cellStyle name="计算 2 7 4 4 4" xfId="32375" xr:uid="{00000000-0005-0000-0000-0000A77E0000}"/>
    <cellStyle name="计算 2 7 4 4 4 2" xfId="32377" xr:uid="{00000000-0005-0000-0000-0000A97E0000}"/>
    <cellStyle name="计算 2 7 4 4 5" xfId="3768" xr:uid="{00000000-0005-0000-0000-0000E80E0000}"/>
    <cellStyle name="计算 2 7 4 4 5 2" xfId="3782" xr:uid="{00000000-0005-0000-0000-0000F60E0000}"/>
    <cellStyle name="计算 2 7 4 4 6" xfId="3790" xr:uid="{00000000-0005-0000-0000-0000FE0E0000}"/>
    <cellStyle name="计算 2 7 4 5" xfId="32379" xr:uid="{00000000-0005-0000-0000-0000AB7E0000}"/>
    <cellStyle name="计算 2 7 4 5 2" xfId="640" xr:uid="{00000000-0005-0000-0000-0000B0020000}"/>
    <cellStyle name="计算 2 7 4 5 2 2" xfId="13240" xr:uid="{00000000-0005-0000-0000-0000E8330000}"/>
    <cellStyle name="计算 2 7 4 5 3" xfId="13243" xr:uid="{00000000-0005-0000-0000-0000EB330000}"/>
    <cellStyle name="计算 2 7 4 5 3 2" xfId="32382" xr:uid="{00000000-0005-0000-0000-0000AE7E0000}"/>
    <cellStyle name="计算 2 7 4 5 4" xfId="32385" xr:uid="{00000000-0005-0000-0000-0000B17E0000}"/>
    <cellStyle name="计算 2 7 4 5 4 2" xfId="32387" xr:uid="{00000000-0005-0000-0000-0000B37E0000}"/>
    <cellStyle name="计算 2 7 4 5 5" xfId="3840" xr:uid="{00000000-0005-0000-0000-0000300F0000}"/>
    <cellStyle name="计算 2 7 4 5 5 2" xfId="3852" xr:uid="{00000000-0005-0000-0000-00003C0F0000}"/>
    <cellStyle name="计算 2 7 4 5 6" xfId="3860" xr:uid="{00000000-0005-0000-0000-0000440F0000}"/>
    <cellStyle name="计算 2 7 4 6" xfId="32390" xr:uid="{00000000-0005-0000-0000-0000B67E0000}"/>
    <cellStyle name="计算 2 7 4 6 2" xfId="3894" xr:uid="{00000000-0005-0000-0000-0000660F0000}"/>
    <cellStyle name="计算 2 7 4 6 2 2" xfId="13256" xr:uid="{00000000-0005-0000-0000-0000F8330000}"/>
    <cellStyle name="计算 2 7 4 6 3" xfId="13260" xr:uid="{00000000-0005-0000-0000-0000FC330000}"/>
    <cellStyle name="计算 2 7 4 6 3 2" xfId="32393" xr:uid="{00000000-0005-0000-0000-0000B97E0000}"/>
    <cellStyle name="计算 2 7 4 6 4" xfId="26387" xr:uid="{00000000-0005-0000-0000-000043670000}"/>
    <cellStyle name="计算 2 7 4 6 4 2" xfId="32395" xr:uid="{00000000-0005-0000-0000-0000BB7E0000}"/>
    <cellStyle name="计算 2 7 4 6 5" xfId="3913" xr:uid="{00000000-0005-0000-0000-0000790F0000}"/>
    <cellStyle name="计算 2 7 4 6 5 2" xfId="4918" xr:uid="{00000000-0005-0000-0000-000066130000}"/>
    <cellStyle name="计算 2 7 4 6 6" xfId="4936" xr:uid="{00000000-0005-0000-0000-000078130000}"/>
    <cellStyle name="计算 2 7 4 7" xfId="25035" xr:uid="{00000000-0005-0000-0000-0000FB610000}"/>
    <cellStyle name="计算 2 7 4 7 2" xfId="9650" xr:uid="{00000000-0005-0000-0000-0000E2250000}"/>
    <cellStyle name="计算 2 7 4 7 2 2" xfId="13272" xr:uid="{00000000-0005-0000-0000-000008340000}"/>
    <cellStyle name="计算 2 7 4 7 3" xfId="13277" xr:uid="{00000000-0005-0000-0000-00000D340000}"/>
    <cellStyle name="计算 2 7 4 7 3 2" xfId="32398" xr:uid="{00000000-0005-0000-0000-0000BE7E0000}"/>
    <cellStyle name="计算 2 7 4 7 4" xfId="26391" xr:uid="{00000000-0005-0000-0000-000047670000}"/>
    <cellStyle name="计算 2 7 4 7 4 2" xfId="32400" xr:uid="{00000000-0005-0000-0000-0000C07E0000}"/>
    <cellStyle name="计算 2 7 4 7 5" xfId="1886" xr:uid="{00000000-0005-0000-0000-00008E070000}"/>
    <cellStyle name="计算 2 7 4 7 5 2" xfId="5354" xr:uid="{00000000-0005-0000-0000-00001A150000}"/>
    <cellStyle name="计算 2 7 4 7 6" xfId="52" xr:uid="{00000000-0005-0000-0000-000039000000}"/>
    <cellStyle name="计算 2 7 4 8" xfId="32403" xr:uid="{00000000-0005-0000-0000-0000C37E0000}"/>
    <cellStyle name="计算 2 7 4 8 2" xfId="9662" xr:uid="{00000000-0005-0000-0000-0000EE250000}"/>
    <cellStyle name="计算 2 7 4 8 2 2" xfId="13292" xr:uid="{00000000-0005-0000-0000-00001C340000}"/>
    <cellStyle name="计算 2 7 4 8 3" xfId="13298" xr:uid="{00000000-0005-0000-0000-000022340000}"/>
    <cellStyle name="计算 2 7 4 8 3 2" xfId="32408" xr:uid="{00000000-0005-0000-0000-0000C87E0000}"/>
    <cellStyle name="计算 2 7 4 8 4" xfId="26401" xr:uid="{00000000-0005-0000-0000-000051670000}"/>
    <cellStyle name="计算 2 7 4 8 4 2" xfId="32410" xr:uid="{00000000-0005-0000-0000-0000CA7E0000}"/>
    <cellStyle name="计算 2 7 4 8 5" xfId="5380" xr:uid="{00000000-0005-0000-0000-000034150000}"/>
    <cellStyle name="计算 2 7 4 9" xfId="9671" xr:uid="{00000000-0005-0000-0000-0000F7250000}"/>
    <cellStyle name="计算 2 7 4 9 2" xfId="9679" xr:uid="{00000000-0005-0000-0000-0000FF250000}"/>
    <cellStyle name="计算 2 7 5" xfId="32412" xr:uid="{00000000-0005-0000-0000-0000CC7E0000}"/>
    <cellStyle name="计算 2 7 5 10" xfId="19968" xr:uid="{00000000-0005-0000-0000-0000304E0000}"/>
    <cellStyle name="计算 2 7 5 10 2" xfId="32415" xr:uid="{00000000-0005-0000-0000-0000CF7E0000}"/>
    <cellStyle name="计算 2 7 5 11" xfId="32419" xr:uid="{00000000-0005-0000-0000-0000D37E0000}"/>
    <cellStyle name="计算 2 7 5 11 2" xfId="32423" xr:uid="{00000000-0005-0000-0000-0000D77E0000}"/>
    <cellStyle name="计算 2 7 5 12" xfId="32427" xr:uid="{00000000-0005-0000-0000-0000DB7E0000}"/>
    <cellStyle name="计算 2 7 5 12 2" xfId="32429" xr:uid="{00000000-0005-0000-0000-0000DD7E0000}"/>
    <cellStyle name="计算 2 7 5 13" xfId="26081" xr:uid="{00000000-0005-0000-0000-000011660000}"/>
    <cellStyle name="计算 2 7 5 14" xfId="32433" xr:uid="{00000000-0005-0000-0000-0000E17E0000}"/>
    <cellStyle name="计算 2 7 5 15" xfId="32435" xr:uid="{00000000-0005-0000-0000-0000E37E0000}"/>
    <cellStyle name="计算 2 7 5 16" xfId="32437" xr:uid="{00000000-0005-0000-0000-0000E57E0000}"/>
    <cellStyle name="计算 2 7 5 2" xfId="32439" xr:uid="{00000000-0005-0000-0000-0000E77E0000}"/>
    <cellStyle name="计算 2 7 5 2 2" xfId="27770" xr:uid="{00000000-0005-0000-0000-0000AA6C0000}"/>
    <cellStyle name="计算 2 7 5 2 2 2" xfId="788" xr:uid="{00000000-0005-0000-0000-000044030000}"/>
    <cellStyle name="计算 2 7 5 2 3" xfId="27780" xr:uid="{00000000-0005-0000-0000-0000B46C0000}"/>
    <cellStyle name="计算 2 7 5 2 3 2" xfId="826" xr:uid="{00000000-0005-0000-0000-00006A030000}"/>
    <cellStyle name="计算 2 7 5 2 4" xfId="2519" xr:uid="{00000000-0005-0000-0000-0000070A0000}"/>
    <cellStyle name="计算 2 7 5 2 4 2" xfId="27789" xr:uid="{00000000-0005-0000-0000-0000BD6C0000}"/>
    <cellStyle name="计算 2 7 5 2 5" xfId="3568" xr:uid="{00000000-0005-0000-0000-0000200E0000}"/>
    <cellStyle name="计算 2 7 5 2 5 2" xfId="895" xr:uid="{00000000-0005-0000-0000-0000AF030000}"/>
    <cellStyle name="计算 2 7 5 2 6" xfId="3579" xr:uid="{00000000-0005-0000-0000-00002B0E0000}"/>
    <cellStyle name="计算 2 7 5 2 7" xfId="1664" xr:uid="{00000000-0005-0000-0000-0000B0060000}"/>
    <cellStyle name="计算 2 7 5 2 8" xfId="1691" xr:uid="{00000000-0005-0000-0000-0000CB060000}"/>
    <cellStyle name="计算 2 7 5 2 9" xfId="1714" xr:uid="{00000000-0005-0000-0000-0000E2060000}"/>
    <cellStyle name="计算 2 7 5 3" xfId="32441" xr:uid="{00000000-0005-0000-0000-0000E97E0000}"/>
    <cellStyle name="计算 2 7 5 3 2" xfId="4059" xr:uid="{00000000-0005-0000-0000-00000B100000}"/>
    <cellStyle name="计算 2 7 5 3 2 2" xfId="4240" xr:uid="{00000000-0005-0000-0000-0000C0100000}"/>
    <cellStyle name="计算 2 7 5 3 3" xfId="1847" xr:uid="{00000000-0005-0000-0000-000067070000}"/>
    <cellStyle name="计算 2 7 5 3 3 2" xfId="1877" xr:uid="{00000000-0005-0000-0000-000085070000}"/>
    <cellStyle name="计算 2 7 5 3 4" xfId="1915" xr:uid="{00000000-0005-0000-0000-0000AB070000}"/>
    <cellStyle name="计算 2 7 5 3 4 2" xfId="29442" xr:uid="{00000000-0005-0000-0000-000032730000}"/>
    <cellStyle name="计算 2 7 5 3 5" xfId="1934" xr:uid="{00000000-0005-0000-0000-0000BE070000}"/>
    <cellStyle name="计算 2 7 5 3 5 2" xfId="4258" xr:uid="{00000000-0005-0000-0000-0000D2100000}"/>
    <cellStyle name="计算 2 7 5 3 6" xfId="1950" xr:uid="{00000000-0005-0000-0000-0000CE070000}"/>
    <cellStyle name="计算 2 7 5 4" xfId="32443" xr:uid="{00000000-0005-0000-0000-0000EB7E0000}"/>
    <cellStyle name="计算 2 7 5 4 2" xfId="4088" xr:uid="{00000000-0005-0000-0000-000028100000}"/>
    <cellStyle name="计算 2 7 5 4 2 2" xfId="3771" xr:uid="{00000000-0005-0000-0000-0000EB0E0000}"/>
    <cellStyle name="计算 2 7 5 4 3" xfId="4271" xr:uid="{00000000-0005-0000-0000-0000DF100000}"/>
    <cellStyle name="计算 2 7 5 4 3 2" xfId="32445" xr:uid="{00000000-0005-0000-0000-0000ED7E0000}"/>
    <cellStyle name="计算 2 7 5 4 4" xfId="32447" xr:uid="{00000000-0005-0000-0000-0000EF7E0000}"/>
    <cellStyle name="计算 2 7 5 4 4 2" xfId="32449" xr:uid="{00000000-0005-0000-0000-0000F17E0000}"/>
    <cellStyle name="计算 2 7 5 4 5" xfId="4288" xr:uid="{00000000-0005-0000-0000-0000F0100000}"/>
    <cellStyle name="计算 2 7 5 4 5 2" xfId="1891" xr:uid="{00000000-0005-0000-0000-000093070000}"/>
    <cellStyle name="计算 2 7 5 4 6" xfId="4302" xr:uid="{00000000-0005-0000-0000-0000FE100000}"/>
    <cellStyle name="计算 2 7 5 5" xfId="32451" xr:uid="{00000000-0005-0000-0000-0000F37E0000}"/>
    <cellStyle name="计算 2 7 5 5 2" xfId="4108" xr:uid="{00000000-0005-0000-0000-00003C100000}"/>
    <cellStyle name="计算 2 7 5 5 2 2" xfId="4282" xr:uid="{00000000-0005-0000-0000-0000EA100000}"/>
    <cellStyle name="计算 2 7 5 5 3" xfId="5499" xr:uid="{00000000-0005-0000-0000-0000AB150000}"/>
    <cellStyle name="计算 2 7 5 5 3 2" xfId="32453" xr:uid="{00000000-0005-0000-0000-0000F57E0000}"/>
    <cellStyle name="计算 2 7 5 5 4" xfId="32455" xr:uid="{00000000-0005-0000-0000-0000F77E0000}"/>
    <cellStyle name="计算 2 7 5 5 4 2" xfId="32457" xr:uid="{00000000-0005-0000-0000-0000F97E0000}"/>
    <cellStyle name="计算 2 7 5 5 5" xfId="5504" xr:uid="{00000000-0005-0000-0000-0000B0150000}"/>
    <cellStyle name="计算 2 7 5 5 5 2" xfId="3970" xr:uid="{00000000-0005-0000-0000-0000B20F0000}"/>
    <cellStyle name="计算 2 7 5 5 6" xfId="5512" xr:uid="{00000000-0005-0000-0000-0000B8150000}"/>
    <cellStyle name="计算 2 7 5 6" xfId="32460" xr:uid="{00000000-0005-0000-0000-0000FC7E0000}"/>
    <cellStyle name="计算 2 7 5 6 2" xfId="5738" xr:uid="{00000000-0005-0000-0000-00009A160000}"/>
    <cellStyle name="计算 2 7 5 6 2 2" xfId="5753" xr:uid="{00000000-0005-0000-0000-0000A9160000}"/>
    <cellStyle name="计算 2 7 5 6 3" xfId="5815" xr:uid="{00000000-0005-0000-0000-0000E7160000}"/>
    <cellStyle name="计算 2 7 5 6 3 2" xfId="32463" xr:uid="{00000000-0005-0000-0000-0000FF7E0000}"/>
    <cellStyle name="计算 2 7 5 6 4" xfId="32465" xr:uid="{00000000-0005-0000-0000-0000017F0000}"/>
    <cellStyle name="计算 2 7 5 6 4 2" xfId="32467" xr:uid="{00000000-0005-0000-0000-0000037F0000}"/>
    <cellStyle name="计算 2 7 5 6 5" xfId="5542" xr:uid="{00000000-0005-0000-0000-0000D6150000}"/>
    <cellStyle name="计算 2 7 5 6 5 2" xfId="5421" xr:uid="{00000000-0005-0000-0000-00005D150000}"/>
    <cellStyle name="计算 2 7 5 6 6" xfId="5550" xr:uid="{00000000-0005-0000-0000-0000DE150000}"/>
    <cellStyle name="计算 2 7 5 7" xfId="25041" xr:uid="{00000000-0005-0000-0000-000001620000}"/>
    <cellStyle name="计算 2 7 5 7 2" xfId="9709" xr:uid="{00000000-0005-0000-0000-00001D260000}"/>
    <cellStyle name="计算 2 7 5 7 2 2" xfId="6891" xr:uid="{00000000-0005-0000-0000-00001B1B0000}"/>
    <cellStyle name="计算 2 7 5 7 3" xfId="13347" xr:uid="{00000000-0005-0000-0000-000053340000}"/>
    <cellStyle name="计算 2 7 5 7 3 2" xfId="6961" xr:uid="{00000000-0005-0000-0000-0000611B0000}"/>
    <cellStyle name="计算 2 7 5 7 4" xfId="32469" xr:uid="{00000000-0005-0000-0000-0000057F0000}"/>
    <cellStyle name="计算 2 7 5 7 4 2" xfId="32471" xr:uid="{00000000-0005-0000-0000-0000077F0000}"/>
    <cellStyle name="计算 2 7 5 7 5" xfId="3967" xr:uid="{00000000-0005-0000-0000-0000AF0F0000}"/>
    <cellStyle name="计算 2 7 5 7 5 2" xfId="1361" xr:uid="{00000000-0005-0000-0000-000081050000}"/>
    <cellStyle name="计算 2 7 5 7 6" xfId="190" xr:uid="{00000000-0005-0000-0000-0000CD000000}"/>
    <cellStyle name="计算 2 7 5 8" xfId="32473" xr:uid="{00000000-0005-0000-0000-0000097F0000}"/>
    <cellStyle name="计算 2 7 5 8 2" xfId="9722" xr:uid="{00000000-0005-0000-0000-00002A260000}"/>
    <cellStyle name="计算 2 7 5 8 2 2" xfId="13367" xr:uid="{00000000-0005-0000-0000-000067340000}"/>
    <cellStyle name="计算 2 7 5 8 3" xfId="13369" xr:uid="{00000000-0005-0000-0000-000069340000}"/>
    <cellStyle name="计算 2 7 5 8 3 2" xfId="30539" xr:uid="{00000000-0005-0000-0000-00007B770000}"/>
    <cellStyle name="计算 2 7 5 8 4" xfId="32476" xr:uid="{00000000-0005-0000-0000-00000C7F0000}"/>
    <cellStyle name="计算 2 7 5 8 4 2" xfId="30621" xr:uid="{00000000-0005-0000-0000-0000CD770000}"/>
    <cellStyle name="计算 2 7 5 8 5" xfId="5520" xr:uid="{00000000-0005-0000-0000-0000C0150000}"/>
    <cellStyle name="计算 2 7 5 9" xfId="9730" xr:uid="{00000000-0005-0000-0000-000032260000}"/>
    <cellStyle name="计算 2 7 5 9 2" xfId="9739" xr:uid="{00000000-0005-0000-0000-00003B260000}"/>
    <cellStyle name="计算 2 7 6" xfId="4142" xr:uid="{00000000-0005-0000-0000-00005E100000}"/>
    <cellStyle name="计算 2 7 6 10" xfId="3785" xr:uid="{00000000-0005-0000-0000-0000F90E0000}"/>
    <cellStyle name="计算 2 7 6 10 2" xfId="3033" xr:uid="{00000000-0005-0000-0000-0000090C0000}"/>
    <cellStyle name="计算 2 7 6 11" xfId="32477" xr:uid="{00000000-0005-0000-0000-00000D7F0000}"/>
    <cellStyle name="计算 2 7 6 11 2" xfId="3120" xr:uid="{00000000-0005-0000-0000-0000600C0000}"/>
    <cellStyle name="计算 2 7 6 12" xfId="32478" xr:uid="{00000000-0005-0000-0000-00000E7F0000}"/>
    <cellStyle name="计算 2 7 6 12 2" xfId="3185" xr:uid="{00000000-0005-0000-0000-0000A10C0000}"/>
    <cellStyle name="计算 2 7 6 13" xfId="32479" xr:uid="{00000000-0005-0000-0000-00000F7F0000}"/>
    <cellStyle name="计算 2 7 6 14" xfId="22556" xr:uid="{00000000-0005-0000-0000-00004C580000}"/>
    <cellStyle name="计算 2 7 6 15" xfId="18319" xr:uid="{00000000-0005-0000-0000-0000BF470000}"/>
    <cellStyle name="计算 2 7 6 16" xfId="18331" xr:uid="{00000000-0005-0000-0000-0000CB470000}"/>
    <cellStyle name="计算 2 7 6 2" xfId="30551" xr:uid="{00000000-0005-0000-0000-000087770000}"/>
    <cellStyle name="计算 2 7 6 2 2" xfId="28659" xr:uid="{00000000-0005-0000-0000-000023700000}"/>
    <cellStyle name="计算 2 7 6 2 2 2" xfId="24661" xr:uid="{00000000-0005-0000-0000-000085600000}"/>
    <cellStyle name="计算 2 7 6 2 3" xfId="28661" xr:uid="{00000000-0005-0000-0000-000025700000}"/>
    <cellStyle name="计算 2 7 6 2 3 2" xfId="24676" xr:uid="{00000000-0005-0000-0000-000094600000}"/>
    <cellStyle name="计算 2 7 6 2 4" xfId="422" xr:uid="{00000000-0005-0000-0000-0000CE010000}"/>
    <cellStyle name="计算 2 7 6 2 4 2" xfId="24694" xr:uid="{00000000-0005-0000-0000-0000A6600000}"/>
    <cellStyle name="计算 2 7 6 2 5" xfId="472" xr:uid="{00000000-0005-0000-0000-000003020000}"/>
    <cellStyle name="计算 2 7 6 2 5 2" xfId="4566" xr:uid="{00000000-0005-0000-0000-000006120000}"/>
    <cellStyle name="计算 2 7 6 2 6" xfId="517" xr:uid="{00000000-0005-0000-0000-000033020000}"/>
    <cellStyle name="计算 2 7 6 2 7" xfId="5244" xr:uid="{00000000-0005-0000-0000-0000AC140000}"/>
    <cellStyle name="计算 2 7 6 2 8" xfId="3004" xr:uid="{00000000-0005-0000-0000-0000EC0B0000}"/>
    <cellStyle name="计算 2 7 6 2 9" xfId="3025" xr:uid="{00000000-0005-0000-0000-0000010C0000}"/>
    <cellStyle name="计算 2 7 6 3" xfId="32481" xr:uid="{00000000-0005-0000-0000-0000117F0000}"/>
    <cellStyle name="计算 2 7 6 3 2" xfId="4175" xr:uid="{00000000-0005-0000-0000-00007F100000}"/>
    <cellStyle name="计算 2 7 6 3 2 2" xfId="8580" xr:uid="{00000000-0005-0000-0000-0000B4210000}"/>
    <cellStyle name="计算 2 7 6 3 3" xfId="8596" xr:uid="{00000000-0005-0000-0000-0000C4210000}"/>
    <cellStyle name="计算 2 7 6 3 3 2" xfId="8601" xr:uid="{00000000-0005-0000-0000-0000C9210000}"/>
    <cellStyle name="计算 2 7 6 3 4" xfId="2611" xr:uid="{00000000-0005-0000-0000-0000630A0000}"/>
    <cellStyle name="计算 2 7 6 3 4 2" xfId="8636" xr:uid="{00000000-0005-0000-0000-0000EC210000}"/>
    <cellStyle name="计算 2 7 6 3 5" xfId="5654" xr:uid="{00000000-0005-0000-0000-000046160000}"/>
    <cellStyle name="计算 2 7 6 3 5 2" xfId="5669" xr:uid="{00000000-0005-0000-0000-000055160000}"/>
    <cellStyle name="计算 2 7 6 3 6" xfId="5676" xr:uid="{00000000-0005-0000-0000-00005C160000}"/>
    <cellStyle name="计算 2 7 6 4" xfId="32482" xr:uid="{00000000-0005-0000-0000-0000127F0000}"/>
    <cellStyle name="计算 2 7 6 4 2" xfId="4189" xr:uid="{00000000-0005-0000-0000-00008D100000}"/>
    <cellStyle name="计算 2 7 6 4 2 2" xfId="8766" xr:uid="{00000000-0005-0000-0000-00006E220000}"/>
    <cellStyle name="计算 2 7 6 4 3" xfId="8781" xr:uid="{00000000-0005-0000-0000-00007D220000}"/>
    <cellStyle name="计算 2 7 6 4 3 2" xfId="32483" xr:uid="{00000000-0005-0000-0000-0000137F0000}"/>
    <cellStyle name="计算 2 7 6 4 4" xfId="32484" xr:uid="{00000000-0005-0000-0000-0000147F0000}"/>
    <cellStyle name="计算 2 7 6 4 4 2" xfId="32485" xr:uid="{00000000-0005-0000-0000-0000157F0000}"/>
    <cellStyle name="计算 2 7 6 4 5" xfId="5751" xr:uid="{00000000-0005-0000-0000-0000A7160000}"/>
    <cellStyle name="计算 2 7 6 4 5 2" xfId="5762" xr:uid="{00000000-0005-0000-0000-0000B2160000}"/>
    <cellStyle name="计算 2 7 6 4 6" xfId="5773" xr:uid="{00000000-0005-0000-0000-0000BD160000}"/>
    <cellStyle name="计算 2 7 6 5" xfId="32486" xr:uid="{00000000-0005-0000-0000-0000167F0000}"/>
    <cellStyle name="计算 2 7 6 5 2" xfId="4216" xr:uid="{00000000-0005-0000-0000-0000A8100000}"/>
    <cellStyle name="计算 2 7 6 5 2 2" xfId="8975" xr:uid="{00000000-0005-0000-0000-00003F230000}"/>
    <cellStyle name="计算 2 7 6 5 3" xfId="8997" xr:uid="{00000000-0005-0000-0000-000055230000}"/>
    <cellStyle name="计算 2 7 6 5 3 2" xfId="32487" xr:uid="{00000000-0005-0000-0000-0000177F0000}"/>
    <cellStyle name="计算 2 7 6 5 4" xfId="32488" xr:uid="{00000000-0005-0000-0000-0000187F0000}"/>
    <cellStyle name="计算 2 7 6 5 4 2" xfId="32489" xr:uid="{00000000-0005-0000-0000-0000197F0000}"/>
    <cellStyle name="计算 2 7 6 5 5" xfId="5831" xr:uid="{00000000-0005-0000-0000-0000F7160000}"/>
    <cellStyle name="计算 2 7 6 5 5 2" xfId="5844" xr:uid="{00000000-0005-0000-0000-000004170000}"/>
    <cellStyle name="计算 2 7 6 5 6" xfId="5860" xr:uid="{00000000-0005-0000-0000-000014170000}"/>
    <cellStyle name="计算 2 7 6 6" xfId="32490" xr:uid="{00000000-0005-0000-0000-00001A7F0000}"/>
    <cellStyle name="计算 2 7 6 6 2" xfId="6552" xr:uid="{00000000-0005-0000-0000-0000C8190000}"/>
    <cellStyle name="计算 2 7 6 6 2 2" xfId="6559" xr:uid="{00000000-0005-0000-0000-0000CF190000}"/>
    <cellStyle name="计算 2 7 6 6 3" xfId="6566" xr:uid="{00000000-0005-0000-0000-0000D6190000}"/>
    <cellStyle name="计算 2 7 6 6 3 2" xfId="32491" xr:uid="{00000000-0005-0000-0000-00001B7F0000}"/>
    <cellStyle name="计算 2 7 6 6 4" xfId="32492" xr:uid="{00000000-0005-0000-0000-00001C7F0000}"/>
    <cellStyle name="计算 2 7 6 6 4 2" xfId="32493" xr:uid="{00000000-0005-0000-0000-00001D7F0000}"/>
    <cellStyle name="计算 2 7 6 6 5" xfId="5979" xr:uid="{00000000-0005-0000-0000-00008B170000}"/>
    <cellStyle name="计算 2 7 6 6 5 2" xfId="683" xr:uid="{00000000-0005-0000-0000-0000DB020000}"/>
    <cellStyle name="计算 2 7 6 6 6" xfId="5993" xr:uid="{00000000-0005-0000-0000-000099170000}"/>
    <cellStyle name="计算 2 7 6 7" xfId="25055" xr:uid="{00000000-0005-0000-0000-00000F620000}"/>
    <cellStyle name="计算 2 7 6 7 2" xfId="9759" xr:uid="{00000000-0005-0000-0000-00004F260000}"/>
    <cellStyle name="计算 2 7 6 7 2 2" xfId="13428" xr:uid="{00000000-0005-0000-0000-0000A4340000}"/>
    <cellStyle name="计算 2 7 6 7 3" xfId="13430" xr:uid="{00000000-0005-0000-0000-0000A6340000}"/>
    <cellStyle name="计算 2 7 6 7 3 2" xfId="32494" xr:uid="{00000000-0005-0000-0000-00001E7F0000}"/>
    <cellStyle name="计算 2 7 6 7 4" xfId="32495" xr:uid="{00000000-0005-0000-0000-00001F7F0000}"/>
    <cellStyle name="计算 2 7 6 7 4 2" xfId="32496" xr:uid="{00000000-0005-0000-0000-0000207F0000}"/>
    <cellStyle name="计算 2 7 6 7 5" xfId="5428" xr:uid="{00000000-0005-0000-0000-000064150000}"/>
    <cellStyle name="计算 2 7 6 7 5 2" xfId="5436" xr:uid="{00000000-0005-0000-0000-00006C150000}"/>
    <cellStyle name="计算 2 7 6 7 6" xfId="5446" xr:uid="{00000000-0005-0000-0000-000076150000}"/>
    <cellStyle name="计算 2 7 6 8" xfId="32497" xr:uid="{00000000-0005-0000-0000-0000217F0000}"/>
    <cellStyle name="计算 2 7 6 8 2" xfId="9773" xr:uid="{00000000-0005-0000-0000-00005D260000}"/>
    <cellStyle name="计算 2 7 6 8 2 2" xfId="13439" xr:uid="{00000000-0005-0000-0000-0000AF340000}"/>
    <cellStyle name="计算 2 7 6 8 3" xfId="13444" xr:uid="{00000000-0005-0000-0000-0000B4340000}"/>
    <cellStyle name="计算 2 7 6 8 3 2" xfId="29395" xr:uid="{00000000-0005-0000-0000-000003730000}"/>
    <cellStyle name="计算 2 7 6 8 4" xfId="25779" xr:uid="{00000000-0005-0000-0000-0000E3640000}"/>
    <cellStyle name="计算 2 7 6 8 4 2" xfId="1186" xr:uid="{00000000-0005-0000-0000-0000D2040000}"/>
    <cellStyle name="计算 2 7 6 8 5" xfId="5558" xr:uid="{00000000-0005-0000-0000-0000E6150000}"/>
    <cellStyle name="计算 2 7 6 9" xfId="9785" xr:uid="{00000000-0005-0000-0000-000069260000}"/>
    <cellStyle name="计算 2 7 6 9 2" xfId="9796" xr:uid="{00000000-0005-0000-0000-000074260000}"/>
    <cellStyle name="计算 2 7 7" xfId="30553" xr:uid="{00000000-0005-0000-0000-000089770000}"/>
    <cellStyle name="计算 2 7 7 10" xfId="19844" xr:uid="{00000000-0005-0000-0000-0000B44D0000}"/>
    <cellStyle name="计算 2 7 7 10 2" xfId="29280" xr:uid="{00000000-0005-0000-0000-000090720000}"/>
    <cellStyle name="计算 2 7 7 11" xfId="32498" xr:uid="{00000000-0005-0000-0000-0000227F0000}"/>
    <cellStyle name="计算 2 7 7 11 2" xfId="29295" xr:uid="{00000000-0005-0000-0000-00009F720000}"/>
    <cellStyle name="计算 2 7 7 12" xfId="32500" xr:uid="{00000000-0005-0000-0000-0000247F0000}"/>
    <cellStyle name="计算 2 7 7 12 2" xfId="29304" xr:uid="{00000000-0005-0000-0000-0000A8720000}"/>
    <cellStyle name="计算 2 7 7 13" xfId="32501" xr:uid="{00000000-0005-0000-0000-0000257F0000}"/>
    <cellStyle name="计算 2 7 7 14" xfId="22589" xr:uid="{00000000-0005-0000-0000-00006D580000}"/>
    <cellStyle name="计算 2 7 7 15" xfId="32502" xr:uid="{00000000-0005-0000-0000-0000267F0000}"/>
    <cellStyle name="计算 2 7 7 16" xfId="32505" xr:uid="{00000000-0005-0000-0000-0000297F0000}"/>
    <cellStyle name="计算 2 7 7 2" xfId="30555" xr:uid="{00000000-0005-0000-0000-00008B770000}"/>
    <cellStyle name="计算 2 7 7 2 2" xfId="25129" xr:uid="{00000000-0005-0000-0000-000059620000}"/>
    <cellStyle name="计算 2 7 7 2 2 2" xfId="25133" xr:uid="{00000000-0005-0000-0000-00005D620000}"/>
    <cellStyle name="计算 2 7 7 2 3" xfId="25137" xr:uid="{00000000-0005-0000-0000-000061620000}"/>
    <cellStyle name="计算 2 7 7 2 3 2" xfId="25141" xr:uid="{00000000-0005-0000-0000-000065620000}"/>
    <cellStyle name="计算 2 7 7 2 4" xfId="2692" xr:uid="{00000000-0005-0000-0000-0000B40A0000}"/>
    <cellStyle name="计算 2 7 7 2 4 2" xfId="25149" xr:uid="{00000000-0005-0000-0000-00006D620000}"/>
    <cellStyle name="计算 2 7 7 2 5" xfId="25154" xr:uid="{00000000-0005-0000-0000-000072620000}"/>
    <cellStyle name="计算 2 7 7 2 5 2" xfId="25636" xr:uid="{00000000-0005-0000-0000-000054640000}"/>
    <cellStyle name="计算 2 7 7 2 6" xfId="29323" xr:uid="{00000000-0005-0000-0000-0000BB720000}"/>
    <cellStyle name="计算 2 7 7 2 7" xfId="32508" xr:uid="{00000000-0005-0000-0000-00002C7F0000}"/>
    <cellStyle name="计算 2 7 7 2 8" xfId="27051" xr:uid="{00000000-0005-0000-0000-0000DB690000}"/>
    <cellStyle name="计算 2 7 7 2 9" xfId="32509" xr:uid="{00000000-0005-0000-0000-00002D7F0000}"/>
    <cellStyle name="计算 2 7 7 3" xfId="32510" xr:uid="{00000000-0005-0000-0000-00002E7F0000}"/>
    <cellStyle name="计算 2 7 7 3 2" xfId="817" xr:uid="{00000000-0005-0000-0000-000061030000}"/>
    <cellStyle name="计算 2 7 7 3 2 2" xfId="6371" xr:uid="{00000000-0005-0000-0000-000013190000}"/>
    <cellStyle name="计算 2 7 7 3 3" xfId="6430" xr:uid="{00000000-0005-0000-0000-00004E190000}"/>
    <cellStyle name="计算 2 7 7 3 3 2" xfId="25687" xr:uid="{00000000-0005-0000-0000-000087640000}"/>
    <cellStyle name="计算 2 7 7 3 4" xfId="2714" xr:uid="{00000000-0005-0000-0000-0000CA0A0000}"/>
    <cellStyle name="计算 2 7 7 3 4 2" xfId="25694" xr:uid="{00000000-0005-0000-0000-00008E640000}"/>
    <cellStyle name="计算 2 7 7 3 5" xfId="6506" xr:uid="{00000000-0005-0000-0000-00009A190000}"/>
    <cellStyle name="计算 2 7 7 3 5 2" xfId="25702" xr:uid="{00000000-0005-0000-0000-000096640000}"/>
    <cellStyle name="计算 2 7 7 3 6" xfId="10926" xr:uid="{00000000-0005-0000-0000-0000DE2A0000}"/>
    <cellStyle name="计算 2 7 7 4" xfId="32511" xr:uid="{00000000-0005-0000-0000-00002F7F0000}"/>
    <cellStyle name="计算 2 7 7 4 2" xfId="846" xr:uid="{00000000-0005-0000-0000-00007E030000}"/>
    <cellStyle name="计算 2 7 7 4 2 2" xfId="6789" xr:uid="{00000000-0005-0000-0000-0000B51A0000}"/>
    <cellStyle name="计算 2 7 7 4 3" xfId="6833" xr:uid="{00000000-0005-0000-0000-0000E11A0000}"/>
    <cellStyle name="计算 2 7 7 4 3 2" xfId="32512" xr:uid="{00000000-0005-0000-0000-0000307F0000}"/>
    <cellStyle name="计算 2 7 7 4 4" xfId="32513" xr:uid="{00000000-0005-0000-0000-0000317F0000}"/>
    <cellStyle name="计算 2 7 7 4 4 2" xfId="1731" xr:uid="{00000000-0005-0000-0000-0000F3060000}"/>
    <cellStyle name="计算 2 7 7 4 5" xfId="32514" xr:uid="{00000000-0005-0000-0000-0000327F0000}"/>
    <cellStyle name="计算 2 7 7 4 5 2" xfId="32515" xr:uid="{00000000-0005-0000-0000-0000337F0000}"/>
    <cellStyle name="计算 2 7 7 4 6" xfId="32517" xr:uid="{00000000-0005-0000-0000-0000357F0000}"/>
    <cellStyle name="计算 2 7 7 5" xfId="32518" xr:uid="{00000000-0005-0000-0000-0000367F0000}"/>
    <cellStyle name="计算 2 7 7 5 2" xfId="873" xr:uid="{00000000-0005-0000-0000-000099030000}"/>
    <cellStyle name="计算 2 7 7 5 2 2" xfId="11129" xr:uid="{00000000-0005-0000-0000-0000A92B0000}"/>
    <cellStyle name="计算 2 7 7 5 3" xfId="6947" xr:uid="{00000000-0005-0000-0000-0000531B0000}"/>
    <cellStyle name="计算 2 7 7 5 3 2" xfId="32519" xr:uid="{00000000-0005-0000-0000-0000377F0000}"/>
    <cellStyle name="计算 2 7 7 5 4" xfId="32520" xr:uid="{00000000-0005-0000-0000-0000387F0000}"/>
    <cellStyle name="计算 2 7 7 5 4 2" xfId="3039" xr:uid="{00000000-0005-0000-0000-00000F0C0000}"/>
    <cellStyle name="计算 2 7 7 5 5" xfId="32521" xr:uid="{00000000-0005-0000-0000-0000397F0000}"/>
    <cellStyle name="计算 2 7 7 5 5 2" xfId="32523" xr:uid="{00000000-0005-0000-0000-00003B7F0000}"/>
    <cellStyle name="计算 2 7 7 5 6" xfId="32525" xr:uid="{00000000-0005-0000-0000-00003D7F0000}"/>
    <cellStyle name="计算 2 7 7 6" xfId="32527" xr:uid="{00000000-0005-0000-0000-00003F7F0000}"/>
    <cellStyle name="计算 2 7 7 6 2" xfId="7011" xr:uid="{00000000-0005-0000-0000-0000931B0000}"/>
    <cellStyle name="计算 2 7 7 6 2 2" xfId="11328" xr:uid="{00000000-0005-0000-0000-0000702C0000}"/>
    <cellStyle name="计算 2 7 7 6 3" xfId="8519" xr:uid="{00000000-0005-0000-0000-000077210000}"/>
    <cellStyle name="计算 2 7 7 6 3 2" xfId="32528" xr:uid="{00000000-0005-0000-0000-0000407F0000}"/>
    <cellStyle name="计算 2 7 7 6 4" xfId="32529" xr:uid="{00000000-0005-0000-0000-0000417F0000}"/>
    <cellStyle name="计算 2 7 7 6 4 2" xfId="32530" xr:uid="{00000000-0005-0000-0000-0000427F0000}"/>
    <cellStyle name="计算 2 7 7 6 5" xfId="32531" xr:uid="{00000000-0005-0000-0000-0000437F0000}"/>
    <cellStyle name="计算 2 7 7 6 5 2" xfId="32532" xr:uid="{00000000-0005-0000-0000-0000447F0000}"/>
    <cellStyle name="计算 2 7 7 6 6" xfId="32534" xr:uid="{00000000-0005-0000-0000-0000467F0000}"/>
    <cellStyle name="计算 2 7 7 7" xfId="25441" xr:uid="{00000000-0005-0000-0000-000091630000}"/>
    <cellStyle name="计算 2 7 7 7 2" xfId="7075" xr:uid="{00000000-0005-0000-0000-0000D31B0000}"/>
    <cellStyle name="计算 2 7 7 7 2 2" xfId="12583" xr:uid="{00000000-0005-0000-0000-000057310000}"/>
    <cellStyle name="计算 2 7 7 7 3" xfId="13492" xr:uid="{00000000-0005-0000-0000-0000E4340000}"/>
    <cellStyle name="计算 2 7 7 7 3 2" xfId="32537" xr:uid="{00000000-0005-0000-0000-0000497F0000}"/>
    <cellStyle name="计算 2 7 7 7 4" xfId="32538" xr:uid="{00000000-0005-0000-0000-00004A7F0000}"/>
    <cellStyle name="计算 2 7 7 7 4 2" xfId="32539" xr:uid="{00000000-0005-0000-0000-00004B7F0000}"/>
    <cellStyle name="计算 2 7 7 7 5" xfId="32540" xr:uid="{00000000-0005-0000-0000-00004C7F0000}"/>
    <cellStyle name="计算 2 7 7 7 5 2" xfId="32541" xr:uid="{00000000-0005-0000-0000-00004D7F0000}"/>
    <cellStyle name="计算 2 7 7 7 6" xfId="32543" xr:uid="{00000000-0005-0000-0000-00004F7F0000}"/>
    <cellStyle name="计算 2 7 7 8" xfId="32546" xr:uid="{00000000-0005-0000-0000-0000527F0000}"/>
    <cellStyle name="计算 2 7 7 8 2" xfId="2234" xr:uid="{00000000-0005-0000-0000-0000EA080000}"/>
    <cellStyle name="计算 2 7 7 8 2 2" xfId="13498" xr:uid="{00000000-0005-0000-0000-0000EA340000}"/>
    <cellStyle name="计算 2 7 7 8 3" xfId="13502" xr:uid="{00000000-0005-0000-0000-0000EE340000}"/>
    <cellStyle name="计算 2 7 7 8 3 2" xfId="32547" xr:uid="{00000000-0005-0000-0000-0000537F0000}"/>
    <cellStyle name="计算 2 7 7 8 4" xfId="32548" xr:uid="{00000000-0005-0000-0000-0000547F0000}"/>
    <cellStyle name="计算 2 7 7 8 4 2" xfId="32549" xr:uid="{00000000-0005-0000-0000-0000557F0000}"/>
    <cellStyle name="计算 2 7 7 8 5" xfId="32550" xr:uid="{00000000-0005-0000-0000-0000567F0000}"/>
    <cellStyle name="计算 2 7 7 9" xfId="9827" xr:uid="{00000000-0005-0000-0000-000093260000}"/>
    <cellStyle name="计算 2 7 7 9 2" xfId="1603" xr:uid="{00000000-0005-0000-0000-000073060000}"/>
    <cellStyle name="计算 2 7 8" xfId="30557" xr:uid="{00000000-0005-0000-0000-00008D770000}"/>
    <cellStyle name="计算 2 7 8 10" xfId="32552" xr:uid="{00000000-0005-0000-0000-0000587F0000}"/>
    <cellStyle name="计算 2 7 8 10 2" xfId="32555" xr:uid="{00000000-0005-0000-0000-00005B7F0000}"/>
    <cellStyle name="计算 2 7 8 11" xfId="32557" xr:uid="{00000000-0005-0000-0000-00005D7F0000}"/>
    <cellStyle name="计算 2 7 8 11 2" xfId="32561" xr:uid="{00000000-0005-0000-0000-0000617F0000}"/>
    <cellStyle name="计算 2 7 8 12" xfId="32564" xr:uid="{00000000-0005-0000-0000-0000647F0000}"/>
    <cellStyle name="计算 2 7 8 12 2" xfId="32567" xr:uid="{00000000-0005-0000-0000-0000677F0000}"/>
    <cellStyle name="计算 2 7 8 13" xfId="22512" xr:uid="{00000000-0005-0000-0000-000020580000}"/>
    <cellStyle name="计算 2 7 8 14" xfId="8314" xr:uid="{00000000-0005-0000-0000-0000AA200000}"/>
    <cellStyle name="计算 2 7 8 15" xfId="7473" xr:uid="{00000000-0005-0000-0000-0000611D0000}"/>
    <cellStyle name="计算 2 7 8 16" xfId="8337" xr:uid="{00000000-0005-0000-0000-0000C1200000}"/>
    <cellStyle name="计算 2 7 8 2" xfId="30559" xr:uid="{00000000-0005-0000-0000-00008F770000}"/>
    <cellStyle name="计算 2 7 8 2 2" xfId="30463" xr:uid="{00000000-0005-0000-0000-00002F770000}"/>
    <cellStyle name="计算 2 7 8 2 2 2" xfId="25289" xr:uid="{00000000-0005-0000-0000-0000F9620000}"/>
    <cellStyle name="计算 2 7 8 2 3" xfId="30471" xr:uid="{00000000-0005-0000-0000-000037770000}"/>
    <cellStyle name="计算 2 7 8 2 3 2" xfId="25299" xr:uid="{00000000-0005-0000-0000-000003630000}"/>
    <cellStyle name="计算 2 7 8 2 4" xfId="30486" xr:uid="{00000000-0005-0000-0000-000046770000}"/>
    <cellStyle name="计算 2 7 8 2 4 2" xfId="25303" xr:uid="{00000000-0005-0000-0000-000007630000}"/>
    <cellStyle name="计算 2 7 8 2 5" xfId="30499" xr:uid="{00000000-0005-0000-0000-000053770000}"/>
    <cellStyle name="计算 2 7 8 2 5 2" xfId="26665" xr:uid="{00000000-0005-0000-0000-000059680000}"/>
    <cellStyle name="计算 2 7 8 2 6" xfId="30508" xr:uid="{00000000-0005-0000-0000-00005C770000}"/>
    <cellStyle name="计算 2 7 8 2 7" xfId="32569" xr:uid="{00000000-0005-0000-0000-0000697F0000}"/>
    <cellStyle name="计算 2 7 8 2 8" xfId="27061" xr:uid="{00000000-0005-0000-0000-0000E5690000}"/>
    <cellStyle name="计算 2 7 8 2 9" xfId="32570" xr:uid="{00000000-0005-0000-0000-00006A7F0000}"/>
    <cellStyle name="计算 2 7 8 3" xfId="32571" xr:uid="{00000000-0005-0000-0000-00006B7F0000}"/>
    <cellStyle name="计算 2 7 8 3 2" xfId="11618" xr:uid="{00000000-0005-0000-0000-0000922D0000}"/>
    <cellStyle name="计算 2 7 8 3 2 2" xfId="11624" xr:uid="{00000000-0005-0000-0000-0000982D0000}"/>
    <cellStyle name="计算 2 7 8 3 3" xfId="8548" xr:uid="{00000000-0005-0000-0000-000094210000}"/>
    <cellStyle name="计算 2 7 8 3 3 2" xfId="26768" xr:uid="{00000000-0005-0000-0000-0000C0680000}"/>
    <cellStyle name="计算 2 7 8 3 4" xfId="46" xr:uid="{00000000-0005-0000-0000-000032000000}"/>
    <cellStyle name="计算 2 7 8 3 4 2" xfId="26795" xr:uid="{00000000-0005-0000-0000-0000DB680000}"/>
    <cellStyle name="计算 2 7 8 3 5" xfId="13360" xr:uid="{00000000-0005-0000-0000-000060340000}"/>
    <cellStyle name="计算 2 7 8 3 5 2" xfId="26824" xr:uid="{00000000-0005-0000-0000-0000F8680000}"/>
    <cellStyle name="计算 2 7 8 3 6" xfId="13519" xr:uid="{00000000-0005-0000-0000-0000FF340000}"/>
    <cellStyle name="计算 2 7 8 4" xfId="32572" xr:uid="{00000000-0005-0000-0000-00006C7F0000}"/>
    <cellStyle name="计算 2 7 8 4 2" xfId="11652" xr:uid="{00000000-0005-0000-0000-0000B42D0000}"/>
    <cellStyle name="计算 2 7 8 4 2 2" xfId="11659" xr:uid="{00000000-0005-0000-0000-0000BB2D0000}"/>
    <cellStyle name="计算 2 7 8 4 3" xfId="8557" xr:uid="{00000000-0005-0000-0000-00009D210000}"/>
    <cellStyle name="计算 2 7 8 4 3 2" xfId="28764" xr:uid="{00000000-0005-0000-0000-00008C700000}"/>
    <cellStyle name="计算 2 7 8 4 4" xfId="32573" xr:uid="{00000000-0005-0000-0000-00006D7F0000}"/>
    <cellStyle name="计算 2 7 8 4 4 2" xfId="28795" xr:uid="{00000000-0005-0000-0000-0000AB700000}"/>
    <cellStyle name="计算 2 7 8 4 5" xfId="32574" xr:uid="{00000000-0005-0000-0000-00006E7F0000}"/>
    <cellStyle name="计算 2 7 8 4 5 2" xfId="28825" xr:uid="{00000000-0005-0000-0000-0000C9700000}"/>
    <cellStyle name="计算 2 7 8 4 6" xfId="32576" xr:uid="{00000000-0005-0000-0000-0000707F0000}"/>
    <cellStyle name="计算 2 7 8 5" xfId="32577" xr:uid="{00000000-0005-0000-0000-0000717F0000}"/>
    <cellStyle name="计算 2 7 8 5 2" xfId="11695" xr:uid="{00000000-0005-0000-0000-0000DF2D0000}"/>
    <cellStyle name="计算 2 7 8 5 2 2" xfId="11708" xr:uid="{00000000-0005-0000-0000-0000EC2D0000}"/>
    <cellStyle name="计算 2 7 8 5 3" xfId="8563" xr:uid="{00000000-0005-0000-0000-0000A3210000}"/>
    <cellStyle name="计算 2 7 8 5 3 2" xfId="22280" xr:uid="{00000000-0005-0000-0000-000038570000}"/>
    <cellStyle name="计算 2 7 8 5 4" xfId="32578" xr:uid="{00000000-0005-0000-0000-0000727F0000}"/>
    <cellStyle name="计算 2 7 8 5 4 2" xfId="28918" xr:uid="{00000000-0005-0000-0000-000026710000}"/>
    <cellStyle name="计算 2 7 8 5 5" xfId="32579" xr:uid="{00000000-0005-0000-0000-0000737F0000}"/>
    <cellStyle name="计算 2 7 8 5 5 2" xfId="28944" xr:uid="{00000000-0005-0000-0000-000040710000}"/>
    <cellStyle name="计算 2 7 8 5 6" xfId="32581" xr:uid="{00000000-0005-0000-0000-0000757F0000}"/>
    <cellStyle name="计算 2 7 8 6" xfId="32582" xr:uid="{00000000-0005-0000-0000-0000767F0000}"/>
    <cellStyle name="计算 2 7 8 6 2" xfId="11893" xr:uid="{00000000-0005-0000-0000-0000A52E0000}"/>
    <cellStyle name="计算 2 7 8 6 2 2" xfId="13574" xr:uid="{00000000-0005-0000-0000-000036350000}"/>
    <cellStyle name="计算 2 7 8 6 3" xfId="13578" xr:uid="{00000000-0005-0000-0000-00003A350000}"/>
    <cellStyle name="计算 2 7 8 6 3 2" xfId="14074" xr:uid="{00000000-0005-0000-0000-00002A370000}"/>
    <cellStyle name="计算 2 7 8 6 4" xfId="32583" xr:uid="{00000000-0005-0000-0000-0000777F0000}"/>
    <cellStyle name="计算 2 7 8 6 4 2" xfId="14123" xr:uid="{00000000-0005-0000-0000-00005B370000}"/>
    <cellStyle name="计算 2 7 8 6 5" xfId="32584" xr:uid="{00000000-0005-0000-0000-0000787F0000}"/>
    <cellStyle name="计算 2 7 8 6 5 2" xfId="1824" xr:uid="{00000000-0005-0000-0000-000050070000}"/>
    <cellStyle name="计算 2 7 8 6 6" xfId="32586" xr:uid="{00000000-0005-0000-0000-00007A7F0000}"/>
    <cellStyle name="计算 2 7 8 7" xfId="32589" xr:uid="{00000000-0005-0000-0000-00007D7F0000}"/>
    <cellStyle name="计算 2 7 8 7 2" xfId="13607" xr:uid="{00000000-0005-0000-0000-000057350000}"/>
    <cellStyle name="计算 2 7 8 7 2 2" xfId="13611" xr:uid="{00000000-0005-0000-0000-00005B350000}"/>
    <cellStyle name="计算 2 7 8 7 3" xfId="13614" xr:uid="{00000000-0005-0000-0000-00005E350000}"/>
    <cellStyle name="计算 2 7 8 7 3 2" xfId="32591" xr:uid="{00000000-0005-0000-0000-00007F7F0000}"/>
    <cellStyle name="计算 2 7 8 7 4" xfId="32593" xr:uid="{00000000-0005-0000-0000-0000817F0000}"/>
    <cellStyle name="计算 2 7 8 7 4 2" xfId="32594" xr:uid="{00000000-0005-0000-0000-0000827F0000}"/>
    <cellStyle name="计算 2 7 8 7 5" xfId="32596" xr:uid="{00000000-0005-0000-0000-0000847F0000}"/>
    <cellStyle name="计算 2 7 8 7 5 2" xfId="32597" xr:uid="{00000000-0005-0000-0000-0000857F0000}"/>
    <cellStyle name="计算 2 7 8 7 6" xfId="32599" xr:uid="{00000000-0005-0000-0000-0000877F0000}"/>
    <cellStyle name="计算 2 7 8 8" xfId="32601" xr:uid="{00000000-0005-0000-0000-0000897F0000}"/>
    <cellStyle name="计算 2 7 8 8 2" xfId="13631" xr:uid="{00000000-0005-0000-0000-00006F350000}"/>
    <cellStyle name="计算 2 7 8 8 2 2" xfId="13636" xr:uid="{00000000-0005-0000-0000-000074350000}"/>
    <cellStyle name="计算 2 7 8 8 3" xfId="13640" xr:uid="{00000000-0005-0000-0000-000078350000}"/>
    <cellStyle name="计算 2 7 8 8 3 2" xfId="32603" xr:uid="{00000000-0005-0000-0000-00008B7F0000}"/>
    <cellStyle name="计算 2 7 8 8 4" xfId="32606" xr:uid="{00000000-0005-0000-0000-00008E7F0000}"/>
    <cellStyle name="计算 2 7 8 8 4 2" xfId="32608" xr:uid="{00000000-0005-0000-0000-0000907F0000}"/>
    <cellStyle name="计算 2 7 8 8 5" xfId="32611" xr:uid="{00000000-0005-0000-0000-0000937F0000}"/>
    <cellStyle name="计算 2 7 8 9" xfId="32612" xr:uid="{00000000-0005-0000-0000-0000947F0000}"/>
    <cellStyle name="计算 2 7 8 9 2" xfId="13646" xr:uid="{00000000-0005-0000-0000-00007E350000}"/>
    <cellStyle name="计算 2 7 9" xfId="16526" xr:uid="{00000000-0005-0000-0000-0000BE400000}"/>
    <cellStyle name="计算 2 7 9 10" xfId="32615" xr:uid="{00000000-0005-0000-0000-0000977F0000}"/>
    <cellStyle name="计算 2 7 9 10 2" xfId="32617" xr:uid="{00000000-0005-0000-0000-0000997F0000}"/>
    <cellStyle name="计算 2 7 9 11" xfId="9923" xr:uid="{00000000-0005-0000-0000-0000F3260000}"/>
    <cellStyle name="计算 2 7 9 11 2" xfId="32620" xr:uid="{00000000-0005-0000-0000-00009C7F0000}"/>
    <cellStyle name="计算 2 7 9 12" xfId="20608" xr:uid="{00000000-0005-0000-0000-0000B0500000}"/>
    <cellStyle name="计算 2 7 9 12 2" xfId="32622" xr:uid="{00000000-0005-0000-0000-00009E7F0000}"/>
    <cellStyle name="计算 2 7 9 13" xfId="32624" xr:uid="{00000000-0005-0000-0000-0000A07F0000}"/>
    <cellStyle name="计算 2 7 9 14" xfId="32626" xr:uid="{00000000-0005-0000-0000-0000A27F0000}"/>
    <cellStyle name="计算 2 7 9 15" xfId="19103" xr:uid="{00000000-0005-0000-0000-0000CF4A0000}"/>
    <cellStyle name="计算 2 7 9 16" xfId="32628" xr:uid="{00000000-0005-0000-0000-0000A47F0000}"/>
    <cellStyle name="计算 2 7 9 2" xfId="16530" xr:uid="{00000000-0005-0000-0000-0000C2400000}"/>
    <cellStyle name="计算 2 7 9 2 2" xfId="31868" xr:uid="{00000000-0005-0000-0000-0000AC7C0000}"/>
    <cellStyle name="计算 2 7 9 2 2 2" xfId="31870" xr:uid="{00000000-0005-0000-0000-0000AE7C0000}"/>
    <cellStyle name="计算 2 7 9 2 3" xfId="31884" xr:uid="{00000000-0005-0000-0000-0000BC7C0000}"/>
    <cellStyle name="计算 2 7 9 2 3 2" xfId="31886" xr:uid="{00000000-0005-0000-0000-0000BE7C0000}"/>
    <cellStyle name="计算 2 7 9 2 4" xfId="31899" xr:uid="{00000000-0005-0000-0000-0000CB7C0000}"/>
    <cellStyle name="计算 2 7 9 2 4 2" xfId="31903" xr:uid="{00000000-0005-0000-0000-0000CF7C0000}"/>
    <cellStyle name="计算 2 7 9 2 5" xfId="31924" xr:uid="{00000000-0005-0000-0000-0000E47C0000}"/>
    <cellStyle name="计算 2 7 9 2 5 2" xfId="31926" xr:uid="{00000000-0005-0000-0000-0000E67C0000}"/>
    <cellStyle name="计算 2 7 9 2 6" xfId="11728" xr:uid="{00000000-0005-0000-0000-0000002E0000}"/>
    <cellStyle name="计算 2 7 9 2 7" xfId="32630" xr:uid="{00000000-0005-0000-0000-0000A67F0000}"/>
    <cellStyle name="计算 2 7 9 2 8" xfId="27070" xr:uid="{00000000-0005-0000-0000-0000EE690000}"/>
    <cellStyle name="计算 2 7 9 2 9" xfId="32631" xr:uid="{00000000-0005-0000-0000-0000A77F0000}"/>
    <cellStyle name="计算 2 7 9 3" xfId="11904" xr:uid="{00000000-0005-0000-0000-0000B02E0000}"/>
    <cellStyle name="计算 2 7 9 3 2" xfId="11776" xr:uid="{00000000-0005-0000-0000-0000302E0000}"/>
    <cellStyle name="计算 2 7 9 3 2 2" xfId="32633" xr:uid="{00000000-0005-0000-0000-0000A97F0000}"/>
    <cellStyle name="计算 2 7 9 3 3" xfId="32635" xr:uid="{00000000-0005-0000-0000-0000AB7F0000}"/>
    <cellStyle name="计算 2 7 9 3 3 2" xfId="32637" xr:uid="{00000000-0005-0000-0000-0000AD7F0000}"/>
    <cellStyle name="计算 2 7 9 3 4" xfId="32639" xr:uid="{00000000-0005-0000-0000-0000AF7F0000}"/>
    <cellStyle name="计算 2 7 9 3 4 2" xfId="32641" xr:uid="{00000000-0005-0000-0000-0000B17F0000}"/>
    <cellStyle name="计算 2 7 9 3 5" xfId="32643" xr:uid="{00000000-0005-0000-0000-0000B37F0000}"/>
    <cellStyle name="计算 2 7 9 3 5 2" xfId="32644" xr:uid="{00000000-0005-0000-0000-0000B47F0000}"/>
    <cellStyle name="计算 2 7 9 3 6" xfId="32646" xr:uid="{00000000-0005-0000-0000-0000B67F0000}"/>
    <cellStyle name="计算 2 7 9 4" xfId="11909" xr:uid="{00000000-0005-0000-0000-0000B52E0000}"/>
    <cellStyle name="计算 2 7 9 4 2" xfId="3928" xr:uid="{00000000-0005-0000-0000-0000880F0000}"/>
    <cellStyle name="计算 2 7 9 4 2 2" xfId="32648" xr:uid="{00000000-0005-0000-0000-0000B87F0000}"/>
    <cellStyle name="计算 2 7 9 4 3" xfId="32650" xr:uid="{00000000-0005-0000-0000-0000BA7F0000}"/>
    <cellStyle name="计算 2 7 9 4 3 2" xfId="32652" xr:uid="{00000000-0005-0000-0000-0000BC7F0000}"/>
    <cellStyle name="计算 2 7 9 4 4" xfId="32654" xr:uid="{00000000-0005-0000-0000-0000BE7F0000}"/>
    <cellStyle name="计算 2 7 9 4 4 2" xfId="32656" xr:uid="{00000000-0005-0000-0000-0000C07F0000}"/>
    <cellStyle name="计算 2 7 9 4 5" xfId="32658" xr:uid="{00000000-0005-0000-0000-0000C27F0000}"/>
    <cellStyle name="计算 2 7 9 4 5 2" xfId="32660" xr:uid="{00000000-0005-0000-0000-0000C47F0000}"/>
    <cellStyle name="计算 2 7 9 4 6" xfId="32662" xr:uid="{00000000-0005-0000-0000-0000C67F0000}"/>
    <cellStyle name="计算 2 7 9 5" xfId="11912" xr:uid="{00000000-0005-0000-0000-0000B82E0000}"/>
    <cellStyle name="计算 2 7 9 5 2" xfId="1900" xr:uid="{00000000-0005-0000-0000-00009C070000}"/>
    <cellStyle name="计算 2 7 9 5 2 2" xfId="32663" xr:uid="{00000000-0005-0000-0000-0000C77F0000}"/>
    <cellStyle name="计算 2 7 9 5 3" xfId="32665" xr:uid="{00000000-0005-0000-0000-0000C97F0000}"/>
    <cellStyle name="计算 2 7 9 5 3 2" xfId="32666" xr:uid="{00000000-0005-0000-0000-0000CA7F0000}"/>
    <cellStyle name="计算 2 7 9 5 4" xfId="32668" xr:uid="{00000000-0005-0000-0000-0000CC7F0000}"/>
    <cellStyle name="计算 2 7 9 5 4 2" xfId="32669" xr:uid="{00000000-0005-0000-0000-0000CD7F0000}"/>
    <cellStyle name="计算 2 7 9 5 5" xfId="32671" xr:uid="{00000000-0005-0000-0000-0000CF7F0000}"/>
    <cellStyle name="计算 2 7 9 5 5 2" xfId="32672" xr:uid="{00000000-0005-0000-0000-0000D07F0000}"/>
    <cellStyle name="计算 2 7 9 5 6" xfId="32674" xr:uid="{00000000-0005-0000-0000-0000D27F0000}"/>
    <cellStyle name="计算 2 7 9 6" xfId="11916" xr:uid="{00000000-0005-0000-0000-0000BC2E0000}"/>
    <cellStyle name="计算 2 7 9 6 2" xfId="32675" xr:uid="{00000000-0005-0000-0000-0000D37F0000}"/>
    <cellStyle name="计算 2 7 9 6 2 2" xfId="21703" xr:uid="{00000000-0005-0000-0000-0000F7540000}"/>
    <cellStyle name="计算 2 7 9 6 3" xfId="32676" xr:uid="{00000000-0005-0000-0000-0000D47F0000}"/>
    <cellStyle name="计算 2 7 9 6 3 2" xfId="21721" xr:uid="{00000000-0005-0000-0000-000009550000}"/>
    <cellStyle name="计算 2 7 9 6 4" xfId="26494" xr:uid="{00000000-0005-0000-0000-0000AE670000}"/>
    <cellStyle name="计算 2 7 9 6 4 2" xfId="21745" xr:uid="{00000000-0005-0000-0000-000021550000}"/>
    <cellStyle name="计算 2 7 9 6 5" xfId="32677" xr:uid="{00000000-0005-0000-0000-0000D57F0000}"/>
    <cellStyle name="计算 2 7 9 6 5 2" xfId="21761" xr:uid="{00000000-0005-0000-0000-000031550000}"/>
    <cellStyle name="计算 2 7 9 6 6" xfId="32679" xr:uid="{00000000-0005-0000-0000-0000D77F0000}"/>
    <cellStyle name="计算 2 7 9 7" xfId="11925" xr:uid="{00000000-0005-0000-0000-0000C52E0000}"/>
    <cellStyle name="计算 2 7 9 7 2" xfId="32682" xr:uid="{00000000-0005-0000-0000-0000DA7F0000}"/>
    <cellStyle name="计算 2 7 9 7 2 2" xfId="32683" xr:uid="{00000000-0005-0000-0000-0000DB7F0000}"/>
    <cellStyle name="计算 2 7 9 7 3" xfId="32685" xr:uid="{00000000-0005-0000-0000-0000DD7F0000}"/>
    <cellStyle name="计算 2 7 9 7 3 2" xfId="32686" xr:uid="{00000000-0005-0000-0000-0000DE7F0000}"/>
    <cellStyle name="计算 2 7 9 7 4" xfId="26503" xr:uid="{00000000-0005-0000-0000-0000B7670000}"/>
    <cellStyle name="计算 2 7 9 7 4 2" xfId="32688" xr:uid="{00000000-0005-0000-0000-0000E07F0000}"/>
    <cellStyle name="计算 2 7 9 7 5" xfId="32691" xr:uid="{00000000-0005-0000-0000-0000E37F0000}"/>
    <cellStyle name="计算 2 7 9 7 5 2" xfId="32694" xr:uid="{00000000-0005-0000-0000-0000E67F0000}"/>
    <cellStyle name="计算 2 7 9 7 6" xfId="32697" xr:uid="{00000000-0005-0000-0000-0000E97F0000}"/>
    <cellStyle name="计算 2 7 9 8" xfId="12853" xr:uid="{00000000-0005-0000-0000-000065320000}"/>
    <cellStyle name="计算 2 7 9 8 2" xfId="32702" xr:uid="{00000000-0005-0000-0000-0000EE7F0000}"/>
    <cellStyle name="计算 2 7 9 8 2 2" xfId="32704" xr:uid="{00000000-0005-0000-0000-0000F07F0000}"/>
    <cellStyle name="计算 2 7 9 8 3" xfId="32707" xr:uid="{00000000-0005-0000-0000-0000F37F0000}"/>
    <cellStyle name="计算 2 7 9 8 3 2" xfId="32709" xr:uid="{00000000-0005-0000-0000-0000F57F0000}"/>
    <cellStyle name="计算 2 7 9 8 4" xfId="26511" xr:uid="{00000000-0005-0000-0000-0000BF670000}"/>
    <cellStyle name="计算 2 7 9 8 4 2" xfId="32712" xr:uid="{00000000-0005-0000-0000-0000F87F0000}"/>
    <cellStyle name="计算 2 7 9 8 5" xfId="32717" xr:uid="{00000000-0005-0000-0000-0000FD7F0000}"/>
    <cellStyle name="计算 2 7 9 9" xfId="12856" xr:uid="{00000000-0005-0000-0000-000068320000}"/>
    <cellStyle name="计算 2 7 9 9 2" xfId="32720" xr:uid="{00000000-0005-0000-0000-000000800000}"/>
    <cellStyle name="计算 2 8" xfId="32721" xr:uid="{00000000-0005-0000-0000-000001800000}"/>
    <cellStyle name="计算 2 8 10" xfId="32722" xr:uid="{00000000-0005-0000-0000-000002800000}"/>
    <cellStyle name="计算 2 8 10 10" xfId="1999" xr:uid="{00000000-0005-0000-0000-0000FF070000}"/>
    <cellStyle name="计算 2 8 10 10 2" xfId="11080" xr:uid="{00000000-0005-0000-0000-0000782B0000}"/>
    <cellStyle name="计算 2 8 10 11" xfId="13998" xr:uid="{00000000-0005-0000-0000-0000DE360000}"/>
    <cellStyle name="计算 2 8 10 11 2" xfId="1430" xr:uid="{00000000-0005-0000-0000-0000C6050000}"/>
    <cellStyle name="计算 2 8 10 12" xfId="13567" xr:uid="{00000000-0005-0000-0000-00002F350000}"/>
    <cellStyle name="计算 2 8 10 12 2" xfId="1454" xr:uid="{00000000-0005-0000-0000-0000DE050000}"/>
    <cellStyle name="计算 2 8 10 13" xfId="14003" xr:uid="{00000000-0005-0000-0000-0000E3360000}"/>
    <cellStyle name="计算 2 8 10 14" xfId="32723" xr:uid="{00000000-0005-0000-0000-000003800000}"/>
    <cellStyle name="计算 2 8 10 15" xfId="32725" xr:uid="{00000000-0005-0000-0000-000005800000}"/>
    <cellStyle name="计算 2 8 10 16" xfId="14662" xr:uid="{00000000-0005-0000-0000-000076390000}"/>
    <cellStyle name="计算 2 8 10 2" xfId="1715" xr:uid="{00000000-0005-0000-0000-0000E3060000}"/>
    <cellStyle name="计算 2 8 10 2 2" xfId="32726" xr:uid="{00000000-0005-0000-0000-000006800000}"/>
    <cellStyle name="计算 2 8 10 2 2 2" xfId="32727" xr:uid="{00000000-0005-0000-0000-000007800000}"/>
    <cellStyle name="计算 2 8 10 2 3" xfId="29603" xr:uid="{00000000-0005-0000-0000-0000D3730000}"/>
    <cellStyle name="计算 2 8 10 2 3 2" xfId="32728" xr:uid="{00000000-0005-0000-0000-000008800000}"/>
    <cellStyle name="计算 2 8 10 2 4" xfId="14468" xr:uid="{00000000-0005-0000-0000-0000B4380000}"/>
    <cellStyle name="计算 2 8 10 2 4 2" xfId="32729" xr:uid="{00000000-0005-0000-0000-000009800000}"/>
    <cellStyle name="计算 2 8 10 2 5" xfId="32730" xr:uid="{00000000-0005-0000-0000-00000A800000}"/>
    <cellStyle name="计算 2 8 10 2 5 2" xfId="32732" xr:uid="{00000000-0005-0000-0000-00000C800000}"/>
    <cellStyle name="计算 2 8 10 2 6" xfId="32733" xr:uid="{00000000-0005-0000-0000-00000D800000}"/>
    <cellStyle name="计算 2 8 10 2 7" xfId="31842" xr:uid="{00000000-0005-0000-0000-0000927C0000}"/>
    <cellStyle name="计算 2 8 10 2 8" xfId="23311" xr:uid="{00000000-0005-0000-0000-00003F5B0000}"/>
    <cellStyle name="计算 2 8 10 2 9" xfId="32734" xr:uid="{00000000-0005-0000-0000-00000E800000}"/>
    <cellStyle name="计算 2 8 10 3" xfId="1729" xr:uid="{00000000-0005-0000-0000-0000F1060000}"/>
    <cellStyle name="计算 2 8 10 3 2" xfId="32736" xr:uid="{00000000-0005-0000-0000-000010800000}"/>
    <cellStyle name="计算 2 8 10 3 2 2" xfId="32738" xr:uid="{00000000-0005-0000-0000-000012800000}"/>
    <cellStyle name="计算 2 8 10 3 3" xfId="29608" xr:uid="{00000000-0005-0000-0000-0000D8730000}"/>
    <cellStyle name="计算 2 8 10 3 3 2" xfId="32740" xr:uid="{00000000-0005-0000-0000-000014800000}"/>
    <cellStyle name="计算 2 8 10 3 4" xfId="32743" xr:uid="{00000000-0005-0000-0000-000017800000}"/>
    <cellStyle name="计算 2 8 10 3 4 2" xfId="32746" xr:uid="{00000000-0005-0000-0000-00001A800000}"/>
    <cellStyle name="计算 2 8 10 3 5" xfId="32748" xr:uid="{00000000-0005-0000-0000-00001C800000}"/>
    <cellStyle name="计算 2 8 10 3 5 2" xfId="32750" xr:uid="{00000000-0005-0000-0000-00001E800000}"/>
    <cellStyle name="计算 2 8 10 3 6" xfId="32752" xr:uid="{00000000-0005-0000-0000-000020800000}"/>
    <cellStyle name="计算 2 8 10 4" xfId="1757" xr:uid="{00000000-0005-0000-0000-00000D070000}"/>
    <cellStyle name="计算 2 8 10 4 2" xfId="32753" xr:uid="{00000000-0005-0000-0000-000021800000}"/>
    <cellStyle name="计算 2 8 10 4 2 2" xfId="32754" xr:uid="{00000000-0005-0000-0000-000022800000}"/>
    <cellStyle name="计算 2 8 10 4 3" xfId="29613" xr:uid="{00000000-0005-0000-0000-0000DD730000}"/>
    <cellStyle name="计算 2 8 10 4 3 2" xfId="32755" xr:uid="{00000000-0005-0000-0000-000023800000}"/>
    <cellStyle name="计算 2 8 10 4 4" xfId="32757" xr:uid="{00000000-0005-0000-0000-000025800000}"/>
    <cellStyle name="计算 2 8 10 4 4 2" xfId="32760" xr:uid="{00000000-0005-0000-0000-000028800000}"/>
    <cellStyle name="计算 2 8 10 4 5" xfId="32761" xr:uid="{00000000-0005-0000-0000-000029800000}"/>
    <cellStyle name="计算 2 8 10 4 5 2" xfId="32762" xr:uid="{00000000-0005-0000-0000-00002A800000}"/>
    <cellStyle name="计算 2 8 10 4 6" xfId="32763" xr:uid="{00000000-0005-0000-0000-00002B800000}"/>
    <cellStyle name="计算 2 8 10 5" xfId="1794" xr:uid="{00000000-0005-0000-0000-000032070000}"/>
    <cellStyle name="计算 2 8 10 5 2" xfId="32764" xr:uid="{00000000-0005-0000-0000-00002C800000}"/>
    <cellStyle name="计算 2 8 10 5 2 2" xfId="32765" xr:uid="{00000000-0005-0000-0000-00002D800000}"/>
    <cellStyle name="计算 2 8 10 5 3" xfId="29619" xr:uid="{00000000-0005-0000-0000-0000E3730000}"/>
    <cellStyle name="计算 2 8 10 5 3 2" xfId="32766" xr:uid="{00000000-0005-0000-0000-00002E800000}"/>
    <cellStyle name="计算 2 8 10 5 4" xfId="3866" xr:uid="{00000000-0005-0000-0000-00004A0F0000}"/>
    <cellStyle name="计算 2 8 10 5 4 2" xfId="32767" xr:uid="{00000000-0005-0000-0000-00002F800000}"/>
    <cellStyle name="计算 2 8 10 5 5" xfId="32768" xr:uid="{00000000-0005-0000-0000-000030800000}"/>
    <cellStyle name="计算 2 8 10 5 5 2" xfId="32769" xr:uid="{00000000-0005-0000-0000-000031800000}"/>
    <cellStyle name="计算 2 8 10 5 6" xfId="32770" xr:uid="{00000000-0005-0000-0000-000032800000}"/>
    <cellStyle name="计算 2 8 10 6" xfId="32771" xr:uid="{00000000-0005-0000-0000-000033800000}"/>
    <cellStyle name="计算 2 8 10 6 2" xfId="32772" xr:uid="{00000000-0005-0000-0000-000034800000}"/>
    <cellStyle name="计算 2 8 10 6 2 2" xfId="32773" xr:uid="{00000000-0005-0000-0000-000035800000}"/>
    <cellStyle name="计算 2 8 10 6 3" xfId="3921" xr:uid="{00000000-0005-0000-0000-0000810F0000}"/>
    <cellStyle name="计算 2 8 10 6 3 2" xfId="4930" xr:uid="{00000000-0005-0000-0000-000072130000}"/>
    <cellStyle name="计算 2 8 10 6 4" xfId="4946" xr:uid="{00000000-0005-0000-0000-000082130000}"/>
    <cellStyle name="计算 2 8 10 6 4 2" xfId="4958" xr:uid="{00000000-0005-0000-0000-00008E130000}"/>
    <cellStyle name="计算 2 8 10 6 5" xfId="4965" xr:uid="{00000000-0005-0000-0000-000095130000}"/>
    <cellStyle name="计算 2 8 10 6 5 2" xfId="4976" xr:uid="{00000000-0005-0000-0000-0000A0130000}"/>
    <cellStyle name="计算 2 8 10 6 6" xfId="666" xr:uid="{00000000-0005-0000-0000-0000CA020000}"/>
    <cellStyle name="计算 2 8 10 7" xfId="32775" xr:uid="{00000000-0005-0000-0000-000037800000}"/>
    <cellStyle name="计算 2 8 10 7 2" xfId="32776" xr:uid="{00000000-0005-0000-0000-000038800000}"/>
    <cellStyle name="计算 2 8 10 7 2 2" xfId="32777" xr:uid="{00000000-0005-0000-0000-000039800000}"/>
    <cellStyle name="计算 2 8 10 7 3" xfId="32779" xr:uid="{00000000-0005-0000-0000-00003B800000}"/>
    <cellStyle name="计算 2 8 10 7 3 2" xfId="32780" xr:uid="{00000000-0005-0000-0000-00003C800000}"/>
    <cellStyle name="计算 2 8 10 7 4" xfId="63" xr:uid="{00000000-0005-0000-0000-000044000000}"/>
    <cellStyle name="计算 2 8 10 7 4 2" xfId="32781" xr:uid="{00000000-0005-0000-0000-00003D800000}"/>
    <cellStyle name="计算 2 8 10 7 5" xfId="32782" xr:uid="{00000000-0005-0000-0000-00003E800000}"/>
    <cellStyle name="计算 2 8 10 7 5 2" xfId="32783" xr:uid="{00000000-0005-0000-0000-00003F800000}"/>
    <cellStyle name="计算 2 8 10 7 6" xfId="705" xr:uid="{00000000-0005-0000-0000-0000F1020000}"/>
    <cellStyle name="计算 2 8 10 8" xfId="32785" xr:uid="{00000000-0005-0000-0000-000041800000}"/>
    <cellStyle name="计算 2 8 10 8 2" xfId="32788" xr:uid="{00000000-0005-0000-0000-000044800000}"/>
    <cellStyle name="计算 2 8 10 8 2 2" xfId="32790" xr:uid="{00000000-0005-0000-0000-000046800000}"/>
    <cellStyle name="计算 2 8 10 8 3" xfId="32793" xr:uid="{00000000-0005-0000-0000-000049800000}"/>
    <cellStyle name="计算 2 8 10 8 3 2" xfId="32795" xr:uid="{00000000-0005-0000-0000-00004B800000}"/>
    <cellStyle name="计算 2 8 10 8 4" xfId="7601" xr:uid="{00000000-0005-0000-0000-0000E11D0000}"/>
    <cellStyle name="计算 2 8 10 8 4 2" xfId="32796" xr:uid="{00000000-0005-0000-0000-00004C800000}"/>
    <cellStyle name="计算 2 8 10 8 5" xfId="32798" xr:uid="{00000000-0005-0000-0000-00004E800000}"/>
    <cellStyle name="计算 2 8 10 9" xfId="32799" xr:uid="{00000000-0005-0000-0000-00004F800000}"/>
    <cellStyle name="计算 2 8 10 9 2" xfId="32800" xr:uid="{00000000-0005-0000-0000-000050800000}"/>
    <cellStyle name="计算 2 8 11" xfId="32801" xr:uid="{00000000-0005-0000-0000-000051800000}"/>
    <cellStyle name="计算 2 8 11 10" xfId="18914" xr:uid="{00000000-0005-0000-0000-0000124A0000}"/>
    <cellStyle name="计算 2 8 11 10 2" xfId="32802" xr:uid="{00000000-0005-0000-0000-000052800000}"/>
    <cellStyle name="计算 2 8 11 11" xfId="32803" xr:uid="{00000000-0005-0000-0000-000053800000}"/>
    <cellStyle name="计算 2 8 11 11 2" xfId="32804" xr:uid="{00000000-0005-0000-0000-000054800000}"/>
    <cellStyle name="计算 2 8 11 12" xfId="32805" xr:uid="{00000000-0005-0000-0000-000055800000}"/>
    <cellStyle name="计算 2 8 11 12 2" xfId="32807" xr:uid="{00000000-0005-0000-0000-000057800000}"/>
    <cellStyle name="计算 2 8 11 13" xfId="29979" xr:uid="{00000000-0005-0000-0000-00004B750000}"/>
    <cellStyle name="计算 2 8 11 14" xfId="32809" xr:uid="{00000000-0005-0000-0000-000059800000}"/>
    <cellStyle name="计算 2 8 11 15" xfId="32811" xr:uid="{00000000-0005-0000-0000-00005B800000}"/>
    <cellStyle name="计算 2 8 11 16" xfId="32814" xr:uid="{00000000-0005-0000-0000-00005E800000}"/>
    <cellStyle name="计算 2 8 11 2" xfId="1971" xr:uid="{00000000-0005-0000-0000-0000E3070000}"/>
    <cellStyle name="计算 2 8 11 2 2" xfId="29570" xr:uid="{00000000-0005-0000-0000-0000B2730000}"/>
    <cellStyle name="计算 2 8 11 2 2 2" xfId="32815" xr:uid="{00000000-0005-0000-0000-00005F800000}"/>
    <cellStyle name="计算 2 8 11 2 3" xfId="29624" xr:uid="{00000000-0005-0000-0000-0000E8730000}"/>
    <cellStyle name="计算 2 8 11 2 3 2" xfId="32816" xr:uid="{00000000-0005-0000-0000-000060800000}"/>
    <cellStyle name="计算 2 8 11 2 4" xfId="14507" xr:uid="{00000000-0005-0000-0000-0000DB380000}"/>
    <cellStyle name="计算 2 8 11 2 4 2" xfId="32817" xr:uid="{00000000-0005-0000-0000-000061800000}"/>
    <cellStyle name="计算 2 8 11 2 5" xfId="32820" xr:uid="{00000000-0005-0000-0000-000064800000}"/>
    <cellStyle name="计算 2 8 11 2 5 2" xfId="32823" xr:uid="{00000000-0005-0000-0000-000067800000}"/>
    <cellStyle name="计算 2 8 11 2 6" xfId="32825" xr:uid="{00000000-0005-0000-0000-000069800000}"/>
    <cellStyle name="计算 2 8 11 3" xfId="32826" xr:uid="{00000000-0005-0000-0000-00006A800000}"/>
    <cellStyle name="计算 2 8 11 3 2" xfId="29594" xr:uid="{00000000-0005-0000-0000-0000CA730000}"/>
    <cellStyle name="计算 2 8 11 3 2 2" xfId="32829" xr:uid="{00000000-0005-0000-0000-00006D800000}"/>
    <cellStyle name="计算 2 8 11 3 3" xfId="29634" xr:uid="{00000000-0005-0000-0000-0000F2730000}"/>
    <cellStyle name="计算 2 8 11 3 3 2" xfId="32831" xr:uid="{00000000-0005-0000-0000-00006F800000}"/>
    <cellStyle name="计算 2 8 11 3 4" xfId="32834" xr:uid="{00000000-0005-0000-0000-000072800000}"/>
    <cellStyle name="计算 2 8 11 3 4 2" xfId="32837" xr:uid="{00000000-0005-0000-0000-000075800000}"/>
    <cellStyle name="计算 2 8 11 3 5" xfId="32839" xr:uid="{00000000-0005-0000-0000-000077800000}"/>
    <cellStyle name="计算 2 8 11 3 5 2" xfId="32842" xr:uid="{00000000-0005-0000-0000-00007A800000}"/>
    <cellStyle name="计算 2 8 11 3 6" xfId="30007" xr:uid="{00000000-0005-0000-0000-000067750000}"/>
    <cellStyle name="计算 2 8 11 4" xfId="32843" xr:uid="{00000000-0005-0000-0000-00007B800000}"/>
    <cellStyle name="计算 2 8 11 4 2" xfId="29621" xr:uid="{00000000-0005-0000-0000-0000E5730000}"/>
    <cellStyle name="计算 2 8 11 4 2 2" xfId="3920" xr:uid="{00000000-0005-0000-0000-0000800F0000}"/>
    <cellStyle name="计算 2 8 11 4 3" xfId="29638" xr:uid="{00000000-0005-0000-0000-0000F6730000}"/>
    <cellStyle name="计算 2 8 11 4 3 2" xfId="32778" xr:uid="{00000000-0005-0000-0000-00003A800000}"/>
    <cellStyle name="计算 2 8 11 4 4" xfId="32846" xr:uid="{00000000-0005-0000-0000-00007E800000}"/>
    <cellStyle name="计算 2 8 11 4 4 2" xfId="32792" xr:uid="{00000000-0005-0000-0000-000048800000}"/>
    <cellStyle name="计算 2 8 11 4 5" xfId="32848" xr:uid="{00000000-0005-0000-0000-000080800000}"/>
    <cellStyle name="计算 2 8 11 4 5 2" xfId="32850" xr:uid="{00000000-0005-0000-0000-000082800000}"/>
    <cellStyle name="计算 2 8 11 4 6" xfId="32851" xr:uid="{00000000-0005-0000-0000-000083800000}"/>
    <cellStyle name="计算 2 8 11 5" xfId="32852" xr:uid="{00000000-0005-0000-0000-000084800000}"/>
    <cellStyle name="计算 2 8 11 5 2" xfId="32853" xr:uid="{00000000-0005-0000-0000-000085800000}"/>
    <cellStyle name="计算 2 8 11 5 2 2" xfId="32855" xr:uid="{00000000-0005-0000-0000-000087800000}"/>
    <cellStyle name="计算 2 8 11 5 3" xfId="32856" xr:uid="{00000000-0005-0000-0000-000088800000}"/>
    <cellStyle name="计算 2 8 11 5 3 2" xfId="32858" xr:uid="{00000000-0005-0000-0000-00008A800000}"/>
    <cellStyle name="计算 2 8 11 5 4" xfId="4332" xr:uid="{00000000-0005-0000-0000-00001C110000}"/>
    <cellStyle name="计算 2 8 11 5 4 2" xfId="32860" xr:uid="{00000000-0005-0000-0000-00008C800000}"/>
    <cellStyle name="计算 2 8 11 5 5" xfId="32861" xr:uid="{00000000-0005-0000-0000-00008D800000}"/>
    <cellStyle name="计算 2 8 11 5 5 2" xfId="32862" xr:uid="{00000000-0005-0000-0000-00008E800000}"/>
    <cellStyle name="计算 2 8 11 5 6" xfId="32863" xr:uid="{00000000-0005-0000-0000-00008F800000}"/>
    <cellStyle name="计算 2 8 11 6" xfId="32864" xr:uid="{00000000-0005-0000-0000-000090800000}"/>
    <cellStyle name="计算 2 8 11 6 2" xfId="32865" xr:uid="{00000000-0005-0000-0000-000091800000}"/>
    <cellStyle name="计算 2 8 11 6 2 2" xfId="32866" xr:uid="{00000000-0005-0000-0000-000092800000}"/>
    <cellStyle name="计算 2 8 11 6 3" xfId="32854" xr:uid="{00000000-0005-0000-0000-000086800000}"/>
    <cellStyle name="计算 2 8 11 6 3 2" xfId="32867" xr:uid="{00000000-0005-0000-0000-000093800000}"/>
    <cellStyle name="计算 2 8 11 6 4" xfId="8611" xr:uid="{00000000-0005-0000-0000-0000D3210000}"/>
    <cellStyle name="计算 2 8 11 6 4 2" xfId="32868" xr:uid="{00000000-0005-0000-0000-000094800000}"/>
    <cellStyle name="计算 2 8 11 6 5" xfId="32869" xr:uid="{00000000-0005-0000-0000-000095800000}"/>
    <cellStyle name="计算 2 8 11 6 5 2" xfId="32870" xr:uid="{00000000-0005-0000-0000-000096800000}"/>
    <cellStyle name="计算 2 8 11 6 6" xfId="16141" xr:uid="{00000000-0005-0000-0000-00003D3F0000}"/>
    <cellStyle name="计算 2 8 11 7" xfId="32871" xr:uid="{00000000-0005-0000-0000-000097800000}"/>
    <cellStyle name="计算 2 8 11 7 2" xfId="32872" xr:uid="{00000000-0005-0000-0000-000098800000}"/>
    <cellStyle name="计算 2 8 11 7 2 2" xfId="32873" xr:uid="{00000000-0005-0000-0000-000099800000}"/>
    <cellStyle name="计算 2 8 11 7 3" xfId="32857" xr:uid="{00000000-0005-0000-0000-000089800000}"/>
    <cellStyle name="计算 2 8 11 7 3 2" xfId="32874" xr:uid="{00000000-0005-0000-0000-00009A800000}"/>
    <cellStyle name="计算 2 8 11 7 4" xfId="8619" xr:uid="{00000000-0005-0000-0000-0000DB210000}"/>
    <cellStyle name="计算 2 8 11 7 4 2" xfId="32875" xr:uid="{00000000-0005-0000-0000-00009B800000}"/>
    <cellStyle name="计算 2 8 11 7 5" xfId="32877" xr:uid="{00000000-0005-0000-0000-00009D800000}"/>
    <cellStyle name="计算 2 8 11 7 5 2" xfId="32878" xr:uid="{00000000-0005-0000-0000-00009E800000}"/>
    <cellStyle name="计算 2 8 11 7 6" xfId="16148" xr:uid="{00000000-0005-0000-0000-0000443F0000}"/>
    <cellStyle name="计算 2 8 11 8" xfId="32880" xr:uid="{00000000-0005-0000-0000-0000A0800000}"/>
    <cellStyle name="计算 2 8 11 8 2" xfId="32881" xr:uid="{00000000-0005-0000-0000-0000A1800000}"/>
    <cellStyle name="计算 2 8 11 8 2 2" xfId="32882" xr:uid="{00000000-0005-0000-0000-0000A2800000}"/>
    <cellStyle name="计算 2 8 11 8 3" xfId="32859" xr:uid="{00000000-0005-0000-0000-00008B800000}"/>
    <cellStyle name="计算 2 8 11 8 3 2" xfId="32883" xr:uid="{00000000-0005-0000-0000-0000A3800000}"/>
    <cellStyle name="计算 2 8 11 8 4" xfId="8629" xr:uid="{00000000-0005-0000-0000-0000E5210000}"/>
    <cellStyle name="计算 2 8 11 8 4 2" xfId="32884" xr:uid="{00000000-0005-0000-0000-0000A4800000}"/>
    <cellStyle name="计算 2 8 11 8 5" xfId="32885" xr:uid="{00000000-0005-0000-0000-0000A5800000}"/>
    <cellStyle name="计算 2 8 11 9" xfId="32886" xr:uid="{00000000-0005-0000-0000-0000A6800000}"/>
    <cellStyle name="计算 2 8 11 9 2" xfId="32887" xr:uid="{00000000-0005-0000-0000-0000A7800000}"/>
    <cellStyle name="计算 2 8 12" xfId="9855" xr:uid="{00000000-0005-0000-0000-0000AF260000}"/>
    <cellStyle name="计算 2 8 12 2" xfId="5496" xr:uid="{00000000-0005-0000-0000-0000A8150000}"/>
    <cellStyle name="计算 2 8 12 2 2" xfId="32888" xr:uid="{00000000-0005-0000-0000-0000A8800000}"/>
    <cellStyle name="计算 2 8 12 3" xfId="32890" xr:uid="{00000000-0005-0000-0000-0000AA800000}"/>
    <cellStyle name="计算 2 8 12 3 2" xfId="32892" xr:uid="{00000000-0005-0000-0000-0000AC800000}"/>
    <cellStyle name="计算 2 8 12 4" xfId="32894" xr:uid="{00000000-0005-0000-0000-0000AE800000}"/>
    <cellStyle name="计算 2 8 12 4 2" xfId="32896" xr:uid="{00000000-0005-0000-0000-0000B0800000}"/>
    <cellStyle name="计算 2 8 12 5" xfId="32899" xr:uid="{00000000-0005-0000-0000-0000B3800000}"/>
    <cellStyle name="计算 2 8 12 5 2" xfId="32901" xr:uid="{00000000-0005-0000-0000-0000B5800000}"/>
    <cellStyle name="计算 2 8 12 6" xfId="32904" xr:uid="{00000000-0005-0000-0000-0000B8800000}"/>
    <cellStyle name="计算 2 8 12 7" xfId="32906" xr:uid="{00000000-0005-0000-0000-0000BA800000}"/>
    <cellStyle name="计算 2 8 12 8" xfId="32910" xr:uid="{00000000-0005-0000-0000-0000BE800000}"/>
    <cellStyle name="计算 2 8 12 9" xfId="32912" xr:uid="{00000000-0005-0000-0000-0000C0800000}"/>
    <cellStyle name="计算 2 8 13" xfId="28169" xr:uid="{00000000-0005-0000-0000-0000396E0000}"/>
    <cellStyle name="计算 2 8 13 2" xfId="5532" xr:uid="{00000000-0005-0000-0000-0000CC150000}"/>
    <cellStyle name="计算 2 8 13 2 2" xfId="32913" xr:uid="{00000000-0005-0000-0000-0000C1800000}"/>
    <cellStyle name="计算 2 8 13 3" xfId="19646" xr:uid="{00000000-0005-0000-0000-0000EE4C0000}"/>
    <cellStyle name="计算 2 8 13 3 2" xfId="32915" xr:uid="{00000000-0005-0000-0000-0000C3800000}"/>
    <cellStyle name="计算 2 8 13 4" xfId="32917" xr:uid="{00000000-0005-0000-0000-0000C5800000}"/>
    <cellStyle name="计算 2 8 13 4 2" xfId="32918" xr:uid="{00000000-0005-0000-0000-0000C6800000}"/>
    <cellStyle name="计算 2 8 13 5" xfId="32920" xr:uid="{00000000-0005-0000-0000-0000C8800000}"/>
    <cellStyle name="计算 2 8 13 5 2" xfId="32921" xr:uid="{00000000-0005-0000-0000-0000C9800000}"/>
    <cellStyle name="计算 2 8 13 6" xfId="17068" xr:uid="{00000000-0005-0000-0000-0000DC420000}"/>
    <cellStyle name="计算 2 8 14" xfId="28547" xr:uid="{00000000-0005-0000-0000-0000B36F0000}"/>
    <cellStyle name="计算 2 8 14 2" xfId="5579" xr:uid="{00000000-0005-0000-0000-0000FB150000}"/>
    <cellStyle name="计算 2 8 14 2 2" xfId="32923" xr:uid="{00000000-0005-0000-0000-0000CB800000}"/>
    <cellStyle name="计算 2 8 14 3" xfId="19650" xr:uid="{00000000-0005-0000-0000-0000F24C0000}"/>
    <cellStyle name="计算 2 8 14 3 2" xfId="32925" xr:uid="{00000000-0005-0000-0000-0000CD800000}"/>
    <cellStyle name="计算 2 8 14 4" xfId="32927" xr:uid="{00000000-0005-0000-0000-0000CF800000}"/>
    <cellStyle name="计算 2 8 14 4 2" xfId="32928" xr:uid="{00000000-0005-0000-0000-0000D0800000}"/>
    <cellStyle name="计算 2 8 14 5" xfId="32930" xr:uid="{00000000-0005-0000-0000-0000D2800000}"/>
    <cellStyle name="计算 2 8 14 5 2" xfId="23404" xr:uid="{00000000-0005-0000-0000-00009C5B0000}"/>
    <cellStyle name="计算 2 8 14 6" xfId="17077" xr:uid="{00000000-0005-0000-0000-0000E5420000}"/>
    <cellStyle name="计算 2 8 15" xfId="28551" xr:uid="{00000000-0005-0000-0000-0000B76F0000}"/>
    <cellStyle name="计算 2 8 15 2" xfId="3999" xr:uid="{00000000-0005-0000-0000-0000CF0F0000}"/>
    <cellStyle name="计算 2 8 15 2 2" xfId="32931" xr:uid="{00000000-0005-0000-0000-0000D3800000}"/>
    <cellStyle name="计算 2 8 15 3" xfId="19655" xr:uid="{00000000-0005-0000-0000-0000F74C0000}"/>
    <cellStyle name="计算 2 8 15 3 2" xfId="32934" xr:uid="{00000000-0005-0000-0000-0000D6800000}"/>
    <cellStyle name="计算 2 8 15 4" xfId="32936" xr:uid="{00000000-0005-0000-0000-0000D8800000}"/>
    <cellStyle name="计算 2 8 15 4 2" xfId="32937" xr:uid="{00000000-0005-0000-0000-0000D9800000}"/>
    <cellStyle name="计算 2 8 15 5" xfId="24798" xr:uid="{00000000-0005-0000-0000-00000E610000}"/>
    <cellStyle name="计算 2 8 15 5 2" xfId="32939" xr:uid="{00000000-0005-0000-0000-0000DB800000}"/>
    <cellStyle name="计算 2 8 15 6" xfId="17083" xr:uid="{00000000-0005-0000-0000-0000EB420000}"/>
    <cellStyle name="计算 2 8 16" xfId="28555" xr:uid="{00000000-0005-0000-0000-0000BB6F0000}"/>
    <cellStyle name="计算 2 8 16 2" xfId="28559" xr:uid="{00000000-0005-0000-0000-0000BF6F0000}"/>
    <cellStyle name="计算 2 8 16 2 2" xfId="30715" xr:uid="{00000000-0005-0000-0000-00002B780000}"/>
    <cellStyle name="计算 2 8 16 3" xfId="19661" xr:uid="{00000000-0005-0000-0000-0000FD4C0000}"/>
    <cellStyle name="计算 2 8 16 3 2" xfId="30733" xr:uid="{00000000-0005-0000-0000-00003D780000}"/>
    <cellStyle name="计算 2 8 16 4" xfId="32941" xr:uid="{00000000-0005-0000-0000-0000DD800000}"/>
    <cellStyle name="计算 2 8 16 4 2" xfId="30755" xr:uid="{00000000-0005-0000-0000-000053780000}"/>
    <cellStyle name="计算 2 8 16 5" xfId="24805" xr:uid="{00000000-0005-0000-0000-000015610000}"/>
    <cellStyle name="计算 2 8 16 5 2" xfId="32942" xr:uid="{00000000-0005-0000-0000-0000DE800000}"/>
    <cellStyle name="计算 2 8 16 6" xfId="17086" xr:uid="{00000000-0005-0000-0000-0000EE420000}"/>
    <cellStyle name="计算 2 8 17" xfId="3211" xr:uid="{00000000-0005-0000-0000-0000BB0C0000}"/>
    <cellStyle name="计算 2 8 17 2" xfId="19467" xr:uid="{00000000-0005-0000-0000-00003B4C0000}"/>
    <cellStyle name="计算 2 8 17 2 2" xfId="19472" xr:uid="{00000000-0005-0000-0000-0000404C0000}"/>
    <cellStyle name="计算 2 8 17 3" xfId="19514" xr:uid="{00000000-0005-0000-0000-00006A4C0000}"/>
    <cellStyle name="计算 2 8 17 3 2" xfId="19517" xr:uid="{00000000-0005-0000-0000-00006D4C0000}"/>
    <cellStyle name="计算 2 8 17 4" xfId="19541" xr:uid="{00000000-0005-0000-0000-0000854C0000}"/>
    <cellStyle name="计算 2 8 17 4 2" xfId="19545" xr:uid="{00000000-0005-0000-0000-0000894C0000}"/>
    <cellStyle name="计算 2 8 17 5" xfId="19566" xr:uid="{00000000-0005-0000-0000-00009E4C0000}"/>
    <cellStyle name="计算 2 8 17 5 2" xfId="19574" xr:uid="{00000000-0005-0000-0000-0000A64C0000}"/>
    <cellStyle name="计算 2 8 17 6" xfId="19586" xr:uid="{00000000-0005-0000-0000-0000B24C0000}"/>
    <cellStyle name="计算 2 8 18" xfId="32946" xr:uid="{00000000-0005-0000-0000-0000E2800000}"/>
    <cellStyle name="计算 2 8 18 2" xfId="19640" xr:uid="{00000000-0005-0000-0000-0000E84C0000}"/>
    <cellStyle name="计算 2 8 18 2 2" xfId="19644" xr:uid="{00000000-0005-0000-0000-0000EC4C0000}"/>
    <cellStyle name="计算 2 8 18 3" xfId="19668" xr:uid="{00000000-0005-0000-0000-0000044D0000}"/>
    <cellStyle name="计算 2 8 18 3 2" xfId="10422" xr:uid="{00000000-0005-0000-0000-0000E6280000}"/>
    <cellStyle name="计算 2 8 18 4" xfId="19683" xr:uid="{00000000-0005-0000-0000-0000134D0000}"/>
    <cellStyle name="计算 2 8 18 4 2" xfId="19686" xr:uid="{00000000-0005-0000-0000-0000164D0000}"/>
    <cellStyle name="计算 2 8 18 5" xfId="19706" xr:uid="{00000000-0005-0000-0000-00002A4D0000}"/>
    <cellStyle name="计算 2 8 18 5 2" xfId="19709" xr:uid="{00000000-0005-0000-0000-00002D4D0000}"/>
    <cellStyle name="计算 2 8 18 6" xfId="19717" xr:uid="{00000000-0005-0000-0000-0000354D0000}"/>
    <cellStyle name="计算 2 8 19" xfId="32951" xr:uid="{00000000-0005-0000-0000-0000E7800000}"/>
    <cellStyle name="计算 2 8 19 2" xfId="19777" xr:uid="{00000000-0005-0000-0000-0000714D0000}"/>
    <cellStyle name="计算 2 8 19 2 2" xfId="1125" xr:uid="{00000000-0005-0000-0000-000095040000}"/>
    <cellStyle name="计算 2 8 19 3" xfId="19797" xr:uid="{00000000-0005-0000-0000-0000854D0000}"/>
    <cellStyle name="计算 2 8 19 3 2" xfId="1156" xr:uid="{00000000-0005-0000-0000-0000B4040000}"/>
    <cellStyle name="计算 2 8 19 4" xfId="19809" xr:uid="{00000000-0005-0000-0000-0000914D0000}"/>
    <cellStyle name="计算 2 8 19 4 2" xfId="1166" xr:uid="{00000000-0005-0000-0000-0000BE040000}"/>
    <cellStyle name="计算 2 8 19 5" xfId="19819" xr:uid="{00000000-0005-0000-0000-00009B4D0000}"/>
    <cellStyle name="计算 2 8 2" xfId="22695" xr:uid="{00000000-0005-0000-0000-0000D7580000}"/>
    <cellStyle name="计算 2 8 2 10" xfId="19895" xr:uid="{00000000-0005-0000-0000-0000E74D0000}"/>
    <cellStyle name="计算 2 8 2 10 2" xfId="32953" xr:uid="{00000000-0005-0000-0000-0000E9800000}"/>
    <cellStyle name="计算 2 8 2 11" xfId="32956" xr:uid="{00000000-0005-0000-0000-0000EC800000}"/>
    <cellStyle name="计算 2 8 2 11 2" xfId="32958" xr:uid="{00000000-0005-0000-0000-0000EE800000}"/>
    <cellStyle name="计算 2 8 2 12" xfId="32960" xr:uid="{00000000-0005-0000-0000-0000F0800000}"/>
    <cellStyle name="计算 2 8 2 12 2" xfId="32962" xr:uid="{00000000-0005-0000-0000-0000F2800000}"/>
    <cellStyle name="计算 2 8 2 13" xfId="29781" xr:uid="{00000000-0005-0000-0000-000085740000}"/>
    <cellStyle name="计算 2 8 2 14" xfId="32964" xr:uid="{00000000-0005-0000-0000-0000F4800000}"/>
    <cellStyle name="计算 2 8 2 15" xfId="32967" xr:uid="{00000000-0005-0000-0000-0000F7800000}"/>
    <cellStyle name="计算 2 8 2 16" xfId="32969" xr:uid="{00000000-0005-0000-0000-0000F9800000}"/>
    <cellStyle name="计算 2 8 2 2" xfId="32972" xr:uid="{00000000-0005-0000-0000-0000FC800000}"/>
    <cellStyle name="计算 2 8 2 2 2" xfId="32975" xr:uid="{00000000-0005-0000-0000-0000FF800000}"/>
    <cellStyle name="计算 2 8 2 2 2 2" xfId="32979" xr:uid="{00000000-0005-0000-0000-000003810000}"/>
    <cellStyle name="计算 2 8 2 2 3" xfId="32983" xr:uid="{00000000-0005-0000-0000-000007810000}"/>
    <cellStyle name="计算 2 8 2 2 3 2" xfId="32988" xr:uid="{00000000-0005-0000-0000-00000C810000}"/>
    <cellStyle name="计算 2 8 2 2 4" xfId="32992" xr:uid="{00000000-0005-0000-0000-000010810000}"/>
    <cellStyle name="计算 2 8 2 2 4 2" xfId="32996" xr:uid="{00000000-0005-0000-0000-000014810000}"/>
    <cellStyle name="计算 2 8 2 2 5" xfId="8166" xr:uid="{00000000-0005-0000-0000-000016200000}"/>
    <cellStyle name="计算 2 8 2 2 5 2" xfId="6886" xr:uid="{00000000-0005-0000-0000-0000161B0000}"/>
    <cellStyle name="计算 2 8 2 2 6" xfId="7437" xr:uid="{00000000-0005-0000-0000-00003D1D0000}"/>
    <cellStyle name="计算 2 8 2 2 7" xfId="5914" xr:uid="{00000000-0005-0000-0000-00004A170000}"/>
    <cellStyle name="计算 2 8 2 2 8" xfId="8182" xr:uid="{00000000-0005-0000-0000-000026200000}"/>
    <cellStyle name="计算 2 8 2 2 9" xfId="8205" xr:uid="{00000000-0005-0000-0000-00003D200000}"/>
    <cellStyle name="计算 2 8 2 3" xfId="32998" xr:uid="{00000000-0005-0000-0000-000016810000}"/>
    <cellStyle name="计算 2 8 2 3 2" xfId="2887" xr:uid="{00000000-0005-0000-0000-0000770B0000}"/>
    <cellStyle name="计算 2 8 2 3 2 2" xfId="11085" xr:uid="{00000000-0005-0000-0000-00007D2B0000}"/>
    <cellStyle name="计算 2 8 2 3 3" xfId="2892" xr:uid="{00000000-0005-0000-0000-00007C0B0000}"/>
    <cellStyle name="计算 2 8 2 3 3 2" xfId="33001" xr:uid="{00000000-0005-0000-0000-000019810000}"/>
    <cellStyle name="计算 2 8 2 3 4" xfId="2930" xr:uid="{00000000-0005-0000-0000-0000A20B0000}"/>
    <cellStyle name="计算 2 8 2 3 4 2" xfId="33004" xr:uid="{00000000-0005-0000-0000-00001C810000}"/>
    <cellStyle name="计算 2 8 2 3 5" xfId="8215" xr:uid="{00000000-0005-0000-0000-000047200000}"/>
    <cellStyle name="计算 2 8 2 3 5 2" xfId="8222" xr:uid="{00000000-0005-0000-0000-00004E200000}"/>
    <cellStyle name="计算 2 8 2 3 6" xfId="7454" xr:uid="{00000000-0005-0000-0000-00004E1D0000}"/>
    <cellStyle name="计算 2 8 2 4" xfId="33006" xr:uid="{00000000-0005-0000-0000-00001E810000}"/>
    <cellStyle name="计算 2 8 2 4 2" xfId="14335" xr:uid="{00000000-0005-0000-0000-00002F380000}"/>
    <cellStyle name="计算 2 8 2 4 2 2" xfId="11285" xr:uid="{00000000-0005-0000-0000-0000452C0000}"/>
    <cellStyle name="计算 2 8 2 4 3" xfId="14339" xr:uid="{00000000-0005-0000-0000-000033380000}"/>
    <cellStyle name="计算 2 8 2 4 3 2" xfId="11326" xr:uid="{00000000-0005-0000-0000-00006E2C0000}"/>
    <cellStyle name="计算 2 8 2 4 4" xfId="33008" xr:uid="{00000000-0005-0000-0000-000020810000}"/>
    <cellStyle name="计算 2 8 2 4 4 2" xfId="33010" xr:uid="{00000000-0005-0000-0000-000022810000}"/>
    <cellStyle name="计算 2 8 2 4 5" xfId="8262" xr:uid="{00000000-0005-0000-0000-000076200000}"/>
    <cellStyle name="计算 2 8 2 4 5 2" xfId="8269" xr:uid="{00000000-0005-0000-0000-00007D200000}"/>
    <cellStyle name="计算 2 8 2 4 6" xfId="7465" xr:uid="{00000000-0005-0000-0000-0000591D0000}"/>
    <cellStyle name="计算 2 8 2 5" xfId="33012" xr:uid="{00000000-0005-0000-0000-000024810000}"/>
    <cellStyle name="计算 2 8 2 5 2" xfId="14351" xr:uid="{00000000-0005-0000-0000-00003F380000}"/>
    <cellStyle name="计算 2 8 2 5 2 2" xfId="14360" xr:uid="{00000000-0005-0000-0000-000048380000}"/>
    <cellStyle name="计算 2 8 2 5 3" xfId="14363" xr:uid="{00000000-0005-0000-0000-00004B380000}"/>
    <cellStyle name="计算 2 8 2 5 3 2" xfId="33014" xr:uid="{00000000-0005-0000-0000-000026810000}"/>
    <cellStyle name="计算 2 8 2 5 4" xfId="33016" xr:uid="{00000000-0005-0000-0000-000028810000}"/>
    <cellStyle name="计算 2 8 2 5 4 2" xfId="33018" xr:uid="{00000000-0005-0000-0000-00002A810000}"/>
    <cellStyle name="计算 2 8 2 5 5" xfId="8312" xr:uid="{00000000-0005-0000-0000-0000A8200000}"/>
    <cellStyle name="计算 2 8 2 5 5 2" xfId="8325" xr:uid="{00000000-0005-0000-0000-0000B5200000}"/>
    <cellStyle name="计算 2 8 2 5 6" xfId="7474" xr:uid="{00000000-0005-0000-0000-0000621D0000}"/>
    <cellStyle name="计算 2 8 2 6" xfId="33021" xr:uid="{00000000-0005-0000-0000-00002D810000}"/>
    <cellStyle name="计算 2 8 2 6 2" xfId="14381" xr:uid="{00000000-0005-0000-0000-00005D380000}"/>
    <cellStyle name="计算 2 8 2 6 2 2" xfId="1865" xr:uid="{00000000-0005-0000-0000-000079070000}"/>
    <cellStyle name="计算 2 8 2 6 3" xfId="14384" xr:uid="{00000000-0005-0000-0000-000060380000}"/>
    <cellStyle name="计算 2 8 2 6 3 2" xfId="33023" xr:uid="{00000000-0005-0000-0000-00002F810000}"/>
    <cellStyle name="计算 2 8 2 6 4" xfId="33026" xr:uid="{00000000-0005-0000-0000-000032810000}"/>
    <cellStyle name="计算 2 8 2 6 4 2" xfId="33028" xr:uid="{00000000-0005-0000-0000-000034810000}"/>
    <cellStyle name="计算 2 8 2 6 5" xfId="4547" xr:uid="{00000000-0005-0000-0000-0000F3110000}"/>
    <cellStyle name="计算 2 8 2 6 5 2" xfId="8361" xr:uid="{00000000-0005-0000-0000-0000D9200000}"/>
    <cellStyle name="计算 2 8 2 6 6" xfId="8374" xr:uid="{00000000-0005-0000-0000-0000E6200000}"/>
    <cellStyle name="计算 2 8 2 7" xfId="28530" xr:uid="{00000000-0005-0000-0000-0000A26F0000}"/>
    <cellStyle name="计算 2 8 2 7 2" xfId="5350" xr:uid="{00000000-0005-0000-0000-000016150000}"/>
    <cellStyle name="计算 2 8 2 7 2 2" xfId="14409" xr:uid="{00000000-0005-0000-0000-000079380000}"/>
    <cellStyle name="计算 2 8 2 7 3" xfId="14414" xr:uid="{00000000-0005-0000-0000-00007E380000}"/>
    <cellStyle name="计算 2 8 2 7 3 2" xfId="33032" xr:uid="{00000000-0005-0000-0000-000038810000}"/>
    <cellStyle name="计算 2 8 2 7 4" xfId="33036" xr:uid="{00000000-0005-0000-0000-00003C810000}"/>
    <cellStyle name="计算 2 8 2 7 4 2" xfId="33039" xr:uid="{00000000-0005-0000-0000-00003F810000}"/>
    <cellStyle name="计算 2 8 2 7 5" xfId="4572" xr:uid="{00000000-0005-0000-0000-00000C120000}"/>
    <cellStyle name="计算 2 8 2 7 5 2" xfId="8411" xr:uid="{00000000-0005-0000-0000-00000B210000}"/>
    <cellStyle name="计算 2 8 2 7 6" xfId="8423" xr:uid="{00000000-0005-0000-0000-000017210000}"/>
    <cellStyle name="计算 2 8 2 8" xfId="33043" xr:uid="{00000000-0005-0000-0000-000043810000}"/>
    <cellStyle name="计算 2 8 2 8 2" xfId="9896" xr:uid="{00000000-0005-0000-0000-0000D8260000}"/>
    <cellStyle name="计算 2 8 2 8 2 2" xfId="14429" xr:uid="{00000000-0005-0000-0000-00008D380000}"/>
    <cellStyle name="计算 2 8 2 8 3" xfId="14434" xr:uid="{00000000-0005-0000-0000-000092380000}"/>
    <cellStyle name="计算 2 8 2 8 3 2" xfId="33044" xr:uid="{00000000-0005-0000-0000-000044810000}"/>
    <cellStyle name="计算 2 8 2 8 4" xfId="33046" xr:uid="{00000000-0005-0000-0000-000046810000}"/>
    <cellStyle name="计算 2 8 2 8 4 2" xfId="33047" xr:uid="{00000000-0005-0000-0000-000047810000}"/>
    <cellStyle name="计算 2 8 2 8 5" xfId="5229" xr:uid="{00000000-0005-0000-0000-00009D140000}"/>
    <cellStyle name="计算 2 8 2 9" xfId="33049" xr:uid="{00000000-0005-0000-0000-000049810000}"/>
    <cellStyle name="计算 2 8 2 9 2" xfId="9906" xr:uid="{00000000-0005-0000-0000-0000E2260000}"/>
    <cellStyle name="计算 2 8 20" xfId="28552" xr:uid="{00000000-0005-0000-0000-0000B86F0000}"/>
    <cellStyle name="计算 2 8 20 2" xfId="3998" xr:uid="{00000000-0005-0000-0000-0000CE0F0000}"/>
    <cellStyle name="计算 2 8 21" xfId="28556" xr:uid="{00000000-0005-0000-0000-0000BC6F0000}"/>
    <cellStyle name="计算 2 8 21 2" xfId="28560" xr:uid="{00000000-0005-0000-0000-0000C06F0000}"/>
    <cellStyle name="计算 2 8 22" xfId="3210" xr:uid="{00000000-0005-0000-0000-0000BA0C0000}"/>
    <cellStyle name="计算 2 8 22 2" xfId="19468" xr:uid="{00000000-0005-0000-0000-00003C4C0000}"/>
    <cellStyle name="计算 2 8 23" xfId="32945" xr:uid="{00000000-0005-0000-0000-0000E1800000}"/>
    <cellStyle name="计算 2 8 23 2" xfId="19641" xr:uid="{00000000-0005-0000-0000-0000E94C0000}"/>
    <cellStyle name="计算 2 8 24" xfId="32950" xr:uid="{00000000-0005-0000-0000-0000E6800000}"/>
    <cellStyle name="计算 2 8 25" xfId="23805" xr:uid="{00000000-0005-0000-0000-00002D5D0000}"/>
    <cellStyle name="计算 2 8 26" xfId="33050" xr:uid="{00000000-0005-0000-0000-00004A810000}"/>
    <cellStyle name="计算 2 8 27" xfId="3302" xr:uid="{00000000-0005-0000-0000-0000160D0000}"/>
    <cellStyle name="计算 2 8 3" xfId="29314" xr:uid="{00000000-0005-0000-0000-0000B2720000}"/>
    <cellStyle name="计算 2 8 3 10" xfId="33054" xr:uid="{00000000-0005-0000-0000-00004E810000}"/>
    <cellStyle name="计算 2 8 3 10 2" xfId="33056" xr:uid="{00000000-0005-0000-0000-000050810000}"/>
    <cellStyle name="计算 2 8 3 11" xfId="12019" xr:uid="{00000000-0005-0000-0000-0000232F0000}"/>
    <cellStyle name="计算 2 8 3 11 2" xfId="33058" xr:uid="{00000000-0005-0000-0000-000052810000}"/>
    <cellStyle name="计算 2 8 3 12" xfId="33061" xr:uid="{00000000-0005-0000-0000-000055810000}"/>
    <cellStyle name="计算 2 8 3 12 2" xfId="33065" xr:uid="{00000000-0005-0000-0000-000059810000}"/>
    <cellStyle name="计算 2 8 3 13" xfId="33067" xr:uid="{00000000-0005-0000-0000-00005B810000}"/>
    <cellStyle name="计算 2 8 3 14" xfId="33070" xr:uid="{00000000-0005-0000-0000-00005E810000}"/>
    <cellStyle name="计算 2 8 3 15" xfId="33072" xr:uid="{00000000-0005-0000-0000-000060810000}"/>
    <cellStyle name="计算 2 8 3 16" xfId="33074" xr:uid="{00000000-0005-0000-0000-000062810000}"/>
    <cellStyle name="计算 2 8 3 2" xfId="33077" xr:uid="{00000000-0005-0000-0000-000065810000}"/>
    <cellStyle name="计算 2 8 3 2 2" xfId="33080" xr:uid="{00000000-0005-0000-0000-000068810000}"/>
    <cellStyle name="计算 2 8 3 2 2 2" xfId="33083" xr:uid="{00000000-0005-0000-0000-00006B810000}"/>
    <cellStyle name="计算 2 8 3 2 3" xfId="33087" xr:uid="{00000000-0005-0000-0000-00006F810000}"/>
    <cellStyle name="计算 2 8 3 2 3 2" xfId="33090" xr:uid="{00000000-0005-0000-0000-000072810000}"/>
    <cellStyle name="计算 2 8 3 2 4" xfId="33094" xr:uid="{00000000-0005-0000-0000-000076810000}"/>
    <cellStyle name="计算 2 8 3 2 4 2" xfId="33097" xr:uid="{00000000-0005-0000-0000-000079810000}"/>
    <cellStyle name="计算 2 8 3 2 5" xfId="8512" xr:uid="{00000000-0005-0000-0000-000070210000}"/>
    <cellStyle name="计算 2 8 3 2 5 2" xfId="6436" xr:uid="{00000000-0005-0000-0000-000054190000}"/>
    <cellStyle name="计算 2 8 3 2 6" xfId="7500" xr:uid="{00000000-0005-0000-0000-00007C1D0000}"/>
    <cellStyle name="计算 2 8 3 2 7" xfId="6011" xr:uid="{00000000-0005-0000-0000-0000AB170000}"/>
    <cellStyle name="计算 2 8 3 2 8" xfId="8515" xr:uid="{00000000-0005-0000-0000-000073210000}"/>
    <cellStyle name="计算 2 8 3 2 9" xfId="8528" xr:uid="{00000000-0005-0000-0000-000080210000}"/>
    <cellStyle name="计算 2 8 3 3" xfId="33100" xr:uid="{00000000-0005-0000-0000-00007C810000}"/>
    <cellStyle name="计算 2 8 3 3 2" xfId="13071" xr:uid="{00000000-0005-0000-0000-00003F330000}"/>
    <cellStyle name="计算 2 8 3 3 2 2" xfId="11577" xr:uid="{00000000-0005-0000-0000-0000692D0000}"/>
    <cellStyle name="计算 2 8 3 3 3" xfId="13182" xr:uid="{00000000-0005-0000-0000-0000AE330000}"/>
    <cellStyle name="计算 2 8 3 3 3 2" xfId="33103" xr:uid="{00000000-0005-0000-0000-00007F810000}"/>
    <cellStyle name="计算 2 8 3 3 4" xfId="128" xr:uid="{00000000-0005-0000-0000-00008A000000}"/>
    <cellStyle name="计算 2 8 3 3 4 2" xfId="33108" xr:uid="{00000000-0005-0000-0000-000084810000}"/>
    <cellStyle name="计算 2 8 3 3 5" xfId="8536" xr:uid="{00000000-0005-0000-0000-000088210000}"/>
    <cellStyle name="计算 2 8 3 3 5 2" xfId="8544" xr:uid="{00000000-0005-0000-0000-000090210000}"/>
    <cellStyle name="计算 2 8 3 3 6" xfId="7510" xr:uid="{00000000-0005-0000-0000-0000861D0000}"/>
    <cellStyle name="计算 2 8 3 4" xfId="33112" xr:uid="{00000000-0005-0000-0000-000088810000}"/>
    <cellStyle name="计算 2 8 3 4 2" xfId="14464" xr:uid="{00000000-0005-0000-0000-0000B0380000}"/>
    <cellStyle name="计算 2 8 3 4 2 2" xfId="14470" xr:uid="{00000000-0005-0000-0000-0000B6380000}"/>
    <cellStyle name="计算 2 8 3 4 3" xfId="14484" xr:uid="{00000000-0005-0000-0000-0000C4380000}"/>
    <cellStyle name="计算 2 8 3 4 3 2" xfId="32744" xr:uid="{00000000-0005-0000-0000-000018800000}"/>
    <cellStyle name="计算 2 8 3 4 4" xfId="33114" xr:uid="{00000000-0005-0000-0000-00008A810000}"/>
    <cellStyle name="计算 2 8 3 4 4 2" xfId="32758" xr:uid="{00000000-0005-0000-0000-000026800000}"/>
    <cellStyle name="计算 2 8 3 4 5" xfId="8585" xr:uid="{00000000-0005-0000-0000-0000B9210000}"/>
    <cellStyle name="计算 2 8 3 4 5 2" xfId="3868" xr:uid="{00000000-0005-0000-0000-00004C0F0000}"/>
    <cellStyle name="计算 2 8 3 4 6" xfId="7529" xr:uid="{00000000-0005-0000-0000-0000991D0000}"/>
    <cellStyle name="计算 2 8 3 5" xfId="33116" xr:uid="{00000000-0005-0000-0000-00008C810000}"/>
    <cellStyle name="计算 2 8 3 5 2" xfId="14502" xr:uid="{00000000-0005-0000-0000-0000D6380000}"/>
    <cellStyle name="计算 2 8 3 5 2 2" xfId="14509" xr:uid="{00000000-0005-0000-0000-0000DD380000}"/>
    <cellStyle name="计算 2 8 3 5 3" xfId="14516" xr:uid="{00000000-0005-0000-0000-0000E4380000}"/>
    <cellStyle name="计算 2 8 3 5 3 2" xfId="32835" xr:uid="{00000000-0005-0000-0000-000073800000}"/>
    <cellStyle name="计算 2 8 3 5 4" xfId="33118" xr:uid="{00000000-0005-0000-0000-00008E810000}"/>
    <cellStyle name="计算 2 8 3 5 4 2" xfId="32847" xr:uid="{00000000-0005-0000-0000-00007F800000}"/>
    <cellStyle name="计算 2 8 3 5 5" xfId="8606" xr:uid="{00000000-0005-0000-0000-0000CE210000}"/>
    <cellStyle name="计算 2 8 3 5 5 2" xfId="4330" xr:uid="{00000000-0005-0000-0000-00001A110000}"/>
    <cellStyle name="计算 2 8 3 5 6" xfId="7542" xr:uid="{00000000-0005-0000-0000-0000A61D0000}"/>
    <cellStyle name="计算 2 8 3 6" xfId="33121" xr:uid="{00000000-0005-0000-0000-000091810000}"/>
    <cellStyle name="计算 2 8 3 6 2" xfId="14543" xr:uid="{00000000-0005-0000-0000-0000FF380000}"/>
    <cellStyle name="计算 2 8 3 6 2 2" xfId="14551" xr:uid="{00000000-0005-0000-0000-000007390000}"/>
    <cellStyle name="计算 2 8 3 6 3" xfId="14556" xr:uid="{00000000-0005-0000-0000-00000C390000}"/>
    <cellStyle name="计算 2 8 3 6 3 2" xfId="33123" xr:uid="{00000000-0005-0000-0000-000093810000}"/>
    <cellStyle name="计算 2 8 3 6 4" xfId="33126" xr:uid="{00000000-0005-0000-0000-000096810000}"/>
    <cellStyle name="计算 2 8 3 6 4 2" xfId="33128" xr:uid="{00000000-0005-0000-0000-000098810000}"/>
    <cellStyle name="计算 2 8 3 6 5" xfId="8641" xr:uid="{00000000-0005-0000-0000-0000F1210000}"/>
    <cellStyle name="计算 2 8 3 6 5 2" xfId="4657" xr:uid="{00000000-0005-0000-0000-000061120000}"/>
    <cellStyle name="计算 2 8 3 6 6" xfId="8648" xr:uid="{00000000-0005-0000-0000-0000F8210000}"/>
    <cellStyle name="计算 2 8 3 7" xfId="25064" xr:uid="{00000000-0005-0000-0000-000018620000}"/>
    <cellStyle name="计算 2 8 3 7 2" xfId="5365" xr:uid="{00000000-0005-0000-0000-000025150000}"/>
    <cellStyle name="计算 2 8 3 7 2 2" xfId="14575" xr:uid="{00000000-0005-0000-0000-00001F390000}"/>
    <cellStyle name="计算 2 8 3 7 3" xfId="14581" xr:uid="{00000000-0005-0000-0000-000025390000}"/>
    <cellStyle name="计算 2 8 3 7 3 2" xfId="33130" xr:uid="{00000000-0005-0000-0000-00009A810000}"/>
    <cellStyle name="计算 2 8 3 7 4" xfId="33133" xr:uid="{00000000-0005-0000-0000-00009D810000}"/>
    <cellStyle name="计算 2 8 3 7 4 2" xfId="33135" xr:uid="{00000000-0005-0000-0000-00009F810000}"/>
    <cellStyle name="计算 2 8 3 7 5" xfId="5662" xr:uid="{00000000-0005-0000-0000-00004E160000}"/>
    <cellStyle name="计算 2 8 3 7 5 2" xfId="4876" xr:uid="{00000000-0005-0000-0000-00003C130000}"/>
    <cellStyle name="计算 2 8 3 7 6" xfId="8680" xr:uid="{00000000-0005-0000-0000-000018220000}"/>
    <cellStyle name="计算 2 8 3 8" xfId="33139" xr:uid="{00000000-0005-0000-0000-0000A3810000}"/>
    <cellStyle name="计算 2 8 3 8 2" xfId="9938" xr:uid="{00000000-0005-0000-0000-000002270000}"/>
    <cellStyle name="计算 2 8 3 8 2 2" xfId="14596" xr:uid="{00000000-0005-0000-0000-000034390000}"/>
    <cellStyle name="计算 2 8 3 8 3" xfId="14602" xr:uid="{00000000-0005-0000-0000-00003A390000}"/>
    <cellStyle name="计算 2 8 3 8 3 2" xfId="33140" xr:uid="{00000000-0005-0000-0000-0000A4810000}"/>
    <cellStyle name="计算 2 8 3 8 4" xfId="33143" xr:uid="{00000000-0005-0000-0000-0000A7810000}"/>
    <cellStyle name="计算 2 8 3 8 4 2" xfId="33145" xr:uid="{00000000-0005-0000-0000-0000A9810000}"/>
    <cellStyle name="计算 2 8 3 8 5" xfId="5690" xr:uid="{00000000-0005-0000-0000-00006A160000}"/>
    <cellStyle name="计算 2 8 3 9" xfId="33148" xr:uid="{00000000-0005-0000-0000-0000AC810000}"/>
    <cellStyle name="计算 2 8 3 9 2" xfId="9949" xr:uid="{00000000-0005-0000-0000-00000D270000}"/>
    <cellStyle name="计算 2 8 4" xfId="20900" xr:uid="{00000000-0005-0000-0000-0000D4510000}"/>
    <cellStyle name="计算 2 8 4 10" xfId="33150" xr:uid="{00000000-0005-0000-0000-0000AE810000}"/>
    <cellStyle name="计算 2 8 4 10 2" xfId="33152" xr:uid="{00000000-0005-0000-0000-0000B0810000}"/>
    <cellStyle name="计算 2 8 4 11" xfId="122" xr:uid="{00000000-0005-0000-0000-000084000000}"/>
    <cellStyle name="计算 2 8 4 11 2" xfId="33154" xr:uid="{00000000-0005-0000-0000-0000B2810000}"/>
    <cellStyle name="计算 2 8 4 12" xfId="23718" xr:uid="{00000000-0005-0000-0000-0000D65C0000}"/>
    <cellStyle name="计算 2 8 4 12 2" xfId="33156" xr:uid="{00000000-0005-0000-0000-0000B4810000}"/>
    <cellStyle name="计算 2 8 4 13" xfId="33158" xr:uid="{00000000-0005-0000-0000-0000B6810000}"/>
    <cellStyle name="计算 2 8 4 14" xfId="33159" xr:uid="{00000000-0005-0000-0000-0000B7810000}"/>
    <cellStyle name="计算 2 8 4 15" xfId="19170" xr:uid="{00000000-0005-0000-0000-0000124B0000}"/>
    <cellStyle name="计算 2 8 4 16" xfId="33160" xr:uid="{00000000-0005-0000-0000-0000B8810000}"/>
    <cellStyle name="计算 2 8 4 2" xfId="33162" xr:uid="{00000000-0005-0000-0000-0000BA810000}"/>
    <cellStyle name="计算 2 8 4 2 2" xfId="33165" xr:uid="{00000000-0005-0000-0000-0000BD810000}"/>
    <cellStyle name="计算 2 8 4 2 2 2" xfId="33168" xr:uid="{00000000-0005-0000-0000-0000C0810000}"/>
    <cellStyle name="计算 2 8 4 2 3" xfId="33171" xr:uid="{00000000-0005-0000-0000-0000C3810000}"/>
    <cellStyle name="计算 2 8 4 2 3 2" xfId="33174" xr:uid="{00000000-0005-0000-0000-0000C6810000}"/>
    <cellStyle name="计算 2 8 4 2 4" xfId="33177" xr:uid="{00000000-0005-0000-0000-0000C9810000}"/>
    <cellStyle name="计算 2 8 4 2 4 2" xfId="33180" xr:uid="{00000000-0005-0000-0000-0000CC810000}"/>
    <cellStyle name="计算 2 8 4 2 5" xfId="8723" xr:uid="{00000000-0005-0000-0000-000043220000}"/>
    <cellStyle name="计算 2 8 4 2 5 2" xfId="1686" xr:uid="{00000000-0005-0000-0000-0000C6060000}"/>
    <cellStyle name="计算 2 8 4 2 6" xfId="7563" xr:uid="{00000000-0005-0000-0000-0000BB1D0000}"/>
    <cellStyle name="计算 2 8 4 2 7" xfId="6071" xr:uid="{00000000-0005-0000-0000-0000E7170000}"/>
    <cellStyle name="计算 2 8 4 2 8" xfId="8730" xr:uid="{00000000-0005-0000-0000-00004A220000}"/>
    <cellStyle name="计算 2 8 4 2 9" xfId="8739" xr:uid="{00000000-0005-0000-0000-000053220000}"/>
    <cellStyle name="计算 2 8 4 3" xfId="13322" xr:uid="{00000000-0005-0000-0000-00003A340000}"/>
    <cellStyle name="计算 2 8 4 3 2" xfId="13327" xr:uid="{00000000-0005-0000-0000-00003F340000}"/>
    <cellStyle name="计算 2 8 4 3 2 2" xfId="12359" xr:uid="{00000000-0005-0000-0000-000077300000}"/>
    <cellStyle name="计算 2 8 4 3 3" xfId="14672" xr:uid="{00000000-0005-0000-0000-000080390000}"/>
    <cellStyle name="计算 2 8 4 3 3 2" xfId="33183" xr:uid="{00000000-0005-0000-0000-0000CF810000}"/>
    <cellStyle name="计算 2 8 4 3 4" xfId="3062" xr:uid="{00000000-0005-0000-0000-0000260C0000}"/>
    <cellStyle name="计算 2 8 4 3 4 2" xfId="33187" xr:uid="{00000000-0005-0000-0000-0000D3810000}"/>
    <cellStyle name="计算 2 8 4 3 5" xfId="8747" xr:uid="{00000000-0005-0000-0000-00005B220000}"/>
    <cellStyle name="计算 2 8 4 3 5 2" xfId="8756" xr:uid="{00000000-0005-0000-0000-000064220000}"/>
    <cellStyle name="计算 2 8 4 3 6" xfId="7577" xr:uid="{00000000-0005-0000-0000-0000C91D0000}"/>
    <cellStyle name="计算 2 8 4 4" xfId="5376" xr:uid="{00000000-0005-0000-0000-000030150000}"/>
    <cellStyle name="计算 2 8 4 4 2" xfId="5384" xr:uid="{00000000-0005-0000-0000-000038150000}"/>
    <cellStyle name="计算 2 8 4 4 2 2" xfId="14687" xr:uid="{00000000-0005-0000-0000-00008F390000}"/>
    <cellStyle name="计算 2 8 4 4 3" xfId="14690" xr:uid="{00000000-0005-0000-0000-000092390000}"/>
    <cellStyle name="计算 2 8 4 4 3 2" xfId="33191" xr:uid="{00000000-0005-0000-0000-0000D7810000}"/>
    <cellStyle name="计算 2 8 4 4 4" xfId="33193" xr:uid="{00000000-0005-0000-0000-0000D9810000}"/>
    <cellStyle name="计算 2 8 4 4 4 2" xfId="33195" xr:uid="{00000000-0005-0000-0000-0000DB810000}"/>
    <cellStyle name="计算 2 8 4 4 5" xfId="8765" xr:uid="{00000000-0005-0000-0000-00006D220000}"/>
    <cellStyle name="计算 2 8 4 4 5 2" xfId="7674" xr:uid="{00000000-0005-0000-0000-00002A1E0000}"/>
    <cellStyle name="计算 2 8 4 4 6" xfId="7590" xr:uid="{00000000-0005-0000-0000-0000D61D0000}"/>
    <cellStyle name="计算 2 8 4 5" xfId="5391" xr:uid="{00000000-0005-0000-0000-00003F150000}"/>
    <cellStyle name="计算 2 8 4 5 2" xfId="3322" xr:uid="{00000000-0005-0000-0000-00002A0D0000}"/>
    <cellStyle name="计算 2 8 4 5 2 2" xfId="3335" xr:uid="{00000000-0005-0000-0000-0000370D0000}"/>
    <cellStyle name="计算 2 8 4 5 3" xfId="2683" xr:uid="{00000000-0005-0000-0000-0000AB0A0000}"/>
    <cellStyle name="计算 2 8 4 5 3 2" xfId="33198" xr:uid="{00000000-0005-0000-0000-0000DE810000}"/>
    <cellStyle name="计算 2 8 4 5 4" xfId="33200" xr:uid="{00000000-0005-0000-0000-0000E0810000}"/>
    <cellStyle name="计算 2 8 4 5 4 2" xfId="33202" xr:uid="{00000000-0005-0000-0000-0000E2810000}"/>
    <cellStyle name="计算 2 8 4 5 5" xfId="3460" xr:uid="{00000000-0005-0000-0000-0000B40D0000}"/>
    <cellStyle name="计算 2 8 4 5 5 2" xfId="3467" xr:uid="{00000000-0005-0000-0000-0000BB0D0000}"/>
    <cellStyle name="计算 2 8 4 5 6" xfId="3486" xr:uid="{00000000-0005-0000-0000-0000CE0D0000}"/>
    <cellStyle name="计算 2 8 4 6" xfId="5402" xr:uid="{00000000-0005-0000-0000-00004A150000}"/>
    <cellStyle name="计算 2 8 4 6 2" xfId="14701" xr:uid="{00000000-0005-0000-0000-00009D390000}"/>
    <cellStyle name="计算 2 8 4 6 2 2" xfId="14707" xr:uid="{00000000-0005-0000-0000-0000A3390000}"/>
    <cellStyle name="计算 2 8 4 6 3" xfId="14710" xr:uid="{00000000-0005-0000-0000-0000A6390000}"/>
    <cellStyle name="计算 2 8 4 6 3 2" xfId="33204" xr:uid="{00000000-0005-0000-0000-0000E4810000}"/>
    <cellStyle name="计算 2 8 4 6 4" xfId="33207" xr:uid="{00000000-0005-0000-0000-0000E7810000}"/>
    <cellStyle name="计算 2 8 4 6 4 2" xfId="33209" xr:uid="{00000000-0005-0000-0000-0000E9810000}"/>
    <cellStyle name="计算 2 8 4 6 5" xfId="8785" xr:uid="{00000000-0005-0000-0000-000081220000}"/>
    <cellStyle name="计算 2 8 4 6 5 2" xfId="8112" xr:uid="{00000000-0005-0000-0000-0000E01F0000}"/>
    <cellStyle name="计算 2 8 4 6 6" xfId="232" xr:uid="{00000000-0005-0000-0000-0000FD000000}"/>
    <cellStyle name="计算 2 8 4 7" xfId="758" xr:uid="{00000000-0005-0000-0000-000026030000}"/>
    <cellStyle name="计算 2 8 4 7 2" xfId="9980" xr:uid="{00000000-0005-0000-0000-00002C270000}"/>
    <cellStyle name="计算 2 8 4 7 2 2" xfId="14724" xr:uid="{00000000-0005-0000-0000-0000B4390000}"/>
    <cellStyle name="计算 2 8 4 7 3" xfId="14728" xr:uid="{00000000-0005-0000-0000-0000B8390000}"/>
    <cellStyle name="计算 2 8 4 7 3 2" xfId="33211" xr:uid="{00000000-0005-0000-0000-0000EB810000}"/>
    <cellStyle name="计算 2 8 4 7 4" xfId="33214" xr:uid="{00000000-0005-0000-0000-0000EE810000}"/>
    <cellStyle name="计算 2 8 4 7 4 2" xfId="33216" xr:uid="{00000000-0005-0000-0000-0000F0810000}"/>
    <cellStyle name="计算 2 8 4 7 5" xfId="5763" xr:uid="{00000000-0005-0000-0000-0000B3160000}"/>
    <cellStyle name="计算 2 8 4 7 5 2" xfId="8468" xr:uid="{00000000-0005-0000-0000-000044210000}"/>
    <cellStyle name="计算 2 8 4 7 6" xfId="8790" xr:uid="{00000000-0005-0000-0000-000086220000}"/>
    <cellStyle name="计算 2 8 4 8" xfId="594" xr:uid="{00000000-0005-0000-0000-000082020000}"/>
    <cellStyle name="计算 2 8 4 8 2" xfId="9991" xr:uid="{00000000-0005-0000-0000-000037270000}"/>
    <cellStyle name="计算 2 8 4 8 2 2" xfId="14738" xr:uid="{00000000-0005-0000-0000-0000C2390000}"/>
    <cellStyle name="计算 2 8 4 8 3" xfId="14744" xr:uid="{00000000-0005-0000-0000-0000C8390000}"/>
    <cellStyle name="计算 2 8 4 8 3 2" xfId="33217" xr:uid="{00000000-0005-0000-0000-0000F1810000}"/>
    <cellStyle name="计算 2 8 4 8 4" xfId="33220" xr:uid="{00000000-0005-0000-0000-0000F4810000}"/>
    <cellStyle name="计算 2 8 4 8 4 2" xfId="33222" xr:uid="{00000000-0005-0000-0000-0000F6810000}"/>
    <cellStyle name="计算 2 8 4 8 5" xfId="296" xr:uid="{00000000-0005-0000-0000-000045010000}"/>
    <cellStyle name="计算 2 8 4 9" xfId="10002" xr:uid="{00000000-0005-0000-0000-000042270000}"/>
    <cellStyle name="计算 2 8 4 9 2" xfId="10008" xr:uid="{00000000-0005-0000-0000-000048270000}"/>
    <cellStyle name="计算 2 8 5" xfId="33224" xr:uid="{00000000-0005-0000-0000-0000F8810000}"/>
    <cellStyle name="计算 2 8 5 10" xfId="33226" xr:uid="{00000000-0005-0000-0000-0000FA810000}"/>
    <cellStyle name="计算 2 8 5 10 2" xfId="1074" xr:uid="{00000000-0005-0000-0000-000062040000}"/>
    <cellStyle name="计算 2 8 5 11" xfId="33229" xr:uid="{00000000-0005-0000-0000-0000FD810000}"/>
    <cellStyle name="计算 2 8 5 11 2" xfId="1107" xr:uid="{00000000-0005-0000-0000-000083040000}"/>
    <cellStyle name="计算 2 8 5 12" xfId="33230" xr:uid="{00000000-0005-0000-0000-0000FE810000}"/>
    <cellStyle name="计算 2 8 5 12 2" xfId="1131" xr:uid="{00000000-0005-0000-0000-00009B040000}"/>
    <cellStyle name="计算 2 8 5 13" xfId="26158" xr:uid="{00000000-0005-0000-0000-00005E660000}"/>
    <cellStyle name="计算 2 8 5 14" xfId="33231" xr:uid="{00000000-0005-0000-0000-0000FF810000}"/>
    <cellStyle name="计算 2 8 5 15" xfId="33233" xr:uid="{00000000-0005-0000-0000-000001820000}"/>
    <cellStyle name="计算 2 8 5 16" xfId="33234" xr:uid="{00000000-0005-0000-0000-000002820000}"/>
    <cellStyle name="计算 2 8 5 2" xfId="33236" xr:uid="{00000000-0005-0000-0000-000004820000}"/>
    <cellStyle name="计算 2 8 5 2 2" xfId="19403" xr:uid="{00000000-0005-0000-0000-0000FB4B0000}"/>
    <cellStyle name="计算 2 8 5 2 2 2" xfId="19408" xr:uid="{00000000-0005-0000-0000-0000004C0000}"/>
    <cellStyle name="计算 2 8 5 2 3" xfId="19412" xr:uid="{00000000-0005-0000-0000-0000044C0000}"/>
    <cellStyle name="计算 2 8 5 2 3 2" xfId="33240" xr:uid="{00000000-0005-0000-0000-000008820000}"/>
    <cellStyle name="计算 2 8 5 2 4" xfId="3124" xr:uid="{00000000-0005-0000-0000-0000640C0000}"/>
    <cellStyle name="计算 2 8 5 2 4 2" xfId="26299" xr:uid="{00000000-0005-0000-0000-0000EB660000}"/>
    <cellStyle name="计算 2 8 5 2 5" xfId="8879" xr:uid="{00000000-0005-0000-0000-0000DF220000}"/>
    <cellStyle name="计算 2 8 5 2 5 2" xfId="8893" xr:uid="{00000000-0005-0000-0000-0000ED220000}"/>
    <cellStyle name="计算 2 8 5 2 6" xfId="7625" xr:uid="{00000000-0005-0000-0000-0000F91D0000}"/>
    <cellStyle name="计算 2 8 5 2 7" xfId="6120" xr:uid="{00000000-0005-0000-0000-000018180000}"/>
    <cellStyle name="计算 2 8 5 2 8" xfId="8906" xr:uid="{00000000-0005-0000-0000-0000FA220000}"/>
    <cellStyle name="计算 2 8 5 2 9" xfId="6581" xr:uid="{00000000-0005-0000-0000-0000E5190000}"/>
    <cellStyle name="计算 2 8 5 3" xfId="33242" xr:uid="{00000000-0005-0000-0000-00000A820000}"/>
    <cellStyle name="计算 2 8 5 3 2" xfId="14819" xr:uid="{00000000-0005-0000-0000-0000133A0000}"/>
    <cellStyle name="计算 2 8 5 3 2 2" xfId="14823" xr:uid="{00000000-0005-0000-0000-0000173A0000}"/>
    <cellStyle name="计算 2 8 5 3 3" xfId="14827" xr:uid="{00000000-0005-0000-0000-00001B3A0000}"/>
    <cellStyle name="计算 2 8 5 3 3 2" xfId="33245" xr:uid="{00000000-0005-0000-0000-00000D820000}"/>
    <cellStyle name="计算 2 8 5 3 4" xfId="3137" xr:uid="{00000000-0005-0000-0000-0000710C0000}"/>
    <cellStyle name="计算 2 8 5 3 4 2" xfId="29243" xr:uid="{00000000-0005-0000-0000-00006B720000}"/>
    <cellStyle name="计算 2 8 5 3 5" xfId="8927" xr:uid="{00000000-0005-0000-0000-00000F230000}"/>
    <cellStyle name="计算 2 8 5 3 5 2" xfId="4724" xr:uid="{00000000-0005-0000-0000-0000A4120000}"/>
    <cellStyle name="计算 2 8 5 3 6" xfId="7643" xr:uid="{00000000-0005-0000-0000-00000B1E0000}"/>
    <cellStyle name="计算 2 8 5 4" xfId="23506" xr:uid="{00000000-0005-0000-0000-0000025C0000}"/>
    <cellStyle name="计算 2 8 5 4 2" xfId="14844" xr:uid="{00000000-0005-0000-0000-00002C3A0000}"/>
    <cellStyle name="计算 2 8 5 4 2 2" xfId="14847" xr:uid="{00000000-0005-0000-0000-00002F3A0000}"/>
    <cellStyle name="计算 2 8 5 4 3" xfId="14850" xr:uid="{00000000-0005-0000-0000-0000323A0000}"/>
    <cellStyle name="计算 2 8 5 4 3 2" xfId="33247" xr:uid="{00000000-0005-0000-0000-00000F820000}"/>
    <cellStyle name="计算 2 8 5 4 4" xfId="33249" xr:uid="{00000000-0005-0000-0000-000011820000}"/>
    <cellStyle name="计算 2 8 5 4 4 2" xfId="33251" xr:uid="{00000000-0005-0000-0000-000013820000}"/>
    <cellStyle name="计算 2 8 5 4 5" xfId="8974" xr:uid="{00000000-0005-0000-0000-00003E230000}"/>
    <cellStyle name="计算 2 8 5 4 5 2" xfId="2465" xr:uid="{00000000-0005-0000-0000-0000D1090000}"/>
    <cellStyle name="计算 2 8 5 4 6" xfId="7660" xr:uid="{00000000-0005-0000-0000-00001C1E0000}"/>
    <cellStyle name="计算 2 8 5 5" xfId="33253" xr:uid="{00000000-0005-0000-0000-000015820000}"/>
    <cellStyle name="计算 2 8 5 5 2" xfId="11850" xr:uid="{00000000-0005-0000-0000-00007A2E0000}"/>
    <cellStyle name="计算 2 8 5 5 2 2" xfId="14855" xr:uid="{00000000-0005-0000-0000-0000373A0000}"/>
    <cellStyle name="计算 2 8 5 5 3" xfId="11857" xr:uid="{00000000-0005-0000-0000-0000812E0000}"/>
    <cellStyle name="计算 2 8 5 5 3 2" xfId="33256" xr:uid="{00000000-0005-0000-0000-000018820000}"/>
    <cellStyle name="计算 2 8 5 5 4" xfId="33258" xr:uid="{00000000-0005-0000-0000-00001A820000}"/>
    <cellStyle name="计算 2 8 5 5 4 2" xfId="33260" xr:uid="{00000000-0005-0000-0000-00001C820000}"/>
    <cellStyle name="计算 2 8 5 5 5" xfId="9008" xr:uid="{00000000-0005-0000-0000-000060230000}"/>
    <cellStyle name="计算 2 8 5 5 5 2" xfId="2970" xr:uid="{00000000-0005-0000-0000-0000CA0B0000}"/>
    <cellStyle name="计算 2 8 5 5 6" xfId="7667" xr:uid="{00000000-0005-0000-0000-0000231E0000}"/>
    <cellStyle name="计算 2 8 5 6" xfId="33263" xr:uid="{00000000-0005-0000-0000-00001F820000}"/>
    <cellStyle name="计算 2 8 5 6 2" xfId="14867" xr:uid="{00000000-0005-0000-0000-0000433A0000}"/>
    <cellStyle name="计算 2 8 5 6 2 2" xfId="14873" xr:uid="{00000000-0005-0000-0000-0000493A0000}"/>
    <cellStyle name="计算 2 8 5 6 3" xfId="14876" xr:uid="{00000000-0005-0000-0000-00004C3A0000}"/>
    <cellStyle name="计算 2 8 5 6 3 2" xfId="33265" xr:uid="{00000000-0005-0000-0000-000021820000}"/>
    <cellStyle name="计算 2 8 5 6 4" xfId="33267" xr:uid="{00000000-0005-0000-0000-000023820000}"/>
    <cellStyle name="计算 2 8 5 6 4 2" xfId="33269" xr:uid="{00000000-0005-0000-0000-000025820000}"/>
    <cellStyle name="计算 2 8 5 6 5" xfId="9039" xr:uid="{00000000-0005-0000-0000-00007F230000}"/>
    <cellStyle name="计算 2 8 5 6 5 2" xfId="9048" xr:uid="{00000000-0005-0000-0000-000088230000}"/>
    <cellStyle name="计算 2 8 5 6 6" xfId="9059" xr:uid="{00000000-0005-0000-0000-000093230000}"/>
    <cellStyle name="计算 2 8 5 7" xfId="25081" xr:uid="{00000000-0005-0000-0000-000029620000}"/>
    <cellStyle name="计算 2 8 5 7 2" xfId="10041" xr:uid="{00000000-0005-0000-0000-000069270000}"/>
    <cellStyle name="计算 2 8 5 7 2 2" xfId="14897" xr:uid="{00000000-0005-0000-0000-0000613A0000}"/>
    <cellStyle name="计算 2 8 5 7 3" xfId="14901" xr:uid="{00000000-0005-0000-0000-0000653A0000}"/>
    <cellStyle name="计算 2 8 5 7 3 2" xfId="33272" xr:uid="{00000000-0005-0000-0000-000028820000}"/>
    <cellStyle name="计算 2 8 5 7 4" xfId="19611" xr:uid="{00000000-0005-0000-0000-0000CB4C0000}"/>
    <cellStyle name="计算 2 8 5 7 4 2" xfId="29801" xr:uid="{00000000-0005-0000-0000-000099740000}"/>
    <cellStyle name="计算 2 8 5 7 5" xfId="5846" xr:uid="{00000000-0005-0000-0000-000006170000}"/>
    <cellStyle name="计算 2 8 5 7 5 2" xfId="9100" xr:uid="{00000000-0005-0000-0000-0000BC230000}"/>
    <cellStyle name="计算 2 8 5 7 6" xfId="9112" xr:uid="{00000000-0005-0000-0000-0000C8230000}"/>
    <cellStyle name="计算 2 8 5 8" xfId="33275" xr:uid="{00000000-0005-0000-0000-00002B820000}"/>
    <cellStyle name="计算 2 8 5 8 2" xfId="10055" xr:uid="{00000000-0005-0000-0000-000077270000}"/>
    <cellStyle name="计算 2 8 5 8 2 2" xfId="14912" xr:uid="{00000000-0005-0000-0000-0000703A0000}"/>
    <cellStyle name="计算 2 8 5 8 3" xfId="14915" xr:uid="{00000000-0005-0000-0000-0000733A0000}"/>
    <cellStyle name="计算 2 8 5 8 3 2" xfId="33276" xr:uid="{00000000-0005-0000-0000-00002C820000}"/>
    <cellStyle name="计算 2 8 5 8 4" xfId="33277" xr:uid="{00000000-0005-0000-0000-00002D820000}"/>
    <cellStyle name="计算 2 8 5 8 4 2" xfId="30294" xr:uid="{00000000-0005-0000-0000-000086760000}"/>
    <cellStyle name="计算 2 8 5 8 5" xfId="5877" xr:uid="{00000000-0005-0000-0000-000025170000}"/>
    <cellStyle name="计算 2 8 5 9" xfId="10064" xr:uid="{00000000-0005-0000-0000-000080270000}"/>
    <cellStyle name="计算 2 8 5 9 2" xfId="10070" xr:uid="{00000000-0005-0000-0000-000086270000}"/>
    <cellStyle name="计算 2 8 6" xfId="4501" xr:uid="{00000000-0005-0000-0000-0000C5110000}"/>
    <cellStyle name="计算 2 8 6 10" xfId="33278" xr:uid="{00000000-0005-0000-0000-00002E820000}"/>
    <cellStyle name="计算 2 8 6 10 2" xfId="6692" xr:uid="{00000000-0005-0000-0000-0000541A0000}"/>
    <cellStyle name="计算 2 8 6 11" xfId="33281" xr:uid="{00000000-0005-0000-0000-000031820000}"/>
    <cellStyle name="计算 2 8 6 11 2" xfId="6745" xr:uid="{00000000-0005-0000-0000-0000891A0000}"/>
    <cellStyle name="计算 2 8 6 12" xfId="33282" xr:uid="{00000000-0005-0000-0000-000032820000}"/>
    <cellStyle name="计算 2 8 6 12 2" xfId="6815" xr:uid="{00000000-0005-0000-0000-0000CF1A0000}"/>
    <cellStyle name="计算 2 8 6 13" xfId="29843" xr:uid="{00000000-0005-0000-0000-0000C3740000}"/>
    <cellStyle name="计算 2 8 6 14" xfId="22829" xr:uid="{00000000-0005-0000-0000-00005D590000}"/>
    <cellStyle name="计算 2 8 6 15" xfId="29847" xr:uid="{00000000-0005-0000-0000-0000C7740000}"/>
    <cellStyle name="计算 2 8 6 16" xfId="29851" xr:uid="{00000000-0005-0000-0000-0000CB740000}"/>
    <cellStyle name="计算 2 8 6 2" xfId="33284" xr:uid="{00000000-0005-0000-0000-000034820000}"/>
    <cellStyle name="计算 2 8 6 2 2" xfId="20003" xr:uid="{00000000-0005-0000-0000-0000534E0000}"/>
    <cellStyle name="计算 2 8 6 2 2 2" xfId="20005" xr:uid="{00000000-0005-0000-0000-0000554E0000}"/>
    <cellStyle name="计算 2 8 6 2 3" xfId="20007" xr:uid="{00000000-0005-0000-0000-0000574E0000}"/>
    <cellStyle name="计算 2 8 6 2 3 2" xfId="33285" xr:uid="{00000000-0005-0000-0000-000035820000}"/>
    <cellStyle name="计算 2 8 6 2 4" xfId="3192" xr:uid="{00000000-0005-0000-0000-0000A80C0000}"/>
    <cellStyle name="计算 2 8 6 2 4 2" xfId="33287" xr:uid="{00000000-0005-0000-0000-000037820000}"/>
    <cellStyle name="计算 2 8 6 2 5" xfId="6532" xr:uid="{00000000-0005-0000-0000-0000B4190000}"/>
    <cellStyle name="计算 2 8 6 2 5 2" xfId="9193" xr:uid="{00000000-0005-0000-0000-000019240000}"/>
    <cellStyle name="计算 2 8 6 2 6" xfId="7697" xr:uid="{00000000-0005-0000-0000-0000411E0000}"/>
    <cellStyle name="计算 2 8 6 2 7" xfId="9201" xr:uid="{00000000-0005-0000-0000-000021240000}"/>
    <cellStyle name="计算 2 8 6 2 8" xfId="9208" xr:uid="{00000000-0005-0000-0000-000028240000}"/>
    <cellStyle name="计算 2 8 6 2 9" xfId="9222" xr:uid="{00000000-0005-0000-0000-000036240000}"/>
    <cellStyle name="计算 2 8 6 3" xfId="33288" xr:uid="{00000000-0005-0000-0000-000038820000}"/>
    <cellStyle name="计算 2 8 6 3 2" xfId="12005" xr:uid="{00000000-0005-0000-0000-0000152F0000}"/>
    <cellStyle name="计算 2 8 6 3 2 2" xfId="14956" xr:uid="{00000000-0005-0000-0000-00009C3A0000}"/>
    <cellStyle name="计算 2 8 6 3 3" xfId="14958" xr:uid="{00000000-0005-0000-0000-00009E3A0000}"/>
    <cellStyle name="计算 2 8 6 3 3 2" xfId="30513" xr:uid="{00000000-0005-0000-0000-000061770000}"/>
    <cellStyle name="计算 2 8 6 3 4" xfId="3199" xr:uid="{00000000-0005-0000-0000-0000AF0C0000}"/>
    <cellStyle name="计算 2 8 6 3 4 2" xfId="30514" xr:uid="{00000000-0005-0000-0000-000062770000}"/>
    <cellStyle name="计算 2 8 6 3 5" xfId="6545" xr:uid="{00000000-0005-0000-0000-0000C1190000}"/>
    <cellStyle name="计算 2 8 6 3 5 2" xfId="9235" xr:uid="{00000000-0005-0000-0000-000043240000}"/>
    <cellStyle name="计算 2 8 6 3 6" xfId="7705" xr:uid="{00000000-0005-0000-0000-0000491E0000}"/>
    <cellStyle name="计算 2 8 6 4" xfId="23511" xr:uid="{00000000-0005-0000-0000-0000075C0000}"/>
    <cellStyle name="计算 2 8 6 4 2" xfId="12009" xr:uid="{00000000-0005-0000-0000-0000192F0000}"/>
    <cellStyle name="计算 2 8 6 4 2 2" xfId="14973" xr:uid="{00000000-0005-0000-0000-0000AD3A0000}"/>
    <cellStyle name="计算 2 8 6 4 3" xfId="14975" xr:uid="{00000000-0005-0000-0000-0000AF3A0000}"/>
    <cellStyle name="计算 2 8 6 4 3 2" xfId="33289" xr:uid="{00000000-0005-0000-0000-000039820000}"/>
    <cellStyle name="计算 2 8 6 4 4" xfId="33291" xr:uid="{00000000-0005-0000-0000-00003B820000}"/>
    <cellStyle name="计算 2 8 6 4 4 2" xfId="33292" xr:uid="{00000000-0005-0000-0000-00003C820000}"/>
    <cellStyle name="计算 2 8 6 4 5" xfId="6561" xr:uid="{00000000-0005-0000-0000-0000D1190000}"/>
    <cellStyle name="计算 2 8 6 4 5 2" xfId="3301" xr:uid="{00000000-0005-0000-0000-0000150D0000}"/>
    <cellStyle name="计算 2 8 6 4 6" xfId="7716" xr:uid="{00000000-0005-0000-0000-0000541E0000}"/>
    <cellStyle name="计算 2 8 6 5" xfId="33293" xr:uid="{00000000-0005-0000-0000-00003D820000}"/>
    <cellStyle name="计算 2 8 6 5 2" xfId="12016" xr:uid="{00000000-0005-0000-0000-0000202F0000}"/>
    <cellStyle name="计算 2 8 6 5 2 2" xfId="14985" xr:uid="{00000000-0005-0000-0000-0000B93A0000}"/>
    <cellStyle name="计算 2 8 6 5 3" xfId="14987" xr:uid="{00000000-0005-0000-0000-0000BB3A0000}"/>
    <cellStyle name="计算 2 8 6 5 3 2" xfId="33295" xr:uid="{00000000-0005-0000-0000-00003F820000}"/>
    <cellStyle name="计算 2 8 6 5 4" xfId="33296" xr:uid="{00000000-0005-0000-0000-000040820000}"/>
    <cellStyle name="计算 2 8 6 5 4 2" xfId="33297" xr:uid="{00000000-0005-0000-0000-000041820000}"/>
    <cellStyle name="计算 2 8 6 5 5" xfId="9275" xr:uid="{00000000-0005-0000-0000-00006B240000}"/>
    <cellStyle name="计算 2 8 6 5 5 2" xfId="9277" xr:uid="{00000000-0005-0000-0000-00006D240000}"/>
    <cellStyle name="计算 2 8 6 5 6" xfId="9280" xr:uid="{00000000-0005-0000-0000-000070240000}"/>
    <cellStyle name="计算 2 8 6 6" xfId="33298" xr:uid="{00000000-0005-0000-0000-000042820000}"/>
    <cellStyle name="计算 2 8 6 6 2" xfId="12027" xr:uid="{00000000-0005-0000-0000-00002B2F0000}"/>
    <cellStyle name="计算 2 8 6 6 2 2" xfId="15002" xr:uid="{00000000-0005-0000-0000-0000CA3A0000}"/>
    <cellStyle name="计算 2 8 6 6 3" xfId="15005" xr:uid="{00000000-0005-0000-0000-0000CD3A0000}"/>
    <cellStyle name="计算 2 8 6 6 3 2" xfId="33299" xr:uid="{00000000-0005-0000-0000-000043820000}"/>
    <cellStyle name="计算 2 8 6 6 4" xfId="33300" xr:uid="{00000000-0005-0000-0000-000044820000}"/>
    <cellStyle name="计算 2 8 6 6 4 2" xfId="33301" xr:uid="{00000000-0005-0000-0000-000045820000}"/>
    <cellStyle name="计算 2 8 6 6 5" xfId="326" xr:uid="{00000000-0005-0000-0000-000066010000}"/>
    <cellStyle name="计算 2 8 6 6 5 2" xfId="7289" xr:uid="{00000000-0005-0000-0000-0000A91C0000}"/>
    <cellStyle name="计算 2 8 6 6 6" xfId="9302" xr:uid="{00000000-0005-0000-0000-000086240000}"/>
    <cellStyle name="计算 2 8 6 7" xfId="25093" xr:uid="{00000000-0005-0000-0000-000035620000}"/>
    <cellStyle name="计算 2 8 6 7 2" xfId="10099" xr:uid="{00000000-0005-0000-0000-0000A3270000}"/>
    <cellStyle name="计算 2 8 6 7 2 2" xfId="15023" xr:uid="{00000000-0005-0000-0000-0000DF3A0000}"/>
    <cellStyle name="计算 2 8 6 7 3" xfId="15027" xr:uid="{00000000-0005-0000-0000-0000E33A0000}"/>
    <cellStyle name="计算 2 8 6 7 3 2" xfId="33302" xr:uid="{00000000-0005-0000-0000-000046820000}"/>
    <cellStyle name="计算 2 8 6 7 4" xfId="20097" xr:uid="{00000000-0005-0000-0000-0000B14E0000}"/>
    <cellStyle name="计算 2 8 6 7 4 2" xfId="33303" xr:uid="{00000000-0005-0000-0000-000047820000}"/>
    <cellStyle name="计算 2 8 6 7 5" xfId="680" xr:uid="{00000000-0005-0000-0000-0000D8020000}"/>
    <cellStyle name="计算 2 8 6 7 5 2" xfId="9320" xr:uid="{00000000-0005-0000-0000-000098240000}"/>
    <cellStyle name="计算 2 8 6 7 6" xfId="9325" xr:uid="{00000000-0005-0000-0000-00009D240000}"/>
    <cellStyle name="计算 2 8 6 8" xfId="33304" xr:uid="{00000000-0005-0000-0000-000048820000}"/>
    <cellStyle name="计算 2 8 6 8 2" xfId="10112" xr:uid="{00000000-0005-0000-0000-0000B0270000}"/>
    <cellStyle name="计算 2 8 6 8 2 2" xfId="15045" xr:uid="{00000000-0005-0000-0000-0000F53A0000}"/>
    <cellStyle name="计算 2 8 6 8 3" xfId="15046" xr:uid="{00000000-0005-0000-0000-0000F63A0000}"/>
    <cellStyle name="计算 2 8 6 8 3 2" xfId="30564" xr:uid="{00000000-0005-0000-0000-000094770000}"/>
    <cellStyle name="计算 2 8 6 8 4" xfId="30568" xr:uid="{00000000-0005-0000-0000-000098770000}"/>
    <cellStyle name="计算 2 8 6 8 4 2" xfId="30569" xr:uid="{00000000-0005-0000-0000-000099770000}"/>
    <cellStyle name="计算 2 8 6 8 5" xfId="6002" xr:uid="{00000000-0005-0000-0000-0000A2170000}"/>
    <cellStyle name="计算 2 8 6 9" xfId="10123" xr:uid="{00000000-0005-0000-0000-0000BB270000}"/>
    <cellStyle name="计算 2 8 6 9 2" xfId="10129" xr:uid="{00000000-0005-0000-0000-0000C1270000}"/>
    <cellStyle name="计算 2 8 7" xfId="33305" xr:uid="{00000000-0005-0000-0000-000049820000}"/>
    <cellStyle name="计算 2 8 7 10" xfId="19202" xr:uid="{00000000-0005-0000-0000-0000324B0000}"/>
    <cellStyle name="计算 2 8 7 10 2" xfId="488" xr:uid="{00000000-0005-0000-0000-000014020000}"/>
    <cellStyle name="计算 2 8 7 11" xfId="25841" xr:uid="{00000000-0005-0000-0000-000021650000}"/>
    <cellStyle name="计算 2 8 7 11 2" xfId="25846" xr:uid="{00000000-0005-0000-0000-000026650000}"/>
    <cellStyle name="计算 2 8 7 12" xfId="25850" xr:uid="{00000000-0005-0000-0000-00002A650000}"/>
    <cellStyle name="计算 2 8 7 12 2" xfId="25858" xr:uid="{00000000-0005-0000-0000-000032650000}"/>
    <cellStyle name="计算 2 8 7 13" xfId="25867" xr:uid="{00000000-0005-0000-0000-00003B650000}"/>
    <cellStyle name="计算 2 8 7 14" xfId="25874" xr:uid="{00000000-0005-0000-0000-000042650000}"/>
    <cellStyle name="计算 2 8 7 15" xfId="15522" xr:uid="{00000000-0005-0000-0000-0000D23C0000}"/>
    <cellStyle name="计算 2 8 7 16" xfId="33307" xr:uid="{00000000-0005-0000-0000-00004B820000}"/>
    <cellStyle name="计算 2 8 7 2" xfId="33308" xr:uid="{00000000-0005-0000-0000-00004C820000}"/>
    <cellStyle name="计算 2 8 7 2 2" xfId="33309" xr:uid="{00000000-0005-0000-0000-00004D820000}"/>
    <cellStyle name="计算 2 8 7 2 2 2" xfId="33311" xr:uid="{00000000-0005-0000-0000-00004F820000}"/>
    <cellStyle name="计算 2 8 7 2 3" xfId="33312" xr:uid="{00000000-0005-0000-0000-000050820000}"/>
    <cellStyle name="计算 2 8 7 2 3 2" xfId="33314" xr:uid="{00000000-0005-0000-0000-000052820000}"/>
    <cellStyle name="计算 2 8 7 2 4" xfId="33315" xr:uid="{00000000-0005-0000-0000-000053820000}"/>
    <cellStyle name="计算 2 8 7 2 4 2" xfId="33316" xr:uid="{00000000-0005-0000-0000-000054820000}"/>
    <cellStyle name="计算 2 8 7 2 5" xfId="33317" xr:uid="{00000000-0005-0000-0000-000055820000}"/>
    <cellStyle name="计算 2 8 7 2 5 2" xfId="33318" xr:uid="{00000000-0005-0000-0000-000056820000}"/>
    <cellStyle name="计算 2 8 7 2 6" xfId="33319" xr:uid="{00000000-0005-0000-0000-000057820000}"/>
    <cellStyle name="计算 2 8 7 2 7" xfId="33320" xr:uid="{00000000-0005-0000-0000-000058820000}"/>
    <cellStyle name="计算 2 8 7 2 8" xfId="33321" xr:uid="{00000000-0005-0000-0000-000059820000}"/>
    <cellStyle name="计算 2 8 7 2 9" xfId="33322" xr:uid="{00000000-0005-0000-0000-00005A820000}"/>
    <cellStyle name="计算 2 8 7 3" xfId="33323" xr:uid="{00000000-0005-0000-0000-00005B820000}"/>
    <cellStyle name="计算 2 8 7 3 2" xfId="12044" xr:uid="{00000000-0005-0000-0000-00003C2F0000}"/>
    <cellStyle name="计算 2 8 7 3 2 2" xfId="15087" xr:uid="{00000000-0005-0000-0000-00001F3B0000}"/>
    <cellStyle name="计算 2 8 7 3 3" xfId="15089" xr:uid="{00000000-0005-0000-0000-0000213B0000}"/>
    <cellStyle name="计算 2 8 7 3 3 2" xfId="33324" xr:uid="{00000000-0005-0000-0000-00005C820000}"/>
    <cellStyle name="计算 2 8 7 3 4" xfId="1710" xr:uid="{00000000-0005-0000-0000-0000DE060000}"/>
    <cellStyle name="计算 2 8 7 3 4 2" xfId="33325" xr:uid="{00000000-0005-0000-0000-00005D820000}"/>
    <cellStyle name="计算 2 8 7 3 5" xfId="13423" xr:uid="{00000000-0005-0000-0000-00009F340000}"/>
    <cellStyle name="计算 2 8 7 3 5 2" xfId="33326" xr:uid="{00000000-0005-0000-0000-00005E820000}"/>
    <cellStyle name="计算 2 8 7 3 6" xfId="15091" xr:uid="{00000000-0005-0000-0000-0000233B0000}"/>
    <cellStyle name="计算 2 8 7 4" xfId="23516" xr:uid="{00000000-0005-0000-0000-00000C5C0000}"/>
    <cellStyle name="计算 2 8 7 4 2" xfId="12055" xr:uid="{00000000-0005-0000-0000-0000472F0000}"/>
    <cellStyle name="计算 2 8 7 4 2 2" xfId="15112" xr:uid="{00000000-0005-0000-0000-0000383B0000}"/>
    <cellStyle name="计算 2 8 7 4 3" xfId="15116" xr:uid="{00000000-0005-0000-0000-00003C3B0000}"/>
    <cellStyle name="计算 2 8 7 4 3 2" xfId="13741" xr:uid="{00000000-0005-0000-0000-0000DD350000}"/>
    <cellStyle name="计算 2 8 7 4 4" xfId="33329" xr:uid="{00000000-0005-0000-0000-000061820000}"/>
    <cellStyle name="计算 2 8 7 4 4 2" xfId="33332" xr:uid="{00000000-0005-0000-0000-000064820000}"/>
    <cellStyle name="计算 2 8 7 4 5" xfId="33337" xr:uid="{00000000-0005-0000-0000-000069820000}"/>
    <cellStyle name="计算 2 8 7 4 5 2" xfId="33341" xr:uid="{00000000-0005-0000-0000-00006D820000}"/>
    <cellStyle name="计算 2 8 7 4 6" xfId="33345" xr:uid="{00000000-0005-0000-0000-000071820000}"/>
    <cellStyle name="计算 2 8 7 5" xfId="33346" xr:uid="{00000000-0005-0000-0000-000072820000}"/>
    <cellStyle name="计算 2 8 7 5 2" xfId="12063" xr:uid="{00000000-0005-0000-0000-00004F2F0000}"/>
    <cellStyle name="计算 2 8 7 5 2 2" xfId="15130" xr:uid="{00000000-0005-0000-0000-00004A3B0000}"/>
    <cellStyle name="计算 2 8 7 5 3" xfId="15132" xr:uid="{00000000-0005-0000-0000-00004C3B0000}"/>
    <cellStyle name="计算 2 8 7 5 3 2" xfId="33348" xr:uid="{00000000-0005-0000-0000-000074820000}"/>
    <cellStyle name="计算 2 8 7 5 4" xfId="33349" xr:uid="{00000000-0005-0000-0000-000075820000}"/>
    <cellStyle name="计算 2 8 7 5 4 2" xfId="33351" xr:uid="{00000000-0005-0000-0000-000077820000}"/>
    <cellStyle name="计算 2 8 7 5 5" xfId="33352" xr:uid="{00000000-0005-0000-0000-000078820000}"/>
    <cellStyle name="计算 2 8 7 5 5 2" xfId="33353" xr:uid="{00000000-0005-0000-0000-000079820000}"/>
    <cellStyle name="计算 2 8 7 5 6" xfId="29724" xr:uid="{00000000-0005-0000-0000-00004C740000}"/>
    <cellStyle name="计算 2 8 7 6" xfId="33355" xr:uid="{00000000-0005-0000-0000-00007B820000}"/>
    <cellStyle name="计算 2 8 7 6 2" xfId="12075" xr:uid="{00000000-0005-0000-0000-00005B2F0000}"/>
    <cellStyle name="计算 2 8 7 6 2 2" xfId="15151" xr:uid="{00000000-0005-0000-0000-00005F3B0000}"/>
    <cellStyle name="计算 2 8 7 6 3" xfId="15156" xr:uid="{00000000-0005-0000-0000-0000643B0000}"/>
    <cellStyle name="计算 2 8 7 6 3 2" xfId="33356" xr:uid="{00000000-0005-0000-0000-00007C820000}"/>
    <cellStyle name="计算 2 8 7 6 4" xfId="33357" xr:uid="{00000000-0005-0000-0000-00007D820000}"/>
    <cellStyle name="计算 2 8 7 6 4 2" xfId="33358" xr:uid="{00000000-0005-0000-0000-00007E820000}"/>
    <cellStyle name="计算 2 8 7 6 5" xfId="33359" xr:uid="{00000000-0005-0000-0000-00007F820000}"/>
    <cellStyle name="计算 2 8 7 6 5 2" xfId="33360" xr:uid="{00000000-0005-0000-0000-000080820000}"/>
    <cellStyle name="计算 2 8 7 6 6" xfId="29731" xr:uid="{00000000-0005-0000-0000-000053740000}"/>
    <cellStyle name="计算 2 8 7 7" xfId="33363" xr:uid="{00000000-0005-0000-0000-000083820000}"/>
    <cellStyle name="计算 2 8 7 7 2" xfId="10144" xr:uid="{00000000-0005-0000-0000-0000D0270000}"/>
    <cellStyle name="计算 2 8 7 7 2 2" xfId="15170" xr:uid="{00000000-0005-0000-0000-0000723B0000}"/>
    <cellStyle name="计算 2 8 7 7 3" xfId="15173" xr:uid="{00000000-0005-0000-0000-0000753B0000}"/>
    <cellStyle name="计算 2 8 7 7 3 2" xfId="33364" xr:uid="{00000000-0005-0000-0000-000084820000}"/>
    <cellStyle name="计算 2 8 7 7 4" xfId="33365" xr:uid="{00000000-0005-0000-0000-000085820000}"/>
    <cellStyle name="计算 2 8 7 7 4 2" xfId="33366" xr:uid="{00000000-0005-0000-0000-000086820000}"/>
    <cellStyle name="计算 2 8 7 7 5" xfId="33367" xr:uid="{00000000-0005-0000-0000-000087820000}"/>
    <cellStyle name="计算 2 8 7 7 5 2" xfId="33368" xr:uid="{00000000-0005-0000-0000-000088820000}"/>
    <cellStyle name="计算 2 8 7 7 6" xfId="29739" xr:uid="{00000000-0005-0000-0000-00005B740000}"/>
    <cellStyle name="计算 2 8 7 8" xfId="33369" xr:uid="{00000000-0005-0000-0000-000089820000}"/>
    <cellStyle name="计算 2 8 7 8 2" xfId="10152" xr:uid="{00000000-0005-0000-0000-0000D8270000}"/>
    <cellStyle name="计算 2 8 7 8 2 2" xfId="15184" xr:uid="{00000000-0005-0000-0000-0000803B0000}"/>
    <cellStyle name="计算 2 8 7 8 3" xfId="15187" xr:uid="{00000000-0005-0000-0000-0000833B0000}"/>
    <cellStyle name="计算 2 8 7 8 3 2" xfId="33370" xr:uid="{00000000-0005-0000-0000-00008A820000}"/>
    <cellStyle name="计算 2 8 7 8 4" xfId="33371" xr:uid="{00000000-0005-0000-0000-00008B820000}"/>
    <cellStyle name="计算 2 8 7 8 4 2" xfId="33372" xr:uid="{00000000-0005-0000-0000-00008C820000}"/>
    <cellStyle name="计算 2 8 7 8 5" xfId="33373" xr:uid="{00000000-0005-0000-0000-00008D820000}"/>
    <cellStyle name="计算 2 8 7 9" xfId="10161" xr:uid="{00000000-0005-0000-0000-0000E1270000}"/>
    <cellStyle name="计算 2 8 7 9 2" xfId="10170" xr:uid="{00000000-0005-0000-0000-0000EA270000}"/>
    <cellStyle name="计算 2 8 8" xfId="33374" xr:uid="{00000000-0005-0000-0000-00008E820000}"/>
    <cellStyle name="计算 2 8 8 10" xfId="33375" xr:uid="{00000000-0005-0000-0000-00008F820000}"/>
    <cellStyle name="计算 2 8 8 10 2" xfId="33378" xr:uid="{00000000-0005-0000-0000-000092820000}"/>
    <cellStyle name="计算 2 8 8 11" xfId="12065" xr:uid="{00000000-0005-0000-0000-0000512F0000}"/>
    <cellStyle name="计算 2 8 8 11 2" xfId="33382" xr:uid="{00000000-0005-0000-0000-000096820000}"/>
    <cellStyle name="计算 2 8 8 12" xfId="33386" xr:uid="{00000000-0005-0000-0000-00009A820000}"/>
    <cellStyle name="计算 2 8 8 12 2" xfId="33391" xr:uid="{00000000-0005-0000-0000-00009F820000}"/>
    <cellStyle name="计算 2 8 8 13" xfId="33395" xr:uid="{00000000-0005-0000-0000-0000A3820000}"/>
    <cellStyle name="计算 2 8 8 14" xfId="33399" xr:uid="{00000000-0005-0000-0000-0000A7820000}"/>
    <cellStyle name="计算 2 8 8 15" xfId="33401" xr:uid="{00000000-0005-0000-0000-0000A9820000}"/>
    <cellStyle name="计算 2 8 8 16" xfId="33403" xr:uid="{00000000-0005-0000-0000-0000AB820000}"/>
    <cellStyle name="计算 2 8 8 2" xfId="33405" xr:uid="{00000000-0005-0000-0000-0000AD820000}"/>
    <cellStyle name="计算 2 8 8 2 2" xfId="33406" xr:uid="{00000000-0005-0000-0000-0000AE820000}"/>
    <cellStyle name="计算 2 8 8 2 2 2" xfId="33407" xr:uid="{00000000-0005-0000-0000-0000AF820000}"/>
    <cellStyle name="计算 2 8 8 2 3" xfId="33408" xr:uid="{00000000-0005-0000-0000-0000B0820000}"/>
    <cellStyle name="计算 2 8 8 2 3 2" xfId="33409" xr:uid="{00000000-0005-0000-0000-0000B1820000}"/>
    <cellStyle name="计算 2 8 8 2 4" xfId="33410" xr:uid="{00000000-0005-0000-0000-0000B2820000}"/>
    <cellStyle name="计算 2 8 8 2 4 2" xfId="33411" xr:uid="{00000000-0005-0000-0000-0000B3820000}"/>
    <cellStyle name="计算 2 8 8 2 5" xfId="33412" xr:uid="{00000000-0005-0000-0000-0000B4820000}"/>
    <cellStyle name="计算 2 8 8 2 5 2" xfId="33413" xr:uid="{00000000-0005-0000-0000-0000B5820000}"/>
    <cellStyle name="计算 2 8 8 2 6" xfId="33414" xr:uid="{00000000-0005-0000-0000-0000B6820000}"/>
    <cellStyle name="计算 2 8 8 2 7" xfId="33415" xr:uid="{00000000-0005-0000-0000-0000B7820000}"/>
    <cellStyle name="计算 2 8 8 2 8" xfId="27332" xr:uid="{00000000-0005-0000-0000-0000F46A0000}"/>
    <cellStyle name="计算 2 8 8 2 9" xfId="33416" xr:uid="{00000000-0005-0000-0000-0000B8820000}"/>
    <cellStyle name="计算 2 8 8 3" xfId="33417" xr:uid="{00000000-0005-0000-0000-0000B9820000}"/>
    <cellStyle name="计算 2 8 8 3 2" xfId="12092" xr:uid="{00000000-0005-0000-0000-00006C2F0000}"/>
    <cellStyle name="计算 2 8 8 3 2 2" xfId="15277" xr:uid="{00000000-0005-0000-0000-0000DD3B0000}"/>
    <cellStyle name="计算 2 8 8 3 3" xfId="15280" xr:uid="{00000000-0005-0000-0000-0000E03B0000}"/>
    <cellStyle name="计算 2 8 8 3 3 2" xfId="33418" xr:uid="{00000000-0005-0000-0000-0000BA820000}"/>
    <cellStyle name="计算 2 8 8 3 4" xfId="3000" xr:uid="{00000000-0005-0000-0000-0000E80B0000}"/>
    <cellStyle name="计算 2 8 8 3 4 2" xfId="33421" xr:uid="{00000000-0005-0000-0000-0000BD820000}"/>
    <cellStyle name="计算 2 8 8 3 5" xfId="13435" xr:uid="{00000000-0005-0000-0000-0000AB340000}"/>
    <cellStyle name="计算 2 8 8 3 5 2" xfId="33423" xr:uid="{00000000-0005-0000-0000-0000BF820000}"/>
    <cellStyle name="计算 2 8 8 3 6" xfId="15283" xr:uid="{00000000-0005-0000-0000-0000E33B0000}"/>
    <cellStyle name="计算 2 8 8 4" xfId="23519" xr:uid="{00000000-0005-0000-0000-00000F5C0000}"/>
    <cellStyle name="计算 2 8 8 4 2" xfId="12104" xr:uid="{00000000-0005-0000-0000-0000782F0000}"/>
    <cellStyle name="计算 2 8 8 4 2 2" xfId="15314" xr:uid="{00000000-0005-0000-0000-0000023C0000}"/>
    <cellStyle name="计算 2 8 8 4 3" xfId="15318" xr:uid="{00000000-0005-0000-0000-0000063C0000}"/>
    <cellStyle name="计算 2 8 8 4 3 2" xfId="33427" xr:uid="{00000000-0005-0000-0000-0000C3820000}"/>
    <cellStyle name="计算 2 8 8 4 4" xfId="33431" xr:uid="{00000000-0005-0000-0000-0000C7820000}"/>
    <cellStyle name="计算 2 8 8 4 4 2" xfId="33435" xr:uid="{00000000-0005-0000-0000-0000CB820000}"/>
    <cellStyle name="计算 2 8 8 4 5" xfId="33438" xr:uid="{00000000-0005-0000-0000-0000CE820000}"/>
    <cellStyle name="计算 2 8 8 4 5 2" xfId="33442" xr:uid="{00000000-0005-0000-0000-0000D2820000}"/>
    <cellStyle name="计算 2 8 8 4 6" xfId="33445" xr:uid="{00000000-0005-0000-0000-0000D5820000}"/>
    <cellStyle name="计算 2 8 8 5" xfId="33446" xr:uid="{00000000-0005-0000-0000-0000D6820000}"/>
    <cellStyle name="计算 2 8 8 5 2" xfId="12114" xr:uid="{00000000-0005-0000-0000-0000822F0000}"/>
    <cellStyle name="计算 2 8 8 5 2 2" xfId="13088" xr:uid="{00000000-0005-0000-0000-000050330000}"/>
    <cellStyle name="计算 2 8 8 5 3" xfId="15338" xr:uid="{00000000-0005-0000-0000-00001A3C0000}"/>
    <cellStyle name="计算 2 8 8 5 3 2" xfId="33448" xr:uid="{00000000-0005-0000-0000-0000D8820000}"/>
    <cellStyle name="计算 2 8 8 5 4" xfId="33449" xr:uid="{00000000-0005-0000-0000-0000D9820000}"/>
    <cellStyle name="计算 2 8 8 5 4 2" xfId="33451" xr:uid="{00000000-0005-0000-0000-0000DB820000}"/>
    <cellStyle name="计算 2 8 8 5 5" xfId="33452" xr:uid="{00000000-0005-0000-0000-0000DC820000}"/>
    <cellStyle name="计算 2 8 8 5 5 2" xfId="33454" xr:uid="{00000000-0005-0000-0000-0000DE820000}"/>
    <cellStyle name="计算 2 8 8 5 6" xfId="29758" xr:uid="{00000000-0005-0000-0000-00006E740000}"/>
    <cellStyle name="计算 2 8 8 6" xfId="33455" xr:uid="{00000000-0005-0000-0000-0000DF820000}"/>
    <cellStyle name="计算 2 8 8 6 2" xfId="240" xr:uid="{00000000-0005-0000-0000-000006010000}"/>
    <cellStyle name="计算 2 8 8 6 2 2" xfId="1139" xr:uid="{00000000-0005-0000-0000-0000A3040000}"/>
    <cellStyle name="计算 2 8 8 6 3" xfId="182" xr:uid="{00000000-0005-0000-0000-0000C4000000}"/>
    <cellStyle name="计算 2 8 8 6 3 2" xfId="33456" xr:uid="{00000000-0005-0000-0000-0000E0820000}"/>
    <cellStyle name="计算 2 8 8 6 4" xfId="33457" xr:uid="{00000000-0005-0000-0000-0000E1820000}"/>
    <cellStyle name="计算 2 8 8 6 4 2" xfId="33458" xr:uid="{00000000-0005-0000-0000-0000E2820000}"/>
    <cellStyle name="计算 2 8 8 6 5" xfId="33459" xr:uid="{00000000-0005-0000-0000-0000E3820000}"/>
    <cellStyle name="计算 2 8 8 6 5 2" xfId="33460" xr:uid="{00000000-0005-0000-0000-0000E4820000}"/>
    <cellStyle name="计算 2 8 8 6 6" xfId="29764" xr:uid="{00000000-0005-0000-0000-000074740000}"/>
    <cellStyle name="计算 2 8 8 7" xfId="33462" xr:uid="{00000000-0005-0000-0000-0000E6820000}"/>
    <cellStyle name="计算 2 8 8 7 2" xfId="15375" xr:uid="{00000000-0005-0000-0000-00003F3C0000}"/>
    <cellStyle name="计算 2 8 8 7 2 2" xfId="15381" xr:uid="{00000000-0005-0000-0000-0000453C0000}"/>
    <cellStyle name="计算 2 8 8 7 3" xfId="15387" xr:uid="{00000000-0005-0000-0000-00004B3C0000}"/>
    <cellStyle name="计算 2 8 8 7 3 2" xfId="33463" xr:uid="{00000000-0005-0000-0000-0000E7820000}"/>
    <cellStyle name="计算 2 8 8 7 4" xfId="33465" xr:uid="{00000000-0005-0000-0000-0000E9820000}"/>
    <cellStyle name="计算 2 8 8 7 4 2" xfId="33466" xr:uid="{00000000-0005-0000-0000-0000EA820000}"/>
    <cellStyle name="计算 2 8 8 7 5" xfId="33467" xr:uid="{00000000-0005-0000-0000-0000EB820000}"/>
    <cellStyle name="计算 2 8 8 7 5 2" xfId="33468" xr:uid="{00000000-0005-0000-0000-0000EC820000}"/>
    <cellStyle name="计算 2 8 8 7 6" xfId="29772" xr:uid="{00000000-0005-0000-0000-00007C740000}"/>
    <cellStyle name="计算 2 8 8 8" xfId="33469" xr:uid="{00000000-0005-0000-0000-0000ED820000}"/>
    <cellStyle name="计算 2 8 8 8 2" xfId="15404" xr:uid="{00000000-0005-0000-0000-00005C3C0000}"/>
    <cellStyle name="计算 2 8 8 8 2 2" xfId="15408" xr:uid="{00000000-0005-0000-0000-0000603C0000}"/>
    <cellStyle name="计算 2 8 8 8 3" xfId="15414" xr:uid="{00000000-0005-0000-0000-0000663C0000}"/>
    <cellStyle name="计算 2 8 8 8 3 2" xfId="33470" xr:uid="{00000000-0005-0000-0000-0000EE820000}"/>
    <cellStyle name="计算 2 8 8 8 4" xfId="33474" xr:uid="{00000000-0005-0000-0000-0000F2820000}"/>
    <cellStyle name="计算 2 8 8 8 4 2" xfId="33476" xr:uid="{00000000-0005-0000-0000-0000F4820000}"/>
    <cellStyle name="计算 2 8 8 8 5" xfId="33478" xr:uid="{00000000-0005-0000-0000-0000F6820000}"/>
    <cellStyle name="计算 2 8 8 9" xfId="33480" xr:uid="{00000000-0005-0000-0000-0000F8820000}"/>
    <cellStyle name="计算 2 8 8 9 2" xfId="15431" xr:uid="{00000000-0005-0000-0000-0000773C0000}"/>
    <cellStyle name="计算 2 8 9" xfId="16556" xr:uid="{00000000-0005-0000-0000-0000DC400000}"/>
    <cellStyle name="计算 2 8 9 10" xfId="33481" xr:uid="{00000000-0005-0000-0000-0000F9820000}"/>
    <cellStyle name="计算 2 8 9 10 2" xfId="33483" xr:uid="{00000000-0005-0000-0000-0000FB820000}"/>
    <cellStyle name="计算 2 8 9 11" xfId="33485" xr:uid="{00000000-0005-0000-0000-0000FD820000}"/>
    <cellStyle name="计算 2 8 9 11 2" xfId="33486" xr:uid="{00000000-0005-0000-0000-0000FE820000}"/>
    <cellStyle name="计算 2 8 9 12" xfId="23725" xr:uid="{00000000-0005-0000-0000-0000DD5C0000}"/>
    <cellStyle name="计算 2 8 9 12 2" xfId="33488" xr:uid="{00000000-0005-0000-0000-000000830000}"/>
    <cellStyle name="计算 2 8 9 13" xfId="33490" xr:uid="{00000000-0005-0000-0000-000002830000}"/>
    <cellStyle name="计算 2 8 9 14" xfId="33491" xr:uid="{00000000-0005-0000-0000-000003830000}"/>
    <cellStyle name="计算 2 8 9 15" xfId="33493" xr:uid="{00000000-0005-0000-0000-000005830000}"/>
    <cellStyle name="计算 2 8 9 16" xfId="33494" xr:uid="{00000000-0005-0000-0000-000006830000}"/>
    <cellStyle name="计算 2 8 9 2" xfId="16560" xr:uid="{00000000-0005-0000-0000-0000E0400000}"/>
    <cellStyle name="计算 2 8 9 2 2" xfId="33495" xr:uid="{00000000-0005-0000-0000-000007830000}"/>
    <cellStyle name="计算 2 8 9 2 2 2" xfId="33496" xr:uid="{00000000-0005-0000-0000-000008830000}"/>
    <cellStyle name="计算 2 8 9 2 3" xfId="33497" xr:uid="{00000000-0005-0000-0000-000009830000}"/>
    <cellStyle name="计算 2 8 9 2 3 2" xfId="26167" xr:uid="{00000000-0005-0000-0000-000067660000}"/>
    <cellStyle name="计算 2 8 9 2 4" xfId="33499" xr:uid="{00000000-0005-0000-0000-00000B830000}"/>
    <cellStyle name="计算 2 8 9 2 4 2" xfId="26171" xr:uid="{00000000-0005-0000-0000-00006B660000}"/>
    <cellStyle name="计算 2 8 9 2 5" xfId="33500" xr:uid="{00000000-0005-0000-0000-00000C830000}"/>
    <cellStyle name="计算 2 8 9 2 5 2" xfId="28109" xr:uid="{00000000-0005-0000-0000-0000FD6D0000}"/>
    <cellStyle name="计算 2 8 9 2 6" xfId="32952" xr:uid="{00000000-0005-0000-0000-0000E8800000}"/>
    <cellStyle name="计算 2 8 9 2 7" xfId="33501" xr:uid="{00000000-0005-0000-0000-00000D830000}"/>
    <cellStyle name="计算 2 8 9 2 8" xfId="33502" xr:uid="{00000000-0005-0000-0000-00000E830000}"/>
    <cellStyle name="计算 2 8 9 2 9" xfId="33503" xr:uid="{00000000-0005-0000-0000-00000F830000}"/>
    <cellStyle name="计算 2 8 9 3" xfId="12130" xr:uid="{00000000-0005-0000-0000-0000922F0000}"/>
    <cellStyle name="计算 2 8 9 3 2" xfId="12136" xr:uid="{00000000-0005-0000-0000-0000982F0000}"/>
    <cellStyle name="计算 2 8 9 3 2 2" xfId="33504" xr:uid="{00000000-0005-0000-0000-000010830000}"/>
    <cellStyle name="计算 2 8 9 3 3" xfId="33506" xr:uid="{00000000-0005-0000-0000-000012830000}"/>
    <cellStyle name="计算 2 8 9 3 3 2" xfId="33508" xr:uid="{00000000-0005-0000-0000-000014830000}"/>
    <cellStyle name="计算 2 8 9 3 4" xfId="33511" xr:uid="{00000000-0005-0000-0000-000017830000}"/>
    <cellStyle name="计算 2 8 9 3 4 2" xfId="33513" xr:uid="{00000000-0005-0000-0000-000019830000}"/>
    <cellStyle name="计算 2 8 9 3 5" xfId="33515" xr:uid="{00000000-0005-0000-0000-00001B830000}"/>
    <cellStyle name="计算 2 8 9 3 5 2" xfId="33517" xr:uid="{00000000-0005-0000-0000-00001D830000}"/>
    <cellStyle name="计算 2 8 9 3 6" xfId="32957" xr:uid="{00000000-0005-0000-0000-0000ED800000}"/>
    <cellStyle name="计算 2 8 9 4" xfId="12143" xr:uid="{00000000-0005-0000-0000-00009F2F0000}"/>
    <cellStyle name="计算 2 8 9 4 2" xfId="12148" xr:uid="{00000000-0005-0000-0000-0000A42F0000}"/>
    <cellStyle name="计算 2 8 9 4 2 2" xfId="33518" xr:uid="{00000000-0005-0000-0000-00001E830000}"/>
    <cellStyle name="计算 2 8 9 4 3" xfId="33519" xr:uid="{00000000-0005-0000-0000-00001F830000}"/>
    <cellStyle name="计算 2 8 9 4 3 2" xfId="33520" xr:uid="{00000000-0005-0000-0000-000020830000}"/>
    <cellStyle name="计算 2 8 9 4 4" xfId="33522" xr:uid="{00000000-0005-0000-0000-000022830000}"/>
    <cellStyle name="计算 2 8 9 4 4 2" xfId="33523" xr:uid="{00000000-0005-0000-0000-000023830000}"/>
    <cellStyle name="计算 2 8 9 4 5" xfId="33524" xr:uid="{00000000-0005-0000-0000-000024830000}"/>
    <cellStyle name="计算 2 8 9 4 5 2" xfId="33525" xr:uid="{00000000-0005-0000-0000-000025830000}"/>
    <cellStyle name="计算 2 8 9 4 6" xfId="32961" xr:uid="{00000000-0005-0000-0000-0000F1800000}"/>
    <cellStyle name="计算 2 8 9 5" xfId="12153" xr:uid="{00000000-0005-0000-0000-0000A92F0000}"/>
    <cellStyle name="计算 2 8 9 5 2" xfId="12159" xr:uid="{00000000-0005-0000-0000-0000AF2F0000}"/>
    <cellStyle name="计算 2 8 9 5 2 2" xfId="20719" xr:uid="{00000000-0005-0000-0000-00001F510000}"/>
    <cellStyle name="计算 2 8 9 5 3" xfId="33526" xr:uid="{00000000-0005-0000-0000-000026830000}"/>
    <cellStyle name="计算 2 8 9 5 3 2" xfId="33527" xr:uid="{00000000-0005-0000-0000-000027830000}"/>
    <cellStyle name="计算 2 8 9 5 4" xfId="33528" xr:uid="{00000000-0005-0000-0000-000028830000}"/>
    <cellStyle name="计算 2 8 9 5 4 2" xfId="33529" xr:uid="{00000000-0005-0000-0000-000029830000}"/>
    <cellStyle name="计算 2 8 9 5 5" xfId="33530" xr:uid="{00000000-0005-0000-0000-00002A830000}"/>
    <cellStyle name="计算 2 8 9 5 5 2" xfId="33531" xr:uid="{00000000-0005-0000-0000-00002B830000}"/>
    <cellStyle name="计算 2 8 9 5 6" xfId="33532" xr:uid="{00000000-0005-0000-0000-00002C830000}"/>
    <cellStyle name="计算 2 8 9 6" xfId="12163" xr:uid="{00000000-0005-0000-0000-0000B32F0000}"/>
    <cellStyle name="计算 2 8 9 6 2" xfId="33533" xr:uid="{00000000-0005-0000-0000-00002D830000}"/>
    <cellStyle name="计算 2 8 9 6 2 2" xfId="21205" xr:uid="{00000000-0005-0000-0000-000005530000}"/>
    <cellStyle name="计算 2 8 9 6 3" xfId="33534" xr:uid="{00000000-0005-0000-0000-00002E830000}"/>
    <cellStyle name="计算 2 8 9 6 3 2" xfId="33535" xr:uid="{00000000-0005-0000-0000-00002F830000}"/>
    <cellStyle name="计算 2 8 9 6 4" xfId="33536" xr:uid="{00000000-0005-0000-0000-000030830000}"/>
    <cellStyle name="计算 2 8 9 6 4 2" xfId="33537" xr:uid="{00000000-0005-0000-0000-000031830000}"/>
    <cellStyle name="计算 2 8 9 6 5" xfId="33538" xr:uid="{00000000-0005-0000-0000-000032830000}"/>
    <cellStyle name="计算 2 8 9 6 5 2" xfId="33539" xr:uid="{00000000-0005-0000-0000-000033830000}"/>
    <cellStyle name="计算 2 8 9 6 6" xfId="33541" xr:uid="{00000000-0005-0000-0000-000035830000}"/>
    <cellStyle name="计算 2 8 9 7" xfId="7758" xr:uid="{00000000-0005-0000-0000-00007E1E0000}"/>
    <cellStyle name="计算 2 8 9 7 2" xfId="33542" xr:uid="{00000000-0005-0000-0000-000036830000}"/>
    <cellStyle name="计算 2 8 9 7 2 2" xfId="26781" xr:uid="{00000000-0005-0000-0000-0000CD680000}"/>
    <cellStyle name="计算 2 8 9 7 3" xfId="33543" xr:uid="{00000000-0005-0000-0000-000037830000}"/>
    <cellStyle name="计算 2 8 9 7 3 2" xfId="28776" xr:uid="{00000000-0005-0000-0000-000098700000}"/>
    <cellStyle name="计算 2 8 9 7 4" xfId="33544" xr:uid="{00000000-0005-0000-0000-000038830000}"/>
    <cellStyle name="计算 2 8 9 7 4 2" xfId="28902" xr:uid="{00000000-0005-0000-0000-000016710000}"/>
    <cellStyle name="计算 2 8 9 7 5" xfId="33545" xr:uid="{00000000-0005-0000-0000-000039830000}"/>
    <cellStyle name="计算 2 8 9 7 5 2" xfId="28981" xr:uid="{00000000-0005-0000-0000-000065710000}"/>
    <cellStyle name="计算 2 8 9 7 6" xfId="33547" xr:uid="{00000000-0005-0000-0000-00003B830000}"/>
    <cellStyle name="计算 2 8 9 8" xfId="13395" xr:uid="{00000000-0005-0000-0000-000083340000}"/>
    <cellStyle name="计算 2 8 9 8 2" xfId="33548" xr:uid="{00000000-0005-0000-0000-00003C830000}"/>
    <cellStyle name="计算 2 8 9 8 2 2" xfId="33550" xr:uid="{00000000-0005-0000-0000-00003E830000}"/>
    <cellStyle name="计算 2 8 9 8 3" xfId="33553" xr:uid="{00000000-0005-0000-0000-000041830000}"/>
    <cellStyle name="计算 2 8 9 8 3 2" xfId="33555" xr:uid="{00000000-0005-0000-0000-000043830000}"/>
    <cellStyle name="计算 2 8 9 8 4" xfId="33559" xr:uid="{00000000-0005-0000-0000-000047830000}"/>
    <cellStyle name="计算 2 8 9 8 4 2" xfId="33561" xr:uid="{00000000-0005-0000-0000-000049830000}"/>
    <cellStyle name="计算 2 8 9 8 5" xfId="33563" xr:uid="{00000000-0005-0000-0000-00004B830000}"/>
    <cellStyle name="计算 2 8 9 9" xfId="13400" xr:uid="{00000000-0005-0000-0000-000088340000}"/>
    <cellStyle name="计算 2 8 9 9 2" xfId="33565" xr:uid="{00000000-0005-0000-0000-00004D830000}"/>
    <cellStyle name="计算 2 9" xfId="13009" xr:uid="{00000000-0005-0000-0000-000001330000}"/>
    <cellStyle name="计算 2 9 10" xfId="33566" xr:uid="{00000000-0005-0000-0000-00004E830000}"/>
    <cellStyle name="计算 2 9 10 10" xfId="20017" xr:uid="{00000000-0005-0000-0000-0000614E0000}"/>
    <cellStyle name="计算 2 9 10 10 2" xfId="33567" xr:uid="{00000000-0005-0000-0000-00004F830000}"/>
    <cellStyle name="计算 2 9 10 11" xfId="13770" xr:uid="{00000000-0005-0000-0000-0000FA350000}"/>
    <cellStyle name="计算 2 9 10 11 2" xfId="33568" xr:uid="{00000000-0005-0000-0000-000050830000}"/>
    <cellStyle name="计算 2 9 10 12" xfId="20019" xr:uid="{00000000-0005-0000-0000-0000634E0000}"/>
    <cellStyle name="计算 2 9 10 12 2" xfId="33569" xr:uid="{00000000-0005-0000-0000-000051830000}"/>
    <cellStyle name="计算 2 9 10 13" xfId="20022" xr:uid="{00000000-0005-0000-0000-0000664E0000}"/>
    <cellStyle name="计算 2 9 10 14" xfId="33570" xr:uid="{00000000-0005-0000-0000-000052830000}"/>
    <cellStyle name="计算 2 9 10 15" xfId="33572" xr:uid="{00000000-0005-0000-0000-000054830000}"/>
    <cellStyle name="计算 2 9 10 16" xfId="33573" xr:uid="{00000000-0005-0000-0000-000055830000}"/>
    <cellStyle name="计算 2 9 10 2" xfId="33574" xr:uid="{00000000-0005-0000-0000-000056830000}"/>
    <cellStyle name="计算 2 9 10 2 2" xfId="33575" xr:uid="{00000000-0005-0000-0000-000057830000}"/>
    <cellStyle name="计算 2 9 10 2 2 2" xfId="33576" xr:uid="{00000000-0005-0000-0000-000058830000}"/>
    <cellStyle name="计算 2 9 10 2 3" xfId="30737" xr:uid="{00000000-0005-0000-0000-000041780000}"/>
    <cellStyle name="计算 2 9 10 2 3 2" xfId="33577" xr:uid="{00000000-0005-0000-0000-000059830000}"/>
    <cellStyle name="计算 2 9 10 2 4" xfId="15312" xr:uid="{00000000-0005-0000-0000-0000003C0000}"/>
    <cellStyle name="计算 2 9 10 2 4 2" xfId="33579" xr:uid="{00000000-0005-0000-0000-00005B830000}"/>
    <cellStyle name="计算 2 9 10 2 5" xfId="33581" xr:uid="{00000000-0005-0000-0000-00005D830000}"/>
    <cellStyle name="计算 2 9 10 2 5 2" xfId="33584" xr:uid="{00000000-0005-0000-0000-000060830000}"/>
    <cellStyle name="计算 2 9 10 2 6" xfId="33586" xr:uid="{00000000-0005-0000-0000-000062830000}"/>
    <cellStyle name="计算 2 9 10 2 7" xfId="33588" xr:uid="{00000000-0005-0000-0000-000064830000}"/>
    <cellStyle name="计算 2 9 10 2 8" xfId="33590" xr:uid="{00000000-0005-0000-0000-000066830000}"/>
    <cellStyle name="计算 2 9 10 2 9" xfId="33591" xr:uid="{00000000-0005-0000-0000-000067830000}"/>
    <cellStyle name="计算 2 9 10 3" xfId="33592" xr:uid="{00000000-0005-0000-0000-000068830000}"/>
    <cellStyle name="计算 2 9 10 3 2" xfId="30243" xr:uid="{00000000-0005-0000-0000-000053760000}"/>
    <cellStyle name="计算 2 9 10 3 2 2" xfId="33594" xr:uid="{00000000-0005-0000-0000-00006A830000}"/>
    <cellStyle name="计算 2 9 10 3 3" xfId="30743" xr:uid="{00000000-0005-0000-0000-000047780000}"/>
    <cellStyle name="计算 2 9 10 3 3 2" xfId="33595" xr:uid="{00000000-0005-0000-0000-00006B830000}"/>
    <cellStyle name="计算 2 9 10 3 4" xfId="33426" xr:uid="{00000000-0005-0000-0000-0000C2820000}"/>
    <cellStyle name="计算 2 9 10 3 4 2" xfId="33597" xr:uid="{00000000-0005-0000-0000-00006D830000}"/>
    <cellStyle name="计算 2 9 10 3 5" xfId="33599" xr:uid="{00000000-0005-0000-0000-00006F830000}"/>
    <cellStyle name="计算 2 9 10 3 5 2" xfId="33602" xr:uid="{00000000-0005-0000-0000-000072830000}"/>
    <cellStyle name="计算 2 9 10 3 6" xfId="33604" xr:uid="{00000000-0005-0000-0000-000074830000}"/>
    <cellStyle name="计算 2 9 10 4" xfId="24052" xr:uid="{00000000-0005-0000-0000-0000245E0000}"/>
    <cellStyle name="计算 2 9 10 4 2" xfId="24054" xr:uid="{00000000-0005-0000-0000-0000265E0000}"/>
    <cellStyle name="计算 2 9 10 4 2 2" xfId="33605" xr:uid="{00000000-0005-0000-0000-000075830000}"/>
    <cellStyle name="计算 2 9 10 4 3" xfId="30747" xr:uid="{00000000-0005-0000-0000-00004B780000}"/>
    <cellStyle name="计算 2 9 10 4 3 2" xfId="33606" xr:uid="{00000000-0005-0000-0000-000076830000}"/>
    <cellStyle name="计算 2 9 10 4 4" xfId="33434" xr:uid="{00000000-0005-0000-0000-0000CA820000}"/>
    <cellStyle name="计算 2 9 10 4 4 2" xfId="33608" xr:uid="{00000000-0005-0000-0000-000078830000}"/>
    <cellStyle name="计算 2 9 10 4 5" xfId="33610" xr:uid="{00000000-0005-0000-0000-00007A830000}"/>
    <cellStyle name="计算 2 9 10 4 5 2" xfId="33612" xr:uid="{00000000-0005-0000-0000-00007C830000}"/>
    <cellStyle name="计算 2 9 10 4 6" xfId="33614" xr:uid="{00000000-0005-0000-0000-00007E830000}"/>
    <cellStyle name="计算 2 9 10 5" xfId="24056" xr:uid="{00000000-0005-0000-0000-0000285E0000}"/>
    <cellStyle name="计算 2 9 10 5 2" xfId="24059" xr:uid="{00000000-0005-0000-0000-00002B5E0000}"/>
    <cellStyle name="计算 2 9 10 5 2 2" xfId="33615" xr:uid="{00000000-0005-0000-0000-00007F830000}"/>
    <cellStyle name="计算 2 9 10 5 3" xfId="30751" xr:uid="{00000000-0005-0000-0000-00004F780000}"/>
    <cellStyle name="计算 2 9 10 5 3 2" xfId="33617" xr:uid="{00000000-0005-0000-0000-000081830000}"/>
    <cellStyle name="计算 2 9 10 5 4" xfId="33441" xr:uid="{00000000-0005-0000-0000-0000D1820000}"/>
    <cellStyle name="计算 2 9 10 5 4 2" xfId="33619" xr:uid="{00000000-0005-0000-0000-000083830000}"/>
    <cellStyle name="计算 2 9 10 5 5" xfId="33621" xr:uid="{00000000-0005-0000-0000-000085830000}"/>
    <cellStyle name="计算 2 9 10 5 5 2" xfId="33623" xr:uid="{00000000-0005-0000-0000-000087830000}"/>
    <cellStyle name="计算 2 9 10 5 6" xfId="33625" xr:uid="{00000000-0005-0000-0000-000089830000}"/>
    <cellStyle name="计算 2 9 10 6" xfId="24063" xr:uid="{00000000-0005-0000-0000-00002F5E0000}"/>
    <cellStyle name="计算 2 9 10 6 2" xfId="24068" xr:uid="{00000000-0005-0000-0000-0000345E0000}"/>
    <cellStyle name="计算 2 9 10 6 2 2" xfId="33627" xr:uid="{00000000-0005-0000-0000-00008B830000}"/>
    <cellStyle name="计算 2 9 10 6 3" xfId="33629" xr:uid="{00000000-0005-0000-0000-00008D830000}"/>
    <cellStyle name="计算 2 9 10 6 3 2" xfId="33631" xr:uid="{00000000-0005-0000-0000-00008F830000}"/>
    <cellStyle name="计算 2 9 10 6 4" xfId="33633" xr:uid="{00000000-0005-0000-0000-000091830000}"/>
    <cellStyle name="计算 2 9 10 6 4 2" xfId="33636" xr:uid="{00000000-0005-0000-0000-000094830000}"/>
    <cellStyle name="计算 2 9 10 6 5" xfId="33639" xr:uid="{00000000-0005-0000-0000-000097830000}"/>
    <cellStyle name="计算 2 9 10 6 5 2" xfId="33642" xr:uid="{00000000-0005-0000-0000-00009A830000}"/>
    <cellStyle name="计算 2 9 10 6 6" xfId="16827" xr:uid="{00000000-0005-0000-0000-0000EB410000}"/>
    <cellStyle name="计算 2 9 10 7" xfId="24073" xr:uid="{00000000-0005-0000-0000-0000395E0000}"/>
    <cellStyle name="计算 2 9 10 7 2" xfId="24078" xr:uid="{00000000-0005-0000-0000-00003E5E0000}"/>
    <cellStyle name="计算 2 9 10 7 2 2" xfId="33645" xr:uid="{00000000-0005-0000-0000-00009D830000}"/>
    <cellStyle name="计算 2 9 10 7 3" xfId="33647" xr:uid="{00000000-0005-0000-0000-00009F830000}"/>
    <cellStyle name="计算 2 9 10 7 3 2" xfId="33649" xr:uid="{00000000-0005-0000-0000-0000A1830000}"/>
    <cellStyle name="计算 2 9 10 7 4" xfId="33651" xr:uid="{00000000-0005-0000-0000-0000A3830000}"/>
    <cellStyle name="计算 2 9 10 7 4 2" xfId="33653" xr:uid="{00000000-0005-0000-0000-0000A5830000}"/>
    <cellStyle name="计算 2 9 10 7 5" xfId="33655" xr:uid="{00000000-0005-0000-0000-0000A7830000}"/>
    <cellStyle name="计算 2 9 10 7 5 2" xfId="33657" xr:uid="{00000000-0005-0000-0000-0000A9830000}"/>
    <cellStyle name="计算 2 9 10 7 6" xfId="16833" xr:uid="{00000000-0005-0000-0000-0000F1410000}"/>
    <cellStyle name="计算 2 9 10 8" xfId="11163" xr:uid="{00000000-0005-0000-0000-0000CB2B0000}"/>
    <cellStyle name="计算 2 9 10 8 2" xfId="28407" xr:uid="{00000000-0005-0000-0000-0000276F0000}"/>
    <cellStyle name="计算 2 9 10 8 2 2" xfId="5060" xr:uid="{00000000-0005-0000-0000-0000F4130000}"/>
    <cellStyle name="计算 2 9 10 8 3" xfId="33659" xr:uid="{00000000-0005-0000-0000-0000AB830000}"/>
    <cellStyle name="计算 2 9 10 8 3 2" xfId="5066" xr:uid="{00000000-0005-0000-0000-0000FA130000}"/>
    <cellStyle name="计算 2 9 10 8 4" xfId="33661" xr:uid="{00000000-0005-0000-0000-0000AD830000}"/>
    <cellStyle name="计算 2 9 10 8 4 2" xfId="33663" xr:uid="{00000000-0005-0000-0000-0000AF830000}"/>
    <cellStyle name="计算 2 9 10 8 5" xfId="33665" xr:uid="{00000000-0005-0000-0000-0000B1830000}"/>
    <cellStyle name="计算 2 9 10 9" xfId="28411" xr:uid="{00000000-0005-0000-0000-00002B6F0000}"/>
    <cellStyle name="计算 2 9 10 9 2" xfId="28415" xr:uid="{00000000-0005-0000-0000-00002F6F0000}"/>
    <cellStyle name="计算 2 9 11" xfId="24443" xr:uid="{00000000-0005-0000-0000-0000AB5F0000}"/>
    <cellStyle name="计算 2 9 11 10" xfId="3813" xr:uid="{00000000-0005-0000-0000-0000150F0000}"/>
    <cellStyle name="计算 2 9 11 10 2" xfId="33668" xr:uid="{00000000-0005-0000-0000-0000B4830000}"/>
    <cellStyle name="计算 2 9 11 11" xfId="33671" xr:uid="{00000000-0005-0000-0000-0000B7830000}"/>
    <cellStyle name="计算 2 9 11 11 2" xfId="33676" xr:uid="{00000000-0005-0000-0000-0000BC830000}"/>
    <cellStyle name="计算 2 9 11 12" xfId="24019" xr:uid="{00000000-0005-0000-0000-0000035E0000}"/>
    <cellStyle name="计算 2 9 11 12 2" xfId="33679" xr:uid="{00000000-0005-0000-0000-0000BF830000}"/>
    <cellStyle name="计算 2 9 11 13" xfId="30137" xr:uid="{00000000-0005-0000-0000-0000E9750000}"/>
    <cellStyle name="计算 2 9 11 14" xfId="33681" xr:uid="{00000000-0005-0000-0000-0000C1830000}"/>
    <cellStyle name="计算 2 9 11 15" xfId="33686" xr:uid="{00000000-0005-0000-0000-0000C6830000}"/>
    <cellStyle name="计算 2 9 11 16" xfId="33690" xr:uid="{00000000-0005-0000-0000-0000CA830000}"/>
    <cellStyle name="计算 2 9 11 2" xfId="24445" xr:uid="{00000000-0005-0000-0000-0000AD5F0000}"/>
    <cellStyle name="计算 2 9 11 2 2" xfId="13078" xr:uid="{00000000-0005-0000-0000-000046330000}"/>
    <cellStyle name="计算 2 9 11 2 2 2" xfId="3037" xr:uid="{00000000-0005-0000-0000-00000D0C0000}"/>
    <cellStyle name="计算 2 9 11 2 3" xfId="13084" xr:uid="{00000000-0005-0000-0000-00004C330000}"/>
    <cellStyle name="计算 2 9 11 2 3 2" xfId="33691" xr:uid="{00000000-0005-0000-0000-0000CB830000}"/>
    <cellStyle name="计算 2 9 11 2 4" xfId="13086" xr:uid="{00000000-0005-0000-0000-00004E330000}"/>
    <cellStyle name="计算 2 9 11 2 4 2" xfId="33692" xr:uid="{00000000-0005-0000-0000-0000CC830000}"/>
    <cellStyle name="计算 2 9 11 2 5" xfId="10425" xr:uid="{00000000-0005-0000-0000-0000E9280000}"/>
    <cellStyle name="计算 2 9 11 2 5 2" xfId="33693" xr:uid="{00000000-0005-0000-0000-0000CD830000}"/>
    <cellStyle name="计算 2 9 11 2 6" xfId="12528" xr:uid="{00000000-0005-0000-0000-000020310000}"/>
    <cellStyle name="计算 2 9 11 3" xfId="33696" xr:uid="{00000000-0005-0000-0000-0000D0830000}"/>
    <cellStyle name="计算 2 9 11 3 2" xfId="30314" xr:uid="{00000000-0005-0000-0000-00009A760000}"/>
    <cellStyle name="计算 2 9 11 3 2 2" xfId="33698" xr:uid="{00000000-0005-0000-0000-0000D2830000}"/>
    <cellStyle name="计算 2 9 11 3 3" xfId="30760" xr:uid="{00000000-0005-0000-0000-000058780000}"/>
    <cellStyle name="计算 2 9 11 3 3 2" xfId="33699" xr:uid="{00000000-0005-0000-0000-0000D3830000}"/>
    <cellStyle name="计算 2 9 11 3 4" xfId="33447" xr:uid="{00000000-0005-0000-0000-0000D7820000}"/>
    <cellStyle name="计算 2 9 11 3 4 2" xfId="16178" xr:uid="{00000000-0005-0000-0000-0000623F0000}"/>
    <cellStyle name="计算 2 9 11 3 5" xfId="33700" xr:uid="{00000000-0005-0000-0000-0000D4830000}"/>
    <cellStyle name="计算 2 9 11 3 5 2" xfId="33703" xr:uid="{00000000-0005-0000-0000-0000D7830000}"/>
    <cellStyle name="计算 2 9 11 3 6" xfId="33705" xr:uid="{00000000-0005-0000-0000-0000D9830000}"/>
    <cellStyle name="计算 2 9 11 4" xfId="24082" xr:uid="{00000000-0005-0000-0000-0000425E0000}"/>
    <cellStyle name="计算 2 9 11 4 2" xfId="24084" xr:uid="{00000000-0005-0000-0000-0000445E0000}"/>
    <cellStyle name="计算 2 9 11 4 2 2" xfId="33706" xr:uid="{00000000-0005-0000-0000-0000DA830000}"/>
    <cellStyle name="计算 2 9 11 4 3" xfId="30766" xr:uid="{00000000-0005-0000-0000-00005E780000}"/>
    <cellStyle name="计算 2 9 11 4 3 2" xfId="33707" xr:uid="{00000000-0005-0000-0000-0000DB830000}"/>
    <cellStyle name="计算 2 9 11 4 4" xfId="33450" xr:uid="{00000000-0005-0000-0000-0000DA820000}"/>
    <cellStyle name="计算 2 9 11 4 4 2" xfId="16896" xr:uid="{00000000-0005-0000-0000-000030420000}"/>
    <cellStyle name="计算 2 9 11 4 5" xfId="33708" xr:uid="{00000000-0005-0000-0000-0000DC830000}"/>
    <cellStyle name="计算 2 9 11 4 5 2" xfId="33710" xr:uid="{00000000-0005-0000-0000-0000DE830000}"/>
    <cellStyle name="计算 2 9 11 4 6" xfId="33711" xr:uid="{00000000-0005-0000-0000-0000DF830000}"/>
    <cellStyle name="计算 2 9 11 5" xfId="24086" xr:uid="{00000000-0005-0000-0000-0000465E0000}"/>
    <cellStyle name="计算 2 9 11 5 2" xfId="24089" xr:uid="{00000000-0005-0000-0000-0000495E0000}"/>
    <cellStyle name="计算 2 9 11 5 2 2" xfId="33712" xr:uid="{00000000-0005-0000-0000-0000E0830000}"/>
    <cellStyle name="计算 2 9 11 5 3" xfId="33713" xr:uid="{00000000-0005-0000-0000-0000E1830000}"/>
    <cellStyle name="计算 2 9 11 5 3 2" xfId="33715" xr:uid="{00000000-0005-0000-0000-0000E3830000}"/>
    <cellStyle name="计算 2 9 11 5 4" xfId="33453" xr:uid="{00000000-0005-0000-0000-0000DD820000}"/>
    <cellStyle name="计算 2 9 11 5 4 2" xfId="33716" xr:uid="{00000000-0005-0000-0000-0000E4830000}"/>
    <cellStyle name="计算 2 9 11 5 5" xfId="33717" xr:uid="{00000000-0005-0000-0000-0000E5830000}"/>
    <cellStyle name="计算 2 9 11 5 5 2" xfId="33718" xr:uid="{00000000-0005-0000-0000-0000E6830000}"/>
    <cellStyle name="计算 2 9 11 5 6" xfId="33719" xr:uid="{00000000-0005-0000-0000-0000E7830000}"/>
    <cellStyle name="计算 2 9 11 6" xfId="24096" xr:uid="{00000000-0005-0000-0000-0000505E0000}"/>
    <cellStyle name="计算 2 9 11 6 2" xfId="24101" xr:uid="{00000000-0005-0000-0000-0000555E0000}"/>
    <cellStyle name="计算 2 9 11 6 2 2" xfId="33721" xr:uid="{00000000-0005-0000-0000-0000E9830000}"/>
    <cellStyle name="计算 2 9 11 6 3" xfId="33723" xr:uid="{00000000-0005-0000-0000-0000EB830000}"/>
    <cellStyle name="计算 2 9 11 6 3 2" xfId="33727" xr:uid="{00000000-0005-0000-0000-0000EF830000}"/>
    <cellStyle name="计算 2 9 11 6 4" xfId="33729" xr:uid="{00000000-0005-0000-0000-0000F1830000}"/>
    <cellStyle name="计算 2 9 11 6 4 2" xfId="33731" xr:uid="{00000000-0005-0000-0000-0000F3830000}"/>
    <cellStyle name="计算 2 9 11 6 5" xfId="33733" xr:uid="{00000000-0005-0000-0000-0000F5830000}"/>
    <cellStyle name="计算 2 9 11 6 5 2" xfId="33735" xr:uid="{00000000-0005-0000-0000-0000F7830000}"/>
    <cellStyle name="计算 2 9 11 6 6" xfId="16846" xr:uid="{00000000-0005-0000-0000-0000FE410000}"/>
    <cellStyle name="计算 2 9 11 7" xfId="24106" xr:uid="{00000000-0005-0000-0000-00005A5E0000}"/>
    <cellStyle name="计算 2 9 11 7 2" xfId="1530" xr:uid="{00000000-0005-0000-0000-00002A060000}"/>
    <cellStyle name="计算 2 9 11 7 2 2" xfId="5289" xr:uid="{00000000-0005-0000-0000-0000D9140000}"/>
    <cellStyle name="计算 2 9 11 7 3" xfId="5307" xr:uid="{00000000-0005-0000-0000-0000EB140000}"/>
    <cellStyle name="计算 2 9 11 7 3 2" xfId="33738" xr:uid="{00000000-0005-0000-0000-0000FA830000}"/>
    <cellStyle name="计算 2 9 11 7 4" xfId="16" xr:uid="{00000000-0005-0000-0000-000012000000}"/>
    <cellStyle name="计算 2 9 11 7 4 2" xfId="33740" xr:uid="{00000000-0005-0000-0000-0000FC830000}"/>
    <cellStyle name="计算 2 9 11 7 5" xfId="616" xr:uid="{00000000-0005-0000-0000-000098020000}"/>
    <cellStyle name="计算 2 9 11 7 5 2" xfId="33742" xr:uid="{00000000-0005-0000-0000-0000FE830000}"/>
    <cellStyle name="计算 2 9 11 7 6" xfId="13191" xr:uid="{00000000-0005-0000-0000-0000B7330000}"/>
    <cellStyle name="计算 2 9 11 8" xfId="11172" xr:uid="{00000000-0005-0000-0000-0000D42B0000}"/>
    <cellStyle name="计算 2 9 11 8 2" xfId="28426" xr:uid="{00000000-0005-0000-0000-00003A6F0000}"/>
    <cellStyle name="计算 2 9 11 8 2 2" xfId="33745" xr:uid="{00000000-0005-0000-0000-000001840000}"/>
    <cellStyle name="计算 2 9 11 8 3" xfId="33747" xr:uid="{00000000-0005-0000-0000-000003840000}"/>
    <cellStyle name="计算 2 9 11 8 3 2" xfId="33749" xr:uid="{00000000-0005-0000-0000-000005840000}"/>
    <cellStyle name="计算 2 9 11 8 4" xfId="33751" xr:uid="{00000000-0005-0000-0000-000007840000}"/>
    <cellStyle name="计算 2 9 11 8 4 2" xfId="17792" xr:uid="{00000000-0005-0000-0000-0000B0450000}"/>
    <cellStyle name="计算 2 9 11 8 5" xfId="33753" xr:uid="{00000000-0005-0000-0000-000009840000}"/>
    <cellStyle name="计算 2 9 11 9" xfId="27652" xr:uid="{00000000-0005-0000-0000-0000346C0000}"/>
    <cellStyle name="计算 2 9 11 9 2" xfId="28429" xr:uid="{00000000-0005-0000-0000-00003D6F0000}"/>
    <cellStyle name="计算 2 9 12" xfId="24447" xr:uid="{00000000-0005-0000-0000-0000AF5F0000}"/>
    <cellStyle name="计算 2 9 12 2" xfId="24451" xr:uid="{00000000-0005-0000-0000-0000B35F0000}"/>
    <cellStyle name="计算 2 9 12 2 2" xfId="13509" xr:uid="{00000000-0005-0000-0000-0000F5340000}"/>
    <cellStyle name="计算 2 9 12 3" xfId="33754" xr:uid="{00000000-0005-0000-0000-00000A840000}"/>
    <cellStyle name="计算 2 9 12 3 2" xfId="30413" xr:uid="{00000000-0005-0000-0000-0000FD760000}"/>
    <cellStyle name="计算 2 9 12 4" xfId="24110" xr:uid="{00000000-0005-0000-0000-00005E5E0000}"/>
    <cellStyle name="计算 2 9 12 4 2" xfId="24113" xr:uid="{00000000-0005-0000-0000-0000615E0000}"/>
    <cellStyle name="计算 2 9 12 5" xfId="24115" xr:uid="{00000000-0005-0000-0000-0000635E0000}"/>
    <cellStyle name="计算 2 9 12 5 2" xfId="24124" xr:uid="{00000000-0005-0000-0000-00006C5E0000}"/>
    <cellStyle name="计算 2 9 12 6" xfId="24131" xr:uid="{00000000-0005-0000-0000-0000735E0000}"/>
    <cellStyle name="计算 2 9 12 7" xfId="24140" xr:uid="{00000000-0005-0000-0000-00007C5E0000}"/>
    <cellStyle name="计算 2 9 12 8" xfId="11179" xr:uid="{00000000-0005-0000-0000-0000DB2B0000}"/>
    <cellStyle name="计算 2 9 12 9" xfId="27659" xr:uid="{00000000-0005-0000-0000-00003B6C0000}"/>
    <cellStyle name="计算 2 9 13" xfId="24454" xr:uid="{00000000-0005-0000-0000-0000B65F0000}"/>
    <cellStyle name="计算 2 9 13 2" xfId="24456" xr:uid="{00000000-0005-0000-0000-0000B85F0000}"/>
    <cellStyle name="计算 2 9 13 2 2" xfId="33756" xr:uid="{00000000-0005-0000-0000-00000C840000}"/>
    <cellStyle name="计算 2 9 13 3" xfId="33759" xr:uid="{00000000-0005-0000-0000-00000F840000}"/>
    <cellStyle name="计算 2 9 13 3 2" xfId="33760" xr:uid="{00000000-0005-0000-0000-000010840000}"/>
    <cellStyle name="计算 2 9 13 4" xfId="24145" xr:uid="{00000000-0005-0000-0000-0000815E0000}"/>
    <cellStyle name="计算 2 9 13 4 2" xfId="24148" xr:uid="{00000000-0005-0000-0000-0000845E0000}"/>
    <cellStyle name="计算 2 9 13 5" xfId="24150" xr:uid="{00000000-0005-0000-0000-0000865E0000}"/>
    <cellStyle name="计算 2 9 13 5 2" xfId="24154" xr:uid="{00000000-0005-0000-0000-00008A5E0000}"/>
    <cellStyle name="计算 2 9 13 6" xfId="17236" xr:uid="{00000000-0005-0000-0000-000084430000}"/>
    <cellStyle name="计算 2 9 14" xfId="24" xr:uid="{00000000-0005-0000-0000-00001C000000}"/>
    <cellStyle name="计算 2 9 14 2" xfId="24458" xr:uid="{00000000-0005-0000-0000-0000BA5F0000}"/>
    <cellStyle name="计算 2 9 14 2 2" xfId="33762" xr:uid="{00000000-0005-0000-0000-000012840000}"/>
    <cellStyle name="计算 2 9 14 3" xfId="33765" xr:uid="{00000000-0005-0000-0000-000015840000}"/>
    <cellStyle name="计算 2 9 14 3 2" xfId="33766" xr:uid="{00000000-0005-0000-0000-000016840000}"/>
    <cellStyle name="计算 2 9 14 4" xfId="24165" xr:uid="{00000000-0005-0000-0000-0000955E0000}"/>
    <cellStyle name="计算 2 9 14 4 2" xfId="24168" xr:uid="{00000000-0005-0000-0000-0000985E0000}"/>
    <cellStyle name="计算 2 9 14 5" xfId="24170" xr:uid="{00000000-0005-0000-0000-00009A5E0000}"/>
    <cellStyle name="计算 2 9 14 5 2" xfId="24174" xr:uid="{00000000-0005-0000-0000-00009E5E0000}"/>
    <cellStyle name="计算 2 9 14 6" xfId="17242" xr:uid="{00000000-0005-0000-0000-00008A430000}"/>
    <cellStyle name="计算 2 9 15" xfId="2145" xr:uid="{00000000-0005-0000-0000-000091080000}"/>
    <cellStyle name="计算 2 9 15 2" xfId="33769" xr:uid="{00000000-0005-0000-0000-000019840000}"/>
    <cellStyle name="计算 2 9 15 2 2" xfId="33770" xr:uid="{00000000-0005-0000-0000-00001A840000}"/>
    <cellStyle name="计算 2 9 15 3" xfId="33772" xr:uid="{00000000-0005-0000-0000-00001C840000}"/>
    <cellStyle name="计算 2 9 15 3 2" xfId="33773" xr:uid="{00000000-0005-0000-0000-00001D840000}"/>
    <cellStyle name="计算 2 9 15 4" xfId="24183" xr:uid="{00000000-0005-0000-0000-0000A75E0000}"/>
    <cellStyle name="计算 2 9 15 4 2" xfId="24186" xr:uid="{00000000-0005-0000-0000-0000AA5E0000}"/>
    <cellStyle name="计算 2 9 15 5" xfId="24188" xr:uid="{00000000-0005-0000-0000-0000AC5E0000}"/>
    <cellStyle name="计算 2 9 15 5 2" xfId="24192" xr:uid="{00000000-0005-0000-0000-0000B05E0000}"/>
    <cellStyle name="计算 2 9 15 6" xfId="17251" xr:uid="{00000000-0005-0000-0000-000093430000}"/>
    <cellStyle name="计算 2 9 16" xfId="33776" xr:uid="{00000000-0005-0000-0000-000020840000}"/>
    <cellStyle name="计算 2 9 16 2" xfId="33778" xr:uid="{00000000-0005-0000-0000-000022840000}"/>
    <cellStyle name="计算 2 9 16 2 2" xfId="14203" xr:uid="{00000000-0005-0000-0000-0000AB370000}"/>
    <cellStyle name="计算 2 9 16 3" xfId="33779" xr:uid="{00000000-0005-0000-0000-000023840000}"/>
    <cellStyle name="计算 2 9 16 3 2" xfId="33780" xr:uid="{00000000-0005-0000-0000-000024840000}"/>
    <cellStyle name="计算 2 9 16 4" xfId="24199" xr:uid="{00000000-0005-0000-0000-0000B75E0000}"/>
    <cellStyle name="计算 2 9 16 4 2" xfId="33782" xr:uid="{00000000-0005-0000-0000-000026840000}"/>
    <cellStyle name="计算 2 9 16 5" xfId="33784" xr:uid="{00000000-0005-0000-0000-000028840000}"/>
    <cellStyle name="计算 2 9 16 5 2" xfId="33786" xr:uid="{00000000-0005-0000-0000-00002A840000}"/>
    <cellStyle name="计算 2 9 16 6" xfId="33788" xr:uid="{00000000-0005-0000-0000-00002C840000}"/>
    <cellStyle name="计算 2 9 17" xfId="33790" xr:uid="{00000000-0005-0000-0000-00002E840000}"/>
    <cellStyle name="计算 2 9 17 2" xfId="33792" xr:uid="{00000000-0005-0000-0000-000030840000}"/>
    <cellStyle name="计算 2 9 17 2 2" xfId="15238" xr:uid="{00000000-0005-0000-0000-0000B63B0000}"/>
    <cellStyle name="计算 2 9 17 3" xfId="33793" xr:uid="{00000000-0005-0000-0000-000031840000}"/>
    <cellStyle name="计算 2 9 17 3 2" xfId="33794" xr:uid="{00000000-0005-0000-0000-000032840000}"/>
    <cellStyle name="计算 2 9 17 4" xfId="33796" xr:uid="{00000000-0005-0000-0000-000034840000}"/>
    <cellStyle name="计算 2 9 17 4 2" xfId="33797" xr:uid="{00000000-0005-0000-0000-000035840000}"/>
    <cellStyle name="计算 2 9 17 5" xfId="33800" xr:uid="{00000000-0005-0000-0000-000038840000}"/>
    <cellStyle name="计算 2 9 17 5 2" xfId="33802" xr:uid="{00000000-0005-0000-0000-00003A840000}"/>
    <cellStyle name="计算 2 9 17 6" xfId="33804" xr:uid="{00000000-0005-0000-0000-00003C840000}"/>
    <cellStyle name="计算 2 9 18" xfId="33806" xr:uid="{00000000-0005-0000-0000-00003E840000}"/>
    <cellStyle name="计算 2 9 18 2" xfId="33808" xr:uid="{00000000-0005-0000-0000-000040840000}"/>
    <cellStyle name="计算 2 9 18 2 2" xfId="33809" xr:uid="{00000000-0005-0000-0000-000041840000}"/>
    <cellStyle name="计算 2 9 18 3" xfId="33811" xr:uid="{00000000-0005-0000-0000-000043840000}"/>
    <cellStyle name="计算 2 9 18 3 2" xfId="33813" xr:uid="{00000000-0005-0000-0000-000045840000}"/>
    <cellStyle name="计算 2 9 18 4" xfId="25382" xr:uid="{00000000-0005-0000-0000-000056630000}"/>
    <cellStyle name="计算 2 9 18 4 2" xfId="33815" xr:uid="{00000000-0005-0000-0000-000047840000}"/>
    <cellStyle name="计算 2 9 18 5" xfId="33817" xr:uid="{00000000-0005-0000-0000-000049840000}"/>
    <cellStyle name="计算 2 9 18 5 2" xfId="33819" xr:uid="{00000000-0005-0000-0000-00004B840000}"/>
    <cellStyle name="计算 2 9 18 6" xfId="33821" xr:uid="{00000000-0005-0000-0000-00004D840000}"/>
    <cellStyle name="计算 2 9 19" xfId="32102" xr:uid="{00000000-0005-0000-0000-0000967D0000}"/>
    <cellStyle name="计算 2 9 19 2" xfId="33822" xr:uid="{00000000-0005-0000-0000-00004E840000}"/>
    <cellStyle name="计算 2 9 19 2 2" xfId="33824" xr:uid="{00000000-0005-0000-0000-000050840000}"/>
    <cellStyle name="计算 2 9 19 3" xfId="33827" xr:uid="{00000000-0005-0000-0000-000053840000}"/>
    <cellStyle name="计算 2 9 19 3 2" xfId="33830" xr:uid="{00000000-0005-0000-0000-000056840000}"/>
    <cellStyle name="计算 2 9 19 4" xfId="25387" xr:uid="{00000000-0005-0000-0000-00005B630000}"/>
    <cellStyle name="计算 2 9 19 4 2" xfId="33833" xr:uid="{00000000-0005-0000-0000-000059840000}"/>
    <cellStyle name="计算 2 9 19 5" xfId="33836" xr:uid="{00000000-0005-0000-0000-00005C840000}"/>
    <cellStyle name="计算 2 9 2" xfId="33840" xr:uid="{00000000-0005-0000-0000-000060840000}"/>
    <cellStyle name="计算 2 9 2 10" xfId="33841" xr:uid="{00000000-0005-0000-0000-000061840000}"/>
    <cellStyle name="计算 2 9 2 10 2" xfId="33844" xr:uid="{00000000-0005-0000-0000-000064840000}"/>
    <cellStyle name="计算 2 9 2 11" xfId="26355" xr:uid="{00000000-0005-0000-0000-000023670000}"/>
    <cellStyle name="计算 2 9 2 11 2" xfId="26357" xr:uid="{00000000-0005-0000-0000-000025670000}"/>
    <cellStyle name="计算 2 9 2 12" xfId="26359" xr:uid="{00000000-0005-0000-0000-000027670000}"/>
    <cellStyle name="计算 2 9 2 12 2" xfId="5256" xr:uid="{00000000-0005-0000-0000-0000B8140000}"/>
    <cellStyle name="计算 2 9 2 13" xfId="26363" xr:uid="{00000000-0005-0000-0000-00002B670000}"/>
    <cellStyle name="计算 2 9 2 14" xfId="26366" xr:uid="{00000000-0005-0000-0000-00002E670000}"/>
    <cellStyle name="计算 2 9 2 15" xfId="15587" xr:uid="{00000000-0005-0000-0000-0000133D0000}"/>
    <cellStyle name="计算 2 9 2 16" xfId="33846" xr:uid="{00000000-0005-0000-0000-000066840000}"/>
    <cellStyle name="计算 2 9 2 2" xfId="33848" xr:uid="{00000000-0005-0000-0000-000068840000}"/>
    <cellStyle name="计算 2 9 2 2 2" xfId="5823" xr:uid="{00000000-0005-0000-0000-0000EF160000}"/>
    <cellStyle name="计算 2 9 2 2 2 2" xfId="5839" xr:uid="{00000000-0005-0000-0000-0000FF160000}"/>
    <cellStyle name="计算 2 9 2 2 3" xfId="5852" xr:uid="{00000000-0005-0000-0000-00000C170000}"/>
    <cellStyle name="计算 2 9 2 2 3 2" xfId="5868" xr:uid="{00000000-0005-0000-0000-00001C170000}"/>
    <cellStyle name="计算 2 9 2 2 4" xfId="5883" xr:uid="{00000000-0005-0000-0000-00002B170000}"/>
    <cellStyle name="计算 2 9 2 2 4 2" xfId="5898" xr:uid="{00000000-0005-0000-0000-00003A170000}"/>
    <cellStyle name="计算 2 9 2 2 5" xfId="5925" xr:uid="{00000000-0005-0000-0000-000055170000}"/>
    <cellStyle name="计算 2 9 2 2 5 2" xfId="5943" xr:uid="{00000000-0005-0000-0000-000067170000}"/>
    <cellStyle name="计算 2 9 2 2 6" xfId="5958" xr:uid="{00000000-0005-0000-0000-000076170000}"/>
    <cellStyle name="计算 2 9 2 2 7" xfId="10497" xr:uid="{00000000-0005-0000-0000-000031290000}"/>
    <cellStyle name="计算 2 9 2 2 8" xfId="1232" xr:uid="{00000000-0005-0000-0000-000000050000}"/>
    <cellStyle name="计算 2 9 2 2 9" xfId="10520" xr:uid="{00000000-0005-0000-0000-000048290000}"/>
    <cellStyle name="计算 2 9 2 3" xfId="33849" xr:uid="{00000000-0005-0000-0000-000069840000}"/>
    <cellStyle name="计算 2 9 2 3 2" xfId="5984" xr:uid="{00000000-0005-0000-0000-000090170000}"/>
    <cellStyle name="计算 2 9 2 3 2 2" xfId="16195" xr:uid="{00000000-0005-0000-0000-0000733F0000}"/>
    <cellStyle name="计算 2 9 2 3 3" xfId="5999" xr:uid="{00000000-0005-0000-0000-00009F170000}"/>
    <cellStyle name="计算 2 9 2 3 3 2" xfId="33850" xr:uid="{00000000-0005-0000-0000-00006A840000}"/>
    <cellStyle name="计算 2 9 2 3 4" xfId="16201" xr:uid="{00000000-0005-0000-0000-0000793F0000}"/>
    <cellStyle name="计算 2 9 2 3 4 2" xfId="33852" xr:uid="{00000000-0005-0000-0000-00006C840000}"/>
    <cellStyle name="计算 2 9 2 3 5" xfId="6030" xr:uid="{00000000-0005-0000-0000-0000BE170000}"/>
    <cellStyle name="计算 2 9 2 3 5 2" xfId="6048" xr:uid="{00000000-0005-0000-0000-0000D0170000}"/>
    <cellStyle name="计算 2 9 2 3 6" xfId="6063" xr:uid="{00000000-0005-0000-0000-0000DF170000}"/>
    <cellStyle name="计算 2 9 2 4" xfId="33854" xr:uid="{00000000-0005-0000-0000-00006E840000}"/>
    <cellStyle name="计算 2 9 2 4 2" xfId="16076" xr:uid="{00000000-0005-0000-0000-0000FC3E0000}"/>
    <cellStyle name="计算 2 9 2 4 2 2" xfId="16224" xr:uid="{00000000-0005-0000-0000-0000903F0000}"/>
    <cellStyle name="计算 2 9 2 4 3" xfId="16228" xr:uid="{00000000-0005-0000-0000-0000943F0000}"/>
    <cellStyle name="计算 2 9 2 4 3 2" xfId="18032" xr:uid="{00000000-0005-0000-0000-0000A0460000}"/>
    <cellStyle name="计算 2 9 2 4 4" xfId="23583" xr:uid="{00000000-0005-0000-0000-00004F5C0000}"/>
    <cellStyle name="计算 2 9 2 4 4 2" xfId="33855" xr:uid="{00000000-0005-0000-0000-00006F840000}"/>
    <cellStyle name="计算 2 9 2 4 5" xfId="3221" xr:uid="{00000000-0005-0000-0000-0000C50C0000}"/>
    <cellStyle name="计算 2 9 2 4 5 2" xfId="6089" xr:uid="{00000000-0005-0000-0000-0000F9170000}"/>
    <cellStyle name="计算 2 9 2 4 6" xfId="5472" xr:uid="{00000000-0005-0000-0000-000090150000}"/>
    <cellStyle name="计算 2 9 2 5" xfId="33858" xr:uid="{00000000-0005-0000-0000-000072840000}"/>
    <cellStyle name="计算 2 9 2 5 2" xfId="16244" xr:uid="{00000000-0005-0000-0000-0000A43F0000}"/>
    <cellStyle name="计算 2 9 2 5 2 2" xfId="16254" xr:uid="{00000000-0005-0000-0000-0000AE3F0000}"/>
    <cellStyle name="计算 2 9 2 5 3" xfId="16258" xr:uid="{00000000-0005-0000-0000-0000B23F0000}"/>
    <cellStyle name="计算 2 9 2 5 3 2" xfId="33859" xr:uid="{00000000-0005-0000-0000-000073840000}"/>
    <cellStyle name="计算 2 9 2 5 4" xfId="23598" xr:uid="{00000000-0005-0000-0000-00005E5C0000}"/>
    <cellStyle name="计算 2 9 2 5 4 2" xfId="33861" xr:uid="{00000000-0005-0000-0000-000075840000}"/>
    <cellStyle name="计算 2 9 2 5 5" xfId="6133" xr:uid="{00000000-0005-0000-0000-000025180000}"/>
    <cellStyle name="计算 2 9 2 5 5 2" xfId="10662" xr:uid="{00000000-0005-0000-0000-0000D6290000}"/>
    <cellStyle name="计算 2 9 2 5 6" xfId="7829" xr:uid="{00000000-0005-0000-0000-0000C51E0000}"/>
    <cellStyle name="计算 2 9 2 6" xfId="33863" xr:uid="{00000000-0005-0000-0000-000077840000}"/>
    <cellStyle name="计算 2 9 2 6 2" xfId="16277" xr:uid="{00000000-0005-0000-0000-0000C53F0000}"/>
    <cellStyle name="计算 2 9 2 6 2 2" xfId="13687" xr:uid="{00000000-0005-0000-0000-0000A7350000}"/>
    <cellStyle name="计算 2 9 2 6 3" xfId="16281" xr:uid="{00000000-0005-0000-0000-0000C93F0000}"/>
    <cellStyle name="计算 2 9 2 6 3 2" xfId="33864" xr:uid="{00000000-0005-0000-0000-000078840000}"/>
    <cellStyle name="计算 2 9 2 6 4" xfId="23608" xr:uid="{00000000-0005-0000-0000-0000685C0000}"/>
    <cellStyle name="计算 2 9 2 6 4 2" xfId="33866" xr:uid="{00000000-0005-0000-0000-00007A840000}"/>
    <cellStyle name="计算 2 9 2 6 5" xfId="10718" xr:uid="{00000000-0005-0000-0000-00000E2A0000}"/>
    <cellStyle name="计算 2 9 2 6 5 2" xfId="10734" xr:uid="{00000000-0005-0000-0000-00001E2A0000}"/>
    <cellStyle name="计算 2 9 2 6 6" xfId="10743" xr:uid="{00000000-0005-0000-0000-0000272A0000}"/>
    <cellStyle name="计算 2 9 2 7" xfId="33868" xr:uid="{00000000-0005-0000-0000-00007C840000}"/>
    <cellStyle name="计算 2 9 2 7 2" xfId="2747" xr:uid="{00000000-0005-0000-0000-0000EB0A0000}"/>
    <cellStyle name="计算 2 9 2 7 2 2" xfId="14016" xr:uid="{00000000-0005-0000-0000-0000F0360000}"/>
    <cellStyle name="计算 2 9 2 7 3" xfId="14034" xr:uid="{00000000-0005-0000-0000-000002370000}"/>
    <cellStyle name="计算 2 9 2 7 3 2" xfId="14048" xr:uid="{00000000-0005-0000-0000-000010370000}"/>
    <cellStyle name="计算 2 9 2 7 4" xfId="14084" xr:uid="{00000000-0005-0000-0000-000034370000}"/>
    <cellStyle name="计算 2 9 2 7 4 2" xfId="14096" xr:uid="{00000000-0005-0000-0000-000040370000}"/>
    <cellStyle name="计算 2 9 2 7 5" xfId="10790" xr:uid="{00000000-0005-0000-0000-0000562A0000}"/>
    <cellStyle name="计算 2 9 2 7 5 2" xfId="1784" xr:uid="{00000000-0005-0000-0000-000028070000}"/>
    <cellStyle name="计算 2 9 2 7 6" xfId="10801" xr:uid="{00000000-0005-0000-0000-0000612A0000}"/>
    <cellStyle name="计算 2 9 2 8" xfId="33869" xr:uid="{00000000-0005-0000-0000-00007D840000}"/>
    <cellStyle name="计算 2 9 2 8 2" xfId="10239" xr:uid="{00000000-0005-0000-0000-00002F280000}"/>
    <cellStyle name="计算 2 9 2 8 2 2" xfId="16297" xr:uid="{00000000-0005-0000-0000-0000D93F0000}"/>
    <cellStyle name="计算 2 9 2 8 3" xfId="16302" xr:uid="{00000000-0005-0000-0000-0000DE3F0000}"/>
    <cellStyle name="计算 2 9 2 8 3 2" xfId="33870" xr:uid="{00000000-0005-0000-0000-00007E840000}"/>
    <cellStyle name="计算 2 9 2 8 4" xfId="33873" xr:uid="{00000000-0005-0000-0000-000081840000}"/>
    <cellStyle name="计算 2 9 2 8 4 2" xfId="33874" xr:uid="{00000000-0005-0000-0000-000082840000}"/>
    <cellStyle name="计算 2 9 2 8 5" xfId="10835" xr:uid="{00000000-0005-0000-0000-0000832A0000}"/>
    <cellStyle name="计算 2 9 2 9" xfId="32035" xr:uid="{00000000-0005-0000-0000-0000537D0000}"/>
    <cellStyle name="计算 2 9 2 9 2" xfId="9489" xr:uid="{00000000-0005-0000-0000-000041250000}"/>
    <cellStyle name="计算 2 9 20" xfId="2144" xr:uid="{00000000-0005-0000-0000-000090080000}"/>
    <cellStyle name="计算 2 9 20 2" xfId="33768" xr:uid="{00000000-0005-0000-0000-000018840000}"/>
    <cellStyle name="计算 2 9 21" xfId="33775" xr:uid="{00000000-0005-0000-0000-00001F840000}"/>
    <cellStyle name="计算 2 9 21 2" xfId="33777" xr:uid="{00000000-0005-0000-0000-000021840000}"/>
    <cellStyle name="计算 2 9 22" xfId="33789" xr:uid="{00000000-0005-0000-0000-00002D840000}"/>
    <cellStyle name="计算 2 9 22 2" xfId="33791" xr:uid="{00000000-0005-0000-0000-00002F840000}"/>
    <cellStyle name="计算 2 9 23" xfId="33805" xr:uid="{00000000-0005-0000-0000-00003D840000}"/>
    <cellStyle name="计算 2 9 23 2" xfId="33807" xr:uid="{00000000-0005-0000-0000-00003F840000}"/>
    <cellStyle name="计算 2 9 24" xfId="32103" xr:uid="{00000000-0005-0000-0000-0000977D0000}"/>
    <cellStyle name="计算 2 9 25" xfId="33876" xr:uid="{00000000-0005-0000-0000-000084840000}"/>
    <cellStyle name="计算 2 9 26" xfId="33878" xr:uid="{00000000-0005-0000-0000-000086840000}"/>
    <cellStyle name="计算 2 9 27" xfId="33881" xr:uid="{00000000-0005-0000-0000-000089840000}"/>
    <cellStyle name="计算 2 9 3" xfId="33884" xr:uid="{00000000-0005-0000-0000-00008C840000}"/>
    <cellStyle name="计算 2 9 3 10" xfId="17361" xr:uid="{00000000-0005-0000-0000-000001440000}"/>
    <cellStyle name="计算 2 9 3 10 2" xfId="28442" xr:uid="{00000000-0005-0000-0000-00004A6F0000}"/>
    <cellStyle name="计算 2 9 3 11" xfId="33885" xr:uid="{00000000-0005-0000-0000-00008D840000}"/>
    <cellStyle name="计算 2 9 3 11 2" xfId="24851" xr:uid="{00000000-0005-0000-0000-000043610000}"/>
    <cellStyle name="计算 2 9 3 12" xfId="33886" xr:uid="{00000000-0005-0000-0000-00008E840000}"/>
    <cellStyle name="计算 2 9 3 12 2" xfId="24914" xr:uid="{00000000-0005-0000-0000-000082610000}"/>
    <cellStyle name="计算 2 9 3 13" xfId="33887" xr:uid="{00000000-0005-0000-0000-00008F840000}"/>
    <cellStyle name="计算 2 9 3 14" xfId="33888" xr:uid="{00000000-0005-0000-0000-000090840000}"/>
    <cellStyle name="计算 2 9 3 15" xfId="33286" xr:uid="{00000000-0005-0000-0000-000036820000}"/>
    <cellStyle name="计算 2 9 3 16" xfId="33890" xr:uid="{00000000-0005-0000-0000-000092840000}"/>
    <cellStyle name="计算 2 9 3 2" xfId="33892" xr:uid="{00000000-0005-0000-0000-000094840000}"/>
    <cellStyle name="计算 2 9 3 2 2" xfId="16092" xr:uid="{00000000-0005-0000-0000-00000C3F0000}"/>
    <cellStyle name="计算 2 9 3 2 2 2" xfId="19455" xr:uid="{00000000-0005-0000-0000-00002F4C0000}"/>
    <cellStyle name="计算 2 9 3 2 3" xfId="20372" xr:uid="{00000000-0005-0000-0000-0000C44F0000}"/>
    <cellStyle name="计算 2 9 3 2 3 2" xfId="19492" xr:uid="{00000000-0005-0000-0000-0000544C0000}"/>
    <cellStyle name="计算 2 9 3 2 4" xfId="20384" xr:uid="{00000000-0005-0000-0000-0000D04F0000}"/>
    <cellStyle name="计算 2 9 3 2 4 2" xfId="19528" xr:uid="{00000000-0005-0000-0000-0000784C0000}"/>
    <cellStyle name="计算 2 9 3 2 5" xfId="6292" xr:uid="{00000000-0005-0000-0000-0000C4180000}"/>
    <cellStyle name="计算 2 9 3 2 5 2" xfId="6305" xr:uid="{00000000-0005-0000-0000-0000D1180000}"/>
    <cellStyle name="计算 2 9 3 2 6" xfId="6318" xr:uid="{00000000-0005-0000-0000-0000DE180000}"/>
    <cellStyle name="计算 2 9 3 2 7" xfId="6328" xr:uid="{00000000-0005-0000-0000-0000E8180000}"/>
    <cellStyle name="计算 2 9 3 2 8" xfId="3499" xr:uid="{00000000-0005-0000-0000-0000DB0D0000}"/>
    <cellStyle name="计算 2 9 3 2 9" xfId="6342" xr:uid="{00000000-0005-0000-0000-0000F6180000}"/>
    <cellStyle name="计算 2 9 3 3" xfId="33893" xr:uid="{00000000-0005-0000-0000-000095840000}"/>
    <cellStyle name="计算 2 9 3 3 2" xfId="16098" xr:uid="{00000000-0005-0000-0000-0000123F0000}"/>
    <cellStyle name="计算 2 9 3 3 2 2" xfId="16342" xr:uid="{00000000-0005-0000-0000-000006400000}"/>
    <cellStyle name="计算 2 9 3 3 3" xfId="16345" xr:uid="{00000000-0005-0000-0000-000009400000}"/>
    <cellStyle name="计算 2 9 3 3 3 2" xfId="33894" xr:uid="{00000000-0005-0000-0000-000096840000}"/>
    <cellStyle name="计算 2 9 3 3 4" xfId="16348" xr:uid="{00000000-0005-0000-0000-00000C400000}"/>
    <cellStyle name="计算 2 9 3 3 4 2" xfId="33895" xr:uid="{00000000-0005-0000-0000-000097840000}"/>
    <cellStyle name="计算 2 9 3 3 5" xfId="6365" xr:uid="{00000000-0005-0000-0000-00000D190000}"/>
    <cellStyle name="计算 2 9 3 3 5 2" xfId="2369" xr:uid="{00000000-0005-0000-0000-000071090000}"/>
    <cellStyle name="计算 2 9 3 3 6" xfId="2355" xr:uid="{00000000-0005-0000-0000-000063090000}"/>
    <cellStyle name="计算 2 9 3 4" xfId="33896" xr:uid="{00000000-0005-0000-0000-000098840000}"/>
    <cellStyle name="计算 2 9 3 4 2" xfId="16104" xr:uid="{00000000-0005-0000-0000-0000183F0000}"/>
    <cellStyle name="计算 2 9 3 4 2 2" xfId="16365" xr:uid="{00000000-0005-0000-0000-00001D400000}"/>
    <cellStyle name="计算 2 9 3 4 3" xfId="16368" xr:uid="{00000000-0005-0000-0000-000020400000}"/>
    <cellStyle name="计算 2 9 3 4 3 2" xfId="33897" xr:uid="{00000000-0005-0000-0000-000099840000}"/>
    <cellStyle name="计算 2 9 3 4 4" xfId="33898" xr:uid="{00000000-0005-0000-0000-00009A840000}"/>
    <cellStyle name="计算 2 9 3 4 4 2" xfId="33899" xr:uid="{00000000-0005-0000-0000-00009B840000}"/>
    <cellStyle name="计算 2 9 3 4 5" xfId="6378" xr:uid="{00000000-0005-0000-0000-00001A190000}"/>
    <cellStyle name="计算 2 9 3 4 5 2" xfId="6389" xr:uid="{00000000-0005-0000-0000-000025190000}"/>
    <cellStyle name="计算 2 9 3 4 6" xfId="6400" xr:uid="{00000000-0005-0000-0000-000030190000}"/>
    <cellStyle name="计算 2 9 3 5" xfId="33901" xr:uid="{00000000-0005-0000-0000-00009D840000}"/>
    <cellStyle name="计算 2 9 3 5 2" xfId="16388" xr:uid="{00000000-0005-0000-0000-000034400000}"/>
    <cellStyle name="计算 2 9 3 5 2 2" xfId="10465" xr:uid="{00000000-0005-0000-0000-000011290000}"/>
    <cellStyle name="计算 2 9 3 5 3" xfId="16391" xr:uid="{00000000-0005-0000-0000-000037400000}"/>
    <cellStyle name="计算 2 9 3 5 3 2" xfId="33902" xr:uid="{00000000-0005-0000-0000-00009E840000}"/>
    <cellStyle name="计算 2 9 3 5 4" xfId="33903" xr:uid="{00000000-0005-0000-0000-00009F840000}"/>
    <cellStyle name="计算 2 9 3 5 4 2" xfId="33904" xr:uid="{00000000-0005-0000-0000-0000A0840000}"/>
    <cellStyle name="计算 2 9 3 5 5" xfId="6441" xr:uid="{00000000-0005-0000-0000-000059190000}"/>
    <cellStyle name="计算 2 9 3 5 5 2" xfId="6447" xr:uid="{00000000-0005-0000-0000-00005F190000}"/>
    <cellStyle name="计算 2 9 3 5 6" xfId="6457" xr:uid="{00000000-0005-0000-0000-000069190000}"/>
    <cellStyle name="计算 2 9 3 6" xfId="33905" xr:uid="{00000000-0005-0000-0000-0000A1840000}"/>
    <cellStyle name="计算 2 9 3 6 2" xfId="16411" xr:uid="{00000000-0005-0000-0000-00004B400000}"/>
    <cellStyle name="计算 2 9 3 6 2 2" xfId="15455" xr:uid="{00000000-0005-0000-0000-00008F3C0000}"/>
    <cellStyle name="计算 2 9 3 6 3" xfId="16414" xr:uid="{00000000-0005-0000-0000-00004E400000}"/>
    <cellStyle name="计算 2 9 3 6 3 2" xfId="33906" xr:uid="{00000000-0005-0000-0000-0000A2840000}"/>
    <cellStyle name="计算 2 9 3 6 4" xfId="33908" xr:uid="{00000000-0005-0000-0000-0000A4840000}"/>
    <cellStyle name="计算 2 9 3 6 4 2" xfId="33909" xr:uid="{00000000-0005-0000-0000-0000A5840000}"/>
    <cellStyle name="计算 2 9 3 6 5" xfId="4392" xr:uid="{00000000-0005-0000-0000-000058110000}"/>
    <cellStyle name="计算 2 9 3 6 5 2" xfId="6479" xr:uid="{00000000-0005-0000-0000-00007F190000}"/>
    <cellStyle name="计算 2 9 3 6 6" xfId="96" xr:uid="{00000000-0005-0000-0000-000067000000}"/>
    <cellStyle name="计算 2 9 3 7" xfId="25102" xr:uid="{00000000-0005-0000-0000-00003E620000}"/>
    <cellStyle name="计算 2 9 3 7 2" xfId="5305" xr:uid="{00000000-0005-0000-0000-0000E9140000}"/>
    <cellStyle name="计算 2 9 3 7 2 2" xfId="16438" xr:uid="{00000000-0005-0000-0000-000066400000}"/>
    <cellStyle name="计算 2 9 3 7 3" xfId="16439" xr:uid="{00000000-0005-0000-0000-000067400000}"/>
    <cellStyle name="计算 2 9 3 7 3 2" xfId="21712" xr:uid="{00000000-0005-0000-0000-000000550000}"/>
    <cellStyle name="计算 2 9 3 7 4" xfId="21730" xr:uid="{00000000-0005-0000-0000-000012550000}"/>
    <cellStyle name="计算 2 9 3 7 4 2" xfId="21735" xr:uid="{00000000-0005-0000-0000-000017550000}"/>
    <cellStyle name="计算 2 9 3 7 5" xfId="6515" xr:uid="{00000000-0005-0000-0000-0000A3190000}"/>
    <cellStyle name="计算 2 9 3 7 5 2" xfId="8144" xr:uid="{00000000-0005-0000-0000-000000200000}"/>
    <cellStyle name="计算 2 9 3 7 6" xfId="2295" xr:uid="{00000000-0005-0000-0000-000027090000}"/>
    <cellStyle name="计算 2 9 3 8" xfId="33910" xr:uid="{00000000-0005-0000-0000-0000A6840000}"/>
    <cellStyle name="计算 2 9 3 8 2" xfId="10249" xr:uid="{00000000-0005-0000-0000-000039280000}"/>
    <cellStyle name="计算 2 9 3 8 2 2" xfId="16460" xr:uid="{00000000-0005-0000-0000-00007C400000}"/>
    <cellStyle name="计算 2 9 3 8 3" xfId="16463" xr:uid="{00000000-0005-0000-0000-00007F400000}"/>
    <cellStyle name="计算 2 9 3 8 3 2" xfId="33911" xr:uid="{00000000-0005-0000-0000-0000A7840000}"/>
    <cellStyle name="计算 2 9 3 8 4" xfId="33913" xr:uid="{00000000-0005-0000-0000-0000A9840000}"/>
    <cellStyle name="计算 2 9 3 8 4 2" xfId="33914" xr:uid="{00000000-0005-0000-0000-0000AA840000}"/>
    <cellStyle name="计算 2 9 3 8 5" xfId="10928" xr:uid="{00000000-0005-0000-0000-0000E02A0000}"/>
    <cellStyle name="计算 2 9 3 9" xfId="32040" xr:uid="{00000000-0005-0000-0000-0000587D0000}"/>
    <cellStyle name="计算 2 9 3 9 2" xfId="10261" xr:uid="{00000000-0005-0000-0000-000045280000}"/>
    <cellStyle name="计算 2 9 4" xfId="33915" xr:uid="{00000000-0005-0000-0000-0000AB840000}"/>
    <cellStyle name="计算 2 9 4 10" xfId="33916" xr:uid="{00000000-0005-0000-0000-0000AC840000}"/>
    <cellStyle name="计算 2 9 4 10 2" xfId="33857" xr:uid="{00000000-0005-0000-0000-000071840000}"/>
    <cellStyle name="计算 2 9 4 11" xfId="33919" xr:uid="{00000000-0005-0000-0000-0000AF840000}"/>
    <cellStyle name="计算 2 9 4 11 2" xfId="33900" xr:uid="{00000000-0005-0000-0000-00009C840000}"/>
    <cellStyle name="计算 2 9 4 12" xfId="33920" xr:uid="{00000000-0005-0000-0000-0000B0840000}"/>
    <cellStyle name="计算 2 9 4 12 2" xfId="33922" xr:uid="{00000000-0005-0000-0000-0000B2840000}"/>
    <cellStyle name="计算 2 9 4 13" xfId="25536" xr:uid="{00000000-0005-0000-0000-0000F0630000}"/>
    <cellStyle name="计算 2 9 4 14" xfId="33923" xr:uid="{00000000-0005-0000-0000-0000B3840000}"/>
    <cellStyle name="计算 2 9 4 15" xfId="33925" xr:uid="{00000000-0005-0000-0000-0000B5840000}"/>
    <cellStyle name="计算 2 9 4 16" xfId="33926" xr:uid="{00000000-0005-0000-0000-0000B6840000}"/>
    <cellStyle name="计算 2 9 4 2" xfId="33927" xr:uid="{00000000-0005-0000-0000-0000B7840000}"/>
    <cellStyle name="计算 2 9 4 2 2" xfId="13531" xr:uid="{00000000-0005-0000-0000-00000B350000}"/>
    <cellStyle name="计算 2 9 4 2 2 2" xfId="13534" xr:uid="{00000000-0005-0000-0000-00000E350000}"/>
    <cellStyle name="计算 2 9 4 2 3" xfId="13542" xr:uid="{00000000-0005-0000-0000-000016350000}"/>
    <cellStyle name="计算 2 9 4 2 3 2" xfId="13546" xr:uid="{00000000-0005-0000-0000-00001A350000}"/>
    <cellStyle name="计算 2 9 4 2 4" xfId="13580" xr:uid="{00000000-0005-0000-0000-00003C350000}"/>
    <cellStyle name="计算 2 9 4 2 4 2" xfId="13584" xr:uid="{00000000-0005-0000-0000-000040350000}"/>
    <cellStyle name="计算 2 9 4 2 5" xfId="6681" xr:uid="{00000000-0005-0000-0000-0000491A0000}"/>
    <cellStyle name="计算 2 9 4 2 5 2" xfId="4497" xr:uid="{00000000-0005-0000-0000-0000C1110000}"/>
    <cellStyle name="计算 2 9 4 2 6" xfId="6693" xr:uid="{00000000-0005-0000-0000-0000551A0000}"/>
    <cellStyle name="计算 2 9 4 2 7" xfId="6705" xr:uid="{00000000-0005-0000-0000-0000611A0000}"/>
    <cellStyle name="计算 2 9 4 2 8" xfId="1409" xr:uid="{00000000-0005-0000-0000-0000B1050000}"/>
    <cellStyle name="计算 2 9 4 2 9" xfId="6714" xr:uid="{00000000-0005-0000-0000-00006A1A0000}"/>
    <cellStyle name="计算 2 9 4 3" xfId="33928" xr:uid="{00000000-0005-0000-0000-0000B8840000}"/>
    <cellStyle name="计算 2 9 4 3 2" xfId="16113" xr:uid="{00000000-0005-0000-0000-0000213F0000}"/>
    <cellStyle name="计算 2 9 4 3 2 2" xfId="16513" xr:uid="{00000000-0005-0000-0000-0000B1400000}"/>
    <cellStyle name="计算 2 9 4 3 3" xfId="16517" xr:uid="{00000000-0005-0000-0000-0000B5400000}"/>
    <cellStyle name="计算 2 9 4 3 3 2" xfId="33929" xr:uid="{00000000-0005-0000-0000-0000B9840000}"/>
    <cellStyle name="计算 2 9 4 3 4" xfId="16521" xr:uid="{00000000-0005-0000-0000-0000B9400000}"/>
    <cellStyle name="计算 2 9 4 3 4 2" xfId="33931" xr:uid="{00000000-0005-0000-0000-0000BB840000}"/>
    <cellStyle name="计算 2 9 4 3 5" xfId="6740" xr:uid="{00000000-0005-0000-0000-0000841A0000}"/>
    <cellStyle name="计算 2 9 4 3 5 2" xfId="6182" xr:uid="{00000000-0005-0000-0000-000056180000}"/>
    <cellStyle name="计算 2 9 4 3 6" xfId="6746" xr:uid="{00000000-0005-0000-0000-00008A1A0000}"/>
    <cellStyle name="计算 2 9 4 4" xfId="33933" xr:uid="{00000000-0005-0000-0000-0000BD840000}"/>
    <cellStyle name="计算 2 9 4 4 2" xfId="16119" xr:uid="{00000000-0005-0000-0000-0000273F0000}"/>
    <cellStyle name="计算 2 9 4 4 2 2" xfId="16549" xr:uid="{00000000-0005-0000-0000-0000D5400000}"/>
    <cellStyle name="计算 2 9 4 4 3" xfId="16553" xr:uid="{00000000-0005-0000-0000-0000D9400000}"/>
    <cellStyle name="计算 2 9 4 4 3 2" xfId="33934" xr:uid="{00000000-0005-0000-0000-0000BE840000}"/>
    <cellStyle name="计算 2 9 4 4 4" xfId="33936" xr:uid="{00000000-0005-0000-0000-0000C0840000}"/>
    <cellStyle name="计算 2 9 4 4 4 2" xfId="33938" xr:uid="{00000000-0005-0000-0000-0000C2840000}"/>
    <cellStyle name="计算 2 9 4 4 5" xfId="6798" xr:uid="{00000000-0005-0000-0000-0000BE1A0000}"/>
    <cellStyle name="计算 2 9 4 4 5 2" xfId="6806" xr:uid="{00000000-0005-0000-0000-0000C61A0000}"/>
    <cellStyle name="计算 2 9 4 4 6" xfId="6816" xr:uid="{00000000-0005-0000-0000-0000D01A0000}"/>
    <cellStyle name="计算 2 9 4 5" xfId="33921" xr:uid="{00000000-0005-0000-0000-0000B1840000}"/>
    <cellStyle name="计算 2 9 4 5 2" xfId="16576" xr:uid="{00000000-0005-0000-0000-0000F0400000}"/>
    <cellStyle name="计算 2 9 4 5 2 2" xfId="16585" xr:uid="{00000000-0005-0000-0000-0000F9400000}"/>
    <cellStyle name="计算 2 9 4 5 3" xfId="16589" xr:uid="{00000000-0005-0000-0000-0000FD400000}"/>
    <cellStyle name="计算 2 9 4 5 3 2" xfId="33940" xr:uid="{00000000-0005-0000-0000-0000C4840000}"/>
    <cellStyle name="计算 2 9 4 5 4" xfId="33944" xr:uid="{00000000-0005-0000-0000-0000C8840000}"/>
    <cellStyle name="计算 2 9 4 5 4 2" xfId="33946" xr:uid="{00000000-0005-0000-0000-0000CA840000}"/>
    <cellStyle name="计算 2 9 4 5 5" xfId="6842" xr:uid="{00000000-0005-0000-0000-0000EA1A0000}"/>
    <cellStyle name="计算 2 9 4 5 5 2" xfId="6854" xr:uid="{00000000-0005-0000-0000-0000F61A0000}"/>
    <cellStyle name="计算 2 9 4 5 6" xfId="6859" xr:uid="{00000000-0005-0000-0000-0000FB1A0000}"/>
    <cellStyle name="计算 2 9 4 6" xfId="33949" xr:uid="{00000000-0005-0000-0000-0000CD840000}"/>
    <cellStyle name="计算 2 9 4 6 2" xfId="1674" xr:uid="{00000000-0005-0000-0000-0000BA060000}"/>
    <cellStyle name="计算 2 9 4 6 2 2" xfId="1327" xr:uid="{00000000-0005-0000-0000-00005F050000}"/>
    <cellStyle name="计算 2 9 4 6 3" xfId="1696" xr:uid="{00000000-0005-0000-0000-0000D0060000}"/>
    <cellStyle name="计算 2 9 4 6 3 2" xfId="33950" xr:uid="{00000000-0005-0000-0000-0000CE840000}"/>
    <cellStyle name="计算 2 9 4 6 4" xfId="33954" xr:uid="{00000000-0005-0000-0000-0000D2840000}"/>
    <cellStyle name="计算 2 9 4 6 4 2" xfId="33956" xr:uid="{00000000-0005-0000-0000-0000D4840000}"/>
    <cellStyle name="计算 2 9 4 6 5" xfId="1735" xr:uid="{00000000-0005-0000-0000-0000F7060000}"/>
    <cellStyle name="计算 2 9 4 6 5 2" xfId="1488" xr:uid="{00000000-0005-0000-0000-000000060000}"/>
    <cellStyle name="计算 2 9 4 6 6" xfId="1764" xr:uid="{00000000-0005-0000-0000-000014070000}"/>
    <cellStyle name="计算 2 9 4 7" xfId="25109" xr:uid="{00000000-0005-0000-0000-000045620000}"/>
    <cellStyle name="计算 2 9 4 7 2" xfId="10283" xr:uid="{00000000-0005-0000-0000-00005B280000}"/>
    <cellStyle name="计算 2 9 4 7 2 2" xfId="4077" xr:uid="{00000000-0005-0000-0000-00001D100000}"/>
    <cellStyle name="计算 2 9 4 7 3" xfId="16607" xr:uid="{00000000-0005-0000-0000-00000F410000}"/>
    <cellStyle name="计算 2 9 4 7 3 2" xfId="33959" xr:uid="{00000000-0005-0000-0000-0000D7840000}"/>
    <cellStyle name="计算 2 9 4 7 4" xfId="33963" xr:uid="{00000000-0005-0000-0000-0000DB840000}"/>
    <cellStyle name="计算 2 9 4 7 4 2" xfId="33965" xr:uid="{00000000-0005-0000-0000-0000DD840000}"/>
    <cellStyle name="计算 2 9 4 7 5" xfId="1992" xr:uid="{00000000-0005-0000-0000-0000F8070000}"/>
    <cellStyle name="计算 2 9 4 7 5 2" xfId="1927" xr:uid="{00000000-0005-0000-0000-0000B7070000}"/>
    <cellStyle name="计算 2 9 4 7 6" xfId="10995" xr:uid="{00000000-0005-0000-0000-0000232B0000}"/>
    <cellStyle name="计算 2 9 4 8" xfId="33968" xr:uid="{00000000-0005-0000-0000-0000E0840000}"/>
    <cellStyle name="计算 2 9 4 8 2" xfId="10293" xr:uid="{00000000-0005-0000-0000-000065280000}"/>
    <cellStyle name="计算 2 9 4 8 2 2" xfId="4462" xr:uid="{00000000-0005-0000-0000-00009E110000}"/>
    <cellStyle name="计算 2 9 4 8 3" xfId="16624" xr:uid="{00000000-0005-0000-0000-000020410000}"/>
    <cellStyle name="计算 2 9 4 8 3 2" xfId="33969" xr:uid="{00000000-0005-0000-0000-0000E1840000}"/>
    <cellStyle name="计算 2 9 4 8 4" xfId="33972" xr:uid="{00000000-0005-0000-0000-0000E4840000}"/>
    <cellStyle name="计算 2 9 4 8 4 2" xfId="33974" xr:uid="{00000000-0005-0000-0000-0000E6840000}"/>
    <cellStyle name="计算 2 9 4 8 5" xfId="11004" xr:uid="{00000000-0005-0000-0000-00002C2B0000}"/>
    <cellStyle name="计算 2 9 4 9" xfId="10304" xr:uid="{00000000-0005-0000-0000-000070280000}"/>
    <cellStyle name="计算 2 9 4 9 2" xfId="10309" xr:uid="{00000000-0005-0000-0000-000075280000}"/>
    <cellStyle name="计算 2 9 5" xfId="33843" xr:uid="{00000000-0005-0000-0000-000063840000}"/>
    <cellStyle name="计算 2 9 5 10" xfId="12439" xr:uid="{00000000-0005-0000-0000-0000C7300000}"/>
    <cellStyle name="计算 2 9 5 10 2" xfId="12445" xr:uid="{00000000-0005-0000-0000-0000CD300000}"/>
    <cellStyle name="计算 2 9 5 11" xfId="12460" xr:uid="{00000000-0005-0000-0000-0000DC300000}"/>
    <cellStyle name="计算 2 9 5 11 2" xfId="12470" xr:uid="{00000000-0005-0000-0000-0000E6300000}"/>
    <cellStyle name="计算 2 9 5 12" xfId="12477" xr:uid="{00000000-0005-0000-0000-0000ED300000}"/>
    <cellStyle name="计算 2 9 5 12 2" xfId="12482" xr:uid="{00000000-0005-0000-0000-0000F2300000}"/>
    <cellStyle name="计算 2 9 5 13" xfId="12492" xr:uid="{00000000-0005-0000-0000-0000FC300000}"/>
    <cellStyle name="计算 2 9 5 14" xfId="12498" xr:uid="{00000000-0005-0000-0000-000002310000}"/>
    <cellStyle name="计算 2 9 5 15" xfId="12507" xr:uid="{00000000-0005-0000-0000-00000B310000}"/>
    <cellStyle name="计算 2 9 5 16" xfId="12522" xr:uid="{00000000-0005-0000-0000-00001A310000}"/>
    <cellStyle name="计算 2 9 5 2" xfId="33976" xr:uid="{00000000-0005-0000-0000-0000E8840000}"/>
    <cellStyle name="计算 2 9 5 2 2" xfId="708" xr:uid="{00000000-0005-0000-0000-0000F4020000}"/>
    <cellStyle name="计算 2 9 5 2 2 2" xfId="15322" xr:uid="{00000000-0005-0000-0000-00000A3C0000}"/>
    <cellStyle name="计算 2 9 5 2 3" xfId="558" xr:uid="{00000000-0005-0000-0000-00005E020000}"/>
    <cellStyle name="计算 2 9 5 2 3 2" xfId="15340" xr:uid="{00000000-0005-0000-0000-00001C3C0000}"/>
    <cellStyle name="计算 2 9 5 2 4" xfId="15347" xr:uid="{00000000-0005-0000-0000-0000233C0000}"/>
    <cellStyle name="计算 2 9 5 2 4 2" xfId="15350" xr:uid="{00000000-0005-0000-0000-0000263C0000}"/>
    <cellStyle name="计算 2 9 5 2 5" xfId="6922" xr:uid="{00000000-0005-0000-0000-00003A1B0000}"/>
    <cellStyle name="计算 2 9 5 2 5 2" xfId="11063" xr:uid="{00000000-0005-0000-0000-0000672B0000}"/>
    <cellStyle name="计算 2 9 5 2 6" xfId="7878" xr:uid="{00000000-0005-0000-0000-0000F61E0000}"/>
    <cellStyle name="计算 2 9 5 2 7" xfId="11069" xr:uid="{00000000-0005-0000-0000-00006D2B0000}"/>
    <cellStyle name="计算 2 9 5 2 8" xfId="11079" xr:uid="{00000000-0005-0000-0000-0000772B0000}"/>
    <cellStyle name="计算 2 9 5 2 9" xfId="11086" xr:uid="{00000000-0005-0000-0000-00007E2B0000}"/>
    <cellStyle name="计算 2 9 5 3" xfId="33977" xr:uid="{00000000-0005-0000-0000-0000E9840000}"/>
    <cellStyle name="计算 2 9 5 3 2" xfId="16130" xr:uid="{00000000-0005-0000-0000-0000323F0000}"/>
    <cellStyle name="计算 2 9 5 3 2 2" xfId="16670" xr:uid="{00000000-0005-0000-0000-00004E410000}"/>
    <cellStyle name="计算 2 9 5 3 3" xfId="16673" xr:uid="{00000000-0005-0000-0000-000051410000}"/>
    <cellStyle name="计算 2 9 5 3 3 2" xfId="33978" xr:uid="{00000000-0005-0000-0000-0000EA840000}"/>
    <cellStyle name="计算 2 9 5 3 4" xfId="16676" xr:uid="{00000000-0005-0000-0000-000054410000}"/>
    <cellStyle name="计算 2 9 5 3 4 2" xfId="33979" xr:uid="{00000000-0005-0000-0000-0000EB840000}"/>
    <cellStyle name="计算 2 9 5 3 5" xfId="6939" xr:uid="{00000000-0005-0000-0000-00004B1B0000}"/>
    <cellStyle name="计算 2 9 5 3 5 2" xfId="11108" xr:uid="{00000000-0005-0000-0000-0000942B0000}"/>
    <cellStyle name="计算 2 9 5 3 6" xfId="7900" xr:uid="{00000000-0005-0000-0000-00000C1F0000}"/>
    <cellStyle name="计算 2 9 5 4" xfId="23524" xr:uid="{00000000-0005-0000-0000-0000145C0000}"/>
    <cellStyle name="计算 2 9 5 4 2" xfId="12417" xr:uid="{00000000-0005-0000-0000-0000B1300000}"/>
    <cellStyle name="计算 2 9 5 4 2 2" xfId="12423" xr:uid="{00000000-0005-0000-0000-0000B7300000}"/>
    <cellStyle name="计算 2 9 5 4 3" xfId="12430" xr:uid="{00000000-0005-0000-0000-0000BE300000}"/>
    <cellStyle name="计算 2 9 5 4 3 2" xfId="33980" xr:uid="{00000000-0005-0000-0000-0000EC840000}"/>
    <cellStyle name="计算 2 9 5 4 4" xfId="12434" xr:uid="{00000000-0005-0000-0000-0000C2300000}"/>
    <cellStyle name="计算 2 9 5 4 4 2" xfId="33981" xr:uid="{00000000-0005-0000-0000-0000ED840000}"/>
    <cellStyle name="计算 2 9 5 4 5" xfId="11125" xr:uid="{00000000-0005-0000-0000-0000A52B0000}"/>
    <cellStyle name="计算 2 9 5 4 5 2" xfId="11133" xr:uid="{00000000-0005-0000-0000-0000AD2B0000}"/>
    <cellStyle name="计算 2 9 5 4 6" xfId="7923" xr:uid="{00000000-0005-0000-0000-0000231F0000}"/>
    <cellStyle name="计算 2 9 5 5" xfId="33982" xr:uid="{00000000-0005-0000-0000-0000EE840000}"/>
    <cellStyle name="计算 2 9 5 5 2" xfId="14778" xr:uid="{00000000-0005-0000-0000-0000EA390000}"/>
    <cellStyle name="计算 2 9 5 5 2 2" xfId="14786" xr:uid="{00000000-0005-0000-0000-0000F2390000}"/>
    <cellStyle name="计算 2 9 5 5 3" xfId="14793" xr:uid="{00000000-0005-0000-0000-0000F9390000}"/>
    <cellStyle name="计算 2 9 5 5 3 2" xfId="33983" xr:uid="{00000000-0005-0000-0000-0000EF840000}"/>
    <cellStyle name="计算 2 9 5 5 4" xfId="33984" xr:uid="{00000000-0005-0000-0000-0000F0840000}"/>
    <cellStyle name="计算 2 9 5 5 4 2" xfId="33985" xr:uid="{00000000-0005-0000-0000-0000F1840000}"/>
    <cellStyle name="计算 2 9 5 5 5" xfId="11154" xr:uid="{00000000-0005-0000-0000-0000C22B0000}"/>
    <cellStyle name="计算 2 9 5 5 5 2" xfId="11158" xr:uid="{00000000-0005-0000-0000-0000C62B0000}"/>
    <cellStyle name="计算 2 9 5 5 6" xfId="7933" xr:uid="{00000000-0005-0000-0000-00002D1F0000}"/>
    <cellStyle name="计算 2 9 5 6" xfId="33986" xr:uid="{00000000-0005-0000-0000-0000F2840000}"/>
    <cellStyle name="计算 2 9 5 6 2" xfId="5254" xr:uid="{00000000-0005-0000-0000-0000B6140000}"/>
    <cellStyle name="计算 2 9 5 6 2 2" xfId="5636" xr:uid="{00000000-0005-0000-0000-000034160000}"/>
    <cellStyle name="计算 2 9 5 6 3" xfId="3012" xr:uid="{00000000-0005-0000-0000-0000F40B0000}"/>
    <cellStyle name="计算 2 9 5 6 3 2" xfId="33987" xr:uid="{00000000-0005-0000-0000-0000F3840000}"/>
    <cellStyle name="计算 2 9 5 6 4" xfId="33988" xr:uid="{00000000-0005-0000-0000-0000F4840000}"/>
    <cellStyle name="计算 2 9 5 6 4 2" xfId="33989" xr:uid="{00000000-0005-0000-0000-0000F5840000}"/>
    <cellStyle name="计算 2 9 5 6 5" xfId="3041" xr:uid="{00000000-0005-0000-0000-0000110C0000}"/>
    <cellStyle name="计算 2 9 5 6 5 2" xfId="7523" xr:uid="{00000000-0005-0000-0000-0000931D0000}"/>
    <cellStyle name="计算 2 9 5 6 6" xfId="11192" xr:uid="{00000000-0005-0000-0000-0000E82B0000}"/>
    <cellStyle name="计算 2 9 5 7" xfId="25114" xr:uid="{00000000-0005-0000-0000-00004A620000}"/>
    <cellStyle name="计算 2 9 5 7 2" xfId="10339" xr:uid="{00000000-0005-0000-0000-000093280000}"/>
    <cellStyle name="计算 2 9 5 7 2 2" xfId="5715" xr:uid="{00000000-0005-0000-0000-000083160000}"/>
    <cellStyle name="计算 2 9 5 7 3" xfId="16710" xr:uid="{00000000-0005-0000-0000-000076410000}"/>
    <cellStyle name="计算 2 9 5 7 3 2" xfId="33990" xr:uid="{00000000-0005-0000-0000-0000F6840000}"/>
    <cellStyle name="计算 2 9 5 7 4" xfId="33991" xr:uid="{00000000-0005-0000-0000-0000F7840000}"/>
    <cellStyle name="计算 2 9 5 7 4 2" xfId="33992" xr:uid="{00000000-0005-0000-0000-0000F8840000}"/>
    <cellStyle name="计算 2 9 5 7 5" xfId="11204" xr:uid="{00000000-0005-0000-0000-0000F42B0000}"/>
    <cellStyle name="计算 2 9 5 7 5 2" xfId="7844" xr:uid="{00000000-0005-0000-0000-0000D41E0000}"/>
    <cellStyle name="计算 2 9 5 7 6" xfId="11209" xr:uid="{00000000-0005-0000-0000-0000F92B0000}"/>
    <cellStyle name="计算 2 9 5 8" xfId="33993" xr:uid="{00000000-0005-0000-0000-0000F9840000}"/>
    <cellStyle name="计算 2 9 5 8 2" xfId="10352" xr:uid="{00000000-0005-0000-0000-0000A0280000}"/>
    <cellStyle name="计算 2 9 5 8 2 2" xfId="5798" xr:uid="{00000000-0005-0000-0000-0000D6160000}"/>
    <cellStyle name="计算 2 9 5 8 3" xfId="16728" xr:uid="{00000000-0005-0000-0000-000088410000}"/>
    <cellStyle name="计算 2 9 5 8 3 2" xfId="33994" xr:uid="{00000000-0005-0000-0000-0000FA840000}"/>
    <cellStyle name="计算 2 9 5 8 4" xfId="33995" xr:uid="{00000000-0005-0000-0000-0000FB840000}"/>
    <cellStyle name="计算 2 9 5 8 4 2" xfId="33996" xr:uid="{00000000-0005-0000-0000-0000FC840000}"/>
    <cellStyle name="计算 2 9 5 8 5" xfId="7972" xr:uid="{00000000-0005-0000-0000-0000541F0000}"/>
    <cellStyle name="计算 2 9 5 9" xfId="10365" xr:uid="{00000000-0005-0000-0000-0000AD280000}"/>
    <cellStyle name="计算 2 9 5 9 2" xfId="10370" xr:uid="{00000000-0005-0000-0000-0000B2280000}"/>
    <cellStyle name="计算 2 9 6" xfId="33997" xr:uid="{00000000-0005-0000-0000-0000FD840000}"/>
    <cellStyle name="计算 2 9 6 10" xfId="9033" xr:uid="{00000000-0005-0000-0000-000079230000}"/>
    <cellStyle name="计算 2 9 6 10 2" xfId="9043" xr:uid="{00000000-0005-0000-0000-000083230000}"/>
    <cellStyle name="计算 2 9 6 11" xfId="9051" xr:uid="{00000000-0005-0000-0000-00008B230000}"/>
    <cellStyle name="计算 2 9 6 11 2" xfId="9060" xr:uid="{00000000-0005-0000-0000-000094230000}"/>
    <cellStyle name="计算 2 9 6 12" xfId="9069" xr:uid="{00000000-0005-0000-0000-00009D230000}"/>
    <cellStyle name="计算 2 9 6 12 2" xfId="9075" xr:uid="{00000000-0005-0000-0000-0000A3230000}"/>
    <cellStyle name="计算 2 9 6 13" xfId="9083" xr:uid="{00000000-0005-0000-0000-0000AB230000}"/>
    <cellStyle name="计算 2 9 6 14" xfId="7098" xr:uid="{00000000-0005-0000-0000-0000EA1B0000}"/>
    <cellStyle name="计算 2 9 6 15" xfId="30332" xr:uid="{00000000-0005-0000-0000-0000AC760000}"/>
    <cellStyle name="计算 2 9 6 16" xfId="30337" xr:uid="{00000000-0005-0000-0000-0000B1760000}"/>
    <cellStyle name="计算 2 9 6 2" xfId="33999" xr:uid="{00000000-0005-0000-0000-0000FF840000}"/>
    <cellStyle name="计算 2 9 6 2 2" xfId="16144" xr:uid="{00000000-0005-0000-0000-0000403F0000}"/>
    <cellStyle name="计算 2 9 6 2 2 2" xfId="17093" xr:uid="{00000000-0005-0000-0000-0000F5420000}"/>
    <cellStyle name="计算 2 9 6 2 3" xfId="17123" xr:uid="{00000000-0005-0000-0000-000013430000}"/>
    <cellStyle name="计算 2 9 6 2 3 2" xfId="17129" xr:uid="{00000000-0005-0000-0000-000019430000}"/>
    <cellStyle name="计算 2 9 6 2 4" xfId="17158" xr:uid="{00000000-0005-0000-0000-000036430000}"/>
    <cellStyle name="计算 2 9 6 2 4 2" xfId="17164" xr:uid="{00000000-0005-0000-0000-00003C430000}"/>
    <cellStyle name="计算 2 9 6 2 5" xfId="6988" xr:uid="{00000000-0005-0000-0000-00007C1B0000}"/>
    <cellStyle name="计算 2 9 6 2 5 2" xfId="11258" xr:uid="{00000000-0005-0000-0000-00002A2C0000}"/>
    <cellStyle name="计算 2 9 6 2 6" xfId="7950" xr:uid="{00000000-0005-0000-0000-00003E1F0000}"/>
    <cellStyle name="计算 2 9 6 2 7" xfId="11274" xr:uid="{00000000-0005-0000-0000-00003A2C0000}"/>
    <cellStyle name="计算 2 9 6 2 8" xfId="11281" xr:uid="{00000000-0005-0000-0000-0000412C0000}"/>
    <cellStyle name="计算 2 9 6 2 9" xfId="11286" xr:uid="{00000000-0005-0000-0000-0000462C0000}"/>
    <cellStyle name="计算 2 9 6 3" xfId="34000" xr:uid="{00000000-0005-0000-0000-000000850000}"/>
    <cellStyle name="计算 2 9 6 3 2" xfId="12238" xr:uid="{00000000-0005-0000-0000-0000FE2F0000}"/>
    <cellStyle name="计算 2 9 6 3 2 2" xfId="16773" xr:uid="{00000000-0005-0000-0000-0000B5410000}"/>
    <cellStyle name="计算 2 9 6 3 3" xfId="12441" xr:uid="{00000000-0005-0000-0000-0000C9300000}"/>
    <cellStyle name="计算 2 9 6 3 3 2" xfId="28473" xr:uid="{00000000-0005-0000-0000-0000696F0000}"/>
    <cellStyle name="计算 2 9 6 3 4" xfId="12447" xr:uid="{00000000-0005-0000-0000-0000CF300000}"/>
    <cellStyle name="计算 2 9 6 3 4 2" xfId="24905" xr:uid="{00000000-0005-0000-0000-000079610000}"/>
    <cellStyle name="计算 2 9 6 3 5" xfId="7003" xr:uid="{00000000-0005-0000-0000-00008B1B0000}"/>
    <cellStyle name="计算 2 9 6 3 5 2" xfId="11293" xr:uid="{00000000-0005-0000-0000-00004D2C0000}"/>
    <cellStyle name="计算 2 9 6 3 6" xfId="7961" xr:uid="{00000000-0005-0000-0000-0000491F0000}"/>
    <cellStyle name="计算 2 9 6 4" xfId="2662" xr:uid="{00000000-0005-0000-0000-0000960A0000}"/>
    <cellStyle name="计算 2 9 6 4 2" xfId="12245" xr:uid="{00000000-0005-0000-0000-000005300000}"/>
    <cellStyle name="计算 2 9 6 4 2 2" xfId="16796" xr:uid="{00000000-0005-0000-0000-0000CC410000}"/>
    <cellStyle name="计算 2 9 6 4 3" xfId="12467" xr:uid="{00000000-0005-0000-0000-0000E3300000}"/>
    <cellStyle name="计算 2 9 6 4 3 2" xfId="29778" xr:uid="{00000000-0005-0000-0000-000082740000}"/>
    <cellStyle name="计算 2 9 6 4 4" xfId="34001" xr:uid="{00000000-0005-0000-0000-000001850000}"/>
    <cellStyle name="计算 2 9 6 4 4 2" xfId="29875" xr:uid="{00000000-0005-0000-0000-0000E3740000}"/>
    <cellStyle name="计算 2 9 6 4 5" xfId="11332" xr:uid="{00000000-0005-0000-0000-0000742C0000}"/>
    <cellStyle name="计算 2 9 6 4 5 2" xfId="11334" xr:uid="{00000000-0005-0000-0000-0000762C0000}"/>
    <cellStyle name="计算 2 9 6 4 6" xfId="7771" xr:uid="{00000000-0005-0000-0000-00008B1E0000}"/>
    <cellStyle name="计算 2 9 6 5" xfId="34002" xr:uid="{00000000-0005-0000-0000-000002850000}"/>
    <cellStyle name="计算 2 9 6 5 2" xfId="12257" xr:uid="{00000000-0005-0000-0000-000011300000}"/>
    <cellStyle name="计算 2 9 6 5 2 2" xfId="16820" xr:uid="{00000000-0005-0000-0000-0000E4410000}"/>
    <cellStyle name="计算 2 9 6 5 3" xfId="12479" xr:uid="{00000000-0005-0000-0000-0000EF300000}"/>
    <cellStyle name="计算 2 9 6 5 3 2" xfId="30991" xr:uid="{00000000-0005-0000-0000-00003F790000}"/>
    <cellStyle name="计算 2 9 6 5 4" xfId="34003" xr:uid="{00000000-0005-0000-0000-000003850000}"/>
    <cellStyle name="计算 2 9 6 5 4 2" xfId="31127" xr:uid="{00000000-0005-0000-0000-0000C7790000}"/>
    <cellStyle name="计算 2 9 6 5 5" xfId="11386" xr:uid="{00000000-0005-0000-0000-0000AA2C0000}"/>
    <cellStyle name="计算 2 9 6 5 5 2" xfId="11393" xr:uid="{00000000-0005-0000-0000-0000B12C0000}"/>
    <cellStyle name="计算 2 9 6 5 6" xfId="11404" xr:uid="{00000000-0005-0000-0000-0000BC2C0000}"/>
    <cellStyle name="计算 2 9 6 6" xfId="34004" xr:uid="{00000000-0005-0000-0000-000004850000}"/>
    <cellStyle name="计算 2 9 6 6 2" xfId="12267" xr:uid="{00000000-0005-0000-0000-00001B300000}"/>
    <cellStyle name="计算 2 9 6 6 2 2" xfId="5607" xr:uid="{00000000-0005-0000-0000-000017160000}"/>
    <cellStyle name="计算 2 9 6 6 3" xfId="12494" xr:uid="{00000000-0005-0000-0000-0000FE300000}"/>
    <cellStyle name="计算 2 9 6 6 3 2" xfId="32264" xr:uid="{00000000-0005-0000-0000-0000387E0000}"/>
    <cellStyle name="计算 2 9 6 6 4" xfId="34005" xr:uid="{00000000-0005-0000-0000-000005850000}"/>
    <cellStyle name="计算 2 9 6 6 4 2" xfId="32344" xr:uid="{00000000-0005-0000-0000-0000887E0000}"/>
    <cellStyle name="计算 2 9 6 6 5" xfId="11439" xr:uid="{00000000-0005-0000-0000-0000DF2C0000}"/>
    <cellStyle name="计算 2 9 6 6 5 2" xfId="9670" xr:uid="{00000000-0005-0000-0000-0000F6250000}"/>
    <cellStyle name="计算 2 9 6 6 6" xfId="11445" xr:uid="{00000000-0005-0000-0000-0000E52C0000}"/>
    <cellStyle name="计算 2 9 6 7" xfId="25121" xr:uid="{00000000-0005-0000-0000-000051620000}"/>
    <cellStyle name="计算 2 9 6 7 2" xfId="10396" xr:uid="{00000000-0005-0000-0000-0000CC280000}"/>
    <cellStyle name="计算 2 9 6 7 2 2" xfId="9861" xr:uid="{00000000-0005-0000-0000-0000B5260000}"/>
    <cellStyle name="计算 2 9 6 7 3" xfId="12500" xr:uid="{00000000-0005-0000-0000-000004310000}"/>
    <cellStyle name="计算 2 9 6 7 3 2" xfId="33048" xr:uid="{00000000-0005-0000-0000-000048810000}"/>
    <cellStyle name="计算 2 9 6 7 4" xfId="34006" xr:uid="{00000000-0005-0000-0000-000006850000}"/>
    <cellStyle name="计算 2 9 6 7 4 2" xfId="33147" xr:uid="{00000000-0005-0000-0000-0000AB810000}"/>
    <cellStyle name="计算 2 9 6 7 5" xfId="11459" xr:uid="{00000000-0005-0000-0000-0000F32C0000}"/>
    <cellStyle name="计算 2 9 6 7 5 2" xfId="10001" xr:uid="{00000000-0005-0000-0000-000041270000}"/>
    <cellStyle name="计算 2 9 6 7 6" xfId="11464" xr:uid="{00000000-0005-0000-0000-0000F82C0000}"/>
    <cellStyle name="计算 2 9 6 8" xfId="34007" xr:uid="{00000000-0005-0000-0000-000007850000}"/>
    <cellStyle name="计算 2 9 6 8 2" xfId="10407" xr:uid="{00000000-0005-0000-0000-0000D7280000}"/>
    <cellStyle name="计算 2 9 6 8 2 2" xfId="10188" xr:uid="{00000000-0005-0000-0000-0000FC270000}"/>
    <cellStyle name="计算 2 9 6 8 3" xfId="12512" xr:uid="{00000000-0005-0000-0000-000010310000}"/>
    <cellStyle name="计算 2 9 6 8 3 2" xfId="32036" xr:uid="{00000000-0005-0000-0000-0000547D0000}"/>
    <cellStyle name="计算 2 9 6 8 4" xfId="32038" xr:uid="{00000000-0005-0000-0000-0000567D0000}"/>
    <cellStyle name="计算 2 9 6 8 4 2" xfId="32041" xr:uid="{00000000-0005-0000-0000-0000597D0000}"/>
    <cellStyle name="计算 2 9 6 8 5" xfId="11475" xr:uid="{00000000-0005-0000-0000-0000032D0000}"/>
    <cellStyle name="计算 2 9 6 9" xfId="10417" xr:uid="{00000000-0005-0000-0000-0000E1280000}"/>
    <cellStyle name="计算 2 9 6 9 2" xfId="10429" xr:uid="{00000000-0005-0000-0000-0000ED280000}"/>
    <cellStyle name="计算 2 9 7" xfId="34008" xr:uid="{00000000-0005-0000-0000-000008850000}"/>
    <cellStyle name="计算 2 9 7 10" xfId="10489" xr:uid="{00000000-0005-0000-0000-000029290000}"/>
    <cellStyle name="计算 2 9 7 10 2" xfId="6245" xr:uid="{00000000-0005-0000-0000-000095180000}"/>
    <cellStyle name="计算 2 9 7 11" xfId="26438" xr:uid="{00000000-0005-0000-0000-000076670000}"/>
    <cellStyle name="计算 2 9 7 11 2" xfId="26441" xr:uid="{00000000-0005-0000-0000-000079670000}"/>
    <cellStyle name="计算 2 9 7 12" xfId="26444" xr:uid="{00000000-0005-0000-0000-00007C670000}"/>
    <cellStyle name="计算 2 9 7 12 2" xfId="10910" xr:uid="{00000000-0005-0000-0000-0000CE2A0000}"/>
    <cellStyle name="计算 2 9 7 13" xfId="26448" xr:uid="{00000000-0005-0000-0000-000080670000}"/>
    <cellStyle name="计算 2 9 7 14" xfId="26450" xr:uid="{00000000-0005-0000-0000-000082670000}"/>
    <cellStyle name="计算 2 9 7 15" xfId="14943" xr:uid="{00000000-0005-0000-0000-00008F3A0000}"/>
    <cellStyle name="计算 2 9 7 16" xfId="34010" xr:uid="{00000000-0005-0000-0000-00000A850000}"/>
    <cellStyle name="计算 2 9 7 2" xfId="34011" xr:uid="{00000000-0005-0000-0000-00000B850000}"/>
    <cellStyle name="计算 2 9 7 2 2" xfId="16153" xr:uid="{00000000-0005-0000-0000-0000493F0000}"/>
    <cellStyle name="计算 2 9 7 2 2 2" xfId="19108" xr:uid="{00000000-0005-0000-0000-0000D44A0000}"/>
    <cellStyle name="计算 2 9 7 2 3" xfId="19126" xr:uid="{00000000-0005-0000-0000-0000E64A0000}"/>
    <cellStyle name="计算 2 9 7 2 3 2" xfId="19130" xr:uid="{00000000-0005-0000-0000-0000EA4A0000}"/>
    <cellStyle name="计算 2 9 7 2 4" xfId="19144" xr:uid="{00000000-0005-0000-0000-0000F84A0000}"/>
    <cellStyle name="计算 2 9 7 2 4 2" xfId="19147" xr:uid="{00000000-0005-0000-0000-0000FB4A0000}"/>
    <cellStyle name="计算 2 9 7 2 5" xfId="7052" xr:uid="{00000000-0005-0000-0000-0000BC1B0000}"/>
    <cellStyle name="计算 2 9 7 2 5 2" xfId="15468" xr:uid="{00000000-0005-0000-0000-00009C3C0000}"/>
    <cellStyle name="计算 2 9 7 2 6" xfId="15476" xr:uid="{00000000-0005-0000-0000-0000A43C0000}"/>
    <cellStyle name="计算 2 9 7 2 7" xfId="15484" xr:uid="{00000000-0005-0000-0000-0000AC3C0000}"/>
    <cellStyle name="计算 2 9 7 2 8" xfId="14062" xr:uid="{00000000-0005-0000-0000-00001E370000}"/>
    <cellStyle name="计算 2 9 7 2 9" xfId="14354" xr:uid="{00000000-0005-0000-0000-000042380000}"/>
    <cellStyle name="计算 2 9 7 3" xfId="34012" xr:uid="{00000000-0005-0000-0000-00000C850000}"/>
    <cellStyle name="计算 2 9 7 3 2" xfId="12283" xr:uid="{00000000-0005-0000-0000-00002B300000}"/>
    <cellStyle name="计算 2 9 7 3 2 2" xfId="16925" xr:uid="{00000000-0005-0000-0000-00004D420000}"/>
    <cellStyle name="计算 2 9 7 3 3" xfId="8886" xr:uid="{00000000-0005-0000-0000-0000E6220000}"/>
    <cellStyle name="计算 2 9 7 3 3 2" xfId="34013" xr:uid="{00000000-0005-0000-0000-00000D850000}"/>
    <cellStyle name="计算 2 9 7 3 4" xfId="12555" xr:uid="{00000000-0005-0000-0000-00003B310000}"/>
    <cellStyle name="计算 2 9 7 3 4 2" xfId="34014" xr:uid="{00000000-0005-0000-0000-00000E850000}"/>
    <cellStyle name="计算 2 9 7 3 5" xfId="7070" xr:uid="{00000000-0005-0000-0000-0000CE1B0000}"/>
    <cellStyle name="计算 2 9 7 3 5 2" xfId="2153" xr:uid="{00000000-0005-0000-0000-000099080000}"/>
    <cellStyle name="计算 2 9 7 3 6" xfId="12559" xr:uid="{00000000-0005-0000-0000-00003F310000}"/>
    <cellStyle name="计算 2 9 7 4" xfId="10184" xr:uid="{00000000-0005-0000-0000-0000F8270000}"/>
    <cellStyle name="计算 2 9 7 4 2" xfId="12290" xr:uid="{00000000-0005-0000-0000-000032300000}"/>
    <cellStyle name="计算 2 9 7 4 2 2" xfId="16943" xr:uid="{00000000-0005-0000-0000-00005F420000}"/>
    <cellStyle name="计算 2 9 7 4 3" xfId="8832" xr:uid="{00000000-0005-0000-0000-0000B0220000}"/>
    <cellStyle name="计算 2 9 7 4 3 2" xfId="21305" xr:uid="{00000000-0005-0000-0000-000069530000}"/>
    <cellStyle name="计算 2 9 7 4 4" xfId="34015" xr:uid="{00000000-0005-0000-0000-00000F850000}"/>
    <cellStyle name="计算 2 9 7 4 4 2" xfId="25950" xr:uid="{00000000-0005-0000-0000-00008E650000}"/>
    <cellStyle name="计算 2 9 7 4 5" xfId="12579" xr:uid="{00000000-0005-0000-0000-000053310000}"/>
    <cellStyle name="计算 2 9 7 4 5 2" xfId="950" xr:uid="{00000000-0005-0000-0000-0000E6030000}"/>
    <cellStyle name="计算 2 9 7 4 6" xfId="12587" xr:uid="{00000000-0005-0000-0000-00005B310000}"/>
    <cellStyle name="计算 2 9 7 5" xfId="34016" xr:uid="{00000000-0005-0000-0000-000010850000}"/>
    <cellStyle name="计算 2 9 7 5 2" xfId="12302" xr:uid="{00000000-0005-0000-0000-00003E300000}"/>
    <cellStyle name="计算 2 9 7 5 2 2" xfId="16961" xr:uid="{00000000-0005-0000-0000-000071420000}"/>
    <cellStyle name="计算 2 9 7 5 3" xfId="8897" xr:uid="{00000000-0005-0000-0000-0000F1220000}"/>
    <cellStyle name="计算 2 9 7 5 3 2" xfId="34017" xr:uid="{00000000-0005-0000-0000-000011850000}"/>
    <cellStyle name="计算 2 9 7 5 4" xfId="34018" xr:uid="{00000000-0005-0000-0000-000012850000}"/>
    <cellStyle name="计算 2 9 7 5 4 2" xfId="34019" xr:uid="{00000000-0005-0000-0000-000013850000}"/>
    <cellStyle name="计算 2 9 7 5 5" xfId="12607" xr:uid="{00000000-0005-0000-0000-00006F310000}"/>
    <cellStyle name="计算 2 9 7 5 5 2" xfId="12617" xr:uid="{00000000-0005-0000-0000-000079310000}"/>
    <cellStyle name="计算 2 9 7 5 6" xfId="12630" xr:uid="{00000000-0005-0000-0000-000086310000}"/>
    <cellStyle name="计算 2 9 7 6" xfId="34020" xr:uid="{00000000-0005-0000-0000-000014850000}"/>
    <cellStyle name="计算 2 9 7 6 2" xfId="12315" xr:uid="{00000000-0005-0000-0000-00004B300000}"/>
    <cellStyle name="计算 2 9 7 6 2 2" xfId="16982" xr:uid="{00000000-0005-0000-0000-000086420000}"/>
    <cellStyle name="计算 2 9 7 6 3" xfId="8909" xr:uid="{00000000-0005-0000-0000-0000FD220000}"/>
    <cellStyle name="计算 2 9 7 6 3 2" xfId="34021" xr:uid="{00000000-0005-0000-0000-000015850000}"/>
    <cellStyle name="计算 2 9 7 6 4" xfId="34022" xr:uid="{00000000-0005-0000-0000-000016850000}"/>
    <cellStyle name="计算 2 9 7 6 4 2" xfId="34023" xr:uid="{00000000-0005-0000-0000-000017850000}"/>
    <cellStyle name="计算 2 9 7 6 5" xfId="12661" xr:uid="{00000000-0005-0000-0000-0000A5310000}"/>
    <cellStyle name="计算 2 9 7 6 5 2" xfId="1259" xr:uid="{00000000-0005-0000-0000-00001B050000}"/>
    <cellStyle name="计算 2 9 7 6 6" xfId="12670" xr:uid="{00000000-0005-0000-0000-0000AE310000}"/>
    <cellStyle name="计算 2 9 7 7" xfId="34025" xr:uid="{00000000-0005-0000-0000-000019850000}"/>
    <cellStyle name="计算 2 9 7 7 2" xfId="1099" xr:uid="{00000000-0005-0000-0000-00007B040000}"/>
    <cellStyle name="计算 2 9 7 7 2 2" xfId="17001" xr:uid="{00000000-0005-0000-0000-000099420000}"/>
    <cellStyle name="计算 2 9 7 7 3" xfId="12680" xr:uid="{00000000-0005-0000-0000-0000B8310000}"/>
    <cellStyle name="计算 2 9 7 7 3 2" xfId="34026" xr:uid="{00000000-0005-0000-0000-00001A850000}"/>
    <cellStyle name="计算 2 9 7 7 4" xfId="34027" xr:uid="{00000000-0005-0000-0000-00001B850000}"/>
    <cellStyle name="计算 2 9 7 7 4 2" xfId="205" xr:uid="{00000000-0005-0000-0000-0000DF000000}"/>
    <cellStyle name="计算 2 9 7 7 5" xfId="12688" xr:uid="{00000000-0005-0000-0000-0000C0310000}"/>
    <cellStyle name="计算 2 9 7 7 5 2" xfId="12701" xr:uid="{00000000-0005-0000-0000-0000CD310000}"/>
    <cellStyle name="计算 2 9 7 7 6" xfId="12709" xr:uid="{00000000-0005-0000-0000-0000D5310000}"/>
    <cellStyle name="计算 2 9 7 8" xfId="34028" xr:uid="{00000000-0005-0000-0000-00001C850000}"/>
    <cellStyle name="计算 2 9 7 8 2" xfId="1121" xr:uid="{00000000-0005-0000-0000-000091040000}"/>
    <cellStyle name="计算 2 9 7 8 2 2" xfId="17011" xr:uid="{00000000-0005-0000-0000-0000A3420000}"/>
    <cellStyle name="计算 2 9 7 8 3" xfId="12723" xr:uid="{00000000-0005-0000-0000-0000E3310000}"/>
    <cellStyle name="计算 2 9 7 8 3 2" xfId="34030" xr:uid="{00000000-0005-0000-0000-00001E850000}"/>
    <cellStyle name="计算 2 9 7 8 4" xfId="34031" xr:uid="{00000000-0005-0000-0000-00001F850000}"/>
    <cellStyle name="计算 2 9 7 8 4 2" xfId="34032" xr:uid="{00000000-0005-0000-0000-000020850000}"/>
    <cellStyle name="计算 2 9 7 8 5" xfId="12729" xr:uid="{00000000-0005-0000-0000-0000E9310000}"/>
    <cellStyle name="计算 2 9 7 9" xfId="34033" xr:uid="{00000000-0005-0000-0000-000021850000}"/>
    <cellStyle name="计算 2 9 7 9 2" xfId="1151" xr:uid="{00000000-0005-0000-0000-0000AF040000}"/>
    <cellStyle name="计算 2 9 8" xfId="34034" xr:uid="{00000000-0005-0000-0000-000022850000}"/>
    <cellStyle name="计算 2 9 8 10" xfId="7364" xr:uid="{00000000-0005-0000-0000-0000F41C0000}"/>
    <cellStyle name="计算 2 9 8 10 2" xfId="34035" xr:uid="{00000000-0005-0000-0000-000023850000}"/>
    <cellStyle name="计算 2 9 8 11" xfId="25798" xr:uid="{00000000-0005-0000-0000-0000F6640000}"/>
    <cellStyle name="计算 2 9 8 11 2" xfId="34036" xr:uid="{00000000-0005-0000-0000-000024850000}"/>
    <cellStyle name="计算 2 9 8 12" xfId="34037" xr:uid="{00000000-0005-0000-0000-000025850000}"/>
    <cellStyle name="计算 2 9 8 12 2" xfId="34038" xr:uid="{00000000-0005-0000-0000-000026850000}"/>
    <cellStyle name="计算 2 9 8 13" xfId="23767" xr:uid="{00000000-0005-0000-0000-0000075D0000}"/>
    <cellStyle name="计算 2 9 8 14" xfId="34039" xr:uid="{00000000-0005-0000-0000-000027850000}"/>
    <cellStyle name="计算 2 9 8 15" xfId="30516" xr:uid="{00000000-0005-0000-0000-000064770000}"/>
    <cellStyle name="计算 2 9 8 16" xfId="34041" xr:uid="{00000000-0005-0000-0000-000029850000}"/>
    <cellStyle name="计算 2 9 8 2" xfId="34042" xr:uid="{00000000-0005-0000-0000-00002A850000}"/>
    <cellStyle name="计算 2 9 8 2 2" xfId="2015" xr:uid="{00000000-0005-0000-0000-00000F080000}"/>
    <cellStyle name="计算 2 9 8 2 2 2" xfId="20187" xr:uid="{00000000-0005-0000-0000-00000B4F0000}"/>
    <cellStyle name="计算 2 9 8 2 3" xfId="257" xr:uid="{00000000-0005-0000-0000-00001A010000}"/>
    <cellStyle name="计算 2 9 8 2 3 2" xfId="15259" xr:uid="{00000000-0005-0000-0000-0000CB3B0000}"/>
    <cellStyle name="计算 2 9 8 2 4" xfId="2025" xr:uid="{00000000-0005-0000-0000-000019080000}"/>
    <cellStyle name="计算 2 9 8 2 4 2" xfId="16306" xr:uid="{00000000-0005-0000-0000-0000E23F0000}"/>
    <cellStyle name="计算 2 9 8 2 5" xfId="2045" xr:uid="{00000000-0005-0000-0000-00002D080000}"/>
    <cellStyle name="计算 2 9 8 2 5 2" xfId="1803" xr:uid="{00000000-0005-0000-0000-00003B070000}"/>
    <cellStyle name="计算 2 9 8 2 6" xfId="2080" xr:uid="{00000000-0005-0000-0000-000050080000}"/>
    <cellStyle name="计算 2 9 8 2 7" xfId="2091" xr:uid="{00000000-0005-0000-0000-00005B080000}"/>
    <cellStyle name="计算 2 9 8 2 8" xfId="2119" xr:uid="{00000000-0005-0000-0000-000077080000}"/>
    <cellStyle name="计算 2 9 8 2 9" xfId="1864" xr:uid="{00000000-0005-0000-0000-000078070000}"/>
    <cellStyle name="计算 2 9 8 3" xfId="34043" xr:uid="{00000000-0005-0000-0000-00002B850000}"/>
    <cellStyle name="计算 2 9 8 3 2" xfId="12330" xr:uid="{00000000-0005-0000-0000-00005A300000}"/>
    <cellStyle name="计算 2 9 8 3 2 2" xfId="17056" xr:uid="{00000000-0005-0000-0000-0000D0420000}"/>
    <cellStyle name="计算 2 9 8 3 3" xfId="4722" xr:uid="{00000000-0005-0000-0000-0000A2120000}"/>
    <cellStyle name="计算 2 9 8 3 3 2" xfId="17747" xr:uid="{00000000-0005-0000-0000-000083450000}"/>
    <cellStyle name="计算 2 9 8 3 4" xfId="17058" xr:uid="{00000000-0005-0000-0000-0000D2420000}"/>
    <cellStyle name="计算 2 9 8 3 4 2" xfId="17930" xr:uid="{00000000-0005-0000-0000-00003A460000}"/>
    <cellStyle name="计算 2 9 8 3 5" xfId="7136" xr:uid="{00000000-0005-0000-0000-0000101C0000}"/>
    <cellStyle name="计算 2 9 8 3 5 2" xfId="15640" xr:uid="{00000000-0005-0000-0000-0000483D0000}"/>
    <cellStyle name="计算 2 9 8 3 6" xfId="15645" xr:uid="{00000000-0005-0000-0000-00004D3D0000}"/>
    <cellStyle name="计算 2 9 8 4" xfId="10200" xr:uid="{00000000-0005-0000-0000-000008280000}"/>
    <cellStyle name="计算 2 9 8 4 2" xfId="12335" xr:uid="{00000000-0005-0000-0000-00005F300000}"/>
    <cellStyle name="计算 2 9 8 4 2 2" xfId="17087" xr:uid="{00000000-0005-0000-0000-0000EF420000}"/>
    <cellStyle name="计算 2 9 8 4 3" xfId="8935" xr:uid="{00000000-0005-0000-0000-000017230000}"/>
    <cellStyle name="计算 2 9 8 4 3 2" xfId="19587" xr:uid="{00000000-0005-0000-0000-0000B34C0000}"/>
    <cellStyle name="计算 2 9 8 4 4" xfId="34044" xr:uid="{00000000-0005-0000-0000-00002C850000}"/>
    <cellStyle name="计算 2 9 8 4 4 2" xfId="19718" xr:uid="{00000000-0005-0000-0000-0000364D0000}"/>
    <cellStyle name="计算 2 9 8 4 5" xfId="13494" xr:uid="{00000000-0005-0000-0000-0000E6340000}"/>
    <cellStyle name="计算 2 9 8 4 5 2" xfId="15674" xr:uid="{00000000-0005-0000-0000-00006A3D0000}"/>
    <cellStyle name="计算 2 9 8 4 6" xfId="15684" xr:uid="{00000000-0005-0000-0000-0000743D0000}"/>
    <cellStyle name="计算 2 9 8 5" xfId="34045" xr:uid="{00000000-0005-0000-0000-00002D850000}"/>
    <cellStyle name="计算 2 9 8 5 2" xfId="12344" xr:uid="{00000000-0005-0000-0000-000068300000}"/>
    <cellStyle name="计算 2 9 8 5 2 2" xfId="17121" xr:uid="{00000000-0005-0000-0000-000011430000}"/>
    <cellStyle name="计算 2 9 8 5 3" xfId="8951" xr:uid="{00000000-0005-0000-0000-000027230000}"/>
    <cellStyle name="计算 2 9 8 5 3 2" xfId="20504" xr:uid="{00000000-0005-0000-0000-000048500000}"/>
    <cellStyle name="计算 2 9 8 5 4" xfId="34046" xr:uid="{00000000-0005-0000-0000-00002E850000}"/>
    <cellStyle name="计算 2 9 8 5 4 2" xfId="20683" xr:uid="{00000000-0005-0000-0000-0000FB500000}"/>
    <cellStyle name="计算 2 9 8 5 5" xfId="15724" xr:uid="{00000000-0005-0000-0000-00009C3D0000}"/>
    <cellStyle name="计算 2 9 8 5 5 2" xfId="15727" xr:uid="{00000000-0005-0000-0000-00009F3D0000}"/>
    <cellStyle name="计算 2 9 8 5 6" xfId="15731" xr:uid="{00000000-0005-0000-0000-0000A33D0000}"/>
    <cellStyle name="计算 2 9 8 6" xfId="34047" xr:uid="{00000000-0005-0000-0000-00002F850000}"/>
    <cellStyle name="计算 2 9 8 6 2" xfId="12352" xr:uid="{00000000-0005-0000-0000-000070300000}"/>
    <cellStyle name="计算 2 9 8 6 2 2" xfId="17156" xr:uid="{00000000-0005-0000-0000-000034430000}"/>
    <cellStyle name="计算 2 9 8 6 3" xfId="8963" xr:uid="{00000000-0005-0000-0000-000033230000}"/>
    <cellStyle name="计算 2 9 8 6 3 2" xfId="21854" xr:uid="{00000000-0005-0000-0000-00008E550000}"/>
    <cellStyle name="计算 2 9 8 6 4" xfId="34048" xr:uid="{00000000-0005-0000-0000-000030850000}"/>
    <cellStyle name="计算 2 9 8 6 4 2" xfId="21971" xr:uid="{00000000-0005-0000-0000-000003560000}"/>
    <cellStyle name="计算 2 9 8 6 5" xfId="15763" xr:uid="{00000000-0005-0000-0000-0000C33D0000}"/>
    <cellStyle name="计算 2 9 8 6 5 2" xfId="15766" xr:uid="{00000000-0005-0000-0000-0000C63D0000}"/>
    <cellStyle name="计算 2 9 8 6 6" xfId="15772" xr:uid="{00000000-0005-0000-0000-0000CC3D0000}"/>
    <cellStyle name="计算 2 9 8 7" xfId="34050" xr:uid="{00000000-0005-0000-0000-000032850000}"/>
    <cellStyle name="计算 2 9 8 7 2" xfId="17190" xr:uid="{00000000-0005-0000-0000-000056430000}"/>
    <cellStyle name="计算 2 9 8 7 2 2" xfId="17193" xr:uid="{00000000-0005-0000-0000-000059430000}"/>
    <cellStyle name="计算 2 9 8 7 3" xfId="17195" xr:uid="{00000000-0005-0000-0000-00005B430000}"/>
    <cellStyle name="计算 2 9 8 7 3 2" xfId="23043" xr:uid="{00000000-0005-0000-0000-0000335A0000}"/>
    <cellStyle name="计算 2 9 8 7 4" xfId="34051" xr:uid="{00000000-0005-0000-0000-000033850000}"/>
    <cellStyle name="计算 2 9 8 7 4 2" xfId="23120" xr:uid="{00000000-0005-0000-0000-0000805A0000}"/>
    <cellStyle name="计算 2 9 8 7 5" xfId="15808" xr:uid="{00000000-0005-0000-0000-0000F03D0000}"/>
    <cellStyle name="计算 2 9 8 7 5 2" xfId="15813" xr:uid="{00000000-0005-0000-0000-0000F53D0000}"/>
    <cellStyle name="计算 2 9 8 7 6" xfId="15821" xr:uid="{00000000-0005-0000-0000-0000FD3D0000}"/>
    <cellStyle name="计算 2 9 8 8" xfId="34052" xr:uid="{00000000-0005-0000-0000-000034850000}"/>
    <cellStyle name="计算 2 9 8 8 2" xfId="17223" xr:uid="{00000000-0005-0000-0000-000077430000}"/>
    <cellStyle name="计算 2 9 8 8 2 2" xfId="17225" xr:uid="{00000000-0005-0000-0000-000079430000}"/>
    <cellStyle name="计算 2 9 8 8 3" xfId="17227" xr:uid="{00000000-0005-0000-0000-00007B430000}"/>
    <cellStyle name="计算 2 9 8 8 3 2" xfId="34053" xr:uid="{00000000-0005-0000-0000-000035850000}"/>
    <cellStyle name="计算 2 9 8 8 4" xfId="34054" xr:uid="{00000000-0005-0000-0000-000036850000}"/>
    <cellStyle name="计算 2 9 8 8 4 2" xfId="34055" xr:uid="{00000000-0005-0000-0000-000037850000}"/>
    <cellStyle name="计算 2 9 8 8 5" xfId="15848" xr:uid="{00000000-0005-0000-0000-0000183E0000}"/>
    <cellStyle name="计算 2 9 8 9" xfId="34056" xr:uid="{00000000-0005-0000-0000-000038850000}"/>
    <cellStyle name="计算 2 9 8 9 2" xfId="17253" xr:uid="{00000000-0005-0000-0000-000095430000}"/>
    <cellStyle name="计算 2 9 9" xfId="2510" xr:uid="{00000000-0005-0000-0000-0000FE090000}"/>
    <cellStyle name="计算 2 9 9 10" xfId="34057" xr:uid="{00000000-0005-0000-0000-000039850000}"/>
    <cellStyle name="计算 2 9 9 10 2" xfId="34059" xr:uid="{00000000-0005-0000-0000-00003B850000}"/>
    <cellStyle name="计算 2 9 9 11" xfId="34061" xr:uid="{00000000-0005-0000-0000-00003D850000}"/>
    <cellStyle name="计算 2 9 9 11 2" xfId="34062" xr:uid="{00000000-0005-0000-0000-00003E850000}"/>
    <cellStyle name="计算 2 9 9 12" xfId="34063" xr:uid="{00000000-0005-0000-0000-00003F850000}"/>
    <cellStyle name="计算 2 9 9 12 2" xfId="34065" xr:uid="{00000000-0005-0000-0000-000041850000}"/>
    <cellStyle name="计算 2 9 9 13" xfId="26426" xr:uid="{00000000-0005-0000-0000-00006A670000}"/>
    <cellStyle name="计算 2 9 9 14" xfId="34067" xr:uid="{00000000-0005-0000-0000-000043850000}"/>
    <cellStyle name="计算 2 9 9 15" xfId="34070" xr:uid="{00000000-0005-0000-0000-000046850000}"/>
    <cellStyle name="计算 2 9 9 16" xfId="34072" xr:uid="{00000000-0005-0000-0000-000048850000}"/>
    <cellStyle name="计算 2 9 9 2" xfId="850" xr:uid="{00000000-0005-0000-0000-000082030000}"/>
    <cellStyle name="计算 2 9 9 2 2" xfId="376" xr:uid="{00000000-0005-0000-0000-00009C010000}"/>
    <cellStyle name="计算 2 9 9 2 2 2" xfId="566" xr:uid="{00000000-0005-0000-0000-000066020000}"/>
    <cellStyle name="计算 2 9 9 2 3" xfId="405" xr:uid="{00000000-0005-0000-0000-0000BB010000}"/>
    <cellStyle name="计算 2 9 9 2 3 2" xfId="587" xr:uid="{00000000-0005-0000-0000-00007B020000}"/>
    <cellStyle name="计算 2 9 9 2 4" xfId="78" xr:uid="{00000000-0005-0000-0000-000054000000}"/>
    <cellStyle name="计算 2 9 9 2 4 2" xfId="21250" xr:uid="{00000000-0005-0000-0000-000032530000}"/>
    <cellStyle name="计算 2 9 9 2 5" xfId="436" xr:uid="{00000000-0005-0000-0000-0000DD010000}"/>
    <cellStyle name="计算 2 9 9 2 5 2" xfId="21259" xr:uid="{00000000-0005-0000-0000-00003B530000}"/>
    <cellStyle name="计算 2 9 9 2 6" xfId="487" xr:uid="{00000000-0005-0000-0000-000013020000}"/>
    <cellStyle name="计算 2 9 9 2 7" xfId="528" xr:uid="{00000000-0005-0000-0000-00003F020000}"/>
    <cellStyle name="计算 2 9 9 2 8" xfId="34074" xr:uid="{00000000-0005-0000-0000-00004A850000}"/>
    <cellStyle name="计算 2 9 9 2 9" xfId="34076" xr:uid="{00000000-0005-0000-0000-00004C850000}"/>
    <cellStyle name="计算 2 9 9 3" xfId="34078" xr:uid="{00000000-0005-0000-0000-00004E850000}"/>
    <cellStyle name="计算 2 9 9 3 2" xfId="2446" xr:uid="{00000000-0005-0000-0000-0000BE090000}"/>
    <cellStyle name="计算 2 9 9 3 2 2" xfId="2456" xr:uid="{00000000-0005-0000-0000-0000C8090000}"/>
    <cellStyle name="计算 2 9 9 3 3" xfId="2466" xr:uid="{00000000-0005-0000-0000-0000D2090000}"/>
    <cellStyle name="计算 2 9 9 3 3 2" xfId="2405" xr:uid="{00000000-0005-0000-0000-000095090000}"/>
    <cellStyle name="计算 2 9 9 3 4" xfId="2472" xr:uid="{00000000-0005-0000-0000-0000D8090000}"/>
    <cellStyle name="计算 2 9 9 3 4 2" xfId="34080" xr:uid="{00000000-0005-0000-0000-000050850000}"/>
    <cellStyle name="计算 2 9 9 3 5" xfId="7176" xr:uid="{00000000-0005-0000-0000-0000381C0000}"/>
    <cellStyle name="计算 2 9 9 3 5 2" xfId="34082" xr:uid="{00000000-0005-0000-0000-000052850000}"/>
    <cellStyle name="计算 2 9 9 3 6" xfId="25847" xr:uid="{00000000-0005-0000-0000-000027650000}"/>
    <cellStyle name="计算 2 9 9 4" xfId="34084" xr:uid="{00000000-0005-0000-0000-000054850000}"/>
    <cellStyle name="计算 2 9 9 4 2" xfId="1746" xr:uid="{00000000-0005-0000-0000-000002070000}"/>
    <cellStyle name="计算 2 9 9 4 2 2" xfId="1495" xr:uid="{00000000-0005-0000-0000-000007060000}"/>
    <cellStyle name="计算 2 9 9 4 3" xfId="1776" xr:uid="{00000000-0005-0000-0000-000020070000}"/>
    <cellStyle name="计算 2 9 9 4 3 2" xfId="2492" xr:uid="{00000000-0005-0000-0000-0000EC090000}"/>
    <cellStyle name="计算 2 9 9 4 4" xfId="1807" xr:uid="{00000000-0005-0000-0000-00003F070000}"/>
    <cellStyle name="计算 2 9 9 4 4 2" xfId="34086" xr:uid="{00000000-0005-0000-0000-000056850000}"/>
    <cellStyle name="计算 2 9 9 4 5" xfId="15859" xr:uid="{00000000-0005-0000-0000-0000233E0000}"/>
    <cellStyle name="计算 2 9 9 4 5 2" xfId="34088" xr:uid="{00000000-0005-0000-0000-000058850000}"/>
    <cellStyle name="计算 2 9 9 4 6" xfId="25859" xr:uid="{00000000-0005-0000-0000-000033650000}"/>
    <cellStyle name="计算 2 9 9 5" xfId="34090" xr:uid="{00000000-0005-0000-0000-00005A850000}"/>
    <cellStyle name="计算 2 9 9 5 2" xfId="1985" xr:uid="{00000000-0005-0000-0000-0000F1070000}"/>
    <cellStyle name="计算 2 9 9 5 2 2" xfId="1922" xr:uid="{00000000-0005-0000-0000-0000B2070000}"/>
    <cellStyle name="计算 2 9 9 5 3" xfId="2525" xr:uid="{00000000-0005-0000-0000-00000D0A0000}"/>
    <cellStyle name="计算 2 9 9 5 3 2" xfId="2533" xr:uid="{00000000-0005-0000-0000-0000150A0000}"/>
    <cellStyle name="计算 2 9 9 5 4" xfId="2546" xr:uid="{00000000-0005-0000-0000-0000220A0000}"/>
    <cellStyle name="计算 2 9 9 5 4 2" xfId="34092" xr:uid="{00000000-0005-0000-0000-00005C850000}"/>
    <cellStyle name="计算 2 9 9 5 5" xfId="15866" xr:uid="{00000000-0005-0000-0000-00002A3E0000}"/>
    <cellStyle name="计算 2 9 9 5 5 2" xfId="34094" xr:uid="{00000000-0005-0000-0000-00005E850000}"/>
    <cellStyle name="计算 2 9 9 5 6" xfId="25871" xr:uid="{00000000-0005-0000-0000-00003F650000}"/>
    <cellStyle name="计算 2 9 9 6" xfId="34096" xr:uid="{00000000-0005-0000-0000-000060850000}"/>
    <cellStyle name="计算 2 9 9 6 2" xfId="2595" xr:uid="{00000000-0005-0000-0000-0000530A0000}"/>
    <cellStyle name="计算 2 9 9 6 2 2" xfId="2607" xr:uid="{00000000-0005-0000-0000-00005F0A0000}"/>
    <cellStyle name="计算 2 9 9 6 3" xfId="2622" xr:uid="{00000000-0005-0000-0000-00006E0A0000}"/>
    <cellStyle name="计算 2 9 9 6 3 2" xfId="2640" xr:uid="{00000000-0005-0000-0000-0000800A0000}"/>
    <cellStyle name="计算 2 9 9 6 4" xfId="2105" xr:uid="{00000000-0005-0000-0000-000069080000}"/>
    <cellStyle name="计算 2 9 9 6 4 2" xfId="25754" xr:uid="{00000000-0005-0000-0000-0000CA640000}"/>
    <cellStyle name="计算 2 9 9 6 5" xfId="25759" xr:uid="{00000000-0005-0000-0000-0000CF640000}"/>
    <cellStyle name="计算 2 9 9 6 5 2" xfId="25764" xr:uid="{00000000-0005-0000-0000-0000D4640000}"/>
    <cellStyle name="计算 2 9 9 6 6" xfId="25770" xr:uid="{00000000-0005-0000-0000-0000DA640000}"/>
    <cellStyle name="计算 2 9 9 7" xfId="34099" xr:uid="{00000000-0005-0000-0000-000063850000}"/>
    <cellStyle name="计算 2 9 9 7 2" xfId="2697" xr:uid="{00000000-0005-0000-0000-0000B90A0000}"/>
    <cellStyle name="计算 2 9 9 7 2 2" xfId="2711" xr:uid="{00000000-0005-0000-0000-0000C70A0000}"/>
    <cellStyle name="计算 2 9 9 7 3" xfId="2719" xr:uid="{00000000-0005-0000-0000-0000CF0A0000}"/>
    <cellStyle name="计算 2 9 9 7 3 2" xfId="2735" xr:uid="{00000000-0005-0000-0000-0000DF0A0000}"/>
    <cellStyle name="计算 2 9 9 7 4" xfId="2738" xr:uid="{00000000-0005-0000-0000-0000E20A0000}"/>
    <cellStyle name="计算 2 9 9 7 4 2" xfId="28576" xr:uid="{00000000-0005-0000-0000-0000D06F0000}"/>
    <cellStyle name="计算 2 9 9 7 5" xfId="34102" xr:uid="{00000000-0005-0000-0000-000066850000}"/>
    <cellStyle name="计算 2 9 9 7 5 2" xfId="34104" xr:uid="{00000000-0005-0000-0000-000068850000}"/>
    <cellStyle name="计算 2 9 9 7 6" xfId="34108" xr:uid="{00000000-0005-0000-0000-00006C850000}"/>
    <cellStyle name="计算 2 9 9 8" xfId="34110" xr:uid="{00000000-0005-0000-0000-00006E850000}"/>
    <cellStyle name="计算 2 9 9 8 2" xfId="2785" xr:uid="{00000000-0005-0000-0000-0000110B0000}"/>
    <cellStyle name="计算 2 9 9 8 2 2" xfId="43" xr:uid="{00000000-0005-0000-0000-00002F000000}"/>
    <cellStyle name="计算 2 9 9 8 3" xfId="2793" xr:uid="{00000000-0005-0000-0000-0000190B0000}"/>
    <cellStyle name="计算 2 9 9 8 3 2" xfId="27222" xr:uid="{00000000-0005-0000-0000-0000866A0000}"/>
    <cellStyle name="计算 2 9 9 8 4" xfId="34113" xr:uid="{00000000-0005-0000-0000-000071850000}"/>
    <cellStyle name="计算 2 9 9 8 4 2" xfId="34115" xr:uid="{00000000-0005-0000-0000-000073850000}"/>
    <cellStyle name="计算 2 9 9 8 5" xfId="34117" xr:uid="{00000000-0005-0000-0000-000075850000}"/>
    <cellStyle name="计算 2 9 9 9" xfId="34119" xr:uid="{00000000-0005-0000-0000-000077850000}"/>
    <cellStyle name="计算 2 9 9 9 2" xfId="34122" xr:uid="{00000000-0005-0000-0000-00007A850000}"/>
    <cellStyle name="计算 3" xfId="20985" xr:uid="{00000000-0005-0000-0000-000029520000}"/>
    <cellStyle name="检查单元格 2" xfId="34125" xr:uid="{00000000-0005-0000-0000-00007D850000}"/>
    <cellStyle name="检查单元格 2 10" xfId="12697" xr:uid="{00000000-0005-0000-0000-0000C9310000}"/>
    <cellStyle name="检查单元格 2 10 10" xfId="26842" xr:uid="{00000000-0005-0000-0000-00000A690000}"/>
    <cellStyle name="检查单元格 2 10 10 2" xfId="34128" xr:uid="{00000000-0005-0000-0000-000080850000}"/>
    <cellStyle name="检查单元格 2 10 10 2 2" xfId="34131" xr:uid="{00000000-0005-0000-0000-000083850000}"/>
    <cellStyle name="检查单元格 2 10 10 3" xfId="34135" xr:uid="{00000000-0005-0000-0000-000087850000}"/>
    <cellStyle name="检查单元格 2 10 10 3 2" xfId="34138" xr:uid="{00000000-0005-0000-0000-00008A850000}"/>
    <cellStyle name="检查单元格 2 10 10 4" xfId="30521" xr:uid="{00000000-0005-0000-0000-000069770000}"/>
    <cellStyle name="检查单元格 2 10 10 4 2" xfId="30523" xr:uid="{00000000-0005-0000-0000-00006B770000}"/>
    <cellStyle name="检查单元格 2 10 10 5" xfId="18547" xr:uid="{00000000-0005-0000-0000-0000A3480000}"/>
    <cellStyle name="检查单元格 2 10 10 5 2" xfId="30526" xr:uid="{00000000-0005-0000-0000-00006E770000}"/>
    <cellStyle name="检查单元格 2 10 10 6" xfId="30529" xr:uid="{00000000-0005-0000-0000-000071770000}"/>
    <cellStyle name="检查单元格 2 10 11" xfId="34141" xr:uid="{00000000-0005-0000-0000-00008D850000}"/>
    <cellStyle name="检查单元格 2 10 11 2" xfId="13700" xr:uid="{00000000-0005-0000-0000-0000B4350000}"/>
    <cellStyle name="检查单元格 2 10 11 2 2" xfId="9212" xr:uid="{00000000-0005-0000-0000-00002C240000}"/>
    <cellStyle name="检查单元格 2 10 11 3" xfId="13705" xr:uid="{00000000-0005-0000-0000-0000B9350000}"/>
    <cellStyle name="检查单元格 2 10 11 3 2" xfId="9246" xr:uid="{00000000-0005-0000-0000-00004E240000}"/>
    <cellStyle name="检查单元格 2 10 11 4" xfId="11703" xr:uid="{00000000-0005-0000-0000-0000E72D0000}"/>
    <cellStyle name="检查单元格 2 10 11 4 2" xfId="2311" xr:uid="{00000000-0005-0000-0000-000037090000}"/>
    <cellStyle name="检查单元格 2 10 11 5" xfId="13711" xr:uid="{00000000-0005-0000-0000-0000BF350000}"/>
    <cellStyle name="检查单元格 2 10 12" xfId="34142" xr:uid="{00000000-0005-0000-0000-00008E850000}"/>
    <cellStyle name="检查单元格 2 10 12 2" xfId="18621" xr:uid="{00000000-0005-0000-0000-0000ED480000}"/>
    <cellStyle name="检查单元格 2 10 13" xfId="34143" xr:uid="{00000000-0005-0000-0000-00008F850000}"/>
    <cellStyle name="检查单元格 2 10 13 2" xfId="18677" xr:uid="{00000000-0005-0000-0000-000025490000}"/>
    <cellStyle name="检查单元格 2 10 14" xfId="20891" xr:uid="{00000000-0005-0000-0000-0000CB510000}"/>
    <cellStyle name="检查单元格 2 10 14 2" xfId="18738" xr:uid="{00000000-0005-0000-0000-000062490000}"/>
    <cellStyle name="检查单元格 2 10 15" xfId="20894" xr:uid="{00000000-0005-0000-0000-0000CE510000}"/>
    <cellStyle name="检查单元格 2 10 15 2" xfId="18788" xr:uid="{00000000-0005-0000-0000-000094490000}"/>
    <cellStyle name="检查单元格 2 10 16" xfId="20896" xr:uid="{00000000-0005-0000-0000-0000D0510000}"/>
    <cellStyle name="检查单元格 2 10 17" xfId="20898" xr:uid="{00000000-0005-0000-0000-0000D2510000}"/>
    <cellStyle name="检查单元格 2 10 18" xfId="4250" xr:uid="{00000000-0005-0000-0000-0000CA100000}"/>
    <cellStyle name="检查单元格 2 10 19" xfId="2291" xr:uid="{00000000-0005-0000-0000-000023090000}"/>
    <cellStyle name="检查单元格 2 10 2" xfId="34144" xr:uid="{00000000-0005-0000-0000-000090850000}"/>
    <cellStyle name="检查单元格 2 10 2 10" xfId="510" xr:uid="{00000000-0005-0000-0000-00002C020000}"/>
    <cellStyle name="检查单元格 2 10 2 11" xfId="34146" xr:uid="{00000000-0005-0000-0000-000092850000}"/>
    <cellStyle name="检查单元格 2 10 2 12" xfId="34147" xr:uid="{00000000-0005-0000-0000-000093850000}"/>
    <cellStyle name="检查单元格 2 10 2 13" xfId="34149" xr:uid="{00000000-0005-0000-0000-000095850000}"/>
    <cellStyle name="检查单元格 2 10 2 2" xfId="34150" xr:uid="{00000000-0005-0000-0000-000096850000}"/>
    <cellStyle name="检查单元格 2 10 2 2 2" xfId="34151" xr:uid="{00000000-0005-0000-0000-000097850000}"/>
    <cellStyle name="检查单元格 2 10 2 2 2 2" xfId="34152" xr:uid="{00000000-0005-0000-0000-000098850000}"/>
    <cellStyle name="检查单元格 2 10 2 2 3" xfId="28300" xr:uid="{00000000-0005-0000-0000-0000BC6E0000}"/>
    <cellStyle name="检查单元格 2 10 2 2 3 2" xfId="28302" xr:uid="{00000000-0005-0000-0000-0000BE6E0000}"/>
    <cellStyle name="检查单元格 2 10 2 2 4" xfId="28304" xr:uid="{00000000-0005-0000-0000-0000C06E0000}"/>
    <cellStyle name="检查单元格 2 10 2 2 4 2" xfId="28307" xr:uid="{00000000-0005-0000-0000-0000C36E0000}"/>
    <cellStyle name="检查单元格 2 10 2 2 5" xfId="28310" xr:uid="{00000000-0005-0000-0000-0000C66E0000}"/>
    <cellStyle name="检查单元格 2 10 2 2 5 2" xfId="28312" xr:uid="{00000000-0005-0000-0000-0000C86E0000}"/>
    <cellStyle name="检查单元格 2 10 2 2 6" xfId="28316" xr:uid="{00000000-0005-0000-0000-0000CC6E0000}"/>
    <cellStyle name="检查单元格 2 10 2 2 7" xfId="17347" xr:uid="{00000000-0005-0000-0000-0000F3430000}"/>
    <cellStyle name="检查单元格 2 10 2 2 8" xfId="34153" xr:uid="{00000000-0005-0000-0000-000099850000}"/>
    <cellStyle name="检查单元格 2 10 2 2 9" xfId="34154" xr:uid="{00000000-0005-0000-0000-00009A850000}"/>
    <cellStyle name="检查单元格 2 10 2 3" xfId="34156" xr:uid="{00000000-0005-0000-0000-00009C850000}"/>
    <cellStyle name="检查单元格 2 10 2 3 2" xfId="23932" xr:uid="{00000000-0005-0000-0000-0000AC5D0000}"/>
    <cellStyle name="检查单元格 2 10 2 3 2 2" xfId="23936" xr:uid="{00000000-0005-0000-0000-0000B05D0000}"/>
    <cellStyle name="检查单元格 2 10 2 3 3" xfId="23939" xr:uid="{00000000-0005-0000-0000-0000B35D0000}"/>
    <cellStyle name="检查单元格 2 10 2 3 3 2" xfId="23942" xr:uid="{00000000-0005-0000-0000-0000B65D0000}"/>
    <cellStyle name="检查单元格 2 10 2 3 4" xfId="23945" xr:uid="{00000000-0005-0000-0000-0000B95D0000}"/>
    <cellStyle name="检查单元格 2 10 2 3 4 2" xfId="23949" xr:uid="{00000000-0005-0000-0000-0000BD5D0000}"/>
    <cellStyle name="检查单元格 2 10 2 3 5" xfId="23953" xr:uid="{00000000-0005-0000-0000-0000C15D0000}"/>
    <cellStyle name="检查单元格 2 10 2 3 5 2" xfId="479" xr:uid="{00000000-0005-0000-0000-00000A020000}"/>
    <cellStyle name="检查单元格 2 10 2 3 6" xfId="20526" xr:uid="{00000000-0005-0000-0000-00005E500000}"/>
    <cellStyle name="检查单元格 2 10 2 4" xfId="34159" xr:uid="{00000000-0005-0000-0000-00009F850000}"/>
    <cellStyle name="检查单元格 2 10 2 4 2" xfId="23957" xr:uid="{00000000-0005-0000-0000-0000C55D0000}"/>
    <cellStyle name="检查单元格 2 10 2 4 2 2" xfId="13777" xr:uid="{00000000-0005-0000-0000-000001360000}"/>
    <cellStyle name="检查单元格 2 10 2 4 3" xfId="23961" xr:uid="{00000000-0005-0000-0000-0000C95D0000}"/>
    <cellStyle name="检查单元格 2 10 2 4 3 2" xfId="13789" xr:uid="{00000000-0005-0000-0000-00000D360000}"/>
    <cellStyle name="检查单元格 2 10 2 4 4" xfId="23964" xr:uid="{00000000-0005-0000-0000-0000CC5D0000}"/>
    <cellStyle name="检查单元格 2 10 2 4 4 2" xfId="13798" xr:uid="{00000000-0005-0000-0000-000016360000}"/>
    <cellStyle name="检查单元格 2 10 2 4 5" xfId="11139" xr:uid="{00000000-0005-0000-0000-0000B32B0000}"/>
    <cellStyle name="检查单元格 2 10 2 4 5 2" xfId="13810" xr:uid="{00000000-0005-0000-0000-000022360000}"/>
    <cellStyle name="检查单元格 2 10 2 4 6" xfId="28323" xr:uid="{00000000-0005-0000-0000-0000D36E0000}"/>
    <cellStyle name="检查单元格 2 10 2 5" xfId="34160" xr:uid="{00000000-0005-0000-0000-0000A0850000}"/>
    <cellStyle name="检查单元格 2 10 2 5 2" xfId="23969" xr:uid="{00000000-0005-0000-0000-0000D15D0000}"/>
    <cellStyle name="检查单元格 2 10 2 5 2 2" xfId="9541" xr:uid="{00000000-0005-0000-0000-000075250000}"/>
    <cellStyle name="检查单元格 2 10 2 5 3" xfId="23975" xr:uid="{00000000-0005-0000-0000-0000D75D0000}"/>
    <cellStyle name="检查单元格 2 10 2 5 3 2" xfId="13907" xr:uid="{00000000-0005-0000-0000-000083360000}"/>
    <cellStyle name="检查单元格 2 10 2 5 4" xfId="23978" xr:uid="{00000000-0005-0000-0000-0000DA5D0000}"/>
    <cellStyle name="检查单元格 2 10 2 5 4 2" xfId="13933" xr:uid="{00000000-0005-0000-0000-00009D360000}"/>
    <cellStyle name="检查单元格 2 10 2 5 5" xfId="133" xr:uid="{00000000-0005-0000-0000-000090000000}"/>
    <cellStyle name="检查单元格 2 10 2 6" xfId="34161" xr:uid="{00000000-0005-0000-0000-0000A1850000}"/>
    <cellStyle name="检查单元格 2 10 2 6 2" xfId="20252" xr:uid="{00000000-0005-0000-0000-00004C4F0000}"/>
    <cellStyle name="检查单元格 2 10 2 7" xfId="32396" xr:uid="{00000000-0005-0000-0000-0000BC7E0000}"/>
    <cellStyle name="检查单元格 2 10 2 7 2" xfId="20299" xr:uid="{00000000-0005-0000-0000-00007B4F0000}"/>
    <cellStyle name="检查单元格 2 10 2 8" xfId="34165" xr:uid="{00000000-0005-0000-0000-0000A5850000}"/>
    <cellStyle name="检查单元格 2 10 2 8 2" xfId="20336" xr:uid="{00000000-0005-0000-0000-0000A04F0000}"/>
    <cellStyle name="检查单元格 2 10 2 9" xfId="34166" xr:uid="{00000000-0005-0000-0000-0000A6850000}"/>
    <cellStyle name="检查单元格 2 10 2 9 2" xfId="20348" xr:uid="{00000000-0005-0000-0000-0000AC4F0000}"/>
    <cellStyle name="检查单元格 2 10 3" xfId="34167" xr:uid="{00000000-0005-0000-0000-0000A7850000}"/>
    <cellStyle name="检查单元格 2 10 3 10" xfId="12904" xr:uid="{00000000-0005-0000-0000-000098320000}"/>
    <cellStyle name="检查单元格 2 10 3 11" xfId="11345" xr:uid="{00000000-0005-0000-0000-0000812C0000}"/>
    <cellStyle name="检查单元格 2 10 3 12" xfId="3247" xr:uid="{00000000-0005-0000-0000-0000DF0C0000}"/>
    <cellStyle name="检查单元格 2 10 3 13" xfId="12952" xr:uid="{00000000-0005-0000-0000-0000C8320000}"/>
    <cellStyle name="检查单元格 2 10 3 2" xfId="34168" xr:uid="{00000000-0005-0000-0000-0000A8850000}"/>
    <cellStyle name="检查单元格 2 10 3 2 2" xfId="34169" xr:uid="{00000000-0005-0000-0000-0000A9850000}"/>
    <cellStyle name="检查单元格 2 10 3 2 2 2" xfId="34170" xr:uid="{00000000-0005-0000-0000-0000AA850000}"/>
    <cellStyle name="检查单元格 2 10 3 2 3" xfId="28377" xr:uid="{00000000-0005-0000-0000-0000096F0000}"/>
    <cellStyle name="检查单元格 2 10 3 2 3 2" xfId="28381" xr:uid="{00000000-0005-0000-0000-00000D6F0000}"/>
    <cellStyle name="检查单元格 2 10 3 2 4" xfId="28384" xr:uid="{00000000-0005-0000-0000-0000106F0000}"/>
    <cellStyle name="检查单元格 2 10 3 2 4 2" xfId="28388" xr:uid="{00000000-0005-0000-0000-0000146F0000}"/>
    <cellStyle name="检查单元格 2 10 3 2 5" xfId="28392" xr:uid="{00000000-0005-0000-0000-0000186F0000}"/>
    <cellStyle name="检查单元格 2 10 3 2 5 2" xfId="409" xr:uid="{00000000-0005-0000-0000-0000C0010000}"/>
    <cellStyle name="检查单元格 2 10 3 2 6" xfId="28395" xr:uid="{00000000-0005-0000-0000-00001B6F0000}"/>
    <cellStyle name="检查单元格 2 10 3 2 7" xfId="17377" xr:uid="{00000000-0005-0000-0000-000011440000}"/>
    <cellStyle name="检查单元格 2 10 3 2 8" xfId="34171" xr:uid="{00000000-0005-0000-0000-0000AB850000}"/>
    <cellStyle name="检查单元格 2 10 3 2 9" xfId="34172" xr:uid="{00000000-0005-0000-0000-0000AC850000}"/>
    <cellStyle name="检查单元格 2 10 3 3" xfId="34174" xr:uid="{00000000-0005-0000-0000-0000AE850000}"/>
    <cellStyle name="检查单元格 2 10 3 3 2" xfId="24029" xr:uid="{00000000-0005-0000-0000-00000D5E0000}"/>
    <cellStyle name="检查单元格 2 10 3 3 2 2" xfId="103" xr:uid="{00000000-0005-0000-0000-00006F000000}"/>
    <cellStyle name="检查单元格 2 10 3 3 3" xfId="24032" xr:uid="{00000000-0005-0000-0000-0000105E0000}"/>
    <cellStyle name="检查单元格 2 10 3 3 3 2" xfId="24037" xr:uid="{00000000-0005-0000-0000-0000155E0000}"/>
    <cellStyle name="检查单元格 2 10 3 3 4" xfId="24041" xr:uid="{00000000-0005-0000-0000-0000195E0000}"/>
    <cellStyle name="检查单元格 2 10 3 3 4 2" xfId="24045" xr:uid="{00000000-0005-0000-0000-00001D5E0000}"/>
    <cellStyle name="检查单元格 2 10 3 3 5" xfId="24050" xr:uid="{00000000-0005-0000-0000-0000225E0000}"/>
    <cellStyle name="检查单元格 2 10 3 3 5 2" xfId="28403" xr:uid="{00000000-0005-0000-0000-0000236F0000}"/>
    <cellStyle name="检查单元格 2 10 3 3 6" xfId="21051" xr:uid="{00000000-0005-0000-0000-00006B520000}"/>
    <cellStyle name="检查单元格 2 10 3 4" xfId="34176" xr:uid="{00000000-0005-0000-0000-0000B0850000}"/>
    <cellStyle name="检查单元格 2 10 3 4 2" xfId="24057" xr:uid="{00000000-0005-0000-0000-0000295E0000}"/>
    <cellStyle name="检查单元格 2 10 3 4 2 2" xfId="24060" xr:uid="{00000000-0005-0000-0000-00002C5E0000}"/>
    <cellStyle name="检查单元格 2 10 3 4 3" xfId="24065" xr:uid="{00000000-0005-0000-0000-0000315E0000}"/>
    <cellStyle name="检查单元格 2 10 3 4 3 2" xfId="24069" xr:uid="{00000000-0005-0000-0000-0000355E0000}"/>
    <cellStyle name="检查单元格 2 10 3 4 4" xfId="24074" xr:uid="{00000000-0005-0000-0000-00003A5E0000}"/>
    <cellStyle name="检查单元格 2 10 3 4 4 2" xfId="24079" xr:uid="{00000000-0005-0000-0000-00003F5E0000}"/>
    <cellStyle name="检查单元格 2 10 3 4 5" xfId="11162" xr:uid="{00000000-0005-0000-0000-0000CA2B0000}"/>
    <cellStyle name="检查单元格 2 10 3 4 5 2" xfId="28408" xr:uid="{00000000-0005-0000-0000-0000286F0000}"/>
    <cellStyle name="检查单元格 2 10 3 4 6" xfId="28413" xr:uid="{00000000-0005-0000-0000-00002D6F0000}"/>
    <cellStyle name="检查单元格 2 10 3 5" xfId="34177" xr:uid="{00000000-0005-0000-0000-0000B1850000}"/>
    <cellStyle name="检查单元格 2 10 3 5 2" xfId="24087" xr:uid="{00000000-0005-0000-0000-0000475E0000}"/>
    <cellStyle name="检查单元格 2 10 3 5 2 2" xfId="24090" xr:uid="{00000000-0005-0000-0000-00004A5E0000}"/>
    <cellStyle name="检查单元格 2 10 3 5 3" xfId="24098" xr:uid="{00000000-0005-0000-0000-0000525E0000}"/>
    <cellStyle name="检查单元格 2 10 3 5 3 2" xfId="24102" xr:uid="{00000000-0005-0000-0000-0000565E0000}"/>
    <cellStyle name="检查单元格 2 10 3 5 4" xfId="24107" xr:uid="{00000000-0005-0000-0000-00005B5E0000}"/>
    <cellStyle name="检查单元格 2 10 3 5 4 2" xfId="1532" xr:uid="{00000000-0005-0000-0000-00002C060000}"/>
    <cellStyle name="检查单元格 2 10 3 5 5" xfId="11171" xr:uid="{00000000-0005-0000-0000-0000D32B0000}"/>
    <cellStyle name="检查单元格 2 10 3 6" xfId="34178" xr:uid="{00000000-0005-0000-0000-0000B2850000}"/>
    <cellStyle name="检查单元格 2 10 3 6 2" xfId="24117" xr:uid="{00000000-0005-0000-0000-0000655E0000}"/>
    <cellStyle name="检查单元格 2 10 3 7" xfId="4920" xr:uid="{00000000-0005-0000-0000-000068130000}"/>
    <cellStyle name="检查单元格 2 10 3 7 2" xfId="24151" xr:uid="{00000000-0005-0000-0000-0000875E0000}"/>
    <cellStyle name="检查单元格 2 10 3 8" xfId="34181" xr:uid="{00000000-0005-0000-0000-0000B5850000}"/>
    <cellStyle name="检查单元格 2 10 3 8 2" xfId="24171" xr:uid="{00000000-0005-0000-0000-00009B5E0000}"/>
    <cellStyle name="检查单元格 2 10 3 9" xfId="34182" xr:uid="{00000000-0005-0000-0000-0000B6850000}"/>
    <cellStyle name="检查单元格 2 10 3 9 2" xfId="24189" xr:uid="{00000000-0005-0000-0000-0000AD5E0000}"/>
    <cellStyle name="检查单元格 2 10 4" xfId="34183" xr:uid="{00000000-0005-0000-0000-0000B7850000}"/>
    <cellStyle name="检查单元格 2 10 4 10" xfId="13358" xr:uid="{00000000-0005-0000-0000-00005E340000}"/>
    <cellStyle name="检查单元格 2 10 4 11" xfId="13407" xr:uid="{00000000-0005-0000-0000-00008F340000}"/>
    <cellStyle name="检查单元格 2 10 4 12" xfId="13414" xr:uid="{00000000-0005-0000-0000-000096340000}"/>
    <cellStyle name="检查单元格 2 10 4 13" xfId="6589" xr:uid="{00000000-0005-0000-0000-0000ED190000}"/>
    <cellStyle name="检查单元格 2 10 4 2" xfId="34184" xr:uid="{00000000-0005-0000-0000-0000B8850000}"/>
    <cellStyle name="检查单元格 2 10 4 2 2" xfId="28103" xr:uid="{00000000-0005-0000-0000-0000F76D0000}"/>
    <cellStyle name="检查单元格 2 10 4 2 2 2" xfId="28105" xr:uid="{00000000-0005-0000-0000-0000F96D0000}"/>
    <cellStyle name="检查单元格 2 10 4 2 3" xfId="28119" xr:uid="{00000000-0005-0000-0000-0000076E0000}"/>
    <cellStyle name="检查单元格 2 10 4 2 3 2" xfId="23915" xr:uid="{00000000-0005-0000-0000-00009B5D0000}"/>
    <cellStyle name="检查单元格 2 10 4 2 4" xfId="28129" xr:uid="{00000000-0005-0000-0000-0000116E0000}"/>
    <cellStyle name="检查单元格 2 10 4 2 4 2" xfId="28133" xr:uid="{00000000-0005-0000-0000-0000156E0000}"/>
    <cellStyle name="检查单元格 2 10 4 2 5" xfId="28143" xr:uid="{00000000-0005-0000-0000-00001F6E0000}"/>
    <cellStyle name="检查单元格 2 10 4 2 5 2" xfId="28147" xr:uid="{00000000-0005-0000-0000-0000236E0000}"/>
    <cellStyle name="检查单元格 2 10 4 2 6" xfId="28156" xr:uid="{00000000-0005-0000-0000-00002C6E0000}"/>
    <cellStyle name="检查单元格 2 10 4 2 7" xfId="7415" xr:uid="{00000000-0005-0000-0000-0000271D0000}"/>
    <cellStyle name="检查单元格 2 10 4 2 8" xfId="25928" xr:uid="{00000000-0005-0000-0000-000078650000}"/>
    <cellStyle name="检查单元格 2 10 4 2 9" xfId="25972" xr:uid="{00000000-0005-0000-0000-0000A4650000}"/>
    <cellStyle name="检查单元格 2 10 4 3" xfId="34185" xr:uid="{00000000-0005-0000-0000-0000B9850000}"/>
    <cellStyle name="检查单元格 2 10 4 3 2" xfId="24214" xr:uid="{00000000-0005-0000-0000-0000C65E0000}"/>
    <cellStyle name="检查单元格 2 10 4 3 2 2" xfId="24216" xr:uid="{00000000-0005-0000-0000-0000C85E0000}"/>
    <cellStyle name="检查单元格 2 10 4 3 3" xfId="24219" xr:uid="{00000000-0005-0000-0000-0000CB5E0000}"/>
    <cellStyle name="检查单元格 2 10 4 3 3 2" xfId="24222" xr:uid="{00000000-0005-0000-0000-0000CE5E0000}"/>
    <cellStyle name="检查单元格 2 10 4 3 4" xfId="24225" xr:uid="{00000000-0005-0000-0000-0000D15E0000}"/>
    <cellStyle name="检查单元格 2 10 4 3 4 2" xfId="24229" xr:uid="{00000000-0005-0000-0000-0000D55E0000}"/>
    <cellStyle name="检查单元格 2 10 4 3 5" xfId="24233" xr:uid="{00000000-0005-0000-0000-0000D95E0000}"/>
    <cellStyle name="检查单元格 2 10 4 3 5 2" xfId="28501" xr:uid="{00000000-0005-0000-0000-0000856F0000}"/>
    <cellStyle name="检查单元格 2 10 4 3 6" xfId="24238" xr:uid="{00000000-0005-0000-0000-0000DE5E0000}"/>
    <cellStyle name="检查单元格 2 10 4 4" xfId="22595" xr:uid="{00000000-0005-0000-0000-000073580000}"/>
    <cellStyle name="检查单元格 2 10 4 4 2" xfId="22598" xr:uid="{00000000-0005-0000-0000-000076580000}"/>
    <cellStyle name="检查单元格 2 10 4 4 2 2" xfId="24247" xr:uid="{00000000-0005-0000-0000-0000E75E0000}"/>
    <cellStyle name="检查单元格 2 10 4 4 3" xfId="24251" xr:uid="{00000000-0005-0000-0000-0000EB5E0000}"/>
    <cellStyle name="检查单元格 2 10 4 4 3 2" xfId="24254" xr:uid="{00000000-0005-0000-0000-0000EE5E0000}"/>
    <cellStyle name="检查单元格 2 10 4 4 4" xfId="24257" xr:uid="{00000000-0005-0000-0000-0000F15E0000}"/>
    <cellStyle name="检查单元格 2 10 4 4 4 2" xfId="24261" xr:uid="{00000000-0005-0000-0000-0000F55E0000}"/>
    <cellStyle name="检查单元格 2 10 4 4 5" xfId="7520" xr:uid="{00000000-0005-0000-0000-0000901D0000}"/>
    <cellStyle name="检查单元格 2 10 4 4 5 2" xfId="28507" xr:uid="{00000000-0005-0000-0000-00008B6F0000}"/>
    <cellStyle name="检查单元格 2 10 4 4 6" xfId="28511" xr:uid="{00000000-0005-0000-0000-00008F6F0000}"/>
    <cellStyle name="检查单元格 2 10 4 5" xfId="22600" xr:uid="{00000000-0005-0000-0000-000078580000}"/>
    <cellStyle name="检查单元格 2 10 4 5 2" xfId="22603" xr:uid="{00000000-0005-0000-0000-00007B580000}"/>
    <cellStyle name="检查单元格 2 10 4 5 2 2" xfId="24267" xr:uid="{00000000-0005-0000-0000-0000FB5E0000}"/>
    <cellStyle name="检查单元格 2 10 4 5 3" xfId="24272" xr:uid="{00000000-0005-0000-0000-0000005F0000}"/>
    <cellStyle name="检查单元格 2 10 4 5 3 2" xfId="24275" xr:uid="{00000000-0005-0000-0000-0000035F0000}"/>
    <cellStyle name="检查单元格 2 10 4 5 4" xfId="24278" xr:uid="{00000000-0005-0000-0000-0000065F0000}"/>
    <cellStyle name="检查单元格 2 10 4 5 4 2" xfId="20815" xr:uid="{00000000-0005-0000-0000-00007F510000}"/>
    <cellStyle name="检查单元格 2 10 4 5 5" xfId="7583" xr:uid="{00000000-0005-0000-0000-0000CF1D0000}"/>
    <cellStyle name="检查单元格 2 10 4 6" xfId="15784" xr:uid="{00000000-0005-0000-0000-0000D83D0000}"/>
    <cellStyle name="检查单元格 2 10 4 6 2" xfId="22606" xr:uid="{00000000-0005-0000-0000-00007E580000}"/>
    <cellStyle name="检查单元格 2 10 4 7" xfId="4952" xr:uid="{00000000-0005-0000-0000-000088130000}"/>
    <cellStyle name="检查单元格 2 10 4 7 2" xfId="24301" xr:uid="{00000000-0005-0000-0000-00001D5F0000}"/>
    <cellStyle name="检查单元格 2 10 4 8" xfId="22607" xr:uid="{00000000-0005-0000-0000-00007F580000}"/>
    <cellStyle name="检查单元格 2 10 4 8 2" xfId="24326" xr:uid="{00000000-0005-0000-0000-0000365F0000}"/>
    <cellStyle name="检查单元格 2 10 4 9" xfId="14419" xr:uid="{00000000-0005-0000-0000-000083380000}"/>
    <cellStyle name="检查单元格 2 10 4 9 2" xfId="24339" xr:uid="{00000000-0005-0000-0000-0000435F0000}"/>
    <cellStyle name="检查单元格 2 10 5" xfId="34186" xr:uid="{00000000-0005-0000-0000-0000BA850000}"/>
    <cellStyle name="检查单元格 2 10 5 10" xfId="16577" xr:uid="{00000000-0005-0000-0000-0000F1400000}"/>
    <cellStyle name="检查单元格 2 10 5 11" xfId="16590" xr:uid="{00000000-0005-0000-0000-0000FE400000}"/>
    <cellStyle name="检查单元格 2 10 5 12" xfId="33943" xr:uid="{00000000-0005-0000-0000-0000C7840000}"/>
    <cellStyle name="检查单元格 2 10 5 13" xfId="6843" xr:uid="{00000000-0005-0000-0000-0000EB1A0000}"/>
    <cellStyle name="检查单元格 2 10 5 2" xfId="16480" xr:uid="{00000000-0005-0000-0000-000090400000}"/>
    <cellStyle name="检查单元格 2 10 5 2 2" xfId="9853" xr:uid="{00000000-0005-0000-0000-0000AD260000}"/>
    <cellStyle name="检查单元格 2 10 5 2 2 2" xfId="5498" xr:uid="{00000000-0005-0000-0000-0000AA150000}"/>
    <cellStyle name="检查单元格 2 10 5 2 3" xfId="28170" xr:uid="{00000000-0005-0000-0000-00003A6E0000}"/>
    <cellStyle name="检查单元格 2 10 5 2 3 2" xfId="5534" xr:uid="{00000000-0005-0000-0000-0000CE150000}"/>
    <cellStyle name="检查单元格 2 10 5 2 4" xfId="28548" xr:uid="{00000000-0005-0000-0000-0000B46F0000}"/>
    <cellStyle name="检查单元格 2 10 5 2 4 2" xfId="5581" xr:uid="{00000000-0005-0000-0000-0000FD150000}"/>
    <cellStyle name="检查单元格 2 10 5 2 5" xfId="28553" xr:uid="{00000000-0005-0000-0000-0000B96F0000}"/>
    <cellStyle name="检查单元格 2 10 5 2 5 2" xfId="3996" xr:uid="{00000000-0005-0000-0000-0000CC0F0000}"/>
    <cellStyle name="检查单元格 2 10 5 2 6" xfId="28557" xr:uid="{00000000-0005-0000-0000-0000BD6F0000}"/>
    <cellStyle name="检查单元格 2 10 5 2 7" xfId="3209" xr:uid="{00000000-0005-0000-0000-0000B90C0000}"/>
    <cellStyle name="检查单元格 2 10 5 2 8" xfId="32944" xr:uid="{00000000-0005-0000-0000-0000E0800000}"/>
    <cellStyle name="检查单元格 2 10 5 2 9" xfId="32948" xr:uid="{00000000-0005-0000-0000-0000E4800000}"/>
    <cellStyle name="检查单元格 2 10 5 3" xfId="16482" xr:uid="{00000000-0005-0000-0000-000092400000}"/>
    <cellStyle name="检查单元格 2 10 5 3 2" xfId="16485" xr:uid="{00000000-0005-0000-0000-000095400000}"/>
    <cellStyle name="检查单元格 2 10 5 3 2 2" xfId="5814" xr:uid="{00000000-0005-0000-0000-0000E6160000}"/>
    <cellStyle name="检查单元格 2 10 5 3 3" xfId="24363" xr:uid="{00000000-0005-0000-0000-00005B5F0000}"/>
    <cellStyle name="检查单元格 2 10 5 3 3 2" xfId="5963" xr:uid="{00000000-0005-0000-0000-00007B170000}"/>
    <cellStyle name="检查单元格 2 10 5 3 4" xfId="24367" xr:uid="{00000000-0005-0000-0000-00005F5F0000}"/>
    <cellStyle name="检查单元格 2 10 5 3 4 2" xfId="6067" xr:uid="{00000000-0005-0000-0000-0000E3170000}"/>
    <cellStyle name="检查单元格 2 10 5 3 5" xfId="24371" xr:uid="{00000000-0005-0000-0000-0000635F0000}"/>
    <cellStyle name="检查单元格 2 10 5 3 5 2" xfId="5475" xr:uid="{00000000-0005-0000-0000-000093150000}"/>
    <cellStyle name="检查单元格 2 10 5 3 6" xfId="24374" xr:uid="{00000000-0005-0000-0000-0000665F0000}"/>
    <cellStyle name="检查单元格 2 10 5 4" xfId="16486" xr:uid="{00000000-0005-0000-0000-000096400000}"/>
    <cellStyle name="检查单元格 2 10 5 4 2" xfId="24382" xr:uid="{00000000-0005-0000-0000-00006E5F0000}"/>
    <cellStyle name="检查单元格 2 10 5 4 2 2" xfId="24386" xr:uid="{00000000-0005-0000-0000-0000725F0000}"/>
    <cellStyle name="检查单元格 2 10 5 4 3" xfId="24390" xr:uid="{00000000-0005-0000-0000-0000765F0000}"/>
    <cellStyle name="检查单元格 2 10 5 4 3 2" xfId="24394" xr:uid="{00000000-0005-0000-0000-00007A5F0000}"/>
    <cellStyle name="检查单元格 2 10 5 4 4" xfId="24397" xr:uid="{00000000-0005-0000-0000-00007D5F0000}"/>
    <cellStyle name="检查单元格 2 10 5 4 4 2" xfId="24400" xr:uid="{00000000-0005-0000-0000-0000805F0000}"/>
    <cellStyle name="检查单元格 2 10 5 4 5" xfId="7842" xr:uid="{00000000-0005-0000-0000-0000D21E0000}"/>
    <cellStyle name="检查单元格 2 10 5 4 5 2" xfId="28564" xr:uid="{00000000-0005-0000-0000-0000C46F0000}"/>
    <cellStyle name="检查单元格 2 10 5 4 6" xfId="28566" xr:uid="{00000000-0005-0000-0000-0000C66F0000}"/>
    <cellStyle name="检查单元格 2 10 5 5" xfId="7199" xr:uid="{00000000-0005-0000-0000-00004F1C0000}"/>
    <cellStyle name="检查单元格 2 10 5 5 2" xfId="24406" xr:uid="{00000000-0005-0000-0000-0000865F0000}"/>
    <cellStyle name="检查单元格 2 10 5 5 2 2" xfId="24411" xr:uid="{00000000-0005-0000-0000-00008B5F0000}"/>
    <cellStyle name="检查单元格 2 10 5 5 3" xfId="24415" xr:uid="{00000000-0005-0000-0000-00008F5F0000}"/>
    <cellStyle name="检查单元格 2 10 5 5 3 2" xfId="24419" xr:uid="{00000000-0005-0000-0000-0000935F0000}"/>
    <cellStyle name="检查单元格 2 10 5 5 4" xfId="24422" xr:uid="{00000000-0005-0000-0000-0000965F0000}"/>
    <cellStyle name="检查单元格 2 10 5 5 4 2" xfId="24424" xr:uid="{00000000-0005-0000-0000-0000985F0000}"/>
    <cellStyle name="检查单元格 2 10 5 5 5" xfId="7863" xr:uid="{00000000-0005-0000-0000-0000E71E0000}"/>
    <cellStyle name="检查单元格 2 10 5 6" xfId="15803" xr:uid="{00000000-0005-0000-0000-0000EB3D0000}"/>
    <cellStyle name="检查单元格 2 10 5 6 2" xfId="24431" xr:uid="{00000000-0005-0000-0000-00009F5F0000}"/>
    <cellStyle name="检查单元格 2 10 5 7" xfId="4971" xr:uid="{00000000-0005-0000-0000-00009B130000}"/>
    <cellStyle name="检查单元格 2 10 5 7 2" xfId="24448" xr:uid="{00000000-0005-0000-0000-0000B05F0000}"/>
    <cellStyle name="检查单元格 2 10 5 8" xfId="34189" xr:uid="{00000000-0005-0000-0000-0000BD850000}"/>
    <cellStyle name="检查单元格 2 10 5 8 2" xfId="24466" xr:uid="{00000000-0005-0000-0000-0000C25F0000}"/>
    <cellStyle name="检查单元格 2 10 5 9" xfId="14425" xr:uid="{00000000-0005-0000-0000-000089380000}"/>
    <cellStyle name="检查单元格 2 10 5 9 2" xfId="24480" xr:uid="{00000000-0005-0000-0000-0000D05F0000}"/>
    <cellStyle name="检查单元格 2 10 6" xfId="34190" xr:uid="{00000000-0005-0000-0000-0000BE850000}"/>
    <cellStyle name="检查单元格 2 10 6 10" xfId="34191" xr:uid="{00000000-0005-0000-0000-0000BF850000}"/>
    <cellStyle name="检查单元格 2 10 6 11" xfId="34193" xr:uid="{00000000-0005-0000-0000-0000C1850000}"/>
    <cellStyle name="检查单元格 2 10 6 12" xfId="34195" xr:uid="{00000000-0005-0000-0000-0000C3850000}"/>
    <cellStyle name="检查单元格 2 10 6 13" xfId="14160" xr:uid="{00000000-0005-0000-0000-000080370000}"/>
    <cellStyle name="检查单元格 2 10 6 2" xfId="34196" xr:uid="{00000000-0005-0000-0000-0000C4850000}"/>
    <cellStyle name="检查单元格 2 10 6 2 2" xfId="34197" xr:uid="{00000000-0005-0000-0000-0000C5850000}"/>
    <cellStyle name="检查单元格 2 10 6 2 2 2" xfId="6972" xr:uid="{00000000-0005-0000-0000-00006C1B0000}"/>
    <cellStyle name="检查单元格 2 10 6 2 3" xfId="28596" xr:uid="{00000000-0005-0000-0000-0000E46F0000}"/>
    <cellStyle name="检查单元格 2 10 6 2 3 2" xfId="7027" xr:uid="{00000000-0005-0000-0000-0000A31B0000}"/>
    <cellStyle name="检查单元格 2 10 6 2 4" xfId="28598" xr:uid="{00000000-0005-0000-0000-0000E66F0000}"/>
    <cellStyle name="检查单元格 2 10 6 2 4 2" xfId="7108" xr:uid="{00000000-0005-0000-0000-0000F41B0000}"/>
    <cellStyle name="检查单元格 2 10 6 2 5" xfId="28601" xr:uid="{00000000-0005-0000-0000-0000E96F0000}"/>
    <cellStyle name="检查单元格 2 10 6 2 5 2" xfId="7145" xr:uid="{00000000-0005-0000-0000-0000191C0000}"/>
    <cellStyle name="检查单元格 2 10 6 2 6" xfId="28603" xr:uid="{00000000-0005-0000-0000-0000EB6F0000}"/>
    <cellStyle name="检查单元格 2 10 6 2 7" xfId="7229" xr:uid="{00000000-0005-0000-0000-00006D1C0000}"/>
    <cellStyle name="检查单元格 2 10 6 2 8" xfId="34198" xr:uid="{00000000-0005-0000-0000-0000C6850000}"/>
    <cellStyle name="检查单元格 2 10 6 2 9" xfId="34199" xr:uid="{00000000-0005-0000-0000-0000C7850000}"/>
    <cellStyle name="检查单元格 2 10 6 3" xfId="34201" xr:uid="{00000000-0005-0000-0000-0000C9850000}"/>
    <cellStyle name="检查单元格 2 10 6 3 2" xfId="24503" xr:uid="{00000000-0005-0000-0000-0000E75F0000}"/>
    <cellStyle name="检查单元格 2 10 6 3 2 2" xfId="3599" xr:uid="{00000000-0005-0000-0000-00003F0E0000}"/>
    <cellStyle name="检查单元格 2 10 6 3 3" xfId="24506" xr:uid="{00000000-0005-0000-0000-0000EA5F0000}"/>
    <cellStyle name="检查单元格 2 10 6 3 3 2" xfId="4019" xr:uid="{00000000-0005-0000-0000-0000E30F0000}"/>
    <cellStyle name="检查单元格 2 10 6 3 4" xfId="24509" xr:uid="{00000000-0005-0000-0000-0000ED5F0000}"/>
    <cellStyle name="检查单元格 2 10 6 3 4 2" xfId="4423" xr:uid="{00000000-0005-0000-0000-000077110000}"/>
    <cellStyle name="检查单元格 2 10 6 3 5" xfId="24513" xr:uid="{00000000-0005-0000-0000-0000F15F0000}"/>
    <cellStyle name="检查单元格 2 10 6 3 5 2" xfId="2259" xr:uid="{00000000-0005-0000-0000-000003090000}"/>
    <cellStyle name="检查单元格 2 10 6 3 6" xfId="24516" xr:uid="{00000000-0005-0000-0000-0000F45F0000}"/>
    <cellStyle name="检查单元格 2 10 6 4" xfId="34202" xr:uid="{00000000-0005-0000-0000-0000CA850000}"/>
    <cellStyle name="检查单元格 2 10 6 4 2" xfId="24527" xr:uid="{00000000-0005-0000-0000-0000FF5F0000}"/>
    <cellStyle name="检查单元格 2 10 6 4 2 2" xfId="24531" xr:uid="{00000000-0005-0000-0000-000003600000}"/>
    <cellStyle name="检查单元格 2 10 6 4 3" xfId="24535" xr:uid="{00000000-0005-0000-0000-000007600000}"/>
    <cellStyle name="检查单元格 2 10 6 4 3 2" xfId="24539" xr:uid="{00000000-0005-0000-0000-00000B600000}"/>
    <cellStyle name="检查单元格 2 10 6 4 4" xfId="24543" xr:uid="{00000000-0005-0000-0000-00000F600000}"/>
    <cellStyle name="检查单元格 2 10 6 4 4 2" xfId="24546" xr:uid="{00000000-0005-0000-0000-000012600000}"/>
    <cellStyle name="检查单元格 2 10 6 4 5" xfId="8013" xr:uid="{00000000-0005-0000-0000-00007D1F0000}"/>
    <cellStyle name="检查单元格 2 10 6 4 5 2" xfId="28608" xr:uid="{00000000-0005-0000-0000-0000F06F0000}"/>
    <cellStyle name="检查单元格 2 10 6 4 6" xfId="28610" xr:uid="{00000000-0005-0000-0000-0000F26F0000}"/>
    <cellStyle name="检查单元格 2 10 6 5" xfId="34203" xr:uid="{00000000-0005-0000-0000-0000CB850000}"/>
    <cellStyle name="检查单元格 2 10 6 5 2" xfId="24556" xr:uid="{00000000-0005-0000-0000-00001C600000}"/>
    <cellStyle name="检查单元格 2 10 6 5 2 2" xfId="24559" xr:uid="{00000000-0005-0000-0000-00001F600000}"/>
    <cellStyle name="检查单元格 2 10 6 5 3" xfId="24564" xr:uid="{00000000-0005-0000-0000-000024600000}"/>
    <cellStyle name="检查单元格 2 10 6 5 3 2" xfId="24569" xr:uid="{00000000-0005-0000-0000-000029600000}"/>
    <cellStyle name="检查单元格 2 10 6 5 4" xfId="24572" xr:uid="{00000000-0005-0000-0000-00002C600000}"/>
    <cellStyle name="检查单元格 2 10 6 5 4 2" xfId="24576" xr:uid="{00000000-0005-0000-0000-000030600000}"/>
    <cellStyle name="检查单元格 2 10 6 5 5" xfId="8053" xr:uid="{00000000-0005-0000-0000-0000A51F0000}"/>
    <cellStyle name="检查单元格 2 10 6 6" xfId="34204" xr:uid="{00000000-0005-0000-0000-0000CC850000}"/>
    <cellStyle name="检查单元格 2 10 6 6 2" xfId="24583" xr:uid="{00000000-0005-0000-0000-000037600000}"/>
    <cellStyle name="检查单元格 2 10 6 7" xfId="5341" xr:uid="{00000000-0005-0000-0000-00000D150000}"/>
    <cellStyle name="检查单元格 2 10 6 7 2" xfId="24602" xr:uid="{00000000-0005-0000-0000-00004A600000}"/>
    <cellStyle name="检查单元格 2 10 6 8" xfId="34205" xr:uid="{00000000-0005-0000-0000-0000CD850000}"/>
    <cellStyle name="检查单元格 2 10 6 8 2" xfId="24615" xr:uid="{00000000-0005-0000-0000-000057600000}"/>
    <cellStyle name="检查单元格 2 10 6 9" xfId="11970" xr:uid="{00000000-0005-0000-0000-0000F22E0000}"/>
    <cellStyle name="检查单元格 2 10 6 9 2" xfId="24630" xr:uid="{00000000-0005-0000-0000-000066600000}"/>
    <cellStyle name="检查单元格 2 10 7" xfId="34206" xr:uid="{00000000-0005-0000-0000-0000CE850000}"/>
    <cellStyle name="检查单元格 2 10 7 2" xfId="34207" xr:uid="{00000000-0005-0000-0000-0000CF850000}"/>
    <cellStyle name="检查单元格 2 10 7 2 2" xfId="34208" xr:uid="{00000000-0005-0000-0000-0000D0850000}"/>
    <cellStyle name="检查单元格 2 10 7 2 2 2" xfId="11148" xr:uid="{00000000-0005-0000-0000-0000BC2B0000}"/>
    <cellStyle name="检查单元格 2 10 7 2 3" xfId="28648" xr:uid="{00000000-0005-0000-0000-000018700000}"/>
    <cellStyle name="检查单元格 2 10 7 2 3 2" xfId="8227" xr:uid="{00000000-0005-0000-0000-000053200000}"/>
    <cellStyle name="检查单元格 2 10 7 2 4" xfId="28650" xr:uid="{00000000-0005-0000-0000-00001A700000}"/>
    <cellStyle name="检查单元格 2 10 7 2 4 2" xfId="8234" xr:uid="{00000000-0005-0000-0000-00005A200000}"/>
    <cellStyle name="检查单元格 2 10 7 2 5" xfId="28653" xr:uid="{00000000-0005-0000-0000-00001D700000}"/>
    <cellStyle name="检查单元格 2 10 7 2 5 2" xfId="8240" xr:uid="{00000000-0005-0000-0000-000060200000}"/>
    <cellStyle name="检查单元格 2 10 7 2 6" xfId="28657" xr:uid="{00000000-0005-0000-0000-000021700000}"/>
    <cellStyle name="检查单元格 2 10 7 2 7" xfId="8256" xr:uid="{00000000-0005-0000-0000-000070200000}"/>
    <cellStyle name="检查单元格 2 10 7 2 8" xfId="34209" xr:uid="{00000000-0005-0000-0000-0000D1850000}"/>
    <cellStyle name="检查单元格 2 10 7 2 9" xfId="34210" xr:uid="{00000000-0005-0000-0000-0000D2850000}"/>
    <cellStyle name="检查单元格 2 10 7 3" xfId="34211" xr:uid="{00000000-0005-0000-0000-0000D3850000}"/>
    <cellStyle name="检查单元格 2 10 7 3 2" xfId="24658" xr:uid="{00000000-0005-0000-0000-000082600000}"/>
    <cellStyle name="检查单元格 2 10 7 3 2 2" xfId="11383" xr:uid="{00000000-0005-0000-0000-0000A72C0000}"/>
    <cellStyle name="检查单元格 2 10 7 3 3" xfId="24662" xr:uid="{00000000-0005-0000-0000-000086600000}"/>
    <cellStyle name="检查单元格 2 10 7 3 3 2" xfId="8274" xr:uid="{00000000-0005-0000-0000-000082200000}"/>
    <cellStyle name="检查单元格 2 10 7 3 4" xfId="24665" xr:uid="{00000000-0005-0000-0000-000089600000}"/>
    <cellStyle name="检查单元格 2 10 7 3 4 2" xfId="8283" xr:uid="{00000000-0005-0000-0000-00008B200000}"/>
    <cellStyle name="检查单元格 2 10 7 3 5" xfId="24668" xr:uid="{00000000-0005-0000-0000-00008C600000}"/>
    <cellStyle name="检查单元格 2 10 7 3 5 2" xfId="6241" xr:uid="{00000000-0005-0000-0000-000091180000}"/>
    <cellStyle name="检查单元格 2 10 7 3 6" xfId="21868" xr:uid="{00000000-0005-0000-0000-00009C550000}"/>
    <cellStyle name="检查单元格 2 10 7 4" xfId="34213" xr:uid="{00000000-0005-0000-0000-0000D5850000}"/>
    <cellStyle name="检查单元格 2 10 7 4 2" xfId="24673" xr:uid="{00000000-0005-0000-0000-000091600000}"/>
    <cellStyle name="检查单元格 2 10 7 4 2 2" xfId="15541" xr:uid="{00000000-0005-0000-0000-0000E53C0000}"/>
    <cellStyle name="检查单元格 2 10 7 4 3" xfId="24677" xr:uid="{00000000-0005-0000-0000-000095600000}"/>
    <cellStyle name="检查单元格 2 10 7 4 3 2" xfId="8320" xr:uid="{00000000-0005-0000-0000-0000B0200000}"/>
    <cellStyle name="检查单元格 2 10 7 4 4" xfId="24680" xr:uid="{00000000-0005-0000-0000-000098600000}"/>
    <cellStyle name="检查单元格 2 10 7 4 4 2" xfId="8329" xr:uid="{00000000-0005-0000-0000-0000B9200000}"/>
    <cellStyle name="检查单元格 2 10 7 4 5" xfId="24683" xr:uid="{00000000-0005-0000-0000-00009B600000}"/>
    <cellStyle name="检查单元格 2 10 7 4 5 2" xfId="8341" xr:uid="{00000000-0005-0000-0000-0000C5200000}"/>
    <cellStyle name="检查单元格 2 10 7 4 6" xfId="28664" xr:uid="{00000000-0005-0000-0000-000028700000}"/>
    <cellStyle name="检查单元格 2 10 7 5" xfId="34214" xr:uid="{00000000-0005-0000-0000-0000D6850000}"/>
    <cellStyle name="检查单元格 2 10 7 5 2" xfId="24690" xr:uid="{00000000-0005-0000-0000-0000A2600000}"/>
    <cellStyle name="检查单元格 2 10 7 5 2 2" xfId="15720" xr:uid="{00000000-0005-0000-0000-0000983D0000}"/>
    <cellStyle name="检查单元格 2 10 7 5 3" xfId="24695" xr:uid="{00000000-0005-0000-0000-0000A7600000}"/>
    <cellStyle name="检查单元格 2 10 7 5 3 2" xfId="8366" xr:uid="{00000000-0005-0000-0000-0000DE200000}"/>
    <cellStyle name="检查单元格 2 10 7 5 4" xfId="24700" xr:uid="{00000000-0005-0000-0000-0000AC600000}"/>
    <cellStyle name="检查单元格 2 10 7 5 4 2" xfId="8381" xr:uid="{00000000-0005-0000-0000-0000ED200000}"/>
    <cellStyle name="检查单元格 2 10 7 5 5" xfId="1262" xr:uid="{00000000-0005-0000-0000-00001E050000}"/>
    <cellStyle name="检查单元格 2 10 7 6" xfId="34215" xr:uid="{00000000-0005-0000-0000-0000D7850000}"/>
    <cellStyle name="检查单元格 2 10 7 7" xfId="34216" xr:uid="{00000000-0005-0000-0000-0000D8850000}"/>
    <cellStyle name="检查单元格 2 10 7 8" xfId="34217" xr:uid="{00000000-0005-0000-0000-0000D9850000}"/>
    <cellStyle name="检查单元格 2 10 8" xfId="9366" xr:uid="{00000000-0005-0000-0000-0000C6240000}"/>
    <cellStyle name="检查单元格 2 10 8 2" xfId="1049" xr:uid="{00000000-0005-0000-0000-000049040000}"/>
    <cellStyle name="检查单元格 2 10 8 2 2" xfId="34220" xr:uid="{00000000-0005-0000-0000-0000DC850000}"/>
    <cellStyle name="检查单元格 2 10 8 3" xfId="2975" xr:uid="{00000000-0005-0000-0000-0000CF0B0000}"/>
    <cellStyle name="检查单元格 2 10 8 3 2" xfId="2983" xr:uid="{00000000-0005-0000-0000-0000D70B0000}"/>
    <cellStyle name="检查单元格 2 10 8 4" xfId="34221" xr:uid="{00000000-0005-0000-0000-0000DD850000}"/>
    <cellStyle name="检查单元格 2 10 8 4 2" xfId="16641" xr:uid="{00000000-0005-0000-0000-000031410000}"/>
    <cellStyle name="检查单元格 2 10 8 5" xfId="28623" xr:uid="{00000000-0005-0000-0000-0000FF6F0000}"/>
    <cellStyle name="检查单元格 2 10 8 5 2" xfId="18513" xr:uid="{00000000-0005-0000-0000-000081480000}"/>
    <cellStyle name="检查单元格 2 10 8 6" xfId="34222" xr:uid="{00000000-0005-0000-0000-0000DE850000}"/>
    <cellStyle name="检查单元格 2 10 9" xfId="9370" xr:uid="{00000000-0005-0000-0000-0000CA240000}"/>
    <cellStyle name="检查单元格 2 10 9 2" xfId="3051" xr:uid="{00000000-0005-0000-0000-00001B0C0000}"/>
    <cellStyle name="检查单元格 2 10 9 2 2" xfId="34224" xr:uid="{00000000-0005-0000-0000-0000E0850000}"/>
    <cellStyle name="检查单元格 2 10 9 3" xfId="3071" xr:uid="{00000000-0005-0000-0000-00002F0C0000}"/>
    <cellStyle name="检查单元格 2 10 9 3 2" xfId="34227" xr:uid="{00000000-0005-0000-0000-0000E3850000}"/>
    <cellStyle name="检查单元格 2 10 9 4" xfId="34228" xr:uid="{00000000-0005-0000-0000-0000E4850000}"/>
    <cellStyle name="检查单元格 2 10 9 4 2" xfId="34229" xr:uid="{00000000-0005-0000-0000-0000E5850000}"/>
    <cellStyle name="检查单元格 2 10 9 5" xfId="28626" xr:uid="{00000000-0005-0000-0000-000002700000}"/>
    <cellStyle name="检查单元格 2 10 9 5 2" xfId="34230" xr:uid="{00000000-0005-0000-0000-0000E6850000}"/>
    <cellStyle name="检查单元格 2 10 9 6" xfId="34231" xr:uid="{00000000-0005-0000-0000-0000E7850000}"/>
    <cellStyle name="检查单元格 2 11" xfId="29495" xr:uid="{00000000-0005-0000-0000-000067730000}"/>
    <cellStyle name="检查单元格 2 11 2" xfId="34232" xr:uid="{00000000-0005-0000-0000-0000E8850000}"/>
    <cellStyle name="检查单元格 2 11 2 2" xfId="34233" xr:uid="{00000000-0005-0000-0000-0000E9850000}"/>
    <cellStyle name="检查单元格 2 11 3" xfId="34235" xr:uid="{00000000-0005-0000-0000-0000EB850000}"/>
    <cellStyle name="检查单元格 2 11 3 2" xfId="34236" xr:uid="{00000000-0005-0000-0000-0000EC850000}"/>
    <cellStyle name="检查单元格 2 11 4" xfId="20945" xr:uid="{00000000-0005-0000-0000-000001520000}"/>
    <cellStyle name="检查单元格 2 11 4 2" xfId="20948" xr:uid="{00000000-0005-0000-0000-000004520000}"/>
    <cellStyle name="检查单元格 2 11 5" xfId="20950" xr:uid="{00000000-0005-0000-0000-000006520000}"/>
    <cellStyle name="检查单元格 2 11 5 2" xfId="20953" xr:uid="{00000000-0005-0000-0000-000009520000}"/>
    <cellStyle name="检查单元格 2 11 6" xfId="909" xr:uid="{00000000-0005-0000-0000-0000BD030000}"/>
    <cellStyle name="检查单元格 2 11 7" xfId="920" xr:uid="{00000000-0005-0000-0000-0000C8030000}"/>
    <cellStyle name="检查单元格 2 11 8" xfId="9390" xr:uid="{00000000-0005-0000-0000-0000DE240000}"/>
    <cellStyle name="检查单元格 2 11 9" xfId="9405" xr:uid="{00000000-0005-0000-0000-0000ED240000}"/>
    <cellStyle name="检查单元格 2 12" xfId="34239" xr:uid="{00000000-0005-0000-0000-0000EF850000}"/>
    <cellStyle name="检查单元格 2 12 2" xfId="34240" xr:uid="{00000000-0005-0000-0000-0000F0850000}"/>
    <cellStyle name="检查单元格 2 12 2 2" xfId="19508" xr:uid="{00000000-0005-0000-0000-0000644C0000}"/>
    <cellStyle name="检查单元格 2 12 3" xfId="34241" xr:uid="{00000000-0005-0000-0000-0000F1850000}"/>
    <cellStyle name="检查单元格 2 12 3 2" xfId="34242" xr:uid="{00000000-0005-0000-0000-0000F2850000}"/>
    <cellStyle name="检查单元格 2 12 4" xfId="20957" xr:uid="{00000000-0005-0000-0000-00000D520000}"/>
    <cellStyle name="检查单元格 2 12 4 2" xfId="19559" xr:uid="{00000000-0005-0000-0000-0000974C0000}"/>
    <cellStyle name="检查单元格 2 12 5" xfId="1301" xr:uid="{00000000-0005-0000-0000-000045050000}"/>
    <cellStyle name="检查单元格 2 12 5 2" xfId="3282" xr:uid="{00000000-0005-0000-0000-0000020D0000}"/>
    <cellStyle name="检查单元格 2 12 6" xfId="1308" xr:uid="{00000000-0005-0000-0000-00004C050000}"/>
    <cellStyle name="检查单元格 2 13" xfId="34244" xr:uid="{00000000-0005-0000-0000-0000F4850000}"/>
    <cellStyle name="检查单元格 2 14" xfId="34245" xr:uid="{00000000-0005-0000-0000-0000F5850000}"/>
    <cellStyle name="检查单元格 2 15" xfId="34246" xr:uid="{00000000-0005-0000-0000-0000F6850000}"/>
    <cellStyle name="检查单元格 2 2" xfId="10223" xr:uid="{00000000-0005-0000-0000-00001F280000}"/>
    <cellStyle name="检查单元格 2 2 10" xfId="34247" xr:uid="{00000000-0005-0000-0000-0000F7850000}"/>
    <cellStyle name="检查单元格 2 2 10 2" xfId="34248" xr:uid="{00000000-0005-0000-0000-0000F8850000}"/>
    <cellStyle name="检查单元格 2 2 10 2 2" xfId="16248" xr:uid="{00000000-0005-0000-0000-0000A83F0000}"/>
    <cellStyle name="检查单元格 2 2 10 3" xfId="34250" xr:uid="{00000000-0005-0000-0000-0000FA850000}"/>
    <cellStyle name="检查单元格 2 2 10 3 2" xfId="18302" xr:uid="{00000000-0005-0000-0000-0000AE470000}"/>
    <cellStyle name="检查单元格 2 2 10 4" xfId="34252" xr:uid="{00000000-0005-0000-0000-0000FC850000}"/>
    <cellStyle name="检查单元格 2 2 10 4 2" xfId="18343" xr:uid="{00000000-0005-0000-0000-0000D7470000}"/>
    <cellStyle name="检查单元格 2 2 10 5" xfId="25145" xr:uid="{00000000-0005-0000-0000-000069620000}"/>
    <cellStyle name="检查单元格 2 2 10 5 2" xfId="10653" xr:uid="{00000000-0005-0000-0000-0000CD290000}"/>
    <cellStyle name="检查单元格 2 2 10 6" xfId="34254" xr:uid="{00000000-0005-0000-0000-0000FE850000}"/>
    <cellStyle name="检查单元格 2 2 11" xfId="16086" xr:uid="{00000000-0005-0000-0000-0000063F0000}"/>
    <cellStyle name="检查单元格 2 2 11 2" xfId="23531" xr:uid="{00000000-0005-0000-0000-00001B5C0000}"/>
    <cellStyle name="检查单元格 2 2 11 2 2" xfId="13681" xr:uid="{00000000-0005-0000-0000-0000A1350000}"/>
    <cellStyle name="检查单元格 2 2 11 3" xfId="34256" xr:uid="{00000000-0005-0000-0000-000000860000}"/>
    <cellStyle name="检查单元格 2 2 11 3 2" xfId="18611" xr:uid="{00000000-0005-0000-0000-0000E3480000}"/>
    <cellStyle name="检查单元格 2 2 11 4" xfId="34257" xr:uid="{00000000-0005-0000-0000-000001860000}"/>
    <cellStyle name="检查单元格 2 2 11 4 2" xfId="18668" xr:uid="{00000000-0005-0000-0000-00001C490000}"/>
    <cellStyle name="检查单元格 2 2 11 5" xfId="25152" xr:uid="{00000000-0005-0000-0000-000070620000}"/>
    <cellStyle name="检查单元格 2 2 11 5 2" xfId="10726" xr:uid="{00000000-0005-0000-0000-0000162A0000}"/>
    <cellStyle name="检查单元格 2 2 11 6" xfId="34258" xr:uid="{00000000-0005-0000-0000-000002860000}"/>
    <cellStyle name="检查单元格 2 2 12" xfId="5566" xr:uid="{00000000-0005-0000-0000-0000EE150000}"/>
    <cellStyle name="检查单元格 2 2 12 2" xfId="2756" xr:uid="{00000000-0005-0000-0000-0000F40A0000}"/>
    <cellStyle name="检查单元格 2 2 12 2 2" xfId="14014" xr:uid="{00000000-0005-0000-0000-0000EE360000}"/>
    <cellStyle name="检查单元格 2 2 12 3" xfId="34259" xr:uid="{00000000-0005-0000-0000-000003860000}"/>
    <cellStyle name="检查单元格 2 2 12 3 2" xfId="14042" xr:uid="{00000000-0005-0000-0000-00000A370000}"/>
    <cellStyle name="检查单元格 2 2 12 4" xfId="34260" xr:uid="{00000000-0005-0000-0000-000004860000}"/>
    <cellStyle name="检查单元格 2 2 12 4 2" xfId="14091" xr:uid="{00000000-0005-0000-0000-00003B370000}"/>
    <cellStyle name="检查单元格 2 2 12 5" xfId="34262" xr:uid="{00000000-0005-0000-0000-000006860000}"/>
    <cellStyle name="检查单元格 2 2 13" xfId="5574" xr:uid="{00000000-0005-0000-0000-0000F6150000}"/>
    <cellStyle name="检查单元格 2 2 13 2" xfId="10245" xr:uid="{00000000-0005-0000-0000-000035280000}"/>
    <cellStyle name="检查单元格 2 2 14" xfId="9485" xr:uid="{00000000-0005-0000-0000-00003D250000}"/>
    <cellStyle name="检查单元格 2 2 14 2" xfId="9495" xr:uid="{00000000-0005-0000-0000-000047250000}"/>
    <cellStyle name="检查单元格 2 2 15" xfId="9503" xr:uid="{00000000-0005-0000-0000-00004F250000}"/>
    <cellStyle name="检查单元格 2 2 15 2" xfId="34263" xr:uid="{00000000-0005-0000-0000-000007860000}"/>
    <cellStyle name="检查单元格 2 2 16" xfId="34265" xr:uid="{00000000-0005-0000-0000-000009860000}"/>
    <cellStyle name="检查单元格 2 2 16 2" xfId="34266" xr:uid="{00000000-0005-0000-0000-00000A860000}"/>
    <cellStyle name="检查单元格 2 2 17" xfId="9520" xr:uid="{00000000-0005-0000-0000-000060250000}"/>
    <cellStyle name="检查单元格 2 2 18" xfId="9527" xr:uid="{00000000-0005-0000-0000-000067250000}"/>
    <cellStyle name="检查单元格 2 2 19" xfId="9537" xr:uid="{00000000-0005-0000-0000-000071250000}"/>
    <cellStyle name="检查单元格 2 2 2" xfId="1346" xr:uid="{00000000-0005-0000-0000-000072050000}"/>
    <cellStyle name="检查单元格 2 2 2 10" xfId="34267" xr:uid="{00000000-0005-0000-0000-00000B860000}"/>
    <cellStyle name="检查单元格 2 2 2 11" xfId="34268" xr:uid="{00000000-0005-0000-0000-00000C860000}"/>
    <cellStyle name="检查单元格 2 2 2 12" xfId="34272" xr:uid="{00000000-0005-0000-0000-000010860000}"/>
    <cellStyle name="检查单元格 2 2 2 13" xfId="34273" xr:uid="{00000000-0005-0000-0000-000011860000}"/>
    <cellStyle name="检查单元格 2 2 2 2" xfId="9420" xr:uid="{00000000-0005-0000-0000-0000FC240000}"/>
    <cellStyle name="检查单元格 2 2 2 2 2" xfId="34274" xr:uid="{00000000-0005-0000-0000-000012860000}"/>
    <cellStyle name="检查单元格 2 2 2 2 2 2" xfId="34276" xr:uid="{00000000-0005-0000-0000-000014860000}"/>
    <cellStyle name="检查单元格 2 2 2 2 3" xfId="11648" xr:uid="{00000000-0005-0000-0000-0000B02D0000}"/>
    <cellStyle name="检查单元格 2 2 2 2 3 2" xfId="34278" xr:uid="{00000000-0005-0000-0000-000016860000}"/>
    <cellStyle name="检查单元格 2 2 2 2 4" xfId="34280" xr:uid="{00000000-0005-0000-0000-000018860000}"/>
    <cellStyle name="检查单元格 2 2 2 2 4 2" xfId="34283" xr:uid="{00000000-0005-0000-0000-00001B860000}"/>
    <cellStyle name="检查单元格 2 2 2 2 5" xfId="34285" xr:uid="{00000000-0005-0000-0000-00001D860000}"/>
    <cellStyle name="检查单元格 2 2 2 2 5 2" xfId="34288" xr:uid="{00000000-0005-0000-0000-000020860000}"/>
    <cellStyle name="检查单元格 2 2 2 2 6" xfId="34290" xr:uid="{00000000-0005-0000-0000-000022860000}"/>
    <cellStyle name="检查单元格 2 2 2 2 7" xfId="34292" xr:uid="{00000000-0005-0000-0000-000024860000}"/>
    <cellStyle name="检查单元格 2 2 2 2 8" xfId="34293" xr:uid="{00000000-0005-0000-0000-000025860000}"/>
    <cellStyle name="检查单元格 2 2 2 2 9" xfId="34295" xr:uid="{00000000-0005-0000-0000-000027860000}"/>
    <cellStyle name="检查单元格 2 2 2 3" xfId="9116" xr:uid="{00000000-0005-0000-0000-0000CC230000}"/>
    <cellStyle name="检查单元格 2 2 2 3 2" xfId="28713" xr:uid="{00000000-0005-0000-0000-000059700000}"/>
    <cellStyle name="检查单元格 2 2 2 3 2 2" xfId="28717" xr:uid="{00000000-0005-0000-0000-00005D700000}"/>
    <cellStyle name="检查单元格 2 2 2 3 3" xfId="11658" xr:uid="{00000000-0005-0000-0000-0000BA2D0000}"/>
    <cellStyle name="检查单元格 2 2 2 3 3 2" xfId="28721" xr:uid="{00000000-0005-0000-0000-000061700000}"/>
    <cellStyle name="检查单元格 2 2 2 3 4" xfId="28725" xr:uid="{00000000-0005-0000-0000-000065700000}"/>
    <cellStyle name="检查单元格 2 2 2 3 4 2" xfId="28729" xr:uid="{00000000-0005-0000-0000-000069700000}"/>
    <cellStyle name="检查单元格 2 2 2 3 5" xfId="28733" xr:uid="{00000000-0005-0000-0000-00006D700000}"/>
    <cellStyle name="检查单元格 2 2 2 3 5 2" xfId="34296" xr:uid="{00000000-0005-0000-0000-000028860000}"/>
    <cellStyle name="检查单元格 2 2 2 3 6" xfId="28739" xr:uid="{00000000-0005-0000-0000-000073700000}"/>
    <cellStyle name="检查单元格 2 2 2 4" xfId="34298" xr:uid="{00000000-0005-0000-0000-00002A860000}"/>
    <cellStyle name="检查单元格 2 2 2 4 2" xfId="28756" xr:uid="{00000000-0005-0000-0000-000084700000}"/>
    <cellStyle name="检查单元格 2 2 2 4 2 2" xfId="28760" xr:uid="{00000000-0005-0000-0000-000088700000}"/>
    <cellStyle name="检查单元格 2 2 2 4 3" xfId="28765" xr:uid="{00000000-0005-0000-0000-00008D700000}"/>
    <cellStyle name="检查单元格 2 2 2 4 3 2" xfId="16169" xr:uid="{00000000-0005-0000-0000-0000593F0000}"/>
    <cellStyle name="检查单元格 2 2 2 4 4" xfId="28769" xr:uid="{00000000-0005-0000-0000-000091700000}"/>
    <cellStyle name="检查单元格 2 2 2 4 4 2" xfId="6299" xr:uid="{00000000-0005-0000-0000-0000CB180000}"/>
    <cellStyle name="检查单元格 2 2 2 4 5" xfId="28773" xr:uid="{00000000-0005-0000-0000-000095700000}"/>
    <cellStyle name="检查单元格 2 2 2 4 5 2" xfId="34301" xr:uid="{00000000-0005-0000-0000-00002D860000}"/>
    <cellStyle name="检查单元格 2 2 2 4 6" xfId="34303" xr:uid="{00000000-0005-0000-0000-00002F860000}"/>
    <cellStyle name="检查单元格 2 2 2 5" xfId="34306" xr:uid="{00000000-0005-0000-0000-000032860000}"/>
    <cellStyle name="检查单元格 2 2 2 5 2" xfId="28787" xr:uid="{00000000-0005-0000-0000-0000A3700000}"/>
    <cellStyle name="检查单元格 2 2 2 5 2 2" xfId="28791" xr:uid="{00000000-0005-0000-0000-0000A7700000}"/>
    <cellStyle name="检查单元格 2 2 2 5 3" xfId="28796" xr:uid="{00000000-0005-0000-0000-0000AC700000}"/>
    <cellStyle name="检查单元格 2 2 2 5 3 2" xfId="16884" xr:uid="{00000000-0005-0000-0000-000024420000}"/>
    <cellStyle name="检查单元格 2 2 2 5 4" xfId="27851" xr:uid="{00000000-0005-0000-0000-0000FB6C0000}"/>
    <cellStyle name="检查单元格 2 2 2 5 4 2" xfId="6687" xr:uid="{00000000-0005-0000-0000-00004F1A0000}"/>
    <cellStyle name="检查单元格 2 2 2 5 5" xfId="28801" xr:uid="{00000000-0005-0000-0000-0000B1700000}"/>
    <cellStyle name="检查单元格 2 2 2 6" xfId="34309" xr:uid="{00000000-0005-0000-0000-000035860000}"/>
    <cellStyle name="检查单元格 2 2 2 6 2" xfId="28815" xr:uid="{00000000-0005-0000-0000-0000BF700000}"/>
    <cellStyle name="检查单元格 2 2 2 7" xfId="34313" xr:uid="{00000000-0005-0000-0000-000039860000}"/>
    <cellStyle name="检查单元格 2 2 2 7 2" xfId="28841" xr:uid="{00000000-0005-0000-0000-0000D9700000}"/>
    <cellStyle name="检查单元格 2 2 2 8" xfId="34317" xr:uid="{00000000-0005-0000-0000-00003D860000}"/>
    <cellStyle name="检查单元格 2 2 2 8 2" xfId="28856" xr:uid="{00000000-0005-0000-0000-0000E8700000}"/>
    <cellStyle name="检查单元格 2 2 2 9" xfId="34320" xr:uid="{00000000-0005-0000-0000-000040860000}"/>
    <cellStyle name="检查单元格 2 2 2 9 2" xfId="21776" xr:uid="{00000000-0005-0000-0000-000040550000}"/>
    <cellStyle name="检查单元格 2 2 20" xfId="9502" xr:uid="{00000000-0005-0000-0000-00004E250000}"/>
    <cellStyle name="检查单元格 2 2 3" xfId="1369" xr:uid="{00000000-0005-0000-0000-000089050000}"/>
    <cellStyle name="检查单元格 2 2 3 10" xfId="34324" xr:uid="{00000000-0005-0000-0000-000044860000}"/>
    <cellStyle name="检查单元格 2 2 3 11" xfId="34327" xr:uid="{00000000-0005-0000-0000-000047860000}"/>
    <cellStyle name="检查单元格 2 2 3 12" xfId="10536" xr:uid="{00000000-0005-0000-0000-000058290000}"/>
    <cellStyle name="检查单元格 2 2 3 13" xfId="16023" xr:uid="{00000000-0005-0000-0000-0000C73E0000}"/>
    <cellStyle name="检查单元格 2 2 3 2" xfId="9580" xr:uid="{00000000-0005-0000-0000-00009C250000}"/>
    <cellStyle name="检查单元格 2 2 3 2 2" xfId="34329" xr:uid="{00000000-0005-0000-0000-000049860000}"/>
    <cellStyle name="检查单元格 2 2 3 2 2 2" xfId="34330" xr:uid="{00000000-0005-0000-0000-00004A860000}"/>
    <cellStyle name="检查单元格 2 2 3 2 3" xfId="11692" xr:uid="{00000000-0005-0000-0000-0000DC2D0000}"/>
    <cellStyle name="检查单元格 2 2 3 2 3 2" xfId="34331" xr:uid="{00000000-0005-0000-0000-00004B860000}"/>
    <cellStyle name="检查单元格 2 2 3 2 4" xfId="34332" xr:uid="{00000000-0005-0000-0000-00004C860000}"/>
    <cellStyle name="检查单元格 2 2 3 2 4 2" xfId="34334" xr:uid="{00000000-0005-0000-0000-00004E860000}"/>
    <cellStyle name="检查单元格 2 2 3 2 5" xfId="34335" xr:uid="{00000000-0005-0000-0000-00004F860000}"/>
    <cellStyle name="检查单元格 2 2 3 2 5 2" xfId="34336" xr:uid="{00000000-0005-0000-0000-000050860000}"/>
    <cellStyle name="检查单元格 2 2 3 2 6" xfId="34338" xr:uid="{00000000-0005-0000-0000-000052860000}"/>
    <cellStyle name="检查单元格 2 2 3 2 7" xfId="34339" xr:uid="{00000000-0005-0000-0000-000053860000}"/>
    <cellStyle name="检查单元格 2 2 3 2 8" xfId="34340" xr:uid="{00000000-0005-0000-0000-000054860000}"/>
    <cellStyle name="检查单元格 2 2 3 2 9" xfId="34342" xr:uid="{00000000-0005-0000-0000-000056860000}"/>
    <cellStyle name="检查单元格 2 2 3 3" xfId="9136" xr:uid="{00000000-0005-0000-0000-0000E0230000}"/>
    <cellStyle name="检查单元格 2 2 3 3 2" xfId="28876" xr:uid="{00000000-0005-0000-0000-0000FC700000}"/>
    <cellStyle name="检查单元格 2 2 3 3 2 2" xfId="28880" xr:uid="{00000000-0005-0000-0000-000000710000}"/>
    <cellStyle name="检查单元格 2 2 3 3 3" xfId="11707" xr:uid="{00000000-0005-0000-0000-0000EB2D0000}"/>
    <cellStyle name="检查单元格 2 2 3 3 3 2" xfId="28883" xr:uid="{00000000-0005-0000-0000-000003710000}"/>
    <cellStyle name="检查单元格 2 2 3 3 4" xfId="28886" xr:uid="{00000000-0005-0000-0000-000006710000}"/>
    <cellStyle name="检查单元格 2 2 3 3 4 2" xfId="28889" xr:uid="{00000000-0005-0000-0000-000009710000}"/>
    <cellStyle name="检查单元格 2 2 3 3 5" xfId="28892" xr:uid="{00000000-0005-0000-0000-00000C710000}"/>
    <cellStyle name="检查单元格 2 2 3 3 5 2" xfId="34343" xr:uid="{00000000-0005-0000-0000-000057860000}"/>
    <cellStyle name="检查单元格 2 2 3 3 6" xfId="34345" xr:uid="{00000000-0005-0000-0000-000059860000}"/>
    <cellStyle name="检查单元格 2 2 3 4" xfId="34347" xr:uid="{00000000-0005-0000-0000-00005B860000}"/>
    <cellStyle name="检查单元格 2 2 3 4 2" xfId="22275" xr:uid="{00000000-0005-0000-0000-000033570000}"/>
    <cellStyle name="检查单元格 2 2 3 4 2 2" xfId="28897" xr:uid="{00000000-0005-0000-0000-000011710000}"/>
    <cellStyle name="检查单元格 2 2 3 4 3" xfId="22281" xr:uid="{00000000-0005-0000-0000-000039570000}"/>
    <cellStyle name="检查单元格 2 2 3 4 3 2" xfId="23050" xr:uid="{00000000-0005-0000-0000-00003A5A0000}"/>
    <cellStyle name="检查单元格 2 2 3 4 4" xfId="22285" xr:uid="{00000000-0005-0000-0000-00003D570000}"/>
    <cellStyle name="检查单元格 2 2 3 4 4 2" xfId="28900" xr:uid="{00000000-0005-0000-0000-000014710000}"/>
    <cellStyle name="检查单元格 2 2 3 4 5" xfId="22289" xr:uid="{00000000-0005-0000-0000-000041570000}"/>
    <cellStyle name="检查单元格 2 2 3 4 5 2" xfId="34348" xr:uid="{00000000-0005-0000-0000-00005C860000}"/>
    <cellStyle name="检查单元格 2 2 3 4 6" xfId="34350" xr:uid="{00000000-0005-0000-0000-00005E860000}"/>
    <cellStyle name="检查单元格 2 2 3 5" xfId="34352" xr:uid="{00000000-0005-0000-0000-000060860000}"/>
    <cellStyle name="检查单元格 2 2 3 5 2" xfId="28911" xr:uid="{00000000-0005-0000-0000-00001F710000}"/>
    <cellStyle name="检查单元格 2 2 3 5 2 2" xfId="28915" xr:uid="{00000000-0005-0000-0000-000023710000}"/>
    <cellStyle name="检查单元格 2 2 3 5 3" xfId="28919" xr:uid="{00000000-0005-0000-0000-000027710000}"/>
    <cellStyle name="检查单元格 2 2 3 5 3 2" xfId="23501" xr:uid="{00000000-0005-0000-0000-0000FD5B0000}"/>
    <cellStyle name="检查单元格 2 2 3 5 4" xfId="27876" xr:uid="{00000000-0005-0000-0000-0000146D0000}"/>
    <cellStyle name="检查单元格 2 2 3 5 4 2" xfId="379" xr:uid="{00000000-0005-0000-0000-0000A0010000}"/>
    <cellStyle name="检查单元格 2 2 3 5 5" xfId="28923" xr:uid="{00000000-0005-0000-0000-00002B710000}"/>
    <cellStyle name="检查单元格 2 2 3 6" xfId="34354" xr:uid="{00000000-0005-0000-0000-000062860000}"/>
    <cellStyle name="检查单元格 2 2 3 6 2" xfId="28935" xr:uid="{00000000-0005-0000-0000-000037710000}"/>
    <cellStyle name="检查单元格 2 2 3 7" xfId="34355" xr:uid="{00000000-0005-0000-0000-000063860000}"/>
    <cellStyle name="检查单元格 2 2 3 7 2" xfId="28956" xr:uid="{00000000-0005-0000-0000-00004C710000}"/>
    <cellStyle name="检查单元格 2 2 3 8" xfId="34357" xr:uid="{00000000-0005-0000-0000-000065860000}"/>
    <cellStyle name="检查单元格 2 2 3 8 2" xfId="28969" xr:uid="{00000000-0005-0000-0000-000059710000}"/>
    <cellStyle name="检查单元格 2 2 3 9" xfId="34360" xr:uid="{00000000-0005-0000-0000-000068860000}"/>
    <cellStyle name="检查单元格 2 2 3 9 2" xfId="22381" xr:uid="{00000000-0005-0000-0000-00009D570000}"/>
    <cellStyle name="检查单元格 2 2 4" xfId="1380" xr:uid="{00000000-0005-0000-0000-000094050000}"/>
    <cellStyle name="检查单元格 2 2 4 10" xfId="34361" xr:uid="{00000000-0005-0000-0000-000069860000}"/>
    <cellStyle name="检查单元格 2 2 4 11" xfId="34363" xr:uid="{00000000-0005-0000-0000-00006B860000}"/>
    <cellStyle name="检查单元格 2 2 4 12" xfId="34365" xr:uid="{00000000-0005-0000-0000-00006D860000}"/>
    <cellStyle name="检查单元格 2 2 4 13" xfId="34367" xr:uid="{00000000-0005-0000-0000-00006F860000}"/>
    <cellStyle name="检查单元格 2 2 4 2" xfId="34369" xr:uid="{00000000-0005-0000-0000-000071860000}"/>
    <cellStyle name="检查单元格 2 2 4 2 2" xfId="14001" xr:uid="{00000000-0005-0000-0000-0000E1360000}"/>
    <cellStyle name="检查单元格 2 2 4 2 2 2" xfId="1432" xr:uid="{00000000-0005-0000-0000-0000C8050000}"/>
    <cellStyle name="检查单元格 2 2 4 2 3" xfId="13569" xr:uid="{00000000-0005-0000-0000-000031350000}"/>
    <cellStyle name="检查单元格 2 2 4 2 3 2" xfId="1456" xr:uid="{00000000-0005-0000-0000-0000E0050000}"/>
    <cellStyle name="检查单元格 2 2 4 2 4" xfId="14011" xr:uid="{00000000-0005-0000-0000-0000EB360000}"/>
    <cellStyle name="检查单元格 2 2 4 2 4 2" xfId="34370" xr:uid="{00000000-0005-0000-0000-000072860000}"/>
    <cellStyle name="检查单元格 2 2 4 2 5" xfId="34371" xr:uid="{00000000-0005-0000-0000-000073860000}"/>
    <cellStyle name="检查单元格 2 2 4 2 5 2" xfId="34372" xr:uid="{00000000-0005-0000-0000-000074860000}"/>
    <cellStyle name="检查单元格 2 2 4 2 6" xfId="34374" xr:uid="{00000000-0005-0000-0000-000076860000}"/>
    <cellStyle name="检查单元格 2 2 4 2 7" xfId="34375" xr:uid="{00000000-0005-0000-0000-000077860000}"/>
    <cellStyle name="检查单元格 2 2 4 2 8" xfId="34377" xr:uid="{00000000-0005-0000-0000-000079860000}"/>
    <cellStyle name="检查单元格 2 2 4 2 9" xfId="34379" xr:uid="{00000000-0005-0000-0000-00007B860000}"/>
    <cellStyle name="检查单元格 2 2 4 3" xfId="1549" xr:uid="{00000000-0005-0000-0000-00003D060000}"/>
    <cellStyle name="检查单元格 2 2 4 3 2" xfId="14029" xr:uid="{00000000-0005-0000-0000-0000FD360000}"/>
    <cellStyle name="检查单元格 2 2 4 3 2 2" xfId="11316" xr:uid="{00000000-0005-0000-0000-0000642C0000}"/>
    <cellStyle name="检查单元格 2 2 4 3 3" xfId="13573" xr:uid="{00000000-0005-0000-0000-000035350000}"/>
    <cellStyle name="检查单元格 2 2 4 3 3 2" xfId="11380" xr:uid="{00000000-0005-0000-0000-0000A42C0000}"/>
    <cellStyle name="检查单元格 2 2 4 3 4" xfId="14031" xr:uid="{00000000-0005-0000-0000-0000FF360000}"/>
    <cellStyle name="检查单元格 2 2 4 3 4 2" xfId="34380" xr:uid="{00000000-0005-0000-0000-00007C860000}"/>
    <cellStyle name="检查单元格 2 2 4 3 5" xfId="34381" xr:uid="{00000000-0005-0000-0000-00007D860000}"/>
    <cellStyle name="检查单元格 2 2 4 3 5 2" xfId="34382" xr:uid="{00000000-0005-0000-0000-00007E860000}"/>
    <cellStyle name="检查单元格 2 2 4 3 6" xfId="34384" xr:uid="{00000000-0005-0000-0000-000080860000}"/>
    <cellStyle name="检查单元格 2 2 4 4" xfId="22061" xr:uid="{00000000-0005-0000-0000-00005D560000}"/>
    <cellStyle name="检查单元格 2 2 4 4 2" xfId="14067" xr:uid="{00000000-0005-0000-0000-000023370000}"/>
    <cellStyle name="检查单元格 2 2 4 4 2 2" xfId="14071" xr:uid="{00000000-0005-0000-0000-000027370000}"/>
    <cellStyle name="检查单元格 2 2 4 4 3" xfId="14073" xr:uid="{00000000-0005-0000-0000-000029370000}"/>
    <cellStyle name="检查单元格 2 2 4 4 3 2" xfId="14078" xr:uid="{00000000-0005-0000-0000-00002E370000}"/>
    <cellStyle name="检查单元格 2 2 4 4 4" xfId="14080" xr:uid="{00000000-0005-0000-0000-000030370000}"/>
    <cellStyle name="检查单元格 2 2 4 4 4 2" xfId="34385" xr:uid="{00000000-0005-0000-0000-000081860000}"/>
    <cellStyle name="检查单元格 2 2 4 4 5" xfId="34386" xr:uid="{00000000-0005-0000-0000-000082860000}"/>
    <cellStyle name="检查单元格 2 2 4 4 5 2" xfId="34387" xr:uid="{00000000-0005-0000-0000-000083860000}"/>
    <cellStyle name="检查单元格 2 2 4 4 6" xfId="34389" xr:uid="{00000000-0005-0000-0000-000085860000}"/>
    <cellStyle name="检查单元格 2 2 4 5" xfId="34391" xr:uid="{00000000-0005-0000-0000-000087860000}"/>
    <cellStyle name="检查单元格 2 2 4 5 2" xfId="14115" xr:uid="{00000000-0005-0000-0000-000053370000}"/>
    <cellStyle name="检查单元格 2 2 4 5 2 2" xfId="14117" xr:uid="{00000000-0005-0000-0000-000055370000}"/>
    <cellStyle name="检查单元格 2 2 4 5 3" xfId="14122" xr:uid="{00000000-0005-0000-0000-00005A370000}"/>
    <cellStyle name="检查单元格 2 2 4 5 3 2" xfId="14125" xr:uid="{00000000-0005-0000-0000-00005D370000}"/>
    <cellStyle name="检查单元格 2 2 4 5 4" xfId="14133" xr:uid="{00000000-0005-0000-0000-000065370000}"/>
    <cellStyle name="检查单元格 2 2 4 5 4 2" xfId="15750" xr:uid="{00000000-0005-0000-0000-0000B63D0000}"/>
    <cellStyle name="检查单元格 2 2 4 5 5" xfId="34392" xr:uid="{00000000-0005-0000-0000-000088860000}"/>
    <cellStyle name="检查单元格 2 2 4 6" xfId="34394" xr:uid="{00000000-0005-0000-0000-00008A860000}"/>
    <cellStyle name="检查单元格 2 2 4 6 2" xfId="1617" xr:uid="{00000000-0005-0000-0000-000081060000}"/>
    <cellStyle name="检查单元格 2 2 4 7" xfId="34395" xr:uid="{00000000-0005-0000-0000-00008B860000}"/>
    <cellStyle name="检查单元格 2 2 4 7 2" xfId="34397" xr:uid="{00000000-0005-0000-0000-00008D860000}"/>
    <cellStyle name="检查单元格 2 2 4 8" xfId="34398" xr:uid="{00000000-0005-0000-0000-00008E860000}"/>
    <cellStyle name="检查单元格 2 2 4 8 2" xfId="34400" xr:uid="{00000000-0005-0000-0000-000090860000}"/>
    <cellStyle name="检查单元格 2 2 4 9" xfId="34401" xr:uid="{00000000-0005-0000-0000-000091860000}"/>
    <cellStyle name="检查单元格 2 2 4 9 2" xfId="34402" xr:uid="{00000000-0005-0000-0000-000092860000}"/>
    <cellStyle name="检查单元格 2 2 5" xfId="34404" xr:uid="{00000000-0005-0000-0000-000094860000}"/>
    <cellStyle name="检查单元格 2 2 5 10" xfId="34406" xr:uid="{00000000-0005-0000-0000-000096860000}"/>
    <cellStyle name="检查单元格 2 2 5 11" xfId="5327" xr:uid="{00000000-0005-0000-0000-0000FF140000}"/>
    <cellStyle name="检查单元格 2 2 5 12" xfId="24580" xr:uid="{00000000-0005-0000-0000-000034600000}"/>
    <cellStyle name="检查单元格 2 2 5 13" xfId="24584" xr:uid="{00000000-0005-0000-0000-000038600000}"/>
    <cellStyle name="检查单元格 2 2 5 2" xfId="24492" xr:uid="{00000000-0005-0000-0000-0000DC5F0000}"/>
    <cellStyle name="检查单元格 2 2 5 2 2" xfId="34408" xr:uid="{00000000-0005-0000-0000-000098860000}"/>
    <cellStyle name="检查单元格 2 2 5 2 2 2" xfId="34337" xr:uid="{00000000-0005-0000-0000-000051860000}"/>
    <cellStyle name="检查单元格 2 2 5 2 3" xfId="13604" xr:uid="{00000000-0005-0000-0000-000054350000}"/>
    <cellStyle name="检查单元格 2 2 5 2 3 2" xfId="34344" xr:uid="{00000000-0005-0000-0000-000058860000}"/>
    <cellStyle name="检查单元格 2 2 5 2 4" xfId="34409" xr:uid="{00000000-0005-0000-0000-000099860000}"/>
    <cellStyle name="检查单元格 2 2 5 2 4 2" xfId="34349" xr:uid="{00000000-0005-0000-0000-00005D860000}"/>
    <cellStyle name="检查单元格 2 2 5 2 5" xfId="34411" xr:uid="{00000000-0005-0000-0000-00009B860000}"/>
    <cellStyle name="检查单元格 2 2 5 2 5 2" xfId="34412" xr:uid="{00000000-0005-0000-0000-00009C860000}"/>
    <cellStyle name="检查单元格 2 2 5 2 6" xfId="34414" xr:uid="{00000000-0005-0000-0000-00009E860000}"/>
    <cellStyle name="检查单元格 2 2 5 2 7" xfId="34415" xr:uid="{00000000-0005-0000-0000-00009F860000}"/>
    <cellStyle name="检查单元格 2 2 5 2 8" xfId="34416" xr:uid="{00000000-0005-0000-0000-0000A0860000}"/>
    <cellStyle name="检查单元格 2 2 5 2 9" xfId="34418" xr:uid="{00000000-0005-0000-0000-0000A2860000}"/>
    <cellStyle name="检查单元格 2 2 5 3" xfId="24498" xr:uid="{00000000-0005-0000-0000-0000E25F0000}"/>
    <cellStyle name="检查单元格 2 2 5 3 2" xfId="34420" xr:uid="{00000000-0005-0000-0000-0000A4860000}"/>
    <cellStyle name="检查单元格 2 2 5 3 2 2" xfId="34373" xr:uid="{00000000-0005-0000-0000-000075860000}"/>
    <cellStyle name="检查单元格 2 2 5 3 3" xfId="13610" xr:uid="{00000000-0005-0000-0000-00005A350000}"/>
    <cellStyle name="检查单元格 2 2 5 3 3 2" xfId="34383" xr:uid="{00000000-0005-0000-0000-00007F860000}"/>
    <cellStyle name="检查单元格 2 2 5 3 4" xfId="34421" xr:uid="{00000000-0005-0000-0000-0000A5860000}"/>
    <cellStyle name="检查单元格 2 2 5 3 4 2" xfId="34388" xr:uid="{00000000-0005-0000-0000-000084860000}"/>
    <cellStyle name="检查单元格 2 2 5 3 5" xfId="34423" xr:uid="{00000000-0005-0000-0000-0000A7860000}"/>
    <cellStyle name="检查单元格 2 2 5 3 5 2" xfId="34424" xr:uid="{00000000-0005-0000-0000-0000A8860000}"/>
    <cellStyle name="检查单元格 2 2 5 3 6" xfId="34426" xr:uid="{00000000-0005-0000-0000-0000AA860000}"/>
    <cellStyle name="检查单元格 2 2 5 4" xfId="22066" xr:uid="{00000000-0005-0000-0000-000062560000}"/>
    <cellStyle name="检查单元格 2 2 5 4 2" xfId="34428" xr:uid="{00000000-0005-0000-0000-0000AC860000}"/>
    <cellStyle name="检查单元格 2 2 5 4 2 2" xfId="34413" xr:uid="{00000000-0005-0000-0000-00009D860000}"/>
    <cellStyle name="检查单元格 2 2 5 4 3" xfId="32592" xr:uid="{00000000-0005-0000-0000-0000807F0000}"/>
    <cellStyle name="检查单元格 2 2 5 4 3 2" xfId="34425" xr:uid="{00000000-0005-0000-0000-0000A9860000}"/>
    <cellStyle name="检查单元格 2 2 5 4 4" xfId="34429" xr:uid="{00000000-0005-0000-0000-0000AD860000}"/>
    <cellStyle name="检查单元格 2 2 5 4 4 2" xfId="34432" xr:uid="{00000000-0005-0000-0000-0000B0860000}"/>
    <cellStyle name="检查单元格 2 2 5 4 5" xfId="34433" xr:uid="{00000000-0005-0000-0000-0000B1860000}"/>
    <cellStyle name="检查单元格 2 2 5 4 5 2" xfId="34434" xr:uid="{00000000-0005-0000-0000-0000B2860000}"/>
    <cellStyle name="检查单元格 2 2 5 4 6" xfId="34431" xr:uid="{00000000-0005-0000-0000-0000AF860000}"/>
    <cellStyle name="检查单元格 2 2 5 5" xfId="34436" xr:uid="{00000000-0005-0000-0000-0000B4860000}"/>
    <cellStyle name="检查单元格 2 2 5 5 2" xfId="34437" xr:uid="{00000000-0005-0000-0000-0000B5860000}"/>
    <cellStyle name="检查单元格 2 2 5 5 2 2" xfId="34439" xr:uid="{00000000-0005-0000-0000-0000B7860000}"/>
    <cellStyle name="检查单元格 2 2 5 5 3" xfId="32595" xr:uid="{00000000-0005-0000-0000-0000837F0000}"/>
    <cellStyle name="检查单元格 2 2 5 5 3 2" xfId="34441" xr:uid="{00000000-0005-0000-0000-0000B9860000}"/>
    <cellStyle name="检查单元格 2 2 5 5 4" xfId="27907" xr:uid="{00000000-0005-0000-0000-0000336D0000}"/>
    <cellStyle name="检查单元格 2 2 5 5 4 2" xfId="34443" xr:uid="{00000000-0005-0000-0000-0000BB860000}"/>
    <cellStyle name="检查单元格 2 2 5 5 5" xfId="34444" xr:uid="{00000000-0005-0000-0000-0000BC860000}"/>
    <cellStyle name="检查单元格 2 2 5 6" xfId="34445" xr:uid="{00000000-0005-0000-0000-0000BD860000}"/>
    <cellStyle name="检查单元格 2 2 5 6 2" xfId="34446" xr:uid="{00000000-0005-0000-0000-0000BE860000}"/>
    <cellStyle name="检查单元格 2 2 5 7" xfId="34447" xr:uid="{00000000-0005-0000-0000-0000BF860000}"/>
    <cellStyle name="检查单元格 2 2 5 7 2" xfId="34448" xr:uid="{00000000-0005-0000-0000-0000C0860000}"/>
    <cellStyle name="检查单元格 2 2 5 8" xfId="34449" xr:uid="{00000000-0005-0000-0000-0000C1860000}"/>
    <cellStyle name="检查单元格 2 2 5 8 2" xfId="34451" xr:uid="{00000000-0005-0000-0000-0000C3860000}"/>
    <cellStyle name="检查单元格 2 2 5 9" xfId="34452" xr:uid="{00000000-0005-0000-0000-0000C4860000}"/>
    <cellStyle name="检查单元格 2 2 5 9 2" xfId="34453" xr:uid="{00000000-0005-0000-0000-0000C5860000}"/>
    <cellStyle name="检查单元格 2 2 6" xfId="34455" xr:uid="{00000000-0005-0000-0000-0000C7860000}"/>
    <cellStyle name="检查单元格 2 2 6 10" xfId="34457" xr:uid="{00000000-0005-0000-0000-0000C9860000}"/>
    <cellStyle name="检查单元格 2 2 6 11" xfId="34459" xr:uid="{00000000-0005-0000-0000-0000CB860000}"/>
    <cellStyle name="检查单元格 2 2 6 12" xfId="34460" xr:uid="{00000000-0005-0000-0000-0000CC860000}"/>
    <cellStyle name="检查单元格 2 2 6 13" xfId="34461" xr:uid="{00000000-0005-0000-0000-0000CD860000}"/>
    <cellStyle name="检查单元格 2 2 6 2" xfId="34463" xr:uid="{00000000-0005-0000-0000-0000CF860000}"/>
    <cellStyle name="检查单元格 2 2 6 2 2" xfId="34464" xr:uid="{00000000-0005-0000-0000-0000D0860000}"/>
    <cellStyle name="检查单元格 2 2 6 2 2 2" xfId="34466" xr:uid="{00000000-0005-0000-0000-0000D2860000}"/>
    <cellStyle name="检查单元格 2 2 6 2 3" xfId="13628" xr:uid="{00000000-0005-0000-0000-00006C350000}"/>
    <cellStyle name="检查单元格 2 2 6 2 3 2" xfId="34468" xr:uid="{00000000-0005-0000-0000-0000D4860000}"/>
    <cellStyle name="检查单元格 2 2 6 2 4" xfId="34469" xr:uid="{00000000-0005-0000-0000-0000D5860000}"/>
    <cellStyle name="检查单元格 2 2 6 2 4 2" xfId="34472" xr:uid="{00000000-0005-0000-0000-0000D8860000}"/>
    <cellStyle name="检查单元格 2 2 6 2 5" xfId="34473" xr:uid="{00000000-0005-0000-0000-0000D9860000}"/>
    <cellStyle name="检查单元格 2 2 6 2 5 2" xfId="34474" xr:uid="{00000000-0005-0000-0000-0000DA860000}"/>
    <cellStyle name="检查单元格 2 2 6 2 6" xfId="34438" xr:uid="{00000000-0005-0000-0000-0000B6860000}"/>
    <cellStyle name="检查单元格 2 2 6 2 7" xfId="34475" xr:uid="{00000000-0005-0000-0000-0000DB860000}"/>
    <cellStyle name="检查单元格 2 2 6 2 8" xfId="34476" xr:uid="{00000000-0005-0000-0000-0000DC860000}"/>
    <cellStyle name="检查单元格 2 2 6 2 9" xfId="34478" xr:uid="{00000000-0005-0000-0000-0000DE860000}"/>
    <cellStyle name="检查单元格 2 2 6 3" xfId="30344" xr:uid="{00000000-0005-0000-0000-0000B8760000}"/>
    <cellStyle name="检查单元格 2 2 6 3 2" xfId="34479" xr:uid="{00000000-0005-0000-0000-0000DF860000}"/>
    <cellStyle name="检查单元格 2 2 6 3 2 2" xfId="34481" xr:uid="{00000000-0005-0000-0000-0000E1860000}"/>
    <cellStyle name="检查单元格 2 2 6 3 3" xfId="13635" xr:uid="{00000000-0005-0000-0000-000073350000}"/>
    <cellStyle name="检查单元格 2 2 6 3 3 2" xfId="34483" xr:uid="{00000000-0005-0000-0000-0000E3860000}"/>
    <cellStyle name="检查单元格 2 2 6 3 4" xfId="34484" xr:uid="{00000000-0005-0000-0000-0000E4860000}"/>
    <cellStyle name="检查单元格 2 2 6 3 4 2" xfId="34487" xr:uid="{00000000-0005-0000-0000-0000E7860000}"/>
    <cellStyle name="检查单元格 2 2 6 3 5" xfId="34488" xr:uid="{00000000-0005-0000-0000-0000E8860000}"/>
    <cellStyle name="检查单元格 2 2 6 3 5 2" xfId="34489" xr:uid="{00000000-0005-0000-0000-0000E9860000}"/>
    <cellStyle name="检查单元格 2 2 6 3 6" xfId="34440" xr:uid="{00000000-0005-0000-0000-0000B8860000}"/>
    <cellStyle name="检查单元格 2 2 6 4" xfId="22071" xr:uid="{00000000-0005-0000-0000-000067560000}"/>
    <cellStyle name="检查单元格 2 2 6 4 2" xfId="34490" xr:uid="{00000000-0005-0000-0000-0000EA860000}"/>
    <cellStyle name="检查单元格 2 2 6 4 2 2" xfId="34492" xr:uid="{00000000-0005-0000-0000-0000EC860000}"/>
    <cellStyle name="检查单元格 2 2 6 4 3" xfId="32604" xr:uid="{00000000-0005-0000-0000-00008C7F0000}"/>
    <cellStyle name="检查单元格 2 2 6 4 3 2" xfId="34494" xr:uid="{00000000-0005-0000-0000-0000EE860000}"/>
    <cellStyle name="检查单元格 2 2 6 4 4" xfId="34495" xr:uid="{00000000-0005-0000-0000-0000EF860000}"/>
    <cellStyle name="检查单元格 2 2 6 4 4 2" xfId="34498" xr:uid="{00000000-0005-0000-0000-0000F2860000}"/>
    <cellStyle name="检查单元格 2 2 6 4 5" xfId="34499" xr:uid="{00000000-0005-0000-0000-0000F3860000}"/>
    <cellStyle name="检查单元格 2 2 6 4 5 2" xfId="34503" xr:uid="{00000000-0005-0000-0000-0000F7860000}"/>
    <cellStyle name="检查单元格 2 2 6 4 6" xfId="34442" xr:uid="{00000000-0005-0000-0000-0000BA860000}"/>
    <cellStyle name="检查单元格 2 2 6 5" xfId="34504" xr:uid="{00000000-0005-0000-0000-0000F8860000}"/>
    <cellStyle name="检查单元格 2 2 6 5 2" xfId="34505" xr:uid="{00000000-0005-0000-0000-0000F9860000}"/>
    <cellStyle name="检查单元格 2 2 6 5 2 2" xfId="34507" xr:uid="{00000000-0005-0000-0000-0000FB860000}"/>
    <cellStyle name="检查单元格 2 2 6 5 3" xfId="32609" xr:uid="{00000000-0005-0000-0000-0000917F0000}"/>
    <cellStyle name="检查单元格 2 2 6 5 3 2" xfId="34509" xr:uid="{00000000-0005-0000-0000-0000FD860000}"/>
    <cellStyle name="检查单元格 2 2 6 5 4" xfId="27921" xr:uid="{00000000-0005-0000-0000-0000416D0000}"/>
    <cellStyle name="检查单元格 2 2 6 5 4 2" xfId="34511" xr:uid="{00000000-0005-0000-0000-0000FF860000}"/>
    <cellStyle name="检查单元格 2 2 6 5 5" xfId="34512" xr:uid="{00000000-0005-0000-0000-000000870000}"/>
    <cellStyle name="检查单元格 2 2 6 6" xfId="34513" xr:uid="{00000000-0005-0000-0000-000001870000}"/>
    <cellStyle name="检查单元格 2 2 6 6 2" xfId="34514" xr:uid="{00000000-0005-0000-0000-000002870000}"/>
    <cellStyle name="检查单元格 2 2 6 7" xfId="34515" xr:uid="{00000000-0005-0000-0000-000003870000}"/>
    <cellStyle name="检查单元格 2 2 6 7 2" xfId="34516" xr:uid="{00000000-0005-0000-0000-000004870000}"/>
    <cellStyle name="检查单元格 2 2 6 8" xfId="34517" xr:uid="{00000000-0005-0000-0000-000005870000}"/>
    <cellStyle name="检查单元格 2 2 6 8 2" xfId="34519" xr:uid="{00000000-0005-0000-0000-000007870000}"/>
    <cellStyle name="检查单元格 2 2 6 9" xfId="34520" xr:uid="{00000000-0005-0000-0000-000008870000}"/>
    <cellStyle name="检查单元格 2 2 6 9 2" xfId="34521" xr:uid="{00000000-0005-0000-0000-000009870000}"/>
    <cellStyle name="检查单元格 2 2 7" xfId="34523" xr:uid="{00000000-0005-0000-0000-00000B870000}"/>
    <cellStyle name="检查单元格 2 2 7 10" xfId="34526" xr:uid="{00000000-0005-0000-0000-00000E870000}"/>
    <cellStyle name="检查单元格 2 2 7 11" xfId="34529" xr:uid="{00000000-0005-0000-0000-000011870000}"/>
    <cellStyle name="检查单元格 2 2 7 12" xfId="34533" xr:uid="{00000000-0005-0000-0000-000015870000}"/>
    <cellStyle name="检查单元格 2 2 7 13" xfId="34536" xr:uid="{00000000-0005-0000-0000-000018870000}"/>
    <cellStyle name="检查单元格 2 2 7 2" xfId="34538" xr:uid="{00000000-0005-0000-0000-00001A870000}"/>
    <cellStyle name="检查单元格 2 2 7 2 2" xfId="34540" xr:uid="{00000000-0005-0000-0000-00001C870000}"/>
    <cellStyle name="检查单元格 2 2 7 2 2 2" xfId="34543" xr:uid="{00000000-0005-0000-0000-00001F870000}"/>
    <cellStyle name="检查单元格 2 2 7 2 3" xfId="836" xr:uid="{00000000-0005-0000-0000-000074030000}"/>
    <cellStyle name="检查单元格 2 2 7 2 3 2" xfId="34546" xr:uid="{00000000-0005-0000-0000-000022870000}"/>
    <cellStyle name="检查单元格 2 2 7 2 4" xfId="34548" xr:uid="{00000000-0005-0000-0000-000024870000}"/>
    <cellStyle name="检查单元格 2 2 7 2 4 2" xfId="34552" xr:uid="{00000000-0005-0000-0000-000028870000}"/>
    <cellStyle name="检查单元格 2 2 7 2 5" xfId="34554" xr:uid="{00000000-0005-0000-0000-00002A870000}"/>
    <cellStyle name="检查单元格 2 2 7 2 5 2" xfId="34556" xr:uid="{00000000-0005-0000-0000-00002C870000}"/>
    <cellStyle name="检查单元格 2 2 7 2 6" xfId="34560" xr:uid="{00000000-0005-0000-0000-000030870000}"/>
    <cellStyle name="检查单元格 2 2 7 2 7" xfId="34562" xr:uid="{00000000-0005-0000-0000-000032870000}"/>
    <cellStyle name="检查单元格 2 2 7 2 8" xfId="34563" xr:uid="{00000000-0005-0000-0000-000033870000}"/>
    <cellStyle name="检查单元格 2 2 7 2 9" xfId="34565" xr:uid="{00000000-0005-0000-0000-000035870000}"/>
    <cellStyle name="检查单元格 2 2 7 3" xfId="30349" xr:uid="{00000000-0005-0000-0000-0000BD760000}"/>
    <cellStyle name="检查单元格 2 2 7 3 2" xfId="34567" xr:uid="{00000000-0005-0000-0000-000037870000}"/>
    <cellStyle name="检查单元格 2 2 7 3 2 2" xfId="34571" xr:uid="{00000000-0005-0000-0000-00003B870000}"/>
    <cellStyle name="检查单元格 2 2 7 3 3" xfId="34573" xr:uid="{00000000-0005-0000-0000-00003D870000}"/>
    <cellStyle name="检查单元格 2 2 7 3 3 2" xfId="34576" xr:uid="{00000000-0005-0000-0000-000040870000}"/>
    <cellStyle name="检查单元格 2 2 7 3 4" xfId="34578" xr:uid="{00000000-0005-0000-0000-000042870000}"/>
    <cellStyle name="检查单元格 2 2 7 3 4 2" xfId="34582" xr:uid="{00000000-0005-0000-0000-000046870000}"/>
    <cellStyle name="检查单元格 2 2 7 3 5" xfId="34584" xr:uid="{00000000-0005-0000-0000-000048870000}"/>
    <cellStyle name="检查单元格 2 2 7 3 5 2" xfId="34586" xr:uid="{00000000-0005-0000-0000-00004A870000}"/>
    <cellStyle name="检查单元格 2 2 7 3 6" xfId="34589" xr:uid="{00000000-0005-0000-0000-00004D870000}"/>
    <cellStyle name="检查单元格 2 2 7 4" xfId="22076" xr:uid="{00000000-0005-0000-0000-00006C560000}"/>
    <cellStyle name="检查单元格 2 2 7 4 2" xfId="34592" xr:uid="{00000000-0005-0000-0000-000050870000}"/>
    <cellStyle name="检查单元格 2 2 7 4 2 2" xfId="34596" xr:uid="{00000000-0005-0000-0000-000054870000}"/>
    <cellStyle name="检查单元格 2 2 7 4 3" xfId="34598" xr:uid="{00000000-0005-0000-0000-000056870000}"/>
    <cellStyle name="检查单元格 2 2 7 4 3 2" xfId="34601" xr:uid="{00000000-0005-0000-0000-000059870000}"/>
    <cellStyle name="检查单元格 2 2 7 4 4" xfId="34603" xr:uid="{00000000-0005-0000-0000-00005B870000}"/>
    <cellStyle name="检查单元格 2 2 7 4 4 2" xfId="34607" xr:uid="{00000000-0005-0000-0000-00005F870000}"/>
    <cellStyle name="检查单元格 2 2 7 4 5" xfId="34609" xr:uid="{00000000-0005-0000-0000-000061870000}"/>
    <cellStyle name="检查单元格 2 2 7 4 5 2" xfId="34611" xr:uid="{00000000-0005-0000-0000-000063870000}"/>
    <cellStyle name="检查单元格 2 2 7 4 6" xfId="34614" xr:uid="{00000000-0005-0000-0000-000066870000}"/>
    <cellStyle name="检查单元格 2 2 7 5" xfId="34617" xr:uid="{00000000-0005-0000-0000-000069870000}"/>
    <cellStyle name="检查单元格 2 2 7 5 2" xfId="34621" xr:uid="{00000000-0005-0000-0000-00006D870000}"/>
    <cellStyle name="检查单元格 2 2 7 5 2 2" xfId="34625" xr:uid="{00000000-0005-0000-0000-000071870000}"/>
    <cellStyle name="检查单元格 2 2 7 5 3" xfId="34627" xr:uid="{00000000-0005-0000-0000-000073870000}"/>
    <cellStyle name="检查单元格 2 2 7 5 3 2" xfId="34630" xr:uid="{00000000-0005-0000-0000-000076870000}"/>
    <cellStyle name="检查单元格 2 2 7 5 4" xfId="27933" xr:uid="{00000000-0005-0000-0000-00004D6D0000}"/>
    <cellStyle name="检查单元格 2 2 7 5 4 2" xfId="34633" xr:uid="{00000000-0005-0000-0000-000079870000}"/>
    <cellStyle name="检查单元格 2 2 7 5 5" xfId="34635" xr:uid="{00000000-0005-0000-0000-00007B870000}"/>
    <cellStyle name="检查单元格 2 2 7 6" xfId="34638" xr:uid="{00000000-0005-0000-0000-00007E870000}"/>
    <cellStyle name="检查单元格 2 2 7 6 2" xfId="34643" xr:uid="{00000000-0005-0000-0000-000083870000}"/>
    <cellStyle name="检查单元格 2 2 7 7" xfId="34647" xr:uid="{00000000-0005-0000-0000-000087870000}"/>
    <cellStyle name="检查单元格 2 2 7 7 2" xfId="34650" xr:uid="{00000000-0005-0000-0000-00008A870000}"/>
    <cellStyle name="检查单元格 2 2 7 8" xfId="34653" xr:uid="{00000000-0005-0000-0000-00008D870000}"/>
    <cellStyle name="检查单元格 2 2 7 8 2" xfId="34655" xr:uid="{00000000-0005-0000-0000-00008F870000}"/>
    <cellStyle name="检查单元格 2 2 7 9" xfId="34657" xr:uid="{00000000-0005-0000-0000-000091870000}"/>
    <cellStyle name="检查单元格 2 2 7 9 2" xfId="34659" xr:uid="{00000000-0005-0000-0000-000093870000}"/>
    <cellStyle name="检查单元格 2 2 8" xfId="34662" xr:uid="{00000000-0005-0000-0000-000096870000}"/>
    <cellStyle name="检查单元格 2 2 8 2" xfId="10176" xr:uid="{00000000-0005-0000-0000-0000F0270000}"/>
    <cellStyle name="检查单元格 2 2 8 2 2" xfId="34663" xr:uid="{00000000-0005-0000-0000-000097870000}"/>
    <cellStyle name="检查单元格 2 2 8 2 2 2" xfId="34667" xr:uid="{00000000-0005-0000-0000-00009B870000}"/>
    <cellStyle name="检查单元格 2 2 8 2 3" xfId="34670" xr:uid="{00000000-0005-0000-0000-00009E870000}"/>
    <cellStyle name="检查单元格 2 2 8 2 3 2" xfId="25826" xr:uid="{00000000-0005-0000-0000-000012650000}"/>
    <cellStyle name="检查单元格 2 2 8 2 4" xfId="34673" xr:uid="{00000000-0005-0000-0000-0000A1870000}"/>
    <cellStyle name="检查单元格 2 2 8 2 4 2" xfId="26005" xr:uid="{00000000-0005-0000-0000-0000C5650000}"/>
    <cellStyle name="检查单元格 2 2 8 2 5" xfId="34676" xr:uid="{00000000-0005-0000-0000-0000A4870000}"/>
    <cellStyle name="检查单元格 2 2 8 2 5 2" xfId="26141" xr:uid="{00000000-0005-0000-0000-00004D660000}"/>
    <cellStyle name="检查单元格 2 2 8 2 6" xfId="34678" xr:uid="{00000000-0005-0000-0000-0000A6870000}"/>
    <cellStyle name="检查单元格 2 2 8 2 7" xfId="34680" xr:uid="{00000000-0005-0000-0000-0000A8870000}"/>
    <cellStyle name="检查单元格 2 2 8 2 8" xfId="34682" xr:uid="{00000000-0005-0000-0000-0000AA870000}"/>
    <cellStyle name="检查单元格 2 2 8 2 9" xfId="34684" xr:uid="{00000000-0005-0000-0000-0000AC870000}"/>
    <cellStyle name="检查单元格 2 2 8 3" xfId="20272" xr:uid="{00000000-0005-0000-0000-0000604F0000}"/>
    <cellStyle name="检查单元格 2 2 8 3 2" xfId="34686" xr:uid="{00000000-0005-0000-0000-0000AE870000}"/>
    <cellStyle name="检查单元格 2 2 8 3 2 2" xfId="34688" xr:uid="{00000000-0005-0000-0000-0000B0870000}"/>
    <cellStyle name="检查单元格 2 2 8 3 3" xfId="34689" xr:uid="{00000000-0005-0000-0000-0000B1870000}"/>
    <cellStyle name="检查单元格 2 2 8 3 3 2" xfId="26892" xr:uid="{00000000-0005-0000-0000-00003C690000}"/>
    <cellStyle name="检查单元格 2 2 8 3 4" xfId="34690" xr:uid="{00000000-0005-0000-0000-0000B2870000}"/>
    <cellStyle name="检查单元格 2 2 8 3 4 2" xfId="26903" xr:uid="{00000000-0005-0000-0000-000047690000}"/>
    <cellStyle name="检查单元格 2 2 8 3 5" xfId="34693" xr:uid="{00000000-0005-0000-0000-0000B5870000}"/>
    <cellStyle name="检查单元格 2 2 8 3 5 2" xfId="26910" xr:uid="{00000000-0005-0000-0000-00004E690000}"/>
    <cellStyle name="检查单元格 2 2 8 3 6" xfId="34694" xr:uid="{00000000-0005-0000-0000-0000B6870000}"/>
    <cellStyle name="检查单元格 2 2 8 4" xfId="34696" xr:uid="{00000000-0005-0000-0000-0000B8870000}"/>
    <cellStyle name="检查单元格 2 2 8 4 2" xfId="34698" xr:uid="{00000000-0005-0000-0000-0000BA870000}"/>
    <cellStyle name="检查单元格 2 2 8 4 2 2" xfId="34700" xr:uid="{00000000-0005-0000-0000-0000BC870000}"/>
    <cellStyle name="检查单元格 2 2 8 4 3" xfId="34701" xr:uid="{00000000-0005-0000-0000-0000BD870000}"/>
    <cellStyle name="检查单元格 2 2 8 4 3 2" xfId="34703" xr:uid="{00000000-0005-0000-0000-0000BF870000}"/>
    <cellStyle name="检查单元格 2 2 8 4 4" xfId="34704" xr:uid="{00000000-0005-0000-0000-0000C0870000}"/>
    <cellStyle name="检查单元格 2 2 8 4 4 2" xfId="34707" xr:uid="{00000000-0005-0000-0000-0000C3870000}"/>
    <cellStyle name="检查单元格 2 2 8 4 5" xfId="34709" xr:uid="{00000000-0005-0000-0000-0000C5870000}"/>
    <cellStyle name="检查单元格 2 2 8 4 5 2" xfId="34710" xr:uid="{00000000-0005-0000-0000-0000C6870000}"/>
    <cellStyle name="检查单元格 2 2 8 4 6" xfId="34711" xr:uid="{00000000-0005-0000-0000-0000C7870000}"/>
    <cellStyle name="检查单元格 2 2 8 5" xfId="34713" xr:uid="{00000000-0005-0000-0000-0000C9870000}"/>
    <cellStyle name="检查单元格 2 2 8 5 2" xfId="34715" xr:uid="{00000000-0005-0000-0000-0000CB870000}"/>
    <cellStyle name="检查单元格 2 2 8 5 2 2" xfId="34717" xr:uid="{00000000-0005-0000-0000-0000CD870000}"/>
    <cellStyle name="检查单元格 2 2 8 5 3" xfId="34718" xr:uid="{00000000-0005-0000-0000-0000CE870000}"/>
    <cellStyle name="检查单元格 2 2 8 5 3 2" xfId="34720" xr:uid="{00000000-0005-0000-0000-0000D0870000}"/>
    <cellStyle name="检查单元格 2 2 8 5 4" xfId="27944" xr:uid="{00000000-0005-0000-0000-0000586D0000}"/>
    <cellStyle name="检查单元格 2 2 8 5 4 2" xfId="34722" xr:uid="{00000000-0005-0000-0000-0000D2870000}"/>
    <cellStyle name="检查单元格 2 2 8 5 5" xfId="34724" xr:uid="{00000000-0005-0000-0000-0000D4870000}"/>
    <cellStyle name="检查单元格 2 2 8 6" xfId="34726" xr:uid="{00000000-0005-0000-0000-0000D6870000}"/>
    <cellStyle name="检查单元格 2 2 8 7" xfId="34729" xr:uid="{00000000-0005-0000-0000-0000D9870000}"/>
    <cellStyle name="检查单元格 2 2 8 8" xfId="34730" xr:uid="{00000000-0005-0000-0000-0000DA870000}"/>
    <cellStyle name="检查单元格 2 2 9" xfId="34733" xr:uid="{00000000-0005-0000-0000-0000DD870000}"/>
    <cellStyle name="检查单元格 2 2 9 2" xfId="34735" xr:uid="{00000000-0005-0000-0000-0000DF870000}"/>
    <cellStyle name="检查单元格 2 2 9 2 2" xfId="15919" xr:uid="{00000000-0005-0000-0000-00005F3E0000}"/>
    <cellStyle name="检查单元格 2 2 9 3" xfId="34737" xr:uid="{00000000-0005-0000-0000-0000E1870000}"/>
    <cellStyle name="检查单元格 2 2 9 3 2" xfId="15947" xr:uid="{00000000-0005-0000-0000-00007B3E0000}"/>
    <cellStyle name="检查单元格 2 2 9 4" xfId="34739" xr:uid="{00000000-0005-0000-0000-0000E3870000}"/>
    <cellStyle name="检查单元格 2 2 9 4 2" xfId="15971" xr:uid="{00000000-0005-0000-0000-0000933E0000}"/>
    <cellStyle name="检查单元格 2 2 9 5" xfId="34741" xr:uid="{00000000-0005-0000-0000-0000E5870000}"/>
    <cellStyle name="检查单元格 2 2 9 5 2" xfId="16009" xr:uid="{00000000-0005-0000-0000-0000B93E0000}"/>
    <cellStyle name="检查单元格 2 2 9 6" xfId="34743" xr:uid="{00000000-0005-0000-0000-0000E7870000}"/>
    <cellStyle name="检查单元格 2 3" xfId="10232" xr:uid="{00000000-0005-0000-0000-000028280000}"/>
    <cellStyle name="检查单元格 2 3 10" xfId="12298" xr:uid="{00000000-0005-0000-0000-00003A300000}"/>
    <cellStyle name="检查单元格 2 3 10 2" xfId="12308" xr:uid="{00000000-0005-0000-0000-000044300000}"/>
    <cellStyle name="检查单元格 2 3 10 2 2" xfId="34746" xr:uid="{00000000-0005-0000-0000-0000EA870000}"/>
    <cellStyle name="检查单元格 2 3 10 3" xfId="8900" xr:uid="{00000000-0005-0000-0000-0000F4220000}"/>
    <cellStyle name="检查单元格 2 3 10 3 2" xfId="12598" xr:uid="{00000000-0005-0000-0000-000066310000}"/>
    <cellStyle name="检查单元格 2 3 10 4" xfId="12600" xr:uid="{00000000-0005-0000-0000-000068310000}"/>
    <cellStyle name="检查单元格 2 3 10 4 2" xfId="12604" xr:uid="{00000000-0005-0000-0000-00006C310000}"/>
    <cellStyle name="检查单元格 2 3 10 5" xfId="12612" xr:uid="{00000000-0005-0000-0000-000074310000}"/>
    <cellStyle name="检查单元格 2 3 10 5 2" xfId="12626" xr:uid="{00000000-0005-0000-0000-000082310000}"/>
    <cellStyle name="检查单元格 2 3 10 6" xfId="12635" xr:uid="{00000000-0005-0000-0000-00008B310000}"/>
    <cellStyle name="检查单元格 2 3 11" xfId="12311" xr:uid="{00000000-0005-0000-0000-000047300000}"/>
    <cellStyle name="检查单元格 2 3 11 2" xfId="12320" xr:uid="{00000000-0005-0000-0000-000050300000}"/>
    <cellStyle name="检查单元格 2 3 11 2 2" xfId="21268" xr:uid="{00000000-0005-0000-0000-000044530000}"/>
    <cellStyle name="检查单元格 2 3 11 3" xfId="8911" xr:uid="{00000000-0005-0000-0000-0000FF220000}"/>
    <cellStyle name="检查单元格 2 3 11 3 2" xfId="12655" xr:uid="{00000000-0005-0000-0000-00009F310000}"/>
    <cellStyle name="检查单元格 2 3 11 4" xfId="12657" xr:uid="{00000000-0005-0000-0000-0000A1310000}"/>
    <cellStyle name="检查单元格 2 3 11 4 2" xfId="12659" xr:uid="{00000000-0005-0000-0000-0000A3310000}"/>
    <cellStyle name="检查单元格 2 3 11 5" xfId="12665" xr:uid="{00000000-0005-0000-0000-0000A9310000}"/>
    <cellStyle name="检查单元格 2 3 11 5 2" xfId="1252" xr:uid="{00000000-0005-0000-0000-000014050000}"/>
    <cellStyle name="检查单元格 2 3 11 6" xfId="12675" xr:uid="{00000000-0005-0000-0000-0000B3310000}"/>
    <cellStyle name="检查单元格 2 3 12" xfId="10445" xr:uid="{00000000-0005-0000-0000-0000FD280000}"/>
    <cellStyle name="检查单元格 2 3 12 2" xfId="34747" xr:uid="{00000000-0005-0000-0000-0000EB870000}"/>
    <cellStyle name="检查单元格 2 3 12 2 2" xfId="34748" xr:uid="{00000000-0005-0000-0000-0000EC870000}"/>
    <cellStyle name="检查单元格 2 3 12 3" xfId="12682" xr:uid="{00000000-0005-0000-0000-0000BA310000}"/>
    <cellStyle name="检查单元格 2 3 12 3 2" xfId="12684" xr:uid="{00000000-0005-0000-0000-0000BC310000}"/>
    <cellStyle name="检查单元格 2 3 12 4" xfId="12686" xr:uid="{00000000-0005-0000-0000-0000BE310000}"/>
    <cellStyle name="检查单元格 2 3 12 4 2" xfId="204" xr:uid="{00000000-0005-0000-0000-0000DD000000}"/>
    <cellStyle name="检查单元格 2 3 12 5" xfId="12691" xr:uid="{00000000-0005-0000-0000-0000C3310000}"/>
    <cellStyle name="检查单元格 2 3 13" xfId="34749" xr:uid="{00000000-0005-0000-0000-0000ED870000}"/>
    <cellStyle name="检查单元格 2 3 13 2" xfId="34750" xr:uid="{00000000-0005-0000-0000-0000EE870000}"/>
    <cellStyle name="检查单元格 2 3 14" xfId="34751" xr:uid="{00000000-0005-0000-0000-0000EF870000}"/>
    <cellStyle name="检查单元格 2 3 14 2" xfId="34753" xr:uid="{00000000-0005-0000-0000-0000F1870000}"/>
    <cellStyle name="检查单元格 2 3 15" xfId="4910" xr:uid="{00000000-0005-0000-0000-00005E130000}"/>
    <cellStyle name="检查单元格 2 3 15 2" xfId="34754" xr:uid="{00000000-0005-0000-0000-0000F2870000}"/>
    <cellStyle name="检查单元格 2 3 16" xfId="9845" xr:uid="{00000000-0005-0000-0000-0000A5260000}"/>
    <cellStyle name="检查单元格 2 3 16 2" xfId="34755" xr:uid="{00000000-0005-0000-0000-0000F3870000}"/>
    <cellStyle name="检查单元格 2 3 17" xfId="34757" xr:uid="{00000000-0005-0000-0000-0000F5870000}"/>
    <cellStyle name="检查单元格 2 3 18" xfId="34760" xr:uid="{00000000-0005-0000-0000-0000F8870000}"/>
    <cellStyle name="检查单元格 2 3 19" xfId="34763" xr:uid="{00000000-0005-0000-0000-0000FB870000}"/>
    <cellStyle name="检查单元格 2 3 2" xfId="34764" xr:uid="{00000000-0005-0000-0000-0000FC870000}"/>
    <cellStyle name="检查单元格 2 3 2 10" xfId="34765" xr:uid="{00000000-0005-0000-0000-0000FD870000}"/>
    <cellStyle name="检查单元格 2 3 2 11" xfId="22302" xr:uid="{00000000-0005-0000-0000-00004E570000}"/>
    <cellStyle name="检查单元格 2 3 2 12" xfId="34767" xr:uid="{00000000-0005-0000-0000-0000FF870000}"/>
    <cellStyle name="检查单元格 2 3 2 13" xfId="34769" xr:uid="{00000000-0005-0000-0000-000001880000}"/>
    <cellStyle name="检查单元格 2 3 2 2" xfId="9429" xr:uid="{00000000-0005-0000-0000-000005250000}"/>
    <cellStyle name="检查单元格 2 3 2 2 2" xfId="34771" xr:uid="{00000000-0005-0000-0000-000003880000}"/>
    <cellStyle name="检查单元格 2 3 2 2 2 2" xfId="34773" xr:uid="{00000000-0005-0000-0000-000005880000}"/>
    <cellStyle name="检查单元格 2 3 2 2 3" xfId="34775" xr:uid="{00000000-0005-0000-0000-000007880000}"/>
    <cellStyle name="检查单元格 2 3 2 2 3 2" xfId="34777" xr:uid="{00000000-0005-0000-0000-000009880000}"/>
    <cellStyle name="检查单元格 2 3 2 2 4" xfId="34779" xr:uid="{00000000-0005-0000-0000-00000B880000}"/>
    <cellStyle name="检查单元格 2 3 2 2 4 2" xfId="21309" xr:uid="{00000000-0005-0000-0000-00006D530000}"/>
    <cellStyle name="检查单元格 2 3 2 2 5" xfId="34781" xr:uid="{00000000-0005-0000-0000-00000D880000}"/>
    <cellStyle name="检查单元格 2 3 2 2 5 2" xfId="21533" xr:uid="{00000000-0005-0000-0000-00004D540000}"/>
    <cellStyle name="检查单元格 2 3 2 2 6" xfId="34783" xr:uid="{00000000-0005-0000-0000-00000F880000}"/>
    <cellStyle name="检查单元格 2 3 2 2 7" xfId="34785" xr:uid="{00000000-0005-0000-0000-000011880000}"/>
    <cellStyle name="检查单元格 2 3 2 2 8" xfId="34786" xr:uid="{00000000-0005-0000-0000-000012880000}"/>
    <cellStyle name="检查单元格 2 3 2 2 9" xfId="34788" xr:uid="{00000000-0005-0000-0000-000014880000}"/>
    <cellStyle name="检查单元格 2 3 2 3" xfId="2867" xr:uid="{00000000-0005-0000-0000-0000630B0000}"/>
    <cellStyle name="检查单元格 2 3 2 3 2" xfId="34789" xr:uid="{00000000-0005-0000-0000-000015880000}"/>
    <cellStyle name="检查单元格 2 3 2 3 2 2" xfId="14492" xr:uid="{00000000-0005-0000-0000-0000CC380000}"/>
    <cellStyle name="检查单元格 2 3 2 3 3" xfId="32649" xr:uid="{00000000-0005-0000-0000-0000B97F0000}"/>
    <cellStyle name="检查单元格 2 3 2 3 3 2" xfId="14528" xr:uid="{00000000-0005-0000-0000-0000F0380000}"/>
    <cellStyle name="检查单元格 2 3 2 3 4" xfId="34792" xr:uid="{00000000-0005-0000-0000-000018880000}"/>
    <cellStyle name="检查单元格 2 3 2 3 4 2" xfId="14564" xr:uid="{00000000-0005-0000-0000-000014390000}"/>
    <cellStyle name="检查单元格 2 3 2 3 5" xfId="34794" xr:uid="{00000000-0005-0000-0000-00001A880000}"/>
    <cellStyle name="检查单元格 2 3 2 3 5 2" xfId="20522" xr:uid="{00000000-0005-0000-0000-00005A500000}"/>
    <cellStyle name="检查单元格 2 3 2 3 6" xfId="34796" xr:uid="{00000000-0005-0000-0000-00001C880000}"/>
    <cellStyle name="检查单元格 2 3 2 4" xfId="31723" xr:uid="{00000000-0005-0000-0000-00001B7C0000}"/>
    <cellStyle name="检查单元格 2 3 2 4 2" xfId="34798" xr:uid="{00000000-0005-0000-0000-00001E880000}"/>
    <cellStyle name="检查单元格 2 3 2 4 2 2" xfId="34801" xr:uid="{00000000-0005-0000-0000-000021880000}"/>
    <cellStyle name="检查单元格 2 3 2 4 3" xfId="32653" xr:uid="{00000000-0005-0000-0000-0000BD7F0000}"/>
    <cellStyle name="检查单元格 2 3 2 4 3 2" xfId="34803" xr:uid="{00000000-0005-0000-0000-000023880000}"/>
    <cellStyle name="检查单元格 2 3 2 4 4" xfId="34805" xr:uid="{00000000-0005-0000-0000-000025880000}"/>
    <cellStyle name="检查单元格 2 3 2 4 4 2" xfId="34807" xr:uid="{00000000-0005-0000-0000-000027880000}"/>
    <cellStyle name="检查单元格 2 3 2 4 5" xfId="34809" xr:uid="{00000000-0005-0000-0000-000029880000}"/>
    <cellStyle name="检查单元格 2 3 2 4 5 2" xfId="34811" xr:uid="{00000000-0005-0000-0000-00002B880000}"/>
    <cellStyle name="检查单元格 2 3 2 4 6" xfId="34813" xr:uid="{00000000-0005-0000-0000-00002D880000}"/>
    <cellStyle name="检查单元格 2 3 2 5" xfId="34817" xr:uid="{00000000-0005-0000-0000-000031880000}"/>
    <cellStyle name="检查单元格 2 3 2 5 2" xfId="34820" xr:uid="{00000000-0005-0000-0000-000034880000}"/>
    <cellStyle name="检查单元格 2 3 2 5 2 2" xfId="34823" xr:uid="{00000000-0005-0000-0000-000037880000}"/>
    <cellStyle name="检查单元格 2 3 2 5 3" xfId="32657" xr:uid="{00000000-0005-0000-0000-0000C17F0000}"/>
    <cellStyle name="检查单元格 2 3 2 5 3 2" xfId="34825" xr:uid="{00000000-0005-0000-0000-000039880000}"/>
    <cellStyle name="检查单元格 2 3 2 5 4" xfId="27975" xr:uid="{00000000-0005-0000-0000-0000776D0000}"/>
    <cellStyle name="检查单元格 2 3 2 5 4 2" xfId="34827" xr:uid="{00000000-0005-0000-0000-00003B880000}"/>
    <cellStyle name="检查单元格 2 3 2 5 5" xfId="34829" xr:uid="{00000000-0005-0000-0000-00003D880000}"/>
    <cellStyle name="检查单元格 2 3 2 6" xfId="34831" xr:uid="{00000000-0005-0000-0000-00003F880000}"/>
    <cellStyle name="检查单元格 2 3 2 6 2" xfId="34834" xr:uid="{00000000-0005-0000-0000-000042880000}"/>
    <cellStyle name="检查单元格 2 3 2 7" xfId="13746" xr:uid="{00000000-0005-0000-0000-0000E2350000}"/>
    <cellStyle name="检查单元格 2 3 2 7 2" xfId="17708" xr:uid="{00000000-0005-0000-0000-00005C450000}"/>
    <cellStyle name="检查单元格 2 3 2 8" xfId="17712" xr:uid="{00000000-0005-0000-0000-000060450000}"/>
    <cellStyle name="检查单元格 2 3 2 8 2" xfId="10896" xr:uid="{00000000-0005-0000-0000-0000C02A0000}"/>
    <cellStyle name="检查单元格 2 3 2 9" xfId="17715" xr:uid="{00000000-0005-0000-0000-000063450000}"/>
    <cellStyle name="检查单元格 2 3 2 9 2" xfId="17717" xr:uid="{00000000-0005-0000-0000-000065450000}"/>
    <cellStyle name="检查单元格 2 3 20" xfId="4911" xr:uid="{00000000-0005-0000-0000-00005F130000}"/>
    <cellStyle name="检查单元格 2 3 3" xfId="34837" xr:uid="{00000000-0005-0000-0000-000045880000}"/>
    <cellStyle name="检查单元格 2 3 3 10" xfId="34838" xr:uid="{00000000-0005-0000-0000-000046880000}"/>
    <cellStyle name="检查单元格 2 3 3 11" xfId="34839" xr:uid="{00000000-0005-0000-0000-000047880000}"/>
    <cellStyle name="检查单元格 2 3 3 12" xfId="15502" xr:uid="{00000000-0005-0000-0000-0000BE3C0000}"/>
    <cellStyle name="检查单元格 2 3 3 13" xfId="23172" xr:uid="{00000000-0005-0000-0000-0000B45A0000}"/>
    <cellStyle name="检查单元格 2 3 3 2" xfId="34840" xr:uid="{00000000-0005-0000-0000-000048880000}"/>
    <cellStyle name="检查单元格 2 3 3 2 2" xfId="34841" xr:uid="{00000000-0005-0000-0000-000049880000}"/>
    <cellStyle name="检查单元格 2 3 3 2 2 2" xfId="34842" xr:uid="{00000000-0005-0000-0000-00004A880000}"/>
    <cellStyle name="检查单元格 2 3 3 2 3" xfId="34844" xr:uid="{00000000-0005-0000-0000-00004C880000}"/>
    <cellStyle name="检查单元格 2 3 3 2 3 2" xfId="34845" xr:uid="{00000000-0005-0000-0000-00004D880000}"/>
    <cellStyle name="检查单元格 2 3 3 2 4" xfId="34846" xr:uid="{00000000-0005-0000-0000-00004E880000}"/>
    <cellStyle name="检查单元格 2 3 3 2 4 2" xfId="34847" xr:uid="{00000000-0005-0000-0000-00004F880000}"/>
    <cellStyle name="检查单元格 2 3 3 2 5" xfId="34848" xr:uid="{00000000-0005-0000-0000-000050880000}"/>
    <cellStyle name="检查单元格 2 3 3 2 5 2" xfId="34849" xr:uid="{00000000-0005-0000-0000-000051880000}"/>
    <cellStyle name="检查单元格 2 3 3 2 6" xfId="34465" xr:uid="{00000000-0005-0000-0000-0000D1860000}"/>
    <cellStyle name="检查单元格 2 3 3 2 7" xfId="34850" xr:uid="{00000000-0005-0000-0000-000052880000}"/>
    <cellStyle name="检查单元格 2 3 3 2 8" xfId="34851" xr:uid="{00000000-0005-0000-0000-000053880000}"/>
    <cellStyle name="检查单元格 2 3 3 2 9" xfId="34853" xr:uid="{00000000-0005-0000-0000-000055880000}"/>
    <cellStyle name="检查单元格 2 3 3 3" xfId="9174" xr:uid="{00000000-0005-0000-0000-000006240000}"/>
    <cellStyle name="检查单元格 2 3 3 3 2" xfId="34854" xr:uid="{00000000-0005-0000-0000-000056880000}"/>
    <cellStyle name="检查单元格 2 3 3 3 2 2" xfId="34855" xr:uid="{00000000-0005-0000-0000-000057880000}"/>
    <cellStyle name="检查单元格 2 3 3 3 3" xfId="32664" xr:uid="{00000000-0005-0000-0000-0000C87F0000}"/>
    <cellStyle name="检查单元格 2 3 3 3 3 2" xfId="34857" xr:uid="{00000000-0005-0000-0000-000059880000}"/>
    <cellStyle name="检查单元格 2 3 3 3 4" xfId="34859" xr:uid="{00000000-0005-0000-0000-00005B880000}"/>
    <cellStyle name="检查单元格 2 3 3 3 4 2" xfId="34860" xr:uid="{00000000-0005-0000-0000-00005C880000}"/>
    <cellStyle name="检查单元格 2 3 3 3 5" xfId="34862" xr:uid="{00000000-0005-0000-0000-00005E880000}"/>
    <cellStyle name="检查单元格 2 3 3 3 5 2" xfId="34863" xr:uid="{00000000-0005-0000-0000-00005F880000}"/>
    <cellStyle name="检查单元格 2 3 3 3 6" xfId="34467" xr:uid="{00000000-0005-0000-0000-0000D3860000}"/>
    <cellStyle name="检查单元格 2 3 3 4" xfId="31729" xr:uid="{00000000-0005-0000-0000-0000217C0000}"/>
    <cellStyle name="检查单元格 2 3 3 4 2" xfId="34865" xr:uid="{00000000-0005-0000-0000-000061880000}"/>
    <cellStyle name="检查单元格 2 3 3 4 2 2" xfId="34866" xr:uid="{00000000-0005-0000-0000-000062880000}"/>
    <cellStyle name="检查单元格 2 3 3 4 3" xfId="32667" xr:uid="{00000000-0005-0000-0000-0000CB7F0000}"/>
    <cellStyle name="检查单元格 2 3 3 4 3 2" xfId="34867" xr:uid="{00000000-0005-0000-0000-000063880000}"/>
    <cellStyle name="检查单元格 2 3 3 4 4" xfId="34868" xr:uid="{00000000-0005-0000-0000-000064880000}"/>
    <cellStyle name="检查单元格 2 3 3 4 4 2" xfId="34869" xr:uid="{00000000-0005-0000-0000-000065880000}"/>
    <cellStyle name="检查单元格 2 3 3 4 5" xfId="34870" xr:uid="{00000000-0005-0000-0000-000066880000}"/>
    <cellStyle name="检查单元格 2 3 3 4 5 2" xfId="34871" xr:uid="{00000000-0005-0000-0000-000067880000}"/>
    <cellStyle name="检查单元格 2 3 3 4 6" xfId="34471" xr:uid="{00000000-0005-0000-0000-0000D7860000}"/>
    <cellStyle name="检查单元格 2 3 3 5" xfId="34872" xr:uid="{00000000-0005-0000-0000-000068880000}"/>
    <cellStyle name="检查单元格 2 3 3 5 2" xfId="34873" xr:uid="{00000000-0005-0000-0000-000069880000}"/>
    <cellStyle name="检查单元格 2 3 3 5 2 2" xfId="14772" xr:uid="{00000000-0005-0000-0000-0000E4390000}"/>
    <cellStyle name="检查单元格 2 3 3 5 3" xfId="32670" xr:uid="{00000000-0005-0000-0000-0000CE7F0000}"/>
    <cellStyle name="检查单元格 2 3 3 5 3 2" xfId="34874" xr:uid="{00000000-0005-0000-0000-00006A880000}"/>
    <cellStyle name="检查单元格 2 3 3 5 4" xfId="27995" xr:uid="{00000000-0005-0000-0000-00008B6D0000}"/>
    <cellStyle name="检查单元格 2 3 3 5 4 2" xfId="34875" xr:uid="{00000000-0005-0000-0000-00006B880000}"/>
    <cellStyle name="检查单元格 2 3 3 5 5" xfId="34876" xr:uid="{00000000-0005-0000-0000-00006C880000}"/>
    <cellStyle name="检查单元格 2 3 3 6" xfId="34877" xr:uid="{00000000-0005-0000-0000-00006D880000}"/>
    <cellStyle name="检查单元格 2 3 3 6 2" xfId="34878" xr:uid="{00000000-0005-0000-0000-00006E880000}"/>
    <cellStyle name="检查单元格 2 3 3 7" xfId="17730" xr:uid="{00000000-0005-0000-0000-000072450000}"/>
    <cellStyle name="检查单元格 2 3 3 7 2" xfId="17733" xr:uid="{00000000-0005-0000-0000-000075450000}"/>
    <cellStyle name="检查单元格 2 3 3 8" xfId="17736" xr:uid="{00000000-0005-0000-0000-000078450000}"/>
    <cellStyle name="检查单元格 2 3 3 8 2" xfId="15622" xr:uid="{00000000-0005-0000-0000-0000363D0000}"/>
    <cellStyle name="检查单元格 2 3 3 9" xfId="17738" xr:uid="{00000000-0005-0000-0000-00007A450000}"/>
    <cellStyle name="检查单元格 2 3 3 9 2" xfId="17740" xr:uid="{00000000-0005-0000-0000-00007C450000}"/>
    <cellStyle name="检查单元格 2 3 4" xfId="26217" xr:uid="{00000000-0005-0000-0000-000099660000}"/>
    <cellStyle name="检查单元格 2 3 4 10" xfId="34879" xr:uid="{00000000-0005-0000-0000-00006F880000}"/>
    <cellStyle name="检查单元格 2 3 4 11" xfId="34881" xr:uid="{00000000-0005-0000-0000-000071880000}"/>
    <cellStyle name="检查单元格 2 3 4 12" xfId="34883" xr:uid="{00000000-0005-0000-0000-000073880000}"/>
    <cellStyle name="检查单元格 2 3 4 13" xfId="34885" xr:uid="{00000000-0005-0000-0000-000075880000}"/>
    <cellStyle name="检查单元格 2 3 4 2" xfId="34886" xr:uid="{00000000-0005-0000-0000-000076880000}"/>
    <cellStyle name="检查单元格 2 3 4 2 2" xfId="21688" xr:uid="{00000000-0005-0000-0000-0000E8540000}"/>
    <cellStyle name="检查单元格 2 3 4 2 2 2" xfId="21690" xr:uid="{00000000-0005-0000-0000-0000EA540000}"/>
    <cellStyle name="检查单元格 2 3 4 2 3" xfId="21692" xr:uid="{00000000-0005-0000-0000-0000EC540000}"/>
    <cellStyle name="检查单元格 2 3 4 2 3 2" xfId="21694" xr:uid="{00000000-0005-0000-0000-0000EE540000}"/>
    <cellStyle name="检查单元格 2 3 4 2 4" xfId="21696" xr:uid="{00000000-0005-0000-0000-0000F0540000}"/>
    <cellStyle name="检查单元格 2 3 4 2 4 2" xfId="34887" xr:uid="{00000000-0005-0000-0000-000077880000}"/>
    <cellStyle name="检查单元格 2 3 4 2 5" xfId="34888" xr:uid="{00000000-0005-0000-0000-000078880000}"/>
    <cellStyle name="检查单元格 2 3 4 2 5 2" xfId="34890" xr:uid="{00000000-0005-0000-0000-00007A880000}"/>
    <cellStyle name="检查单元格 2 3 4 2 6" xfId="34480" xr:uid="{00000000-0005-0000-0000-0000E0860000}"/>
    <cellStyle name="检查单元格 2 3 4 2 7" xfId="34891" xr:uid="{00000000-0005-0000-0000-00007B880000}"/>
    <cellStyle name="检查单元格 2 3 4 2 8" xfId="34893" xr:uid="{00000000-0005-0000-0000-00007D880000}"/>
    <cellStyle name="检查单元格 2 3 4 2 9" xfId="34895" xr:uid="{00000000-0005-0000-0000-00007F880000}"/>
    <cellStyle name="检查单元格 2 3 4 3" xfId="12778" xr:uid="{00000000-0005-0000-0000-00001A320000}"/>
    <cellStyle name="检查单元格 2 3 4 3 2" xfId="21701" xr:uid="{00000000-0005-0000-0000-0000F5540000}"/>
    <cellStyle name="检查单元格 2 3 4 3 2 2" xfId="18021" xr:uid="{00000000-0005-0000-0000-000095460000}"/>
    <cellStyle name="检查单元格 2 3 4 3 3" xfId="21704" xr:uid="{00000000-0005-0000-0000-0000F8540000}"/>
    <cellStyle name="检查单元格 2 3 4 3 3 2" xfId="21706" xr:uid="{00000000-0005-0000-0000-0000FA540000}"/>
    <cellStyle name="检查单元格 2 3 4 3 4" xfId="21708" xr:uid="{00000000-0005-0000-0000-0000FC540000}"/>
    <cellStyle name="检查单元格 2 3 4 3 4 2" xfId="34896" xr:uid="{00000000-0005-0000-0000-000080880000}"/>
    <cellStyle name="检查单元格 2 3 4 3 5" xfId="34897" xr:uid="{00000000-0005-0000-0000-000081880000}"/>
    <cellStyle name="检查单元格 2 3 4 3 5 2" xfId="34898" xr:uid="{00000000-0005-0000-0000-000082880000}"/>
    <cellStyle name="检查单元格 2 3 4 3 6" xfId="34482" xr:uid="{00000000-0005-0000-0000-0000E2860000}"/>
    <cellStyle name="检查单元格 2 3 4 4" xfId="22091" xr:uid="{00000000-0005-0000-0000-00007B560000}"/>
    <cellStyle name="检查单元格 2 3 4 4 2" xfId="21717" xr:uid="{00000000-0005-0000-0000-000005550000}"/>
    <cellStyle name="检查单元格 2 3 4 4 2 2" xfId="21719" xr:uid="{00000000-0005-0000-0000-000007550000}"/>
    <cellStyle name="检查单元格 2 3 4 4 3" xfId="21722" xr:uid="{00000000-0005-0000-0000-00000A550000}"/>
    <cellStyle name="检查单元格 2 3 4 4 3 2" xfId="21724" xr:uid="{00000000-0005-0000-0000-00000C550000}"/>
    <cellStyle name="检查单元格 2 3 4 4 4" xfId="21726" xr:uid="{00000000-0005-0000-0000-00000E550000}"/>
    <cellStyle name="检查单元格 2 3 4 4 4 2" xfId="34899" xr:uid="{00000000-0005-0000-0000-000083880000}"/>
    <cellStyle name="检查单元格 2 3 4 4 5" xfId="34900" xr:uid="{00000000-0005-0000-0000-000084880000}"/>
    <cellStyle name="检查单元格 2 3 4 4 5 2" xfId="34901" xr:uid="{00000000-0005-0000-0000-000085880000}"/>
    <cellStyle name="检查单元格 2 3 4 4 6" xfId="34486" xr:uid="{00000000-0005-0000-0000-0000E6860000}"/>
    <cellStyle name="检查单元格 2 3 4 5" xfId="34902" xr:uid="{00000000-0005-0000-0000-000086880000}"/>
    <cellStyle name="检查单元格 2 3 4 5 2" xfId="21740" xr:uid="{00000000-0005-0000-0000-00001C550000}"/>
    <cellStyle name="检查单元格 2 3 4 5 2 2" xfId="21743" xr:uid="{00000000-0005-0000-0000-00001F550000}"/>
    <cellStyle name="检查单元格 2 3 4 5 3" xfId="21746" xr:uid="{00000000-0005-0000-0000-000022550000}"/>
    <cellStyle name="检查单元格 2 3 4 5 3 2" xfId="21748" xr:uid="{00000000-0005-0000-0000-000024550000}"/>
    <cellStyle name="检查单元格 2 3 4 5 4" xfId="21751" xr:uid="{00000000-0005-0000-0000-000027550000}"/>
    <cellStyle name="检查单元格 2 3 4 5 4 2" xfId="34903" xr:uid="{00000000-0005-0000-0000-000087880000}"/>
    <cellStyle name="检查单元格 2 3 4 5 5" xfId="34904" xr:uid="{00000000-0005-0000-0000-000088880000}"/>
    <cellStyle name="检查单元格 2 3 4 6" xfId="34905" xr:uid="{00000000-0005-0000-0000-000089880000}"/>
    <cellStyle name="检查单元格 2 3 4 6 2" xfId="21757" xr:uid="{00000000-0005-0000-0000-00002D550000}"/>
    <cellStyle name="检查单元格 2 3 4 7" xfId="17754" xr:uid="{00000000-0005-0000-0000-00008A450000}"/>
    <cellStyle name="检查单元格 2 3 4 7 2" xfId="17757" xr:uid="{00000000-0005-0000-0000-00008D450000}"/>
    <cellStyle name="检查单元格 2 3 4 8" xfId="17761" xr:uid="{00000000-0005-0000-0000-000091450000}"/>
    <cellStyle name="检查单元格 2 3 4 8 2" xfId="17763" xr:uid="{00000000-0005-0000-0000-000093450000}"/>
    <cellStyle name="检查单元格 2 3 4 9" xfId="17766" xr:uid="{00000000-0005-0000-0000-000096450000}"/>
    <cellStyle name="检查单元格 2 3 4 9 2" xfId="17768" xr:uid="{00000000-0005-0000-0000-000098450000}"/>
    <cellStyle name="检查单元格 2 3 5" xfId="21824" xr:uid="{00000000-0005-0000-0000-000070550000}"/>
    <cellStyle name="检查单元格 2 3 5 10" xfId="34906" xr:uid="{00000000-0005-0000-0000-00008A880000}"/>
    <cellStyle name="检查单元格 2 3 5 11" xfId="10106" xr:uid="{00000000-0005-0000-0000-0000AA270000}"/>
    <cellStyle name="检查单元格 2 3 5 12" xfId="34907" xr:uid="{00000000-0005-0000-0000-00008B880000}"/>
    <cellStyle name="检查单元格 2 3 5 13" xfId="34908" xr:uid="{00000000-0005-0000-0000-00008C880000}"/>
    <cellStyle name="检查单元格 2 3 5 2" xfId="34909" xr:uid="{00000000-0005-0000-0000-00008D880000}"/>
    <cellStyle name="检查单元格 2 3 5 2 2" xfId="34910" xr:uid="{00000000-0005-0000-0000-00008E880000}"/>
    <cellStyle name="检查单元格 2 3 5 2 2 2" xfId="34911" xr:uid="{00000000-0005-0000-0000-00008F880000}"/>
    <cellStyle name="检查单元格 2 3 5 2 3" xfId="34912" xr:uid="{00000000-0005-0000-0000-000090880000}"/>
    <cellStyle name="检查单元格 2 3 5 2 3 2" xfId="34913" xr:uid="{00000000-0005-0000-0000-000091880000}"/>
    <cellStyle name="检查单元格 2 3 5 2 4" xfId="34914" xr:uid="{00000000-0005-0000-0000-000092880000}"/>
    <cellStyle name="检查单元格 2 3 5 2 4 2" xfId="34915" xr:uid="{00000000-0005-0000-0000-000093880000}"/>
    <cellStyle name="检查单元格 2 3 5 2 5" xfId="34916" xr:uid="{00000000-0005-0000-0000-000094880000}"/>
    <cellStyle name="检查单元格 2 3 5 2 5 2" xfId="34917" xr:uid="{00000000-0005-0000-0000-000095880000}"/>
    <cellStyle name="检查单元格 2 3 5 2 6" xfId="34491" xr:uid="{00000000-0005-0000-0000-0000EB860000}"/>
    <cellStyle name="检查单元格 2 3 5 2 7" xfId="3382" xr:uid="{00000000-0005-0000-0000-0000660D0000}"/>
    <cellStyle name="检查单元格 2 3 5 2 8" xfId="309" xr:uid="{00000000-0005-0000-0000-000054010000}"/>
    <cellStyle name="检查单元格 2 3 5 2 9" xfId="3387" xr:uid="{00000000-0005-0000-0000-00006B0D0000}"/>
    <cellStyle name="检查单元格 2 3 5 3" xfId="26423" xr:uid="{00000000-0005-0000-0000-000067670000}"/>
    <cellStyle name="检查单元格 2 3 5 3 2" xfId="34918" xr:uid="{00000000-0005-0000-0000-000096880000}"/>
    <cellStyle name="检查单元格 2 3 5 3 2 2" xfId="34919" xr:uid="{00000000-0005-0000-0000-000097880000}"/>
    <cellStyle name="检查单元格 2 3 5 3 3" xfId="32684" xr:uid="{00000000-0005-0000-0000-0000DC7F0000}"/>
    <cellStyle name="检查单元格 2 3 5 3 3 2" xfId="34920" xr:uid="{00000000-0005-0000-0000-000098880000}"/>
    <cellStyle name="检查单元格 2 3 5 3 4" xfId="34921" xr:uid="{00000000-0005-0000-0000-000099880000}"/>
    <cellStyle name="检查单元格 2 3 5 3 4 2" xfId="34923" xr:uid="{00000000-0005-0000-0000-00009B880000}"/>
    <cellStyle name="检查单元格 2 3 5 3 5" xfId="34924" xr:uid="{00000000-0005-0000-0000-00009C880000}"/>
    <cellStyle name="检查单元格 2 3 5 3 5 2" xfId="34925" xr:uid="{00000000-0005-0000-0000-00009D880000}"/>
    <cellStyle name="检查单元格 2 3 5 3 6" xfId="34493" xr:uid="{00000000-0005-0000-0000-0000ED860000}"/>
    <cellStyle name="检查单元格 2 3 5 4" xfId="22097" xr:uid="{00000000-0005-0000-0000-000081560000}"/>
    <cellStyle name="检查单元格 2 3 5 4 2" xfId="34926" xr:uid="{00000000-0005-0000-0000-00009E880000}"/>
    <cellStyle name="检查单元格 2 3 5 4 2 2" xfId="34927" xr:uid="{00000000-0005-0000-0000-00009F880000}"/>
    <cellStyle name="检查单元格 2 3 5 4 3" xfId="32687" xr:uid="{00000000-0005-0000-0000-0000DF7F0000}"/>
    <cellStyle name="检查单元格 2 3 5 4 3 2" xfId="34928" xr:uid="{00000000-0005-0000-0000-0000A0880000}"/>
    <cellStyle name="检查单元格 2 3 5 4 4" xfId="34929" xr:uid="{00000000-0005-0000-0000-0000A1880000}"/>
    <cellStyle name="检查单元格 2 3 5 4 4 2" xfId="34931" xr:uid="{00000000-0005-0000-0000-0000A3880000}"/>
    <cellStyle name="检查单元格 2 3 5 4 5" xfId="26056" xr:uid="{00000000-0005-0000-0000-0000F8650000}"/>
    <cellStyle name="检查单元格 2 3 5 4 5 2" xfId="34932" xr:uid="{00000000-0005-0000-0000-0000A4880000}"/>
    <cellStyle name="检查单元格 2 3 5 4 6" xfId="34497" xr:uid="{00000000-0005-0000-0000-0000F1860000}"/>
    <cellStyle name="检查单元格 2 3 5 5" xfId="34933" xr:uid="{00000000-0005-0000-0000-0000A5880000}"/>
    <cellStyle name="检查单元格 2 3 5 5 2" xfId="34934" xr:uid="{00000000-0005-0000-0000-0000A6880000}"/>
    <cellStyle name="检查单元格 2 3 5 5 2 2" xfId="34935" xr:uid="{00000000-0005-0000-0000-0000A7880000}"/>
    <cellStyle name="检查单元格 2 3 5 5 3" xfId="32689" xr:uid="{00000000-0005-0000-0000-0000E17F0000}"/>
    <cellStyle name="检查单元格 2 3 5 5 3 2" xfId="34937" xr:uid="{00000000-0005-0000-0000-0000A9880000}"/>
    <cellStyle name="检查单元格 2 3 5 5 4" xfId="28035" xr:uid="{00000000-0005-0000-0000-0000B36D0000}"/>
    <cellStyle name="检查单元格 2 3 5 5 4 2" xfId="34939" xr:uid="{00000000-0005-0000-0000-0000AB880000}"/>
    <cellStyle name="检查单元格 2 3 5 5 5" xfId="26062" xr:uid="{00000000-0005-0000-0000-0000FE650000}"/>
    <cellStyle name="检查单元格 2 3 5 6" xfId="34941" xr:uid="{00000000-0005-0000-0000-0000AD880000}"/>
    <cellStyle name="检查单元格 2 3 5 6 2" xfId="34942" xr:uid="{00000000-0005-0000-0000-0000AE880000}"/>
    <cellStyle name="检查单元格 2 3 5 7" xfId="17771" xr:uid="{00000000-0005-0000-0000-00009B450000}"/>
    <cellStyle name="检查单元格 2 3 5 7 2" xfId="34943" xr:uid="{00000000-0005-0000-0000-0000AF880000}"/>
    <cellStyle name="检查单元格 2 3 5 8" xfId="4552" xr:uid="{00000000-0005-0000-0000-0000F8110000}"/>
    <cellStyle name="检查单元格 2 3 5 8 2" xfId="34944" xr:uid="{00000000-0005-0000-0000-0000B0880000}"/>
    <cellStyle name="检查单元格 2 3 5 9" xfId="34945" xr:uid="{00000000-0005-0000-0000-0000B1880000}"/>
    <cellStyle name="检查单元格 2 3 5 9 2" xfId="34946" xr:uid="{00000000-0005-0000-0000-0000B2880000}"/>
    <cellStyle name="检查单元格 2 3 6" xfId="34947" xr:uid="{00000000-0005-0000-0000-0000B3880000}"/>
    <cellStyle name="检查单元格 2 3 6 10" xfId="34948" xr:uid="{00000000-0005-0000-0000-0000B4880000}"/>
    <cellStyle name="检查单元格 2 3 6 11" xfId="34951" xr:uid="{00000000-0005-0000-0000-0000B7880000}"/>
    <cellStyle name="检查单元格 2 3 6 12" xfId="34953" xr:uid="{00000000-0005-0000-0000-0000B9880000}"/>
    <cellStyle name="检查单元格 2 3 6 13" xfId="34956" xr:uid="{00000000-0005-0000-0000-0000BC880000}"/>
    <cellStyle name="检查单元格 2 3 6 2" xfId="34958" xr:uid="{00000000-0005-0000-0000-0000BE880000}"/>
    <cellStyle name="检查单元格 2 3 6 2 2" xfId="34959" xr:uid="{00000000-0005-0000-0000-0000BF880000}"/>
    <cellStyle name="检查单元格 2 3 6 2 2 2" xfId="24707" xr:uid="{00000000-0005-0000-0000-0000B3600000}"/>
    <cellStyle name="检查单元格 2 3 6 2 3" xfId="34960" xr:uid="{00000000-0005-0000-0000-0000C0880000}"/>
    <cellStyle name="检查单元格 2 3 6 2 3 2" xfId="24728" xr:uid="{00000000-0005-0000-0000-0000C8600000}"/>
    <cellStyle name="检查单元格 2 3 6 2 4" xfId="34962" xr:uid="{00000000-0005-0000-0000-0000C2880000}"/>
    <cellStyle name="检查单元格 2 3 6 2 4 2" xfId="27276" xr:uid="{00000000-0005-0000-0000-0000BC6A0000}"/>
    <cellStyle name="检查单元格 2 3 6 2 5" xfId="34963" xr:uid="{00000000-0005-0000-0000-0000C3880000}"/>
    <cellStyle name="检查单元格 2 3 6 2 5 2" xfId="27286" xr:uid="{00000000-0005-0000-0000-0000C66A0000}"/>
    <cellStyle name="检查单元格 2 3 6 2 6" xfId="34506" xr:uid="{00000000-0005-0000-0000-0000FA860000}"/>
    <cellStyle name="检查单元格 2 3 6 2 7" xfId="34964" xr:uid="{00000000-0005-0000-0000-0000C4880000}"/>
    <cellStyle name="检查单元格 2 3 6 2 8" xfId="34965" xr:uid="{00000000-0005-0000-0000-0000C5880000}"/>
    <cellStyle name="检查单元格 2 3 6 2 9" xfId="34967" xr:uid="{00000000-0005-0000-0000-0000C7880000}"/>
    <cellStyle name="检查单元格 2 3 6 3" xfId="30354" xr:uid="{00000000-0005-0000-0000-0000C2760000}"/>
    <cellStyle name="检查单元格 2 3 6 3 2" xfId="34968" xr:uid="{00000000-0005-0000-0000-0000C8880000}"/>
    <cellStyle name="检查单元格 2 3 6 3 2 2" xfId="25653" xr:uid="{00000000-0005-0000-0000-000065640000}"/>
    <cellStyle name="检查单元格 2 3 6 3 3" xfId="32705" xr:uid="{00000000-0005-0000-0000-0000F17F0000}"/>
    <cellStyle name="检查单元格 2 3 6 3 3 2" xfId="25714" xr:uid="{00000000-0005-0000-0000-0000A2640000}"/>
    <cellStyle name="检查单元格 2 3 6 3 4" xfId="34969" xr:uid="{00000000-0005-0000-0000-0000C9880000}"/>
    <cellStyle name="检查单元格 2 3 6 3 4 2" xfId="27307" xr:uid="{00000000-0005-0000-0000-0000DB6A0000}"/>
    <cellStyle name="检查单元格 2 3 6 3 5" xfId="34971" xr:uid="{00000000-0005-0000-0000-0000CB880000}"/>
    <cellStyle name="检查单元格 2 3 6 3 5 2" xfId="27317" xr:uid="{00000000-0005-0000-0000-0000E56A0000}"/>
    <cellStyle name="检查单元格 2 3 6 3 6" xfId="34508" xr:uid="{00000000-0005-0000-0000-0000FC860000}"/>
    <cellStyle name="检查单元格 2 3 6 4" xfId="22102" xr:uid="{00000000-0005-0000-0000-000086560000}"/>
    <cellStyle name="检查单元格 2 3 6 4 2" xfId="34972" xr:uid="{00000000-0005-0000-0000-0000CC880000}"/>
    <cellStyle name="检查单元格 2 3 6 4 2 2" xfId="26694" xr:uid="{00000000-0005-0000-0000-000076680000}"/>
    <cellStyle name="检查单元格 2 3 6 4 3" xfId="32710" xr:uid="{00000000-0005-0000-0000-0000F67F0000}"/>
    <cellStyle name="检查单元格 2 3 6 4 3 2" xfId="26849" xr:uid="{00000000-0005-0000-0000-000011690000}"/>
    <cellStyle name="检查单元格 2 3 6 4 4" xfId="34973" xr:uid="{00000000-0005-0000-0000-0000CD880000}"/>
    <cellStyle name="检查单元格 2 3 6 4 4 2" xfId="27367" xr:uid="{00000000-0005-0000-0000-0000176B0000}"/>
    <cellStyle name="检查单元格 2 3 6 4 5" xfId="34975" xr:uid="{00000000-0005-0000-0000-0000CF880000}"/>
    <cellStyle name="检查单元格 2 3 6 4 5 2" xfId="27391" xr:uid="{00000000-0005-0000-0000-00002F6B0000}"/>
    <cellStyle name="检查单元格 2 3 6 4 6" xfId="34510" xr:uid="{00000000-0005-0000-0000-0000FE860000}"/>
    <cellStyle name="检查单元格 2 3 6 5" xfId="34976" xr:uid="{00000000-0005-0000-0000-0000D0880000}"/>
    <cellStyle name="检查单元格 2 3 6 5 2" xfId="34977" xr:uid="{00000000-0005-0000-0000-0000D1880000}"/>
    <cellStyle name="检查单元格 2 3 6 5 2 2" xfId="27456" xr:uid="{00000000-0005-0000-0000-0000706B0000}"/>
    <cellStyle name="检查单元格 2 3 6 5 3" xfId="32713" xr:uid="{00000000-0005-0000-0000-0000F97F0000}"/>
    <cellStyle name="检查单元格 2 3 6 5 3 2" xfId="27467" xr:uid="{00000000-0005-0000-0000-00007B6B0000}"/>
    <cellStyle name="检查单元格 2 3 6 5 4" xfId="28061" xr:uid="{00000000-0005-0000-0000-0000CD6D0000}"/>
    <cellStyle name="检查单元格 2 3 6 5 4 2" xfId="27480" xr:uid="{00000000-0005-0000-0000-0000886B0000}"/>
    <cellStyle name="检查单元格 2 3 6 5 5" xfId="34979" xr:uid="{00000000-0005-0000-0000-0000D3880000}"/>
    <cellStyle name="检查单元格 2 3 6 6" xfId="34980" xr:uid="{00000000-0005-0000-0000-0000D4880000}"/>
    <cellStyle name="检查单元格 2 3 6 6 2" xfId="34981" xr:uid="{00000000-0005-0000-0000-0000D5880000}"/>
    <cellStyle name="检查单元格 2 3 6 7" xfId="12215" xr:uid="{00000000-0005-0000-0000-0000E72F0000}"/>
    <cellStyle name="检查单元格 2 3 6 7 2" xfId="34982" xr:uid="{00000000-0005-0000-0000-0000D6880000}"/>
    <cellStyle name="检查单元格 2 3 6 8" xfId="4578" xr:uid="{00000000-0005-0000-0000-000012120000}"/>
    <cellStyle name="检查单元格 2 3 6 8 2" xfId="34983" xr:uid="{00000000-0005-0000-0000-0000D7880000}"/>
    <cellStyle name="检查单元格 2 3 6 9" xfId="34984" xr:uid="{00000000-0005-0000-0000-0000D8880000}"/>
    <cellStyle name="检查单元格 2 3 6 9 2" xfId="34985" xr:uid="{00000000-0005-0000-0000-0000D9880000}"/>
    <cellStyle name="检查单元格 2 3 7" xfId="34986" xr:uid="{00000000-0005-0000-0000-0000DA880000}"/>
    <cellStyle name="检查单元格 2 3 7 10" xfId="34987" xr:uid="{00000000-0005-0000-0000-0000DB880000}"/>
    <cellStyle name="检查单元格 2 3 7 11" xfId="7343" xr:uid="{00000000-0005-0000-0000-0000DF1C0000}"/>
    <cellStyle name="检查单元格 2 3 7 12" xfId="34989" xr:uid="{00000000-0005-0000-0000-0000DD880000}"/>
    <cellStyle name="检查单元格 2 3 7 13" xfId="34991" xr:uid="{00000000-0005-0000-0000-0000DF880000}"/>
    <cellStyle name="检查单元格 2 3 7 2" xfId="34993" xr:uid="{00000000-0005-0000-0000-0000E1880000}"/>
    <cellStyle name="检查单元格 2 3 7 2 2" xfId="34994" xr:uid="{00000000-0005-0000-0000-0000E2880000}"/>
    <cellStyle name="检查单元格 2 3 7 2 2 2" xfId="28242" xr:uid="{00000000-0005-0000-0000-0000826E0000}"/>
    <cellStyle name="检查单元格 2 3 7 2 3" xfId="34995" xr:uid="{00000000-0005-0000-0000-0000E3880000}"/>
    <cellStyle name="检查单元格 2 3 7 2 3 2" xfId="23781" xr:uid="{00000000-0005-0000-0000-0000155D0000}"/>
    <cellStyle name="检查单元格 2 3 7 2 4" xfId="34997" xr:uid="{00000000-0005-0000-0000-0000E5880000}"/>
    <cellStyle name="检查单元格 2 3 7 2 4 2" xfId="23814" xr:uid="{00000000-0005-0000-0000-0000365D0000}"/>
    <cellStyle name="检查单元格 2 3 7 2 5" xfId="34998" xr:uid="{00000000-0005-0000-0000-0000E6880000}"/>
    <cellStyle name="检查单元格 2 3 7 2 5 2" xfId="23832" xr:uid="{00000000-0005-0000-0000-0000485D0000}"/>
    <cellStyle name="检查单元格 2 3 7 2 6" xfId="34999" xr:uid="{00000000-0005-0000-0000-0000E7880000}"/>
    <cellStyle name="检查单元格 2 3 7 2 7" xfId="35000" xr:uid="{00000000-0005-0000-0000-0000E8880000}"/>
    <cellStyle name="检查单元格 2 3 7 2 8" xfId="35001" xr:uid="{00000000-0005-0000-0000-0000E9880000}"/>
    <cellStyle name="检查单元格 2 3 7 2 9" xfId="35003" xr:uid="{00000000-0005-0000-0000-0000EB880000}"/>
    <cellStyle name="检查单元格 2 3 7 3" xfId="30360" xr:uid="{00000000-0005-0000-0000-0000C8760000}"/>
    <cellStyle name="检查单元格 2 3 7 3 2" xfId="35005" xr:uid="{00000000-0005-0000-0000-0000ED880000}"/>
    <cellStyle name="检查单元格 2 3 7 3 2 2" xfId="28305" xr:uid="{00000000-0005-0000-0000-0000C16E0000}"/>
    <cellStyle name="检查单元格 2 3 7 3 3" xfId="35006" xr:uid="{00000000-0005-0000-0000-0000EE880000}"/>
    <cellStyle name="检查单元格 2 3 7 3 3 2" xfId="23946" xr:uid="{00000000-0005-0000-0000-0000BA5D0000}"/>
    <cellStyle name="检查单元格 2 3 7 3 4" xfId="35007" xr:uid="{00000000-0005-0000-0000-0000EF880000}"/>
    <cellStyle name="检查单元格 2 3 7 3 4 2" xfId="23965" xr:uid="{00000000-0005-0000-0000-0000CD5D0000}"/>
    <cellStyle name="检查单元格 2 3 7 3 5" xfId="35009" xr:uid="{00000000-0005-0000-0000-0000F1880000}"/>
    <cellStyle name="检查单元格 2 3 7 3 5 2" xfId="23979" xr:uid="{00000000-0005-0000-0000-0000DB5D0000}"/>
    <cellStyle name="检查单元格 2 3 7 3 6" xfId="35010" xr:uid="{00000000-0005-0000-0000-0000F2880000}"/>
    <cellStyle name="检查单元格 2 3 7 4" xfId="22106" xr:uid="{00000000-0005-0000-0000-00008A560000}"/>
    <cellStyle name="检查单元格 2 3 7 4 2" xfId="35012" xr:uid="{00000000-0005-0000-0000-0000F4880000}"/>
    <cellStyle name="检查单元格 2 3 7 4 2 2" xfId="28385" xr:uid="{00000000-0005-0000-0000-0000116F0000}"/>
    <cellStyle name="检查单元格 2 3 7 4 3" xfId="35013" xr:uid="{00000000-0005-0000-0000-0000F5880000}"/>
    <cellStyle name="检查单元格 2 3 7 4 3 2" xfId="24042" xr:uid="{00000000-0005-0000-0000-00001A5E0000}"/>
    <cellStyle name="检查单元格 2 3 7 4 4" xfId="35014" xr:uid="{00000000-0005-0000-0000-0000F6880000}"/>
    <cellStyle name="检查单元格 2 3 7 4 4 2" xfId="24075" xr:uid="{00000000-0005-0000-0000-00003B5E0000}"/>
    <cellStyle name="检查单元格 2 3 7 4 5" xfId="35016" xr:uid="{00000000-0005-0000-0000-0000F8880000}"/>
    <cellStyle name="检查单元格 2 3 7 4 5 2" xfId="24108" xr:uid="{00000000-0005-0000-0000-00005C5E0000}"/>
    <cellStyle name="检查单元格 2 3 7 4 6" xfId="35017" xr:uid="{00000000-0005-0000-0000-0000F9880000}"/>
    <cellStyle name="检查单元格 2 3 7 5" xfId="35019" xr:uid="{00000000-0005-0000-0000-0000FB880000}"/>
    <cellStyle name="检查单元格 2 3 7 5 2" xfId="35021" xr:uid="{00000000-0005-0000-0000-0000FD880000}"/>
    <cellStyle name="检查单元格 2 3 7 5 2 2" xfId="28130" xr:uid="{00000000-0005-0000-0000-0000126E0000}"/>
    <cellStyle name="检查单元格 2 3 7 5 3" xfId="35023" xr:uid="{00000000-0005-0000-0000-0000FF880000}"/>
    <cellStyle name="检查单元格 2 3 7 5 3 2" xfId="24226" xr:uid="{00000000-0005-0000-0000-0000D25E0000}"/>
    <cellStyle name="检查单元格 2 3 7 5 4" xfId="28085" xr:uid="{00000000-0005-0000-0000-0000E56D0000}"/>
    <cellStyle name="检查单元格 2 3 7 5 4 2" xfId="24258" xr:uid="{00000000-0005-0000-0000-0000F25E0000}"/>
    <cellStyle name="检查单元格 2 3 7 5 5" xfId="35024" xr:uid="{00000000-0005-0000-0000-000000890000}"/>
    <cellStyle name="检查单元格 2 3 7 6" xfId="35026" xr:uid="{00000000-0005-0000-0000-000002890000}"/>
    <cellStyle name="检查单元格 2 3 7 6 2" xfId="35029" xr:uid="{00000000-0005-0000-0000-000005890000}"/>
    <cellStyle name="检查单元格 2 3 7 7" xfId="12223" xr:uid="{00000000-0005-0000-0000-0000EF2F0000}"/>
    <cellStyle name="检查单元格 2 3 7 7 2" xfId="35030" xr:uid="{00000000-0005-0000-0000-000006890000}"/>
    <cellStyle name="检查单元格 2 3 7 8" xfId="5233" xr:uid="{00000000-0005-0000-0000-0000A1140000}"/>
    <cellStyle name="检查单元格 2 3 7 8 2" xfId="35031" xr:uid="{00000000-0005-0000-0000-000007890000}"/>
    <cellStyle name="检查单元格 2 3 7 9" xfId="35033" xr:uid="{00000000-0005-0000-0000-000009890000}"/>
    <cellStyle name="检查单元格 2 3 7 9 2" xfId="35034" xr:uid="{00000000-0005-0000-0000-00000A890000}"/>
    <cellStyle name="检查单元格 2 3 8" xfId="20128" xr:uid="{00000000-0005-0000-0000-0000D04E0000}"/>
    <cellStyle name="检查单元格 2 3 8 2" xfId="35035" xr:uid="{00000000-0005-0000-0000-00000B890000}"/>
    <cellStyle name="检查单元格 2 3 8 2 2" xfId="35036" xr:uid="{00000000-0005-0000-0000-00000C890000}"/>
    <cellStyle name="检查单元格 2 3 8 2 2 2" xfId="28460" xr:uid="{00000000-0005-0000-0000-00005C6F0000}"/>
    <cellStyle name="检查单元格 2 3 8 2 3" xfId="35037" xr:uid="{00000000-0005-0000-0000-00000D890000}"/>
    <cellStyle name="检查单元格 2 3 8 2 3 2" xfId="24891" xr:uid="{00000000-0005-0000-0000-00006B610000}"/>
    <cellStyle name="检查单元格 2 3 8 2 4" xfId="35039" xr:uid="{00000000-0005-0000-0000-00000F890000}"/>
    <cellStyle name="检查单元格 2 3 8 2 4 2" xfId="24954" xr:uid="{00000000-0005-0000-0000-0000AA610000}"/>
    <cellStyle name="检查单元格 2 3 8 2 5" xfId="35041" xr:uid="{00000000-0005-0000-0000-000011890000}"/>
    <cellStyle name="检查单元格 2 3 8 2 5 2" xfId="25006" xr:uid="{00000000-0005-0000-0000-0000DE610000}"/>
    <cellStyle name="检查单元格 2 3 8 2 6" xfId="35043" xr:uid="{00000000-0005-0000-0000-000013890000}"/>
    <cellStyle name="检查单元格 2 3 8 2 7" xfId="35045" xr:uid="{00000000-0005-0000-0000-000015890000}"/>
    <cellStyle name="检查单元格 2 3 8 2 8" xfId="35047" xr:uid="{00000000-0005-0000-0000-000017890000}"/>
    <cellStyle name="检查单元格 2 3 8 2 9" xfId="35050" xr:uid="{00000000-0005-0000-0000-00001A890000}"/>
    <cellStyle name="检查单元格 2 3 8 3" xfId="35052" xr:uid="{00000000-0005-0000-0000-00001C890000}"/>
    <cellStyle name="检查单元格 2 3 8 3 2" xfId="35054" xr:uid="{00000000-0005-0000-0000-00001E890000}"/>
    <cellStyle name="检查单元格 2 3 8 3 2 2" xfId="29127" xr:uid="{00000000-0005-0000-0000-0000F7710000}"/>
    <cellStyle name="检查单元格 2 3 8 3 3" xfId="35055" xr:uid="{00000000-0005-0000-0000-00001F890000}"/>
    <cellStyle name="检查单元格 2 3 8 3 3 2" xfId="25186" xr:uid="{00000000-0005-0000-0000-000092620000}"/>
    <cellStyle name="检查单元格 2 3 8 3 4" xfId="35056" xr:uid="{00000000-0005-0000-0000-000020890000}"/>
    <cellStyle name="检查单元格 2 3 8 3 4 2" xfId="25208" xr:uid="{00000000-0005-0000-0000-0000A8620000}"/>
    <cellStyle name="检查单元格 2 3 8 3 5" xfId="35060" xr:uid="{00000000-0005-0000-0000-000024890000}"/>
    <cellStyle name="检查单元格 2 3 8 3 5 2" xfId="25217" xr:uid="{00000000-0005-0000-0000-0000B1620000}"/>
    <cellStyle name="检查单元格 2 3 8 3 6" xfId="35062" xr:uid="{00000000-0005-0000-0000-000026890000}"/>
    <cellStyle name="检查单元格 2 3 8 4" xfId="35064" xr:uid="{00000000-0005-0000-0000-000028890000}"/>
    <cellStyle name="检查单元格 2 3 8 4 2" xfId="35066" xr:uid="{00000000-0005-0000-0000-00002A890000}"/>
    <cellStyle name="检查单元格 2 3 8 4 2 2" xfId="29176" xr:uid="{00000000-0005-0000-0000-000028720000}"/>
    <cellStyle name="检查单元格 2 3 8 4 3" xfId="35067" xr:uid="{00000000-0005-0000-0000-00002B890000}"/>
    <cellStyle name="检查单元格 2 3 8 4 3 2" xfId="25324" xr:uid="{00000000-0005-0000-0000-00001C630000}"/>
    <cellStyle name="检查单元格 2 3 8 4 4" xfId="35068" xr:uid="{00000000-0005-0000-0000-00002C890000}"/>
    <cellStyle name="检查单元格 2 3 8 4 4 2" xfId="25344" xr:uid="{00000000-0005-0000-0000-000030630000}"/>
    <cellStyle name="检查单元格 2 3 8 4 5" xfId="35072" xr:uid="{00000000-0005-0000-0000-000030890000}"/>
    <cellStyle name="检查单元格 2 3 8 4 5 2" xfId="25350" xr:uid="{00000000-0005-0000-0000-000036630000}"/>
    <cellStyle name="检查单元格 2 3 8 4 6" xfId="35074" xr:uid="{00000000-0005-0000-0000-000032890000}"/>
    <cellStyle name="检查单元格 2 3 8 5" xfId="35076" xr:uid="{00000000-0005-0000-0000-000034890000}"/>
    <cellStyle name="检查单元格 2 3 8 5 2" xfId="35078" xr:uid="{00000000-0005-0000-0000-000036890000}"/>
    <cellStyle name="检查单元格 2 3 8 5 2 2" xfId="29218" xr:uid="{00000000-0005-0000-0000-000052720000}"/>
    <cellStyle name="检查单元格 2 3 8 5 3" xfId="35080" xr:uid="{00000000-0005-0000-0000-000038890000}"/>
    <cellStyle name="检查单元格 2 3 8 5 3 2" xfId="25406" xr:uid="{00000000-0005-0000-0000-00006E630000}"/>
    <cellStyle name="检查单元格 2 3 8 5 4" xfId="28095" xr:uid="{00000000-0005-0000-0000-0000EF6D0000}"/>
    <cellStyle name="检查单元格 2 3 8 5 4 2" xfId="25421" xr:uid="{00000000-0005-0000-0000-00007D630000}"/>
    <cellStyle name="检查单元格 2 3 8 5 5" xfId="35082" xr:uid="{00000000-0005-0000-0000-00003A890000}"/>
    <cellStyle name="检查单元格 2 3 8 6" xfId="7320" xr:uid="{00000000-0005-0000-0000-0000C81C0000}"/>
    <cellStyle name="检查单元格 2 3 8 7" xfId="7338" xr:uid="{00000000-0005-0000-0000-0000DA1C0000}"/>
    <cellStyle name="检查单元格 2 3 8 8" xfId="5640" xr:uid="{00000000-0005-0000-0000-000038160000}"/>
    <cellStyle name="检查单元格 2 3 9" xfId="35083" xr:uid="{00000000-0005-0000-0000-00003B890000}"/>
    <cellStyle name="检查单元格 2 3 9 2" xfId="35084" xr:uid="{00000000-0005-0000-0000-00003C890000}"/>
    <cellStyle name="检查单元格 2 3 9 2 2" xfId="22823" xr:uid="{00000000-0005-0000-0000-000057590000}"/>
    <cellStyle name="检查单元格 2 3 9 3" xfId="13189" xr:uid="{00000000-0005-0000-0000-0000B5330000}"/>
    <cellStyle name="检查单元格 2 3 9 3 2" xfId="22873" xr:uid="{00000000-0005-0000-0000-000089590000}"/>
    <cellStyle name="检查单元格 2 3 9 4" xfId="35086" xr:uid="{00000000-0005-0000-0000-00003E890000}"/>
    <cellStyle name="检查单元格 2 3 9 4 2" xfId="22913" xr:uid="{00000000-0005-0000-0000-0000B1590000}"/>
    <cellStyle name="检查单元格 2 3 9 5" xfId="35088" xr:uid="{00000000-0005-0000-0000-000040890000}"/>
    <cellStyle name="检查单元格 2 3 9 5 2" xfId="22316" xr:uid="{00000000-0005-0000-0000-00005C570000}"/>
    <cellStyle name="检查单元格 2 3 9 6" xfId="7390" xr:uid="{00000000-0005-0000-0000-00000E1D0000}"/>
    <cellStyle name="检查单元格 2 4" xfId="35089" xr:uid="{00000000-0005-0000-0000-000041890000}"/>
    <cellStyle name="检查单元格 2 4 10" xfId="1370" xr:uid="{00000000-0005-0000-0000-00008A050000}"/>
    <cellStyle name="检查单元格 2 4 10 2" xfId="9579" xr:uid="{00000000-0005-0000-0000-00009B250000}"/>
    <cellStyle name="检查单元格 2 4 10 2 2" xfId="34328" xr:uid="{00000000-0005-0000-0000-000048860000}"/>
    <cellStyle name="检查单元格 2 4 10 3" xfId="9135" xr:uid="{00000000-0005-0000-0000-0000DF230000}"/>
    <cellStyle name="检查单元格 2 4 10 3 2" xfId="28877" xr:uid="{00000000-0005-0000-0000-0000FD700000}"/>
    <cellStyle name="检查单元格 2 4 10 4" xfId="34346" xr:uid="{00000000-0005-0000-0000-00005A860000}"/>
    <cellStyle name="检查单元格 2 4 10 4 2" xfId="22276" xr:uid="{00000000-0005-0000-0000-000034570000}"/>
    <cellStyle name="检查单元格 2 4 10 5" xfId="34351" xr:uid="{00000000-0005-0000-0000-00005F860000}"/>
    <cellStyle name="检查单元格 2 4 10 5 2" xfId="28912" xr:uid="{00000000-0005-0000-0000-000020710000}"/>
    <cellStyle name="检查单元格 2 4 10 6" xfId="34353" xr:uid="{00000000-0005-0000-0000-000061860000}"/>
    <cellStyle name="检查单元格 2 4 11" xfId="1381" xr:uid="{00000000-0005-0000-0000-000095050000}"/>
    <cellStyle name="检查单元格 2 4 11 2" xfId="34368" xr:uid="{00000000-0005-0000-0000-000070860000}"/>
    <cellStyle name="检查单元格 2 4 11 2 2" xfId="14000" xr:uid="{00000000-0005-0000-0000-0000E0360000}"/>
    <cellStyle name="检查单元格 2 4 11 3" xfId="1550" xr:uid="{00000000-0005-0000-0000-00003E060000}"/>
    <cellStyle name="检查单元格 2 4 11 3 2" xfId="14028" xr:uid="{00000000-0005-0000-0000-0000FC360000}"/>
    <cellStyle name="检查单元格 2 4 11 4" xfId="22062" xr:uid="{00000000-0005-0000-0000-00005E560000}"/>
    <cellStyle name="检查单元格 2 4 11 4 2" xfId="14066" xr:uid="{00000000-0005-0000-0000-000022370000}"/>
    <cellStyle name="检查单元格 2 4 11 5" xfId="34390" xr:uid="{00000000-0005-0000-0000-000086860000}"/>
    <cellStyle name="检查单元格 2 4 11 5 2" xfId="14114" xr:uid="{00000000-0005-0000-0000-000052370000}"/>
    <cellStyle name="检查单元格 2 4 11 6" xfId="34393" xr:uid="{00000000-0005-0000-0000-000089860000}"/>
    <cellStyle name="检查单元格 2 4 12" xfId="34403" xr:uid="{00000000-0005-0000-0000-000093860000}"/>
    <cellStyle name="检查单元格 2 4 12 2" xfId="24493" xr:uid="{00000000-0005-0000-0000-0000DD5F0000}"/>
    <cellStyle name="检查单元格 2 4 12 2 2" xfId="34407" xr:uid="{00000000-0005-0000-0000-000097860000}"/>
    <cellStyle name="检查单元格 2 4 12 3" xfId="24499" xr:uid="{00000000-0005-0000-0000-0000E35F0000}"/>
    <cellStyle name="检查单元格 2 4 12 3 2" xfId="34419" xr:uid="{00000000-0005-0000-0000-0000A3860000}"/>
    <cellStyle name="检查单元格 2 4 12 4" xfId="22067" xr:uid="{00000000-0005-0000-0000-000063560000}"/>
    <cellStyle name="检查单元格 2 4 12 4 2" xfId="34427" xr:uid="{00000000-0005-0000-0000-0000AB860000}"/>
    <cellStyle name="检查单元格 2 4 12 5" xfId="34435" xr:uid="{00000000-0005-0000-0000-0000B3860000}"/>
    <cellStyle name="检查单元格 2 4 13" xfId="34454" xr:uid="{00000000-0005-0000-0000-0000C6860000}"/>
    <cellStyle name="检查单元格 2 4 13 2" xfId="34462" xr:uid="{00000000-0005-0000-0000-0000CE860000}"/>
    <cellStyle name="检查单元格 2 4 14" xfId="34522" xr:uid="{00000000-0005-0000-0000-00000A870000}"/>
    <cellStyle name="检查单元格 2 4 14 2" xfId="34537" xr:uid="{00000000-0005-0000-0000-000019870000}"/>
    <cellStyle name="检查单元格 2 4 15" xfId="34661" xr:uid="{00000000-0005-0000-0000-000095870000}"/>
    <cellStyle name="检查单元格 2 4 15 2" xfId="10175" xr:uid="{00000000-0005-0000-0000-0000EF270000}"/>
    <cellStyle name="检查单元格 2 4 16" xfId="34732" xr:uid="{00000000-0005-0000-0000-0000DC870000}"/>
    <cellStyle name="检查单元格 2 4 16 2" xfId="34734" xr:uid="{00000000-0005-0000-0000-0000DE870000}"/>
    <cellStyle name="检查单元格 2 4 17" xfId="35090" xr:uid="{00000000-0005-0000-0000-000042890000}"/>
    <cellStyle name="检查单元格 2 4 18" xfId="35092" xr:uid="{00000000-0005-0000-0000-000044890000}"/>
    <cellStyle name="检查单元格 2 4 19" xfId="35094" xr:uid="{00000000-0005-0000-0000-000046890000}"/>
    <cellStyle name="检查单元格 2 4 2" xfId="3690" xr:uid="{00000000-0005-0000-0000-00009A0E0000}"/>
    <cellStyle name="检查单元格 2 4 2 10" xfId="35096" xr:uid="{00000000-0005-0000-0000-000048890000}"/>
    <cellStyle name="检查单元格 2 4 2 11" xfId="7573" xr:uid="{00000000-0005-0000-0000-0000C51D0000}"/>
    <cellStyle name="检查单元格 2 4 2 12" xfId="35098" xr:uid="{00000000-0005-0000-0000-00004A890000}"/>
    <cellStyle name="检查单元格 2 4 2 13" xfId="35100" xr:uid="{00000000-0005-0000-0000-00004C890000}"/>
    <cellStyle name="检查单元格 2 4 2 2" xfId="9436" xr:uid="{00000000-0005-0000-0000-00000C250000}"/>
    <cellStyle name="检查单元格 2 4 2 2 2" xfId="12185" xr:uid="{00000000-0005-0000-0000-0000C92F0000}"/>
    <cellStyle name="检查单元格 2 4 2 2 2 2" xfId="35104" xr:uid="{00000000-0005-0000-0000-000050890000}"/>
    <cellStyle name="检查单元格 2 4 2 2 3" xfId="24840" xr:uid="{00000000-0005-0000-0000-000038610000}"/>
    <cellStyle name="检查单元格 2 4 2 2 3 2" xfId="24847" xr:uid="{00000000-0005-0000-0000-00003F610000}"/>
    <cellStyle name="检查单元格 2 4 2 2 4" xfId="25159" xr:uid="{00000000-0005-0000-0000-000077620000}"/>
    <cellStyle name="检查单元格 2 4 2 2 4 2" xfId="25165" xr:uid="{00000000-0005-0000-0000-00007D620000}"/>
    <cellStyle name="检查单元格 2 4 2 2 5" xfId="25312" xr:uid="{00000000-0005-0000-0000-000010630000}"/>
    <cellStyle name="检查单元格 2 4 2 2 5 2" xfId="21062" xr:uid="{00000000-0005-0000-0000-000076520000}"/>
    <cellStyle name="检查单元格 2 4 2 2 6" xfId="25394" xr:uid="{00000000-0005-0000-0000-000062630000}"/>
    <cellStyle name="检查单元格 2 4 2 2 7" xfId="25457" xr:uid="{00000000-0005-0000-0000-0000A1630000}"/>
    <cellStyle name="检查单元格 2 4 2 2 8" xfId="25513" xr:uid="{00000000-0005-0000-0000-0000D9630000}"/>
    <cellStyle name="检查单元格 2 4 2 2 9" xfId="25590" xr:uid="{00000000-0005-0000-0000-000026640000}"/>
    <cellStyle name="检查单元格 2 4 2 3" xfId="12795" xr:uid="{00000000-0005-0000-0000-00002B320000}"/>
    <cellStyle name="检查单元格 2 4 2 3 2" xfId="12198" xr:uid="{00000000-0005-0000-0000-0000D62F0000}"/>
    <cellStyle name="检查单元格 2 4 2 3 2 2" xfId="35107" xr:uid="{00000000-0005-0000-0000-000053890000}"/>
    <cellStyle name="检查单元格 2 4 2 3 3" xfId="25789" xr:uid="{00000000-0005-0000-0000-0000ED640000}"/>
    <cellStyle name="检查单元格 2 4 2 3 3 2" xfId="25799" xr:uid="{00000000-0005-0000-0000-0000F7640000}"/>
    <cellStyle name="检查单元格 2 4 2 3 4" xfId="25910" xr:uid="{00000000-0005-0000-0000-000066650000}"/>
    <cellStyle name="检查单元格 2 4 2 3 4 2" xfId="25929" xr:uid="{00000000-0005-0000-0000-000079650000}"/>
    <cellStyle name="检查单元格 2 4 2 3 5" xfId="26054" xr:uid="{00000000-0005-0000-0000-0000F6650000}"/>
    <cellStyle name="检查单元格 2 4 2 3 5 2" xfId="24239" xr:uid="{00000000-0005-0000-0000-0000DF5E0000}"/>
    <cellStyle name="检查单元格 2 4 2 3 6" xfId="26181" xr:uid="{00000000-0005-0000-0000-000075660000}"/>
    <cellStyle name="检查单元格 2 4 2 4" xfId="13862" xr:uid="{00000000-0005-0000-0000-000056360000}"/>
    <cellStyle name="检查单元格 2 4 2 4 2" xfId="17276" xr:uid="{00000000-0005-0000-0000-0000AC430000}"/>
    <cellStyle name="检查单元格 2 4 2 4 2 2" xfId="35110" xr:uid="{00000000-0005-0000-0000-000056890000}"/>
    <cellStyle name="检查单元格 2 4 2 4 3" xfId="26884" xr:uid="{00000000-0005-0000-0000-000034690000}"/>
    <cellStyle name="检查单元格 2 4 2 4 3 2" xfId="26885" xr:uid="{00000000-0005-0000-0000-000035690000}"/>
    <cellStyle name="检查单元格 2 4 2 4 4" xfId="26896" xr:uid="{00000000-0005-0000-0000-000040690000}"/>
    <cellStyle name="检查单元格 2 4 2 4 4 2" xfId="26897" xr:uid="{00000000-0005-0000-0000-000041690000}"/>
    <cellStyle name="检查单元格 2 4 2 4 5" xfId="26906" xr:uid="{00000000-0005-0000-0000-00004A690000}"/>
    <cellStyle name="检查单元格 2 4 2 4 5 2" xfId="24375" xr:uid="{00000000-0005-0000-0000-0000675F0000}"/>
    <cellStyle name="检查单元格 2 4 2 4 6" xfId="26913" xr:uid="{00000000-0005-0000-0000-000051690000}"/>
    <cellStyle name="检查单元格 2 4 2 5" xfId="15976" xr:uid="{00000000-0005-0000-0000-0000983E0000}"/>
    <cellStyle name="检查单元格 2 4 2 5 2" xfId="13460" xr:uid="{00000000-0005-0000-0000-0000C4340000}"/>
    <cellStyle name="检查单元格 2 4 2 5 2 2" xfId="13469" xr:uid="{00000000-0005-0000-0000-0000CD340000}"/>
    <cellStyle name="检查单元格 2 4 2 5 3" xfId="13472" xr:uid="{00000000-0005-0000-0000-0000D0340000}"/>
    <cellStyle name="检查单元格 2 4 2 5 3 2" xfId="8003" xr:uid="{00000000-0005-0000-0000-0000731F0000}"/>
    <cellStyle name="检查单元格 2 4 2 5 4" xfId="13475" xr:uid="{00000000-0005-0000-0000-0000D3340000}"/>
    <cellStyle name="检查单元格 2 4 2 5 4 2" xfId="26944" xr:uid="{00000000-0005-0000-0000-000070690000}"/>
    <cellStyle name="检查单元格 2 4 2 5 5" xfId="13478" xr:uid="{00000000-0005-0000-0000-0000D6340000}"/>
    <cellStyle name="检查单元格 2 4 2 6" xfId="17279" xr:uid="{00000000-0005-0000-0000-0000AF430000}"/>
    <cellStyle name="检查单元格 2 4 2 6 2" xfId="35111" xr:uid="{00000000-0005-0000-0000-000057890000}"/>
    <cellStyle name="检查单元格 2 4 2 7" xfId="117" xr:uid="{00000000-0005-0000-0000-00007F000000}"/>
    <cellStyle name="检查单元格 2 4 2 7 2" xfId="2286" xr:uid="{00000000-0005-0000-0000-00001E090000}"/>
    <cellStyle name="检查单元格 2 4 2 8" xfId="17888" xr:uid="{00000000-0005-0000-0000-000010460000}"/>
    <cellStyle name="检查单元格 2 4 2 8 2" xfId="17895" xr:uid="{00000000-0005-0000-0000-000017460000}"/>
    <cellStyle name="检查单元格 2 4 2 9" xfId="17897" xr:uid="{00000000-0005-0000-0000-000019460000}"/>
    <cellStyle name="检查单元格 2 4 2 9 2" xfId="17899" xr:uid="{00000000-0005-0000-0000-00001B460000}"/>
    <cellStyle name="检查单元格 2 4 20" xfId="34660" xr:uid="{00000000-0005-0000-0000-000094870000}"/>
    <cellStyle name="检查单元格 2 4 3" xfId="9442" xr:uid="{00000000-0005-0000-0000-000012250000}"/>
    <cellStyle name="检查单元格 2 4 3 10" xfId="35113" xr:uid="{00000000-0005-0000-0000-000059890000}"/>
    <cellStyle name="检查单元格 2 4 3 11" xfId="35115" xr:uid="{00000000-0005-0000-0000-00005B890000}"/>
    <cellStyle name="检查单元格 2 4 3 12" xfId="35118" xr:uid="{00000000-0005-0000-0000-00005E890000}"/>
    <cellStyle name="检查单元格 2 4 3 13" xfId="8816" xr:uid="{00000000-0005-0000-0000-0000A0220000}"/>
    <cellStyle name="检查单元格 2 4 3 2" xfId="10212" xr:uid="{00000000-0005-0000-0000-000014280000}"/>
    <cellStyle name="检查单元格 2 4 3 2 2" xfId="9396" xr:uid="{00000000-0005-0000-0000-0000E4240000}"/>
    <cellStyle name="检查单元格 2 4 3 2 2 2" xfId="35121" xr:uid="{00000000-0005-0000-0000-000061890000}"/>
    <cellStyle name="检查单元格 2 4 3 2 3" xfId="35122" xr:uid="{00000000-0005-0000-0000-000062890000}"/>
    <cellStyle name="检查单元格 2 4 3 2 3 2" xfId="35125" xr:uid="{00000000-0005-0000-0000-000065890000}"/>
    <cellStyle name="检查单元格 2 4 3 2 4" xfId="35126" xr:uid="{00000000-0005-0000-0000-000066890000}"/>
    <cellStyle name="检查单元格 2 4 3 2 4 2" xfId="35128" xr:uid="{00000000-0005-0000-0000-000068890000}"/>
    <cellStyle name="检查单元格 2 4 3 2 5" xfId="35129" xr:uid="{00000000-0005-0000-0000-000069890000}"/>
    <cellStyle name="检查单元格 2 4 3 2 5 2" xfId="35132" xr:uid="{00000000-0005-0000-0000-00006C890000}"/>
    <cellStyle name="检查单元格 2 4 3 2 6" xfId="34542" xr:uid="{00000000-0005-0000-0000-00001E870000}"/>
    <cellStyle name="检查单元格 2 4 3 2 7" xfId="35133" xr:uid="{00000000-0005-0000-0000-00006D890000}"/>
    <cellStyle name="检查单元格 2 4 3 2 8" xfId="35134" xr:uid="{00000000-0005-0000-0000-00006E890000}"/>
    <cellStyle name="检查单元格 2 4 3 2 9" xfId="35136" xr:uid="{00000000-0005-0000-0000-000070890000}"/>
    <cellStyle name="检查单元格 2 4 3 3" xfId="10218" xr:uid="{00000000-0005-0000-0000-00001A280000}"/>
    <cellStyle name="检查单元格 2 4 3 3 2" xfId="1356" xr:uid="{00000000-0005-0000-0000-00007C050000}"/>
    <cellStyle name="检查单元格 2 4 3 3 2 2" xfId="35139" xr:uid="{00000000-0005-0000-0000-000073890000}"/>
    <cellStyle name="检查单元格 2 4 3 3 3" xfId="35140" xr:uid="{00000000-0005-0000-0000-000074890000}"/>
    <cellStyle name="检查单元格 2 4 3 3 3 2" xfId="35143" xr:uid="{00000000-0005-0000-0000-000077890000}"/>
    <cellStyle name="检查单元格 2 4 3 3 4" xfId="35144" xr:uid="{00000000-0005-0000-0000-000078890000}"/>
    <cellStyle name="检查单元格 2 4 3 3 4 2" xfId="35146" xr:uid="{00000000-0005-0000-0000-00007A890000}"/>
    <cellStyle name="检查单元格 2 4 3 3 5" xfId="35147" xr:uid="{00000000-0005-0000-0000-00007B890000}"/>
    <cellStyle name="检查单元格 2 4 3 3 5 2" xfId="35149" xr:uid="{00000000-0005-0000-0000-00007D890000}"/>
    <cellStyle name="检查单元格 2 4 3 3 6" xfId="34545" xr:uid="{00000000-0005-0000-0000-000021870000}"/>
    <cellStyle name="检查单元格 2 4 3 4" xfId="10227" xr:uid="{00000000-0005-0000-0000-000023280000}"/>
    <cellStyle name="检查单元格 2 4 3 4 2" xfId="3634" xr:uid="{00000000-0005-0000-0000-0000620E0000}"/>
    <cellStyle name="检查单元格 2 4 3 4 2 2" xfId="35152" xr:uid="{00000000-0005-0000-0000-000080890000}"/>
    <cellStyle name="检查单元格 2 4 3 4 3" xfId="35153" xr:uid="{00000000-0005-0000-0000-000081890000}"/>
    <cellStyle name="检查单元格 2 4 3 4 3 2" xfId="35156" xr:uid="{00000000-0005-0000-0000-000084890000}"/>
    <cellStyle name="检查单元格 2 4 3 4 4" xfId="35157" xr:uid="{00000000-0005-0000-0000-000085890000}"/>
    <cellStyle name="检查单元格 2 4 3 4 4 2" xfId="35159" xr:uid="{00000000-0005-0000-0000-000087890000}"/>
    <cellStyle name="检查单元格 2 4 3 4 5" xfId="35160" xr:uid="{00000000-0005-0000-0000-000088890000}"/>
    <cellStyle name="检查单元格 2 4 3 4 5 2" xfId="35162" xr:uid="{00000000-0005-0000-0000-00008A890000}"/>
    <cellStyle name="检查单元格 2 4 3 4 6" xfId="34551" xr:uid="{00000000-0005-0000-0000-000027870000}"/>
    <cellStyle name="检查单元格 2 4 3 5" xfId="15980" xr:uid="{00000000-0005-0000-0000-00009C3E0000}"/>
    <cellStyle name="检查单元格 2 4 3 5 2" xfId="3684" xr:uid="{00000000-0005-0000-0000-0000940E0000}"/>
    <cellStyle name="检查单元格 2 4 3 5 2 2" xfId="35165" xr:uid="{00000000-0005-0000-0000-00008D890000}"/>
    <cellStyle name="检查单元格 2 4 3 5 3" xfId="35167" xr:uid="{00000000-0005-0000-0000-00008F890000}"/>
    <cellStyle name="检查单元格 2 4 3 5 3 2" xfId="35170" xr:uid="{00000000-0005-0000-0000-000092890000}"/>
    <cellStyle name="检查单元格 2 4 3 5 4" xfId="35172" xr:uid="{00000000-0005-0000-0000-000094890000}"/>
    <cellStyle name="检查单元格 2 4 3 5 4 2" xfId="35175" xr:uid="{00000000-0005-0000-0000-000097890000}"/>
    <cellStyle name="检查单元格 2 4 3 5 5" xfId="35177" xr:uid="{00000000-0005-0000-0000-000099890000}"/>
    <cellStyle name="检查单元格 2 4 3 6" xfId="17282" xr:uid="{00000000-0005-0000-0000-0000B2430000}"/>
    <cellStyle name="检查单元格 2 4 3 6 2" xfId="35180" xr:uid="{00000000-0005-0000-0000-00009C890000}"/>
    <cellStyle name="检查单元格 2 4 3 7" xfId="17918" xr:uid="{00000000-0005-0000-0000-00002E460000}"/>
    <cellStyle name="检查单元格 2 4 3 7 2" xfId="3792" xr:uid="{00000000-0005-0000-0000-0000000F0000}"/>
    <cellStyle name="检查单元格 2 4 3 8" xfId="17921" xr:uid="{00000000-0005-0000-0000-000031460000}"/>
    <cellStyle name="检查单元格 2 4 3 8 2" xfId="3873" xr:uid="{00000000-0005-0000-0000-0000510F0000}"/>
    <cellStyle name="检查单元格 2 4 3 9" xfId="17923" xr:uid="{00000000-0005-0000-0000-000033460000}"/>
    <cellStyle name="检查单元格 2 4 3 9 2" xfId="17521" xr:uid="{00000000-0005-0000-0000-0000A1440000}"/>
    <cellStyle name="检查单元格 2 4 4" xfId="17287" xr:uid="{00000000-0005-0000-0000-0000B7430000}"/>
    <cellStyle name="检查单元格 2 4 4 10" xfId="35181" xr:uid="{00000000-0005-0000-0000-00009D890000}"/>
    <cellStyle name="检查单元格 2 4 4 11" xfId="35183" xr:uid="{00000000-0005-0000-0000-00009F890000}"/>
    <cellStyle name="检查单元格 2 4 4 12" xfId="35184" xr:uid="{00000000-0005-0000-0000-0000A0890000}"/>
    <cellStyle name="检查单元格 2 4 4 13" xfId="35185" xr:uid="{00000000-0005-0000-0000-0000A1890000}"/>
    <cellStyle name="检查单元格 2 4 4 2" xfId="9519" xr:uid="{00000000-0005-0000-0000-00005F250000}"/>
    <cellStyle name="检查单元格 2 4 4 2 2" xfId="13869" xr:uid="{00000000-0005-0000-0000-00005D360000}"/>
    <cellStyle name="检查单元格 2 4 4 2 2 2" xfId="35188" xr:uid="{00000000-0005-0000-0000-0000A4890000}"/>
    <cellStyle name="检查单元格 2 4 4 2 3" xfId="35189" xr:uid="{00000000-0005-0000-0000-0000A5890000}"/>
    <cellStyle name="检查单元格 2 4 4 2 3 2" xfId="29332" xr:uid="{00000000-0005-0000-0000-0000C4720000}"/>
    <cellStyle name="检查单元格 2 4 4 2 4" xfId="35190" xr:uid="{00000000-0005-0000-0000-0000A6890000}"/>
    <cellStyle name="检查单元格 2 4 4 2 4 2" xfId="29352" xr:uid="{00000000-0005-0000-0000-0000D8720000}"/>
    <cellStyle name="检查单元格 2 4 4 2 5" xfId="35191" xr:uid="{00000000-0005-0000-0000-0000A7890000}"/>
    <cellStyle name="检查单元格 2 4 4 2 5 2" xfId="26103" xr:uid="{00000000-0005-0000-0000-000027660000}"/>
    <cellStyle name="检查单元格 2 4 4 2 6" xfId="34570" xr:uid="{00000000-0005-0000-0000-00003A870000}"/>
    <cellStyle name="检查单元格 2 4 4 2 7" xfId="35192" xr:uid="{00000000-0005-0000-0000-0000A8890000}"/>
    <cellStyle name="检查单元格 2 4 4 2 8" xfId="35193" xr:uid="{00000000-0005-0000-0000-0000A9890000}"/>
    <cellStyle name="检查单元格 2 4 4 2 9" xfId="35195" xr:uid="{00000000-0005-0000-0000-0000AB890000}"/>
    <cellStyle name="检查单元格 2 4 4 3" xfId="9526" xr:uid="{00000000-0005-0000-0000-000066250000}"/>
    <cellStyle name="检查单元格 2 4 4 3 2" xfId="4130" xr:uid="{00000000-0005-0000-0000-000052100000}"/>
    <cellStyle name="检查单元格 2 4 4 3 2 2" xfId="35198" xr:uid="{00000000-0005-0000-0000-0000AE890000}"/>
    <cellStyle name="检查单元格 2 4 4 3 3" xfId="35199" xr:uid="{00000000-0005-0000-0000-0000AF890000}"/>
    <cellStyle name="检查单元格 2 4 4 3 3 2" xfId="27833" xr:uid="{00000000-0005-0000-0000-0000E96C0000}"/>
    <cellStyle name="检查单元格 2 4 4 3 4" xfId="35200" xr:uid="{00000000-0005-0000-0000-0000B0890000}"/>
    <cellStyle name="检查单元格 2 4 4 3 4 2" xfId="29413" xr:uid="{00000000-0005-0000-0000-000015730000}"/>
    <cellStyle name="检查单元格 2 4 4 3 5" xfId="35201" xr:uid="{00000000-0005-0000-0000-0000B1890000}"/>
    <cellStyle name="检查单元格 2 4 4 3 5 2" xfId="26236" xr:uid="{00000000-0005-0000-0000-0000AC660000}"/>
    <cellStyle name="检查单元格 2 4 4 3 6" xfId="34575" xr:uid="{00000000-0005-0000-0000-00003F870000}"/>
    <cellStyle name="检查单元格 2 4 4 4" xfId="9536" xr:uid="{00000000-0005-0000-0000-000070250000}"/>
    <cellStyle name="检查单元格 2 4 4 4 2" xfId="4233" xr:uid="{00000000-0005-0000-0000-0000B9100000}"/>
    <cellStyle name="检查单元格 2 4 4 4 2 2" xfId="35204" xr:uid="{00000000-0005-0000-0000-0000B4890000}"/>
    <cellStyle name="检查单元格 2 4 4 4 3" xfId="35205" xr:uid="{00000000-0005-0000-0000-0000B5890000}"/>
    <cellStyle name="检查单元格 2 4 4 4 3 2" xfId="35208" xr:uid="{00000000-0005-0000-0000-0000B8890000}"/>
    <cellStyle name="检查单元格 2 4 4 4 4" xfId="35209" xr:uid="{00000000-0005-0000-0000-0000B9890000}"/>
    <cellStyle name="检查单元格 2 4 4 4 4 2" xfId="35211" xr:uid="{00000000-0005-0000-0000-0000BB890000}"/>
    <cellStyle name="检查单元格 2 4 4 4 5" xfId="35212" xr:uid="{00000000-0005-0000-0000-0000BC890000}"/>
    <cellStyle name="检查单元格 2 4 4 4 5 2" xfId="35214" xr:uid="{00000000-0005-0000-0000-0000BE890000}"/>
    <cellStyle name="检查单元格 2 4 4 4 6" xfId="34581" xr:uid="{00000000-0005-0000-0000-000045870000}"/>
    <cellStyle name="检查单元格 2 4 4 5" xfId="9544" xr:uid="{00000000-0005-0000-0000-000078250000}"/>
    <cellStyle name="检查单元格 2 4 4 5 2" xfId="3580" xr:uid="{00000000-0005-0000-0000-00002C0E0000}"/>
    <cellStyle name="检查单元格 2 4 4 5 2 2" xfId="35217" xr:uid="{00000000-0005-0000-0000-0000C1890000}"/>
    <cellStyle name="检查单元格 2 4 4 5 3" xfId="35219" xr:uid="{00000000-0005-0000-0000-0000C3890000}"/>
    <cellStyle name="检查单元格 2 4 4 5 3 2" xfId="35222" xr:uid="{00000000-0005-0000-0000-0000C6890000}"/>
    <cellStyle name="检查单元格 2 4 4 5 4" xfId="35223" xr:uid="{00000000-0005-0000-0000-0000C7890000}"/>
    <cellStyle name="检查单元格 2 4 4 5 4 2" xfId="35227" xr:uid="{00000000-0005-0000-0000-0000CB890000}"/>
    <cellStyle name="检查单元格 2 4 4 5 5" xfId="35228" xr:uid="{00000000-0005-0000-0000-0000CC890000}"/>
    <cellStyle name="检查单元格 2 4 4 6" xfId="17290" xr:uid="{00000000-0005-0000-0000-0000BA430000}"/>
    <cellStyle name="检查单元格 2 4 4 6 2" xfId="35230" xr:uid="{00000000-0005-0000-0000-0000CE890000}"/>
    <cellStyle name="检查单元格 2 4 4 7" xfId="17934" xr:uid="{00000000-0005-0000-0000-00003E460000}"/>
    <cellStyle name="检查单元格 2 4 4 7 2" xfId="4315" xr:uid="{00000000-0005-0000-0000-00000B110000}"/>
    <cellStyle name="检查单元格 2 4 4 8" xfId="17937" xr:uid="{00000000-0005-0000-0000-000041460000}"/>
    <cellStyle name="检查单元格 2 4 4 8 2" xfId="4343" xr:uid="{00000000-0005-0000-0000-000027110000}"/>
    <cellStyle name="检查单元格 2 4 4 9" xfId="17939" xr:uid="{00000000-0005-0000-0000-000043460000}"/>
    <cellStyle name="检查单元格 2 4 4 9 2" xfId="17943" xr:uid="{00000000-0005-0000-0000-000047460000}"/>
    <cellStyle name="检查单元格 2 4 5" xfId="17293" xr:uid="{00000000-0005-0000-0000-0000BD430000}"/>
    <cellStyle name="检查单元格 2 4 5 10" xfId="17382" xr:uid="{00000000-0005-0000-0000-000016440000}"/>
    <cellStyle name="检查单元格 2 4 5 11" xfId="35231" xr:uid="{00000000-0005-0000-0000-0000CF890000}"/>
    <cellStyle name="检查单元格 2 4 5 12" xfId="35232" xr:uid="{00000000-0005-0000-0000-0000D0890000}"/>
    <cellStyle name="检查单元格 2 4 5 13" xfId="35234" xr:uid="{00000000-0005-0000-0000-0000D2890000}"/>
    <cellStyle name="检查单元格 2 4 5 2" xfId="13881" xr:uid="{00000000-0005-0000-0000-000069360000}"/>
    <cellStyle name="检查单元格 2 4 5 2 2" xfId="13885" xr:uid="{00000000-0005-0000-0000-00006D360000}"/>
    <cellStyle name="检查单元格 2 4 5 2 2 2" xfId="35236" xr:uid="{00000000-0005-0000-0000-0000D4890000}"/>
    <cellStyle name="检查单元格 2 4 5 2 3" xfId="742" xr:uid="{00000000-0005-0000-0000-000016030000}"/>
    <cellStyle name="检查单元格 2 4 5 2 3 2" xfId="35239" xr:uid="{00000000-0005-0000-0000-0000D7890000}"/>
    <cellStyle name="检查单元格 2 4 5 2 4" xfId="35240" xr:uid="{00000000-0005-0000-0000-0000D8890000}"/>
    <cellStyle name="检查单元格 2 4 5 2 4 2" xfId="35242" xr:uid="{00000000-0005-0000-0000-0000DA890000}"/>
    <cellStyle name="检查单元格 2 4 5 2 5" xfId="35243" xr:uid="{00000000-0005-0000-0000-0000DB890000}"/>
    <cellStyle name="检查单元格 2 4 5 2 5 2" xfId="23739" xr:uid="{00000000-0005-0000-0000-0000EB5C0000}"/>
    <cellStyle name="检查单元格 2 4 5 2 6" xfId="34595" xr:uid="{00000000-0005-0000-0000-000053870000}"/>
    <cellStyle name="检查单元格 2 4 5 2 7" xfId="35244" xr:uid="{00000000-0005-0000-0000-0000DC890000}"/>
    <cellStyle name="检查单元格 2 4 5 2 8" xfId="35245" xr:uid="{00000000-0005-0000-0000-0000DD890000}"/>
    <cellStyle name="检查单元格 2 4 5 2 9" xfId="35247" xr:uid="{00000000-0005-0000-0000-0000DF890000}"/>
    <cellStyle name="检查单元格 2 4 5 3" xfId="13897" xr:uid="{00000000-0005-0000-0000-000079360000}"/>
    <cellStyle name="检查单元格 2 4 5 3 2" xfId="4480" xr:uid="{00000000-0005-0000-0000-0000B0110000}"/>
    <cellStyle name="检查单元格 2 4 5 3 2 2" xfId="35249" xr:uid="{00000000-0005-0000-0000-0000E1890000}"/>
    <cellStyle name="检查单元格 2 4 5 3 3" xfId="4486" xr:uid="{00000000-0005-0000-0000-0000B6110000}"/>
    <cellStyle name="检查单元格 2 4 5 3 3 2" xfId="35252" xr:uid="{00000000-0005-0000-0000-0000E4890000}"/>
    <cellStyle name="检查单元格 2 4 5 3 4" xfId="35253" xr:uid="{00000000-0005-0000-0000-0000E5890000}"/>
    <cellStyle name="检查单元格 2 4 5 3 4 2" xfId="35255" xr:uid="{00000000-0005-0000-0000-0000E7890000}"/>
    <cellStyle name="检查单元格 2 4 5 3 5" xfId="35256" xr:uid="{00000000-0005-0000-0000-0000E8890000}"/>
    <cellStyle name="检查单元格 2 4 5 3 5 2" xfId="35258" xr:uid="{00000000-0005-0000-0000-0000EA890000}"/>
    <cellStyle name="检查单元格 2 4 5 3 6" xfId="34600" xr:uid="{00000000-0005-0000-0000-000058870000}"/>
    <cellStyle name="检查单元格 2 4 5 4" xfId="13903" xr:uid="{00000000-0005-0000-0000-00007F360000}"/>
    <cellStyle name="检查单元格 2 4 5 4 2" xfId="4536" xr:uid="{00000000-0005-0000-0000-0000E8110000}"/>
    <cellStyle name="检查单元格 2 4 5 4 2 2" xfId="35260" xr:uid="{00000000-0005-0000-0000-0000EC890000}"/>
    <cellStyle name="检查单元格 2 4 5 4 3" xfId="35261" xr:uid="{00000000-0005-0000-0000-0000ED890000}"/>
    <cellStyle name="检查单元格 2 4 5 4 3 2" xfId="35264" xr:uid="{00000000-0005-0000-0000-0000F0890000}"/>
    <cellStyle name="检查单元格 2 4 5 4 4" xfId="35265" xr:uid="{00000000-0005-0000-0000-0000F1890000}"/>
    <cellStyle name="检查单元格 2 4 5 4 4 2" xfId="35267" xr:uid="{00000000-0005-0000-0000-0000F3890000}"/>
    <cellStyle name="检查单元格 2 4 5 4 5" xfId="26728" xr:uid="{00000000-0005-0000-0000-000098680000}"/>
    <cellStyle name="检查单元格 2 4 5 4 5 2" xfId="35269" xr:uid="{00000000-0005-0000-0000-0000F5890000}"/>
    <cellStyle name="检查单元格 2 4 5 4 6" xfId="34606" xr:uid="{00000000-0005-0000-0000-00005E870000}"/>
    <cellStyle name="检查单元格 2 4 5 5" xfId="17296" xr:uid="{00000000-0005-0000-0000-0000C0430000}"/>
    <cellStyle name="检查单元格 2 4 5 5 2" xfId="506" xr:uid="{00000000-0005-0000-0000-000028020000}"/>
    <cellStyle name="检查单元格 2 4 5 5 2 2" xfId="35271" xr:uid="{00000000-0005-0000-0000-0000F7890000}"/>
    <cellStyle name="检查单元格 2 4 5 5 3" xfId="35272" xr:uid="{00000000-0005-0000-0000-0000F8890000}"/>
    <cellStyle name="检查单元格 2 4 5 5 3 2" xfId="35274" xr:uid="{00000000-0005-0000-0000-0000FA890000}"/>
    <cellStyle name="检查单元格 2 4 5 5 4" xfId="35275" xr:uid="{00000000-0005-0000-0000-0000FB890000}"/>
    <cellStyle name="检查单元格 2 4 5 5 4 2" xfId="35278" xr:uid="{00000000-0005-0000-0000-0000FE890000}"/>
    <cellStyle name="检查单元格 2 4 5 5 5" xfId="26737" xr:uid="{00000000-0005-0000-0000-0000A1680000}"/>
    <cellStyle name="检查单元格 2 4 5 6" xfId="17299" xr:uid="{00000000-0005-0000-0000-0000C3430000}"/>
    <cellStyle name="检查单元格 2 4 5 6 2" xfId="35279" xr:uid="{00000000-0005-0000-0000-0000FF890000}"/>
    <cellStyle name="检查单元格 2 4 5 7" xfId="17947" xr:uid="{00000000-0005-0000-0000-00004B460000}"/>
    <cellStyle name="检查单元格 2 4 5 7 2" xfId="35280" xr:uid="{00000000-0005-0000-0000-0000008A0000}"/>
    <cellStyle name="检查单元格 2 4 5 8" xfId="35281" xr:uid="{00000000-0005-0000-0000-0000018A0000}"/>
    <cellStyle name="检查单元格 2 4 5 8 2" xfId="35283" xr:uid="{00000000-0005-0000-0000-0000038A0000}"/>
    <cellStyle name="检查单元格 2 4 5 9" xfId="35284" xr:uid="{00000000-0005-0000-0000-0000048A0000}"/>
    <cellStyle name="检查单元格 2 4 5 9 2" xfId="35285" xr:uid="{00000000-0005-0000-0000-0000058A0000}"/>
    <cellStyle name="检查单元格 2 4 6" xfId="17301" xr:uid="{00000000-0005-0000-0000-0000C5430000}"/>
    <cellStyle name="检查单元格 2 4 6 10" xfId="35286" xr:uid="{00000000-0005-0000-0000-0000068A0000}"/>
    <cellStyle name="检查单元格 2 4 6 11" xfId="35289" xr:uid="{00000000-0005-0000-0000-0000098A0000}"/>
    <cellStyle name="检查单元格 2 4 6 12" xfId="35292" xr:uid="{00000000-0005-0000-0000-00000C8A0000}"/>
    <cellStyle name="检查单元格 2 4 6 13" xfId="35294" xr:uid="{00000000-0005-0000-0000-00000E8A0000}"/>
    <cellStyle name="检查单元格 2 4 6 2" xfId="13913" xr:uid="{00000000-0005-0000-0000-000089360000}"/>
    <cellStyle name="检查单元格 2 4 6 2 2" xfId="13916" xr:uid="{00000000-0005-0000-0000-00008C360000}"/>
    <cellStyle name="检查单元格 2 4 6 2 2 2" xfId="35298" xr:uid="{00000000-0005-0000-0000-0000128A0000}"/>
    <cellStyle name="检查单元格 2 4 6 2 3" xfId="35299" xr:uid="{00000000-0005-0000-0000-0000138A0000}"/>
    <cellStyle name="检查单元格 2 4 6 2 3 2" xfId="1964" xr:uid="{00000000-0005-0000-0000-0000DC070000}"/>
    <cellStyle name="检查单元格 2 4 6 2 4" xfId="35301" xr:uid="{00000000-0005-0000-0000-0000158A0000}"/>
    <cellStyle name="检查单元格 2 4 6 2 4 2" xfId="35304" xr:uid="{00000000-0005-0000-0000-0000188A0000}"/>
    <cellStyle name="检查单元格 2 4 6 2 5" xfId="35305" xr:uid="{00000000-0005-0000-0000-0000198A0000}"/>
    <cellStyle name="检查单元格 2 4 6 2 5 2" xfId="35307" xr:uid="{00000000-0005-0000-0000-00001B8A0000}"/>
    <cellStyle name="检查单元格 2 4 6 2 6" xfId="34624" xr:uid="{00000000-0005-0000-0000-000070870000}"/>
    <cellStyle name="检查单元格 2 4 6 2 7" xfId="35308" xr:uid="{00000000-0005-0000-0000-00001C8A0000}"/>
    <cellStyle name="检查单元格 2 4 6 2 8" xfId="35309" xr:uid="{00000000-0005-0000-0000-00001D8A0000}"/>
    <cellStyle name="检查单元格 2 4 6 2 9" xfId="35311" xr:uid="{00000000-0005-0000-0000-00001F8A0000}"/>
    <cellStyle name="检查单元格 2 4 6 3" xfId="13924" xr:uid="{00000000-0005-0000-0000-000094360000}"/>
    <cellStyle name="检查单元格 2 4 6 3 2" xfId="4759" xr:uid="{00000000-0005-0000-0000-0000C7120000}"/>
    <cellStyle name="检查单元格 2 4 6 3 2 2" xfId="5239" xr:uid="{00000000-0005-0000-0000-0000A7140000}"/>
    <cellStyle name="检查单元格 2 4 6 3 3" xfId="35312" xr:uid="{00000000-0005-0000-0000-0000208A0000}"/>
    <cellStyle name="检查单元格 2 4 6 3 3 2" xfId="5695" xr:uid="{00000000-0005-0000-0000-00006F160000}"/>
    <cellStyle name="检查单元格 2 4 6 3 4" xfId="35313" xr:uid="{00000000-0005-0000-0000-0000218A0000}"/>
    <cellStyle name="检查单元格 2 4 6 3 4 2" xfId="5776" xr:uid="{00000000-0005-0000-0000-0000C0160000}"/>
    <cellStyle name="检查单元格 2 4 6 3 5" xfId="35314" xr:uid="{00000000-0005-0000-0000-0000228A0000}"/>
    <cellStyle name="检查单元格 2 4 6 3 5 2" xfId="5886" xr:uid="{00000000-0005-0000-0000-00002E170000}"/>
    <cellStyle name="检查单元格 2 4 6 3 6" xfId="34629" xr:uid="{00000000-0005-0000-0000-000075870000}"/>
    <cellStyle name="检查单元格 2 4 6 4" xfId="13929" xr:uid="{00000000-0005-0000-0000-000099360000}"/>
    <cellStyle name="检查单元格 2 4 6 4 2" xfId="4795" xr:uid="{00000000-0005-0000-0000-0000EB120000}"/>
    <cellStyle name="检查单元格 2 4 6 4 2 2" xfId="35317" xr:uid="{00000000-0005-0000-0000-0000258A0000}"/>
    <cellStyle name="检查单元格 2 4 6 4 3" xfId="35318" xr:uid="{00000000-0005-0000-0000-0000268A0000}"/>
    <cellStyle name="检查单元格 2 4 6 4 3 2" xfId="35322" xr:uid="{00000000-0005-0000-0000-00002A8A0000}"/>
    <cellStyle name="检查单元格 2 4 6 4 4" xfId="21512" xr:uid="{00000000-0005-0000-0000-000038540000}"/>
    <cellStyle name="检查单元格 2 4 6 4 4 2" xfId="35325" xr:uid="{00000000-0005-0000-0000-00002D8A0000}"/>
    <cellStyle name="检查单元格 2 4 6 4 5" xfId="35326" xr:uid="{00000000-0005-0000-0000-00002E8A0000}"/>
    <cellStyle name="检查单元格 2 4 6 4 5 2" xfId="28582" xr:uid="{00000000-0005-0000-0000-0000D66F0000}"/>
    <cellStyle name="检查单元格 2 4 6 4 6" xfId="34632" xr:uid="{00000000-0005-0000-0000-000078870000}"/>
    <cellStyle name="检查单元格 2 4 6 5" xfId="17304" xr:uid="{00000000-0005-0000-0000-0000C8430000}"/>
    <cellStyle name="检查单元格 2 4 6 5 2" xfId="4838" xr:uid="{00000000-0005-0000-0000-000016130000}"/>
    <cellStyle name="检查单元格 2 4 6 5 2 2" xfId="14305" xr:uid="{00000000-0005-0000-0000-000011380000}"/>
    <cellStyle name="检查单元格 2 4 6 5 3" xfId="14306" xr:uid="{00000000-0005-0000-0000-000012380000}"/>
    <cellStyle name="检查单元格 2 4 6 5 3 2" xfId="14311" xr:uid="{00000000-0005-0000-0000-000017380000}"/>
    <cellStyle name="检查单元格 2 4 6 5 4" xfId="14312" xr:uid="{00000000-0005-0000-0000-000018380000}"/>
    <cellStyle name="检查单元格 2 4 6 5 4 2" xfId="35329" xr:uid="{00000000-0005-0000-0000-0000318A0000}"/>
    <cellStyle name="检查单元格 2 4 6 5 5" xfId="14315" xr:uid="{00000000-0005-0000-0000-00001B380000}"/>
    <cellStyle name="检查单元格 2 4 6 6" xfId="17307" xr:uid="{00000000-0005-0000-0000-0000CB430000}"/>
    <cellStyle name="检查单元格 2 4 6 6 2" xfId="35330" xr:uid="{00000000-0005-0000-0000-0000328A0000}"/>
    <cellStyle name="检查单元格 2 4 6 7" xfId="35331" xr:uid="{00000000-0005-0000-0000-0000338A0000}"/>
    <cellStyle name="检查单元格 2 4 6 7 2" xfId="35332" xr:uid="{00000000-0005-0000-0000-0000348A0000}"/>
    <cellStyle name="检查单元格 2 4 6 8" xfId="35333" xr:uid="{00000000-0005-0000-0000-0000358A0000}"/>
    <cellStyle name="检查单元格 2 4 6 8 2" xfId="35335" xr:uid="{00000000-0005-0000-0000-0000378A0000}"/>
    <cellStyle name="检查单元格 2 4 6 9" xfId="35336" xr:uid="{00000000-0005-0000-0000-0000388A0000}"/>
    <cellStyle name="检查单元格 2 4 6 9 2" xfId="35337" xr:uid="{00000000-0005-0000-0000-0000398A0000}"/>
    <cellStyle name="检查单元格 2 4 7" xfId="8943" xr:uid="{00000000-0005-0000-0000-00001F230000}"/>
    <cellStyle name="检查单元格 2 4 7 10" xfId="35338" xr:uid="{00000000-0005-0000-0000-00003A8A0000}"/>
    <cellStyle name="检查单元格 2 4 7 11" xfId="7641" xr:uid="{00000000-0005-0000-0000-0000091E0000}"/>
    <cellStyle name="检查单元格 2 4 7 12" xfId="35340" xr:uid="{00000000-0005-0000-0000-00003C8A0000}"/>
    <cellStyle name="检查单元格 2 4 7 13" xfId="35342" xr:uid="{00000000-0005-0000-0000-00003E8A0000}"/>
    <cellStyle name="检查单元格 2 4 7 2" xfId="13937" xr:uid="{00000000-0005-0000-0000-0000A1360000}"/>
    <cellStyle name="检查单元格 2 4 7 2 2" xfId="13940" xr:uid="{00000000-0005-0000-0000-0000A4360000}"/>
    <cellStyle name="检查单元格 2 4 7 2 2 2" xfId="35345" xr:uid="{00000000-0005-0000-0000-0000418A0000}"/>
    <cellStyle name="检查单元格 2 4 7 2 3" xfId="35346" xr:uid="{00000000-0005-0000-0000-0000428A0000}"/>
    <cellStyle name="检查单元格 2 4 7 2 3 2" xfId="35349" xr:uid="{00000000-0005-0000-0000-0000458A0000}"/>
    <cellStyle name="检查单元格 2 4 7 2 4" xfId="35351" xr:uid="{00000000-0005-0000-0000-0000478A0000}"/>
    <cellStyle name="检查单元格 2 4 7 2 4 2" xfId="35353" xr:uid="{00000000-0005-0000-0000-0000498A0000}"/>
    <cellStyle name="检查单元格 2 4 7 2 5" xfId="35354" xr:uid="{00000000-0005-0000-0000-00004A8A0000}"/>
    <cellStyle name="检查单元格 2 4 7 2 5 2" xfId="35355" xr:uid="{00000000-0005-0000-0000-00004B8A0000}"/>
    <cellStyle name="检查单元格 2 4 7 2 6" xfId="35356" xr:uid="{00000000-0005-0000-0000-00004C8A0000}"/>
    <cellStyle name="检查单元格 2 4 7 2 7" xfId="35358" xr:uid="{00000000-0005-0000-0000-00004E8A0000}"/>
    <cellStyle name="检查单元格 2 4 7 2 8" xfId="35359" xr:uid="{00000000-0005-0000-0000-00004F8A0000}"/>
    <cellStyle name="检查单元格 2 4 7 2 9" xfId="35361" xr:uid="{00000000-0005-0000-0000-0000518A0000}"/>
    <cellStyle name="检查单元格 2 4 7 3" xfId="13945" xr:uid="{00000000-0005-0000-0000-0000A9360000}"/>
    <cellStyle name="检查单元格 2 4 7 3 2" xfId="5032" xr:uid="{00000000-0005-0000-0000-0000D8130000}"/>
    <cellStyle name="检查单元格 2 4 7 3 2 2" xfId="35363" xr:uid="{00000000-0005-0000-0000-0000538A0000}"/>
    <cellStyle name="检查单元格 2 4 7 3 3" xfId="35364" xr:uid="{00000000-0005-0000-0000-0000548A0000}"/>
    <cellStyle name="检查单元格 2 4 7 3 3 2" xfId="35367" xr:uid="{00000000-0005-0000-0000-0000578A0000}"/>
    <cellStyle name="检查单元格 2 4 7 3 4" xfId="35368" xr:uid="{00000000-0005-0000-0000-0000588A0000}"/>
    <cellStyle name="检查单元格 2 4 7 3 4 2" xfId="35371" xr:uid="{00000000-0005-0000-0000-00005B8A0000}"/>
    <cellStyle name="检查单元格 2 4 7 3 5" xfId="35372" xr:uid="{00000000-0005-0000-0000-00005C8A0000}"/>
    <cellStyle name="检查单元格 2 4 7 3 5 2" xfId="33073" xr:uid="{00000000-0005-0000-0000-000061810000}"/>
    <cellStyle name="检查单元格 2 4 7 3 6" xfId="35373" xr:uid="{00000000-0005-0000-0000-00005D8A0000}"/>
    <cellStyle name="检查单元格 2 4 7 4" xfId="13951" xr:uid="{00000000-0005-0000-0000-0000AF360000}"/>
    <cellStyle name="检查单元格 2 4 7 4 2" xfId="5057" xr:uid="{00000000-0005-0000-0000-0000F1130000}"/>
    <cellStyle name="检查单元格 2 4 7 4 2 2" xfId="35376" xr:uid="{00000000-0005-0000-0000-0000608A0000}"/>
    <cellStyle name="检查单元格 2 4 7 4 3" xfId="35377" xr:uid="{00000000-0005-0000-0000-0000618A0000}"/>
    <cellStyle name="检查单元格 2 4 7 4 3 2" xfId="35380" xr:uid="{00000000-0005-0000-0000-0000648A0000}"/>
    <cellStyle name="检查单元格 2 4 7 4 4" xfId="35381" xr:uid="{00000000-0005-0000-0000-0000658A0000}"/>
    <cellStyle name="检查单元格 2 4 7 4 4 2" xfId="35383" xr:uid="{00000000-0005-0000-0000-0000678A0000}"/>
    <cellStyle name="检查单元格 2 4 7 4 5" xfId="35384" xr:uid="{00000000-0005-0000-0000-0000688A0000}"/>
    <cellStyle name="检查单元格 2 4 7 4 5 2" xfId="33402" xr:uid="{00000000-0005-0000-0000-0000AA820000}"/>
    <cellStyle name="检查单元格 2 4 7 4 6" xfId="35385" xr:uid="{00000000-0005-0000-0000-0000698A0000}"/>
    <cellStyle name="检查单元格 2 4 7 5" xfId="17310" xr:uid="{00000000-0005-0000-0000-0000CE430000}"/>
    <cellStyle name="检查单元格 2 4 7 5 2" xfId="5087" xr:uid="{00000000-0005-0000-0000-00000F140000}"/>
    <cellStyle name="检查单元格 2 4 7 5 2 2" xfId="15062" xr:uid="{00000000-0005-0000-0000-0000063B0000}"/>
    <cellStyle name="检查单元格 2 4 7 5 3" xfId="15065" xr:uid="{00000000-0005-0000-0000-0000093B0000}"/>
    <cellStyle name="检查单元格 2 4 7 5 3 2" xfId="15069" xr:uid="{00000000-0005-0000-0000-00000D3B0000}"/>
    <cellStyle name="检查单元格 2 4 7 5 4" xfId="15072" xr:uid="{00000000-0005-0000-0000-0000103B0000}"/>
    <cellStyle name="检查单元格 2 4 7 5 4 2" xfId="35389" xr:uid="{00000000-0005-0000-0000-00006D8A0000}"/>
    <cellStyle name="检查单元格 2 4 7 5 5" xfId="15076" xr:uid="{00000000-0005-0000-0000-0000143B0000}"/>
    <cellStyle name="检查单元格 2 4 7 6" xfId="35392" xr:uid="{00000000-0005-0000-0000-0000708A0000}"/>
    <cellStyle name="检查单元格 2 4 7 6 2" xfId="35395" xr:uid="{00000000-0005-0000-0000-0000738A0000}"/>
    <cellStyle name="检查单元格 2 4 7 7" xfId="35399" xr:uid="{00000000-0005-0000-0000-0000778A0000}"/>
    <cellStyle name="检查单元格 2 4 7 7 2" xfId="35402" xr:uid="{00000000-0005-0000-0000-00007A8A0000}"/>
    <cellStyle name="检查单元格 2 4 7 8" xfId="35404" xr:uid="{00000000-0005-0000-0000-00007C8A0000}"/>
    <cellStyle name="检查单元格 2 4 7 8 2" xfId="35407" xr:uid="{00000000-0005-0000-0000-00007F8A0000}"/>
    <cellStyle name="检查单元格 2 4 7 9" xfId="35409" xr:uid="{00000000-0005-0000-0000-0000818A0000}"/>
    <cellStyle name="检查单元格 2 4 7 9 2" xfId="35412" xr:uid="{00000000-0005-0000-0000-0000848A0000}"/>
    <cellStyle name="检查单元格 2 4 8" xfId="17314" xr:uid="{00000000-0005-0000-0000-0000D2430000}"/>
    <cellStyle name="检查单元格 2 4 8 2" xfId="13960" xr:uid="{00000000-0005-0000-0000-0000B8360000}"/>
    <cellStyle name="检查单元格 2 4 8 2 2" xfId="13964" xr:uid="{00000000-0005-0000-0000-0000BC360000}"/>
    <cellStyle name="检查单元格 2 4 8 2 2 2" xfId="35414" xr:uid="{00000000-0005-0000-0000-0000868A0000}"/>
    <cellStyle name="检查单元格 2 4 8 2 3" xfId="35415" xr:uid="{00000000-0005-0000-0000-0000878A0000}"/>
    <cellStyle name="检查单元格 2 4 8 2 3 2" xfId="35418" xr:uid="{00000000-0005-0000-0000-00008A8A0000}"/>
    <cellStyle name="检查单元格 2 4 8 2 4" xfId="35420" xr:uid="{00000000-0005-0000-0000-00008C8A0000}"/>
    <cellStyle name="检查单元格 2 4 8 2 4 2" xfId="35422" xr:uid="{00000000-0005-0000-0000-00008E8A0000}"/>
    <cellStyle name="检查单元格 2 4 8 2 5" xfId="35423" xr:uid="{00000000-0005-0000-0000-00008F8A0000}"/>
    <cellStyle name="检查单元格 2 4 8 2 5 2" xfId="35424" xr:uid="{00000000-0005-0000-0000-0000908A0000}"/>
    <cellStyle name="检查单元格 2 4 8 2 6" xfId="35425" xr:uid="{00000000-0005-0000-0000-0000918A0000}"/>
    <cellStyle name="检查单元格 2 4 8 2 7" xfId="35427" xr:uid="{00000000-0005-0000-0000-0000938A0000}"/>
    <cellStyle name="检查单元格 2 4 8 2 8" xfId="35428" xr:uid="{00000000-0005-0000-0000-0000948A0000}"/>
    <cellStyle name="检查单元格 2 4 8 2 9" xfId="35430" xr:uid="{00000000-0005-0000-0000-0000968A0000}"/>
    <cellStyle name="检查单元格 2 4 8 3" xfId="13969" xr:uid="{00000000-0005-0000-0000-0000C1360000}"/>
    <cellStyle name="检查单元格 2 4 8 3 2" xfId="5286" xr:uid="{00000000-0005-0000-0000-0000D6140000}"/>
    <cellStyle name="检查单元格 2 4 8 3 2 2" xfId="35432" xr:uid="{00000000-0005-0000-0000-0000988A0000}"/>
    <cellStyle name="检查单元格 2 4 8 3 3" xfId="35433" xr:uid="{00000000-0005-0000-0000-0000998A0000}"/>
    <cellStyle name="检查单元格 2 4 8 3 3 2" xfId="35436" xr:uid="{00000000-0005-0000-0000-00009C8A0000}"/>
    <cellStyle name="检查单元格 2 4 8 3 4" xfId="35437" xr:uid="{00000000-0005-0000-0000-00009D8A0000}"/>
    <cellStyle name="检查单元格 2 4 8 3 4 2" xfId="35440" xr:uid="{00000000-0005-0000-0000-0000A08A0000}"/>
    <cellStyle name="检查单元格 2 4 8 3 5" xfId="35441" xr:uid="{00000000-0005-0000-0000-0000A18A0000}"/>
    <cellStyle name="检查单元格 2 4 8 3 5 2" xfId="35442" xr:uid="{00000000-0005-0000-0000-0000A28A0000}"/>
    <cellStyle name="检查单元格 2 4 8 3 6" xfId="35443" xr:uid="{00000000-0005-0000-0000-0000A38A0000}"/>
    <cellStyle name="检查单元格 2 4 8 4" xfId="17635" xr:uid="{00000000-0005-0000-0000-000013450000}"/>
    <cellStyle name="检查单元格 2 4 8 4 2" xfId="35446" xr:uid="{00000000-0005-0000-0000-0000A68A0000}"/>
    <cellStyle name="检查单元格 2 4 8 4 2 2" xfId="35448" xr:uid="{00000000-0005-0000-0000-0000A88A0000}"/>
    <cellStyle name="检查单元格 2 4 8 4 3" xfId="35449" xr:uid="{00000000-0005-0000-0000-0000A98A0000}"/>
    <cellStyle name="检查单元格 2 4 8 4 3 2" xfId="35452" xr:uid="{00000000-0005-0000-0000-0000AC8A0000}"/>
    <cellStyle name="检查单元格 2 4 8 4 4" xfId="35453" xr:uid="{00000000-0005-0000-0000-0000AD8A0000}"/>
    <cellStyle name="检查单元格 2 4 8 4 4 2" xfId="35455" xr:uid="{00000000-0005-0000-0000-0000AF8A0000}"/>
    <cellStyle name="检查单元格 2 4 8 4 5" xfId="35456" xr:uid="{00000000-0005-0000-0000-0000B08A0000}"/>
    <cellStyle name="检查单元格 2 4 8 4 5 2" xfId="35457" xr:uid="{00000000-0005-0000-0000-0000B18A0000}"/>
    <cellStyle name="检查单元格 2 4 8 4 6" xfId="35458" xr:uid="{00000000-0005-0000-0000-0000B28A0000}"/>
    <cellStyle name="检查单元格 2 4 8 5" xfId="16476" xr:uid="{00000000-0005-0000-0000-00008C400000}"/>
    <cellStyle name="检查单元格 2 4 8 5 2" xfId="35461" xr:uid="{00000000-0005-0000-0000-0000B58A0000}"/>
    <cellStyle name="检查单元格 2 4 8 5 2 2" xfId="35463" xr:uid="{00000000-0005-0000-0000-0000B78A0000}"/>
    <cellStyle name="检查单元格 2 4 8 5 3" xfId="35464" xr:uid="{00000000-0005-0000-0000-0000B88A0000}"/>
    <cellStyle name="检查单元格 2 4 8 5 3 2" xfId="35466" xr:uid="{00000000-0005-0000-0000-0000BA8A0000}"/>
    <cellStyle name="检查单元格 2 4 8 5 4" xfId="35467" xr:uid="{00000000-0005-0000-0000-0000BB8A0000}"/>
    <cellStyle name="检查单元格 2 4 8 5 4 2" xfId="15701" xr:uid="{00000000-0005-0000-0000-0000853D0000}"/>
    <cellStyle name="检查单元格 2 4 8 5 5" xfId="35468" xr:uid="{00000000-0005-0000-0000-0000BC8A0000}"/>
    <cellStyle name="检查单元格 2 4 8 6" xfId="7784" xr:uid="{00000000-0005-0000-0000-0000981E0000}"/>
    <cellStyle name="检查单元格 2 4 8 7" xfId="7331" xr:uid="{00000000-0005-0000-0000-0000D31C0000}"/>
    <cellStyle name="检查单元格 2 4 8 8" xfId="5709" xr:uid="{00000000-0005-0000-0000-00007D160000}"/>
    <cellStyle name="检查单元格 2 4 9" xfId="35469" xr:uid="{00000000-0005-0000-0000-0000BD8A0000}"/>
    <cellStyle name="检查单元格 2 4 9 2" xfId="34756" xr:uid="{00000000-0005-0000-0000-0000F4870000}"/>
    <cellStyle name="检查单元格 2 4 9 2 2" xfId="35470" xr:uid="{00000000-0005-0000-0000-0000BE8A0000}"/>
    <cellStyle name="检查单元格 2 4 9 3" xfId="34759" xr:uid="{00000000-0005-0000-0000-0000F7870000}"/>
    <cellStyle name="检查单元格 2 4 9 3 2" xfId="35472" xr:uid="{00000000-0005-0000-0000-0000C08A0000}"/>
    <cellStyle name="检查单元格 2 4 9 4" xfId="34762" xr:uid="{00000000-0005-0000-0000-0000FA870000}"/>
    <cellStyle name="检查单元格 2 4 9 4 2" xfId="35474" xr:uid="{00000000-0005-0000-0000-0000C28A0000}"/>
    <cellStyle name="检查单元格 2 4 9 5" xfId="35476" xr:uid="{00000000-0005-0000-0000-0000C48A0000}"/>
    <cellStyle name="检查单元格 2 4 9 5 2" xfId="35478" xr:uid="{00000000-0005-0000-0000-0000C68A0000}"/>
    <cellStyle name="检查单元格 2 4 9 6" xfId="7798" xr:uid="{00000000-0005-0000-0000-0000A61E0000}"/>
    <cellStyle name="检查单元格 2 5" xfId="33350" xr:uid="{00000000-0005-0000-0000-000076820000}"/>
    <cellStyle name="检查单元格 2 5 10" xfId="17322" xr:uid="{00000000-0005-0000-0000-0000DA430000}"/>
    <cellStyle name="检查单元格 2 5 10 2" xfId="10969" xr:uid="{00000000-0005-0000-0000-0000092B0000}"/>
    <cellStyle name="检查单元格 2 5 10 2 2" xfId="35480" xr:uid="{00000000-0005-0000-0000-0000C88A0000}"/>
    <cellStyle name="检查单元格 2 5 10 3" xfId="10978" xr:uid="{00000000-0005-0000-0000-0000122B0000}"/>
    <cellStyle name="检查单元格 2 5 10 3 2" xfId="27193" xr:uid="{00000000-0005-0000-0000-0000696A0000}"/>
    <cellStyle name="检查单元格 2 5 10 4" xfId="10992" xr:uid="{00000000-0005-0000-0000-0000202B0000}"/>
    <cellStyle name="检查单元格 2 5 10 4 2" xfId="27200" xr:uid="{00000000-0005-0000-0000-0000706A0000}"/>
    <cellStyle name="检查单元格 2 5 10 5" xfId="27203" xr:uid="{00000000-0005-0000-0000-0000736A0000}"/>
    <cellStyle name="检查单元格 2 5 10 5 2" xfId="26229" xr:uid="{00000000-0005-0000-0000-0000A5660000}"/>
    <cellStyle name="检查单元格 2 5 10 6" xfId="22655" xr:uid="{00000000-0005-0000-0000-0000AF580000}"/>
    <cellStyle name="检查单元格 2 5 11" xfId="17327" xr:uid="{00000000-0005-0000-0000-0000DF430000}"/>
    <cellStyle name="检查单元格 2 5 11 2" xfId="17514" xr:uid="{00000000-0005-0000-0000-00009A440000}"/>
    <cellStyle name="检查单元格 2 5 11 2 2" xfId="35482" xr:uid="{00000000-0005-0000-0000-0000CA8A0000}"/>
    <cellStyle name="检查单元格 2 5 11 3" xfId="26470" xr:uid="{00000000-0005-0000-0000-000096670000}"/>
    <cellStyle name="检查单元格 2 5 11 3 2" xfId="35484" xr:uid="{00000000-0005-0000-0000-0000CC8A0000}"/>
    <cellStyle name="检查单元格 2 5 11 4" xfId="35487" xr:uid="{00000000-0005-0000-0000-0000CF8A0000}"/>
    <cellStyle name="检查单元格 2 5 11 4 2" xfId="35489" xr:uid="{00000000-0005-0000-0000-0000D18A0000}"/>
    <cellStyle name="检查单元格 2 5 11 5" xfId="35492" xr:uid="{00000000-0005-0000-0000-0000D48A0000}"/>
    <cellStyle name="检查单元格 2 5 11 5 2" xfId="35494" xr:uid="{00000000-0005-0000-0000-0000D68A0000}"/>
    <cellStyle name="检查单元格 2 5 11 6" xfId="35496" xr:uid="{00000000-0005-0000-0000-0000D88A0000}"/>
    <cellStyle name="检查单元格 2 5 12" xfId="15365" xr:uid="{00000000-0005-0000-0000-0000353C0000}"/>
    <cellStyle name="检查单元格 2 5 12 2" xfId="25514" xr:uid="{00000000-0005-0000-0000-0000DA630000}"/>
    <cellStyle name="检查单元格 2 5 12 2 2" xfId="35498" xr:uid="{00000000-0005-0000-0000-0000DA8A0000}"/>
    <cellStyle name="检查单元格 2 5 12 3" xfId="25520" xr:uid="{00000000-0005-0000-0000-0000E0630000}"/>
    <cellStyle name="检查单元格 2 5 12 3 2" xfId="35500" xr:uid="{00000000-0005-0000-0000-0000DC8A0000}"/>
    <cellStyle name="检查单元格 2 5 12 4" xfId="35502" xr:uid="{00000000-0005-0000-0000-0000DE8A0000}"/>
    <cellStyle name="检查单元格 2 5 12 4 2" xfId="35505" xr:uid="{00000000-0005-0000-0000-0000E18A0000}"/>
    <cellStyle name="检查单元格 2 5 12 5" xfId="35508" xr:uid="{00000000-0005-0000-0000-0000E48A0000}"/>
    <cellStyle name="检查单元格 2 5 13" xfId="35511" xr:uid="{00000000-0005-0000-0000-0000E78A0000}"/>
    <cellStyle name="检查单元格 2 5 13 2" xfId="35514" xr:uid="{00000000-0005-0000-0000-0000EA8A0000}"/>
    <cellStyle name="检查单元格 2 5 14" xfId="35518" xr:uid="{00000000-0005-0000-0000-0000EE8A0000}"/>
    <cellStyle name="检查单元格 2 5 14 2" xfId="35521" xr:uid="{00000000-0005-0000-0000-0000F18A0000}"/>
    <cellStyle name="检查单元格 2 5 15" xfId="35525" xr:uid="{00000000-0005-0000-0000-0000F58A0000}"/>
    <cellStyle name="检查单元格 2 5 15 2" xfId="35528" xr:uid="{00000000-0005-0000-0000-0000F88A0000}"/>
    <cellStyle name="检查单元格 2 5 16" xfId="35531" xr:uid="{00000000-0005-0000-0000-0000FB8A0000}"/>
    <cellStyle name="检查单元格 2 5 16 2" xfId="10469" xr:uid="{00000000-0005-0000-0000-000015290000}"/>
    <cellStyle name="检查单元格 2 5 17" xfId="35533" xr:uid="{00000000-0005-0000-0000-0000FD8A0000}"/>
    <cellStyle name="检查单元格 2 5 18" xfId="35536" xr:uid="{00000000-0005-0000-0000-0000008B0000}"/>
    <cellStyle name="检查单元格 2 5 19" xfId="35538" xr:uid="{00000000-0005-0000-0000-0000028B0000}"/>
    <cellStyle name="检查单元格 2 5 2" xfId="1537" xr:uid="{00000000-0005-0000-0000-000031060000}"/>
    <cellStyle name="检查单元格 2 5 2 10" xfId="12996" xr:uid="{00000000-0005-0000-0000-0000F4320000}"/>
    <cellStyle name="检查单元格 2 5 2 11" xfId="35541" xr:uid="{00000000-0005-0000-0000-0000058B0000}"/>
    <cellStyle name="检查单元格 2 5 2 12" xfId="9572" xr:uid="{00000000-0005-0000-0000-000094250000}"/>
    <cellStyle name="检查单元格 2 5 2 13" xfId="20442" xr:uid="{00000000-0005-0000-0000-00000A500000}"/>
    <cellStyle name="检查单元格 2 5 2 2" xfId="9454" xr:uid="{00000000-0005-0000-0000-00001E250000}"/>
    <cellStyle name="检查单元格 2 5 2 2 2" xfId="17359" xr:uid="{00000000-0005-0000-0000-0000FF430000}"/>
    <cellStyle name="检查单元格 2 5 2 2 2 2" xfId="35543" xr:uid="{00000000-0005-0000-0000-0000078B0000}"/>
    <cellStyle name="检查单元格 2 5 2 2 3" xfId="35102" xr:uid="{00000000-0005-0000-0000-00004E890000}"/>
    <cellStyle name="检查单元格 2 5 2 2 3 2" xfId="35544" xr:uid="{00000000-0005-0000-0000-0000088B0000}"/>
    <cellStyle name="检查单元格 2 5 2 2 4" xfId="35545" xr:uid="{00000000-0005-0000-0000-0000098B0000}"/>
    <cellStyle name="检查单元格 2 5 2 2 4 2" xfId="35547" xr:uid="{00000000-0005-0000-0000-00000B8B0000}"/>
    <cellStyle name="检查单元格 2 5 2 2 5" xfId="35548" xr:uid="{00000000-0005-0000-0000-00000C8B0000}"/>
    <cellStyle name="检查单元格 2 5 2 2 5 2" xfId="35549" xr:uid="{00000000-0005-0000-0000-00000D8B0000}"/>
    <cellStyle name="检查单元格 2 5 2 2 6" xfId="35550" xr:uid="{00000000-0005-0000-0000-00000E8B0000}"/>
    <cellStyle name="检查单元格 2 5 2 2 7" xfId="35551" xr:uid="{00000000-0005-0000-0000-00000F8B0000}"/>
    <cellStyle name="检查单元格 2 5 2 2 8" xfId="29882" xr:uid="{00000000-0005-0000-0000-0000EA740000}"/>
    <cellStyle name="检查单元格 2 5 2 2 9" xfId="35552" xr:uid="{00000000-0005-0000-0000-0000108B0000}"/>
    <cellStyle name="检查单元格 2 5 2 3" xfId="12836" xr:uid="{00000000-0005-0000-0000-000054320000}"/>
    <cellStyle name="检查单元格 2 5 2 3 2" xfId="17364" xr:uid="{00000000-0005-0000-0000-000004440000}"/>
    <cellStyle name="检查单元格 2 5 2 3 2 2" xfId="28445" xr:uid="{00000000-0005-0000-0000-00004D6F0000}"/>
    <cellStyle name="检查单元格 2 5 2 3 3" xfId="24849" xr:uid="{00000000-0005-0000-0000-000041610000}"/>
    <cellStyle name="检查单元格 2 5 2 3 3 2" xfId="24854" xr:uid="{00000000-0005-0000-0000-000046610000}"/>
    <cellStyle name="检查单元格 2 5 2 3 4" xfId="24912" xr:uid="{00000000-0005-0000-0000-000080610000}"/>
    <cellStyle name="检查单元格 2 5 2 3 4 2" xfId="24917" xr:uid="{00000000-0005-0000-0000-000085610000}"/>
    <cellStyle name="检查单元格 2 5 2 3 5" xfId="24966" xr:uid="{00000000-0005-0000-0000-0000B6610000}"/>
    <cellStyle name="检查单元格 2 5 2 3 5 2" xfId="24970" xr:uid="{00000000-0005-0000-0000-0000BA610000}"/>
    <cellStyle name="检查单元格 2 5 2 3 6" xfId="25020" xr:uid="{00000000-0005-0000-0000-0000EC610000}"/>
    <cellStyle name="检查单元格 2 5 2 4" xfId="17373" xr:uid="{00000000-0005-0000-0000-00000D440000}"/>
    <cellStyle name="检查单元格 2 5 2 4 2" xfId="17380" xr:uid="{00000000-0005-0000-0000-000014440000}"/>
    <cellStyle name="检查单元格 2 5 2 4 2 2" xfId="35553" xr:uid="{00000000-0005-0000-0000-0000118B0000}"/>
    <cellStyle name="检查单元格 2 5 2 4 3" xfId="25167" xr:uid="{00000000-0005-0000-0000-00007F620000}"/>
    <cellStyle name="检查单元格 2 5 2 4 3 2" xfId="25169" xr:uid="{00000000-0005-0000-0000-000081620000}"/>
    <cellStyle name="检查单元格 2 5 2 4 4" xfId="25202" xr:uid="{00000000-0005-0000-0000-0000A2620000}"/>
    <cellStyle name="检查单元格 2 5 2 4 4 2" xfId="25204" xr:uid="{00000000-0005-0000-0000-0000A4620000}"/>
    <cellStyle name="检查单元格 2 5 2 4 5" xfId="25211" xr:uid="{00000000-0005-0000-0000-0000AB620000}"/>
    <cellStyle name="检查单元格 2 5 2 4 5 2" xfId="25213" xr:uid="{00000000-0005-0000-0000-0000AD620000}"/>
    <cellStyle name="检查单元格 2 5 2 4 6" xfId="25221" xr:uid="{00000000-0005-0000-0000-0000B5620000}"/>
    <cellStyle name="检查单元格 2 5 2 5" xfId="16019" xr:uid="{00000000-0005-0000-0000-0000C33E0000}"/>
    <cellStyle name="检查单元格 2 5 2 5 2" xfId="17388" xr:uid="{00000000-0005-0000-0000-00001C440000}"/>
    <cellStyle name="检查单元格 2 5 2 5 2 2" xfId="21060" xr:uid="{00000000-0005-0000-0000-000074520000}"/>
    <cellStyle name="检查单元格 2 5 2 5 3" xfId="21064" xr:uid="{00000000-0005-0000-0000-000078520000}"/>
    <cellStyle name="检查单元格 2 5 2 5 3 2" xfId="21068" xr:uid="{00000000-0005-0000-0000-00007C520000}"/>
    <cellStyle name="检查单元格 2 5 2 5 4" xfId="21071" xr:uid="{00000000-0005-0000-0000-00007F520000}"/>
    <cellStyle name="检查单元格 2 5 2 5 4 2" xfId="25340" xr:uid="{00000000-0005-0000-0000-00002C630000}"/>
    <cellStyle name="检查单元格 2 5 2 5 5" xfId="21075" xr:uid="{00000000-0005-0000-0000-000083520000}"/>
    <cellStyle name="检查单元格 2 5 2 6" xfId="17394" xr:uid="{00000000-0005-0000-0000-000022440000}"/>
    <cellStyle name="检查单元格 2 5 2 6 2" xfId="35554" xr:uid="{00000000-0005-0000-0000-0000128B0000}"/>
    <cellStyle name="检查单元格 2 5 2 7" xfId="18094" xr:uid="{00000000-0005-0000-0000-0000DE460000}"/>
    <cellStyle name="检查单元格 2 5 2 7 2" xfId="18102" xr:uid="{00000000-0005-0000-0000-0000E6460000}"/>
    <cellStyle name="检查单元格 2 5 2 8" xfId="18106" xr:uid="{00000000-0005-0000-0000-0000EA460000}"/>
    <cellStyle name="检查单元格 2 5 2 8 2" xfId="18109" xr:uid="{00000000-0005-0000-0000-0000ED460000}"/>
    <cellStyle name="检查单元格 2 5 2 9" xfId="18112" xr:uid="{00000000-0005-0000-0000-0000F0460000}"/>
    <cellStyle name="检查单元格 2 5 2 9 2" xfId="18115" xr:uid="{00000000-0005-0000-0000-0000F3460000}"/>
    <cellStyle name="检查单元格 2 5 20" xfId="35524" xr:uid="{00000000-0005-0000-0000-0000F48A0000}"/>
    <cellStyle name="检查单元格 2 5 3" xfId="9457" xr:uid="{00000000-0005-0000-0000-000021250000}"/>
    <cellStyle name="检查单元格 2 5 3 10" xfId="18612" xr:uid="{00000000-0005-0000-0000-0000E4480000}"/>
    <cellStyle name="检查单元格 2 5 3 11" xfId="18622" xr:uid="{00000000-0005-0000-0000-0000EE480000}"/>
    <cellStyle name="检查单元格 2 5 3 12" xfId="35555" xr:uid="{00000000-0005-0000-0000-0000138B0000}"/>
    <cellStyle name="检查单元格 2 5 3 13" xfId="35556" xr:uid="{00000000-0005-0000-0000-0000148B0000}"/>
    <cellStyle name="检查单元格 2 5 3 2" xfId="10524" xr:uid="{00000000-0005-0000-0000-00004C290000}"/>
    <cellStyle name="检查单元格 2 5 3 2 2" xfId="17398" xr:uid="{00000000-0005-0000-0000-000026440000}"/>
    <cellStyle name="检查单元格 2 5 3 2 2 2" xfId="35558" xr:uid="{00000000-0005-0000-0000-0000168B0000}"/>
    <cellStyle name="检查单元格 2 5 3 2 3" xfId="35105" xr:uid="{00000000-0005-0000-0000-000051890000}"/>
    <cellStyle name="检查单元格 2 5 3 2 3 2" xfId="35559" xr:uid="{00000000-0005-0000-0000-0000178B0000}"/>
    <cellStyle name="检查单元格 2 5 3 2 4" xfId="35560" xr:uid="{00000000-0005-0000-0000-0000188B0000}"/>
    <cellStyle name="检查单元格 2 5 3 2 4 2" xfId="15500" xr:uid="{00000000-0005-0000-0000-0000BC3C0000}"/>
    <cellStyle name="检查单元格 2 5 3 2 5" xfId="35562" xr:uid="{00000000-0005-0000-0000-00001A8B0000}"/>
    <cellStyle name="检查单元格 2 5 3 2 5 2" xfId="35563" xr:uid="{00000000-0005-0000-0000-00001B8B0000}"/>
    <cellStyle name="检查单元格 2 5 3 2 6" xfId="34666" xr:uid="{00000000-0005-0000-0000-00009A870000}"/>
    <cellStyle name="检查单元格 2 5 3 2 7" xfId="35564" xr:uid="{00000000-0005-0000-0000-00001C8B0000}"/>
    <cellStyle name="检查单元格 2 5 3 2 8" xfId="35566" xr:uid="{00000000-0005-0000-0000-00001E8B0000}"/>
    <cellStyle name="检查单元格 2 5 3 2 9" xfId="35568" xr:uid="{00000000-0005-0000-0000-0000208B0000}"/>
    <cellStyle name="检查单元格 2 5 3 3" xfId="10529" xr:uid="{00000000-0005-0000-0000-000051290000}"/>
    <cellStyle name="检查单元格 2 5 3 3 2" xfId="7368" xr:uid="{00000000-0005-0000-0000-0000F81C0000}"/>
    <cellStyle name="检查单元格 2 5 3 3 2 2" xfId="33280" xr:uid="{00000000-0005-0000-0000-000030820000}"/>
    <cellStyle name="检查单元格 2 5 3 3 3" xfId="25801" xr:uid="{00000000-0005-0000-0000-0000F9640000}"/>
    <cellStyle name="检查单元格 2 5 3 3 3 2" xfId="25803" xr:uid="{00000000-0005-0000-0000-0000FB640000}"/>
    <cellStyle name="检查单元格 2 5 3 3 4" xfId="25815" xr:uid="{00000000-0005-0000-0000-000007650000}"/>
    <cellStyle name="检查单元格 2 5 3 3 4 2" xfId="31" xr:uid="{00000000-0005-0000-0000-000023000000}"/>
    <cellStyle name="检查单元格 2 5 3 3 5" xfId="23765" xr:uid="{00000000-0005-0000-0000-0000055D0000}"/>
    <cellStyle name="检查单元格 2 5 3 3 5 2" xfId="25817" xr:uid="{00000000-0005-0000-0000-000009650000}"/>
    <cellStyle name="检查单元格 2 5 3 3 6" xfId="25827" xr:uid="{00000000-0005-0000-0000-000013650000}"/>
    <cellStyle name="检查单元格 2 5 3 4" xfId="10545" xr:uid="{00000000-0005-0000-0000-000061290000}"/>
    <cellStyle name="检查单元格 2 5 3 4 2" xfId="7416" xr:uid="{00000000-0005-0000-0000-0000281D0000}"/>
    <cellStyle name="检查单元格 2 5 3 4 2 2" xfId="35570" xr:uid="{00000000-0005-0000-0000-0000228B0000}"/>
    <cellStyle name="检查单元格 2 5 3 4 3" xfId="25931" xr:uid="{00000000-0005-0000-0000-00007B650000}"/>
    <cellStyle name="检查单元格 2 5 3 4 3 2" xfId="21324" xr:uid="{00000000-0005-0000-0000-00007C530000}"/>
    <cellStyle name="检查单元格 2 5 3 4 4" xfId="25974" xr:uid="{00000000-0005-0000-0000-0000A6650000}"/>
    <cellStyle name="检查单元格 2 5 3 4 4 2" xfId="21348" xr:uid="{00000000-0005-0000-0000-000094530000}"/>
    <cellStyle name="检查单元格 2 5 3 4 5" xfId="23772" xr:uid="{00000000-0005-0000-0000-00000C5D0000}"/>
    <cellStyle name="检查单元格 2 5 3 4 5 2" xfId="21381" xr:uid="{00000000-0005-0000-0000-0000B5530000}"/>
    <cellStyle name="检查单元格 2 5 3 4 6" xfId="26006" xr:uid="{00000000-0005-0000-0000-0000C6650000}"/>
    <cellStyle name="检查单元格 2 5 3 5" xfId="16029" xr:uid="{00000000-0005-0000-0000-0000CD3E0000}"/>
    <cellStyle name="检查单元格 2 5 3 5 2" xfId="7481" xr:uid="{00000000-0005-0000-0000-0000691D0000}"/>
    <cellStyle name="检查单元格 2 5 3 5 2 2" xfId="35571" xr:uid="{00000000-0005-0000-0000-0000238B0000}"/>
    <cellStyle name="检查单元格 2 5 3 5 3" xfId="24241" xr:uid="{00000000-0005-0000-0000-0000E15E0000}"/>
    <cellStyle name="检查单元格 2 5 3 5 3 2" xfId="8417" xr:uid="{00000000-0005-0000-0000-000011210000}"/>
    <cellStyle name="检查单元格 2 5 3 5 4" xfId="26108" xr:uid="{00000000-0005-0000-0000-00002C660000}"/>
    <cellStyle name="检查单元格 2 5 3 5 4 2" xfId="21539" xr:uid="{00000000-0005-0000-0000-000053540000}"/>
    <cellStyle name="检查单元格 2 5 3 5 5" xfId="23778" xr:uid="{00000000-0005-0000-0000-0000125D0000}"/>
    <cellStyle name="检查单元格 2 5 3 6" xfId="17401" xr:uid="{00000000-0005-0000-0000-000029440000}"/>
    <cellStyle name="检查单元格 2 5 3 6 2" xfId="35575" xr:uid="{00000000-0005-0000-0000-0000278B0000}"/>
    <cellStyle name="检查单元格 2 5 3 7" xfId="18136" xr:uid="{00000000-0005-0000-0000-000008470000}"/>
    <cellStyle name="检查单元格 2 5 3 7 2" xfId="7597" xr:uid="{00000000-0005-0000-0000-0000DD1D0000}"/>
    <cellStyle name="检查单元格 2 5 3 8" xfId="18145" xr:uid="{00000000-0005-0000-0000-000011470000}"/>
    <cellStyle name="检查单元格 2 5 3 8 2" xfId="7680" xr:uid="{00000000-0005-0000-0000-0000301E0000}"/>
    <cellStyle name="检查单元格 2 5 3 9" xfId="18150" xr:uid="{00000000-0005-0000-0000-000016470000}"/>
    <cellStyle name="检查单元格 2 5 3 9 2" xfId="18161" xr:uid="{00000000-0005-0000-0000-000021470000}"/>
    <cellStyle name="检查单元格 2 5 4" xfId="17409" xr:uid="{00000000-0005-0000-0000-000031440000}"/>
    <cellStyle name="检查单元格 2 5 4 10" xfId="35576" xr:uid="{00000000-0005-0000-0000-0000288B0000}"/>
    <cellStyle name="检查单元格 2 5 4 11" xfId="35578" xr:uid="{00000000-0005-0000-0000-00002A8B0000}"/>
    <cellStyle name="检查单元格 2 5 4 12" xfId="35579" xr:uid="{00000000-0005-0000-0000-00002B8B0000}"/>
    <cellStyle name="检查单元格 2 5 4 13" xfId="35580" xr:uid="{00000000-0005-0000-0000-00002C8B0000}"/>
    <cellStyle name="检查单元格 2 5 4 2" xfId="10939" xr:uid="{00000000-0005-0000-0000-0000EB2A0000}"/>
    <cellStyle name="检查单元格 2 5 4 2 2" xfId="17412" xr:uid="{00000000-0005-0000-0000-000034440000}"/>
    <cellStyle name="检查单元格 2 5 4 2 2 2" xfId="35581" xr:uid="{00000000-0005-0000-0000-00002D8B0000}"/>
    <cellStyle name="检查单元格 2 5 4 2 3" xfId="35108" xr:uid="{00000000-0005-0000-0000-000054890000}"/>
    <cellStyle name="检查单元格 2 5 4 2 3 2" xfId="35582" xr:uid="{00000000-0005-0000-0000-00002E8B0000}"/>
    <cellStyle name="检查单元格 2 5 4 2 4" xfId="35583" xr:uid="{00000000-0005-0000-0000-00002F8B0000}"/>
    <cellStyle name="检查单元格 2 5 4 2 4 2" xfId="35585" xr:uid="{00000000-0005-0000-0000-0000318B0000}"/>
    <cellStyle name="检查单元格 2 5 4 2 5" xfId="35586" xr:uid="{00000000-0005-0000-0000-0000328B0000}"/>
    <cellStyle name="检查单元格 2 5 4 2 5 2" xfId="35587" xr:uid="{00000000-0005-0000-0000-0000338B0000}"/>
    <cellStyle name="检查单元格 2 5 4 2 6" xfId="34687" xr:uid="{00000000-0005-0000-0000-0000AF870000}"/>
    <cellStyle name="检查单元格 2 5 4 2 7" xfId="35588" xr:uid="{00000000-0005-0000-0000-0000348B0000}"/>
    <cellStyle name="检查单元格 2 5 4 2 8" xfId="35589" xr:uid="{00000000-0005-0000-0000-0000358B0000}"/>
    <cellStyle name="检查单元格 2 5 4 2 9" xfId="27430" xr:uid="{00000000-0005-0000-0000-0000566B0000}"/>
    <cellStyle name="检查单元格 2 5 4 3" xfId="10946" xr:uid="{00000000-0005-0000-0000-0000F22A0000}"/>
    <cellStyle name="检查单元格 2 5 4 3 2" xfId="2898" xr:uid="{00000000-0005-0000-0000-0000820B0000}"/>
    <cellStyle name="检查单元格 2 5 4 3 2 2" xfId="17671" xr:uid="{00000000-0005-0000-0000-000037450000}"/>
    <cellStyle name="检查单元格 2 5 4 3 3" xfId="26887" xr:uid="{00000000-0005-0000-0000-000037690000}"/>
    <cellStyle name="检查单元格 2 5 4 3 3 2" xfId="17843" xr:uid="{00000000-0005-0000-0000-0000E3450000}"/>
    <cellStyle name="检查单元格 2 5 4 3 4" xfId="26890" xr:uid="{00000000-0005-0000-0000-00003A690000}"/>
    <cellStyle name="检查单元格 2 5 4 3 4 2" xfId="18005" xr:uid="{00000000-0005-0000-0000-000085460000}"/>
    <cellStyle name="检查单元格 2 5 4 3 5" xfId="23799" xr:uid="{00000000-0005-0000-0000-0000275D0000}"/>
    <cellStyle name="检查单元格 2 5 4 3 5 2" xfId="18270" xr:uid="{00000000-0005-0000-0000-00008E470000}"/>
    <cellStyle name="检查单元格 2 5 4 3 6" xfId="26893" xr:uid="{00000000-0005-0000-0000-00003D690000}"/>
    <cellStyle name="检查单元格 2 5 4 4" xfId="10958" xr:uid="{00000000-0005-0000-0000-0000FE2A0000}"/>
    <cellStyle name="检查单元格 2 5 4 4 2" xfId="3206" xr:uid="{00000000-0005-0000-0000-0000B60C0000}"/>
    <cellStyle name="检查单元格 2 5 4 4 2 2" xfId="35590" xr:uid="{00000000-0005-0000-0000-0000368B0000}"/>
    <cellStyle name="检查单元格 2 5 4 4 3" xfId="26899" xr:uid="{00000000-0005-0000-0000-000043690000}"/>
    <cellStyle name="检查单元格 2 5 4 4 3 2" xfId="19638" xr:uid="{00000000-0005-0000-0000-0000E64C0000}"/>
    <cellStyle name="检查单元格 2 5 4 4 4" xfId="26901" xr:uid="{00000000-0005-0000-0000-000045690000}"/>
    <cellStyle name="检查单元格 2 5 4 4 4 2" xfId="19775" xr:uid="{00000000-0005-0000-0000-00006F4D0000}"/>
    <cellStyle name="检查单元格 2 5 4 4 5" xfId="23803" xr:uid="{00000000-0005-0000-0000-00002B5D0000}"/>
    <cellStyle name="检查单元格 2 5 4 4 5 2" xfId="19852" xr:uid="{00000000-0005-0000-0000-0000BC4D0000}"/>
    <cellStyle name="检查单元格 2 5 4 4 6" xfId="26904" xr:uid="{00000000-0005-0000-0000-000048690000}"/>
    <cellStyle name="检查单元格 2 5 4 5" xfId="10964" xr:uid="{00000000-0005-0000-0000-0000042B0000}"/>
    <cellStyle name="检查单元格 2 5 4 5 2" xfId="3328" xr:uid="{00000000-0005-0000-0000-0000300D0000}"/>
    <cellStyle name="检查单元格 2 5 4 5 2 2" xfId="35593" xr:uid="{00000000-0005-0000-0000-0000398B0000}"/>
    <cellStyle name="检查单元格 2 5 4 5 3" xfId="24377" xr:uid="{00000000-0005-0000-0000-0000695F0000}"/>
    <cellStyle name="检查单元格 2 5 4 5 3 2" xfId="20586" xr:uid="{00000000-0005-0000-0000-00009A500000}"/>
    <cellStyle name="检查单元格 2 5 4 5 4" xfId="26908" xr:uid="{00000000-0005-0000-0000-00004C690000}"/>
    <cellStyle name="检查单元格 2 5 4 5 4 2" xfId="20738" xr:uid="{00000000-0005-0000-0000-000032510000}"/>
    <cellStyle name="检查单元格 2 5 4 5 5" xfId="23811" xr:uid="{00000000-0005-0000-0000-0000335D0000}"/>
    <cellStyle name="检查单元格 2 5 4 6" xfId="17416" xr:uid="{00000000-0005-0000-0000-000038440000}"/>
    <cellStyle name="检查单元格 2 5 4 6 2" xfId="35595" xr:uid="{00000000-0005-0000-0000-00003B8B0000}"/>
    <cellStyle name="检查单元格 2 5 4 7" xfId="18178" xr:uid="{00000000-0005-0000-0000-000032470000}"/>
    <cellStyle name="检查单元格 2 5 4 7 2" xfId="3421" xr:uid="{00000000-0005-0000-0000-00008D0D0000}"/>
    <cellStyle name="检查单元格 2 5 4 8" xfId="18182" xr:uid="{00000000-0005-0000-0000-000036470000}"/>
    <cellStyle name="检查单元格 2 5 4 8 2" xfId="3471" xr:uid="{00000000-0005-0000-0000-0000BF0D0000}"/>
    <cellStyle name="检查单元格 2 5 4 9" xfId="18189" xr:uid="{00000000-0005-0000-0000-00003D470000}"/>
    <cellStyle name="检查单元格 2 5 4 9 2" xfId="18195" xr:uid="{00000000-0005-0000-0000-000043470000}"/>
    <cellStyle name="检查单元格 2 5 5" xfId="17419" xr:uid="{00000000-0005-0000-0000-00003B440000}"/>
    <cellStyle name="检查单元格 2 5 5 10" xfId="8592" xr:uid="{00000000-0005-0000-0000-0000C0210000}"/>
    <cellStyle name="检查单元格 2 5 5 11" xfId="35596" xr:uid="{00000000-0005-0000-0000-00003C8B0000}"/>
    <cellStyle name="检查单元格 2 5 5 12" xfId="35597" xr:uid="{00000000-0005-0000-0000-00003D8B0000}"/>
    <cellStyle name="检查单元格 2 5 5 13" xfId="35599" xr:uid="{00000000-0005-0000-0000-00003F8B0000}"/>
    <cellStyle name="检查单元格 2 5 5 2" xfId="17421" xr:uid="{00000000-0005-0000-0000-00003D440000}"/>
    <cellStyle name="检查单元格 2 5 5 2 2" xfId="17424" xr:uid="{00000000-0005-0000-0000-000040440000}"/>
    <cellStyle name="检查单元格 2 5 5 2 2 2" xfId="2998" xr:uid="{00000000-0005-0000-0000-0000E60B0000}"/>
    <cellStyle name="检查单元格 2 5 5 2 3" xfId="13466" xr:uid="{00000000-0005-0000-0000-0000CA340000}"/>
    <cellStyle name="检查单元格 2 5 5 2 3 2" xfId="3267" xr:uid="{00000000-0005-0000-0000-0000F30C0000}"/>
    <cellStyle name="检查单元格 2 5 5 2 4" xfId="35600" xr:uid="{00000000-0005-0000-0000-0000408B0000}"/>
    <cellStyle name="检查单元格 2 5 5 2 4 2" xfId="3350" xr:uid="{00000000-0005-0000-0000-0000460D0000}"/>
    <cellStyle name="检查单元格 2 5 5 2 5" xfId="35602" xr:uid="{00000000-0005-0000-0000-0000428B0000}"/>
    <cellStyle name="检查单元格 2 5 5 2 5 2" xfId="3390" xr:uid="{00000000-0005-0000-0000-00006E0D0000}"/>
    <cellStyle name="检查单元格 2 5 5 2 6" xfId="34699" xr:uid="{00000000-0005-0000-0000-0000BB870000}"/>
    <cellStyle name="检查单元格 2 5 5 2 7" xfId="33064" xr:uid="{00000000-0005-0000-0000-000058810000}"/>
    <cellStyle name="检查单元格 2 5 5 2 8" xfId="35603" xr:uid="{00000000-0005-0000-0000-0000438B0000}"/>
    <cellStyle name="检查单元格 2 5 5 2 9" xfId="35604" xr:uid="{00000000-0005-0000-0000-0000448B0000}"/>
    <cellStyle name="检查单元格 2 5 5 3" xfId="17429" xr:uid="{00000000-0005-0000-0000-000045440000}"/>
    <cellStyle name="检查单元格 2 5 5 3 2" xfId="8002" xr:uid="{00000000-0005-0000-0000-0000721F0000}"/>
    <cellStyle name="检查单元格 2 5 5 3 2 2" xfId="13108" xr:uid="{00000000-0005-0000-0000-000064330000}"/>
    <cellStyle name="检查单元格 2 5 5 3 3" xfId="8006" xr:uid="{00000000-0005-0000-0000-0000761F0000}"/>
    <cellStyle name="检查单元格 2 5 5 3 3 2" xfId="7720" xr:uid="{00000000-0005-0000-0000-0000581E0000}"/>
    <cellStyle name="检查单元格 2 5 5 3 4" xfId="35605" xr:uid="{00000000-0005-0000-0000-0000458B0000}"/>
    <cellStyle name="检查单元格 2 5 5 3 4 2" xfId="13128" xr:uid="{00000000-0005-0000-0000-000078330000}"/>
    <cellStyle name="检查单元格 2 5 5 3 5" xfId="35607" xr:uid="{00000000-0005-0000-0000-0000478B0000}"/>
    <cellStyle name="检查单元格 2 5 5 3 5 2" xfId="13142" xr:uid="{00000000-0005-0000-0000-000086330000}"/>
    <cellStyle name="检查单元格 2 5 5 3 6" xfId="34702" xr:uid="{00000000-0005-0000-0000-0000BE870000}"/>
    <cellStyle name="检查单元格 2 5 5 4" xfId="17439" xr:uid="{00000000-0005-0000-0000-00004F440000}"/>
    <cellStyle name="检查单元格 2 5 5 4 2" xfId="7232" xr:uid="{00000000-0005-0000-0000-0000701C0000}"/>
    <cellStyle name="检查单元格 2 5 5 4 2 2" xfId="12813" xr:uid="{00000000-0005-0000-0000-00003D320000}"/>
    <cellStyle name="检查单元格 2 5 5 4 3" xfId="26946" xr:uid="{00000000-0005-0000-0000-000072690000}"/>
    <cellStyle name="检查单元格 2 5 5 4 3 2" xfId="13229" xr:uid="{00000000-0005-0000-0000-0000DD330000}"/>
    <cellStyle name="检查单元格 2 5 5 4 4" xfId="35608" xr:uid="{00000000-0005-0000-0000-0000488B0000}"/>
    <cellStyle name="检查单元格 2 5 5 4 4 2" xfId="13247" xr:uid="{00000000-0005-0000-0000-0000EF330000}"/>
    <cellStyle name="检查单元格 2 5 5 4 5" xfId="35609" xr:uid="{00000000-0005-0000-0000-0000498B0000}"/>
    <cellStyle name="检查单元格 2 5 5 4 5 2" xfId="13263" xr:uid="{00000000-0005-0000-0000-0000FF330000}"/>
    <cellStyle name="检查单元格 2 5 5 4 6" xfId="34706" xr:uid="{00000000-0005-0000-0000-0000C2870000}"/>
    <cellStyle name="检查单元格 2 5 5 5" xfId="17443" xr:uid="{00000000-0005-0000-0000-000053440000}"/>
    <cellStyle name="检查单元格 2 5 5 5 2" xfId="5215" xr:uid="{00000000-0005-0000-0000-00008F140000}"/>
    <cellStyle name="检查单元格 2 5 5 5 2 2" xfId="5261" xr:uid="{00000000-0005-0000-0000-0000BD140000}"/>
    <cellStyle name="检查单元格 2 5 5 5 3" xfId="24518" xr:uid="{00000000-0005-0000-0000-0000F65F0000}"/>
    <cellStyle name="检查单元格 2 5 5 5 3 2" xfId="5489" xr:uid="{00000000-0005-0000-0000-0000A1150000}"/>
    <cellStyle name="检查单元格 2 5 5 5 4" xfId="35610" xr:uid="{00000000-0005-0000-0000-00004A8B0000}"/>
    <cellStyle name="检查单元格 2 5 5 5 4 2" xfId="5623" xr:uid="{00000000-0005-0000-0000-000027160000}"/>
    <cellStyle name="检查单元格 2 5 5 5 5" xfId="35611" xr:uid="{00000000-0005-0000-0000-00004B8B0000}"/>
    <cellStyle name="检查单元格 2 5 5 6" xfId="17447" xr:uid="{00000000-0005-0000-0000-000057440000}"/>
    <cellStyle name="检查单元格 2 5 5 6 2" xfId="35612" xr:uid="{00000000-0005-0000-0000-00004C8B0000}"/>
    <cellStyle name="检查单元格 2 5 5 7" xfId="18202" xr:uid="{00000000-0005-0000-0000-00004A470000}"/>
    <cellStyle name="检查单元格 2 5 5 7 2" xfId="35613" xr:uid="{00000000-0005-0000-0000-00004D8B0000}"/>
    <cellStyle name="检查单元格 2 5 5 8" xfId="35616" xr:uid="{00000000-0005-0000-0000-0000508B0000}"/>
    <cellStyle name="检查单元格 2 5 5 8 2" xfId="35618" xr:uid="{00000000-0005-0000-0000-0000528B0000}"/>
    <cellStyle name="检查单元格 2 5 5 9" xfId="231" xr:uid="{00000000-0005-0000-0000-0000FC000000}"/>
    <cellStyle name="检查单元格 2 5 5 9 2" xfId="936" xr:uid="{00000000-0005-0000-0000-0000D8030000}"/>
    <cellStyle name="检查单元格 2 5 6" xfId="17449" xr:uid="{00000000-0005-0000-0000-000059440000}"/>
    <cellStyle name="检查单元格 2 5 6 10" xfId="35619" xr:uid="{00000000-0005-0000-0000-0000538B0000}"/>
    <cellStyle name="检查单元格 2 5 6 11" xfId="35620" xr:uid="{00000000-0005-0000-0000-0000548B0000}"/>
    <cellStyle name="检查单元格 2 5 6 12" xfId="35622" xr:uid="{00000000-0005-0000-0000-0000568B0000}"/>
    <cellStyle name="检查单元格 2 5 6 13" xfId="35624" xr:uid="{00000000-0005-0000-0000-0000588B0000}"/>
    <cellStyle name="检查单元格 2 5 6 2" xfId="17451" xr:uid="{00000000-0005-0000-0000-00005B440000}"/>
    <cellStyle name="检查单元格 2 5 6 2 2" xfId="17456" xr:uid="{00000000-0005-0000-0000-000060440000}"/>
    <cellStyle name="检查单元格 2 5 6 2 2 2" xfId="14325" xr:uid="{00000000-0005-0000-0000-000025380000}"/>
    <cellStyle name="检查单元格 2 5 6 2 3" xfId="35627" xr:uid="{00000000-0005-0000-0000-00005B8B0000}"/>
    <cellStyle name="检查单元格 2 5 6 2 3 2" xfId="14342" xr:uid="{00000000-0005-0000-0000-000036380000}"/>
    <cellStyle name="检查单元格 2 5 6 2 4" xfId="35629" xr:uid="{00000000-0005-0000-0000-00005D8B0000}"/>
    <cellStyle name="检查单元格 2 5 6 2 4 2" xfId="14366" xr:uid="{00000000-0005-0000-0000-00004E380000}"/>
    <cellStyle name="检查单元格 2 5 6 2 5" xfId="35631" xr:uid="{00000000-0005-0000-0000-00005F8B0000}"/>
    <cellStyle name="检查单元格 2 5 6 2 5 2" xfId="14390" xr:uid="{00000000-0005-0000-0000-000066380000}"/>
    <cellStyle name="检查单元格 2 5 6 2 6" xfId="34716" xr:uid="{00000000-0005-0000-0000-0000CC870000}"/>
    <cellStyle name="检查单元格 2 5 6 2 7" xfId="35632" xr:uid="{00000000-0005-0000-0000-0000608B0000}"/>
    <cellStyle name="检查单元格 2 5 6 2 8" xfId="35633" xr:uid="{00000000-0005-0000-0000-0000618B0000}"/>
    <cellStyle name="检查单元格 2 5 6 2 9" xfId="35634" xr:uid="{00000000-0005-0000-0000-0000628B0000}"/>
    <cellStyle name="检查单元格 2 5 6 3" xfId="17460" xr:uid="{00000000-0005-0000-0000-000064440000}"/>
    <cellStyle name="检查单元格 2 5 6 3 2" xfId="8196" xr:uid="{00000000-0005-0000-0000-000034200000}"/>
    <cellStyle name="检查单元格 2 5 6 3 2 2" xfId="14148" xr:uid="{00000000-0005-0000-0000-000074370000}"/>
    <cellStyle name="检查单元格 2 5 6 3 3" xfId="35635" xr:uid="{00000000-0005-0000-0000-0000638B0000}"/>
    <cellStyle name="检查单元格 2 5 6 3 3 2" xfId="14488" xr:uid="{00000000-0005-0000-0000-0000C8380000}"/>
    <cellStyle name="检查单元格 2 5 6 3 4" xfId="35636" xr:uid="{00000000-0005-0000-0000-0000648B0000}"/>
    <cellStyle name="检查单元格 2 5 6 3 4 2" xfId="14523" xr:uid="{00000000-0005-0000-0000-0000EB380000}"/>
    <cellStyle name="检查单元格 2 5 6 3 5" xfId="35638" xr:uid="{00000000-0005-0000-0000-0000668B0000}"/>
    <cellStyle name="检查单元格 2 5 6 3 5 2" xfId="14560" xr:uid="{00000000-0005-0000-0000-000010390000}"/>
    <cellStyle name="检查单元格 2 5 6 3 6" xfId="34719" xr:uid="{00000000-0005-0000-0000-0000CF870000}"/>
    <cellStyle name="检查单元格 2 5 6 4" xfId="17470" xr:uid="{00000000-0005-0000-0000-00006E440000}"/>
    <cellStyle name="检查单元格 2 5 6 4 2" xfId="8253" xr:uid="{00000000-0005-0000-0000-00006D200000}"/>
    <cellStyle name="检查单元格 2 5 6 4 2 2" xfId="14677" xr:uid="{00000000-0005-0000-0000-000085390000}"/>
    <cellStyle name="检查单元格 2 5 6 4 3" xfId="35639" xr:uid="{00000000-0005-0000-0000-0000678B0000}"/>
    <cellStyle name="检查单元格 2 5 6 4 3 2" xfId="579" xr:uid="{00000000-0005-0000-0000-000073020000}"/>
    <cellStyle name="检查单元格 2 5 6 4 4" xfId="35640" xr:uid="{00000000-0005-0000-0000-0000688B0000}"/>
    <cellStyle name="检查单元格 2 5 6 4 4 2" xfId="14694" xr:uid="{00000000-0005-0000-0000-000096390000}"/>
    <cellStyle name="检查单元格 2 5 6 4 5" xfId="35641" xr:uid="{00000000-0005-0000-0000-0000698B0000}"/>
    <cellStyle name="检查单元格 2 5 6 4 5 2" xfId="14716" xr:uid="{00000000-0005-0000-0000-0000AC390000}"/>
    <cellStyle name="检查单元格 2 5 6 4 6" xfId="34721" xr:uid="{00000000-0005-0000-0000-0000D1870000}"/>
    <cellStyle name="检查单元格 2 5 6 5" xfId="8489" xr:uid="{00000000-0005-0000-0000-000059210000}"/>
    <cellStyle name="检查单元格 2 5 6 5 2" xfId="8301" xr:uid="{00000000-0005-0000-0000-00009D200000}"/>
    <cellStyle name="检查单元格 2 5 6 5 2 2" xfId="14832" xr:uid="{00000000-0005-0000-0000-0000203A0000}"/>
    <cellStyle name="检查单元格 2 5 6 5 3" xfId="21874" xr:uid="{00000000-0005-0000-0000-0000A2550000}"/>
    <cellStyle name="检查单元格 2 5 6 5 3 2" xfId="11831" xr:uid="{00000000-0005-0000-0000-0000672E0000}"/>
    <cellStyle name="检查单元格 2 5 6 5 4" xfId="21876" xr:uid="{00000000-0005-0000-0000-0000A4550000}"/>
    <cellStyle name="检查单元格 2 5 6 5 4 2" xfId="14859" xr:uid="{00000000-0005-0000-0000-00003B3A0000}"/>
    <cellStyle name="检查单元格 2 5 6 5 5" xfId="21881" xr:uid="{00000000-0005-0000-0000-0000A9550000}"/>
    <cellStyle name="检查单元格 2 5 6 6" xfId="17475" xr:uid="{00000000-0005-0000-0000-000073440000}"/>
    <cellStyle name="检查单元格 2 5 6 6 2" xfId="35642" xr:uid="{00000000-0005-0000-0000-00006A8B0000}"/>
    <cellStyle name="检查单元格 2 5 6 7" xfId="35643" xr:uid="{00000000-0005-0000-0000-00006B8B0000}"/>
    <cellStyle name="检查单元格 2 5 6 7 2" xfId="35644" xr:uid="{00000000-0005-0000-0000-00006C8B0000}"/>
    <cellStyle name="检查单元格 2 5 6 8" xfId="35645" xr:uid="{00000000-0005-0000-0000-00006D8B0000}"/>
    <cellStyle name="检查单元格 2 5 6 8 2" xfId="35647" xr:uid="{00000000-0005-0000-0000-00006F8B0000}"/>
    <cellStyle name="检查单元格 2 5 6 9" xfId="12960" xr:uid="{00000000-0005-0000-0000-0000D0320000}"/>
    <cellStyle name="检查单元格 2 5 6 9 2" xfId="27030" xr:uid="{00000000-0005-0000-0000-0000C6690000}"/>
    <cellStyle name="检查单元格 2 5 7" xfId="8956" xr:uid="{00000000-0005-0000-0000-00002C230000}"/>
    <cellStyle name="检查单元格 2 5 7 10" xfId="35648" xr:uid="{00000000-0005-0000-0000-0000708B0000}"/>
    <cellStyle name="检查单元格 2 5 7 11" xfId="35649" xr:uid="{00000000-0005-0000-0000-0000718B0000}"/>
    <cellStyle name="检查单元格 2 5 7 12" xfId="1288" xr:uid="{00000000-0005-0000-0000-000038050000}"/>
    <cellStyle name="检查单元格 2 5 7 13" xfId="20455" xr:uid="{00000000-0005-0000-0000-000017500000}"/>
    <cellStyle name="检查单元格 2 5 7 2" xfId="17477" xr:uid="{00000000-0005-0000-0000-000075440000}"/>
    <cellStyle name="检查单元格 2 5 7 2 2" xfId="17479" xr:uid="{00000000-0005-0000-0000-000077440000}"/>
    <cellStyle name="检查单元格 2 5 7 2 2 2" xfId="16212" xr:uid="{00000000-0005-0000-0000-0000843F0000}"/>
    <cellStyle name="检查单元格 2 5 7 2 3" xfId="35651" xr:uid="{00000000-0005-0000-0000-0000738B0000}"/>
    <cellStyle name="检查单元格 2 5 7 2 3 2" xfId="16234" xr:uid="{00000000-0005-0000-0000-00009A3F0000}"/>
    <cellStyle name="检查单元格 2 5 7 2 4" xfId="35653" xr:uid="{00000000-0005-0000-0000-0000758B0000}"/>
    <cellStyle name="检查单元格 2 5 7 2 4 2" xfId="16266" xr:uid="{00000000-0005-0000-0000-0000BA3F0000}"/>
    <cellStyle name="检查单元格 2 5 7 2 5" xfId="35655" xr:uid="{00000000-0005-0000-0000-0000778B0000}"/>
    <cellStyle name="检查单元格 2 5 7 2 5 2" xfId="13991" xr:uid="{00000000-0005-0000-0000-0000D7360000}"/>
    <cellStyle name="检查单元格 2 5 7 2 6" xfId="35656" xr:uid="{00000000-0005-0000-0000-0000788B0000}"/>
    <cellStyle name="检查单元格 2 5 7 2 7" xfId="35657" xr:uid="{00000000-0005-0000-0000-0000798B0000}"/>
    <cellStyle name="检查单元格 2 5 7 2 8" xfId="30014" xr:uid="{00000000-0005-0000-0000-00006E750000}"/>
    <cellStyle name="检查单元格 2 5 7 2 9" xfId="35658" xr:uid="{00000000-0005-0000-0000-00007A8B0000}"/>
    <cellStyle name="检查单元格 2 5 7 3" xfId="17482" xr:uid="{00000000-0005-0000-0000-00007A440000}"/>
    <cellStyle name="检查单元格 2 5 7 3 2" xfId="8526" xr:uid="{00000000-0005-0000-0000-00007E210000}"/>
    <cellStyle name="检查单元格 2 5 7 3 2 2" xfId="16354" xr:uid="{00000000-0005-0000-0000-000012400000}"/>
    <cellStyle name="检查单元格 2 5 7 3 3" xfId="35659" xr:uid="{00000000-0005-0000-0000-00007B8B0000}"/>
    <cellStyle name="检查单元格 2 5 7 3 3 2" xfId="16373" xr:uid="{00000000-0005-0000-0000-000025400000}"/>
    <cellStyle name="检查单元格 2 5 7 3 4" xfId="35660" xr:uid="{00000000-0005-0000-0000-00007C8B0000}"/>
    <cellStyle name="检查单元格 2 5 7 3 4 2" xfId="16397" xr:uid="{00000000-0005-0000-0000-00003D400000}"/>
    <cellStyle name="检查单元格 2 5 7 3 5" xfId="35662" xr:uid="{00000000-0005-0000-0000-00007E8B0000}"/>
    <cellStyle name="检查单元格 2 5 7 3 5 2" xfId="16422" xr:uid="{00000000-0005-0000-0000-000056400000}"/>
    <cellStyle name="检查单元格 2 5 7 3 6" xfId="35663" xr:uid="{00000000-0005-0000-0000-00007F8B0000}"/>
    <cellStyle name="检查单元格 2 5 7 4" xfId="17488" xr:uid="{00000000-0005-0000-0000-000080440000}"/>
    <cellStyle name="检查单元格 2 5 7 4 2" xfId="8575" xr:uid="{00000000-0005-0000-0000-0000AF210000}"/>
    <cellStyle name="检查单元格 2 5 7 4 2 2" xfId="16532" xr:uid="{00000000-0005-0000-0000-0000C4400000}"/>
    <cellStyle name="检查单元格 2 5 7 4 3" xfId="35664" xr:uid="{00000000-0005-0000-0000-0000808B0000}"/>
    <cellStyle name="检查单元格 2 5 7 4 3 2" xfId="16562" xr:uid="{00000000-0005-0000-0000-0000E2400000}"/>
    <cellStyle name="检查单元格 2 5 7 4 4" xfId="35665" xr:uid="{00000000-0005-0000-0000-0000818B0000}"/>
    <cellStyle name="检查单元格 2 5 7 4 4 2" xfId="3556" xr:uid="{00000000-0005-0000-0000-0000140E0000}"/>
    <cellStyle name="检查单元格 2 5 7 4 5" xfId="35666" xr:uid="{00000000-0005-0000-0000-0000828B0000}"/>
    <cellStyle name="检查单元格 2 5 7 4 5 2" xfId="16600" xr:uid="{00000000-0005-0000-0000-000008410000}"/>
    <cellStyle name="检查单元格 2 5 7 4 6" xfId="35667" xr:uid="{00000000-0005-0000-0000-0000838B0000}"/>
    <cellStyle name="检查单元格 2 5 7 5" xfId="8493" xr:uid="{00000000-0005-0000-0000-00005D210000}"/>
    <cellStyle name="检查单元格 2 5 7 5 2" xfId="22446" xr:uid="{00000000-0005-0000-0000-0000DE570000}"/>
    <cellStyle name="检查单元格 2 5 7 5 2 2" xfId="12404" xr:uid="{00000000-0005-0000-0000-0000A4300000}"/>
    <cellStyle name="检查单元格 2 5 7 5 3" xfId="22451" xr:uid="{00000000-0005-0000-0000-0000E3570000}"/>
    <cellStyle name="检查单元格 2 5 7 5 3 2" xfId="16688" xr:uid="{00000000-0005-0000-0000-000060410000}"/>
    <cellStyle name="检查单元格 2 5 7 5 4" xfId="22453" xr:uid="{00000000-0005-0000-0000-0000E5570000}"/>
    <cellStyle name="检查单元格 2 5 7 5 4 2" xfId="475" xr:uid="{00000000-0005-0000-0000-000006020000}"/>
    <cellStyle name="检查单元格 2 5 7 5 5" xfId="22457" xr:uid="{00000000-0005-0000-0000-0000E9570000}"/>
    <cellStyle name="检查单元格 2 5 7 6" xfId="35669" xr:uid="{00000000-0005-0000-0000-0000858B0000}"/>
    <cellStyle name="检查单元格 2 5 7 6 2" xfId="35672" xr:uid="{00000000-0005-0000-0000-0000888B0000}"/>
    <cellStyle name="检查单元格 2 5 7 7" xfId="35674" xr:uid="{00000000-0005-0000-0000-00008A8B0000}"/>
    <cellStyle name="检查单元格 2 5 7 7 2" xfId="35675" xr:uid="{00000000-0005-0000-0000-00008B8B0000}"/>
    <cellStyle name="检查单元格 2 5 7 8" xfId="35677" xr:uid="{00000000-0005-0000-0000-00008D8B0000}"/>
    <cellStyle name="检查单元格 2 5 7 8 2" xfId="35678" xr:uid="{00000000-0005-0000-0000-00008E8B0000}"/>
    <cellStyle name="检查单元格 2 5 7 9" xfId="12971" xr:uid="{00000000-0005-0000-0000-0000DB320000}"/>
    <cellStyle name="检查单元格 2 5 7 9 2" xfId="2478" xr:uid="{00000000-0005-0000-0000-0000DE090000}"/>
    <cellStyle name="检查单元格 2 5 8" xfId="17492" xr:uid="{00000000-0005-0000-0000-000084440000}"/>
    <cellStyle name="检查单元格 2 5 8 2" xfId="17495" xr:uid="{00000000-0005-0000-0000-000087440000}"/>
    <cellStyle name="检查单元格 2 5 8 2 2" xfId="18816" xr:uid="{00000000-0005-0000-0000-0000B0490000}"/>
    <cellStyle name="检查单元格 2 5 8 2 2 2" xfId="17830" xr:uid="{00000000-0005-0000-0000-0000D6450000}"/>
    <cellStyle name="检查单元格 2 5 8 2 3" xfId="35679" xr:uid="{00000000-0005-0000-0000-00008F8B0000}"/>
    <cellStyle name="检查单元格 2 5 8 2 3 2" xfId="17853" xr:uid="{00000000-0005-0000-0000-0000ED450000}"/>
    <cellStyle name="检查单元格 2 5 8 2 4" xfId="35681" xr:uid="{00000000-0005-0000-0000-0000918B0000}"/>
    <cellStyle name="检查单元格 2 5 8 2 4 2" xfId="17269" xr:uid="{00000000-0005-0000-0000-0000A5430000}"/>
    <cellStyle name="检查单元格 2 5 8 2 5" xfId="35683" xr:uid="{00000000-0005-0000-0000-0000938B0000}"/>
    <cellStyle name="检查单元格 2 5 8 2 5 2" xfId="17889" xr:uid="{00000000-0005-0000-0000-000011460000}"/>
    <cellStyle name="检查单元格 2 5 8 2 6" xfId="35684" xr:uid="{00000000-0005-0000-0000-0000948B0000}"/>
    <cellStyle name="检查单元格 2 5 8 2 7" xfId="35687" xr:uid="{00000000-0005-0000-0000-0000978B0000}"/>
    <cellStyle name="检查单元格 2 5 8 2 8" xfId="35689" xr:uid="{00000000-0005-0000-0000-0000998B0000}"/>
    <cellStyle name="检查单元格 2 5 8 2 9" xfId="35691" xr:uid="{00000000-0005-0000-0000-00009B8B0000}"/>
    <cellStyle name="检查单元格 2 5 8 3" xfId="18818" xr:uid="{00000000-0005-0000-0000-0000B2490000}"/>
    <cellStyle name="检查单元格 2 5 8 3 2" xfId="8737" xr:uid="{00000000-0005-0000-0000-000051220000}"/>
    <cellStyle name="检查单元格 2 5 8 3 2 2" xfId="17992" xr:uid="{00000000-0005-0000-0000-000078460000}"/>
    <cellStyle name="检查单元格 2 5 8 3 3" xfId="35693" xr:uid="{00000000-0005-0000-0000-00009D8B0000}"/>
    <cellStyle name="检查单元格 2 5 8 3 3 2" xfId="18018" xr:uid="{00000000-0005-0000-0000-000092460000}"/>
    <cellStyle name="检查单元格 2 5 8 3 4" xfId="35694" xr:uid="{00000000-0005-0000-0000-00009E8B0000}"/>
    <cellStyle name="检查单元格 2 5 8 3 4 2" xfId="18062" xr:uid="{00000000-0005-0000-0000-0000BE460000}"/>
    <cellStyle name="检查单元格 2 5 8 3 5" xfId="35695" xr:uid="{00000000-0005-0000-0000-00009F8B0000}"/>
    <cellStyle name="检查单元格 2 5 8 3 5 2" xfId="18107" xr:uid="{00000000-0005-0000-0000-0000EB460000}"/>
    <cellStyle name="检查单元格 2 5 8 3 6" xfId="35697" xr:uid="{00000000-0005-0000-0000-0000A18B0000}"/>
    <cellStyle name="检查单元格 2 5 8 4" xfId="18822" xr:uid="{00000000-0005-0000-0000-0000B6490000}"/>
    <cellStyle name="检查单元格 2 5 8 4 2" xfId="35701" xr:uid="{00000000-0005-0000-0000-0000A58B0000}"/>
    <cellStyle name="检查单元格 2 5 8 4 2 2" xfId="18244" xr:uid="{00000000-0005-0000-0000-000074470000}"/>
    <cellStyle name="检查单元格 2 5 8 4 3" xfId="35703" xr:uid="{00000000-0005-0000-0000-0000A78B0000}"/>
    <cellStyle name="检查单元格 2 5 8 4 3 2" xfId="18291" xr:uid="{00000000-0005-0000-0000-0000A3470000}"/>
    <cellStyle name="检查单元格 2 5 8 4 4" xfId="35704" xr:uid="{00000000-0005-0000-0000-0000A88B0000}"/>
    <cellStyle name="检查单元格 2 5 8 4 4 2" xfId="18334" xr:uid="{00000000-0005-0000-0000-0000CE470000}"/>
    <cellStyle name="检查单元格 2 5 8 4 5" xfId="35705" xr:uid="{00000000-0005-0000-0000-0000A98B0000}"/>
    <cellStyle name="检查单元格 2 5 8 4 5 2" xfId="18387" xr:uid="{00000000-0005-0000-0000-000003480000}"/>
    <cellStyle name="检查单元格 2 5 8 4 6" xfId="35706" xr:uid="{00000000-0005-0000-0000-0000AA8B0000}"/>
    <cellStyle name="检查单元格 2 5 8 5" xfId="8499" xr:uid="{00000000-0005-0000-0000-000063210000}"/>
    <cellStyle name="检查单元格 2 5 8 5 2" xfId="35709" xr:uid="{00000000-0005-0000-0000-0000AD8B0000}"/>
    <cellStyle name="检查单元格 2 5 8 5 2 2" xfId="13657" xr:uid="{00000000-0005-0000-0000-000089350000}"/>
    <cellStyle name="检查单元格 2 5 8 5 3" xfId="35711" xr:uid="{00000000-0005-0000-0000-0000AF8B0000}"/>
    <cellStyle name="检查单元格 2 5 8 5 3 2" xfId="18586" xr:uid="{00000000-0005-0000-0000-0000CA480000}"/>
    <cellStyle name="检查单元格 2 5 8 5 4" xfId="35712" xr:uid="{00000000-0005-0000-0000-0000B08B0000}"/>
    <cellStyle name="检查单元格 2 5 8 5 4 2" xfId="18644" xr:uid="{00000000-0005-0000-0000-000004490000}"/>
    <cellStyle name="检查单元格 2 5 8 5 5" xfId="35713" xr:uid="{00000000-0005-0000-0000-0000B18B0000}"/>
    <cellStyle name="检查单元格 2 5 8 6" xfId="6169" xr:uid="{00000000-0005-0000-0000-000049180000}"/>
    <cellStyle name="检查单元格 2 5 8 7" xfId="7403" xr:uid="{00000000-0005-0000-0000-00001B1D0000}"/>
    <cellStyle name="检查单元格 2 5 8 8" xfId="5791" xr:uid="{00000000-0005-0000-0000-0000CF160000}"/>
    <cellStyle name="检查单元格 2 5 9" xfId="35714" xr:uid="{00000000-0005-0000-0000-0000B28B0000}"/>
    <cellStyle name="检查单元格 2 5 9 2" xfId="11040" xr:uid="{00000000-0005-0000-0000-0000502B0000}"/>
    <cellStyle name="检查单元格 2 5 9 2 2" xfId="14168" xr:uid="{00000000-0005-0000-0000-000088370000}"/>
    <cellStyle name="检查单元格 2 5 9 3" xfId="11046" xr:uid="{00000000-0005-0000-0000-0000562B0000}"/>
    <cellStyle name="检查单元格 2 5 9 3 2" xfId="6583" xr:uid="{00000000-0005-0000-0000-0000E7190000}"/>
    <cellStyle name="检查单元格 2 5 9 4" xfId="11052" xr:uid="{00000000-0005-0000-0000-00005C2B0000}"/>
    <cellStyle name="检查单元格 2 5 9 4 2" xfId="35716" xr:uid="{00000000-0005-0000-0000-0000B48B0000}"/>
    <cellStyle name="检查单元格 2 5 9 5" xfId="11057" xr:uid="{00000000-0005-0000-0000-0000612B0000}"/>
    <cellStyle name="检查单元格 2 5 9 5 2" xfId="35718" xr:uid="{00000000-0005-0000-0000-0000B68B0000}"/>
    <cellStyle name="检查单元格 2 5 9 6" xfId="6189" xr:uid="{00000000-0005-0000-0000-00005D180000}"/>
    <cellStyle name="检查单元格 2 6" xfId="35719" xr:uid="{00000000-0005-0000-0000-0000B78B0000}"/>
    <cellStyle name="检查单元格 2 6 10" xfId="6210" xr:uid="{00000000-0005-0000-0000-000072180000}"/>
    <cellStyle name="检查单元格 2 6 10 2" xfId="17609" xr:uid="{00000000-0005-0000-0000-0000F9440000}"/>
    <cellStyle name="检查单元格 2 6 10 2 2" xfId="21343" xr:uid="{00000000-0005-0000-0000-00008F530000}"/>
    <cellStyle name="检查单元格 2 6 10 3" xfId="21346" xr:uid="{00000000-0005-0000-0000-000092530000}"/>
    <cellStyle name="检查单元格 2 6 10 3 2" xfId="14006" xr:uid="{00000000-0005-0000-0000-0000E6360000}"/>
    <cellStyle name="检查单元格 2 6 10 4" xfId="21353" xr:uid="{00000000-0005-0000-0000-000099530000}"/>
    <cellStyle name="检查单元格 2 6 10 4 2" xfId="21357" xr:uid="{00000000-0005-0000-0000-00009D530000}"/>
    <cellStyle name="检查单元格 2 6 10 5" xfId="21366" xr:uid="{00000000-0005-0000-0000-0000A6530000}"/>
    <cellStyle name="检查单元格 2 6 10 5 2" xfId="25978" xr:uid="{00000000-0005-0000-0000-0000AA650000}"/>
    <cellStyle name="检查单元格 2 6 10 6" xfId="25983" xr:uid="{00000000-0005-0000-0000-0000AF650000}"/>
    <cellStyle name="检查单元格 2 6 11" xfId="17610" xr:uid="{00000000-0005-0000-0000-0000FA440000}"/>
    <cellStyle name="检查单元格 2 6 11 2" xfId="17616" xr:uid="{00000000-0005-0000-0000-000000450000}"/>
    <cellStyle name="检查单元格 2 6 11 2 2" xfId="21379" xr:uid="{00000000-0005-0000-0000-0000B3530000}"/>
    <cellStyle name="检查单元格 2 6 11 3" xfId="21383" xr:uid="{00000000-0005-0000-0000-0000B7530000}"/>
    <cellStyle name="检查单元格 2 6 11 3 2" xfId="18962" xr:uid="{00000000-0005-0000-0000-0000424A0000}"/>
    <cellStyle name="检查单元格 2 6 11 4" xfId="21387" xr:uid="{00000000-0005-0000-0000-0000BB530000}"/>
    <cellStyle name="检查单元格 2 6 11 4 2" xfId="21390" xr:uid="{00000000-0005-0000-0000-0000BE530000}"/>
    <cellStyle name="检查单元格 2 6 11 5" xfId="21395" xr:uid="{00000000-0005-0000-0000-0000C3530000}"/>
    <cellStyle name="检查单元格 2 6 11 5 2" xfId="35720" xr:uid="{00000000-0005-0000-0000-0000B88B0000}"/>
    <cellStyle name="检查单元格 2 6 11 6" xfId="35721" xr:uid="{00000000-0005-0000-0000-0000B98B0000}"/>
    <cellStyle name="检查单元格 2 6 12" xfId="17619" xr:uid="{00000000-0005-0000-0000-000003450000}"/>
    <cellStyle name="检查单元格 2 6 12 2" xfId="21417" xr:uid="{00000000-0005-0000-0000-0000D9530000}"/>
    <cellStyle name="检查单元格 2 6 12 2 2" xfId="21420" xr:uid="{00000000-0005-0000-0000-0000DC530000}"/>
    <cellStyle name="检查单元格 2 6 12 3" xfId="21424" xr:uid="{00000000-0005-0000-0000-0000E0530000}"/>
    <cellStyle name="检查单元格 2 6 12 3 2" xfId="19083" xr:uid="{00000000-0005-0000-0000-0000BB4A0000}"/>
    <cellStyle name="检查单元格 2 6 12 4" xfId="21433" xr:uid="{00000000-0005-0000-0000-0000E9530000}"/>
    <cellStyle name="检查单元格 2 6 12 4 2" xfId="21439" xr:uid="{00000000-0005-0000-0000-0000EF530000}"/>
    <cellStyle name="检查单元格 2 6 12 5" xfId="21446" xr:uid="{00000000-0005-0000-0000-0000F6530000}"/>
    <cellStyle name="检查单元格 2 6 13" xfId="31289" xr:uid="{00000000-0005-0000-0000-0000697A0000}"/>
    <cellStyle name="检查单元格 2 6 13 2" xfId="19290" xr:uid="{00000000-0005-0000-0000-00008A4B0000}"/>
    <cellStyle name="检查单元格 2 6 14" xfId="35724" xr:uid="{00000000-0005-0000-0000-0000BC8B0000}"/>
    <cellStyle name="检查单元格 2 6 14 2" xfId="10876" xr:uid="{00000000-0005-0000-0000-0000AC2A0000}"/>
    <cellStyle name="检查单元格 2 6 15" xfId="35727" xr:uid="{00000000-0005-0000-0000-0000BF8B0000}"/>
    <cellStyle name="检查单元格 2 6 15 2" xfId="35730" xr:uid="{00000000-0005-0000-0000-0000C28B0000}"/>
    <cellStyle name="检查单元格 2 6 16" xfId="35734" xr:uid="{00000000-0005-0000-0000-0000C68B0000}"/>
    <cellStyle name="检查单元格 2 6 16 2" xfId="10891" xr:uid="{00000000-0005-0000-0000-0000BB2A0000}"/>
    <cellStyle name="检查单元格 2 6 17" xfId="3704" xr:uid="{00000000-0005-0000-0000-0000A80E0000}"/>
    <cellStyle name="检查单元格 2 6 18" xfId="35738" xr:uid="{00000000-0005-0000-0000-0000CA8B0000}"/>
    <cellStyle name="检查单元格 2 6 19" xfId="35743" xr:uid="{00000000-0005-0000-0000-0000CF8B0000}"/>
    <cellStyle name="检查单元格 2 6 2" xfId="3798" xr:uid="{00000000-0005-0000-0000-0000060F0000}"/>
    <cellStyle name="检查单元格 2 6 2 10" xfId="13449" xr:uid="{00000000-0005-0000-0000-0000B9340000}"/>
    <cellStyle name="检查单元格 2 6 2 11" xfId="35744" xr:uid="{00000000-0005-0000-0000-0000D08B0000}"/>
    <cellStyle name="检查单元格 2 6 2 12" xfId="9799" xr:uid="{00000000-0005-0000-0000-000077260000}"/>
    <cellStyle name="检查单元格 2 6 2 13" xfId="20514" xr:uid="{00000000-0005-0000-0000-000052500000}"/>
    <cellStyle name="检查单元格 2 6 2 2" xfId="9462" xr:uid="{00000000-0005-0000-0000-000026250000}"/>
    <cellStyle name="检查单元格 2 6 2 2 2" xfId="35746" xr:uid="{00000000-0005-0000-0000-0000D28B0000}"/>
    <cellStyle name="检查单元格 2 6 2 2 2 2" xfId="35748" xr:uid="{00000000-0005-0000-0000-0000D48B0000}"/>
    <cellStyle name="检查单元格 2 6 2 2 3" xfId="35119" xr:uid="{00000000-0005-0000-0000-00005F890000}"/>
    <cellStyle name="检查单元格 2 6 2 2 3 2" xfId="35750" xr:uid="{00000000-0005-0000-0000-0000D68B0000}"/>
    <cellStyle name="检查单元格 2 6 2 2 4" xfId="35752" xr:uid="{00000000-0005-0000-0000-0000D88B0000}"/>
    <cellStyle name="检查单元格 2 6 2 2 4 2" xfId="35754" xr:uid="{00000000-0005-0000-0000-0000DA8B0000}"/>
    <cellStyle name="检查单元格 2 6 2 2 5" xfId="35756" xr:uid="{00000000-0005-0000-0000-0000DC8B0000}"/>
    <cellStyle name="检查单元格 2 6 2 2 5 2" xfId="35757" xr:uid="{00000000-0005-0000-0000-0000DD8B0000}"/>
    <cellStyle name="检查单元格 2 6 2 2 6" xfId="15901" xr:uid="{00000000-0005-0000-0000-00004D3E0000}"/>
    <cellStyle name="检查单元格 2 6 2 2 7" xfId="25903" xr:uid="{00000000-0005-0000-0000-00005F650000}"/>
    <cellStyle name="检查单元格 2 6 2 2 8" xfId="30376" xr:uid="{00000000-0005-0000-0000-0000D8760000}"/>
    <cellStyle name="检查单元格 2 6 2 2 9" xfId="35759" xr:uid="{00000000-0005-0000-0000-0000DF8B0000}"/>
    <cellStyle name="检查单元格 2 6 2 3" xfId="26442" xr:uid="{00000000-0005-0000-0000-00007A670000}"/>
    <cellStyle name="检查单元格 2 6 2 3 2" xfId="35760" xr:uid="{00000000-0005-0000-0000-0000E08B0000}"/>
    <cellStyle name="检查单元格 2 6 2 3 2 2" xfId="35762" xr:uid="{00000000-0005-0000-0000-0000E28B0000}"/>
    <cellStyle name="检查单元格 2 6 2 3 3" xfId="35123" xr:uid="{00000000-0005-0000-0000-000063890000}"/>
    <cellStyle name="检查单元格 2 6 2 3 3 2" xfId="35764" xr:uid="{00000000-0005-0000-0000-0000E48B0000}"/>
    <cellStyle name="检查单元格 2 6 2 3 4" xfId="35766" xr:uid="{00000000-0005-0000-0000-0000E68B0000}"/>
    <cellStyle name="检查单元格 2 6 2 3 4 2" xfId="35769" xr:uid="{00000000-0005-0000-0000-0000E98B0000}"/>
    <cellStyle name="检查单元格 2 6 2 3 5" xfId="35771" xr:uid="{00000000-0005-0000-0000-0000EB8B0000}"/>
    <cellStyle name="检查单元格 2 6 2 3 5 2" xfId="35772" xr:uid="{00000000-0005-0000-0000-0000EC8B0000}"/>
    <cellStyle name="检查单元格 2 6 2 3 6" xfId="15905" xr:uid="{00000000-0005-0000-0000-0000513E0000}"/>
    <cellStyle name="检查单元格 2 6 2 4" xfId="35774" xr:uid="{00000000-0005-0000-0000-0000EE8B0000}"/>
    <cellStyle name="检查单元格 2 6 2 4 2" xfId="35775" xr:uid="{00000000-0005-0000-0000-0000EF8B0000}"/>
    <cellStyle name="检查单元格 2 6 2 4 2 2" xfId="35776" xr:uid="{00000000-0005-0000-0000-0000F08B0000}"/>
    <cellStyle name="检查单元格 2 6 2 4 3" xfId="35127" xr:uid="{00000000-0005-0000-0000-000067890000}"/>
    <cellStyle name="检查单元格 2 6 2 4 3 2" xfId="35778" xr:uid="{00000000-0005-0000-0000-0000F28B0000}"/>
    <cellStyle name="检查单元格 2 6 2 4 4" xfId="35780" xr:uid="{00000000-0005-0000-0000-0000F48B0000}"/>
    <cellStyle name="检查单元格 2 6 2 4 4 2" xfId="35781" xr:uid="{00000000-0005-0000-0000-0000F58B0000}"/>
    <cellStyle name="检查单元格 2 6 2 4 5" xfId="35783" xr:uid="{00000000-0005-0000-0000-0000F78B0000}"/>
    <cellStyle name="检查单元格 2 6 2 4 5 2" xfId="35784" xr:uid="{00000000-0005-0000-0000-0000F88B0000}"/>
    <cellStyle name="检查单元格 2 6 2 4 6" xfId="35786" xr:uid="{00000000-0005-0000-0000-0000FA8B0000}"/>
    <cellStyle name="检查单元格 2 6 2 5" xfId="35788" xr:uid="{00000000-0005-0000-0000-0000FC8B0000}"/>
    <cellStyle name="检查单元格 2 6 2 5 2" xfId="35790" xr:uid="{00000000-0005-0000-0000-0000FE8B0000}"/>
    <cellStyle name="检查单元格 2 6 2 5 2 2" xfId="35792" xr:uid="{00000000-0005-0000-0000-0000008C0000}"/>
    <cellStyle name="检查单元格 2 6 2 5 3" xfId="35131" xr:uid="{00000000-0005-0000-0000-00006B890000}"/>
    <cellStyle name="检查单元格 2 6 2 5 3 2" xfId="35794" xr:uid="{00000000-0005-0000-0000-0000028C0000}"/>
    <cellStyle name="检查单元格 2 6 2 5 4" xfId="35797" xr:uid="{00000000-0005-0000-0000-0000058C0000}"/>
    <cellStyle name="检查单元格 2 6 2 5 4 2" xfId="35798" xr:uid="{00000000-0005-0000-0000-0000068C0000}"/>
    <cellStyle name="检查单元格 2 6 2 5 5" xfId="35801" xr:uid="{00000000-0005-0000-0000-0000098C0000}"/>
    <cellStyle name="检查单元格 2 6 2 6" xfId="35802" xr:uid="{00000000-0005-0000-0000-00000A8C0000}"/>
    <cellStyle name="检查单元格 2 6 2 6 2" xfId="35803" xr:uid="{00000000-0005-0000-0000-00000B8C0000}"/>
    <cellStyle name="检查单元格 2 6 2 7" xfId="18372" xr:uid="{00000000-0005-0000-0000-0000F4470000}"/>
    <cellStyle name="检查单元格 2 6 2 7 2" xfId="18380" xr:uid="{00000000-0005-0000-0000-0000FC470000}"/>
    <cellStyle name="检查单元格 2 6 2 8" xfId="18388" xr:uid="{00000000-0005-0000-0000-000004480000}"/>
    <cellStyle name="检查单元格 2 6 2 8 2" xfId="18393" xr:uid="{00000000-0005-0000-0000-000009480000}"/>
    <cellStyle name="检查单元格 2 6 2 9" xfId="18396" xr:uid="{00000000-0005-0000-0000-00000C480000}"/>
    <cellStyle name="检查单元格 2 6 2 9 2" xfId="18402" xr:uid="{00000000-0005-0000-0000-000012480000}"/>
    <cellStyle name="检查单元格 2 6 20" xfId="35726" xr:uid="{00000000-0005-0000-0000-0000BE8B0000}"/>
    <cellStyle name="检查单元格 2 6 3" xfId="9465" xr:uid="{00000000-0005-0000-0000-000029250000}"/>
    <cellStyle name="检查单元格 2 6 3 10" xfId="35805" xr:uid="{00000000-0005-0000-0000-00000D8C0000}"/>
    <cellStyle name="检查单元格 2 6 3 11" xfId="35806" xr:uid="{00000000-0005-0000-0000-00000E8C0000}"/>
    <cellStyle name="检查单元格 2 6 3 12" xfId="35807" xr:uid="{00000000-0005-0000-0000-00000F8C0000}"/>
    <cellStyle name="检查单元格 2 6 3 13" xfId="35808" xr:uid="{00000000-0005-0000-0000-0000108C0000}"/>
    <cellStyle name="检查单元格 2 6 3 2" xfId="10905" xr:uid="{00000000-0005-0000-0000-0000C92A0000}"/>
    <cellStyle name="检查单元格 2 6 3 2 2" xfId="35809" xr:uid="{00000000-0005-0000-0000-0000118C0000}"/>
    <cellStyle name="检查单元格 2 6 3 2 2 2" xfId="35810" xr:uid="{00000000-0005-0000-0000-0000128C0000}"/>
    <cellStyle name="检查单元格 2 6 3 2 3" xfId="35137" xr:uid="{00000000-0005-0000-0000-000071890000}"/>
    <cellStyle name="检查单元格 2 6 3 2 3 2" xfId="35812" xr:uid="{00000000-0005-0000-0000-0000148C0000}"/>
    <cellStyle name="检查单元格 2 6 3 2 4" xfId="35814" xr:uid="{00000000-0005-0000-0000-0000168C0000}"/>
    <cellStyle name="检查单元格 2 6 3 2 4 2" xfId="22549" xr:uid="{00000000-0005-0000-0000-000045580000}"/>
    <cellStyle name="检查单元格 2 6 3 2 5" xfId="35816" xr:uid="{00000000-0005-0000-0000-0000188C0000}"/>
    <cellStyle name="检查单元格 2 6 3 2 5 2" xfId="35817" xr:uid="{00000000-0005-0000-0000-0000198C0000}"/>
    <cellStyle name="检查单元格 2 6 3 2 6" xfId="15923" xr:uid="{00000000-0005-0000-0000-0000633E0000}"/>
    <cellStyle name="检查单元格 2 6 3 2 7" xfId="35819" xr:uid="{00000000-0005-0000-0000-00001B8C0000}"/>
    <cellStyle name="检查单元格 2 6 3 2 8" xfId="35821" xr:uid="{00000000-0005-0000-0000-00001D8C0000}"/>
    <cellStyle name="检查单元格 2 6 3 2 9" xfId="35823" xr:uid="{00000000-0005-0000-0000-00001F8C0000}"/>
    <cellStyle name="检查单元格 2 6 3 3" xfId="10909" xr:uid="{00000000-0005-0000-0000-0000CD2A0000}"/>
    <cellStyle name="检查单元格 2 6 3 3 2" xfId="35825" xr:uid="{00000000-0005-0000-0000-0000218C0000}"/>
    <cellStyle name="检查单元格 2 6 3 3 2 2" xfId="35827" xr:uid="{00000000-0005-0000-0000-0000238C0000}"/>
    <cellStyle name="检查单元格 2 6 3 3 3" xfId="35141" xr:uid="{00000000-0005-0000-0000-000075890000}"/>
    <cellStyle name="检查单元格 2 6 3 3 3 2" xfId="34134" xr:uid="{00000000-0005-0000-0000-000086850000}"/>
    <cellStyle name="检查单元格 2 6 3 3 4" xfId="35828" xr:uid="{00000000-0005-0000-0000-0000248C0000}"/>
    <cellStyle name="检查单元格 2 6 3 3 4 2" xfId="13704" xr:uid="{00000000-0005-0000-0000-0000B8350000}"/>
    <cellStyle name="检查单元格 2 6 3 3 5" xfId="35831" xr:uid="{00000000-0005-0000-0000-0000278C0000}"/>
    <cellStyle name="检查单元格 2 6 3 3 5 2" xfId="28337" xr:uid="{00000000-0005-0000-0000-0000E16E0000}"/>
    <cellStyle name="检查单元格 2 6 3 3 6" xfId="15931" xr:uid="{00000000-0005-0000-0000-00006B3E0000}"/>
    <cellStyle name="检查单元格 2 6 3 4" xfId="35834" xr:uid="{00000000-0005-0000-0000-00002A8C0000}"/>
    <cellStyle name="检查单元格 2 6 3 4 2" xfId="35836" xr:uid="{00000000-0005-0000-0000-00002C8C0000}"/>
    <cellStyle name="检查单元格 2 6 3 4 2 2" xfId="35837" xr:uid="{00000000-0005-0000-0000-00002D8C0000}"/>
    <cellStyle name="检查单元格 2 6 3 4 3" xfId="35145" xr:uid="{00000000-0005-0000-0000-000079890000}"/>
    <cellStyle name="检查单元格 2 6 3 4 3 2" xfId="35839" xr:uid="{00000000-0005-0000-0000-00002F8C0000}"/>
    <cellStyle name="检查单元格 2 6 3 4 4" xfId="35841" xr:uid="{00000000-0005-0000-0000-0000318C0000}"/>
    <cellStyle name="检查单元格 2 6 3 4 4 2" xfId="35842" xr:uid="{00000000-0005-0000-0000-0000328C0000}"/>
    <cellStyle name="检查单元格 2 6 3 4 5" xfId="35844" xr:uid="{00000000-0005-0000-0000-0000348C0000}"/>
    <cellStyle name="检查单元格 2 6 3 4 5 2" xfId="35845" xr:uid="{00000000-0005-0000-0000-0000358C0000}"/>
    <cellStyle name="检查单元格 2 6 3 4 6" xfId="35847" xr:uid="{00000000-0005-0000-0000-0000378C0000}"/>
    <cellStyle name="检查单元格 2 6 3 5" xfId="35850" xr:uid="{00000000-0005-0000-0000-00003A8C0000}"/>
    <cellStyle name="检查单元格 2 6 3 5 2" xfId="35852" xr:uid="{00000000-0005-0000-0000-00003C8C0000}"/>
    <cellStyle name="检查单元格 2 6 3 5 2 2" xfId="35853" xr:uid="{00000000-0005-0000-0000-00003D8C0000}"/>
    <cellStyle name="检查单元格 2 6 3 5 3" xfId="35148" xr:uid="{00000000-0005-0000-0000-00007C890000}"/>
    <cellStyle name="检查单元格 2 6 3 5 3 2" xfId="35855" xr:uid="{00000000-0005-0000-0000-00003F8C0000}"/>
    <cellStyle name="检查单元格 2 6 3 5 4" xfId="35857" xr:uid="{00000000-0005-0000-0000-0000418C0000}"/>
    <cellStyle name="检查单元格 2 6 3 5 4 2" xfId="35858" xr:uid="{00000000-0005-0000-0000-0000428C0000}"/>
    <cellStyle name="检查单元格 2 6 3 5 5" xfId="35860" xr:uid="{00000000-0005-0000-0000-0000448C0000}"/>
    <cellStyle name="检查单元格 2 6 3 6" xfId="35863" xr:uid="{00000000-0005-0000-0000-0000478C0000}"/>
    <cellStyle name="检查单元格 2 6 3 6 2" xfId="35866" xr:uid="{00000000-0005-0000-0000-00004A8C0000}"/>
    <cellStyle name="检查单元格 2 6 3 7" xfId="18430" xr:uid="{00000000-0005-0000-0000-00002E480000}"/>
    <cellStyle name="检查单元格 2 6 3 7 2" xfId="392" xr:uid="{00000000-0005-0000-0000-0000AE010000}"/>
    <cellStyle name="检查单元格 2 6 3 8" xfId="18440" xr:uid="{00000000-0005-0000-0000-000038480000}"/>
    <cellStyle name="检查单元格 2 6 3 8 2" xfId="9807" xr:uid="{00000000-0005-0000-0000-00007F260000}"/>
    <cellStyle name="检查单元格 2 6 3 9" xfId="18444" xr:uid="{00000000-0005-0000-0000-00003C480000}"/>
    <cellStyle name="检查单元格 2 6 3 9 2" xfId="18455" xr:uid="{00000000-0005-0000-0000-000047480000}"/>
    <cellStyle name="检查单元格 2 6 4" xfId="17498" xr:uid="{00000000-0005-0000-0000-00008A440000}"/>
    <cellStyle name="检查单元格 2 6 4 10" xfId="35868" xr:uid="{00000000-0005-0000-0000-00004C8C0000}"/>
    <cellStyle name="检查单元格 2 6 4 11" xfId="35870" xr:uid="{00000000-0005-0000-0000-00004E8C0000}"/>
    <cellStyle name="检查单元格 2 6 4 12" xfId="35871" xr:uid="{00000000-0005-0000-0000-00004F8C0000}"/>
    <cellStyle name="检查单元格 2 6 4 13" xfId="35872" xr:uid="{00000000-0005-0000-0000-0000508C0000}"/>
    <cellStyle name="检查单元格 2 6 4 2" xfId="2403" xr:uid="{00000000-0005-0000-0000-000093090000}"/>
    <cellStyle name="检查单元格 2 6 4 2 2" xfId="35874" xr:uid="{00000000-0005-0000-0000-0000528C0000}"/>
    <cellStyle name="检查单元格 2 6 4 2 2 2" xfId="35875" xr:uid="{00000000-0005-0000-0000-0000538C0000}"/>
    <cellStyle name="检查单元格 2 6 4 2 3" xfId="35150" xr:uid="{00000000-0005-0000-0000-00007E890000}"/>
    <cellStyle name="检查单元格 2 6 4 2 3 2" xfId="13729" xr:uid="{00000000-0005-0000-0000-0000D1350000}"/>
    <cellStyle name="检查单元格 2 6 4 2 4" xfId="35876" xr:uid="{00000000-0005-0000-0000-0000548C0000}"/>
    <cellStyle name="检查单元格 2 6 4 2 4 2" xfId="35535" xr:uid="{00000000-0005-0000-0000-0000FF8A0000}"/>
    <cellStyle name="检查单元格 2 6 4 2 5" xfId="35878" xr:uid="{00000000-0005-0000-0000-0000568C0000}"/>
    <cellStyle name="检查单元格 2 6 4 2 5 2" xfId="35879" xr:uid="{00000000-0005-0000-0000-0000578C0000}"/>
    <cellStyle name="检查单元格 2 6 4 2 6" xfId="13736" xr:uid="{00000000-0005-0000-0000-0000D8350000}"/>
    <cellStyle name="检查单元格 2 6 4 2 7" xfId="35881" xr:uid="{00000000-0005-0000-0000-0000598C0000}"/>
    <cellStyle name="检查单元格 2 6 4 2 8" xfId="35882" xr:uid="{00000000-0005-0000-0000-00005A8C0000}"/>
    <cellStyle name="检查单元格 2 6 4 2 9" xfId="35883" xr:uid="{00000000-0005-0000-0000-00005B8C0000}"/>
    <cellStyle name="检查单元格 2 6 4 3" xfId="2410" xr:uid="{00000000-0005-0000-0000-00009A090000}"/>
    <cellStyle name="检查单元格 2 6 4 3 2" xfId="35884" xr:uid="{00000000-0005-0000-0000-00005C8C0000}"/>
    <cellStyle name="检查单元格 2 6 4 3 2 2" xfId="35886" xr:uid="{00000000-0005-0000-0000-00005E8C0000}"/>
    <cellStyle name="检查单元格 2 6 4 3 3" xfId="35154" xr:uid="{00000000-0005-0000-0000-000082890000}"/>
    <cellStyle name="检查单元格 2 6 4 3 3 2" xfId="13759" xr:uid="{00000000-0005-0000-0000-0000EF350000}"/>
    <cellStyle name="检查单元格 2 6 4 3 4" xfId="35887" xr:uid="{00000000-0005-0000-0000-00005F8C0000}"/>
    <cellStyle name="检查单元格 2 6 4 3 4 2" xfId="35890" xr:uid="{00000000-0005-0000-0000-0000628C0000}"/>
    <cellStyle name="检查单元格 2 6 4 3 5" xfId="35892" xr:uid="{00000000-0005-0000-0000-0000648C0000}"/>
    <cellStyle name="检查单元格 2 6 4 3 5 2" xfId="35893" xr:uid="{00000000-0005-0000-0000-0000658C0000}"/>
    <cellStyle name="检查单元格 2 6 4 3 6" xfId="15950" xr:uid="{00000000-0005-0000-0000-00007E3E0000}"/>
    <cellStyle name="检查单元格 2 6 4 4" xfId="35895" xr:uid="{00000000-0005-0000-0000-0000678C0000}"/>
    <cellStyle name="检查单元格 2 6 4 4 2" xfId="35896" xr:uid="{00000000-0005-0000-0000-0000688C0000}"/>
    <cellStyle name="检查单元格 2 6 4 4 2 2" xfId="35897" xr:uid="{00000000-0005-0000-0000-0000698C0000}"/>
    <cellStyle name="检查单元格 2 6 4 4 3" xfId="35158" xr:uid="{00000000-0005-0000-0000-000086890000}"/>
    <cellStyle name="检查单元格 2 6 4 4 3 2" xfId="35899" xr:uid="{00000000-0005-0000-0000-00006B8C0000}"/>
    <cellStyle name="检查单元格 2 6 4 4 4" xfId="12776" xr:uid="{00000000-0005-0000-0000-000018320000}"/>
    <cellStyle name="检查单元格 2 6 4 4 4 2" xfId="13774" xr:uid="{00000000-0005-0000-0000-0000FE350000}"/>
    <cellStyle name="检查单元格 2 6 4 4 5" xfId="13780" xr:uid="{00000000-0005-0000-0000-000004360000}"/>
    <cellStyle name="检查单元格 2 6 4 4 5 2" xfId="25400" xr:uid="{00000000-0005-0000-0000-000068630000}"/>
    <cellStyle name="检查单元格 2 6 4 4 6" xfId="27127" xr:uid="{00000000-0005-0000-0000-0000276A0000}"/>
    <cellStyle name="检查单元格 2 6 4 5" xfId="35901" xr:uid="{00000000-0005-0000-0000-00006D8C0000}"/>
    <cellStyle name="检查单元格 2 6 4 5 2" xfId="35902" xr:uid="{00000000-0005-0000-0000-00006E8C0000}"/>
    <cellStyle name="检查单元格 2 6 4 5 2 2" xfId="35903" xr:uid="{00000000-0005-0000-0000-00006F8C0000}"/>
    <cellStyle name="检查单元格 2 6 4 5 3" xfId="35161" xr:uid="{00000000-0005-0000-0000-000089890000}"/>
    <cellStyle name="检查单元格 2 6 4 5 3 2" xfId="35905" xr:uid="{00000000-0005-0000-0000-0000718C0000}"/>
    <cellStyle name="检查单元格 2 6 4 5 4" xfId="35907" xr:uid="{00000000-0005-0000-0000-0000738C0000}"/>
    <cellStyle name="检查单元格 2 6 4 5 4 2" xfId="35908" xr:uid="{00000000-0005-0000-0000-0000748C0000}"/>
    <cellStyle name="检查单元格 2 6 4 5 5" xfId="35910" xr:uid="{00000000-0005-0000-0000-0000768C0000}"/>
    <cellStyle name="检查单元格 2 6 4 6" xfId="35911" xr:uid="{00000000-0005-0000-0000-0000778C0000}"/>
    <cellStyle name="检查单元格 2 6 4 6 2" xfId="35912" xr:uid="{00000000-0005-0000-0000-0000788C0000}"/>
    <cellStyle name="检查单元格 2 6 4 7" xfId="18478" xr:uid="{00000000-0005-0000-0000-00005E480000}"/>
    <cellStyle name="检查单元格 2 6 4 7 2" xfId="10084" xr:uid="{00000000-0005-0000-0000-000094270000}"/>
    <cellStyle name="检查单元格 2 6 4 8" xfId="18489" xr:uid="{00000000-0005-0000-0000-000069480000}"/>
    <cellStyle name="检查单元格 2 6 4 8 2" xfId="10135" xr:uid="{00000000-0005-0000-0000-0000C7270000}"/>
    <cellStyle name="检查单元格 2 6 4 9" xfId="18493" xr:uid="{00000000-0005-0000-0000-00006D480000}"/>
    <cellStyle name="检查单元格 2 6 4 9 2" xfId="18500" xr:uid="{00000000-0005-0000-0000-000074480000}"/>
    <cellStyle name="检查单元格 2 6 5" xfId="15356" xr:uid="{00000000-0005-0000-0000-00002C3C0000}"/>
    <cellStyle name="检查单元格 2 6 5 10" xfId="24560" xr:uid="{00000000-0005-0000-0000-000020600000}"/>
    <cellStyle name="检查单元格 2 6 5 11" xfId="35913" xr:uid="{00000000-0005-0000-0000-0000798C0000}"/>
    <cellStyle name="检查单元格 2 6 5 12" xfId="25023" xr:uid="{00000000-0005-0000-0000-0000EF610000}"/>
    <cellStyle name="检查单元格 2 6 5 13" xfId="25032" xr:uid="{00000000-0005-0000-0000-0000F8610000}"/>
    <cellStyle name="检查单元格 2 6 5 2" xfId="24841" xr:uid="{00000000-0005-0000-0000-000039610000}"/>
    <cellStyle name="检查单元格 2 6 5 2 2" xfId="35914" xr:uid="{00000000-0005-0000-0000-00007A8C0000}"/>
    <cellStyle name="检查单元格 2 6 5 2 2 2" xfId="35915" xr:uid="{00000000-0005-0000-0000-00007B8C0000}"/>
    <cellStyle name="检查单元格 2 6 5 2 3" xfId="35163" xr:uid="{00000000-0005-0000-0000-00008B890000}"/>
    <cellStyle name="检查单元格 2 6 5 2 3 2" xfId="35918" xr:uid="{00000000-0005-0000-0000-00007E8C0000}"/>
    <cellStyle name="检查单元格 2 6 5 2 4" xfId="35919" xr:uid="{00000000-0005-0000-0000-00007F8C0000}"/>
    <cellStyle name="检查单元格 2 6 5 2 4 2" xfId="35921" xr:uid="{00000000-0005-0000-0000-0000818C0000}"/>
    <cellStyle name="检查单元格 2 6 5 2 5" xfId="35922" xr:uid="{00000000-0005-0000-0000-0000828C0000}"/>
    <cellStyle name="检查单元格 2 6 5 2 5 2" xfId="35923" xr:uid="{00000000-0005-0000-0000-0000838C0000}"/>
    <cellStyle name="检查单元格 2 6 5 2 6" xfId="15977" xr:uid="{00000000-0005-0000-0000-0000993E0000}"/>
    <cellStyle name="检查单元格 2 6 5 2 7" xfId="33390" xr:uid="{00000000-0005-0000-0000-00009E820000}"/>
    <cellStyle name="检查单元格 2 6 5 2 8" xfId="35924" xr:uid="{00000000-0005-0000-0000-0000848C0000}"/>
    <cellStyle name="检查单元格 2 6 5 2 9" xfId="35925" xr:uid="{00000000-0005-0000-0000-0000858C0000}"/>
    <cellStyle name="检查单元格 2 6 5 3" xfId="24846" xr:uid="{00000000-0005-0000-0000-00003E610000}"/>
    <cellStyle name="检查单元格 2 6 5 3 2" xfId="35926" xr:uid="{00000000-0005-0000-0000-0000868C0000}"/>
    <cellStyle name="检查单元格 2 6 5 3 2 2" xfId="9368" xr:uid="{00000000-0005-0000-0000-0000C8240000}"/>
    <cellStyle name="检查单元格 2 6 5 3 3" xfId="35169" xr:uid="{00000000-0005-0000-0000-000091890000}"/>
    <cellStyle name="检查单元格 2 6 5 3 3 2" xfId="9403" xr:uid="{00000000-0005-0000-0000-0000EB240000}"/>
    <cellStyle name="检查单元格 2 6 5 3 4" xfId="35927" xr:uid="{00000000-0005-0000-0000-0000878C0000}"/>
    <cellStyle name="检查单元格 2 6 5 3 4 2" xfId="1350" xr:uid="{00000000-0005-0000-0000-000076050000}"/>
    <cellStyle name="检查单元格 2 6 5 3 5" xfId="35929" xr:uid="{00000000-0005-0000-0000-0000898C0000}"/>
    <cellStyle name="检查单元格 2 6 5 3 5 2" xfId="3639" xr:uid="{00000000-0005-0000-0000-0000670E0000}"/>
    <cellStyle name="检查单元格 2 6 5 3 6" xfId="15983" xr:uid="{00000000-0005-0000-0000-00009F3E0000}"/>
    <cellStyle name="检查单元格 2 6 5 4" xfId="35930" xr:uid="{00000000-0005-0000-0000-00008A8C0000}"/>
    <cellStyle name="检查单元格 2 6 5 4 2" xfId="35931" xr:uid="{00000000-0005-0000-0000-00008B8C0000}"/>
    <cellStyle name="检查单元格 2 6 5 4 2 2" xfId="35932" xr:uid="{00000000-0005-0000-0000-00008C8C0000}"/>
    <cellStyle name="检查单元格 2 6 5 4 3" xfId="35174" xr:uid="{00000000-0005-0000-0000-000096890000}"/>
    <cellStyle name="检查单元格 2 6 5 4 3 2" xfId="13875" xr:uid="{00000000-0005-0000-0000-000063360000}"/>
    <cellStyle name="检查单元格 2 6 5 4 4" xfId="31944" xr:uid="{00000000-0005-0000-0000-0000F87C0000}"/>
    <cellStyle name="检查单元格 2 6 5 4 4 2" xfId="4124" xr:uid="{00000000-0005-0000-0000-00004C100000}"/>
    <cellStyle name="检查单元格 2 6 5 4 5" xfId="32033" xr:uid="{00000000-0005-0000-0000-0000517D0000}"/>
    <cellStyle name="检查单元格 2 6 5 4 5 2" xfId="4228" xr:uid="{00000000-0005-0000-0000-0000B4100000}"/>
    <cellStyle name="检查单元格 2 6 5 4 6" xfId="32133" xr:uid="{00000000-0005-0000-0000-0000B57D0000}"/>
    <cellStyle name="检查单元格 2 6 5 5" xfId="35933" xr:uid="{00000000-0005-0000-0000-00008D8C0000}"/>
    <cellStyle name="检查单元格 2 6 5 5 2" xfId="35934" xr:uid="{00000000-0005-0000-0000-00008E8C0000}"/>
    <cellStyle name="检查单元格 2 6 5 5 2 2" xfId="35935" xr:uid="{00000000-0005-0000-0000-00008F8C0000}"/>
    <cellStyle name="检查单元格 2 6 5 5 3" xfId="35936" xr:uid="{00000000-0005-0000-0000-0000908C0000}"/>
    <cellStyle name="检查单元格 2 6 5 5 3 2" xfId="13891" xr:uid="{00000000-0005-0000-0000-000073360000}"/>
    <cellStyle name="检查单元格 2 6 5 5 4" xfId="35937" xr:uid="{00000000-0005-0000-0000-0000918C0000}"/>
    <cellStyle name="检查单元格 2 6 5 5 4 2" xfId="4476" xr:uid="{00000000-0005-0000-0000-0000AC110000}"/>
    <cellStyle name="检查单元格 2 6 5 5 5" xfId="35938" xr:uid="{00000000-0005-0000-0000-0000928C0000}"/>
    <cellStyle name="检查单元格 2 6 5 6" xfId="35939" xr:uid="{00000000-0005-0000-0000-0000938C0000}"/>
    <cellStyle name="检查单元格 2 6 5 6 2" xfId="35940" xr:uid="{00000000-0005-0000-0000-0000948C0000}"/>
    <cellStyle name="检查单元格 2 6 5 7" xfId="18510" xr:uid="{00000000-0005-0000-0000-00007E480000}"/>
    <cellStyle name="检查单元格 2 6 5 7 2" xfId="35941" xr:uid="{00000000-0005-0000-0000-0000958C0000}"/>
    <cellStyle name="检查单元格 2 6 5 8" xfId="35942" xr:uid="{00000000-0005-0000-0000-0000968C0000}"/>
    <cellStyle name="检查单元格 2 6 5 8 2" xfId="35944" xr:uid="{00000000-0005-0000-0000-0000988C0000}"/>
    <cellStyle name="检查单元格 2 6 5 9" xfId="22583" xr:uid="{00000000-0005-0000-0000-000067580000}"/>
    <cellStyle name="检查单元格 2 6 5 9 2" xfId="27095" xr:uid="{00000000-0005-0000-0000-0000076A0000}"/>
    <cellStyle name="检查单元格 2 6 6" xfId="17501" xr:uid="{00000000-0005-0000-0000-00008D440000}"/>
    <cellStyle name="检查单元格 2 6 6 10" xfId="35945" xr:uid="{00000000-0005-0000-0000-0000998C0000}"/>
    <cellStyle name="检查单元格 2 6 6 11" xfId="35947" xr:uid="{00000000-0005-0000-0000-00009B8C0000}"/>
    <cellStyle name="检查单元格 2 6 6 12" xfId="35949" xr:uid="{00000000-0005-0000-0000-00009D8C0000}"/>
    <cellStyle name="检查单元格 2 6 6 13" xfId="35951" xr:uid="{00000000-0005-0000-0000-00009F8C0000}"/>
    <cellStyle name="检查单元格 2 6 6 2" xfId="35955" xr:uid="{00000000-0005-0000-0000-0000A38C0000}"/>
    <cellStyle name="检查单元格 2 6 6 2 2" xfId="35956" xr:uid="{00000000-0005-0000-0000-0000A48C0000}"/>
    <cellStyle name="检查单元格 2 6 6 2 2 2" xfId="35957" xr:uid="{00000000-0005-0000-0000-0000A58C0000}"/>
    <cellStyle name="检查单元格 2 6 6 2 3" xfId="35958" xr:uid="{00000000-0005-0000-0000-0000A68C0000}"/>
    <cellStyle name="检查单元格 2 6 6 2 3 2" xfId="35963" xr:uid="{00000000-0005-0000-0000-0000AB8C0000}"/>
    <cellStyle name="检查单元格 2 6 6 2 4" xfId="35964" xr:uid="{00000000-0005-0000-0000-0000AC8C0000}"/>
    <cellStyle name="检查单元格 2 6 6 2 4 2" xfId="35966" xr:uid="{00000000-0005-0000-0000-0000AE8C0000}"/>
    <cellStyle name="检查单元格 2 6 6 2 5" xfId="17368" xr:uid="{00000000-0005-0000-0000-000008440000}"/>
    <cellStyle name="检查单元格 2 6 6 2 5 2" xfId="17375" xr:uid="{00000000-0005-0000-0000-00000F440000}"/>
    <cellStyle name="检查单元格 2 6 6 2 6" xfId="16013" xr:uid="{00000000-0005-0000-0000-0000BD3E0000}"/>
    <cellStyle name="检查单元格 2 6 6 2 7" xfId="17391" xr:uid="{00000000-0005-0000-0000-00001F440000}"/>
    <cellStyle name="检查单元格 2 6 6 2 8" xfId="18090" xr:uid="{00000000-0005-0000-0000-0000DA460000}"/>
    <cellStyle name="检查单元格 2 6 6 2 9" xfId="18104" xr:uid="{00000000-0005-0000-0000-0000E8460000}"/>
    <cellStyle name="检查单元格 2 6 6 3" xfId="35967" xr:uid="{00000000-0005-0000-0000-0000AF8C0000}"/>
    <cellStyle name="检查单元格 2 6 6 3 2" xfId="35968" xr:uid="{00000000-0005-0000-0000-0000B08C0000}"/>
    <cellStyle name="检查单元格 2 6 6 3 2 2" xfId="35969" xr:uid="{00000000-0005-0000-0000-0000B18C0000}"/>
    <cellStyle name="检查单元格 2 6 6 3 3" xfId="34322" xr:uid="{00000000-0005-0000-0000-000042860000}"/>
    <cellStyle name="检查单元格 2 6 6 3 3 2" xfId="35971" xr:uid="{00000000-0005-0000-0000-0000B38C0000}"/>
    <cellStyle name="检查单元格 2 6 6 3 4" xfId="34325" xr:uid="{00000000-0005-0000-0000-000045860000}"/>
    <cellStyle name="检查单元格 2 6 6 3 4 2" xfId="7370" xr:uid="{00000000-0005-0000-0000-0000FA1C0000}"/>
    <cellStyle name="检查单元格 2 6 6 3 5" xfId="10535" xr:uid="{00000000-0005-0000-0000-000057290000}"/>
    <cellStyle name="检查单元格 2 6 6 3 5 2" xfId="7422" xr:uid="{00000000-0005-0000-0000-00002E1D0000}"/>
    <cellStyle name="检查单元格 2 6 6 3 6" xfId="16021" xr:uid="{00000000-0005-0000-0000-0000C53E0000}"/>
    <cellStyle name="检查单元格 2 6 6 4" xfId="35972" xr:uid="{00000000-0005-0000-0000-0000B48C0000}"/>
    <cellStyle name="检查单元格 2 6 6 4 2" xfId="35973" xr:uid="{00000000-0005-0000-0000-0000B58C0000}"/>
    <cellStyle name="检查单元格 2 6 6 4 2 2" xfId="35974" xr:uid="{00000000-0005-0000-0000-0000B68C0000}"/>
    <cellStyle name="检查单元格 2 6 6 4 3" xfId="35975" xr:uid="{00000000-0005-0000-0000-0000B78C0000}"/>
    <cellStyle name="检查单元格 2 6 6 4 3 2" xfId="35978" xr:uid="{00000000-0005-0000-0000-0000BA8C0000}"/>
    <cellStyle name="检查单元格 2 6 6 4 4" xfId="35979" xr:uid="{00000000-0005-0000-0000-0000BB8C0000}"/>
    <cellStyle name="检查单元格 2 6 6 4 4 2" xfId="2902" xr:uid="{00000000-0005-0000-0000-0000860B0000}"/>
    <cellStyle name="检查单元格 2 6 6 4 5" xfId="10951" xr:uid="{00000000-0005-0000-0000-0000F72A0000}"/>
    <cellStyle name="检查单元格 2 6 6 4 5 2" xfId="3203" xr:uid="{00000000-0005-0000-0000-0000B30C0000}"/>
    <cellStyle name="检查单元格 2 6 6 4 6" xfId="10962" xr:uid="{00000000-0005-0000-0000-0000022B0000}"/>
    <cellStyle name="检查单元格 2 6 6 5" xfId="35980" xr:uid="{00000000-0005-0000-0000-0000BC8C0000}"/>
    <cellStyle name="检查单元格 2 6 6 5 2" xfId="35981" xr:uid="{00000000-0005-0000-0000-0000BD8C0000}"/>
    <cellStyle name="检查单元格 2 6 6 5 2 2" xfId="27033" xr:uid="{00000000-0005-0000-0000-0000C9690000}"/>
    <cellStyle name="检查单元格 2 6 6 5 3" xfId="35982" xr:uid="{00000000-0005-0000-0000-0000BE8C0000}"/>
    <cellStyle name="检查单元格 2 6 6 5 3 2" xfId="35984" xr:uid="{00000000-0005-0000-0000-0000C08C0000}"/>
    <cellStyle name="检查单元格 2 6 6 5 4" xfId="35986" xr:uid="{00000000-0005-0000-0000-0000C28C0000}"/>
    <cellStyle name="检查单元格 2 6 6 5 4 2" xfId="7997" xr:uid="{00000000-0005-0000-0000-00006D1F0000}"/>
    <cellStyle name="检查单元格 2 6 6 5 5" xfId="17435" xr:uid="{00000000-0005-0000-0000-00004B440000}"/>
    <cellStyle name="检查单元格 2 6 6 6" xfId="35987" xr:uid="{00000000-0005-0000-0000-0000C38C0000}"/>
    <cellStyle name="检查单元格 2 6 6 6 2" xfId="35988" xr:uid="{00000000-0005-0000-0000-0000C48C0000}"/>
    <cellStyle name="检查单元格 2 6 6 7" xfId="35989" xr:uid="{00000000-0005-0000-0000-0000C58C0000}"/>
    <cellStyle name="检查单元格 2 6 6 7 2" xfId="35990" xr:uid="{00000000-0005-0000-0000-0000C68C0000}"/>
    <cellStyle name="检查单元格 2 6 6 8" xfId="35991" xr:uid="{00000000-0005-0000-0000-0000C78C0000}"/>
    <cellStyle name="检查单元格 2 6 6 8 2" xfId="35992" xr:uid="{00000000-0005-0000-0000-0000C88C0000}"/>
    <cellStyle name="检查单元格 2 6 6 9" xfId="12991" xr:uid="{00000000-0005-0000-0000-0000EF320000}"/>
    <cellStyle name="检查单元格 2 6 6 9 2" xfId="27114" xr:uid="{00000000-0005-0000-0000-00001A6A0000}"/>
    <cellStyle name="检查单元格 2 6 7" xfId="8970" xr:uid="{00000000-0005-0000-0000-00003A230000}"/>
    <cellStyle name="检查单元格 2 6 7 10" xfId="35993" xr:uid="{00000000-0005-0000-0000-0000C98C0000}"/>
    <cellStyle name="检查单元格 2 6 7 11" xfId="35995" xr:uid="{00000000-0005-0000-0000-0000CB8C0000}"/>
    <cellStyle name="检查单元格 2 6 7 12" xfId="35997" xr:uid="{00000000-0005-0000-0000-0000CD8C0000}"/>
    <cellStyle name="检查单元格 2 6 7 13" xfId="35999" xr:uid="{00000000-0005-0000-0000-0000CF8C0000}"/>
    <cellStyle name="检查单元格 2 6 7 2" xfId="36003" xr:uid="{00000000-0005-0000-0000-0000D38C0000}"/>
    <cellStyle name="检查单元格 2 6 7 2 2" xfId="36005" xr:uid="{00000000-0005-0000-0000-0000D58C0000}"/>
    <cellStyle name="检查单元格 2 6 7 2 2 2" xfId="36008" xr:uid="{00000000-0005-0000-0000-0000D88C0000}"/>
    <cellStyle name="检查单元格 2 6 7 2 3" xfId="36010" xr:uid="{00000000-0005-0000-0000-0000DA8C0000}"/>
    <cellStyle name="检查单元格 2 6 7 2 3 2" xfId="36015" xr:uid="{00000000-0005-0000-0000-0000DF8C0000}"/>
    <cellStyle name="检查单元格 2 6 7 2 4" xfId="36017" xr:uid="{00000000-0005-0000-0000-0000E18C0000}"/>
    <cellStyle name="检查单元格 2 6 7 2 4 2" xfId="36020" xr:uid="{00000000-0005-0000-0000-0000E48C0000}"/>
    <cellStyle name="检查单元格 2 6 7 2 5" xfId="20281" xr:uid="{00000000-0005-0000-0000-0000694F0000}"/>
    <cellStyle name="检查单元格 2 6 7 2 5 2" xfId="20284" xr:uid="{00000000-0005-0000-0000-00006C4F0000}"/>
    <cellStyle name="检查单元格 2 6 7 2 6" xfId="16050" xr:uid="{00000000-0005-0000-0000-0000E23E0000}"/>
    <cellStyle name="检查单元格 2 6 7 2 7" xfId="20290" xr:uid="{00000000-0005-0000-0000-0000724F0000}"/>
    <cellStyle name="检查单元格 2 6 7 2 8" xfId="18364" xr:uid="{00000000-0005-0000-0000-0000EC470000}"/>
    <cellStyle name="检查单元格 2 6 7 2 9" xfId="18382" xr:uid="{00000000-0005-0000-0000-0000FE470000}"/>
    <cellStyle name="检查单元格 2 6 7 3" xfId="36022" xr:uid="{00000000-0005-0000-0000-0000E68C0000}"/>
    <cellStyle name="检查单元格 2 6 7 3 2" xfId="36025" xr:uid="{00000000-0005-0000-0000-0000E98C0000}"/>
    <cellStyle name="检查单元格 2 6 7 3 2 2" xfId="36027" xr:uid="{00000000-0005-0000-0000-0000EB8C0000}"/>
    <cellStyle name="检查单元格 2 6 7 3 3" xfId="36029" xr:uid="{00000000-0005-0000-0000-0000ED8C0000}"/>
    <cellStyle name="检查单元格 2 6 7 3 3 2" xfId="36032" xr:uid="{00000000-0005-0000-0000-0000F08C0000}"/>
    <cellStyle name="检查单元格 2 6 7 3 4" xfId="36034" xr:uid="{00000000-0005-0000-0000-0000F28C0000}"/>
    <cellStyle name="检查单元格 2 6 7 3 4 2" xfId="5616" xr:uid="{00000000-0005-0000-0000-000020160000}"/>
    <cellStyle name="检查单元格 2 6 7 3 5" xfId="10914" xr:uid="{00000000-0005-0000-0000-0000D22A0000}"/>
    <cellStyle name="检查单元格 2 6 7 3 5 2" xfId="9595" xr:uid="{00000000-0005-0000-0000-0000AB250000}"/>
    <cellStyle name="检查单元格 2 6 7 3 6" xfId="20295" xr:uid="{00000000-0005-0000-0000-0000774F0000}"/>
    <cellStyle name="检查单元格 2 6 7 4" xfId="36037" xr:uid="{00000000-0005-0000-0000-0000F58C0000}"/>
    <cellStyle name="检查单元格 2 6 7 4 2" xfId="36040" xr:uid="{00000000-0005-0000-0000-0000F88C0000}"/>
    <cellStyle name="检查单元格 2 6 7 4 2 2" xfId="36042" xr:uid="{00000000-0005-0000-0000-0000FA8C0000}"/>
    <cellStyle name="检查单元格 2 6 7 4 3" xfId="36044" xr:uid="{00000000-0005-0000-0000-0000FC8C0000}"/>
    <cellStyle name="检查单元格 2 6 7 4 3 2" xfId="36047" xr:uid="{00000000-0005-0000-0000-0000FF8C0000}"/>
    <cellStyle name="检查单元格 2 6 7 4 4" xfId="36049" xr:uid="{00000000-0005-0000-0000-0000018D0000}"/>
    <cellStyle name="检查单元格 2 6 7 4 4 2" xfId="9885" xr:uid="{00000000-0005-0000-0000-0000CD260000}"/>
    <cellStyle name="检查单元格 2 6 7 4 5" xfId="2413" xr:uid="{00000000-0005-0000-0000-00009D090000}"/>
    <cellStyle name="检查单元格 2 6 7 4 5 2" xfId="9930" xr:uid="{00000000-0005-0000-0000-0000FA260000}"/>
    <cellStyle name="检查单元格 2 6 7 4 6" xfId="20302" xr:uid="{00000000-0005-0000-0000-00007E4F0000}"/>
    <cellStyle name="检查单元格 2 6 7 5" xfId="36051" xr:uid="{00000000-0005-0000-0000-0000038D0000}"/>
    <cellStyle name="检查单元格 2 6 7 5 2" xfId="36053" xr:uid="{00000000-0005-0000-0000-0000058D0000}"/>
    <cellStyle name="检查单元格 2 6 7 5 2 2" xfId="36054" xr:uid="{00000000-0005-0000-0000-0000068D0000}"/>
    <cellStyle name="检查单元格 2 6 7 5 3" xfId="36055" xr:uid="{00000000-0005-0000-0000-0000078D0000}"/>
    <cellStyle name="检查单元格 2 6 7 5 3 2" xfId="36056" xr:uid="{00000000-0005-0000-0000-0000088D0000}"/>
    <cellStyle name="检查单元格 2 6 7 5 4" xfId="36057" xr:uid="{00000000-0005-0000-0000-0000098D0000}"/>
    <cellStyle name="检查单元格 2 6 7 5 4 2" xfId="10210" xr:uid="{00000000-0005-0000-0000-000012280000}"/>
    <cellStyle name="检查单元格 2 6 7 5 5" xfId="20307" xr:uid="{00000000-0005-0000-0000-0000834F0000}"/>
    <cellStyle name="检查单元格 2 6 7 6" xfId="36059" xr:uid="{00000000-0005-0000-0000-00000B8D0000}"/>
    <cellStyle name="检查单元格 2 6 7 6 2" xfId="36061" xr:uid="{00000000-0005-0000-0000-00000D8D0000}"/>
    <cellStyle name="检查单元格 2 6 7 7" xfId="36063" xr:uid="{00000000-0005-0000-0000-00000F8D0000}"/>
    <cellStyle name="检查单元格 2 6 7 7 2" xfId="36064" xr:uid="{00000000-0005-0000-0000-0000108D0000}"/>
    <cellStyle name="检查单元格 2 6 7 8" xfId="36068" xr:uid="{00000000-0005-0000-0000-0000148D0000}"/>
    <cellStyle name="检查单元格 2 6 7 8 2" xfId="36069" xr:uid="{00000000-0005-0000-0000-0000158D0000}"/>
    <cellStyle name="检查单元格 2 6 7 9" xfId="13002" xr:uid="{00000000-0005-0000-0000-0000FA320000}"/>
    <cellStyle name="检查单元格 2 6 7 9 2" xfId="36070" xr:uid="{00000000-0005-0000-0000-0000168D0000}"/>
    <cellStyle name="检查单元格 2 6 8" xfId="17506" xr:uid="{00000000-0005-0000-0000-000092440000}"/>
    <cellStyle name="检查单元格 2 6 8 2" xfId="36071" xr:uid="{00000000-0005-0000-0000-0000178D0000}"/>
    <cellStyle name="检查单元格 2 6 8 2 2" xfId="36074" xr:uid="{00000000-0005-0000-0000-00001A8D0000}"/>
    <cellStyle name="检查单元格 2 6 8 2 2 2" xfId="36076" xr:uid="{00000000-0005-0000-0000-00001C8D0000}"/>
    <cellStyle name="检查单元格 2 6 8 2 3" xfId="36079" xr:uid="{00000000-0005-0000-0000-00001F8D0000}"/>
    <cellStyle name="检查单元格 2 6 8 2 3 2" xfId="36083" xr:uid="{00000000-0005-0000-0000-0000238D0000}"/>
    <cellStyle name="检查单元格 2 6 8 2 4" xfId="36086" xr:uid="{00000000-0005-0000-0000-0000268D0000}"/>
    <cellStyle name="检查单元格 2 6 8 2 4 2" xfId="36089" xr:uid="{00000000-0005-0000-0000-0000298D0000}"/>
    <cellStyle name="检查单元格 2 6 8 2 5" xfId="20334" xr:uid="{00000000-0005-0000-0000-00009E4F0000}"/>
    <cellStyle name="检查单元格 2 6 8 2 5 2" xfId="36090" xr:uid="{00000000-0005-0000-0000-00002A8D0000}"/>
    <cellStyle name="检查单元格 2 6 8 2 6" xfId="36091" xr:uid="{00000000-0005-0000-0000-00002B8D0000}"/>
    <cellStyle name="检查单元格 2 6 8 2 7" xfId="36094" xr:uid="{00000000-0005-0000-0000-00002E8D0000}"/>
    <cellStyle name="检查单元格 2 6 8 2 8" xfId="36096" xr:uid="{00000000-0005-0000-0000-0000308D0000}"/>
    <cellStyle name="检查单元格 2 6 8 2 9" xfId="36098" xr:uid="{00000000-0005-0000-0000-0000328D0000}"/>
    <cellStyle name="检查单元格 2 6 8 3" xfId="32974" xr:uid="{00000000-0005-0000-0000-0000FE800000}"/>
    <cellStyle name="检查单元格 2 6 8 3 2" xfId="32978" xr:uid="{00000000-0005-0000-0000-000002810000}"/>
    <cellStyle name="检查单元格 2 6 8 3 2 2" xfId="36101" xr:uid="{00000000-0005-0000-0000-0000358D0000}"/>
    <cellStyle name="检查单元格 2 6 8 3 3" xfId="36104" xr:uid="{00000000-0005-0000-0000-0000388D0000}"/>
    <cellStyle name="检查单元格 2 6 8 3 3 2" xfId="36107" xr:uid="{00000000-0005-0000-0000-00003B8D0000}"/>
    <cellStyle name="检查单元格 2 6 8 3 4" xfId="36110" xr:uid="{00000000-0005-0000-0000-00003E8D0000}"/>
    <cellStyle name="检查单元格 2 6 8 3 4 2" xfId="36112" xr:uid="{00000000-0005-0000-0000-0000408D0000}"/>
    <cellStyle name="检查单元格 2 6 8 3 5" xfId="10985" xr:uid="{00000000-0005-0000-0000-0000192B0000}"/>
    <cellStyle name="检查单元格 2 6 8 3 5 2" xfId="36113" xr:uid="{00000000-0005-0000-0000-0000418D0000}"/>
    <cellStyle name="检查单元格 2 6 8 3 6" xfId="36115" xr:uid="{00000000-0005-0000-0000-0000438D0000}"/>
    <cellStyle name="检查单元格 2 6 8 4" xfId="32981" xr:uid="{00000000-0005-0000-0000-000005810000}"/>
    <cellStyle name="检查单元格 2 6 8 4 2" xfId="32986" xr:uid="{00000000-0005-0000-0000-00000A810000}"/>
    <cellStyle name="检查单元格 2 6 8 4 2 2" xfId="23736" xr:uid="{00000000-0005-0000-0000-0000E85C0000}"/>
    <cellStyle name="检查单元格 2 6 8 4 3" xfId="36119" xr:uid="{00000000-0005-0000-0000-0000478D0000}"/>
    <cellStyle name="检查单元格 2 6 8 4 3 2" xfId="23753" xr:uid="{00000000-0005-0000-0000-0000F95C0000}"/>
    <cellStyle name="检查单元格 2 6 8 4 4" xfId="36122" xr:uid="{00000000-0005-0000-0000-00004A8D0000}"/>
    <cellStyle name="检查单元格 2 6 8 4 4 2" xfId="36123" xr:uid="{00000000-0005-0000-0000-00004B8D0000}"/>
    <cellStyle name="检查单元格 2 6 8 4 5" xfId="36124" xr:uid="{00000000-0005-0000-0000-00004C8D0000}"/>
    <cellStyle name="检查单元格 2 6 8 4 5 2" xfId="36125" xr:uid="{00000000-0005-0000-0000-00004D8D0000}"/>
    <cellStyle name="检查单元格 2 6 8 4 6" xfId="36127" xr:uid="{00000000-0005-0000-0000-00004F8D0000}"/>
    <cellStyle name="检查单元格 2 6 8 5" xfId="32990" xr:uid="{00000000-0005-0000-0000-00000E810000}"/>
    <cellStyle name="检查单元格 2 6 8 5 2" xfId="32994" xr:uid="{00000000-0005-0000-0000-000012810000}"/>
    <cellStyle name="检查单元格 2 6 8 5 2 2" xfId="36129" xr:uid="{00000000-0005-0000-0000-0000518D0000}"/>
    <cellStyle name="检查单元格 2 6 8 5 3" xfId="36130" xr:uid="{00000000-0005-0000-0000-0000528D0000}"/>
    <cellStyle name="检查单元格 2 6 8 5 3 2" xfId="36131" xr:uid="{00000000-0005-0000-0000-0000538D0000}"/>
    <cellStyle name="检查单元格 2 6 8 5 4" xfId="36132" xr:uid="{00000000-0005-0000-0000-0000548D0000}"/>
    <cellStyle name="检查单元格 2 6 8 5 4 2" xfId="36133" xr:uid="{00000000-0005-0000-0000-0000558D0000}"/>
    <cellStyle name="检查单元格 2 6 8 5 5" xfId="36134" xr:uid="{00000000-0005-0000-0000-0000568D0000}"/>
    <cellStyle name="检查单元格 2 6 8 6" xfId="8163" xr:uid="{00000000-0005-0000-0000-000013200000}"/>
    <cellStyle name="检查单元格 2 6 8 7" xfId="7440" xr:uid="{00000000-0005-0000-0000-0000401D0000}"/>
    <cellStyle name="检查单元格 2 6 8 8" xfId="5912" xr:uid="{00000000-0005-0000-0000-000048170000}"/>
    <cellStyle name="检查单元格 2 6 9" xfId="16378" xr:uid="{00000000-0005-0000-0000-00002A400000}"/>
    <cellStyle name="检查单元格 2 6 9 2" xfId="2855" xr:uid="{00000000-0005-0000-0000-0000570B0000}"/>
    <cellStyle name="检查单元格 2 6 9 2 2" xfId="14322" xr:uid="{00000000-0005-0000-0000-000022380000}"/>
    <cellStyle name="检查单元格 2 6 9 3" xfId="2885" xr:uid="{00000000-0005-0000-0000-0000750B0000}"/>
    <cellStyle name="检查单元格 2 6 9 3 2" xfId="11083" xr:uid="{00000000-0005-0000-0000-00007B2B0000}"/>
    <cellStyle name="检查单元格 2 6 9 4" xfId="2890" xr:uid="{00000000-0005-0000-0000-00007A0B0000}"/>
    <cellStyle name="检查单元格 2 6 9 4 2" xfId="33000" xr:uid="{00000000-0005-0000-0000-000018810000}"/>
    <cellStyle name="检查单元格 2 6 9 5" xfId="2928" xr:uid="{00000000-0005-0000-0000-0000A00B0000}"/>
    <cellStyle name="检查单元格 2 6 9 5 2" xfId="33003" xr:uid="{00000000-0005-0000-0000-00001B810000}"/>
    <cellStyle name="检查单元格 2 6 9 6" xfId="8212" xr:uid="{00000000-0005-0000-0000-000044200000}"/>
    <cellStyle name="检查单元格 2 7" xfId="36135" xr:uid="{00000000-0005-0000-0000-0000578D0000}"/>
    <cellStyle name="检查单元格 2 7 10" xfId="5996" xr:uid="{00000000-0005-0000-0000-00009C170000}"/>
    <cellStyle name="检查单元格 2 7 10 2" xfId="36136" xr:uid="{00000000-0005-0000-0000-0000588D0000}"/>
    <cellStyle name="检查单元格 2 7 10 2 2" xfId="36137" xr:uid="{00000000-0005-0000-0000-0000598D0000}"/>
    <cellStyle name="检查单元格 2 7 10 3" xfId="26578" xr:uid="{00000000-0005-0000-0000-000002680000}"/>
    <cellStyle name="检查单元格 2 7 10 3 2" xfId="26584" xr:uid="{00000000-0005-0000-0000-000008680000}"/>
    <cellStyle name="检查单元格 2 7 10 4" xfId="26590" xr:uid="{00000000-0005-0000-0000-00000E680000}"/>
    <cellStyle name="检查单元格 2 7 10 4 2" xfId="26597" xr:uid="{00000000-0005-0000-0000-000015680000}"/>
    <cellStyle name="检查单元格 2 7 10 5" xfId="25295" xr:uid="{00000000-0005-0000-0000-0000FF620000}"/>
    <cellStyle name="检查单元格 2 7 10 5 2" xfId="26603" xr:uid="{00000000-0005-0000-0000-00001B680000}"/>
    <cellStyle name="检查单元格 2 7 10 6" xfId="26609" xr:uid="{00000000-0005-0000-0000-000021680000}"/>
    <cellStyle name="检查单元格 2 7 11" xfId="16208" xr:uid="{00000000-0005-0000-0000-0000803F0000}"/>
    <cellStyle name="检查单元格 2 7 11 2" xfId="23578" xr:uid="{00000000-0005-0000-0000-00004A5C0000}"/>
    <cellStyle name="检查单元格 2 7 11 2 2" xfId="36138" xr:uid="{00000000-0005-0000-0000-00005A8D0000}"/>
    <cellStyle name="检查单元格 2 7 11 3" xfId="36139" xr:uid="{00000000-0005-0000-0000-00005B8D0000}"/>
    <cellStyle name="检查单元格 2 7 11 3 2" xfId="36141" xr:uid="{00000000-0005-0000-0000-00005D8D0000}"/>
    <cellStyle name="检查单元格 2 7 11 4" xfId="36143" xr:uid="{00000000-0005-0000-0000-00005F8D0000}"/>
    <cellStyle name="检查单元格 2 7 11 4 2" xfId="36146" xr:uid="{00000000-0005-0000-0000-0000628D0000}"/>
    <cellStyle name="检查单元格 2 7 11 5" xfId="25306" xr:uid="{00000000-0005-0000-0000-00000A630000}"/>
    <cellStyle name="检查单元格 2 7 11 5 2" xfId="36148" xr:uid="{00000000-0005-0000-0000-0000648D0000}"/>
    <cellStyle name="检查单元格 2 7 11 6" xfId="36150" xr:uid="{00000000-0005-0000-0000-0000668D0000}"/>
    <cellStyle name="检查单元格 2 7 12" xfId="6020" xr:uid="{00000000-0005-0000-0000-0000B4170000}"/>
    <cellStyle name="检查单元格 2 7 12 2" xfId="6039" xr:uid="{00000000-0005-0000-0000-0000C7170000}"/>
    <cellStyle name="检查单元格 2 7 12 2 2" xfId="36152" xr:uid="{00000000-0005-0000-0000-0000688D0000}"/>
    <cellStyle name="检查单元格 2 7 12 3" xfId="36153" xr:uid="{00000000-0005-0000-0000-0000698D0000}"/>
    <cellStyle name="检查单元格 2 7 12 3 2" xfId="36155" xr:uid="{00000000-0005-0000-0000-00006B8D0000}"/>
    <cellStyle name="检查单元格 2 7 12 4" xfId="36157" xr:uid="{00000000-0005-0000-0000-00006D8D0000}"/>
    <cellStyle name="检查单元格 2 7 12 4 2" xfId="36159" xr:uid="{00000000-0005-0000-0000-00006F8D0000}"/>
    <cellStyle name="检查单元格 2 7 12 5" xfId="36162" xr:uid="{00000000-0005-0000-0000-0000728D0000}"/>
    <cellStyle name="检查单元格 2 7 13" xfId="6054" xr:uid="{00000000-0005-0000-0000-0000D6170000}"/>
    <cellStyle name="检查单元格 2 7 13 2" xfId="10563" xr:uid="{00000000-0005-0000-0000-000073290000}"/>
    <cellStyle name="检查单元格 2 7 14" xfId="10571" xr:uid="{00000000-0005-0000-0000-00007B290000}"/>
    <cellStyle name="检查单元格 2 7 14 2" xfId="10584" xr:uid="{00000000-0005-0000-0000-000088290000}"/>
    <cellStyle name="检查单元格 2 7 15" xfId="10597" xr:uid="{00000000-0005-0000-0000-000095290000}"/>
    <cellStyle name="检查单元格 2 7 15 2" xfId="36165" xr:uid="{00000000-0005-0000-0000-0000758D0000}"/>
    <cellStyle name="检查单元格 2 7 16" xfId="36167" xr:uid="{00000000-0005-0000-0000-0000778D0000}"/>
    <cellStyle name="检查单元格 2 7 16 2" xfId="36168" xr:uid="{00000000-0005-0000-0000-0000788D0000}"/>
    <cellStyle name="检查单元格 2 7 17" xfId="10938" xr:uid="{00000000-0005-0000-0000-0000EA2A0000}"/>
    <cellStyle name="检查单元格 2 7 18" xfId="10945" xr:uid="{00000000-0005-0000-0000-0000F12A0000}"/>
    <cellStyle name="检查单元格 2 7 19" xfId="10957" xr:uid="{00000000-0005-0000-0000-0000FD2A0000}"/>
    <cellStyle name="检查单元格 2 7 2" xfId="3878" xr:uid="{00000000-0005-0000-0000-0000560F0000}"/>
    <cellStyle name="检查单元格 2 7 2 10" xfId="27397" xr:uid="{00000000-0005-0000-0000-0000356B0000}"/>
    <cellStyle name="检查单元格 2 7 2 11" xfId="2289" xr:uid="{00000000-0005-0000-0000-000021090000}"/>
    <cellStyle name="检查单元格 2 7 2 12" xfId="36171" xr:uid="{00000000-0005-0000-0000-00007B8D0000}"/>
    <cellStyle name="检查单元格 2 7 2 13" xfId="36172" xr:uid="{00000000-0005-0000-0000-00007C8D0000}"/>
    <cellStyle name="检查单元格 2 7 2 2" xfId="17513" xr:uid="{00000000-0005-0000-0000-000099440000}"/>
    <cellStyle name="检查单元格 2 7 2 2 2" xfId="36173" xr:uid="{00000000-0005-0000-0000-00007D8D0000}"/>
    <cellStyle name="检查单元格 2 7 2 2 2 2" xfId="36175" xr:uid="{00000000-0005-0000-0000-00007F8D0000}"/>
    <cellStyle name="检查单元格 2 7 2 2 3" xfId="35186" xr:uid="{00000000-0005-0000-0000-0000A2890000}"/>
    <cellStyle name="检查单元格 2 7 2 2 3 2" xfId="36177" xr:uid="{00000000-0005-0000-0000-0000818D0000}"/>
    <cellStyle name="检查单元格 2 7 2 2 4" xfId="36179" xr:uid="{00000000-0005-0000-0000-0000838D0000}"/>
    <cellStyle name="检查单元格 2 7 2 2 4 2" xfId="36181" xr:uid="{00000000-0005-0000-0000-0000858D0000}"/>
    <cellStyle name="检查单元格 2 7 2 2 5" xfId="36183" xr:uid="{00000000-0005-0000-0000-0000878D0000}"/>
    <cellStyle name="检查单元格 2 7 2 2 5 2" xfId="34815" xr:uid="{00000000-0005-0000-0000-00002F880000}"/>
    <cellStyle name="检查单元格 2 7 2 2 6" xfId="36184" xr:uid="{00000000-0005-0000-0000-0000888D0000}"/>
    <cellStyle name="检查单元格 2 7 2 2 7" xfId="26044" xr:uid="{00000000-0005-0000-0000-0000EC650000}"/>
    <cellStyle name="检查单元格 2 7 2 2 8" xfId="36185" xr:uid="{00000000-0005-0000-0000-0000898D0000}"/>
    <cellStyle name="检查单元格 2 7 2 2 9" xfId="36186" xr:uid="{00000000-0005-0000-0000-00008A8D0000}"/>
    <cellStyle name="检查单元格 2 7 2 3" xfId="26462" xr:uid="{00000000-0005-0000-0000-00008E670000}"/>
    <cellStyle name="检查单元格 2 7 2 3 2" xfId="27182" xr:uid="{00000000-0005-0000-0000-00005E6A0000}"/>
    <cellStyle name="检查单元格 2 7 2 3 2 2" xfId="29330" xr:uid="{00000000-0005-0000-0000-0000C2720000}"/>
    <cellStyle name="检查单元格 2 7 2 3 3" xfId="29334" xr:uid="{00000000-0005-0000-0000-0000C6720000}"/>
    <cellStyle name="检查单元格 2 7 2 3 3 2" xfId="29337" xr:uid="{00000000-0005-0000-0000-0000C9720000}"/>
    <cellStyle name="检查单元格 2 7 2 3 4" xfId="29341" xr:uid="{00000000-0005-0000-0000-0000CD720000}"/>
    <cellStyle name="检查单元格 2 7 2 3 4 2" xfId="15964" xr:uid="{00000000-0005-0000-0000-00008C3E0000}"/>
    <cellStyle name="检查单元格 2 7 2 3 5" xfId="29343" xr:uid="{00000000-0005-0000-0000-0000CF720000}"/>
    <cellStyle name="检查单元格 2 7 2 3 5 2" xfId="15973" xr:uid="{00000000-0005-0000-0000-0000953E0000}"/>
    <cellStyle name="检查单元格 2 7 2 3 6" xfId="29346" xr:uid="{00000000-0005-0000-0000-0000D2720000}"/>
    <cellStyle name="检查单元格 2 7 2 4" xfId="27184" xr:uid="{00000000-0005-0000-0000-0000606A0000}"/>
    <cellStyle name="检查单元格 2 7 2 4 2" xfId="27187" xr:uid="{00000000-0005-0000-0000-0000636A0000}"/>
    <cellStyle name="检查单元格 2 7 2 4 2 2" xfId="10902" xr:uid="{00000000-0005-0000-0000-0000C62A0000}"/>
    <cellStyle name="检查单元格 2 7 2 4 3" xfId="29353" xr:uid="{00000000-0005-0000-0000-0000D9720000}"/>
    <cellStyle name="检查单元格 2 7 2 4 3 2" xfId="29356" xr:uid="{00000000-0005-0000-0000-0000DC720000}"/>
    <cellStyle name="检查单元格 2 7 2 4 4" xfId="29358" xr:uid="{00000000-0005-0000-0000-0000DE720000}"/>
    <cellStyle name="检查单元格 2 7 2 4 4 2" xfId="16004" xr:uid="{00000000-0005-0000-0000-0000B43E0000}"/>
    <cellStyle name="检查单元格 2 7 2 4 5" xfId="29360" xr:uid="{00000000-0005-0000-0000-0000E0720000}"/>
    <cellStyle name="检查单元格 2 7 2 4 5 2" xfId="16016" xr:uid="{00000000-0005-0000-0000-0000C03E0000}"/>
    <cellStyle name="检查单元格 2 7 2 4 6" xfId="36187" xr:uid="{00000000-0005-0000-0000-00008B8D0000}"/>
    <cellStyle name="检查单元格 2 7 2 5" xfId="27189" xr:uid="{00000000-0005-0000-0000-0000656A0000}"/>
    <cellStyle name="检查单元格 2 7 2 5 2" xfId="26095" xr:uid="{00000000-0005-0000-0000-00001F660000}"/>
    <cellStyle name="检查单元格 2 7 2 5 2 2" xfId="15629" xr:uid="{00000000-0005-0000-0000-00003D3D0000}"/>
    <cellStyle name="检查单元格 2 7 2 5 3" xfId="26104" xr:uid="{00000000-0005-0000-0000-000028660000}"/>
    <cellStyle name="检查单元格 2 7 2 5 3 2" xfId="29365" xr:uid="{00000000-0005-0000-0000-0000E5720000}"/>
    <cellStyle name="检查单元格 2 7 2 5 4" xfId="29367" xr:uid="{00000000-0005-0000-0000-0000E7720000}"/>
    <cellStyle name="检查单元格 2 7 2 5 4 2" xfId="29369" xr:uid="{00000000-0005-0000-0000-0000E9720000}"/>
    <cellStyle name="检查单元格 2 7 2 5 5" xfId="28379" xr:uid="{00000000-0005-0000-0000-00000B6F0000}"/>
    <cellStyle name="检查单元格 2 7 2 6" xfId="22640" xr:uid="{00000000-0005-0000-0000-0000A0580000}"/>
    <cellStyle name="检查单元格 2 7 2 6 2" xfId="22646" xr:uid="{00000000-0005-0000-0000-0000A6580000}"/>
    <cellStyle name="检查单元格 2 7 2 7" xfId="18694" xr:uid="{00000000-0005-0000-0000-000036490000}"/>
    <cellStyle name="检查单元格 2 7 2 7 2" xfId="18701" xr:uid="{00000000-0005-0000-0000-00003D490000}"/>
    <cellStyle name="检查单元格 2 7 2 8" xfId="18711" xr:uid="{00000000-0005-0000-0000-000047490000}"/>
    <cellStyle name="检查单元格 2 7 2 8 2" xfId="18714" xr:uid="{00000000-0005-0000-0000-00004A490000}"/>
    <cellStyle name="检查单元格 2 7 2 9" xfId="18721" xr:uid="{00000000-0005-0000-0000-000051490000}"/>
    <cellStyle name="检查单元格 2 7 2 9 2" xfId="18727" xr:uid="{00000000-0005-0000-0000-000057490000}"/>
    <cellStyle name="检查单元格 2 7 20" xfId="10596" xr:uid="{00000000-0005-0000-0000-000094290000}"/>
    <cellStyle name="检查单元格 2 7 3" xfId="17323" xr:uid="{00000000-0005-0000-0000-0000DB430000}"/>
    <cellStyle name="检查单元格 2 7 3 10" xfId="36192" xr:uid="{00000000-0005-0000-0000-0000908D0000}"/>
    <cellStyle name="检查单元格 2 7 3 11" xfId="36195" xr:uid="{00000000-0005-0000-0000-0000938D0000}"/>
    <cellStyle name="检查单元格 2 7 3 12" xfId="36197" xr:uid="{00000000-0005-0000-0000-0000958D0000}"/>
    <cellStyle name="检查单元格 2 7 3 13" xfId="31985" xr:uid="{00000000-0005-0000-0000-0000217D0000}"/>
    <cellStyle name="检查单元格 2 7 3 2" xfId="10968" xr:uid="{00000000-0005-0000-0000-0000082B0000}"/>
    <cellStyle name="检查单元格 2 7 3 2 2" xfId="35479" xr:uid="{00000000-0005-0000-0000-0000C78A0000}"/>
    <cellStyle name="检查单元格 2 7 3 2 2 2" xfId="36199" xr:uid="{00000000-0005-0000-0000-0000978D0000}"/>
    <cellStyle name="检查单元格 2 7 3 2 3" xfId="35196" xr:uid="{00000000-0005-0000-0000-0000AC890000}"/>
    <cellStyle name="检查单元格 2 7 3 2 3 2" xfId="36201" xr:uid="{00000000-0005-0000-0000-0000998D0000}"/>
    <cellStyle name="检查单元格 2 7 3 2 4" xfId="36203" xr:uid="{00000000-0005-0000-0000-00009B8D0000}"/>
    <cellStyle name="检查单元格 2 7 3 2 4 2" xfId="36205" xr:uid="{00000000-0005-0000-0000-00009D8D0000}"/>
    <cellStyle name="检查单元格 2 7 3 2 5" xfId="36207" xr:uid="{00000000-0005-0000-0000-00009F8D0000}"/>
    <cellStyle name="检查单元格 2 7 3 2 5 2" xfId="36208" xr:uid="{00000000-0005-0000-0000-0000A08D0000}"/>
    <cellStyle name="检查单元格 2 7 3 2 6" xfId="36210" xr:uid="{00000000-0005-0000-0000-0000A28D0000}"/>
    <cellStyle name="检查单元格 2 7 3 2 7" xfId="36211" xr:uid="{00000000-0005-0000-0000-0000A38D0000}"/>
    <cellStyle name="检查单元格 2 7 3 2 8" xfId="36212" xr:uid="{00000000-0005-0000-0000-0000A48D0000}"/>
    <cellStyle name="检查单元格 2 7 3 2 9" xfId="36213" xr:uid="{00000000-0005-0000-0000-0000A58D0000}"/>
    <cellStyle name="检查单元格 2 7 3 3" xfId="10977" xr:uid="{00000000-0005-0000-0000-0000112B0000}"/>
    <cellStyle name="检查单元格 2 7 3 3 2" xfId="27194" xr:uid="{00000000-0005-0000-0000-00006A6A0000}"/>
    <cellStyle name="检查单元格 2 7 3 3 2 2" xfId="29400" xr:uid="{00000000-0005-0000-0000-000008730000}"/>
    <cellStyle name="检查单元格 2 7 3 3 3" xfId="27835" xr:uid="{00000000-0005-0000-0000-0000EB6C0000}"/>
    <cellStyle name="检查单元格 2 7 3 3 3 2" xfId="29403" xr:uid="{00000000-0005-0000-0000-00000B730000}"/>
    <cellStyle name="检查单元格 2 7 3 3 4" xfId="27840" xr:uid="{00000000-0005-0000-0000-0000F06C0000}"/>
    <cellStyle name="检查单元格 2 7 3 3 4 2" xfId="29406" xr:uid="{00000000-0005-0000-0000-00000E730000}"/>
    <cellStyle name="检查单元格 2 7 3 3 5" xfId="24025" xr:uid="{00000000-0005-0000-0000-0000095E0000}"/>
    <cellStyle name="检查单元格 2 7 3 3 5 2" xfId="36214" xr:uid="{00000000-0005-0000-0000-0000A68D0000}"/>
    <cellStyle name="检查单元格 2 7 3 3 6" xfId="36216" xr:uid="{00000000-0005-0000-0000-0000A88D0000}"/>
    <cellStyle name="检查单元格 2 7 3 4" xfId="10991" xr:uid="{00000000-0005-0000-0000-00001F2B0000}"/>
    <cellStyle name="检查单元格 2 7 3 4 2" xfId="27201" xr:uid="{00000000-0005-0000-0000-0000716A0000}"/>
    <cellStyle name="检查单元格 2 7 3 4 2 2" xfId="29411" xr:uid="{00000000-0005-0000-0000-000013730000}"/>
    <cellStyle name="检查单元格 2 7 3 4 3" xfId="29414" xr:uid="{00000000-0005-0000-0000-000016730000}"/>
    <cellStyle name="检查单元格 2 7 3 4 3 2" xfId="29417" xr:uid="{00000000-0005-0000-0000-000019730000}"/>
    <cellStyle name="检查单元格 2 7 3 4 4" xfId="29419" xr:uid="{00000000-0005-0000-0000-00001B730000}"/>
    <cellStyle name="检查单元格 2 7 3 4 4 2" xfId="29422" xr:uid="{00000000-0005-0000-0000-00001E730000}"/>
    <cellStyle name="检查单元格 2 7 3 4 5" xfId="101" xr:uid="{00000000-0005-0000-0000-00006D000000}"/>
    <cellStyle name="检查单元格 2 7 3 4 5 2" xfId="36217" xr:uid="{00000000-0005-0000-0000-0000A98D0000}"/>
    <cellStyle name="检查单元格 2 7 3 4 6" xfId="36219" xr:uid="{00000000-0005-0000-0000-0000AB8D0000}"/>
    <cellStyle name="检查单元格 2 7 3 5" xfId="27204" xr:uid="{00000000-0005-0000-0000-0000746A0000}"/>
    <cellStyle name="检查单元格 2 7 3 5 2" xfId="26230" xr:uid="{00000000-0005-0000-0000-0000A6660000}"/>
    <cellStyle name="检查单元格 2 7 3 5 2 2" xfId="17325" xr:uid="{00000000-0005-0000-0000-0000DD430000}"/>
    <cellStyle name="检查单元格 2 7 3 5 3" xfId="26237" xr:uid="{00000000-0005-0000-0000-0000AD660000}"/>
    <cellStyle name="检查单元格 2 7 3 5 3 2" xfId="17529" xr:uid="{00000000-0005-0000-0000-0000A9440000}"/>
    <cellStyle name="检查单元格 2 7 3 5 4" xfId="29425" xr:uid="{00000000-0005-0000-0000-000021730000}"/>
    <cellStyle name="检查单元格 2 7 3 5 4 2" xfId="17548" xr:uid="{00000000-0005-0000-0000-0000BC440000}"/>
    <cellStyle name="检查单元格 2 7 3 5 5" xfId="24034" xr:uid="{00000000-0005-0000-0000-0000125E0000}"/>
    <cellStyle name="检查单元格 2 7 3 6" xfId="22656" xr:uid="{00000000-0005-0000-0000-0000B0580000}"/>
    <cellStyle name="检查单元格 2 7 3 6 2" xfId="22661" xr:uid="{00000000-0005-0000-0000-0000B5580000}"/>
    <cellStyle name="检查单元格 2 7 3 7" xfId="18751" xr:uid="{00000000-0005-0000-0000-00006F490000}"/>
    <cellStyle name="检查单元格 2 7 3 7 2" xfId="18758" xr:uid="{00000000-0005-0000-0000-000076490000}"/>
    <cellStyle name="检查单元格 2 7 3 8" xfId="18763" xr:uid="{00000000-0005-0000-0000-00007B490000}"/>
    <cellStyle name="检查单元格 2 7 3 8 2" xfId="18770" xr:uid="{00000000-0005-0000-0000-000082490000}"/>
    <cellStyle name="检查单元格 2 7 3 9" xfId="18773" xr:uid="{00000000-0005-0000-0000-000085490000}"/>
    <cellStyle name="检查单元格 2 7 3 9 2" xfId="18783" xr:uid="{00000000-0005-0000-0000-00008F490000}"/>
    <cellStyle name="检查单元格 2 7 4" xfId="17328" xr:uid="{00000000-0005-0000-0000-0000E0430000}"/>
    <cellStyle name="检查单元格 2 7 4 10" xfId="36220" xr:uid="{00000000-0005-0000-0000-0000AC8D0000}"/>
    <cellStyle name="检查单元格 2 7 4 11" xfId="36221" xr:uid="{00000000-0005-0000-0000-0000AD8D0000}"/>
    <cellStyle name="检查单元格 2 7 4 12" xfId="36222" xr:uid="{00000000-0005-0000-0000-0000AE8D0000}"/>
    <cellStyle name="检查单元格 2 7 4 13" xfId="36223" xr:uid="{00000000-0005-0000-0000-0000AF8D0000}"/>
    <cellStyle name="检查单元格 2 7 4 2" xfId="17515" xr:uid="{00000000-0005-0000-0000-00009B440000}"/>
    <cellStyle name="检查单元格 2 7 4 2 2" xfId="35481" xr:uid="{00000000-0005-0000-0000-0000C98A0000}"/>
    <cellStyle name="检查单元格 2 7 4 2 2 2" xfId="36225" xr:uid="{00000000-0005-0000-0000-0000B18D0000}"/>
    <cellStyle name="检查单元格 2 7 4 2 3" xfId="35202" xr:uid="{00000000-0005-0000-0000-0000B2890000}"/>
    <cellStyle name="检查单元格 2 7 4 2 3 2" xfId="36226" xr:uid="{00000000-0005-0000-0000-0000B28D0000}"/>
    <cellStyle name="检查单元格 2 7 4 2 4" xfId="36228" xr:uid="{00000000-0005-0000-0000-0000B48D0000}"/>
    <cellStyle name="检查单元格 2 7 4 2 4 2" xfId="36230" xr:uid="{00000000-0005-0000-0000-0000B68D0000}"/>
    <cellStyle name="检查单元格 2 7 4 2 5" xfId="36232" xr:uid="{00000000-0005-0000-0000-0000B88D0000}"/>
    <cellStyle name="检查单元格 2 7 4 2 5 2" xfId="36233" xr:uid="{00000000-0005-0000-0000-0000B98D0000}"/>
    <cellStyle name="检查单元格 2 7 4 2 6" xfId="31953" xr:uid="{00000000-0005-0000-0000-0000017D0000}"/>
    <cellStyle name="检查单元格 2 7 4 2 7" xfId="36235" xr:uid="{00000000-0005-0000-0000-0000BB8D0000}"/>
    <cellStyle name="检查单元格 2 7 4 2 8" xfId="36237" xr:uid="{00000000-0005-0000-0000-0000BD8D0000}"/>
    <cellStyle name="检查单元格 2 7 4 2 9" xfId="36238" xr:uid="{00000000-0005-0000-0000-0000BE8D0000}"/>
    <cellStyle name="检查单元格 2 7 4 3" xfId="26471" xr:uid="{00000000-0005-0000-0000-000097670000}"/>
    <cellStyle name="检查单元格 2 7 4 3 2" xfId="35483" xr:uid="{00000000-0005-0000-0000-0000CB8A0000}"/>
    <cellStyle name="检查单元格 2 7 4 3 2 2" xfId="36239" xr:uid="{00000000-0005-0000-0000-0000BF8D0000}"/>
    <cellStyle name="检查单元格 2 7 4 3 3" xfId="35206" xr:uid="{00000000-0005-0000-0000-0000B6890000}"/>
    <cellStyle name="检查单元格 2 7 4 3 3 2" xfId="36240" xr:uid="{00000000-0005-0000-0000-0000C08D0000}"/>
    <cellStyle name="检查单元格 2 7 4 3 4" xfId="36242" xr:uid="{00000000-0005-0000-0000-0000C28D0000}"/>
    <cellStyle name="检查单元格 2 7 4 3 4 2" xfId="36245" xr:uid="{00000000-0005-0000-0000-0000C58D0000}"/>
    <cellStyle name="检查单元格 2 7 4 3 5" xfId="36247" xr:uid="{00000000-0005-0000-0000-0000C78D0000}"/>
    <cellStyle name="检查单元格 2 7 4 3 5 2" xfId="36248" xr:uid="{00000000-0005-0000-0000-0000C88D0000}"/>
    <cellStyle name="检查单元格 2 7 4 3 6" xfId="31956" xr:uid="{00000000-0005-0000-0000-0000047D0000}"/>
    <cellStyle name="检查单元格 2 7 4 4" xfId="35486" xr:uid="{00000000-0005-0000-0000-0000CE8A0000}"/>
    <cellStyle name="检查单元格 2 7 4 4 2" xfId="35488" xr:uid="{00000000-0005-0000-0000-0000D08A0000}"/>
    <cellStyle name="检查单元格 2 7 4 4 2 2" xfId="36250" xr:uid="{00000000-0005-0000-0000-0000CA8D0000}"/>
    <cellStyle name="检查单元格 2 7 4 4 3" xfId="35210" xr:uid="{00000000-0005-0000-0000-0000BA890000}"/>
    <cellStyle name="检查单元格 2 7 4 4 3 2" xfId="36252" xr:uid="{00000000-0005-0000-0000-0000CC8D0000}"/>
    <cellStyle name="检查单元格 2 7 4 4 4" xfId="36254" xr:uid="{00000000-0005-0000-0000-0000CE8D0000}"/>
    <cellStyle name="检查单元格 2 7 4 4 4 2" xfId="35291" xr:uid="{00000000-0005-0000-0000-00000B8A0000}"/>
    <cellStyle name="检查单元格 2 7 4 4 5" xfId="36255" xr:uid="{00000000-0005-0000-0000-0000CF8D0000}"/>
    <cellStyle name="检查单元格 2 7 4 4 5 2" xfId="36256" xr:uid="{00000000-0005-0000-0000-0000D08D0000}"/>
    <cellStyle name="检查单元格 2 7 4 4 6" xfId="36258" xr:uid="{00000000-0005-0000-0000-0000D28D0000}"/>
    <cellStyle name="检查单元格 2 7 4 5" xfId="35491" xr:uid="{00000000-0005-0000-0000-0000D38A0000}"/>
    <cellStyle name="检查单元格 2 7 4 5 2" xfId="35493" xr:uid="{00000000-0005-0000-0000-0000D58A0000}"/>
    <cellStyle name="检查单元格 2 7 4 5 2 2" xfId="36259" xr:uid="{00000000-0005-0000-0000-0000D38D0000}"/>
    <cellStyle name="检查单元格 2 7 4 5 3" xfId="35213" xr:uid="{00000000-0005-0000-0000-0000BD890000}"/>
    <cellStyle name="检查单元格 2 7 4 5 3 2" xfId="36260" xr:uid="{00000000-0005-0000-0000-0000D48D0000}"/>
    <cellStyle name="检查单元格 2 7 4 5 4" xfId="36261" xr:uid="{00000000-0005-0000-0000-0000D58D0000}"/>
    <cellStyle name="检查单元格 2 7 4 5 4 2" xfId="36262" xr:uid="{00000000-0005-0000-0000-0000D68D0000}"/>
    <cellStyle name="检查单元格 2 7 4 5 5" xfId="36263" xr:uid="{00000000-0005-0000-0000-0000D78D0000}"/>
    <cellStyle name="检查单元格 2 7 4 6" xfId="35495" xr:uid="{00000000-0005-0000-0000-0000D78A0000}"/>
    <cellStyle name="检查单元格 2 7 4 6 2" xfId="34238" xr:uid="{00000000-0005-0000-0000-0000EE850000}"/>
    <cellStyle name="检查单元格 2 7 4 7" xfId="18799" xr:uid="{00000000-0005-0000-0000-00009F490000}"/>
    <cellStyle name="检查单元格 2 7 4 7 2" xfId="18806" xr:uid="{00000000-0005-0000-0000-0000A6490000}"/>
    <cellStyle name="检查单元格 2 7 4 8" xfId="13823" xr:uid="{00000000-0005-0000-0000-00002F360000}"/>
    <cellStyle name="检查单元格 2 7 4 8 2" xfId="13830" xr:uid="{00000000-0005-0000-0000-000036360000}"/>
    <cellStyle name="检查单元格 2 7 4 9" xfId="13837" xr:uid="{00000000-0005-0000-0000-00003D360000}"/>
    <cellStyle name="检查单元格 2 7 4 9 2" xfId="13843" xr:uid="{00000000-0005-0000-0000-000043360000}"/>
    <cellStyle name="检查单元格 2 7 5" xfId="15364" xr:uid="{00000000-0005-0000-0000-0000343C0000}"/>
    <cellStyle name="检查单元格 2 7 5 10" xfId="36264" xr:uid="{00000000-0005-0000-0000-0000D88D0000}"/>
    <cellStyle name="检查单元格 2 7 5 11" xfId="2659" xr:uid="{00000000-0005-0000-0000-0000930A0000}"/>
    <cellStyle name="检查单元格 2 7 5 12" xfId="25546" xr:uid="{00000000-0005-0000-0000-0000FA630000}"/>
    <cellStyle name="检查单元格 2 7 5 13" xfId="25549" xr:uid="{00000000-0005-0000-0000-0000FD630000}"/>
    <cellStyle name="检查单元格 2 7 5 2" xfId="25515" xr:uid="{00000000-0005-0000-0000-0000DB630000}"/>
    <cellStyle name="检查单元格 2 7 5 2 2" xfId="35497" xr:uid="{00000000-0005-0000-0000-0000D98A0000}"/>
    <cellStyle name="检查单元格 2 7 5 2 2 2" xfId="36265" xr:uid="{00000000-0005-0000-0000-0000D98D0000}"/>
    <cellStyle name="检查单元格 2 7 5 2 3" xfId="35215" xr:uid="{00000000-0005-0000-0000-0000BF890000}"/>
    <cellStyle name="检查单元格 2 7 5 2 3 2" xfId="7767" xr:uid="{00000000-0005-0000-0000-0000871E0000}"/>
    <cellStyle name="检查单元格 2 7 5 2 4" xfId="36266" xr:uid="{00000000-0005-0000-0000-0000DA8D0000}"/>
    <cellStyle name="检查单元格 2 7 5 2 4 2" xfId="36268" xr:uid="{00000000-0005-0000-0000-0000DC8D0000}"/>
    <cellStyle name="检查单元格 2 7 5 2 5" xfId="36270" xr:uid="{00000000-0005-0000-0000-0000DE8D0000}"/>
    <cellStyle name="检查单元格 2 7 5 2 5 2" xfId="36272" xr:uid="{00000000-0005-0000-0000-0000E08D0000}"/>
    <cellStyle name="检查单元格 2 7 5 2 6" xfId="31969" xr:uid="{00000000-0005-0000-0000-0000117D0000}"/>
    <cellStyle name="检查单元格 2 7 5 2 7" xfId="36274" xr:uid="{00000000-0005-0000-0000-0000E28D0000}"/>
    <cellStyle name="检查单元格 2 7 5 2 8" xfId="36275" xr:uid="{00000000-0005-0000-0000-0000E38D0000}"/>
    <cellStyle name="检查单元格 2 7 5 2 9" xfId="36276" xr:uid="{00000000-0005-0000-0000-0000E48D0000}"/>
    <cellStyle name="检查单元格 2 7 5 3" xfId="25521" xr:uid="{00000000-0005-0000-0000-0000E1630000}"/>
    <cellStyle name="检查单元格 2 7 5 3 2" xfId="35499" xr:uid="{00000000-0005-0000-0000-0000DB8A0000}"/>
    <cellStyle name="检查单元格 2 7 5 3 2 2" xfId="36277" xr:uid="{00000000-0005-0000-0000-0000E58D0000}"/>
    <cellStyle name="检查单元格 2 7 5 3 3" xfId="35221" xr:uid="{00000000-0005-0000-0000-0000C5890000}"/>
    <cellStyle name="检查单元格 2 7 5 3 3 2" xfId="8857" xr:uid="{00000000-0005-0000-0000-0000C9220000}"/>
    <cellStyle name="检查单元格 2 7 5 3 4" xfId="36278" xr:uid="{00000000-0005-0000-0000-0000E68D0000}"/>
    <cellStyle name="检查单元格 2 7 5 3 4 2" xfId="36280" xr:uid="{00000000-0005-0000-0000-0000E88D0000}"/>
    <cellStyle name="检查单元格 2 7 5 3 5" xfId="36282" xr:uid="{00000000-0005-0000-0000-0000EA8D0000}"/>
    <cellStyle name="检查单元格 2 7 5 3 5 2" xfId="31001" xr:uid="{00000000-0005-0000-0000-000049790000}"/>
    <cellStyle name="检查单元格 2 7 5 3 6" xfId="31972" xr:uid="{00000000-0005-0000-0000-0000147D0000}"/>
    <cellStyle name="检查单元格 2 7 5 4" xfId="35501" xr:uid="{00000000-0005-0000-0000-0000DD8A0000}"/>
    <cellStyle name="检查单元格 2 7 5 4 2" xfId="35504" xr:uid="{00000000-0005-0000-0000-0000E08A0000}"/>
    <cellStyle name="检查单元格 2 7 5 4 2 2" xfId="36283" xr:uid="{00000000-0005-0000-0000-0000EB8D0000}"/>
    <cellStyle name="检查单元格 2 7 5 4 3" xfId="35226" xr:uid="{00000000-0005-0000-0000-0000CA890000}"/>
    <cellStyle name="检查单元格 2 7 5 4 3 2" xfId="36284" xr:uid="{00000000-0005-0000-0000-0000EC8D0000}"/>
    <cellStyle name="检查单元格 2 7 5 4 4" xfId="36287" xr:uid="{00000000-0005-0000-0000-0000EF8D0000}"/>
    <cellStyle name="检查单元格 2 7 5 4 4 2" xfId="36289" xr:uid="{00000000-0005-0000-0000-0000F18D0000}"/>
    <cellStyle name="检查单元格 2 7 5 4 5" xfId="36292" xr:uid="{00000000-0005-0000-0000-0000F48D0000}"/>
    <cellStyle name="检查单元格 2 7 5 4 5 2" xfId="31717" xr:uid="{00000000-0005-0000-0000-0000157C0000}"/>
    <cellStyle name="检查单元格 2 7 5 4 6" xfId="36293" xr:uid="{00000000-0005-0000-0000-0000F58D0000}"/>
    <cellStyle name="检查单元格 2 7 5 5" xfId="35507" xr:uid="{00000000-0005-0000-0000-0000E38A0000}"/>
    <cellStyle name="检查单元格 2 7 5 5 2" xfId="36294" xr:uid="{00000000-0005-0000-0000-0000F68D0000}"/>
    <cellStyle name="检查单元格 2 7 5 5 2 2" xfId="36295" xr:uid="{00000000-0005-0000-0000-0000F78D0000}"/>
    <cellStyle name="检查单元格 2 7 5 5 3" xfId="36296" xr:uid="{00000000-0005-0000-0000-0000F88D0000}"/>
    <cellStyle name="检查单元格 2 7 5 5 3 2" xfId="36297" xr:uid="{00000000-0005-0000-0000-0000F98D0000}"/>
    <cellStyle name="检查单元格 2 7 5 5 4" xfId="36298" xr:uid="{00000000-0005-0000-0000-0000FA8D0000}"/>
    <cellStyle name="检查单元格 2 7 5 5 4 2" xfId="36299" xr:uid="{00000000-0005-0000-0000-0000FB8D0000}"/>
    <cellStyle name="检查单元格 2 7 5 5 5" xfId="36300" xr:uid="{00000000-0005-0000-0000-0000FC8D0000}"/>
    <cellStyle name="检查单元格 2 7 5 6" xfId="36301" xr:uid="{00000000-0005-0000-0000-0000FD8D0000}"/>
    <cellStyle name="检查单元格 2 7 5 6 2" xfId="36302" xr:uid="{00000000-0005-0000-0000-0000FE8D0000}"/>
    <cellStyle name="检查单元格 2 7 5 7" xfId="18813" xr:uid="{00000000-0005-0000-0000-0000AD490000}"/>
    <cellStyle name="检查单元格 2 7 5 7 2" xfId="36303" xr:uid="{00000000-0005-0000-0000-0000FF8D0000}"/>
    <cellStyle name="检查单元格 2 7 5 8" xfId="36304" xr:uid="{00000000-0005-0000-0000-0000008E0000}"/>
    <cellStyle name="检查单元格 2 7 5 8 2" xfId="36305" xr:uid="{00000000-0005-0000-0000-0000018E0000}"/>
    <cellStyle name="检查单元格 2 7 5 9" xfId="36306" xr:uid="{00000000-0005-0000-0000-0000028E0000}"/>
    <cellStyle name="检查单元格 2 7 5 9 2" xfId="36308" xr:uid="{00000000-0005-0000-0000-0000048E0000}"/>
    <cellStyle name="检查单元格 2 7 6" xfId="35510" xr:uid="{00000000-0005-0000-0000-0000E68A0000}"/>
    <cellStyle name="检查单元格 2 7 6 10" xfId="27437" xr:uid="{00000000-0005-0000-0000-00005D6B0000}"/>
    <cellStyle name="检查单元格 2 7 6 11" xfId="9399" xr:uid="{00000000-0005-0000-0000-0000E7240000}"/>
    <cellStyle name="检查单元格 2 7 6 12" xfId="27441" xr:uid="{00000000-0005-0000-0000-0000616B0000}"/>
    <cellStyle name="检查单元格 2 7 6 13" xfId="27443" xr:uid="{00000000-0005-0000-0000-0000636B0000}"/>
    <cellStyle name="检查单元格 2 7 6 2" xfId="35513" xr:uid="{00000000-0005-0000-0000-0000E98A0000}"/>
    <cellStyle name="检查单元格 2 7 6 2 2" xfId="36309" xr:uid="{00000000-0005-0000-0000-0000058E0000}"/>
    <cellStyle name="检查单元格 2 7 6 2 2 2" xfId="36310" xr:uid="{00000000-0005-0000-0000-0000068E0000}"/>
    <cellStyle name="检查单元格 2 7 6 2 3" xfId="36311" xr:uid="{00000000-0005-0000-0000-0000078E0000}"/>
    <cellStyle name="检查单元格 2 7 6 2 3 2" xfId="36314" xr:uid="{00000000-0005-0000-0000-00000A8E0000}"/>
    <cellStyle name="检查单元格 2 7 6 2 4" xfId="36316" xr:uid="{00000000-0005-0000-0000-00000C8E0000}"/>
    <cellStyle name="检查单元格 2 7 6 2 4 2" xfId="36318" xr:uid="{00000000-0005-0000-0000-00000E8E0000}"/>
    <cellStyle name="检查单元格 2 7 6 2 5" xfId="36320" xr:uid="{00000000-0005-0000-0000-0000108E0000}"/>
    <cellStyle name="检查单元格 2 7 6 2 5 2" xfId="36321" xr:uid="{00000000-0005-0000-0000-0000118E0000}"/>
    <cellStyle name="检查单元格 2 7 6 2 6" xfId="31983" xr:uid="{00000000-0005-0000-0000-00001F7D0000}"/>
    <cellStyle name="检查单元格 2 7 6 2 7" xfId="36323" xr:uid="{00000000-0005-0000-0000-0000138E0000}"/>
    <cellStyle name="检查单元格 2 7 6 2 8" xfId="36324" xr:uid="{00000000-0005-0000-0000-0000148E0000}"/>
    <cellStyle name="检查单元格 2 7 6 2 9" xfId="36325" xr:uid="{00000000-0005-0000-0000-0000158E0000}"/>
    <cellStyle name="检查单元格 2 7 6 3" xfId="36326" xr:uid="{00000000-0005-0000-0000-0000168E0000}"/>
    <cellStyle name="检查单元格 2 7 6 3 2" xfId="36327" xr:uid="{00000000-0005-0000-0000-0000178E0000}"/>
    <cellStyle name="检查单元格 2 7 6 3 2 2" xfId="36328" xr:uid="{00000000-0005-0000-0000-0000188E0000}"/>
    <cellStyle name="检查单元格 2 7 6 3 3" xfId="36189" xr:uid="{00000000-0005-0000-0000-00008D8D0000}"/>
    <cellStyle name="检查单元格 2 7 6 3 3 2" xfId="36329" xr:uid="{00000000-0005-0000-0000-0000198E0000}"/>
    <cellStyle name="检查单元格 2 7 6 3 4" xfId="36193" xr:uid="{00000000-0005-0000-0000-0000918D0000}"/>
    <cellStyle name="检查单元格 2 7 6 3 4 2" xfId="36331" xr:uid="{00000000-0005-0000-0000-00001B8E0000}"/>
    <cellStyle name="检查单元格 2 7 6 3 5" xfId="36196" xr:uid="{00000000-0005-0000-0000-0000948D0000}"/>
    <cellStyle name="检查单元格 2 7 6 3 5 2" xfId="36333" xr:uid="{00000000-0005-0000-0000-00001D8E0000}"/>
    <cellStyle name="检查单元格 2 7 6 3 6" xfId="31987" xr:uid="{00000000-0005-0000-0000-0000237D0000}"/>
    <cellStyle name="检查单元格 2 7 6 4" xfId="36337" xr:uid="{00000000-0005-0000-0000-0000218E0000}"/>
    <cellStyle name="检查单元格 2 7 6 4 2" xfId="36339" xr:uid="{00000000-0005-0000-0000-0000238E0000}"/>
    <cellStyle name="检查单元格 2 7 6 4 2 2" xfId="36340" xr:uid="{00000000-0005-0000-0000-0000248E0000}"/>
    <cellStyle name="检查单元格 2 7 6 4 3" xfId="36342" xr:uid="{00000000-0005-0000-0000-0000268E0000}"/>
    <cellStyle name="检查单元格 2 7 6 4 3 2" xfId="36345" xr:uid="{00000000-0005-0000-0000-0000298E0000}"/>
    <cellStyle name="检查单元格 2 7 6 4 4" xfId="29139" xr:uid="{00000000-0005-0000-0000-000003720000}"/>
    <cellStyle name="检查单元格 2 7 6 4 4 2" xfId="29143" xr:uid="{00000000-0005-0000-0000-000007720000}"/>
    <cellStyle name="检查单元格 2 7 6 4 5" xfId="24120" xr:uid="{00000000-0005-0000-0000-0000685E0000}"/>
    <cellStyle name="检查单元格 2 7 6 4 5 2" xfId="29146" xr:uid="{00000000-0005-0000-0000-00000A720000}"/>
    <cellStyle name="检查单元格 2 7 6 4 6" xfId="29148" xr:uid="{00000000-0005-0000-0000-00000C720000}"/>
    <cellStyle name="检查单元格 2 7 6 5" xfId="36348" xr:uid="{00000000-0005-0000-0000-00002C8E0000}"/>
    <cellStyle name="检查单元格 2 7 6 5 2" xfId="36349" xr:uid="{00000000-0005-0000-0000-00002D8E0000}"/>
    <cellStyle name="检查单元格 2 7 6 5 2 2" xfId="32028" xr:uid="{00000000-0005-0000-0000-00004C7D0000}"/>
    <cellStyle name="检查单元格 2 7 6 5 3" xfId="36350" xr:uid="{00000000-0005-0000-0000-00002E8E0000}"/>
    <cellStyle name="检查单元格 2 7 6 5 3 2" xfId="36352" xr:uid="{00000000-0005-0000-0000-0000308E0000}"/>
    <cellStyle name="检查单元格 2 7 6 5 4" xfId="36353" xr:uid="{00000000-0005-0000-0000-0000318E0000}"/>
    <cellStyle name="检查单元格 2 7 6 5 4 2" xfId="36354" xr:uid="{00000000-0005-0000-0000-0000328E0000}"/>
    <cellStyle name="检查单元格 2 7 6 5 5" xfId="36355" xr:uid="{00000000-0005-0000-0000-0000338E0000}"/>
    <cellStyle name="检查单元格 2 7 6 6" xfId="36356" xr:uid="{00000000-0005-0000-0000-0000348E0000}"/>
    <cellStyle name="检查单元格 2 7 6 6 2" xfId="36357" xr:uid="{00000000-0005-0000-0000-0000358E0000}"/>
    <cellStyle name="检查单元格 2 7 6 7" xfId="36358" xr:uid="{00000000-0005-0000-0000-0000368E0000}"/>
    <cellStyle name="检查单元格 2 7 6 7 2" xfId="36359" xr:uid="{00000000-0005-0000-0000-0000378E0000}"/>
    <cellStyle name="检查单元格 2 7 6 8" xfId="36360" xr:uid="{00000000-0005-0000-0000-0000388E0000}"/>
    <cellStyle name="检查单元格 2 7 6 8 2" xfId="36361" xr:uid="{00000000-0005-0000-0000-0000398E0000}"/>
    <cellStyle name="检查单元格 2 7 6 9" xfId="36362" xr:uid="{00000000-0005-0000-0000-00003A8E0000}"/>
    <cellStyle name="检查单元格 2 7 6 9 2" xfId="36363" xr:uid="{00000000-0005-0000-0000-00003B8E0000}"/>
    <cellStyle name="检查单元格 2 7 7" xfId="35517" xr:uid="{00000000-0005-0000-0000-0000ED8A0000}"/>
    <cellStyle name="检查单元格 2 7 7 10" xfId="27503" xr:uid="{00000000-0005-0000-0000-00009F6B0000}"/>
    <cellStyle name="检查单元格 2 7 7 11" xfId="3796" xr:uid="{00000000-0005-0000-0000-0000040F0000}"/>
    <cellStyle name="检查单元格 2 7 7 12" xfId="36366" xr:uid="{00000000-0005-0000-0000-00003E8E0000}"/>
    <cellStyle name="检查单元格 2 7 7 13" xfId="36367" xr:uid="{00000000-0005-0000-0000-00003F8E0000}"/>
    <cellStyle name="检查单元格 2 7 7 2" xfId="35520" xr:uid="{00000000-0005-0000-0000-0000F08A0000}"/>
    <cellStyle name="检查单元格 2 7 7 2 2" xfId="36368" xr:uid="{00000000-0005-0000-0000-0000408E0000}"/>
    <cellStyle name="检查单元格 2 7 7 2 2 2" xfId="36370" xr:uid="{00000000-0005-0000-0000-0000428E0000}"/>
    <cellStyle name="检查单元格 2 7 7 2 3" xfId="36371" xr:uid="{00000000-0005-0000-0000-0000438E0000}"/>
    <cellStyle name="检查单元格 2 7 7 2 3 2" xfId="36374" xr:uid="{00000000-0005-0000-0000-0000468E0000}"/>
    <cellStyle name="检查单元格 2 7 7 2 4" xfId="36376" xr:uid="{00000000-0005-0000-0000-0000488E0000}"/>
    <cellStyle name="检查单元格 2 7 7 2 4 2" xfId="36378" xr:uid="{00000000-0005-0000-0000-00004A8E0000}"/>
    <cellStyle name="检查单元格 2 7 7 2 5" xfId="36380" xr:uid="{00000000-0005-0000-0000-00004C8E0000}"/>
    <cellStyle name="检查单元格 2 7 7 2 5 2" xfId="36381" xr:uid="{00000000-0005-0000-0000-00004D8E0000}"/>
    <cellStyle name="检查单元格 2 7 7 2 6" xfId="31998" xr:uid="{00000000-0005-0000-0000-00002E7D0000}"/>
    <cellStyle name="检查单元格 2 7 7 2 7" xfId="36383" xr:uid="{00000000-0005-0000-0000-00004F8E0000}"/>
    <cellStyle name="检查单元格 2 7 7 2 8" xfId="36384" xr:uid="{00000000-0005-0000-0000-0000508E0000}"/>
    <cellStyle name="检查单元格 2 7 7 2 9" xfId="36385" xr:uid="{00000000-0005-0000-0000-0000518E0000}"/>
    <cellStyle name="检查单元格 2 7 7 3" xfId="36387" xr:uid="{00000000-0005-0000-0000-0000538E0000}"/>
    <cellStyle name="检查单元格 2 7 7 3 2" xfId="36389" xr:uid="{00000000-0005-0000-0000-0000558E0000}"/>
    <cellStyle name="检查单元格 2 7 7 3 2 2" xfId="36390" xr:uid="{00000000-0005-0000-0000-0000568E0000}"/>
    <cellStyle name="检查单元格 2 7 7 3 3" xfId="36391" xr:uid="{00000000-0005-0000-0000-0000578E0000}"/>
    <cellStyle name="检查单元格 2 7 7 3 3 2" xfId="36393" xr:uid="{00000000-0005-0000-0000-0000598E0000}"/>
    <cellStyle name="检查单元格 2 7 7 3 4" xfId="36395" xr:uid="{00000000-0005-0000-0000-00005B8E0000}"/>
    <cellStyle name="检查单元格 2 7 7 3 4 2" xfId="17581" xr:uid="{00000000-0005-0000-0000-0000DD440000}"/>
    <cellStyle name="检查单元格 2 7 7 3 5" xfId="36397" xr:uid="{00000000-0005-0000-0000-00005D8E0000}"/>
    <cellStyle name="检查单元格 2 7 7 3 5 2" xfId="2129" xr:uid="{00000000-0005-0000-0000-000081080000}"/>
    <cellStyle name="检查单元格 2 7 7 3 6" xfId="32001" xr:uid="{00000000-0005-0000-0000-0000317D0000}"/>
    <cellStyle name="检查单元格 2 7 7 4" xfId="36399" xr:uid="{00000000-0005-0000-0000-00005F8E0000}"/>
    <cellStyle name="检查单元格 2 7 7 4 2" xfId="36401" xr:uid="{00000000-0005-0000-0000-0000618E0000}"/>
    <cellStyle name="检查单元格 2 7 7 4 2 2" xfId="36403" xr:uid="{00000000-0005-0000-0000-0000638E0000}"/>
    <cellStyle name="检查单元格 2 7 7 4 3" xfId="36404" xr:uid="{00000000-0005-0000-0000-0000648E0000}"/>
    <cellStyle name="检查单元格 2 7 7 4 3 2" xfId="36406" xr:uid="{00000000-0005-0000-0000-0000668E0000}"/>
    <cellStyle name="检查单元格 2 7 7 4 4" xfId="36408" xr:uid="{00000000-0005-0000-0000-0000688E0000}"/>
    <cellStyle name="检查单元格 2 7 7 4 4 2" xfId="17600" xr:uid="{00000000-0005-0000-0000-0000F0440000}"/>
    <cellStyle name="检查单元格 2 7 7 4 5" xfId="36409" xr:uid="{00000000-0005-0000-0000-0000698E0000}"/>
    <cellStyle name="检查单元格 2 7 7 4 5 2" xfId="17606" xr:uid="{00000000-0005-0000-0000-0000F6440000}"/>
    <cellStyle name="检查单元格 2 7 7 4 6" xfId="36410" xr:uid="{00000000-0005-0000-0000-00006A8E0000}"/>
    <cellStyle name="检查单元格 2 7 7 5" xfId="36413" xr:uid="{00000000-0005-0000-0000-00006D8E0000}"/>
    <cellStyle name="检查单元格 2 7 7 5 2" xfId="36415" xr:uid="{00000000-0005-0000-0000-00006F8E0000}"/>
    <cellStyle name="检查单元格 2 7 7 5 2 2" xfId="36416" xr:uid="{00000000-0005-0000-0000-0000708E0000}"/>
    <cellStyle name="检查单元格 2 7 7 5 3" xfId="36417" xr:uid="{00000000-0005-0000-0000-0000718E0000}"/>
    <cellStyle name="检查单元格 2 7 7 5 3 2" xfId="36418" xr:uid="{00000000-0005-0000-0000-0000728E0000}"/>
    <cellStyle name="检查单元格 2 7 7 5 4" xfId="36419" xr:uid="{00000000-0005-0000-0000-0000738E0000}"/>
    <cellStyle name="检查单元格 2 7 7 5 4 2" xfId="36420" xr:uid="{00000000-0005-0000-0000-0000748E0000}"/>
    <cellStyle name="检查单元格 2 7 7 5 5" xfId="36421" xr:uid="{00000000-0005-0000-0000-0000758E0000}"/>
    <cellStyle name="检查单元格 2 7 7 6" xfId="36423" xr:uid="{00000000-0005-0000-0000-0000778E0000}"/>
    <cellStyle name="检查单元格 2 7 7 6 2" xfId="36425" xr:uid="{00000000-0005-0000-0000-0000798E0000}"/>
    <cellStyle name="检查单元格 2 7 7 7" xfId="36427" xr:uid="{00000000-0005-0000-0000-00007B8E0000}"/>
    <cellStyle name="检查单元格 2 7 7 7 2" xfId="36428" xr:uid="{00000000-0005-0000-0000-00007C8E0000}"/>
    <cellStyle name="检查单元格 2 7 7 8" xfId="36432" xr:uid="{00000000-0005-0000-0000-0000808E0000}"/>
    <cellStyle name="检查单元格 2 7 7 8 2" xfId="36433" xr:uid="{00000000-0005-0000-0000-0000818E0000}"/>
    <cellStyle name="检查单元格 2 7 7 9" xfId="36435" xr:uid="{00000000-0005-0000-0000-0000838E0000}"/>
    <cellStyle name="检查单元格 2 7 7 9 2" xfId="36437" xr:uid="{00000000-0005-0000-0000-0000858E0000}"/>
    <cellStyle name="检查单元格 2 7 8" xfId="35523" xr:uid="{00000000-0005-0000-0000-0000F38A0000}"/>
    <cellStyle name="检查单元格 2 7 8 2" xfId="35527" xr:uid="{00000000-0005-0000-0000-0000F78A0000}"/>
    <cellStyle name="检查单元格 2 7 8 2 2" xfId="36438" xr:uid="{00000000-0005-0000-0000-0000868E0000}"/>
    <cellStyle name="检查单元格 2 7 8 2 2 2" xfId="36441" xr:uid="{00000000-0005-0000-0000-0000898E0000}"/>
    <cellStyle name="检查单元格 2 7 8 2 3" xfId="36442" xr:uid="{00000000-0005-0000-0000-00008A8E0000}"/>
    <cellStyle name="检查单元格 2 7 8 2 3 2" xfId="15219" xr:uid="{00000000-0005-0000-0000-0000A33B0000}"/>
    <cellStyle name="检查单元格 2 7 8 2 4" xfId="36445" xr:uid="{00000000-0005-0000-0000-00008D8E0000}"/>
    <cellStyle name="检查单元格 2 7 8 2 4 2" xfId="36447" xr:uid="{00000000-0005-0000-0000-00008F8E0000}"/>
    <cellStyle name="检查单元格 2 7 8 2 5" xfId="36449" xr:uid="{00000000-0005-0000-0000-0000918E0000}"/>
    <cellStyle name="检查单元格 2 7 8 2 5 2" xfId="36450" xr:uid="{00000000-0005-0000-0000-0000928E0000}"/>
    <cellStyle name="检查单元格 2 7 8 2 6" xfId="32013" xr:uid="{00000000-0005-0000-0000-00003D7D0000}"/>
    <cellStyle name="检查单元格 2 7 8 2 7" xfId="36453" xr:uid="{00000000-0005-0000-0000-0000958E0000}"/>
    <cellStyle name="检查单元格 2 7 8 2 8" xfId="36454" xr:uid="{00000000-0005-0000-0000-0000968E0000}"/>
    <cellStyle name="检查单元格 2 7 8 2 9" xfId="36455" xr:uid="{00000000-0005-0000-0000-0000978E0000}"/>
    <cellStyle name="检查单元格 2 7 8 3" xfId="33079" xr:uid="{00000000-0005-0000-0000-000067810000}"/>
    <cellStyle name="检查单元格 2 7 8 3 2" xfId="33082" xr:uid="{00000000-0005-0000-0000-00006A810000}"/>
    <cellStyle name="检查单元格 2 7 8 3 2 2" xfId="36456" xr:uid="{00000000-0005-0000-0000-0000988E0000}"/>
    <cellStyle name="检查单元格 2 7 8 3 3" xfId="36457" xr:uid="{00000000-0005-0000-0000-0000998E0000}"/>
    <cellStyle name="检查单元格 2 7 8 3 3 2" xfId="36459" xr:uid="{00000000-0005-0000-0000-00009B8E0000}"/>
    <cellStyle name="检查单元格 2 7 8 3 4" xfId="36461" xr:uid="{00000000-0005-0000-0000-00009D8E0000}"/>
    <cellStyle name="检查单元格 2 7 8 3 4 2" xfId="36462" xr:uid="{00000000-0005-0000-0000-00009E8E0000}"/>
    <cellStyle name="检查单元格 2 7 8 3 5" xfId="36464" xr:uid="{00000000-0005-0000-0000-0000A08E0000}"/>
    <cellStyle name="检查单元格 2 7 8 3 5 2" xfId="36465" xr:uid="{00000000-0005-0000-0000-0000A18E0000}"/>
    <cellStyle name="检查单元格 2 7 8 3 6" xfId="32016" xr:uid="{00000000-0005-0000-0000-0000407D0000}"/>
    <cellStyle name="检查单元格 2 7 8 4" xfId="33086" xr:uid="{00000000-0005-0000-0000-00006E810000}"/>
    <cellStyle name="检查单元格 2 7 8 4 2" xfId="33089" xr:uid="{00000000-0005-0000-0000-000071810000}"/>
    <cellStyle name="检查单元格 2 7 8 4 2 2" xfId="36467" xr:uid="{00000000-0005-0000-0000-0000A38E0000}"/>
    <cellStyle name="检查单元格 2 7 8 4 3" xfId="36468" xr:uid="{00000000-0005-0000-0000-0000A48E0000}"/>
    <cellStyle name="检查单元格 2 7 8 4 3 2" xfId="36470" xr:uid="{00000000-0005-0000-0000-0000A68E0000}"/>
    <cellStyle name="检查单元格 2 7 8 4 4" xfId="36472" xr:uid="{00000000-0005-0000-0000-0000A88E0000}"/>
    <cellStyle name="检查单元格 2 7 8 4 4 2" xfId="36473" xr:uid="{00000000-0005-0000-0000-0000A98E0000}"/>
    <cellStyle name="检查单元格 2 7 8 4 5" xfId="36475" xr:uid="{00000000-0005-0000-0000-0000AB8E0000}"/>
    <cellStyle name="检查单元格 2 7 8 4 5 2" xfId="36476" xr:uid="{00000000-0005-0000-0000-0000AC8E0000}"/>
    <cellStyle name="检查单元格 2 7 8 4 6" xfId="36478" xr:uid="{00000000-0005-0000-0000-0000AE8E0000}"/>
    <cellStyle name="检查单元格 2 7 8 5" xfId="33093" xr:uid="{00000000-0005-0000-0000-000075810000}"/>
    <cellStyle name="检查单元格 2 7 8 5 2" xfId="33096" xr:uid="{00000000-0005-0000-0000-000078810000}"/>
    <cellStyle name="检查单元格 2 7 8 5 2 2" xfId="36479" xr:uid="{00000000-0005-0000-0000-0000AF8E0000}"/>
    <cellStyle name="检查单元格 2 7 8 5 3" xfId="36480" xr:uid="{00000000-0005-0000-0000-0000B08E0000}"/>
    <cellStyle name="检查单元格 2 7 8 5 3 2" xfId="36481" xr:uid="{00000000-0005-0000-0000-0000B18E0000}"/>
    <cellStyle name="检查单元格 2 7 8 5 4" xfId="36482" xr:uid="{00000000-0005-0000-0000-0000B28E0000}"/>
    <cellStyle name="检查单元格 2 7 8 5 4 2" xfId="36483" xr:uid="{00000000-0005-0000-0000-0000B38E0000}"/>
    <cellStyle name="检查单元格 2 7 8 5 5" xfId="36484" xr:uid="{00000000-0005-0000-0000-0000B48E0000}"/>
    <cellStyle name="检查单元格 2 7 8 6" xfId="8510" xr:uid="{00000000-0005-0000-0000-00006E210000}"/>
    <cellStyle name="检查单元格 2 7 8 7" xfId="7502" xr:uid="{00000000-0005-0000-0000-00007E1D0000}"/>
    <cellStyle name="检查单元格 2 7 8 8" xfId="6013" xr:uid="{00000000-0005-0000-0000-0000AD170000}"/>
    <cellStyle name="检查单元格 2 7 9" xfId="35530" xr:uid="{00000000-0005-0000-0000-0000FA8A0000}"/>
    <cellStyle name="检查单元格 2 7 9 2" xfId="10468" xr:uid="{00000000-0005-0000-0000-000014290000}"/>
    <cellStyle name="检查单元格 2 7 9 2 2" xfId="11544" xr:uid="{00000000-0005-0000-0000-0000482D0000}"/>
    <cellStyle name="检查单元格 2 7 9 3" xfId="13069" xr:uid="{00000000-0005-0000-0000-00003D330000}"/>
    <cellStyle name="检查单元格 2 7 9 3 2" xfId="11575" xr:uid="{00000000-0005-0000-0000-0000672D0000}"/>
    <cellStyle name="检查单元格 2 7 9 4" xfId="13180" xr:uid="{00000000-0005-0000-0000-0000AC330000}"/>
    <cellStyle name="检查单元格 2 7 9 4 2" xfId="33102" xr:uid="{00000000-0005-0000-0000-00007E810000}"/>
    <cellStyle name="检查单元格 2 7 9 5" xfId="130" xr:uid="{00000000-0005-0000-0000-00008C000000}"/>
    <cellStyle name="检查单元格 2 7 9 5 2" xfId="33107" xr:uid="{00000000-0005-0000-0000-000083810000}"/>
    <cellStyle name="检查单元格 2 7 9 6" xfId="8533" xr:uid="{00000000-0005-0000-0000-000085210000}"/>
    <cellStyle name="检查单元格 2 8" xfId="34889" xr:uid="{00000000-0005-0000-0000-000079880000}"/>
    <cellStyle name="检查单元格 2 8 10" xfId="16303" xr:uid="{00000000-0005-0000-0000-0000DF3F0000}"/>
    <cellStyle name="检查单元格 2 8 10 2" xfId="36485" xr:uid="{00000000-0005-0000-0000-0000B58E0000}"/>
    <cellStyle name="检查单元格 2 8 10 2 2" xfId="36486" xr:uid="{00000000-0005-0000-0000-0000B68E0000}"/>
    <cellStyle name="检查单元格 2 8 10 3" xfId="29623" xr:uid="{00000000-0005-0000-0000-0000E7730000}"/>
    <cellStyle name="检查单元格 2 8 10 3 2" xfId="29627" xr:uid="{00000000-0005-0000-0000-0000EB730000}"/>
    <cellStyle name="检查单元格 2 8 10 4" xfId="29630" xr:uid="{00000000-0005-0000-0000-0000EE730000}"/>
    <cellStyle name="检查单元格 2 8 10 4 2" xfId="29633" xr:uid="{00000000-0005-0000-0000-0000F1730000}"/>
    <cellStyle name="检查单元格 2 8 10 5" xfId="29637" xr:uid="{00000000-0005-0000-0000-0000F5730000}"/>
    <cellStyle name="检查单元格 2 8 10 5 2" xfId="29640" xr:uid="{00000000-0005-0000-0000-0000F8730000}"/>
    <cellStyle name="检查单元格 2 8 10 6" xfId="29642" xr:uid="{00000000-0005-0000-0000-0000FA730000}"/>
    <cellStyle name="检查单元格 2 8 11" xfId="23631" xr:uid="{00000000-0005-0000-0000-00007F5C0000}"/>
    <cellStyle name="检查单元格 2 8 11 2" xfId="36488" xr:uid="{00000000-0005-0000-0000-0000B88E0000}"/>
    <cellStyle name="检查单元格 2 8 11 2 2" xfId="36489" xr:uid="{00000000-0005-0000-0000-0000B98E0000}"/>
    <cellStyle name="检查单元格 2 8 11 3" xfId="36490" xr:uid="{00000000-0005-0000-0000-0000BA8E0000}"/>
    <cellStyle name="检查单元格 2 8 11 3 2" xfId="36491" xr:uid="{00000000-0005-0000-0000-0000BB8E0000}"/>
    <cellStyle name="检查单元格 2 8 11 4" xfId="36492" xr:uid="{00000000-0005-0000-0000-0000BC8E0000}"/>
    <cellStyle name="检查单元格 2 8 11 4 2" xfId="36494" xr:uid="{00000000-0005-0000-0000-0000BE8E0000}"/>
    <cellStyle name="检查单元格 2 8 11 5" xfId="36495" xr:uid="{00000000-0005-0000-0000-0000BF8E0000}"/>
    <cellStyle name="检查单元格 2 8 11 5 2" xfId="36496" xr:uid="{00000000-0005-0000-0000-0000C08E0000}"/>
    <cellStyle name="检查单元格 2 8 11 6" xfId="36497" xr:uid="{00000000-0005-0000-0000-0000C18E0000}"/>
    <cellStyle name="检查单元格 2 8 12" xfId="36500" xr:uid="{00000000-0005-0000-0000-0000C48E0000}"/>
    <cellStyle name="检查单元格 2 8 12 2" xfId="36501" xr:uid="{00000000-0005-0000-0000-0000C58E0000}"/>
    <cellStyle name="检查单元格 2 8 12 2 2" xfId="36502" xr:uid="{00000000-0005-0000-0000-0000C68E0000}"/>
    <cellStyle name="检查单元格 2 8 12 3" xfId="36503" xr:uid="{00000000-0005-0000-0000-0000C78E0000}"/>
    <cellStyle name="检查单元格 2 8 12 3 2" xfId="36504" xr:uid="{00000000-0005-0000-0000-0000C88E0000}"/>
    <cellStyle name="检查单元格 2 8 12 4" xfId="36505" xr:uid="{00000000-0005-0000-0000-0000C98E0000}"/>
    <cellStyle name="检查单元格 2 8 12 4 2" xfId="36506" xr:uid="{00000000-0005-0000-0000-0000CA8E0000}"/>
    <cellStyle name="检查单元格 2 8 12 5" xfId="36507" xr:uid="{00000000-0005-0000-0000-0000CB8E0000}"/>
    <cellStyle name="检查单元格 2 8 13" xfId="36508" xr:uid="{00000000-0005-0000-0000-0000CC8E0000}"/>
    <cellStyle name="检查单元格 2 8 13 2" xfId="36509" xr:uid="{00000000-0005-0000-0000-0000CD8E0000}"/>
    <cellStyle name="检查单元格 2 8 14" xfId="36510" xr:uid="{00000000-0005-0000-0000-0000CE8E0000}"/>
    <cellStyle name="检查单元格 2 8 14 2" xfId="36512" xr:uid="{00000000-0005-0000-0000-0000D08E0000}"/>
    <cellStyle name="检查单元格 2 8 15" xfId="10857" xr:uid="{00000000-0005-0000-0000-0000992A0000}"/>
    <cellStyle name="检查单元格 2 8 15 2" xfId="11028" xr:uid="{00000000-0005-0000-0000-0000442B0000}"/>
    <cellStyle name="检查单元格 2 8 16" xfId="11031" xr:uid="{00000000-0005-0000-0000-0000472B0000}"/>
    <cellStyle name="检查单元格 2 8 16 2" xfId="11035" xr:uid="{00000000-0005-0000-0000-00004B2B0000}"/>
    <cellStyle name="检查单元格 2 8 17" xfId="11039" xr:uid="{00000000-0005-0000-0000-00004F2B0000}"/>
    <cellStyle name="检查单元格 2 8 18" xfId="11045" xr:uid="{00000000-0005-0000-0000-0000552B0000}"/>
    <cellStyle name="检查单元格 2 8 19" xfId="11051" xr:uid="{00000000-0005-0000-0000-00005B2B0000}"/>
    <cellStyle name="检查单元格 2 8 2" xfId="17523" xr:uid="{00000000-0005-0000-0000-0000A3440000}"/>
    <cellStyle name="检查单元格 2 8 2 10" xfId="29476" xr:uid="{00000000-0005-0000-0000-000054730000}"/>
    <cellStyle name="检查单元格 2 8 2 11" xfId="22397" xr:uid="{00000000-0005-0000-0000-0000AD570000}"/>
    <cellStyle name="检查单元格 2 8 2 12" xfId="36513" xr:uid="{00000000-0005-0000-0000-0000D18E0000}"/>
    <cellStyle name="检查单元格 2 8 2 13" xfId="36515" xr:uid="{00000000-0005-0000-0000-0000D38E0000}"/>
    <cellStyle name="检查单元格 2 8 2 2" xfId="17525" xr:uid="{00000000-0005-0000-0000-0000A5440000}"/>
    <cellStyle name="检查单元格 2 8 2 2 2" xfId="36517" xr:uid="{00000000-0005-0000-0000-0000D58E0000}"/>
    <cellStyle name="检查单元格 2 8 2 2 2 2" xfId="36518" xr:uid="{00000000-0005-0000-0000-0000D68E0000}"/>
    <cellStyle name="检查单元格 2 8 2 2 3" xfId="35235" xr:uid="{00000000-0005-0000-0000-0000D3890000}"/>
    <cellStyle name="检查单元格 2 8 2 2 3 2" xfId="36520" xr:uid="{00000000-0005-0000-0000-0000D88E0000}"/>
    <cellStyle name="检查单元格 2 8 2 2 4" xfId="36521" xr:uid="{00000000-0005-0000-0000-0000D98E0000}"/>
    <cellStyle name="检查单元格 2 8 2 2 4 2" xfId="36523" xr:uid="{00000000-0005-0000-0000-0000DB8E0000}"/>
    <cellStyle name="检查单元格 2 8 2 2 5" xfId="36524" xr:uid="{00000000-0005-0000-0000-0000DC8E0000}"/>
    <cellStyle name="检查单元格 2 8 2 2 5 2" xfId="36525" xr:uid="{00000000-0005-0000-0000-0000DD8E0000}"/>
    <cellStyle name="检查单元格 2 8 2 2 6" xfId="36526" xr:uid="{00000000-0005-0000-0000-0000DE8E0000}"/>
    <cellStyle name="检查单元格 2 8 2 2 7" xfId="26169" xr:uid="{00000000-0005-0000-0000-000069660000}"/>
    <cellStyle name="检查单元格 2 8 2 2 8" xfId="36527" xr:uid="{00000000-0005-0000-0000-0000DF8E0000}"/>
    <cellStyle name="检查单元格 2 8 2 2 9" xfId="36528" xr:uid="{00000000-0005-0000-0000-0000E08E0000}"/>
    <cellStyle name="检查单元格 2 8 2 3" xfId="26477" xr:uid="{00000000-0005-0000-0000-00009D670000}"/>
    <cellStyle name="检查单元格 2 8 2 3 2" xfId="36529" xr:uid="{00000000-0005-0000-0000-0000E18E0000}"/>
    <cellStyle name="检查单元格 2 8 2 3 2 2" xfId="36531" xr:uid="{00000000-0005-0000-0000-0000E38E0000}"/>
    <cellStyle name="检查单元格 2 8 2 3 3" xfId="35237" xr:uid="{00000000-0005-0000-0000-0000D5890000}"/>
    <cellStyle name="检查单元格 2 8 2 3 3 2" xfId="36534" xr:uid="{00000000-0005-0000-0000-0000E68E0000}"/>
    <cellStyle name="检查单元格 2 8 2 3 4" xfId="36536" xr:uid="{00000000-0005-0000-0000-0000E88E0000}"/>
    <cellStyle name="检查单元格 2 8 2 3 4 2" xfId="36540" xr:uid="{00000000-0005-0000-0000-0000EC8E0000}"/>
    <cellStyle name="检查单元格 2 8 2 3 5" xfId="36543" xr:uid="{00000000-0005-0000-0000-0000EF8E0000}"/>
    <cellStyle name="检查单元格 2 8 2 3 5 2" xfId="36545" xr:uid="{00000000-0005-0000-0000-0000F18E0000}"/>
    <cellStyle name="检查单元格 2 8 2 3 6" xfId="36548" xr:uid="{00000000-0005-0000-0000-0000F48E0000}"/>
    <cellStyle name="检查单元格 2 8 2 4" xfId="31804" xr:uid="{00000000-0005-0000-0000-00006C7C0000}"/>
    <cellStyle name="检查单元格 2 8 2 4 2" xfId="36550" xr:uid="{00000000-0005-0000-0000-0000F68E0000}"/>
    <cellStyle name="检查单元格 2 8 2 4 2 2" xfId="36552" xr:uid="{00000000-0005-0000-0000-0000F88E0000}"/>
    <cellStyle name="检查单元格 2 8 2 4 3" xfId="35241" xr:uid="{00000000-0005-0000-0000-0000D9890000}"/>
    <cellStyle name="检查单元格 2 8 2 4 3 2" xfId="36553" xr:uid="{00000000-0005-0000-0000-0000F98E0000}"/>
    <cellStyle name="检查单元格 2 8 2 4 4" xfId="36555" xr:uid="{00000000-0005-0000-0000-0000FB8E0000}"/>
    <cellStyle name="检查单元格 2 8 2 4 4 2" xfId="36556" xr:uid="{00000000-0005-0000-0000-0000FC8E0000}"/>
    <cellStyle name="检查单元格 2 8 2 4 5" xfId="36558" xr:uid="{00000000-0005-0000-0000-0000FE8E0000}"/>
    <cellStyle name="检查单元格 2 8 2 4 5 2" xfId="36559" xr:uid="{00000000-0005-0000-0000-0000FF8E0000}"/>
    <cellStyle name="检查单元格 2 8 2 4 6" xfId="24205" xr:uid="{00000000-0005-0000-0000-0000BD5E0000}"/>
    <cellStyle name="检查单元格 2 8 2 5" xfId="36563" xr:uid="{00000000-0005-0000-0000-0000038F0000}"/>
    <cellStyle name="检查单元格 2 8 2 5 2" xfId="23728" xr:uid="{00000000-0005-0000-0000-0000E05C0000}"/>
    <cellStyle name="检查单元格 2 8 2 5 2 2" xfId="23731" xr:uid="{00000000-0005-0000-0000-0000E35C0000}"/>
    <cellStyle name="检查单元格 2 8 2 5 3" xfId="23742" xr:uid="{00000000-0005-0000-0000-0000EE5C0000}"/>
    <cellStyle name="检查单元格 2 8 2 5 3 2" xfId="23745" xr:uid="{00000000-0005-0000-0000-0000F15C0000}"/>
    <cellStyle name="检查单元格 2 8 2 5 4" xfId="6161" xr:uid="{00000000-0005-0000-0000-000041180000}"/>
    <cellStyle name="检查单元格 2 8 2 5 4 2" xfId="36564" xr:uid="{00000000-0005-0000-0000-0000048F0000}"/>
    <cellStyle name="检查单元格 2 8 2 5 5" xfId="23917" xr:uid="{00000000-0005-0000-0000-00009D5D0000}"/>
    <cellStyle name="检查单元格 2 8 2 6" xfId="1677" xr:uid="{00000000-0005-0000-0000-0000BD060000}"/>
    <cellStyle name="检查单元格 2 8 2 6 2" xfId="36566" xr:uid="{00000000-0005-0000-0000-0000068F0000}"/>
    <cellStyle name="检查单元格 2 8 2 7" xfId="1707" xr:uid="{00000000-0005-0000-0000-0000DB060000}"/>
    <cellStyle name="检查单元格 2 8 2 7 2" xfId="18880" xr:uid="{00000000-0005-0000-0000-0000F0490000}"/>
    <cellStyle name="检查单元格 2 8 2 8" xfId="1726" xr:uid="{00000000-0005-0000-0000-0000EE060000}"/>
    <cellStyle name="检查单元格 2 8 2 8 2" xfId="18886" xr:uid="{00000000-0005-0000-0000-0000F6490000}"/>
    <cellStyle name="检查单元格 2 8 2 9" xfId="1749" xr:uid="{00000000-0005-0000-0000-000005070000}"/>
    <cellStyle name="检查单元格 2 8 2 9 2" xfId="18888" xr:uid="{00000000-0005-0000-0000-0000F8490000}"/>
    <cellStyle name="检查单元格 2 8 20" xfId="10856" xr:uid="{00000000-0005-0000-0000-0000982A0000}"/>
    <cellStyle name="检查单元格 2 8 3" xfId="17527" xr:uid="{00000000-0005-0000-0000-0000A7440000}"/>
    <cellStyle name="检查单元格 2 8 3 10" xfId="32818" xr:uid="{00000000-0005-0000-0000-000062800000}"/>
    <cellStyle name="检查单元格 2 8 3 11" xfId="32824" xr:uid="{00000000-0005-0000-0000-000068800000}"/>
    <cellStyle name="检查单元格 2 8 3 12" xfId="31857" xr:uid="{00000000-0005-0000-0000-0000A17C0000}"/>
    <cellStyle name="检查单元格 2 8 3 13" xfId="23323" xr:uid="{00000000-0005-0000-0000-00004B5B0000}"/>
    <cellStyle name="检查单元格 2 8 3 2" xfId="11089" xr:uid="{00000000-0005-0000-0000-0000812B0000}"/>
    <cellStyle name="检查单元格 2 8 3 2 2" xfId="36567" xr:uid="{00000000-0005-0000-0000-0000078F0000}"/>
    <cellStyle name="检查单元格 2 8 3 2 2 2" xfId="36570" xr:uid="{00000000-0005-0000-0000-00000A8F0000}"/>
    <cellStyle name="检查单元格 2 8 3 2 3" xfId="35248" xr:uid="{00000000-0005-0000-0000-0000E0890000}"/>
    <cellStyle name="检查单元格 2 8 3 2 3 2" xfId="36572" xr:uid="{00000000-0005-0000-0000-00000C8F0000}"/>
    <cellStyle name="检查单元格 2 8 3 2 4" xfId="36573" xr:uid="{00000000-0005-0000-0000-00000D8F0000}"/>
    <cellStyle name="检查单元格 2 8 3 2 4 2" xfId="36575" xr:uid="{00000000-0005-0000-0000-00000F8F0000}"/>
    <cellStyle name="检查单元格 2 8 3 2 5" xfId="36576" xr:uid="{00000000-0005-0000-0000-0000108F0000}"/>
    <cellStyle name="检查单元格 2 8 3 2 5 2" xfId="36577" xr:uid="{00000000-0005-0000-0000-0000118F0000}"/>
    <cellStyle name="检查单元格 2 8 3 2 6" xfId="36578" xr:uid="{00000000-0005-0000-0000-0000128F0000}"/>
    <cellStyle name="检查单元格 2 8 3 2 7" xfId="36579" xr:uid="{00000000-0005-0000-0000-0000138F0000}"/>
    <cellStyle name="检查单元格 2 8 3 2 8" xfId="36580" xr:uid="{00000000-0005-0000-0000-0000148F0000}"/>
    <cellStyle name="检查单元格 2 8 3 2 9" xfId="36581" xr:uid="{00000000-0005-0000-0000-0000158F0000}"/>
    <cellStyle name="检查单元格 2 8 3 3" xfId="11096" xr:uid="{00000000-0005-0000-0000-0000882B0000}"/>
    <cellStyle name="检查单元格 2 8 3 3 2" xfId="36582" xr:uid="{00000000-0005-0000-0000-0000168F0000}"/>
    <cellStyle name="检查单元格 2 8 3 3 2 2" xfId="36584" xr:uid="{00000000-0005-0000-0000-0000188F0000}"/>
    <cellStyle name="检查单元格 2 8 3 3 3" xfId="35250" xr:uid="{00000000-0005-0000-0000-0000E2890000}"/>
    <cellStyle name="检查单元格 2 8 3 3 3 2" xfId="36586" xr:uid="{00000000-0005-0000-0000-00001A8F0000}"/>
    <cellStyle name="检查单元格 2 8 3 3 4" xfId="36588" xr:uid="{00000000-0005-0000-0000-00001C8F0000}"/>
    <cellStyle name="检查单元格 2 8 3 3 4 2" xfId="36592" xr:uid="{00000000-0005-0000-0000-0000208F0000}"/>
    <cellStyle name="检查单元格 2 8 3 3 5" xfId="36595" xr:uid="{00000000-0005-0000-0000-0000238F0000}"/>
    <cellStyle name="检查单元格 2 8 3 3 5 2" xfId="36597" xr:uid="{00000000-0005-0000-0000-0000258F0000}"/>
    <cellStyle name="检查单元格 2 8 3 3 6" xfId="36600" xr:uid="{00000000-0005-0000-0000-0000288F0000}"/>
    <cellStyle name="检查单元格 2 8 3 4" xfId="31811" xr:uid="{00000000-0005-0000-0000-0000737C0000}"/>
    <cellStyle name="检查单元格 2 8 3 4 2" xfId="36602" xr:uid="{00000000-0005-0000-0000-00002A8F0000}"/>
    <cellStyle name="检查单元格 2 8 3 4 2 2" xfId="36603" xr:uid="{00000000-0005-0000-0000-00002B8F0000}"/>
    <cellStyle name="检查单元格 2 8 3 4 3" xfId="35254" xr:uid="{00000000-0005-0000-0000-0000E6890000}"/>
    <cellStyle name="检查单元格 2 8 3 4 3 2" xfId="36604" xr:uid="{00000000-0005-0000-0000-00002C8F0000}"/>
    <cellStyle name="检查单元格 2 8 3 4 4" xfId="36606" xr:uid="{00000000-0005-0000-0000-00002E8F0000}"/>
    <cellStyle name="检查单元格 2 8 3 4 4 2" xfId="36607" xr:uid="{00000000-0005-0000-0000-00002F8F0000}"/>
    <cellStyle name="检查单元格 2 8 3 4 5" xfId="36609" xr:uid="{00000000-0005-0000-0000-0000318F0000}"/>
    <cellStyle name="检查单元格 2 8 3 4 5 2" xfId="36610" xr:uid="{00000000-0005-0000-0000-0000328F0000}"/>
    <cellStyle name="检查单元格 2 8 3 4 6" xfId="36612" xr:uid="{00000000-0005-0000-0000-0000348F0000}"/>
    <cellStyle name="检查单元格 2 8 3 5" xfId="36615" xr:uid="{00000000-0005-0000-0000-0000378F0000}"/>
    <cellStyle name="检查单元格 2 8 3 5 2" xfId="36616" xr:uid="{00000000-0005-0000-0000-0000388F0000}"/>
    <cellStyle name="检查单元格 2 8 3 5 2 2" xfId="36617" xr:uid="{00000000-0005-0000-0000-0000398F0000}"/>
    <cellStyle name="检查单元格 2 8 3 5 3" xfId="35257" xr:uid="{00000000-0005-0000-0000-0000E9890000}"/>
    <cellStyle name="检查单元格 2 8 3 5 3 2" xfId="31148" xr:uid="{00000000-0005-0000-0000-0000DC790000}"/>
    <cellStyle name="检查单元格 2 8 3 5 4" xfId="36619" xr:uid="{00000000-0005-0000-0000-00003B8F0000}"/>
    <cellStyle name="检查单元格 2 8 3 5 4 2" xfId="36620" xr:uid="{00000000-0005-0000-0000-00003C8F0000}"/>
    <cellStyle name="检查单元格 2 8 3 5 5" xfId="36622" xr:uid="{00000000-0005-0000-0000-00003E8F0000}"/>
    <cellStyle name="检查单元格 2 8 3 6" xfId="36625" xr:uid="{00000000-0005-0000-0000-0000418F0000}"/>
    <cellStyle name="检查单元格 2 8 3 6 2" xfId="36626" xr:uid="{00000000-0005-0000-0000-0000428F0000}"/>
    <cellStyle name="检查单元格 2 8 3 7" xfId="18893" xr:uid="{00000000-0005-0000-0000-0000FD490000}"/>
    <cellStyle name="检查单元格 2 8 3 7 2" xfId="18897" xr:uid="{00000000-0005-0000-0000-0000014A0000}"/>
    <cellStyle name="检查单元格 2 8 3 8" xfId="18900" xr:uid="{00000000-0005-0000-0000-0000044A0000}"/>
    <cellStyle name="检查单元格 2 8 3 8 2" xfId="18905" xr:uid="{00000000-0005-0000-0000-0000094A0000}"/>
    <cellStyle name="检查单元格 2 8 3 9" xfId="18908" xr:uid="{00000000-0005-0000-0000-00000C4A0000}"/>
    <cellStyle name="检查单元格 2 8 3 9 2" xfId="18910" xr:uid="{00000000-0005-0000-0000-00000E4A0000}"/>
    <cellStyle name="检查单元格 2 8 4" xfId="17531" xr:uid="{00000000-0005-0000-0000-0000AB440000}"/>
    <cellStyle name="检查单元格 2 8 4 10" xfId="32876" xr:uid="{00000000-0005-0000-0000-00009C800000}"/>
    <cellStyle name="检查单元格 2 8 4 11" xfId="16146" xr:uid="{00000000-0005-0000-0000-0000423F0000}"/>
    <cellStyle name="检查单元格 2 8 4 12" xfId="36627" xr:uid="{00000000-0005-0000-0000-0000438F0000}"/>
    <cellStyle name="检查单元格 2 8 4 13" xfId="36628" xr:uid="{00000000-0005-0000-0000-0000448F0000}"/>
    <cellStyle name="检查单元格 2 8 4 2" xfId="17534" xr:uid="{00000000-0005-0000-0000-0000AE440000}"/>
    <cellStyle name="检查单元格 2 8 4 2 2" xfId="36629" xr:uid="{00000000-0005-0000-0000-0000458F0000}"/>
    <cellStyle name="检查单元格 2 8 4 2 2 2" xfId="36630" xr:uid="{00000000-0005-0000-0000-0000468F0000}"/>
    <cellStyle name="检查单元格 2 8 4 2 3" xfId="35259" xr:uid="{00000000-0005-0000-0000-0000EB890000}"/>
    <cellStyle name="检查单元格 2 8 4 2 3 2" xfId="36632" xr:uid="{00000000-0005-0000-0000-0000488F0000}"/>
    <cellStyle name="检查单元格 2 8 4 2 4" xfId="36633" xr:uid="{00000000-0005-0000-0000-0000498F0000}"/>
    <cellStyle name="检查单元格 2 8 4 2 4 2" xfId="36635" xr:uid="{00000000-0005-0000-0000-00004B8F0000}"/>
    <cellStyle name="检查单元格 2 8 4 2 5" xfId="36636" xr:uid="{00000000-0005-0000-0000-00004C8F0000}"/>
    <cellStyle name="检查单元格 2 8 4 2 5 2" xfId="36637" xr:uid="{00000000-0005-0000-0000-00004D8F0000}"/>
    <cellStyle name="检查单元格 2 8 4 2 6" xfId="32049" xr:uid="{00000000-0005-0000-0000-0000617D0000}"/>
    <cellStyle name="检查单元格 2 8 4 2 7" xfId="36638" xr:uid="{00000000-0005-0000-0000-00004E8F0000}"/>
    <cellStyle name="检查单元格 2 8 4 2 8" xfId="36639" xr:uid="{00000000-0005-0000-0000-00004F8F0000}"/>
    <cellStyle name="检查单元格 2 8 4 2 9" xfId="36640" xr:uid="{00000000-0005-0000-0000-0000508F0000}"/>
    <cellStyle name="检查单元格 2 8 4 3" xfId="26483" xr:uid="{00000000-0005-0000-0000-0000A3670000}"/>
    <cellStyle name="检查单元格 2 8 4 3 2" xfId="36641" xr:uid="{00000000-0005-0000-0000-0000518F0000}"/>
    <cellStyle name="检查单元格 2 8 4 3 2 2" xfId="4161" xr:uid="{00000000-0005-0000-0000-000071100000}"/>
    <cellStyle name="检查单元格 2 8 4 3 3" xfId="35262" xr:uid="{00000000-0005-0000-0000-0000EE890000}"/>
    <cellStyle name="检查单元格 2 8 4 3 3 2" xfId="4236" xr:uid="{00000000-0005-0000-0000-0000BC100000}"/>
    <cellStyle name="检查单元格 2 8 4 3 4" xfId="36643" xr:uid="{00000000-0005-0000-0000-0000538F0000}"/>
    <cellStyle name="检查单元格 2 8 4 3 4 2" xfId="1846" xr:uid="{00000000-0005-0000-0000-000066070000}"/>
    <cellStyle name="检查单元格 2 8 4 3 5" xfId="36646" xr:uid="{00000000-0005-0000-0000-0000568F0000}"/>
    <cellStyle name="检查单元格 2 8 4 3 5 2" xfId="4276" xr:uid="{00000000-0005-0000-0000-0000E4100000}"/>
    <cellStyle name="检查单元格 2 8 4 3 6" xfId="32053" xr:uid="{00000000-0005-0000-0000-0000657D0000}"/>
    <cellStyle name="检查单元格 2 8 4 4" xfId="36647" xr:uid="{00000000-0005-0000-0000-0000578F0000}"/>
    <cellStyle name="检查单元格 2 8 4 4 2" xfId="36648" xr:uid="{00000000-0005-0000-0000-0000588F0000}"/>
    <cellStyle name="检查单元格 2 8 4 4 2 2" xfId="6200" xr:uid="{00000000-0005-0000-0000-000068180000}"/>
    <cellStyle name="检查单元格 2 8 4 4 3" xfId="35266" xr:uid="{00000000-0005-0000-0000-0000F2890000}"/>
    <cellStyle name="检查单元格 2 8 4 4 3 2" xfId="8308" xr:uid="{00000000-0005-0000-0000-0000A4200000}"/>
    <cellStyle name="检查单元格 2 8 4 4 4" xfId="36649" xr:uid="{00000000-0005-0000-0000-0000598F0000}"/>
    <cellStyle name="检查单元格 2 8 4 4 4 2" xfId="8594" xr:uid="{00000000-0005-0000-0000-0000C2210000}"/>
    <cellStyle name="检查单元格 2 8 4 4 5" xfId="36650" xr:uid="{00000000-0005-0000-0000-00005A8F0000}"/>
    <cellStyle name="检查单元格 2 8 4 4 5 2" xfId="8777" xr:uid="{00000000-0005-0000-0000-000079220000}"/>
    <cellStyle name="检查单元格 2 8 4 4 6" xfId="36651" xr:uid="{00000000-0005-0000-0000-00005B8F0000}"/>
    <cellStyle name="检查单元格 2 8 4 5" xfId="29093" xr:uid="{00000000-0005-0000-0000-0000D5710000}"/>
    <cellStyle name="检查单元格 2 8 4 5 2" xfId="36652" xr:uid="{00000000-0005-0000-0000-00005C8F0000}"/>
    <cellStyle name="检查单元格 2 8 4 5 2 2" xfId="10281" xr:uid="{00000000-0005-0000-0000-000059280000}"/>
    <cellStyle name="检查单元格 2 8 4 5 3" xfId="35268" xr:uid="{00000000-0005-0000-0000-0000F4890000}"/>
    <cellStyle name="检查单元格 2 8 4 5 3 2" xfId="10649" xr:uid="{00000000-0005-0000-0000-0000C9290000}"/>
    <cellStyle name="检查单元格 2 8 4 5 4" xfId="36654" xr:uid="{00000000-0005-0000-0000-00005E8F0000}"/>
    <cellStyle name="检查单元格 2 8 4 5 4 2" xfId="6432" xr:uid="{00000000-0005-0000-0000-000050190000}"/>
    <cellStyle name="检查单元格 2 8 4 5 5" xfId="36655" xr:uid="{00000000-0005-0000-0000-00005F8F0000}"/>
    <cellStyle name="检查单元格 2 8 4 6" xfId="36659" xr:uid="{00000000-0005-0000-0000-0000638F0000}"/>
    <cellStyle name="检查单元格 2 8 4 6 2" xfId="36664" xr:uid="{00000000-0005-0000-0000-0000688F0000}"/>
    <cellStyle name="检查单元格 2 8 4 7" xfId="18919" xr:uid="{00000000-0005-0000-0000-0000174A0000}"/>
    <cellStyle name="检查单元格 2 8 4 7 2" xfId="18923" xr:uid="{00000000-0005-0000-0000-00001B4A0000}"/>
    <cellStyle name="检查单元格 2 8 4 8" xfId="18927" xr:uid="{00000000-0005-0000-0000-00001F4A0000}"/>
    <cellStyle name="检查单元格 2 8 4 8 2" xfId="18929" xr:uid="{00000000-0005-0000-0000-0000214A0000}"/>
    <cellStyle name="检查单元格 2 8 4 9" xfId="18932" xr:uid="{00000000-0005-0000-0000-0000244A0000}"/>
    <cellStyle name="检查单元格 2 8 4 9 2" xfId="18934" xr:uid="{00000000-0005-0000-0000-0000264A0000}"/>
    <cellStyle name="检查单元格 2 8 5" xfId="15373" xr:uid="{00000000-0005-0000-0000-00003D3C0000}"/>
    <cellStyle name="检查单元格 2 8 5 10" xfId="36665" xr:uid="{00000000-0005-0000-0000-0000698F0000}"/>
    <cellStyle name="检查单元格 2 8 5 11" xfId="10401" xr:uid="{00000000-0005-0000-0000-0000D1280000}"/>
    <cellStyle name="检查单元格 2 8 5 12" xfId="36667" xr:uid="{00000000-0005-0000-0000-00006B8F0000}"/>
    <cellStyle name="检查单元格 2 8 5 13" xfId="36668" xr:uid="{00000000-0005-0000-0000-00006C8F0000}"/>
    <cellStyle name="检查单元格 2 8 5 2" xfId="36670" xr:uid="{00000000-0005-0000-0000-00006E8F0000}"/>
    <cellStyle name="检查单元格 2 8 5 2 2" xfId="36671" xr:uid="{00000000-0005-0000-0000-00006F8F0000}"/>
    <cellStyle name="检查单元格 2 8 5 2 2 2" xfId="36672" xr:uid="{00000000-0005-0000-0000-0000708F0000}"/>
    <cellStyle name="检查单元格 2 8 5 2 3" xfId="35270" xr:uid="{00000000-0005-0000-0000-0000F6890000}"/>
    <cellStyle name="检查单元格 2 8 5 2 3 2" xfId="36673" xr:uid="{00000000-0005-0000-0000-0000718F0000}"/>
    <cellStyle name="检查单元格 2 8 5 2 4" xfId="36674" xr:uid="{00000000-0005-0000-0000-0000728F0000}"/>
    <cellStyle name="检查单元格 2 8 5 2 4 2" xfId="36676" xr:uid="{00000000-0005-0000-0000-0000748F0000}"/>
    <cellStyle name="检查单元格 2 8 5 2 5" xfId="36677" xr:uid="{00000000-0005-0000-0000-0000758F0000}"/>
    <cellStyle name="检查单元格 2 8 5 2 5 2" xfId="36678" xr:uid="{00000000-0005-0000-0000-0000768F0000}"/>
    <cellStyle name="检查单元格 2 8 5 2 6" xfId="32064" xr:uid="{00000000-0005-0000-0000-0000707D0000}"/>
    <cellStyle name="检查单元格 2 8 5 2 7" xfId="36679" xr:uid="{00000000-0005-0000-0000-0000778F0000}"/>
    <cellStyle name="检查单元格 2 8 5 2 8" xfId="36680" xr:uid="{00000000-0005-0000-0000-0000788F0000}"/>
    <cellStyle name="检查单元格 2 8 5 2 9" xfId="36681" xr:uid="{00000000-0005-0000-0000-0000798F0000}"/>
    <cellStyle name="检查单元格 2 8 5 3" xfId="36682" xr:uid="{00000000-0005-0000-0000-00007A8F0000}"/>
    <cellStyle name="检查单元格 2 8 5 3 2" xfId="36683" xr:uid="{00000000-0005-0000-0000-00007B8F0000}"/>
    <cellStyle name="检查单元格 2 8 5 3 2 2" xfId="36684" xr:uid="{00000000-0005-0000-0000-00007C8F0000}"/>
    <cellStyle name="检查单元格 2 8 5 3 3" xfId="35273" xr:uid="{00000000-0005-0000-0000-0000F9890000}"/>
    <cellStyle name="检查单元格 2 8 5 3 3 2" xfId="36686" xr:uid="{00000000-0005-0000-0000-00007E8F0000}"/>
    <cellStyle name="检查单元格 2 8 5 3 4" xfId="36687" xr:uid="{00000000-0005-0000-0000-00007F8F0000}"/>
    <cellStyle name="检查单元格 2 8 5 3 4 2" xfId="36689" xr:uid="{00000000-0005-0000-0000-0000818F0000}"/>
    <cellStyle name="检查单元格 2 8 5 3 5" xfId="36690" xr:uid="{00000000-0005-0000-0000-0000828F0000}"/>
    <cellStyle name="检查单元格 2 8 5 3 5 2" xfId="36691" xr:uid="{00000000-0005-0000-0000-0000838F0000}"/>
    <cellStyle name="检查单元格 2 8 5 3 6" xfId="32068" xr:uid="{00000000-0005-0000-0000-0000747D0000}"/>
    <cellStyle name="检查单元格 2 8 5 4" xfId="36692" xr:uid="{00000000-0005-0000-0000-0000848F0000}"/>
    <cellStyle name="检查单元格 2 8 5 4 2" xfId="36693" xr:uid="{00000000-0005-0000-0000-0000858F0000}"/>
    <cellStyle name="检查单元格 2 8 5 4 2 2" xfId="36695" xr:uid="{00000000-0005-0000-0000-0000878F0000}"/>
    <cellStyle name="检查单元格 2 8 5 4 3" xfId="35276" xr:uid="{00000000-0005-0000-0000-0000FC890000}"/>
    <cellStyle name="检查单元格 2 8 5 4 3 2" xfId="36696" xr:uid="{00000000-0005-0000-0000-0000888F0000}"/>
    <cellStyle name="检查单元格 2 8 5 4 4" xfId="36697" xr:uid="{00000000-0005-0000-0000-0000898F0000}"/>
    <cellStyle name="检查单元格 2 8 5 4 4 2" xfId="36699" xr:uid="{00000000-0005-0000-0000-00008B8F0000}"/>
    <cellStyle name="检查单元格 2 8 5 4 5" xfId="36700" xr:uid="{00000000-0005-0000-0000-00008C8F0000}"/>
    <cellStyle name="检查单元格 2 8 5 4 5 2" xfId="36702" xr:uid="{00000000-0005-0000-0000-00008E8F0000}"/>
    <cellStyle name="检查单元格 2 8 5 4 6" xfId="36703" xr:uid="{00000000-0005-0000-0000-00008F8F0000}"/>
    <cellStyle name="检查单元格 2 8 5 5" xfId="29098" xr:uid="{00000000-0005-0000-0000-0000DA710000}"/>
    <cellStyle name="检查单元格 2 8 5 5 2" xfId="36704" xr:uid="{00000000-0005-0000-0000-0000908F0000}"/>
    <cellStyle name="检查单元格 2 8 5 5 2 2" xfId="36705" xr:uid="{00000000-0005-0000-0000-0000918F0000}"/>
    <cellStyle name="检查单元格 2 8 5 5 3" xfId="36706" xr:uid="{00000000-0005-0000-0000-0000928F0000}"/>
    <cellStyle name="检查单元格 2 8 5 5 3 2" xfId="36707" xr:uid="{00000000-0005-0000-0000-0000938F0000}"/>
    <cellStyle name="检查单元格 2 8 5 5 4" xfId="36709" xr:uid="{00000000-0005-0000-0000-0000958F0000}"/>
    <cellStyle name="检查单元格 2 8 5 5 4 2" xfId="36710" xr:uid="{00000000-0005-0000-0000-0000968F0000}"/>
    <cellStyle name="检查单元格 2 8 5 5 5" xfId="36711" xr:uid="{00000000-0005-0000-0000-0000978F0000}"/>
    <cellStyle name="检查单元格 2 8 5 6" xfId="36714" xr:uid="{00000000-0005-0000-0000-00009A8F0000}"/>
    <cellStyle name="检查单元格 2 8 5 6 2" xfId="36715" xr:uid="{00000000-0005-0000-0000-00009B8F0000}"/>
    <cellStyle name="检查单元格 2 8 5 7" xfId="18938" xr:uid="{00000000-0005-0000-0000-00002A4A0000}"/>
    <cellStyle name="检查单元格 2 8 5 7 2" xfId="36716" xr:uid="{00000000-0005-0000-0000-00009C8F0000}"/>
    <cellStyle name="检查单元格 2 8 5 8" xfId="5420" xr:uid="{00000000-0005-0000-0000-00005C150000}"/>
    <cellStyle name="检查单元格 2 8 5 8 2" xfId="36717" xr:uid="{00000000-0005-0000-0000-00009D8F0000}"/>
    <cellStyle name="检查单元格 2 8 5 9" xfId="36718" xr:uid="{00000000-0005-0000-0000-00009E8F0000}"/>
    <cellStyle name="检查单元格 2 8 5 9 2" xfId="36719" xr:uid="{00000000-0005-0000-0000-00009F8F0000}"/>
    <cellStyle name="检查单元格 2 8 6" xfId="36722" xr:uid="{00000000-0005-0000-0000-0000A28F0000}"/>
    <cellStyle name="检查单元格 2 8 6 10" xfId="36723" xr:uid="{00000000-0005-0000-0000-0000A38F0000}"/>
    <cellStyle name="检查单元格 2 8 6 11" xfId="36725" xr:uid="{00000000-0005-0000-0000-0000A58F0000}"/>
    <cellStyle name="检查单元格 2 8 6 12" xfId="36727" xr:uid="{00000000-0005-0000-0000-0000A78F0000}"/>
    <cellStyle name="检查单元格 2 8 6 13" xfId="36730" xr:uid="{00000000-0005-0000-0000-0000AA8F0000}"/>
    <cellStyle name="检查单元格 2 8 6 2" xfId="36733" xr:uid="{00000000-0005-0000-0000-0000AD8F0000}"/>
    <cellStyle name="检查单元格 2 8 6 2 2" xfId="36734" xr:uid="{00000000-0005-0000-0000-0000AE8F0000}"/>
    <cellStyle name="检查单元格 2 8 6 2 2 2" xfId="36735" xr:uid="{00000000-0005-0000-0000-0000AF8F0000}"/>
    <cellStyle name="检查单元格 2 8 6 2 3" xfId="36736" xr:uid="{00000000-0005-0000-0000-0000B08F0000}"/>
    <cellStyle name="检查单元格 2 8 6 2 3 2" xfId="36738" xr:uid="{00000000-0005-0000-0000-0000B28F0000}"/>
    <cellStyle name="检查单元格 2 8 6 2 4" xfId="36739" xr:uid="{00000000-0005-0000-0000-0000B38F0000}"/>
    <cellStyle name="检查单元格 2 8 6 2 4 2" xfId="36741" xr:uid="{00000000-0005-0000-0000-0000B58F0000}"/>
    <cellStyle name="检查单元格 2 8 6 2 5" xfId="36742" xr:uid="{00000000-0005-0000-0000-0000B68F0000}"/>
    <cellStyle name="检查单元格 2 8 6 2 5 2" xfId="36743" xr:uid="{00000000-0005-0000-0000-0000B78F0000}"/>
    <cellStyle name="检查单元格 2 8 6 2 6" xfId="32079" xr:uid="{00000000-0005-0000-0000-00007F7D0000}"/>
    <cellStyle name="检查单元格 2 8 6 2 7" xfId="36744" xr:uid="{00000000-0005-0000-0000-0000B88F0000}"/>
    <cellStyle name="检查单元格 2 8 6 2 8" xfId="36745" xr:uid="{00000000-0005-0000-0000-0000B98F0000}"/>
    <cellStyle name="检查单元格 2 8 6 2 9" xfId="36746" xr:uid="{00000000-0005-0000-0000-0000BA8F0000}"/>
    <cellStyle name="检查单元格 2 8 6 3" xfId="36747" xr:uid="{00000000-0005-0000-0000-0000BB8F0000}"/>
    <cellStyle name="检查单元格 2 8 6 3 2" xfId="36748" xr:uid="{00000000-0005-0000-0000-0000BC8F0000}"/>
    <cellStyle name="检查单元格 2 8 6 3 2 2" xfId="36749" xr:uid="{00000000-0005-0000-0000-0000BD8F0000}"/>
    <cellStyle name="检查单元格 2 8 6 3 3" xfId="36751" xr:uid="{00000000-0005-0000-0000-0000BF8F0000}"/>
    <cellStyle name="检查单元格 2 8 6 3 3 2" xfId="36754" xr:uid="{00000000-0005-0000-0000-0000C28F0000}"/>
    <cellStyle name="检查单元格 2 8 6 3 4" xfId="36755" xr:uid="{00000000-0005-0000-0000-0000C38F0000}"/>
    <cellStyle name="检查单元格 2 8 6 3 4 2" xfId="36758" xr:uid="{00000000-0005-0000-0000-0000C68F0000}"/>
    <cellStyle name="检查单元格 2 8 6 3 5" xfId="36759" xr:uid="{00000000-0005-0000-0000-0000C78F0000}"/>
    <cellStyle name="检查单元格 2 8 6 3 5 2" xfId="36761" xr:uid="{00000000-0005-0000-0000-0000C98F0000}"/>
    <cellStyle name="检查单元格 2 8 6 3 6" xfId="32083" xr:uid="{00000000-0005-0000-0000-0000837D0000}"/>
    <cellStyle name="检查单元格 2 8 6 4" xfId="36762" xr:uid="{00000000-0005-0000-0000-0000CA8F0000}"/>
    <cellStyle name="检查单元格 2 8 6 4 2" xfId="36763" xr:uid="{00000000-0005-0000-0000-0000CB8F0000}"/>
    <cellStyle name="检查单元格 2 8 6 4 2 2" xfId="36765" xr:uid="{00000000-0005-0000-0000-0000CD8F0000}"/>
    <cellStyle name="检查单元格 2 8 6 4 3" xfId="36766" xr:uid="{00000000-0005-0000-0000-0000CE8F0000}"/>
    <cellStyle name="检查单元格 2 8 6 4 3 2" xfId="36770" xr:uid="{00000000-0005-0000-0000-0000D28F0000}"/>
    <cellStyle name="检查单元格 2 8 6 4 4" xfId="12437" xr:uid="{00000000-0005-0000-0000-0000C5300000}"/>
    <cellStyle name="检查单元格 2 8 6 4 4 2" xfId="12444" xr:uid="{00000000-0005-0000-0000-0000CC300000}"/>
    <cellStyle name="检查单元格 2 8 6 4 5" xfId="12458" xr:uid="{00000000-0005-0000-0000-0000DA300000}"/>
    <cellStyle name="检查单元格 2 8 6 4 5 2" xfId="12469" xr:uid="{00000000-0005-0000-0000-0000E5300000}"/>
    <cellStyle name="检查单元格 2 8 6 4 6" xfId="12476" xr:uid="{00000000-0005-0000-0000-0000EC300000}"/>
    <cellStyle name="检查单元格 2 8 6 5" xfId="29102" xr:uid="{00000000-0005-0000-0000-0000DE710000}"/>
    <cellStyle name="检查单元格 2 8 6 5 2" xfId="36771" xr:uid="{00000000-0005-0000-0000-0000D38F0000}"/>
    <cellStyle name="检查单元格 2 8 6 5 2 2" xfId="36772" xr:uid="{00000000-0005-0000-0000-0000D48F0000}"/>
    <cellStyle name="检查单元格 2 8 6 5 3" xfId="36773" xr:uid="{00000000-0005-0000-0000-0000D58F0000}"/>
    <cellStyle name="检查单元格 2 8 6 5 3 2" xfId="36775" xr:uid="{00000000-0005-0000-0000-0000D78F0000}"/>
    <cellStyle name="检查单元格 2 8 6 5 4" xfId="8883" xr:uid="{00000000-0005-0000-0000-0000E3220000}"/>
    <cellStyle name="检查单元格 2 8 6 5 4 2" xfId="8888" xr:uid="{00000000-0005-0000-0000-0000E8220000}"/>
    <cellStyle name="检查单元格 2 8 6 5 5" xfId="7619" xr:uid="{00000000-0005-0000-0000-0000F31D0000}"/>
    <cellStyle name="检查单元格 2 8 6 6" xfId="36776" xr:uid="{00000000-0005-0000-0000-0000D88F0000}"/>
    <cellStyle name="检查单元格 2 8 6 6 2" xfId="36777" xr:uid="{00000000-0005-0000-0000-0000D98F0000}"/>
    <cellStyle name="检查单元格 2 8 6 7" xfId="36778" xr:uid="{00000000-0005-0000-0000-0000DA8F0000}"/>
    <cellStyle name="检查单元格 2 8 6 7 2" xfId="36779" xr:uid="{00000000-0005-0000-0000-0000DB8F0000}"/>
    <cellStyle name="检查单元格 2 8 6 8" xfId="5438" xr:uid="{00000000-0005-0000-0000-00006E150000}"/>
    <cellStyle name="检查单元格 2 8 6 8 2" xfId="36780" xr:uid="{00000000-0005-0000-0000-0000DC8F0000}"/>
    <cellStyle name="检查单元格 2 8 6 9" xfId="36781" xr:uid="{00000000-0005-0000-0000-0000DD8F0000}"/>
    <cellStyle name="检查单元格 2 8 6 9 2" xfId="36782" xr:uid="{00000000-0005-0000-0000-0000DE8F0000}"/>
    <cellStyle name="检查单元格 2 8 7" xfId="36785" xr:uid="{00000000-0005-0000-0000-0000E18F0000}"/>
    <cellStyle name="检查单元格 2 8 7 10" xfId="36786" xr:uid="{00000000-0005-0000-0000-0000E28F0000}"/>
    <cellStyle name="检查单元格 2 8 7 11" xfId="697" xr:uid="{00000000-0005-0000-0000-0000E9020000}"/>
    <cellStyle name="检查单元格 2 8 7 12" xfId="36788" xr:uid="{00000000-0005-0000-0000-0000E48F0000}"/>
    <cellStyle name="检查单元格 2 8 7 13" xfId="36790" xr:uid="{00000000-0005-0000-0000-0000E68F0000}"/>
    <cellStyle name="检查单元格 2 8 7 2" xfId="36793" xr:uid="{00000000-0005-0000-0000-0000E98F0000}"/>
    <cellStyle name="检查单元格 2 8 7 2 2" xfId="36794" xr:uid="{00000000-0005-0000-0000-0000EA8F0000}"/>
    <cellStyle name="检查单元格 2 8 7 2 2 2" xfId="36795" xr:uid="{00000000-0005-0000-0000-0000EB8F0000}"/>
    <cellStyle name="检查单元格 2 8 7 2 3" xfId="36796" xr:uid="{00000000-0005-0000-0000-0000EC8F0000}"/>
    <cellStyle name="检查单元格 2 8 7 2 3 2" xfId="36798" xr:uid="{00000000-0005-0000-0000-0000EE8F0000}"/>
    <cellStyle name="检查单元格 2 8 7 2 4" xfId="36799" xr:uid="{00000000-0005-0000-0000-0000EF8F0000}"/>
    <cellStyle name="检查单元格 2 8 7 2 4 2" xfId="36801" xr:uid="{00000000-0005-0000-0000-0000F18F0000}"/>
    <cellStyle name="检查单元格 2 8 7 2 5" xfId="36802" xr:uid="{00000000-0005-0000-0000-0000F28F0000}"/>
    <cellStyle name="检查单元格 2 8 7 2 5 2" xfId="36803" xr:uid="{00000000-0005-0000-0000-0000F38F0000}"/>
    <cellStyle name="检查单元格 2 8 7 2 6" xfId="32093" xr:uid="{00000000-0005-0000-0000-00008D7D0000}"/>
    <cellStyle name="检查单元格 2 8 7 2 7" xfId="36804" xr:uid="{00000000-0005-0000-0000-0000F48F0000}"/>
    <cellStyle name="检查单元格 2 8 7 2 8" xfId="36805" xr:uid="{00000000-0005-0000-0000-0000F58F0000}"/>
    <cellStyle name="检查单元格 2 8 7 2 9" xfId="36806" xr:uid="{00000000-0005-0000-0000-0000F68F0000}"/>
    <cellStyle name="检查单元格 2 8 7 3" xfId="36808" xr:uid="{00000000-0005-0000-0000-0000F88F0000}"/>
    <cellStyle name="检查单元格 2 8 7 3 2" xfId="36810" xr:uid="{00000000-0005-0000-0000-0000FA8F0000}"/>
    <cellStyle name="检查单元格 2 8 7 3 2 2" xfId="36811" xr:uid="{00000000-0005-0000-0000-0000FB8F0000}"/>
    <cellStyle name="检查单元格 2 8 7 3 3" xfId="36813" xr:uid="{00000000-0005-0000-0000-0000FD8F0000}"/>
    <cellStyle name="检查单元格 2 8 7 3 3 2" xfId="36815" xr:uid="{00000000-0005-0000-0000-0000FF8F0000}"/>
    <cellStyle name="检查单元格 2 8 7 3 4" xfId="36816" xr:uid="{00000000-0005-0000-0000-000000900000}"/>
    <cellStyle name="检查单元格 2 8 7 3 4 2" xfId="36819" xr:uid="{00000000-0005-0000-0000-000003900000}"/>
    <cellStyle name="检查单元格 2 8 7 3 5" xfId="36821" xr:uid="{00000000-0005-0000-0000-000005900000}"/>
    <cellStyle name="检查单元格 2 8 7 3 5 2" xfId="36823" xr:uid="{00000000-0005-0000-0000-000007900000}"/>
    <cellStyle name="检查单元格 2 8 7 3 6" xfId="32097" xr:uid="{00000000-0005-0000-0000-0000917D0000}"/>
    <cellStyle name="检查单元格 2 8 7 4" xfId="36826" xr:uid="{00000000-0005-0000-0000-00000A900000}"/>
    <cellStyle name="检查单元格 2 8 7 4 2" xfId="36828" xr:uid="{00000000-0005-0000-0000-00000C900000}"/>
    <cellStyle name="检查单元格 2 8 7 4 2 2" xfId="2189" xr:uid="{00000000-0005-0000-0000-0000BD080000}"/>
    <cellStyle name="检查单元格 2 8 7 4 3" xfId="36829" xr:uid="{00000000-0005-0000-0000-00000D900000}"/>
    <cellStyle name="检查单元格 2 8 7 4 3 2" xfId="1396" xr:uid="{00000000-0005-0000-0000-0000A4050000}"/>
    <cellStyle name="检查单元格 2 8 7 4 4" xfId="36831" xr:uid="{00000000-0005-0000-0000-00000F900000}"/>
    <cellStyle name="检查单元格 2 8 7 4 4 2" xfId="1995" xr:uid="{00000000-0005-0000-0000-0000FB070000}"/>
    <cellStyle name="检查单元格 2 8 7 4 5" xfId="36832" xr:uid="{00000000-0005-0000-0000-000010900000}"/>
    <cellStyle name="检查单元格 2 8 7 4 5 2" xfId="36833" xr:uid="{00000000-0005-0000-0000-000011900000}"/>
    <cellStyle name="检查单元格 2 8 7 4 6" xfId="24349" xr:uid="{00000000-0005-0000-0000-00004D5F0000}"/>
    <cellStyle name="检查单元格 2 8 7 5" xfId="196" xr:uid="{00000000-0005-0000-0000-0000D4000000}"/>
    <cellStyle name="检查单元格 2 8 7 5 2" xfId="29536" xr:uid="{00000000-0005-0000-0000-000090730000}"/>
    <cellStyle name="检查单元格 2 8 7 5 2 2" xfId="29540" xr:uid="{00000000-0005-0000-0000-000094730000}"/>
    <cellStyle name="检查单元格 2 8 7 5 3" xfId="29552" xr:uid="{00000000-0005-0000-0000-0000A0730000}"/>
    <cellStyle name="检查单元格 2 8 7 5 3 2" xfId="29555" xr:uid="{00000000-0005-0000-0000-0000A3730000}"/>
    <cellStyle name="检查单元格 2 8 7 5 4" xfId="29573" xr:uid="{00000000-0005-0000-0000-0000B5730000}"/>
    <cellStyle name="检查单元格 2 8 7 5 4 2" xfId="29576" xr:uid="{00000000-0005-0000-0000-0000B8730000}"/>
    <cellStyle name="检查单元格 2 8 7 5 5" xfId="29598" xr:uid="{00000000-0005-0000-0000-0000CE730000}"/>
    <cellStyle name="检查单元格 2 8 7 6" xfId="36835" xr:uid="{00000000-0005-0000-0000-000013900000}"/>
    <cellStyle name="检查单元格 2 8 7 6 2" xfId="36837" xr:uid="{00000000-0005-0000-0000-000015900000}"/>
    <cellStyle name="检查单元格 2 8 7 7" xfId="36839" xr:uid="{00000000-0005-0000-0000-000017900000}"/>
    <cellStyle name="检查单元格 2 8 7 7 2" xfId="36840" xr:uid="{00000000-0005-0000-0000-000018900000}"/>
    <cellStyle name="检查单元格 2 8 7 8" xfId="5457" xr:uid="{00000000-0005-0000-0000-000081150000}"/>
    <cellStyle name="检查单元格 2 8 7 8 2" xfId="36841" xr:uid="{00000000-0005-0000-0000-000019900000}"/>
    <cellStyle name="检查单元格 2 8 7 9" xfId="36843" xr:uid="{00000000-0005-0000-0000-00001B900000}"/>
    <cellStyle name="检查单元格 2 8 7 9 2" xfId="36845" xr:uid="{00000000-0005-0000-0000-00001D900000}"/>
    <cellStyle name="检查单元格 2 8 8" xfId="36848" xr:uid="{00000000-0005-0000-0000-000020900000}"/>
    <cellStyle name="检查单元格 2 8 8 2" xfId="36850" xr:uid="{00000000-0005-0000-0000-000022900000}"/>
    <cellStyle name="检查单元格 2 8 8 2 2" xfId="36852" xr:uid="{00000000-0005-0000-0000-000024900000}"/>
    <cellStyle name="检查单元格 2 8 8 2 2 2" xfId="36853" xr:uid="{00000000-0005-0000-0000-000025900000}"/>
    <cellStyle name="检查单元格 2 8 8 2 3" xfId="36855" xr:uid="{00000000-0005-0000-0000-000027900000}"/>
    <cellStyle name="检查单元格 2 8 8 2 3 2" xfId="36857" xr:uid="{00000000-0005-0000-0000-000029900000}"/>
    <cellStyle name="检查单元格 2 8 8 2 4" xfId="36858" xr:uid="{00000000-0005-0000-0000-00002A900000}"/>
    <cellStyle name="检查单元格 2 8 8 2 4 2" xfId="36860" xr:uid="{00000000-0005-0000-0000-00002C900000}"/>
    <cellStyle name="检查单元格 2 8 8 2 5" xfId="36861" xr:uid="{00000000-0005-0000-0000-00002D900000}"/>
    <cellStyle name="检查单元格 2 8 8 2 5 2" xfId="36862" xr:uid="{00000000-0005-0000-0000-00002E900000}"/>
    <cellStyle name="检查单元格 2 8 8 2 6" xfId="32108" xr:uid="{00000000-0005-0000-0000-00009C7D0000}"/>
    <cellStyle name="检查单元格 2 8 8 2 7" xfId="36863" xr:uid="{00000000-0005-0000-0000-00002F900000}"/>
    <cellStyle name="检查单元格 2 8 8 2 8" xfId="36865" xr:uid="{00000000-0005-0000-0000-000031900000}"/>
    <cellStyle name="检查单元格 2 8 8 2 9" xfId="36866" xr:uid="{00000000-0005-0000-0000-000032900000}"/>
    <cellStyle name="检查单元格 2 8 8 3" xfId="33164" xr:uid="{00000000-0005-0000-0000-0000BC810000}"/>
    <cellStyle name="检查单元格 2 8 8 3 2" xfId="33167" xr:uid="{00000000-0005-0000-0000-0000BF810000}"/>
    <cellStyle name="检查单元格 2 8 8 3 2 2" xfId="36867" xr:uid="{00000000-0005-0000-0000-000033900000}"/>
    <cellStyle name="检查单元格 2 8 8 3 3" xfId="36869" xr:uid="{00000000-0005-0000-0000-000035900000}"/>
    <cellStyle name="检查单元格 2 8 8 3 3 2" xfId="36871" xr:uid="{00000000-0005-0000-0000-000037900000}"/>
    <cellStyle name="检查单元格 2 8 8 3 4" xfId="36872" xr:uid="{00000000-0005-0000-0000-000038900000}"/>
    <cellStyle name="检查单元格 2 8 8 3 4 2" xfId="34456" xr:uid="{00000000-0005-0000-0000-0000C8860000}"/>
    <cellStyle name="检查单元格 2 8 8 3 5" xfId="36874" xr:uid="{00000000-0005-0000-0000-00003A900000}"/>
    <cellStyle name="检查单元格 2 8 8 3 5 2" xfId="36876" xr:uid="{00000000-0005-0000-0000-00003C900000}"/>
    <cellStyle name="检查单元格 2 8 8 3 6" xfId="32112" xr:uid="{00000000-0005-0000-0000-0000A07D0000}"/>
    <cellStyle name="检查单元格 2 8 8 4" xfId="33170" xr:uid="{00000000-0005-0000-0000-0000C2810000}"/>
    <cellStyle name="检查单元格 2 8 8 4 2" xfId="33173" xr:uid="{00000000-0005-0000-0000-0000C5810000}"/>
    <cellStyle name="检查单元格 2 8 8 4 2 2" xfId="36878" xr:uid="{00000000-0005-0000-0000-00003E900000}"/>
    <cellStyle name="检查单元格 2 8 8 4 3" xfId="36880" xr:uid="{00000000-0005-0000-0000-000040900000}"/>
    <cellStyle name="检查单元格 2 8 8 4 3 2" xfId="36882" xr:uid="{00000000-0005-0000-0000-000042900000}"/>
    <cellStyle name="检查单元格 2 8 8 4 4" xfId="36884" xr:uid="{00000000-0005-0000-0000-000044900000}"/>
    <cellStyle name="检查单元格 2 8 8 4 4 2" xfId="36885" xr:uid="{00000000-0005-0000-0000-000045900000}"/>
    <cellStyle name="检查单元格 2 8 8 4 5" xfId="36887" xr:uid="{00000000-0005-0000-0000-000047900000}"/>
    <cellStyle name="检查单元格 2 8 8 4 5 2" xfId="36888" xr:uid="{00000000-0005-0000-0000-000048900000}"/>
    <cellStyle name="检查单元格 2 8 8 4 6" xfId="36889" xr:uid="{00000000-0005-0000-0000-000049900000}"/>
    <cellStyle name="检查单元格 2 8 8 5" xfId="33176" xr:uid="{00000000-0005-0000-0000-0000C8810000}"/>
    <cellStyle name="检查单元格 2 8 8 5 2" xfId="33179" xr:uid="{00000000-0005-0000-0000-0000CB810000}"/>
    <cellStyle name="检查单元格 2 8 8 5 2 2" xfId="36890" xr:uid="{00000000-0005-0000-0000-00004A900000}"/>
    <cellStyle name="检查单元格 2 8 8 5 3" xfId="36891" xr:uid="{00000000-0005-0000-0000-00004B900000}"/>
    <cellStyle name="检查单元格 2 8 8 5 3 2" xfId="36892" xr:uid="{00000000-0005-0000-0000-00004C900000}"/>
    <cellStyle name="检查单元格 2 8 8 5 4" xfId="36893" xr:uid="{00000000-0005-0000-0000-00004D900000}"/>
    <cellStyle name="检查单元格 2 8 8 5 4 2" xfId="36894" xr:uid="{00000000-0005-0000-0000-00004E900000}"/>
    <cellStyle name="检查单元格 2 8 8 5 5" xfId="36895" xr:uid="{00000000-0005-0000-0000-00004F900000}"/>
    <cellStyle name="检查单元格 2 8 8 6" xfId="8721" xr:uid="{00000000-0005-0000-0000-000041220000}"/>
    <cellStyle name="检查单元格 2 8 8 7" xfId="7565" xr:uid="{00000000-0005-0000-0000-0000BD1D0000}"/>
    <cellStyle name="检查单元格 2 8 8 8" xfId="6074" xr:uid="{00000000-0005-0000-0000-0000EA170000}"/>
    <cellStyle name="检查单元格 2 8 9" xfId="19863" xr:uid="{00000000-0005-0000-0000-0000C74D0000}"/>
    <cellStyle name="检查单元格 2 8 9 2" xfId="14666" xr:uid="{00000000-0005-0000-0000-00007A390000}"/>
    <cellStyle name="检查单元格 2 8 9 2 2" xfId="12120" xr:uid="{00000000-0005-0000-0000-0000882F0000}"/>
    <cellStyle name="检查单元格 2 8 9 3" xfId="13324" xr:uid="{00000000-0005-0000-0000-00003C340000}"/>
    <cellStyle name="检查单元格 2 8 9 3 2" xfId="12357" xr:uid="{00000000-0005-0000-0000-000075300000}"/>
    <cellStyle name="检查单元格 2 8 9 4" xfId="14670" xr:uid="{00000000-0005-0000-0000-00007E390000}"/>
    <cellStyle name="检查单元格 2 8 9 4 2" xfId="33182" xr:uid="{00000000-0005-0000-0000-0000CE810000}"/>
    <cellStyle name="检查单元格 2 8 9 5" xfId="3060" xr:uid="{00000000-0005-0000-0000-0000240C0000}"/>
    <cellStyle name="检查单元格 2 8 9 5 2" xfId="33186" xr:uid="{00000000-0005-0000-0000-0000D2810000}"/>
    <cellStyle name="检查单元格 2 8 9 6" xfId="8744" xr:uid="{00000000-0005-0000-0000-000058220000}"/>
    <cellStyle name="检查单元格 2 9" xfId="10562" xr:uid="{00000000-0005-0000-0000-000072290000}"/>
    <cellStyle name="检查单元格 2 9 10" xfId="36896" xr:uid="{00000000-0005-0000-0000-000050900000}"/>
    <cellStyle name="检查单元格 2 9 10 2" xfId="21273" xr:uid="{00000000-0005-0000-0000-000049530000}"/>
    <cellStyle name="检查单元格 2 9 10 2 2" xfId="36897" xr:uid="{00000000-0005-0000-0000-000051900000}"/>
    <cellStyle name="检查单元格 2 9 10 3" xfId="21280" xr:uid="{00000000-0005-0000-0000-000050530000}"/>
    <cellStyle name="检查单元格 2 9 10 3 2" xfId="13081" xr:uid="{00000000-0005-0000-0000-000049330000}"/>
    <cellStyle name="检查单元格 2 9 10 4" xfId="30758" xr:uid="{00000000-0005-0000-0000-000056780000}"/>
    <cellStyle name="检查单元格 2 9 10 4 2" xfId="30762" xr:uid="{00000000-0005-0000-0000-00005A780000}"/>
    <cellStyle name="检查单元格 2 9 10 5" xfId="30764" xr:uid="{00000000-0005-0000-0000-00005C780000}"/>
    <cellStyle name="检查单元格 2 9 10 5 2" xfId="30768" xr:uid="{00000000-0005-0000-0000-000060780000}"/>
    <cellStyle name="检查单元格 2 9 10 6" xfId="30770" xr:uid="{00000000-0005-0000-0000-000062780000}"/>
    <cellStyle name="检查单元格 2 9 11" xfId="2429" xr:uid="{00000000-0005-0000-0000-0000AD090000}"/>
    <cellStyle name="检查单元格 2 9 11 2" xfId="36898" xr:uid="{00000000-0005-0000-0000-000052900000}"/>
    <cellStyle name="检查单元格 2 9 11 2 2" xfId="36899" xr:uid="{00000000-0005-0000-0000-000053900000}"/>
    <cellStyle name="检查单元格 2 9 11 3" xfId="26542" xr:uid="{00000000-0005-0000-0000-0000DE670000}"/>
    <cellStyle name="检查单元格 2 9 11 3 2" xfId="13512" xr:uid="{00000000-0005-0000-0000-0000F8340000}"/>
    <cellStyle name="检查单元格 2 9 11 4" xfId="22190" xr:uid="{00000000-0005-0000-0000-0000DE560000}"/>
    <cellStyle name="检查单元格 2 9 11 4 2" xfId="36900" xr:uid="{00000000-0005-0000-0000-000054900000}"/>
    <cellStyle name="检查单元格 2 9 11 5" xfId="36901" xr:uid="{00000000-0005-0000-0000-000055900000}"/>
    <cellStyle name="检查单元格 2 9 11 5 2" xfId="36902" xr:uid="{00000000-0005-0000-0000-000056900000}"/>
    <cellStyle name="检查单元格 2 9 11 6" xfId="36903" xr:uid="{00000000-0005-0000-0000-000057900000}"/>
    <cellStyle name="检查单元格 2 9 12" xfId="36904" xr:uid="{00000000-0005-0000-0000-000058900000}"/>
    <cellStyle name="检查单元格 2 9 12 2" xfId="36906" xr:uid="{00000000-0005-0000-0000-00005A900000}"/>
    <cellStyle name="检查单元格 2 9 12 2 2" xfId="36907" xr:uid="{00000000-0005-0000-0000-00005B900000}"/>
    <cellStyle name="检查单元格 2 9 12 3" xfId="26553" xr:uid="{00000000-0005-0000-0000-0000E9670000}"/>
    <cellStyle name="检查单元格 2 9 12 3 2" xfId="36909" xr:uid="{00000000-0005-0000-0000-00005D900000}"/>
    <cellStyle name="检查单元格 2 9 12 4" xfId="22194" xr:uid="{00000000-0005-0000-0000-0000E2560000}"/>
    <cellStyle name="检查单元格 2 9 12 4 2" xfId="36911" xr:uid="{00000000-0005-0000-0000-00005F900000}"/>
    <cellStyle name="检查单元格 2 9 12 5" xfId="36913" xr:uid="{00000000-0005-0000-0000-000061900000}"/>
    <cellStyle name="检查单元格 2 9 13" xfId="36914" xr:uid="{00000000-0005-0000-0000-000062900000}"/>
    <cellStyle name="检查单元格 2 9 13 2" xfId="36915" xr:uid="{00000000-0005-0000-0000-000063900000}"/>
    <cellStyle name="检查单元格 2 9 14" xfId="36916" xr:uid="{00000000-0005-0000-0000-000064900000}"/>
    <cellStyle name="检查单元格 2 9 14 2" xfId="36917" xr:uid="{00000000-0005-0000-0000-000065900000}"/>
    <cellStyle name="检查单元格 2 9 15" xfId="74" xr:uid="{00000000-0005-0000-0000-000050000000}"/>
    <cellStyle name="检查单元格 2 9 15 2" xfId="807" xr:uid="{00000000-0005-0000-0000-000057030000}"/>
    <cellStyle name="检查单元格 2 9 16" xfId="444" xr:uid="{00000000-0005-0000-0000-0000E5010000}"/>
    <cellStyle name="检查单元格 2 9 16 2" xfId="11242" xr:uid="{00000000-0005-0000-0000-00001A2C0000}"/>
    <cellStyle name="检查单元格 2 9 17" xfId="493" xr:uid="{00000000-0005-0000-0000-000019020000}"/>
    <cellStyle name="检查单元格 2 9 18" xfId="534" xr:uid="{00000000-0005-0000-0000-000045020000}"/>
    <cellStyle name="检查单元格 2 9 19" xfId="11247" xr:uid="{00000000-0005-0000-0000-00001F2C0000}"/>
    <cellStyle name="检查单元格 2 9 2" xfId="17540" xr:uid="{00000000-0005-0000-0000-0000B4440000}"/>
    <cellStyle name="检查单元格 2 9 2 10" xfId="30644" xr:uid="{00000000-0005-0000-0000-0000E4770000}"/>
    <cellStyle name="检查单元格 2 9 2 11" xfId="6752" xr:uid="{00000000-0005-0000-0000-0000901A0000}"/>
    <cellStyle name="检查单元格 2 9 2 12" xfId="36918" xr:uid="{00000000-0005-0000-0000-000066900000}"/>
    <cellStyle name="检查单元格 2 9 2 13" xfId="36920" xr:uid="{00000000-0005-0000-0000-000068900000}"/>
    <cellStyle name="检查单元格 2 9 2 2" xfId="17542" xr:uid="{00000000-0005-0000-0000-0000B6440000}"/>
    <cellStyle name="检查单元格 2 9 2 2 2" xfId="36923" xr:uid="{00000000-0005-0000-0000-00006B900000}"/>
    <cellStyle name="检查单元格 2 9 2 2 2 2" xfId="923" xr:uid="{00000000-0005-0000-0000-0000CB030000}"/>
    <cellStyle name="检查单元格 2 9 2 2 3" xfId="35297" xr:uid="{00000000-0005-0000-0000-0000118A0000}"/>
    <cellStyle name="检查单元格 2 9 2 2 3 2" xfId="1320" xr:uid="{00000000-0005-0000-0000-000058050000}"/>
    <cellStyle name="检查单元格 2 9 2 2 4" xfId="36925" xr:uid="{00000000-0005-0000-0000-00006D900000}"/>
    <cellStyle name="检查单元格 2 9 2 2 4 2" xfId="36928" xr:uid="{00000000-0005-0000-0000-000070900000}"/>
    <cellStyle name="检查单元格 2 9 2 2 5" xfId="36930" xr:uid="{00000000-0005-0000-0000-000072900000}"/>
    <cellStyle name="检查单元格 2 9 2 2 5 2" xfId="36931" xr:uid="{00000000-0005-0000-0000-000073900000}"/>
    <cellStyle name="检查单元格 2 9 2 2 6" xfId="36933" xr:uid="{00000000-0005-0000-0000-000075900000}"/>
    <cellStyle name="检查单元格 2 9 2 2 7" xfId="1754" xr:uid="{00000000-0005-0000-0000-00000A070000}"/>
    <cellStyle name="检查单元格 2 9 2 2 8" xfId="36935" xr:uid="{00000000-0005-0000-0000-000077900000}"/>
    <cellStyle name="检查单元格 2 9 2 2 9" xfId="36936" xr:uid="{00000000-0005-0000-0000-000078900000}"/>
    <cellStyle name="检查单元格 2 9 2 3" xfId="36937" xr:uid="{00000000-0005-0000-0000-000079900000}"/>
    <cellStyle name="检查单元格 2 9 2 3 2" xfId="1956" xr:uid="{00000000-0005-0000-0000-0000D4070000}"/>
    <cellStyle name="检查单元格 2 9 2 3 2 2" xfId="36940" xr:uid="{00000000-0005-0000-0000-00007C900000}"/>
    <cellStyle name="检查单元格 2 9 2 3 3" xfId="1967" xr:uid="{00000000-0005-0000-0000-0000DF070000}"/>
    <cellStyle name="检查单元格 2 9 2 3 3 2" xfId="36942" xr:uid="{00000000-0005-0000-0000-00007E900000}"/>
    <cellStyle name="检查单元格 2 9 2 3 4" xfId="1272" xr:uid="{00000000-0005-0000-0000-000028050000}"/>
    <cellStyle name="检查单元格 2 9 2 3 4 2" xfId="36945" xr:uid="{00000000-0005-0000-0000-000081900000}"/>
    <cellStyle name="检查单元格 2 9 2 3 5" xfId="1973" xr:uid="{00000000-0005-0000-0000-0000E5070000}"/>
    <cellStyle name="检查单元格 2 9 2 3 5 2" xfId="36947" xr:uid="{00000000-0005-0000-0000-000083900000}"/>
    <cellStyle name="检查单元格 2 9 2 3 6" xfId="1988" xr:uid="{00000000-0005-0000-0000-0000F4070000}"/>
    <cellStyle name="检查单元格 2 9 2 4" xfId="36949" xr:uid="{00000000-0005-0000-0000-000085900000}"/>
    <cellStyle name="检查单元格 2 9 2 4 2" xfId="36952" xr:uid="{00000000-0005-0000-0000-000088900000}"/>
    <cellStyle name="检查单元格 2 9 2 4 2 2" xfId="36954" xr:uid="{00000000-0005-0000-0000-00008A900000}"/>
    <cellStyle name="检查单元格 2 9 2 4 3" xfId="35303" xr:uid="{00000000-0005-0000-0000-0000178A0000}"/>
    <cellStyle name="检查单元格 2 9 2 4 3 2" xfId="36956" xr:uid="{00000000-0005-0000-0000-00008C900000}"/>
    <cellStyle name="检查单元格 2 9 2 4 4" xfId="36958" xr:uid="{00000000-0005-0000-0000-00008E900000}"/>
    <cellStyle name="检查单元格 2 9 2 4 4 2" xfId="36959" xr:uid="{00000000-0005-0000-0000-00008F900000}"/>
    <cellStyle name="检查单元格 2 9 2 4 5" xfId="36960" xr:uid="{00000000-0005-0000-0000-000090900000}"/>
    <cellStyle name="检查单元格 2 9 2 4 5 2" xfId="36962" xr:uid="{00000000-0005-0000-0000-000092900000}"/>
    <cellStyle name="检查单元格 2 9 2 4 6" xfId="36963" xr:uid="{00000000-0005-0000-0000-000093900000}"/>
    <cellStyle name="检查单元格 2 9 2 5" xfId="36965" xr:uid="{00000000-0005-0000-0000-000095900000}"/>
    <cellStyle name="检查单元格 2 9 2 5 2" xfId="36966" xr:uid="{00000000-0005-0000-0000-000096900000}"/>
    <cellStyle name="检查单元格 2 9 2 5 2 2" xfId="36967" xr:uid="{00000000-0005-0000-0000-000097900000}"/>
    <cellStyle name="检查单元格 2 9 2 5 3" xfId="35306" xr:uid="{00000000-0005-0000-0000-00001A8A0000}"/>
    <cellStyle name="检查单元格 2 9 2 5 3 2" xfId="36969" xr:uid="{00000000-0005-0000-0000-000099900000}"/>
    <cellStyle name="检查单元格 2 9 2 5 4" xfId="36971" xr:uid="{00000000-0005-0000-0000-00009B900000}"/>
    <cellStyle name="检查单元格 2 9 2 5 4 2" xfId="36972" xr:uid="{00000000-0005-0000-0000-00009C900000}"/>
    <cellStyle name="检查单元格 2 9 2 5 5" xfId="36974" xr:uid="{00000000-0005-0000-0000-00009E900000}"/>
    <cellStyle name="检查单元格 2 9 2 6" xfId="22749" xr:uid="{00000000-0005-0000-0000-00000D590000}"/>
    <cellStyle name="检查单元格 2 9 2 6 2" xfId="36976" xr:uid="{00000000-0005-0000-0000-0000A0900000}"/>
    <cellStyle name="检查单元格 2 9 2 7" xfId="19022" xr:uid="{00000000-0005-0000-0000-00007E4A0000}"/>
    <cellStyle name="检查单元格 2 9 2 7 2" xfId="194" xr:uid="{00000000-0005-0000-0000-0000D1000000}"/>
    <cellStyle name="检查单元格 2 9 2 8" xfId="19025" xr:uid="{00000000-0005-0000-0000-0000814A0000}"/>
    <cellStyle name="检查单元格 2 9 2 8 2" xfId="5590" xr:uid="{00000000-0005-0000-0000-000006160000}"/>
    <cellStyle name="检查单元格 2 9 2 9" xfId="19028" xr:uid="{00000000-0005-0000-0000-0000844A0000}"/>
    <cellStyle name="检查单元格 2 9 2 9 2" xfId="19031" xr:uid="{00000000-0005-0000-0000-0000874A0000}"/>
    <cellStyle name="检查单元格 2 9 20" xfId="75" xr:uid="{00000000-0005-0000-0000-000051000000}"/>
    <cellStyle name="检查单元格 2 9 3" xfId="17544" xr:uid="{00000000-0005-0000-0000-0000B8440000}"/>
    <cellStyle name="检查单元格 2 9 3 10" xfId="36977" xr:uid="{00000000-0005-0000-0000-0000A1900000}"/>
    <cellStyle name="检查单元格 2 9 3 11" xfId="36981" xr:uid="{00000000-0005-0000-0000-0000A5900000}"/>
    <cellStyle name="检查单元格 2 9 3 12" xfId="36983" xr:uid="{00000000-0005-0000-0000-0000A7900000}"/>
    <cellStyle name="检查单元格 2 9 3 13" xfId="11013" xr:uid="{00000000-0005-0000-0000-0000352B0000}"/>
    <cellStyle name="检查单元格 2 9 3 2" xfId="17546" xr:uid="{00000000-0005-0000-0000-0000BA440000}"/>
    <cellStyle name="检查单元格 2 9 3 2 2" xfId="515" xr:uid="{00000000-0005-0000-0000-000031020000}"/>
    <cellStyle name="检查单元格 2 9 3 2 2 2" xfId="5226" xr:uid="{00000000-0005-0000-0000-00009A140000}"/>
    <cellStyle name="检查单元格 2 9 3 2 3" xfId="5240" xr:uid="{00000000-0005-0000-0000-0000A8140000}"/>
    <cellStyle name="检查单元格 2 9 3 2 3 2" xfId="5627" xr:uid="{00000000-0005-0000-0000-00002B160000}"/>
    <cellStyle name="检查单元格 2 9 3 2 4" xfId="3008" xr:uid="{00000000-0005-0000-0000-0000F00B0000}"/>
    <cellStyle name="检查单元格 2 9 3 2 4 2" xfId="36986" xr:uid="{00000000-0005-0000-0000-0000AA900000}"/>
    <cellStyle name="检查单元格 2 9 3 2 5" xfId="36988" xr:uid="{00000000-0005-0000-0000-0000AC900000}"/>
    <cellStyle name="检查单元格 2 9 3 2 5 2" xfId="36989" xr:uid="{00000000-0005-0000-0000-0000AD900000}"/>
    <cellStyle name="检查单元格 2 9 3 2 6" xfId="36990" xr:uid="{00000000-0005-0000-0000-0000AE900000}"/>
    <cellStyle name="检查单元格 2 9 3 2 7" xfId="36992" xr:uid="{00000000-0005-0000-0000-0000B0900000}"/>
    <cellStyle name="检查单元格 2 9 3 2 8" xfId="36993" xr:uid="{00000000-0005-0000-0000-0000B1900000}"/>
    <cellStyle name="检查单元格 2 9 3 2 9" xfId="36994" xr:uid="{00000000-0005-0000-0000-0000B2900000}"/>
    <cellStyle name="检查单元格 2 9 3 3" xfId="36995" xr:uid="{00000000-0005-0000-0000-0000B3900000}"/>
    <cellStyle name="检查单元格 2 9 3 3 2" xfId="5679" xr:uid="{00000000-0005-0000-0000-00005F160000}"/>
    <cellStyle name="检查单元格 2 9 3 3 2 2" xfId="5684" xr:uid="{00000000-0005-0000-0000-000064160000}"/>
    <cellStyle name="检查单元格 2 9 3 3 3" xfId="5697" xr:uid="{00000000-0005-0000-0000-000071160000}"/>
    <cellStyle name="检查单元格 2 9 3 3 3 2" xfId="5702" xr:uid="{00000000-0005-0000-0000-000076160000}"/>
    <cellStyle name="检查单元格 2 9 3 3 4" xfId="5723" xr:uid="{00000000-0005-0000-0000-00008B160000}"/>
    <cellStyle name="检查单元格 2 9 3 3 4 2" xfId="5731" xr:uid="{00000000-0005-0000-0000-000093160000}"/>
    <cellStyle name="检查单元格 2 9 3 3 5" xfId="36997" xr:uid="{00000000-0005-0000-0000-0000B5900000}"/>
    <cellStyle name="检查单元格 2 9 3 3 5 2" xfId="36998" xr:uid="{00000000-0005-0000-0000-0000B6900000}"/>
    <cellStyle name="检查单元格 2 9 3 3 6" xfId="36999" xr:uid="{00000000-0005-0000-0000-0000B7900000}"/>
    <cellStyle name="检查单元格 2 9 3 4" xfId="37001" xr:uid="{00000000-0005-0000-0000-0000B9900000}"/>
    <cellStyle name="检查单元格 2 9 3 4 2" xfId="5769" xr:uid="{00000000-0005-0000-0000-0000B9160000}"/>
    <cellStyle name="检查单元格 2 9 3 4 2 2" xfId="291" xr:uid="{00000000-0005-0000-0000-00003F010000}"/>
    <cellStyle name="检查单元格 2 9 3 4 3" xfId="5778" xr:uid="{00000000-0005-0000-0000-0000C2160000}"/>
    <cellStyle name="检查单元格 2 9 3 4 3 2" xfId="5784" xr:uid="{00000000-0005-0000-0000-0000C8160000}"/>
    <cellStyle name="检查单元格 2 9 3 4 4" xfId="5801" xr:uid="{00000000-0005-0000-0000-0000D9160000}"/>
    <cellStyle name="检查单元格 2 9 3 4 4 2" xfId="37003" xr:uid="{00000000-0005-0000-0000-0000BB900000}"/>
    <cellStyle name="检查单元格 2 9 3 4 5" xfId="37004" xr:uid="{00000000-0005-0000-0000-0000BC900000}"/>
    <cellStyle name="检查单元格 2 9 3 4 5 2" xfId="37007" xr:uid="{00000000-0005-0000-0000-0000BF900000}"/>
    <cellStyle name="检查单元格 2 9 3 4 6" xfId="37008" xr:uid="{00000000-0005-0000-0000-0000C0900000}"/>
    <cellStyle name="检查单元格 2 9 3 5" xfId="37011" xr:uid="{00000000-0005-0000-0000-0000C3900000}"/>
    <cellStyle name="检查单元格 2 9 3 5 2" xfId="5857" xr:uid="{00000000-0005-0000-0000-000011170000}"/>
    <cellStyle name="检查单元格 2 9 3 5 2 2" xfId="5874" xr:uid="{00000000-0005-0000-0000-000022170000}"/>
    <cellStyle name="检查单元格 2 9 3 5 3" xfId="5888" xr:uid="{00000000-0005-0000-0000-000030170000}"/>
    <cellStyle name="检查单元格 2 9 3 5 3 2" xfId="5903" xr:uid="{00000000-0005-0000-0000-00003F170000}"/>
    <cellStyle name="检查单元格 2 9 3 5 4" xfId="5928" xr:uid="{00000000-0005-0000-0000-000058170000}"/>
    <cellStyle name="检查单元格 2 9 3 5 4 2" xfId="37012" xr:uid="{00000000-0005-0000-0000-0000C4900000}"/>
    <cellStyle name="检查单元格 2 9 3 5 5" xfId="37013" xr:uid="{00000000-0005-0000-0000-0000C5900000}"/>
    <cellStyle name="检查单元格 2 9 3 6" xfId="37015" xr:uid="{00000000-0005-0000-0000-0000C7900000}"/>
    <cellStyle name="检查单元格 2 9 3 6 2" xfId="5989" xr:uid="{00000000-0005-0000-0000-000095170000}"/>
    <cellStyle name="检查单元格 2 9 3 7" xfId="19037" xr:uid="{00000000-0005-0000-0000-00008D4A0000}"/>
    <cellStyle name="检查单元格 2 9 3 7 2" xfId="5442" xr:uid="{00000000-0005-0000-0000-000072150000}"/>
    <cellStyle name="检查单元格 2 9 3 8" xfId="19040" xr:uid="{00000000-0005-0000-0000-0000904A0000}"/>
    <cellStyle name="检查单元格 2 9 3 8 2" xfId="6107" xr:uid="{00000000-0005-0000-0000-00000B180000}"/>
    <cellStyle name="检查单元格 2 9 3 9" xfId="19043" xr:uid="{00000000-0005-0000-0000-0000934A0000}"/>
    <cellStyle name="检查单元格 2 9 3 9 2" xfId="19046" xr:uid="{00000000-0005-0000-0000-0000964A0000}"/>
    <cellStyle name="检查单元格 2 9 4" xfId="17550" xr:uid="{00000000-0005-0000-0000-0000BE440000}"/>
    <cellStyle name="检查单元格 2 9 4 10" xfId="37017" xr:uid="{00000000-0005-0000-0000-0000C9900000}"/>
    <cellStyle name="检查单元格 2 9 4 11" xfId="9384" xr:uid="{00000000-0005-0000-0000-0000D8240000}"/>
    <cellStyle name="检查单元格 2 9 4 12" xfId="37019" xr:uid="{00000000-0005-0000-0000-0000CB900000}"/>
    <cellStyle name="检查单元格 2 9 4 13" xfId="37020" xr:uid="{00000000-0005-0000-0000-0000CC900000}"/>
    <cellStyle name="检查单元格 2 9 4 2" xfId="12455" xr:uid="{00000000-0005-0000-0000-0000D7300000}"/>
    <cellStyle name="检查单元格 2 9 4 2 2" xfId="37022" xr:uid="{00000000-0005-0000-0000-0000CE900000}"/>
    <cellStyle name="检查单元格 2 9 4 2 2 2" xfId="37024" xr:uid="{00000000-0005-0000-0000-0000D0900000}"/>
    <cellStyle name="检查单元格 2 9 4 2 3" xfId="35316" xr:uid="{00000000-0005-0000-0000-0000248A0000}"/>
    <cellStyle name="检查单元格 2 9 4 2 3 2" xfId="37026" xr:uid="{00000000-0005-0000-0000-0000D2900000}"/>
    <cellStyle name="检查单元格 2 9 4 2 4" xfId="37028" xr:uid="{00000000-0005-0000-0000-0000D4900000}"/>
    <cellStyle name="检查单元格 2 9 4 2 4 2" xfId="37031" xr:uid="{00000000-0005-0000-0000-0000D7900000}"/>
    <cellStyle name="检查单元格 2 9 4 2 5" xfId="37034" xr:uid="{00000000-0005-0000-0000-0000DA900000}"/>
    <cellStyle name="检查单元格 2 9 4 2 5 2" xfId="37035" xr:uid="{00000000-0005-0000-0000-0000DB900000}"/>
    <cellStyle name="检查单元格 2 9 4 2 6" xfId="37036" xr:uid="{00000000-0005-0000-0000-0000DC900000}"/>
    <cellStyle name="检查单元格 2 9 4 2 7" xfId="37038" xr:uid="{00000000-0005-0000-0000-0000DE900000}"/>
    <cellStyle name="检查单元格 2 9 4 2 8" xfId="37039" xr:uid="{00000000-0005-0000-0000-0000DF900000}"/>
    <cellStyle name="检查单元格 2 9 4 2 9" xfId="37040" xr:uid="{00000000-0005-0000-0000-0000E0900000}"/>
    <cellStyle name="检查单元格 2 9 4 3" xfId="37041" xr:uid="{00000000-0005-0000-0000-0000E1900000}"/>
    <cellStyle name="检查单元格 2 9 4 3 2" xfId="37043" xr:uid="{00000000-0005-0000-0000-0000E3900000}"/>
    <cellStyle name="检查单元格 2 9 4 3 2 2" xfId="37046" xr:uid="{00000000-0005-0000-0000-0000E6900000}"/>
    <cellStyle name="检查单元格 2 9 4 3 3" xfId="35320" xr:uid="{00000000-0005-0000-0000-0000288A0000}"/>
    <cellStyle name="检查单元格 2 9 4 3 3 2" xfId="37049" xr:uid="{00000000-0005-0000-0000-0000E9900000}"/>
    <cellStyle name="检查单元格 2 9 4 3 4" xfId="37051" xr:uid="{00000000-0005-0000-0000-0000EB900000}"/>
    <cellStyle name="检查单元格 2 9 4 3 4 2" xfId="37055" xr:uid="{00000000-0005-0000-0000-0000EF900000}"/>
    <cellStyle name="检查单元格 2 9 4 3 5" xfId="37057" xr:uid="{00000000-0005-0000-0000-0000F1900000}"/>
    <cellStyle name="检查单元格 2 9 4 3 5 2" xfId="37058" xr:uid="{00000000-0005-0000-0000-0000F2900000}"/>
    <cellStyle name="检查单元格 2 9 4 3 6" xfId="37059" xr:uid="{00000000-0005-0000-0000-0000F3900000}"/>
    <cellStyle name="检查单元格 2 9 4 4" xfId="37061" xr:uid="{00000000-0005-0000-0000-0000F5900000}"/>
    <cellStyle name="检查单元格 2 9 4 4 2" xfId="37063" xr:uid="{00000000-0005-0000-0000-0000F7900000}"/>
    <cellStyle name="检查单元格 2 9 4 4 2 2" xfId="37065" xr:uid="{00000000-0005-0000-0000-0000F9900000}"/>
    <cellStyle name="检查单元格 2 9 4 4 3" xfId="35324" xr:uid="{00000000-0005-0000-0000-00002C8A0000}"/>
    <cellStyle name="检查单元格 2 9 4 4 3 2" xfId="37067" xr:uid="{00000000-0005-0000-0000-0000FB900000}"/>
    <cellStyle name="检查单元格 2 9 4 4 4" xfId="37069" xr:uid="{00000000-0005-0000-0000-0000FD900000}"/>
    <cellStyle name="检查单元格 2 9 4 4 4 2" xfId="14162" xr:uid="{00000000-0005-0000-0000-000082370000}"/>
    <cellStyle name="检查单元格 2 9 4 4 5" xfId="37070" xr:uid="{00000000-0005-0000-0000-0000FE900000}"/>
    <cellStyle name="检查单元格 2 9 4 4 5 2" xfId="37071" xr:uid="{00000000-0005-0000-0000-0000FF900000}"/>
    <cellStyle name="检查单元格 2 9 4 4 6" xfId="37072" xr:uid="{00000000-0005-0000-0000-000000910000}"/>
    <cellStyle name="检查单元格 2 9 4 5" xfId="29111" xr:uid="{00000000-0005-0000-0000-0000E7710000}"/>
    <cellStyle name="检查单元格 2 9 4 5 2" xfId="28581" xr:uid="{00000000-0005-0000-0000-0000D56F0000}"/>
    <cellStyle name="检查单元格 2 9 4 5 2 2" xfId="37074" xr:uid="{00000000-0005-0000-0000-000002910000}"/>
    <cellStyle name="检查单元格 2 9 4 5 3" xfId="28584" xr:uid="{00000000-0005-0000-0000-0000D86F0000}"/>
    <cellStyle name="检查单元格 2 9 4 5 3 2" xfId="37075" xr:uid="{00000000-0005-0000-0000-000003910000}"/>
    <cellStyle name="检查单元格 2 9 4 5 4" xfId="37076" xr:uid="{00000000-0005-0000-0000-000004910000}"/>
    <cellStyle name="检查单元格 2 9 4 5 4 2" xfId="6312" xr:uid="{00000000-0005-0000-0000-0000D8180000}"/>
    <cellStyle name="检查单元格 2 9 4 5 5" xfId="37077" xr:uid="{00000000-0005-0000-0000-000005910000}"/>
    <cellStyle name="检查单元格 2 9 4 6" xfId="37078" xr:uid="{00000000-0005-0000-0000-000006910000}"/>
    <cellStyle name="检查单元格 2 9 4 6 2" xfId="37079" xr:uid="{00000000-0005-0000-0000-000007910000}"/>
    <cellStyle name="检查单元格 2 9 4 7" xfId="19059" xr:uid="{00000000-0005-0000-0000-0000A34A0000}"/>
    <cellStyle name="检查单元格 2 9 4 7 2" xfId="15590" xr:uid="{00000000-0005-0000-0000-0000163D0000}"/>
    <cellStyle name="检查单元格 2 9 4 8" xfId="19062" xr:uid="{00000000-0005-0000-0000-0000A64A0000}"/>
    <cellStyle name="检查单元格 2 9 4 8 2" xfId="15845" xr:uid="{00000000-0005-0000-0000-0000153E0000}"/>
    <cellStyle name="检查单元格 2 9 4 9" xfId="18526" xr:uid="{00000000-0005-0000-0000-00008E480000}"/>
    <cellStyle name="检查单元格 2 9 4 9 2" xfId="15873" xr:uid="{00000000-0005-0000-0000-0000313E0000}"/>
    <cellStyle name="检查单元格 2 9 5" xfId="15380" xr:uid="{00000000-0005-0000-0000-0000443C0000}"/>
    <cellStyle name="检查单元格 2 9 5 10" xfId="20287" xr:uid="{00000000-0005-0000-0000-00006F4F0000}"/>
    <cellStyle name="检查单元格 2 9 5 11" xfId="37080" xr:uid="{00000000-0005-0000-0000-000008910000}"/>
    <cellStyle name="检查单元格 2 9 5 12" xfId="37082" xr:uid="{00000000-0005-0000-0000-00000A910000}"/>
    <cellStyle name="检查单元格 2 9 5 13" xfId="37083" xr:uid="{00000000-0005-0000-0000-00000B910000}"/>
    <cellStyle name="检查单元格 2 9 5 2" xfId="37086" xr:uid="{00000000-0005-0000-0000-00000E910000}"/>
    <cellStyle name="检查单元格 2 9 5 2 2" xfId="37088" xr:uid="{00000000-0005-0000-0000-000010910000}"/>
    <cellStyle name="检查单元格 2 9 5 2 2 2" xfId="37090" xr:uid="{00000000-0005-0000-0000-000012910000}"/>
    <cellStyle name="检查单元格 2 9 5 2 3" xfId="14303" xr:uid="{00000000-0005-0000-0000-00000F380000}"/>
    <cellStyle name="检查单元格 2 9 5 2 3 2" xfId="37093" xr:uid="{00000000-0005-0000-0000-000015910000}"/>
    <cellStyle name="检查单元格 2 9 5 2 4" xfId="37096" xr:uid="{00000000-0005-0000-0000-000018910000}"/>
    <cellStyle name="检查单元格 2 9 5 2 4 2" xfId="37099" xr:uid="{00000000-0005-0000-0000-00001B910000}"/>
    <cellStyle name="检查单元格 2 9 5 2 5" xfId="37102" xr:uid="{00000000-0005-0000-0000-00001E910000}"/>
    <cellStyle name="检查单元格 2 9 5 2 5 2" xfId="37103" xr:uid="{00000000-0005-0000-0000-00001F910000}"/>
    <cellStyle name="检查单元格 2 9 5 2 6" xfId="37105" xr:uid="{00000000-0005-0000-0000-000021910000}"/>
    <cellStyle name="检查单元格 2 9 5 2 7" xfId="37107" xr:uid="{00000000-0005-0000-0000-000023910000}"/>
    <cellStyle name="检查单元格 2 9 5 2 8" xfId="37108" xr:uid="{00000000-0005-0000-0000-000024910000}"/>
    <cellStyle name="检查单元格 2 9 5 2 9" xfId="37109" xr:uid="{00000000-0005-0000-0000-000025910000}"/>
    <cellStyle name="检查单元格 2 9 5 3" xfId="37111" xr:uid="{00000000-0005-0000-0000-000027910000}"/>
    <cellStyle name="检查单元格 2 9 5 3 2" xfId="37113" xr:uid="{00000000-0005-0000-0000-000029910000}"/>
    <cellStyle name="检查单元格 2 9 5 3 2 2" xfId="37115" xr:uid="{00000000-0005-0000-0000-00002B910000}"/>
    <cellStyle name="检查单元格 2 9 5 3 3" xfId="14309" xr:uid="{00000000-0005-0000-0000-000015380000}"/>
    <cellStyle name="检查单元格 2 9 5 3 3 2" xfId="37118" xr:uid="{00000000-0005-0000-0000-00002E910000}"/>
    <cellStyle name="检查单元格 2 9 5 3 4" xfId="37121" xr:uid="{00000000-0005-0000-0000-000031910000}"/>
    <cellStyle name="检查单元格 2 9 5 3 4 2" xfId="37124" xr:uid="{00000000-0005-0000-0000-000034910000}"/>
    <cellStyle name="检查单元格 2 9 5 3 5" xfId="37127" xr:uid="{00000000-0005-0000-0000-000037910000}"/>
    <cellStyle name="检查单元格 2 9 5 3 5 2" xfId="37128" xr:uid="{00000000-0005-0000-0000-000038910000}"/>
    <cellStyle name="检查单元格 2 9 5 3 6" xfId="37130" xr:uid="{00000000-0005-0000-0000-00003A910000}"/>
    <cellStyle name="检查单元格 2 9 5 4" xfId="37133" xr:uid="{00000000-0005-0000-0000-00003D910000}"/>
    <cellStyle name="检查单元格 2 9 5 4 2" xfId="37135" xr:uid="{00000000-0005-0000-0000-00003F910000}"/>
    <cellStyle name="检查单元格 2 9 5 4 2 2" xfId="37137" xr:uid="{00000000-0005-0000-0000-000041910000}"/>
    <cellStyle name="检查单元格 2 9 5 4 3" xfId="35328" xr:uid="{00000000-0005-0000-0000-0000308A0000}"/>
    <cellStyle name="检查单元格 2 9 5 4 3 2" xfId="37140" xr:uid="{00000000-0005-0000-0000-000044910000}"/>
    <cellStyle name="检查单元格 2 9 5 4 4" xfId="37143" xr:uid="{00000000-0005-0000-0000-000047910000}"/>
    <cellStyle name="检查单元格 2 9 5 4 4 2" xfId="21783" xr:uid="{00000000-0005-0000-0000-000047550000}"/>
    <cellStyle name="检查单元格 2 9 5 4 5" xfId="37144" xr:uid="{00000000-0005-0000-0000-000048910000}"/>
    <cellStyle name="检查单元格 2 9 5 4 5 2" xfId="37145" xr:uid="{00000000-0005-0000-0000-000049910000}"/>
    <cellStyle name="检查单元格 2 9 5 4 6" xfId="37147" xr:uid="{00000000-0005-0000-0000-00004B910000}"/>
    <cellStyle name="检查单元格 2 9 5 5" xfId="29117" xr:uid="{00000000-0005-0000-0000-0000ED710000}"/>
    <cellStyle name="检查单元格 2 9 5 5 2" xfId="37149" xr:uid="{00000000-0005-0000-0000-00004D910000}"/>
    <cellStyle name="检查单元格 2 9 5 5 2 2" xfId="37150" xr:uid="{00000000-0005-0000-0000-00004E910000}"/>
    <cellStyle name="检查单元格 2 9 5 5 3" xfId="37152" xr:uid="{00000000-0005-0000-0000-000050910000}"/>
    <cellStyle name="检查单元格 2 9 5 5 3 2" xfId="37153" xr:uid="{00000000-0005-0000-0000-000051910000}"/>
    <cellStyle name="检查单元格 2 9 5 5 4" xfId="37155" xr:uid="{00000000-0005-0000-0000-000053910000}"/>
    <cellStyle name="检查单元格 2 9 5 5 4 2" xfId="22388" xr:uid="{00000000-0005-0000-0000-0000A4570000}"/>
    <cellStyle name="检查单元格 2 9 5 5 5" xfId="37156" xr:uid="{00000000-0005-0000-0000-000054910000}"/>
    <cellStyle name="检查单元格 2 9 5 6" xfId="37157" xr:uid="{00000000-0005-0000-0000-000055910000}"/>
    <cellStyle name="检查单元格 2 9 5 6 2" xfId="37158" xr:uid="{00000000-0005-0000-0000-000056910000}"/>
    <cellStyle name="检查单元格 2 9 5 7" xfId="19066" xr:uid="{00000000-0005-0000-0000-0000AA4A0000}"/>
    <cellStyle name="检查单元格 2 9 5 7 2" xfId="37159" xr:uid="{00000000-0005-0000-0000-000057910000}"/>
    <cellStyle name="检查单元格 2 9 5 8" xfId="37160" xr:uid="{00000000-0005-0000-0000-000058910000}"/>
    <cellStyle name="检查单元格 2 9 5 8 2" xfId="37161" xr:uid="{00000000-0005-0000-0000-000059910000}"/>
    <cellStyle name="检查单元格 2 9 5 9" xfId="18528" xr:uid="{00000000-0005-0000-0000-000090480000}"/>
    <cellStyle name="检查单元格 2 9 5 9 2" xfId="37162" xr:uid="{00000000-0005-0000-0000-00005A910000}"/>
    <cellStyle name="检查单元格 2 9 6" xfId="37164" xr:uid="{00000000-0005-0000-0000-00005C910000}"/>
    <cellStyle name="检查单元格 2 9 6 10" xfId="37165" xr:uid="{00000000-0005-0000-0000-00005D910000}"/>
    <cellStyle name="检查单元格 2 9 6 11" xfId="37168" xr:uid="{00000000-0005-0000-0000-000060910000}"/>
    <cellStyle name="检查单元格 2 9 6 12" xfId="36288" xr:uid="{00000000-0005-0000-0000-0000F08D0000}"/>
    <cellStyle name="检查单元格 2 9 6 13" xfId="37171" xr:uid="{00000000-0005-0000-0000-000063910000}"/>
    <cellStyle name="检查单元格 2 9 6 2" xfId="37174" xr:uid="{00000000-0005-0000-0000-000066910000}"/>
    <cellStyle name="检查单元格 2 9 6 2 2" xfId="37176" xr:uid="{00000000-0005-0000-0000-000068910000}"/>
    <cellStyle name="检查单元格 2 9 6 2 2 2" xfId="37178" xr:uid="{00000000-0005-0000-0000-00006A910000}"/>
    <cellStyle name="检查单元格 2 9 6 2 3" xfId="37181" xr:uid="{00000000-0005-0000-0000-00006D910000}"/>
    <cellStyle name="检查单元格 2 9 6 2 3 2" xfId="37184" xr:uid="{00000000-0005-0000-0000-000070910000}"/>
    <cellStyle name="检查单元格 2 9 6 2 4" xfId="37187" xr:uid="{00000000-0005-0000-0000-000073910000}"/>
    <cellStyle name="检查单元格 2 9 6 2 4 2" xfId="37190" xr:uid="{00000000-0005-0000-0000-000076910000}"/>
    <cellStyle name="检查单元格 2 9 6 2 5" xfId="37193" xr:uid="{00000000-0005-0000-0000-000079910000}"/>
    <cellStyle name="检查单元格 2 9 6 2 5 2" xfId="37194" xr:uid="{00000000-0005-0000-0000-00007A910000}"/>
    <cellStyle name="检查单元格 2 9 6 2 6" xfId="37196" xr:uid="{00000000-0005-0000-0000-00007C910000}"/>
    <cellStyle name="检查单元格 2 9 6 2 7" xfId="37198" xr:uid="{00000000-0005-0000-0000-00007E910000}"/>
    <cellStyle name="检查单元格 2 9 6 2 8" xfId="37199" xr:uid="{00000000-0005-0000-0000-00007F910000}"/>
    <cellStyle name="检查单元格 2 9 6 2 9" xfId="37200" xr:uid="{00000000-0005-0000-0000-000080910000}"/>
    <cellStyle name="检查单元格 2 9 6 3" xfId="37201" xr:uid="{00000000-0005-0000-0000-000081910000}"/>
    <cellStyle name="检查单元格 2 9 6 3 2" xfId="37203" xr:uid="{00000000-0005-0000-0000-000083910000}"/>
    <cellStyle name="检查单元格 2 9 6 3 2 2" xfId="37205" xr:uid="{00000000-0005-0000-0000-000085910000}"/>
    <cellStyle name="检查单元格 2 9 6 3 3" xfId="37208" xr:uid="{00000000-0005-0000-0000-000088910000}"/>
    <cellStyle name="检查单元格 2 9 6 3 3 2" xfId="30562" xr:uid="{00000000-0005-0000-0000-000092770000}"/>
    <cellStyle name="检查单元格 2 9 6 3 4" xfId="37211" xr:uid="{00000000-0005-0000-0000-00008B910000}"/>
    <cellStyle name="检查单元格 2 9 6 3 4 2" xfId="37214" xr:uid="{00000000-0005-0000-0000-00008E910000}"/>
    <cellStyle name="检查单元格 2 9 6 3 5" xfId="37217" xr:uid="{00000000-0005-0000-0000-000091910000}"/>
    <cellStyle name="检查单元格 2 9 6 3 5 2" xfId="37218" xr:uid="{00000000-0005-0000-0000-000092910000}"/>
    <cellStyle name="检查单元格 2 9 6 3 6" xfId="37220" xr:uid="{00000000-0005-0000-0000-000094910000}"/>
    <cellStyle name="检查单元格 2 9 6 4" xfId="37222" xr:uid="{00000000-0005-0000-0000-000096910000}"/>
    <cellStyle name="检查单元格 2 9 6 4 2" xfId="37224" xr:uid="{00000000-0005-0000-0000-000098910000}"/>
    <cellStyle name="检查单元格 2 9 6 4 2 2" xfId="34270" xr:uid="{00000000-0005-0000-0000-00000E860000}"/>
    <cellStyle name="检查单元格 2 9 6 4 3" xfId="37226" xr:uid="{00000000-0005-0000-0000-00009A910000}"/>
    <cellStyle name="检查单元格 2 9 6 4 3 2" xfId="37229" xr:uid="{00000000-0005-0000-0000-00009D910000}"/>
    <cellStyle name="检查单元格 2 9 6 4 4" xfId="20233" xr:uid="{00000000-0005-0000-0000-0000394F0000}"/>
    <cellStyle name="检查单元格 2 9 6 4 4 2" xfId="20237" xr:uid="{00000000-0005-0000-0000-00003D4F0000}"/>
    <cellStyle name="检查单元格 2 9 6 4 5" xfId="20243" xr:uid="{00000000-0005-0000-0000-0000434F0000}"/>
    <cellStyle name="检查单元格 2 9 6 4 5 2" xfId="17340" xr:uid="{00000000-0005-0000-0000-0000EC430000}"/>
    <cellStyle name="检查单元格 2 9 6 4 6" xfId="20247" xr:uid="{00000000-0005-0000-0000-0000474F0000}"/>
    <cellStyle name="检查单元格 2 9 6 5" xfId="11741" xr:uid="{00000000-0005-0000-0000-00000D2E0000}"/>
    <cellStyle name="检查单元格 2 9 6 5 2" xfId="37231" xr:uid="{00000000-0005-0000-0000-00009F910000}"/>
    <cellStyle name="检查单元格 2 9 6 5 2 2" xfId="34531" xr:uid="{00000000-0005-0000-0000-000013870000}"/>
    <cellStyle name="检查单元格 2 9 6 5 3" xfId="37232" xr:uid="{00000000-0005-0000-0000-0000A0910000}"/>
    <cellStyle name="检查单元格 2 9 6 5 3 2" xfId="37234" xr:uid="{00000000-0005-0000-0000-0000A2910000}"/>
    <cellStyle name="检查单元格 2 9 6 5 4" xfId="20275" xr:uid="{00000000-0005-0000-0000-0000634F0000}"/>
    <cellStyle name="检查单元格 2 9 6 5 4 2" xfId="20278" xr:uid="{00000000-0005-0000-0000-0000664F0000}"/>
    <cellStyle name="检查单元格 2 9 6 5 5" xfId="7890" xr:uid="{00000000-0005-0000-0000-0000021F0000}"/>
    <cellStyle name="检查单元格 2 9 6 6" xfId="37236" xr:uid="{00000000-0005-0000-0000-0000A4910000}"/>
    <cellStyle name="检查单元格 2 9 6 6 2" xfId="37237" xr:uid="{00000000-0005-0000-0000-0000A5910000}"/>
    <cellStyle name="检查单元格 2 9 6 7" xfId="37238" xr:uid="{00000000-0005-0000-0000-0000A6910000}"/>
    <cellStyle name="检查单元格 2 9 6 7 2" xfId="37239" xr:uid="{00000000-0005-0000-0000-0000A7910000}"/>
    <cellStyle name="检查单元格 2 9 6 8" xfId="37240" xr:uid="{00000000-0005-0000-0000-0000A8910000}"/>
    <cellStyle name="检查单元格 2 9 6 8 2" xfId="37241" xr:uid="{00000000-0005-0000-0000-0000A9910000}"/>
    <cellStyle name="检查单元格 2 9 6 9" xfId="18534" xr:uid="{00000000-0005-0000-0000-000096480000}"/>
    <cellStyle name="检查单元格 2 9 6 9 2" xfId="37242" xr:uid="{00000000-0005-0000-0000-0000AA910000}"/>
    <cellStyle name="检查单元格 2 9 7" xfId="37245" xr:uid="{00000000-0005-0000-0000-0000AD910000}"/>
    <cellStyle name="检查单元格 2 9 7 10" xfId="37246" xr:uid="{00000000-0005-0000-0000-0000AE910000}"/>
    <cellStyle name="检查单元格 2 9 7 11" xfId="7907" xr:uid="{00000000-0005-0000-0000-0000131F0000}"/>
    <cellStyle name="检查单元格 2 9 7 12" xfId="37249" xr:uid="{00000000-0005-0000-0000-0000B1910000}"/>
    <cellStyle name="检查单元格 2 9 7 13" xfId="37252" xr:uid="{00000000-0005-0000-0000-0000B4910000}"/>
    <cellStyle name="检查单元格 2 9 7 2" xfId="37257" xr:uid="{00000000-0005-0000-0000-0000B9910000}"/>
    <cellStyle name="检查单元格 2 9 7 2 2" xfId="37258" xr:uid="{00000000-0005-0000-0000-0000BA910000}"/>
    <cellStyle name="检查单元格 2 9 7 2 2 2" xfId="37259" xr:uid="{00000000-0005-0000-0000-0000BB910000}"/>
    <cellStyle name="检查单元格 2 9 7 2 3" xfId="37261" xr:uid="{00000000-0005-0000-0000-0000BD910000}"/>
    <cellStyle name="检查单元格 2 9 7 2 3 2" xfId="37263" xr:uid="{00000000-0005-0000-0000-0000BF910000}"/>
    <cellStyle name="检查单元格 2 9 7 2 4" xfId="37265" xr:uid="{00000000-0005-0000-0000-0000C1910000}"/>
    <cellStyle name="检查单元格 2 9 7 2 4 2" xfId="37267" xr:uid="{00000000-0005-0000-0000-0000C3910000}"/>
    <cellStyle name="检查单元格 2 9 7 2 5" xfId="37269" xr:uid="{00000000-0005-0000-0000-0000C5910000}"/>
    <cellStyle name="检查单元格 2 9 7 2 5 2" xfId="37270" xr:uid="{00000000-0005-0000-0000-0000C6910000}"/>
    <cellStyle name="检查单元格 2 9 7 2 6" xfId="37272" xr:uid="{00000000-0005-0000-0000-0000C8910000}"/>
    <cellStyle name="检查单元格 2 9 7 2 7" xfId="37274" xr:uid="{00000000-0005-0000-0000-0000CA910000}"/>
    <cellStyle name="检查单元格 2 9 7 2 8" xfId="37275" xr:uid="{00000000-0005-0000-0000-0000CB910000}"/>
    <cellStyle name="检查单元格 2 9 7 2 9" xfId="37276" xr:uid="{00000000-0005-0000-0000-0000CC910000}"/>
    <cellStyle name="检查单元格 2 9 7 3" xfId="37278" xr:uid="{00000000-0005-0000-0000-0000CE910000}"/>
    <cellStyle name="检查单元格 2 9 7 3 2" xfId="37280" xr:uid="{00000000-0005-0000-0000-0000D0910000}"/>
    <cellStyle name="检查单元格 2 9 7 3 2 2" xfId="37281" xr:uid="{00000000-0005-0000-0000-0000D1910000}"/>
    <cellStyle name="检查单元格 2 9 7 3 3" xfId="37283" xr:uid="{00000000-0005-0000-0000-0000D3910000}"/>
    <cellStyle name="检查单元格 2 9 7 3 3 2" xfId="37286" xr:uid="{00000000-0005-0000-0000-0000D6910000}"/>
    <cellStyle name="检查单元格 2 9 7 3 4" xfId="37288" xr:uid="{00000000-0005-0000-0000-0000D8910000}"/>
    <cellStyle name="检查单元格 2 9 7 3 4 2" xfId="37290" xr:uid="{00000000-0005-0000-0000-0000DA910000}"/>
    <cellStyle name="检查单元格 2 9 7 3 5" xfId="37292" xr:uid="{00000000-0005-0000-0000-0000DC910000}"/>
    <cellStyle name="检查单元格 2 9 7 3 5 2" xfId="37293" xr:uid="{00000000-0005-0000-0000-0000DD910000}"/>
    <cellStyle name="检查单元格 2 9 7 3 6" xfId="37295" xr:uid="{00000000-0005-0000-0000-0000DF910000}"/>
    <cellStyle name="检查单元格 2 9 7 4" xfId="37298" xr:uid="{00000000-0005-0000-0000-0000E2910000}"/>
    <cellStyle name="检查单元格 2 9 7 4 2" xfId="37300" xr:uid="{00000000-0005-0000-0000-0000E4910000}"/>
    <cellStyle name="检查单元格 2 9 7 4 2 2" xfId="36169" xr:uid="{00000000-0005-0000-0000-0000798D0000}"/>
    <cellStyle name="检查单元格 2 9 7 4 3" xfId="37301" xr:uid="{00000000-0005-0000-0000-0000E5910000}"/>
    <cellStyle name="检查单元格 2 9 7 4 3 2" xfId="29081" xr:uid="{00000000-0005-0000-0000-0000C9710000}"/>
    <cellStyle name="检查单元格 2 9 7 4 4" xfId="37303" xr:uid="{00000000-0005-0000-0000-0000E7910000}"/>
    <cellStyle name="检查单元格 2 9 7 4 4 2" xfId="37304" xr:uid="{00000000-0005-0000-0000-0000E8910000}"/>
    <cellStyle name="检查单元格 2 9 7 4 5" xfId="37306" xr:uid="{00000000-0005-0000-0000-0000EA910000}"/>
    <cellStyle name="检查单元格 2 9 7 4 5 2" xfId="37307" xr:uid="{00000000-0005-0000-0000-0000EB910000}"/>
    <cellStyle name="检查单元格 2 9 7 4 6" xfId="37309" xr:uid="{00000000-0005-0000-0000-0000ED910000}"/>
    <cellStyle name="检查单元格 2 9 7 5" xfId="3113" xr:uid="{00000000-0005-0000-0000-0000590C0000}"/>
    <cellStyle name="检查单元格 2 9 7 5 2" xfId="37312" xr:uid="{00000000-0005-0000-0000-0000F0910000}"/>
    <cellStyle name="检查单元格 2 9 7 5 2 2" xfId="36364" xr:uid="{00000000-0005-0000-0000-00003C8E0000}"/>
    <cellStyle name="检查单元格 2 9 7 5 3" xfId="37313" xr:uid="{00000000-0005-0000-0000-0000F1910000}"/>
    <cellStyle name="检查单元格 2 9 7 5 3 2" xfId="29257" xr:uid="{00000000-0005-0000-0000-000079720000}"/>
    <cellStyle name="检查单元格 2 9 7 5 4" xfId="37314" xr:uid="{00000000-0005-0000-0000-0000F2910000}"/>
    <cellStyle name="检查单元格 2 9 7 5 4 2" xfId="37315" xr:uid="{00000000-0005-0000-0000-0000F3910000}"/>
    <cellStyle name="检查单元格 2 9 7 5 5" xfId="37317" xr:uid="{00000000-0005-0000-0000-0000F5910000}"/>
    <cellStyle name="检查单元格 2 9 7 6" xfId="37319" xr:uid="{00000000-0005-0000-0000-0000F7910000}"/>
    <cellStyle name="检查单元格 2 9 7 6 2" xfId="37321" xr:uid="{00000000-0005-0000-0000-0000F9910000}"/>
    <cellStyle name="检查单元格 2 9 7 7" xfId="37323" xr:uid="{00000000-0005-0000-0000-0000FB910000}"/>
    <cellStyle name="检查单元格 2 9 7 7 2" xfId="37324" xr:uid="{00000000-0005-0000-0000-0000FC910000}"/>
    <cellStyle name="检查单元格 2 9 7 8" xfId="37327" xr:uid="{00000000-0005-0000-0000-0000FF910000}"/>
    <cellStyle name="检查单元格 2 9 7 8 2" xfId="37329" xr:uid="{00000000-0005-0000-0000-000001920000}"/>
    <cellStyle name="检查单元格 2 9 7 9" xfId="18537" xr:uid="{00000000-0005-0000-0000-000099480000}"/>
    <cellStyle name="检查单元格 2 9 7 9 2" xfId="37330" xr:uid="{00000000-0005-0000-0000-000002920000}"/>
    <cellStyle name="检查单元格 2 9 8" xfId="37334" xr:uid="{00000000-0005-0000-0000-000006920000}"/>
    <cellStyle name="检查单元格 2 9 8 2" xfId="19400" xr:uid="{00000000-0005-0000-0000-0000F84B0000}"/>
    <cellStyle name="检查单元格 2 9 8 2 2" xfId="13398" xr:uid="{00000000-0005-0000-0000-000086340000}"/>
    <cellStyle name="检查单元格 2 9 8 2 2 2" xfId="37336" xr:uid="{00000000-0005-0000-0000-000008920000}"/>
    <cellStyle name="检查单元格 2 9 8 2 3" xfId="37337" xr:uid="{00000000-0005-0000-0000-000009920000}"/>
    <cellStyle name="检查单元格 2 9 8 2 3 2" xfId="37339" xr:uid="{00000000-0005-0000-0000-00000B920000}"/>
    <cellStyle name="检查单元格 2 9 8 2 4" xfId="37340" xr:uid="{00000000-0005-0000-0000-00000C920000}"/>
    <cellStyle name="检查单元格 2 9 8 2 4 2" xfId="37342" xr:uid="{00000000-0005-0000-0000-00000E920000}"/>
    <cellStyle name="检查单元格 2 9 8 2 5" xfId="37345" xr:uid="{00000000-0005-0000-0000-000011920000}"/>
    <cellStyle name="检查单元格 2 9 8 2 5 2" xfId="37349" xr:uid="{00000000-0005-0000-0000-000015920000}"/>
    <cellStyle name="检查单元格 2 9 8 2 6" xfId="37350" xr:uid="{00000000-0005-0000-0000-000016920000}"/>
    <cellStyle name="检查单元格 2 9 8 2 7" xfId="37352" xr:uid="{00000000-0005-0000-0000-000018920000}"/>
    <cellStyle name="检查单元格 2 9 8 2 8" xfId="37354" xr:uid="{00000000-0005-0000-0000-00001A920000}"/>
    <cellStyle name="检查单元格 2 9 8 2 9" xfId="37355" xr:uid="{00000000-0005-0000-0000-00001B920000}"/>
    <cellStyle name="检查单元格 2 9 8 3" xfId="19404" xr:uid="{00000000-0005-0000-0000-0000FC4B0000}"/>
    <cellStyle name="检查单元格 2 9 8 3 2" xfId="19409" xr:uid="{00000000-0005-0000-0000-0000014C0000}"/>
    <cellStyle name="检查单元格 2 9 8 3 2 2" xfId="37356" xr:uid="{00000000-0005-0000-0000-00001C920000}"/>
    <cellStyle name="检查单元格 2 9 8 3 3" xfId="37357" xr:uid="{00000000-0005-0000-0000-00001D920000}"/>
    <cellStyle name="检查单元格 2 9 8 3 3 2" xfId="37360" xr:uid="{00000000-0005-0000-0000-000020920000}"/>
    <cellStyle name="检查单元格 2 9 8 3 4" xfId="37361" xr:uid="{00000000-0005-0000-0000-000021920000}"/>
    <cellStyle name="检查单元格 2 9 8 3 4 2" xfId="37362" xr:uid="{00000000-0005-0000-0000-000022920000}"/>
    <cellStyle name="检查单元格 2 9 8 3 5" xfId="37363" xr:uid="{00000000-0005-0000-0000-000023920000}"/>
    <cellStyle name="检查单元格 2 9 8 3 5 2" xfId="37364" xr:uid="{00000000-0005-0000-0000-000024920000}"/>
    <cellStyle name="检查单元格 2 9 8 3 6" xfId="37365" xr:uid="{00000000-0005-0000-0000-000025920000}"/>
    <cellStyle name="检查单元格 2 9 8 4" xfId="19413" xr:uid="{00000000-0005-0000-0000-0000054C0000}"/>
    <cellStyle name="检查单元格 2 9 8 4 2" xfId="33238" xr:uid="{00000000-0005-0000-0000-000006820000}"/>
    <cellStyle name="检查单元格 2 9 8 4 2 2" xfId="37367" xr:uid="{00000000-0005-0000-0000-000027920000}"/>
    <cellStyle name="检查单元格 2 9 8 4 3" xfId="37369" xr:uid="{00000000-0005-0000-0000-000029920000}"/>
    <cellStyle name="检查单元格 2 9 8 4 3 2" xfId="33917" xr:uid="{00000000-0005-0000-0000-0000AD840000}"/>
    <cellStyle name="检查单元格 2 9 8 4 4" xfId="37372" xr:uid="{00000000-0005-0000-0000-00002C920000}"/>
    <cellStyle name="检查单元格 2 9 8 4 4 2" xfId="37374" xr:uid="{00000000-0005-0000-0000-00002E920000}"/>
    <cellStyle name="检查单元格 2 9 8 4 5" xfId="37375" xr:uid="{00000000-0005-0000-0000-00002F920000}"/>
    <cellStyle name="检查单元格 2 9 8 4 5 2" xfId="37377" xr:uid="{00000000-0005-0000-0000-000031920000}"/>
    <cellStyle name="检查单元格 2 9 8 4 6" xfId="37378" xr:uid="{00000000-0005-0000-0000-000032920000}"/>
    <cellStyle name="检查单元格 2 9 8 5" xfId="3123" xr:uid="{00000000-0005-0000-0000-0000630C0000}"/>
    <cellStyle name="检查单元格 2 9 8 5 2" xfId="26301" xr:uid="{00000000-0005-0000-0000-0000ED660000}"/>
    <cellStyle name="检查单元格 2 9 8 5 2 2" xfId="37381" xr:uid="{00000000-0005-0000-0000-000035920000}"/>
    <cellStyle name="检查单元格 2 9 8 5 3" xfId="26384" xr:uid="{00000000-0005-0000-0000-000040670000}"/>
    <cellStyle name="检查单元格 2 9 8 5 3 2" xfId="34060" xr:uid="{00000000-0005-0000-0000-00003C850000}"/>
    <cellStyle name="检查单元格 2 9 8 5 4" xfId="37382" xr:uid="{00000000-0005-0000-0000-000036920000}"/>
    <cellStyle name="检查单元格 2 9 8 5 4 2" xfId="26515" xr:uid="{00000000-0005-0000-0000-0000C3670000}"/>
    <cellStyle name="检查单元格 2 9 8 5 5" xfId="37383" xr:uid="{00000000-0005-0000-0000-000037920000}"/>
    <cellStyle name="检查单元格 2 9 8 6" xfId="8877" xr:uid="{00000000-0005-0000-0000-0000DD220000}"/>
    <cellStyle name="检查单元格 2 9 8 7" xfId="7627" xr:uid="{00000000-0005-0000-0000-0000FB1D0000}"/>
    <cellStyle name="检查单元格 2 9 8 8" xfId="6123" xr:uid="{00000000-0005-0000-0000-00001B180000}"/>
    <cellStyle name="检查单元格 2 9 9" xfId="19881" xr:uid="{00000000-0005-0000-0000-0000D94D0000}"/>
    <cellStyle name="检查单元格 2 9 9 2" xfId="14811" xr:uid="{00000000-0005-0000-0000-00000B3A0000}"/>
    <cellStyle name="检查单元格 2 9 9 2 2" xfId="14814" xr:uid="{00000000-0005-0000-0000-00000E3A0000}"/>
    <cellStyle name="检查单元格 2 9 9 3" xfId="14817" xr:uid="{00000000-0005-0000-0000-0000113A0000}"/>
    <cellStyle name="检查单元格 2 9 9 3 2" xfId="14821" xr:uid="{00000000-0005-0000-0000-0000153A0000}"/>
    <cellStyle name="检查单元格 2 9 9 4" xfId="14825" xr:uid="{00000000-0005-0000-0000-0000193A0000}"/>
    <cellStyle name="检查单元格 2 9 9 4 2" xfId="33244" xr:uid="{00000000-0005-0000-0000-00000C820000}"/>
    <cellStyle name="检查单元格 2 9 9 5" xfId="3135" xr:uid="{00000000-0005-0000-0000-00006F0C0000}"/>
    <cellStyle name="检查单元格 2 9 9 5 2" xfId="29245" xr:uid="{00000000-0005-0000-0000-00006D720000}"/>
    <cellStyle name="检查单元格 2 9 9 6" xfId="8924" xr:uid="{00000000-0005-0000-0000-00000C230000}"/>
    <cellStyle name="检查单元格 3" xfId="37385" xr:uid="{00000000-0005-0000-0000-000039920000}"/>
    <cellStyle name="解释性文本 2" xfId="37387" xr:uid="{00000000-0005-0000-0000-00003B920000}"/>
    <cellStyle name="解释性文本 3" xfId="37388" xr:uid="{00000000-0005-0000-0000-00003C920000}"/>
    <cellStyle name="警告文本 2" xfId="37389" xr:uid="{00000000-0005-0000-0000-00003D920000}"/>
    <cellStyle name="警告文本 3" xfId="15843" xr:uid="{00000000-0005-0000-0000-0000133E0000}"/>
    <cellStyle name="链接单元格 2" xfId="8698" xr:uid="{00000000-0005-0000-0000-00002A220000}"/>
    <cellStyle name="链接单元格 3" xfId="37390" xr:uid="{00000000-0005-0000-0000-00003E920000}"/>
    <cellStyle name="霓付 [0]_97MBO" xfId="29980" xr:uid="{00000000-0005-0000-0000-00004C750000}"/>
    <cellStyle name="霓付_97MBO" xfId="37391" xr:uid="{00000000-0005-0000-0000-00003F920000}"/>
    <cellStyle name="烹拳 [0]_97MBO" xfId="37393" xr:uid="{00000000-0005-0000-0000-000041920000}"/>
    <cellStyle name="烹拳_97MBO" xfId="37395" xr:uid="{00000000-0005-0000-0000-000043920000}"/>
    <cellStyle name="普通_ 白土" xfId="26125" xr:uid="{00000000-0005-0000-0000-00003D660000}"/>
    <cellStyle name="千分位[0]_ 白土" xfId="12768" xr:uid="{00000000-0005-0000-0000-000010320000}"/>
    <cellStyle name="千分位_ 白土" xfId="25923" xr:uid="{00000000-0005-0000-0000-000073650000}"/>
    <cellStyle name="千位[0]_laroux" xfId="13718" xr:uid="{00000000-0005-0000-0000-0000C6350000}"/>
    <cellStyle name="千位_laroux" xfId="37397" xr:uid="{00000000-0005-0000-0000-000045920000}"/>
    <cellStyle name="钎霖_laroux" xfId="37399" xr:uid="{00000000-0005-0000-0000-000047920000}"/>
    <cellStyle name="强调文字颜色 1 2" xfId="29380" xr:uid="{00000000-0005-0000-0000-0000F4720000}"/>
    <cellStyle name="强调文字颜色 1 3" xfId="22708" xr:uid="{00000000-0005-0000-0000-0000E4580000}"/>
    <cellStyle name="强调文字颜色 2 2" xfId="29383" xr:uid="{00000000-0005-0000-0000-0000F7720000}"/>
    <cellStyle name="强调文字颜色 2 3" xfId="22715" xr:uid="{00000000-0005-0000-0000-0000EB580000}"/>
    <cellStyle name="强调文字颜色 3 2" xfId="36561" xr:uid="{00000000-0005-0000-0000-0000018F0000}"/>
    <cellStyle name="强调文字颜色 3 3" xfId="1680" xr:uid="{00000000-0005-0000-0000-0000C0060000}"/>
    <cellStyle name="强调文字颜色 4 2" xfId="36613" xr:uid="{00000000-0005-0000-0000-0000358F0000}"/>
    <cellStyle name="强调文字颜色 4 3" xfId="36623" xr:uid="{00000000-0005-0000-0000-00003F8F0000}"/>
    <cellStyle name="强调文字颜色 5 2" xfId="29092" xr:uid="{00000000-0005-0000-0000-0000D4710000}"/>
    <cellStyle name="强调文字颜色 5 3" xfId="36656" xr:uid="{00000000-0005-0000-0000-0000608F0000}"/>
    <cellStyle name="强调文字颜色 6 2" xfId="29097" xr:uid="{00000000-0005-0000-0000-0000D9710000}"/>
    <cellStyle name="强调文字颜色 6 3" xfId="36712" xr:uid="{00000000-0005-0000-0000-0000988F0000}"/>
    <cellStyle name="适中 2" xfId="7296" xr:uid="{00000000-0005-0000-0000-0000B01C0000}"/>
    <cellStyle name="适中 3" xfId="15918" xr:uid="{00000000-0005-0000-0000-00005E3E0000}"/>
    <cellStyle name="输出 2" xfId="37343" xr:uid="{00000000-0005-0000-0000-00000F920000}"/>
    <cellStyle name="输出 2 10" xfId="37402" xr:uid="{00000000-0005-0000-0000-00004A920000}"/>
    <cellStyle name="输出 2 10 10" xfId="32587" xr:uid="{00000000-0005-0000-0000-00007B7F0000}"/>
    <cellStyle name="输出 2 10 10 10" xfId="30980" xr:uid="{00000000-0005-0000-0000-000034790000}"/>
    <cellStyle name="输出 2 10 10 10 2" xfId="30984" xr:uid="{00000000-0005-0000-0000-000038790000}"/>
    <cellStyle name="输出 2 10 10 11" xfId="30988" xr:uid="{00000000-0005-0000-0000-00003C790000}"/>
    <cellStyle name="输出 2 10 10 11 2" xfId="37405" xr:uid="{00000000-0005-0000-0000-00004D920000}"/>
    <cellStyle name="输出 2 10 10 12" xfId="37407" xr:uid="{00000000-0005-0000-0000-00004F920000}"/>
    <cellStyle name="输出 2 10 10 12 2" xfId="37411" xr:uid="{00000000-0005-0000-0000-000053920000}"/>
    <cellStyle name="输出 2 10 10 13" xfId="37413" xr:uid="{00000000-0005-0000-0000-000055920000}"/>
    <cellStyle name="输出 2 10 10 14" xfId="37414" xr:uid="{00000000-0005-0000-0000-000056920000}"/>
    <cellStyle name="输出 2 10 10 15" xfId="37415" xr:uid="{00000000-0005-0000-0000-000057920000}"/>
    <cellStyle name="输出 2 10 10 16" xfId="37416" xr:uid="{00000000-0005-0000-0000-000058920000}"/>
    <cellStyle name="输出 2 10 10 2" xfId="37418" xr:uid="{00000000-0005-0000-0000-00005A920000}"/>
    <cellStyle name="输出 2 10 10 2 2" xfId="37419" xr:uid="{00000000-0005-0000-0000-00005B920000}"/>
    <cellStyle name="输出 2 10 10 2 2 2" xfId="37420" xr:uid="{00000000-0005-0000-0000-00005C920000}"/>
    <cellStyle name="输出 2 10 10 2 3" xfId="37421" xr:uid="{00000000-0005-0000-0000-00005D920000}"/>
    <cellStyle name="输出 2 10 10 2 3 2" xfId="37422" xr:uid="{00000000-0005-0000-0000-00005E920000}"/>
    <cellStyle name="输出 2 10 10 2 4" xfId="37423" xr:uid="{00000000-0005-0000-0000-00005F920000}"/>
    <cellStyle name="输出 2 10 10 2 4 2" xfId="37424" xr:uid="{00000000-0005-0000-0000-000060920000}"/>
    <cellStyle name="输出 2 10 10 2 5" xfId="37425" xr:uid="{00000000-0005-0000-0000-000061920000}"/>
    <cellStyle name="输出 2 10 10 2 5 2" xfId="34961" xr:uid="{00000000-0005-0000-0000-0000C1880000}"/>
    <cellStyle name="输出 2 10 10 2 6" xfId="37426" xr:uid="{00000000-0005-0000-0000-000062920000}"/>
    <cellStyle name="输出 2 10 10 2 7" xfId="37427" xr:uid="{00000000-0005-0000-0000-000063920000}"/>
    <cellStyle name="输出 2 10 10 2 8" xfId="28055" xr:uid="{00000000-0005-0000-0000-0000C76D0000}"/>
    <cellStyle name="输出 2 10 10 2 9" xfId="28064" xr:uid="{00000000-0005-0000-0000-0000D06D0000}"/>
    <cellStyle name="输出 2 10 10 3" xfId="27896" xr:uid="{00000000-0005-0000-0000-0000286D0000}"/>
    <cellStyle name="输出 2 10 10 3 2" xfId="37429" xr:uid="{00000000-0005-0000-0000-000065920000}"/>
    <cellStyle name="输出 2 10 10 3 2 2" xfId="37430" xr:uid="{00000000-0005-0000-0000-000066920000}"/>
    <cellStyle name="输出 2 10 10 3 3" xfId="37431" xr:uid="{00000000-0005-0000-0000-000067920000}"/>
    <cellStyle name="输出 2 10 10 3 3 2" xfId="37432" xr:uid="{00000000-0005-0000-0000-000068920000}"/>
    <cellStyle name="输出 2 10 10 3 4" xfId="37433" xr:uid="{00000000-0005-0000-0000-000069920000}"/>
    <cellStyle name="输出 2 10 10 3 4 2" xfId="37434" xr:uid="{00000000-0005-0000-0000-00006A920000}"/>
    <cellStyle name="输出 2 10 10 3 5" xfId="37435" xr:uid="{00000000-0005-0000-0000-00006B920000}"/>
    <cellStyle name="输出 2 10 10 3 5 2" xfId="34996" xr:uid="{00000000-0005-0000-0000-0000E4880000}"/>
    <cellStyle name="输出 2 10 10 3 6" xfId="37436" xr:uid="{00000000-0005-0000-0000-00006C920000}"/>
    <cellStyle name="输出 2 10 10 4" xfId="15034" xr:uid="{00000000-0005-0000-0000-0000EA3A0000}"/>
    <cellStyle name="输出 2 10 10 4 2" xfId="37437" xr:uid="{00000000-0005-0000-0000-00006D920000}"/>
    <cellStyle name="输出 2 10 10 4 2 2" xfId="37438" xr:uid="{00000000-0005-0000-0000-00006E920000}"/>
    <cellStyle name="输出 2 10 10 4 3" xfId="37439" xr:uid="{00000000-0005-0000-0000-00006F920000}"/>
    <cellStyle name="输出 2 10 10 4 3 2" xfId="37440" xr:uid="{00000000-0005-0000-0000-000070920000}"/>
    <cellStyle name="输出 2 10 10 4 4" xfId="37441" xr:uid="{00000000-0005-0000-0000-000071920000}"/>
    <cellStyle name="输出 2 10 10 4 4 2" xfId="37442" xr:uid="{00000000-0005-0000-0000-000072920000}"/>
    <cellStyle name="输出 2 10 10 4 5" xfId="37443" xr:uid="{00000000-0005-0000-0000-000073920000}"/>
    <cellStyle name="输出 2 10 10 4 5 2" xfId="35038" xr:uid="{00000000-0005-0000-0000-00000E890000}"/>
    <cellStyle name="输出 2 10 10 4 6" xfId="37444" xr:uid="{00000000-0005-0000-0000-000074920000}"/>
    <cellStyle name="输出 2 10 10 5" xfId="37445" xr:uid="{00000000-0005-0000-0000-000075920000}"/>
    <cellStyle name="输出 2 10 10 5 2" xfId="37446" xr:uid="{00000000-0005-0000-0000-000076920000}"/>
    <cellStyle name="输出 2 10 10 5 2 2" xfId="22723" xr:uid="{00000000-0005-0000-0000-0000F3580000}"/>
    <cellStyle name="输出 2 10 10 5 3" xfId="37448" xr:uid="{00000000-0005-0000-0000-000078920000}"/>
    <cellStyle name="输出 2 10 10 5 3 2" xfId="22755" xr:uid="{00000000-0005-0000-0000-000013590000}"/>
    <cellStyle name="输出 2 10 10 5 4" xfId="37450" xr:uid="{00000000-0005-0000-0000-00007A920000}"/>
    <cellStyle name="输出 2 10 10 5 4 2" xfId="22799" xr:uid="{00000000-0005-0000-0000-00003F590000}"/>
    <cellStyle name="输出 2 10 10 5 5" xfId="37452" xr:uid="{00000000-0005-0000-0000-00007C920000}"/>
    <cellStyle name="输出 2 10 10 5 5 2" xfId="22847" xr:uid="{00000000-0005-0000-0000-00006F590000}"/>
    <cellStyle name="输出 2 10 10 5 6" xfId="37454" xr:uid="{00000000-0005-0000-0000-00007E920000}"/>
    <cellStyle name="输出 2 10 10 6" xfId="37455" xr:uid="{00000000-0005-0000-0000-00007F920000}"/>
    <cellStyle name="输出 2 10 10 6 2" xfId="30783" xr:uid="{00000000-0005-0000-0000-00006F780000}"/>
    <cellStyle name="输出 2 10 10 6 2 2" xfId="37456" xr:uid="{00000000-0005-0000-0000-000080920000}"/>
    <cellStyle name="输出 2 10 10 6 3" xfId="12863" xr:uid="{00000000-0005-0000-0000-00006F320000}"/>
    <cellStyle name="输出 2 10 10 6 3 2" xfId="37457" xr:uid="{00000000-0005-0000-0000-000081920000}"/>
    <cellStyle name="输出 2 10 10 6 4" xfId="37458" xr:uid="{00000000-0005-0000-0000-000082920000}"/>
    <cellStyle name="输出 2 10 10 6 4 2" xfId="37459" xr:uid="{00000000-0005-0000-0000-000083920000}"/>
    <cellStyle name="输出 2 10 10 6 5" xfId="12134" xr:uid="{00000000-0005-0000-0000-0000962F0000}"/>
    <cellStyle name="输出 2 10 10 6 5 2" xfId="37460" xr:uid="{00000000-0005-0000-0000-000084920000}"/>
    <cellStyle name="输出 2 10 10 6 6" xfId="37461" xr:uid="{00000000-0005-0000-0000-000085920000}"/>
    <cellStyle name="输出 2 10 10 7" xfId="37462" xr:uid="{00000000-0005-0000-0000-000086920000}"/>
    <cellStyle name="输出 2 10 10 7 2" xfId="21891" xr:uid="{00000000-0005-0000-0000-0000B3550000}"/>
    <cellStyle name="输出 2 10 10 7 2 2" xfId="21893" xr:uid="{00000000-0005-0000-0000-0000B5550000}"/>
    <cellStyle name="输出 2 10 10 7 3" xfId="12866" xr:uid="{00000000-0005-0000-0000-000072320000}"/>
    <cellStyle name="输出 2 10 10 7 3 2" xfId="37463" xr:uid="{00000000-0005-0000-0000-000087920000}"/>
    <cellStyle name="输出 2 10 10 7 4" xfId="21895" xr:uid="{00000000-0005-0000-0000-0000B7550000}"/>
    <cellStyle name="输出 2 10 10 7 4 2" xfId="37464" xr:uid="{00000000-0005-0000-0000-000088920000}"/>
    <cellStyle name="输出 2 10 10 7 5" xfId="12145" xr:uid="{00000000-0005-0000-0000-0000A12F0000}"/>
    <cellStyle name="输出 2 10 10 7 5 2" xfId="37465" xr:uid="{00000000-0005-0000-0000-000089920000}"/>
    <cellStyle name="输出 2 10 10 7 6" xfId="21897" xr:uid="{00000000-0005-0000-0000-0000B9550000}"/>
    <cellStyle name="输出 2 10 10 8" xfId="37466" xr:uid="{00000000-0005-0000-0000-00008A920000}"/>
    <cellStyle name="输出 2 10 10 8 2" xfId="21903" xr:uid="{00000000-0005-0000-0000-0000BF550000}"/>
    <cellStyle name="输出 2 10 10 8 2 2" xfId="21905" xr:uid="{00000000-0005-0000-0000-0000C1550000}"/>
    <cellStyle name="输出 2 10 10 8 3" xfId="12869" xr:uid="{00000000-0005-0000-0000-000075320000}"/>
    <cellStyle name="输出 2 10 10 8 3 2" xfId="37468" xr:uid="{00000000-0005-0000-0000-00008C920000}"/>
    <cellStyle name="输出 2 10 10 8 4" xfId="37469" xr:uid="{00000000-0005-0000-0000-00008D920000}"/>
    <cellStyle name="输出 2 10 10 8 4 2" xfId="37470" xr:uid="{00000000-0005-0000-0000-00008E920000}"/>
    <cellStyle name="输出 2 10 10 8 5" xfId="12157" xr:uid="{00000000-0005-0000-0000-0000AD2F0000}"/>
    <cellStyle name="输出 2 10 10 9" xfId="36757" xr:uid="{00000000-0005-0000-0000-0000C58F0000}"/>
    <cellStyle name="输出 2 10 10 9 2" xfId="21916" xr:uid="{00000000-0005-0000-0000-0000CC550000}"/>
    <cellStyle name="输出 2 10 11" xfId="37471" xr:uid="{00000000-0005-0000-0000-00008F920000}"/>
    <cellStyle name="输出 2 10 11 10" xfId="37473" xr:uid="{00000000-0005-0000-0000-000091920000}"/>
    <cellStyle name="输出 2 10 11 10 2" xfId="11356" xr:uid="{00000000-0005-0000-0000-00008C2C0000}"/>
    <cellStyle name="输出 2 10 11 11" xfId="35439" xr:uid="{00000000-0005-0000-0000-00009F8A0000}"/>
    <cellStyle name="输出 2 10 11 11 2" xfId="11376" xr:uid="{00000000-0005-0000-0000-0000A02C0000}"/>
    <cellStyle name="输出 2 10 11 12" xfId="30587" xr:uid="{00000000-0005-0000-0000-0000AB770000}"/>
    <cellStyle name="输出 2 10 11 12 2" xfId="8827" xr:uid="{00000000-0005-0000-0000-0000AB220000}"/>
    <cellStyle name="输出 2 10 11 13" xfId="37475" xr:uid="{00000000-0005-0000-0000-000093920000}"/>
    <cellStyle name="输出 2 10 11 14" xfId="37085" xr:uid="{00000000-0005-0000-0000-00000D910000}"/>
    <cellStyle name="输出 2 10 11 15" xfId="37110" xr:uid="{00000000-0005-0000-0000-000026910000}"/>
    <cellStyle name="输出 2 10 11 16" xfId="37132" xr:uid="{00000000-0005-0000-0000-00003C910000}"/>
    <cellStyle name="输出 2 10 11 2" xfId="37476" xr:uid="{00000000-0005-0000-0000-000094920000}"/>
    <cellStyle name="输出 2 10 11 2 2" xfId="37477" xr:uid="{00000000-0005-0000-0000-000095920000}"/>
    <cellStyle name="输出 2 10 11 2 2 2" xfId="37478" xr:uid="{00000000-0005-0000-0000-000096920000}"/>
    <cellStyle name="输出 2 10 11 2 3" xfId="37479" xr:uid="{00000000-0005-0000-0000-000097920000}"/>
    <cellStyle name="输出 2 10 11 2 3 2" xfId="14158" xr:uid="{00000000-0005-0000-0000-00007E370000}"/>
    <cellStyle name="输出 2 10 11 2 4" xfId="37480" xr:uid="{00000000-0005-0000-0000-000098920000}"/>
    <cellStyle name="输出 2 10 11 2 4 2" xfId="37481" xr:uid="{00000000-0005-0000-0000-000099920000}"/>
    <cellStyle name="输出 2 10 11 2 5" xfId="37482" xr:uid="{00000000-0005-0000-0000-00009A920000}"/>
    <cellStyle name="输出 2 10 11 2 5 2" xfId="35300" xr:uid="{00000000-0005-0000-0000-0000148A0000}"/>
    <cellStyle name="输出 2 10 11 2 6" xfId="37483" xr:uid="{00000000-0005-0000-0000-00009B920000}"/>
    <cellStyle name="输出 2 10 11 3" xfId="27899" xr:uid="{00000000-0005-0000-0000-00002B6D0000}"/>
    <cellStyle name="输出 2 10 11 3 2" xfId="37484" xr:uid="{00000000-0005-0000-0000-00009C920000}"/>
    <cellStyle name="输出 2 10 11 3 2 2" xfId="37485" xr:uid="{00000000-0005-0000-0000-00009D920000}"/>
    <cellStyle name="输出 2 10 11 3 3" xfId="37486" xr:uid="{00000000-0005-0000-0000-00009E920000}"/>
    <cellStyle name="输出 2 10 11 3 3 2" xfId="14937" xr:uid="{00000000-0005-0000-0000-0000893A0000}"/>
    <cellStyle name="输出 2 10 11 3 4" xfId="37487" xr:uid="{00000000-0005-0000-0000-00009F920000}"/>
    <cellStyle name="输出 2 10 11 3 4 2" xfId="37488" xr:uid="{00000000-0005-0000-0000-0000A0920000}"/>
    <cellStyle name="输出 2 10 11 3 5" xfId="37489" xr:uid="{00000000-0005-0000-0000-0000A1920000}"/>
    <cellStyle name="输出 2 10 11 3 5 2" xfId="35350" xr:uid="{00000000-0005-0000-0000-0000468A0000}"/>
    <cellStyle name="输出 2 10 11 3 6" xfId="37490" xr:uid="{00000000-0005-0000-0000-0000A2920000}"/>
    <cellStyle name="输出 2 10 11 4" xfId="15037" xr:uid="{00000000-0005-0000-0000-0000ED3A0000}"/>
    <cellStyle name="输出 2 10 11 4 2" xfId="37491" xr:uid="{00000000-0005-0000-0000-0000A3920000}"/>
    <cellStyle name="输出 2 10 11 4 2 2" xfId="12533" xr:uid="{00000000-0005-0000-0000-000025310000}"/>
    <cellStyle name="输出 2 10 11 4 3" xfId="37492" xr:uid="{00000000-0005-0000-0000-0000A4920000}"/>
    <cellStyle name="输出 2 10 11 4 3 2" xfId="37493" xr:uid="{00000000-0005-0000-0000-0000A5920000}"/>
    <cellStyle name="输出 2 10 11 4 4" xfId="37494" xr:uid="{00000000-0005-0000-0000-0000A6920000}"/>
    <cellStyle name="输出 2 10 11 4 4 2" xfId="37495" xr:uid="{00000000-0005-0000-0000-0000A7920000}"/>
    <cellStyle name="输出 2 10 11 4 5" xfId="37496" xr:uid="{00000000-0005-0000-0000-0000A8920000}"/>
    <cellStyle name="输出 2 10 11 4 5 2" xfId="35419" xr:uid="{00000000-0005-0000-0000-00008B8A0000}"/>
    <cellStyle name="输出 2 10 11 4 6" xfId="37497" xr:uid="{00000000-0005-0000-0000-0000A9920000}"/>
    <cellStyle name="输出 2 10 11 5" xfId="37498" xr:uid="{00000000-0005-0000-0000-0000AA920000}"/>
    <cellStyle name="输出 2 10 11 5 2" xfId="37499" xr:uid="{00000000-0005-0000-0000-0000AB920000}"/>
    <cellStyle name="输出 2 10 11 5 2 2" xfId="12758" xr:uid="{00000000-0005-0000-0000-000006320000}"/>
    <cellStyle name="输出 2 10 11 5 3" xfId="37500" xr:uid="{00000000-0005-0000-0000-0000AC920000}"/>
    <cellStyle name="输出 2 10 11 5 3 2" xfId="37501" xr:uid="{00000000-0005-0000-0000-0000AD920000}"/>
    <cellStyle name="输出 2 10 11 5 4" xfId="37502" xr:uid="{00000000-0005-0000-0000-0000AE920000}"/>
    <cellStyle name="输出 2 10 11 5 4 2" xfId="37503" xr:uid="{00000000-0005-0000-0000-0000AF920000}"/>
    <cellStyle name="输出 2 10 11 5 5" xfId="37505" xr:uid="{00000000-0005-0000-0000-0000B1920000}"/>
    <cellStyle name="输出 2 10 11 5 5 2" xfId="37506" xr:uid="{00000000-0005-0000-0000-0000B2920000}"/>
    <cellStyle name="输出 2 10 11 5 6" xfId="37507" xr:uid="{00000000-0005-0000-0000-0000B3920000}"/>
    <cellStyle name="输出 2 10 11 6" xfId="37508" xr:uid="{00000000-0005-0000-0000-0000B4920000}"/>
    <cellStyle name="输出 2 10 11 6 2" xfId="31623" xr:uid="{00000000-0005-0000-0000-0000B77B0000}"/>
    <cellStyle name="输出 2 10 11 6 2 2" xfId="37509" xr:uid="{00000000-0005-0000-0000-0000B5920000}"/>
    <cellStyle name="输出 2 10 11 6 3" xfId="12890" xr:uid="{00000000-0005-0000-0000-00008A320000}"/>
    <cellStyle name="输出 2 10 11 6 3 2" xfId="37510" xr:uid="{00000000-0005-0000-0000-0000B6920000}"/>
    <cellStyle name="输出 2 10 11 6 4" xfId="37511" xr:uid="{00000000-0005-0000-0000-0000B7920000}"/>
    <cellStyle name="输出 2 10 11 6 4 2" xfId="37512" xr:uid="{00000000-0005-0000-0000-0000B8920000}"/>
    <cellStyle name="输出 2 10 11 6 5" xfId="12170" xr:uid="{00000000-0005-0000-0000-0000BA2F0000}"/>
    <cellStyle name="输出 2 10 11 6 5 2" xfId="37514" xr:uid="{00000000-0005-0000-0000-0000BA920000}"/>
    <cellStyle name="输出 2 10 11 6 6" xfId="37515" xr:uid="{00000000-0005-0000-0000-0000BB920000}"/>
    <cellStyle name="输出 2 10 11 7" xfId="37516" xr:uid="{00000000-0005-0000-0000-0000BC920000}"/>
    <cellStyle name="输出 2 10 11 7 2" xfId="22013" xr:uid="{00000000-0005-0000-0000-00002D560000}"/>
    <cellStyle name="输出 2 10 11 7 2 2" xfId="22015" xr:uid="{00000000-0005-0000-0000-00002F560000}"/>
    <cellStyle name="输出 2 10 11 7 3" xfId="12893" xr:uid="{00000000-0005-0000-0000-00008D320000}"/>
    <cellStyle name="输出 2 10 11 7 3 2" xfId="16061" xr:uid="{00000000-0005-0000-0000-0000ED3E0000}"/>
    <cellStyle name="输出 2 10 11 7 4" xfId="22017" xr:uid="{00000000-0005-0000-0000-000031560000}"/>
    <cellStyle name="输出 2 10 11 7 4 2" xfId="37517" xr:uid="{00000000-0005-0000-0000-0000BD920000}"/>
    <cellStyle name="输出 2 10 11 7 5" xfId="12174" xr:uid="{00000000-0005-0000-0000-0000BE2F0000}"/>
    <cellStyle name="输出 2 10 11 7 5 2" xfId="37518" xr:uid="{00000000-0005-0000-0000-0000BE920000}"/>
    <cellStyle name="输出 2 10 11 7 6" xfId="22019" xr:uid="{00000000-0005-0000-0000-000033560000}"/>
    <cellStyle name="输出 2 10 11 8" xfId="37519" xr:uid="{00000000-0005-0000-0000-0000BF920000}"/>
    <cellStyle name="输出 2 10 11 8 2" xfId="22029" xr:uid="{00000000-0005-0000-0000-00003D560000}"/>
    <cellStyle name="输出 2 10 11 8 2 2" xfId="22031" xr:uid="{00000000-0005-0000-0000-00003F560000}"/>
    <cellStyle name="输出 2 10 11 8 3" xfId="12896" xr:uid="{00000000-0005-0000-0000-000090320000}"/>
    <cellStyle name="输出 2 10 11 8 3 2" xfId="16746" xr:uid="{00000000-0005-0000-0000-00009A410000}"/>
    <cellStyle name="输出 2 10 11 8 4" xfId="37521" xr:uid="{00000000-0005-0000-0000-0000C1920000}"/>
    <cellStyle name="输出 2 10 11 8 4 2" xfId="37522" xr:uid="{00000000-0005-0000-0000-0000C2920000}"/>
    <cellStyle name="输出 2 10 11 8 5" xfId="12177" xr:uid="{00000000-0005-0000-0000-0000C12F0000}"/>
    <cellStyle name="输出 2 10 11 9" xfId="36760" xr:uid="{00000000-0005-0000-0000-0000C88F0000}"/>
    <cellStyle name="输出 2 10 11 9 2" xfId="22050" xr:uid="{00000000-0005-0000-0000-000052560000}"/>
    <cellStyle name="输出 2 10 12" xfId="37523" xr:uid="{00000000-0005-0000-0000-0000C3920000}"/>
    <cellStyle name="输出 2 10 12 2" xfId="37524" xr:uid="{00000000-0005-0000-0000-0000C4920000}"/>
    <cellStyle name="输出 2 10 12 2 2" xfId="37525" xr:uid="{00000000-0005-0000-0000-0000C5920000}"/>
    <cellStyle name="输出 2 10 12 3" xfId="37526" xr:uid="{00000000-0005-0000-0000-0000C6920000}"/>
    <cellStyle name="输出 2 10 12 3 2" xfId="37527" xr:uid="{00000000-0005-0000-0000-0000C7920000}"/>
    <cellStyle name="输出 2 10 12 4" xfId="15040" xr:uid="{00000000-0005-0000-0000-0000F03A0000}"/>
    <cellStyle name="输出 2 10 12 4 2" xfId="37528" xr:uid="{00000000-0005-0000-0000-0000C8920000}"/>
    <cellStyle name="输出 2 10 12 5" xfId="37529" xr:uid="{00000000-0005-0000-0000-0000C9920000}"/>
    <cellStyle name="输出 2 10 12 5 2" xfId="37530" xr:uid="{00000000-0005-0000-0000-0000CA920000}"/>
    <cellStyle name="输出 2 10 12 6" xfId="37531" xr:uid="{00000000-0005-0000-0000-0000CB920000}"/>
    <cellStyle name="输出 2 10 12 7" xfId="14770" xr:uid="{00000000-0005-0000-0000-0000E2390000}"/>
    <cellStyle name="输出 2 10 12 8" xfId="14783" xr:uid="{00000000-0005-0000-0000-0000EF390000}"/>
    <cellStyle name="输出 2 10 12 9" xfId="14796" xr:uid="{00000000-0005-0000-0000-0000FC390000}"/>
    <cellStyle name="输出 2 10 13" xfId="24427" xr:uid="{00000000-0005-0000-0000-00009B5F0000}"/>
    <cellStyle name="输出 2 10 13 2" xfId="37532" xr:uid="{00000000-0005-0000-0000-0000CC920000}"/>
    <cellStyle name="输出 2 10 13 2 2" xfId="37534" xr:uid="{00000000-0005-0000-0000-0000CE920000}"/>
    <cellStyle name="输出 2 10 13 3" xfId="37535" xr:uid="{00000000-0005-0000-0000-0000CF920000}"/>
    <cellStyle name="输出 2 10 13 3 2" xfId="37538" xr:uid="{00000000-0005-0000-0000-0000D2920000}"/>
    <cellStyle name="输出 2 10 13 4" xfId="15042" xr:uid="{00000000-0005-0000-0000-0000F23A0000}"/>
    <cellStyle name="输出 2 10 13 4 2" xfId="37539" xr:uid="{00000000-0005-0000-0000-0000D3920000}"/>
    <cellStyle name="输出 2 10 13 5" xfId="37540" xr:uid="{00000000-0005-0000-0000-0000D4920000}"/>
    <cellStyle name="输出 2 10 13 5 2" xfId="37542" xr:uid="{00000000-0005-0000-0000-0000D6920000}"/>
    <cellStyle name="输出 2 10 13 6" xfId="37543" xr:uid="{00000000-0005-0000-0000-0000D7920000}"/>
    <cellStyle name="输出 2 10 14" xfId="19712" xr:uid="{00000000-0005-0000-0000-0000304D0000}"/>
    <cellStyle name="输出 2 10 14 2" xfId="37544" xr:uid="{00000000-0005-0000-0000-0000D8920000}"/>
    <cellStyle name="输出 2 10 14 2 2" xfId="37546" xr:uid="{00000000-0005-0000-0000-0000DA920000}"/>
    <cellStyle name="输出 2 10 14 3" xfId="37547" xr:uid="{00000000-0005-0000-0000-0000DB920000}"/>
    <cellStyle name="输出 2 10 14 3 2" xfId="37549" xr:uid="{00000000-0005-0000-0000-0000DD920000}"/>
    <cellStyle name="输出 2 10 14 4" xfId="30566" xr:uid="{00000000-0005-0000-0000-000096770000}"/>
    <cellStyle name="输出 2 10 14 4 2" xfId="37550" xr:uid="{00000000-0005-0000-0000-0000DE920000}"/>
    <cellStyle name="输出 2 10 14 5" xfId="37551" xr:uid="{00000000-0005-0000-0000-0000DF920000}"/>
    <cellStyle name="输出 2 10 14 5 2" xfId="37552" xr:uid="{00000000-0005-0000-0000-0000E0920000}"/>
    <cellStyle name="输出 2 10 14 6" xfId="37553" xr:uid="{00000000-0005-0000-0000-0000E1920000}"/>
    <cellStyle name="输出 2 10 15" xfId="23869" xr:uid="{00000000-0005-0000-0000-00006D5D0000}"/>
    <cellStyle name="输出 2 10 15 2" xfId="23873" xr:uid="{00000000-0005-0000-0000-0000715D0000}"/>
    <cellStyle name="输出 2 10 15 2 2" xfId="37554" xr:uid="{00000000-0005-0000-0000-0000E2920000}"/>
    <cellStyle name="输出 2 10 15 3" xfId="37555" xr:uid="{00000000-0005-0000-0000-0000E3920000}"/>
    <cellStyle name="输出 2 10 15 3 2" xfId="37557" xr:uid="{00000000-0005-0000-0000-0000E5920000}"/>
    <cellStyle name="输出 2 10 15 4" xfId="30571" xr:uid="{00000000-0005-0000-0000-00009B770000}"/>
    <cellStyle name="输出 2 10 15 4 2" xfId="37558" xr:uid="{00000000-0005-0000-0000-0000E6920000}"/>
    <cellStyle name="输出 2 10 15 5" xfId="37559" xr:uid="{00000000-0005-0000-0000-0000E7920000}"/>
    <cellStyle name="输出 2 10 15 5 2" xfId="37560" xr:uid="{00000000-0005-0000-0000-0000E8920000}"/>
    <cellStyle name="输出 2 10 15 6" xfId="37562" xr:uid="{00000000-0005-0000-0000-0000EA920000}"/>
    <cellStyle name="输出 2 10 16" xfId="23876" xr:uid="{00000000-0005-0000-0000-0000745D0000}"/>
    <cellStyle name="输出 2 10 16 2" xfId="23880" xr:uid="{00000000-0005-0000-0000-0000785D0000}"/>
    <cellStyle name="输出 2 10 16 2 2" xfId="18384" xr:uid="{00000000-0005-0000-0000-000000480000}"/>
    <cellStyle name="输出 2 10 16 3" xfId="37563" xr:uid="{00000000-0005-0000-0000-0000EB920000}"/>
    <cellStyle name="输出 2 10 16 3 2" xfId="18437" xr:uid="{00000000-0005-0000-0000-000035480000}"/>
    <cellStyle name="输出 2 10 16 4" xfId="9343" xr:uid="{00000000-0005-0000-0000-0000AF240000}"/>
    <cellStyle name="输出 2 10 16 4 2" xfId="18483" xr:uid="{00000000-0005-0000-0000-000063480000}"/>
    <cellStyle name="输出 2 10 16 5" xfId="37564" xr:uid="{00000000-0005-0000-0000-0000EC920000}"/>
    <cellStyle name="输出 2 10 16 5 2" xfId="22579" xr:uid="{00000000-0005-0000-0000-000063580000}"/>
    <cellStyle name="输出 2 10 16 6" xfId="37565" xr:uid="{00000000-0005-0000-0000-0000ED920000}"/>
    <cellStyle name="输出 2 10 17" xfId="17180" xr:uid="{00000000-0005-0000-0000-00004C430000}"/>
    <cellStyle name="输出 2 10 17 2" xfId="23884" xr:uid="{00000000-0005-0000-0000-00007C5D0000}"/>
    <cellStyle name="输出 2 10 17 2 2" xfId="18708" xr:uid="{00000000-0005-0000-0000-000044490000}"/>
    <cellStyle name="输出 2 10 17 3" xfId="37566" xr:uid="{00000000-0005-0000-0000-0000EE920000}"/>
    <cellStyle name="输出 2 10 17 3 2" xfId="18760" xr:uid="{00000000-0005-0000-0000-000078490000}"/>
    <cellStyle name="输出 2 10 17 4" xfId="9351" xr:uid="{00000000-0005-0000-0000-0000B7240000}"/>
    <cellStyle name="输出 2 10 17 4 2" xfId="13828" xr:uid="{00000000-0005-0000-0000-000034360000}"/>
    <cellStyle name="输出 2 10 17 5" xfId="37567" xr:uid="{00000000-0005-0000-0000-0000EF920000}"/>
    <cellStyle name="输出 2 10 17 5 2" xfId="22689" xr:uid="{00000000-0005-0000-0000-0000D1580000}"/>
    <cellStyle name="输出 2 10 17 6" xfId="37568" xr:uid="{00000000-0005-0000-0000-0000F0920000}"/>
    <cellStyle name="输出 2 10 18" xfId="23888" xr:uid="{00000000-0005-0000-0000-0000805D0000}"/>
    <cellStyle name="输出 2 10 18 2" xfId="23893" xr:uid="{00000000-0005-0000-0000-0000855D0000}"/>
    <cellStyle name="输出 2 10 18 2 2" xfId="1722" xr:uid="{00000000-0005-0000-0000-0000EA060000}"/>
    <cellStyle name="输出 2 10 18 3" xfId="37569" xr:uid="{00000000-0005-0000-0000-0000F1920000}"/>
    <cellStyle name="输出 2 10 18 3 2" xfId="37572" xr:uid="{00000000-0005-0000-0000-0000F4920000}"/>
    <cellStyle name="输出 2 10 18 4" xfId="9356" xr:uid="{00000000-0005-0000-0000-0000BC240000}"/>
    <cellStyle name="输出 2 10 18 4 2" xfId="37576" xr:uid="{00000000-0005-0000-0000-0000F8920000}"/>
    <cellStyle name="输出 2 10 18 5" xfId="37578" xr:uid="{00000000-0005-0000-0000-0000FA920000}"/>
    <cellStyle name="输出 2 10 18 5 2" xfId="37581" xr:uid="{00000000-0005-0000-0000-0000FD920000}"/>
    <cellStyle name="输出 2 10 18 6" xfId="37582" xr:uid="{00000000-0005-0000-0000-0000FE920000}"/>
    <cellStyle name="输出 2 10 19" xfId="23896" xr:uid="{00000000-0005-0000-0000-0000885D0000}"/>
    <cellStyle name="输出 2 10 19 2" xfId="37584" xr:uid="{00000000-0005-0000-0000-000000930000}"/>
    <cellStyle name="输出 2 10 19 2 2" xfId="37587" xr:uid="{00000000-0005-0000-0000-000003930000}"/>
    <cellStyle name="输出 2 10 19 3" xfId="37590" xr:uid="{00000000-0005-0000-0000-000006930000}"/>
    <cellStyle name="输出 2 10 19 3 2" xfId="37593" xr:uid="{00000000-0005-0000-0000-000009930000}"/>
    <cellStyle name="输出 2 10 19 4" xfId="37596" xr:uid="{00000000-0005-0000-0000-00000C930000}"/>
    <cellStyle name="输出 2 10 19 4 2" xfId="37600" xr:uid="{00000000-0005-0000-0000-000010930000}"/>
    <cellStyle name="输出 2 10 19 5" xfId="37603" xr:uid="{00000000-0005-0000-0000-000013930000}"/>
    <cellStyle name="输出 2 10 2" xfId="5976" xr:uid="{00000000-0005-0000-0000-000088170000}"/>
    <cellStyle name="输出 2 10 2 10" xfId="14233" xr:uid="{00000000-0005-0000-0000-0000C9370000}"/>
    <cellStyle name="输出 2 10 2 10 2" xfId="37605" xr:uid="{00000000-0005-0000-0000-000015930000}"/>
    <cellStyle name="输出 2 10 2 11" xfId="14266" xr:uid="{00000000-0005-0000-0000-0000EA370000}"/>
    <cellStyle name="输出 2 10 2 11 2" xfId="37607" xr:uid="{00000000-0005-0000-0000-000017930000}"/>
    <cellStyle name="输出 2 10 2 12" xfId="14277" xr:uid="{00000000-0005-0000-0000-0000F5370000}"/>
    <cellStyle name="输出 2 10 2 12 2" xfId="37608" xr:uid="{00000000-0005-0000-0000-000018930000}"/>
    <cellStyle name="输出 2 10 2 13" xfId="14293" xr:uid="{00000000-0005-0000-0000-000005380000}"/>
    <cellStyle name="输出 2 10 2 14" xfId="37610" xr:uid="{00000000-0005-0000-0000-00001A930000}"/>
    <cellStyle name="输出 2 10 2 15" xfId="37611" xr:uid="{00000000-0005-0000-0000-00001B930000}"/>
    <cellStyle name="输出 2 10 2 16" xfId="37612" xr:uid="{00000000-0005-0000-0000-00001C930000}"/>
    <cellStyle name="输出 2 10 2 2" xfId="685" xr:uid="{00000000-0005-0000-0000-0000DD020000}"/>
    <cellStyle name="输出 2 10 2 2 2" xfId="37614" xr:uid="{00000000-0005-0000-0000-00001E930000}"/>
    <cellStyle name="输出 2 10 2 2 2 2" xfId="37616" xr:uid="{00000000-0005-0000-0000-000020930000}"/>
    <cellStyle name="输出 2 10 2 2 3" xfId="30946" xr:uid="{00000000-0005-0000-0000-000012790000}"/>
    <cellStyle name="输出 2 10 2 2 3 2" xfId="37618" xr:uid="{00000000-0005-0000-0000-000022930000}"/>
    <cellStyle name="输出 2 10 2 2 4" xfId="37620" xr:uid="{00000000-0005-0000-0000-000024930000}"/>
    <cellStyle name="输出 2 10 2 2 4 2" xfId="3972" xr:uid="{00000000-0005-0000-0000-0000B40F0000}"/>
    <cellStyle name="输出 2 10 2 2 5" xfId="37621" xr:uid="{00000000-0005-0000-0000-000025930000}"/>
    <cellStyle name="输出 2 10 2 2 5 2" xfId="16635" xr:uid="{00000000-0005-0000-0000-00002B410000}"/>
    <cellStyle name="输出 2 10 2 2 6" xfId="10311" xr:uid="{00000000-0005-0000-0000-000077280000}"/>
    <cellStyle name="输出 2 10 2 2 7" xfId="20776" xr:uid="{00000000-0005-0000-0000-000058510000}"/>
    <cellStyle name="输出 2 10 2 2 8" xfId="37622" xr:uid="{00000000-0005-0000-0000-000026930000}"/>
    <cellStyle name="输出 2 10 2 2 9" xfId="11021" xr:uid="{00000000-0005-0000-0000-00003D2B0000}"/>
    <cellStyle name="输出 2 10 2 3" xfId="37624" xr:uid="{00000000-0005-0000-0000-000028930000}"/>
    <cellStyle name="输出 2 10 2 3 2" xfId="37625" xr:uid="{00000000-0005-0000-0000-000029930000}"/>
    <cellStyle name="输出 2 10 2 3 2 2" xfId="37626" xr:uid="{00000000-0005-0000-0000-00002A930000}"/>
    <cellStyle name="输出 2 10 2 3 3" xfId="30958" xr:uid="{00000000-0005-0000-0000-00001E790000}"/>
    <cellStyle name="输出 2 10 2 3 3 2" xfId="37627" xr:uid="{00000000-0005-0000-0000-00002B930000}"/>
    <cellStyle name="输出 2 10 2 3 4" xfId="37628" xr:uid="{00000000-0005-0000-0000-00002C930000}"/>
    <cellStyle name="输出 2 10 2 3 4 2" xfId="5430" xr:uid="{00000000-0005-0000-0000-000066150000}"/>
    <cellStyle name="输出 2 10 2 3 5" xfId="37629" xr:uid="{00000000-0005-0000-0000-00002D930000}"/>
    <cellStyle name="输出 2 10 2 3 5 2" xfId="37630" xr:uid="{00000000-0005-0000-0000-00002E930000}"/>
    <cellStyle name="输出 2 10 2 3 6" xfId="10326" xr:uid="{00000000-0005-0000-0000-000086280000}"/>
    <cellStyle name="输出 2 10 2 4" xfId="37631" xr:uid="{00000000-0005-0000-0000-00002F930000}"/>
    <cellStyle name="输出 2 10 2 4 2" xfId="27525" xr:uid="{00000000-0005-0000-0000-0000B56B0000}"/>
    <cellStyle name="输出 2 10 2 4 2 2" xfId="37632" xr:uid="{00000000-0005-0000-0000-000030930000}"/>
    <cellStyle name="输出 2 10 2 4 3" xfId="3957" xr:uid="{00000000-0005-0000-0000-0000A50F0000}"/>
    <cellStyle name="输出 2 10 2 4 3 2" xfId="37633" xr:uid="{00000000-0005-0000-0000-000031930000}"/>
    <cellStyle name="输出 2 10 2 4 4" xfId="27527" xr:uid="{00000000-0005-0000-0000-0000B76B0000}"/>
    <cellStyle name="输出 2 10 2 4 4 2" xfId="37634" xr:uid="{00000000-0005-0000-0000-000032930000}"/>
    <cellStyle name="输出 2 10 2 4 5" xfId="37635" xr:uid="{00000000-0005-0000-0000-000033930000}"/>
    <cellStyle name="输出 2 10 2 4 5 2" xfId="37636" xr:uid="{00000000-0005-0000-0000-000034930000}"/>
    <cellStyle name="输出 2 10 2 4 6" xfId="3990" xr:uid="{00000000-0005-0000-0000-0000C60F0000}"/>
    <cellStyle name="输出 2 10 2 5" xfId="37637" xr:uid="{00000000-0005-0000-0000-000035930000}"/>
    <cellStyle name="输出 2 10 2 5 2" xfId="21216" xr:uid="{00000000-0005-0000-0000-000010530000}"/>
    <cellStyle name="输出 2 10 2 5 2 2" xfId="21218" xr:uid="{00000000-0005-0000-0000-000012530000}"/>
    <cellStyle name="输出 2 10 2 5 3" xfId="21220" xr:uid="{00000000-0005-0000-0000-000014530000}"/>
    <cellStyle name="输出 2 10 2 5 3 2" xfId="3937" xr:uid="{00000000-0005-0000-0000-0000910F0000}"/>
    <cellStyle name="输出 2 10 2 5 4" xfId="21222" xr:uid="{00000000-0005-0000-0000-000016530000}"/>
    <cellStyle name="输出 2 10 2 5 4 2" xfId="4135" xr:uid="{00000000-0005-0000-0000-000057100000}"/>
    <cellStyle name="输出 2 10 2 5 5" xfId="21224" xr:uid="{00000000-0005-0000-0000-000018530000}"/>
    <cellStyle name="输出 2 10 2 5 5 2" xfId="37639" xr:uid="{00000000-0005-0000-0000-000037930000}"/>
    <cellStyle name="输出 2 10 2 5 6" xfId="13921" xr:uid="{00000000-0005-0000-0000-000091360000}"/>
    <cellStyle name="输出 2 10 2 6" xfId="2253" xr:uid="{00000000-0005-0000-0000-0000FD080000}"/>
    <cellStyle name="输出 2 10 2 6 2" xfId="335" xr:uid="{00000000-0005-0000-0000-000070010000}"/>
    <cellStyle name="输出 2 10 2 6 2 2" xfId="720" xr:uid="{00000000-0005-0000-0000-000000030000}"/>
    <cellStyle name="输出 2 10 2 6 3" xfId="268" xr:uid="{00000000-0005-0000-0000-000027010000}"/>
    <cellStyle name="输出 2 10 2 6 3 2" xfId="738" xr:uid="{00000000-0005-0000-0000-000012030000}"/>
    <cellStyle name="输出 2 10 2 6 4" xfId="4734" xr:uid="{00000000-0005-0000-0000-0000AE120000}"/>
    <cellStyle name="输出 2 10 2 6 4 2" xfId="4482" xr:uid="{00000000-0005-0000-0000-0000B2110000}"/>
    <cellStyle name="输出 2 10 2 6 5" xfId="4739" xr:uid="{00000000-0005-0000-0000-0000B3120000}"/>
    <cellStyle name="输出 2 10 2 6 5 2" xfId="37640" xr:uid="{00000000-0005-0000-0000-000038930000}"/>
    <cellStyle name="输出 2 10 2 6 6" xfId="4752" xr:uid="{00000000-0005-0000-0000-0000C0120000}"/>
    <cellStyle name="输出 2 10 2 7" xfId="37641" xr:uid="{00000000-0005-0000-0000-000039930000}"/>
    <cellStyle name="输出 2 10 2 7 2" xfId="768" xr:uid="{00000000-0005-0000-0000-000030030000}"/>
    <cellStyle name="输出 2 10 2 7 2 2" xfId="2802" xr:uid="{00000000-0005-0000-0000-0000220B0000}"/>
    <cellStyle name="输出 2 10 2 7 3" xfId="4774" xr:uid="{00000000-0005-0000-0000-0000D6120000}"/>
    <cellStyle name="输出 2 10 2 7 3 2" xfId="4780" xr:uid="{00000000-0005-0000-0000-0000DC120000}"/>
    <cellStyle name="输出 2 10 2 7 4" xfId="2665" xr:uid="{00000000-0005-0000-0000-0000990A0000}"/>
    <cellStyle name="输出 2 10 2 7 4 2" xfId="4763" xr:uid="{00000000-0005-0000-0000-0000CB120000}"/>
    <cellStyle name="输出 2 10 2 7 5" xfId="4785" xr:uid="{00000000-0005-0000-0000-0000E1120000}"/>
    <cellStyle name="输出 2 10 2 7 5 2" xfId="37643" xr:uid="{00000000-0005-0000-0000-00003B930000}"/>
    <cellStyle name="输出 2 10 2 7 6" xfId="37644" xr:uid="{00000000-0005-0000-0000-00003C930000}"/>
    <cellStyle name="输出 2 10 2 8" xfId="37645" xr:uid="{00000000-0005-0000-0000-00003D930000}"/>
    <cellStyle name="输出 2 10 2 8 2" xfId="794" xr:uid="{00000000-0005-0000-0000-00004A030000}"/>
    <cellStyle name="输出 2 10 2 8 2 2" xfId="3240" xr:uid="{00000000-0005-0000-0000-0000D80C0000}"/>
    <cellStyle name="输出 2 10 2 8 3" xfId="4797" xr:uid="{00000000-0005-0000-0000-0000ED120000}"/>
    <cellStyle name="输出 2 10 2 8 3 2" xfId="4804" xr:uid="{00000000-0005-0000-0000-0000F4120000}"/>
    <cellStyle name="输出 2 10 2 8 4" xfId="2688" xr:uid="{00000000-0005-0000-0000-0000B00A0000}"/>
    <cellStyle name="输出 2 10 2 8 4 2" xfId="4813" xr:uid="{00000000-0005-0000-0000-0000FD120000}"/>
    <cellStyle name="输出 2 10 2 8 5" xfId="4817" xr:uid="{00000000-0005-0000-0000-000001130000}"/>
    <cellStyle name="输出 2 10 2 9" xfId="37649" xr:uid="{00000000-0005-0000-0000-000041930000}"/>
    <cellStyle name="输出 2 10 2 9 2" xfId="831" xr:uid="{00000000-0005-0000-0000-00006F030000}"/>
    <cellStyle name="输出 2 10 20" xfId="23870" xr:uid="{00000000-0005-0000-0000-00006E5D0000}"/>
    <cellStyle name="输出 2 10 20 2" xfId="23874" xr:uid="{00000000-0005-0000-0000-0000725D0000}"/>
    <cellStyle name="输出 2 10 21" xfId="23877" xr:uid="{00000000-0005-0000-0000-0000755D0000}"/>
    <cellStyle name="输出 2 10 21 2" xfId="23881" xr:uid="{00000000-0005-0000-0000-0000795D0000}"/>
    <cellStyle name="输出 2 10 22" xfId="17181" xr:uid="{00000000-0005-0000-0000-00004D430000}"/>
    <cellStyle name="输出 2 10 22 2" xfId="23885" xr:uid="{00000000-0005-0000-0000-00007D5D0000}"/>
    <cellStyle name="输出 2 10 23" xfId="23889" xr:uid="{00000000-0005-0000-0000-0000815D0000}"/>
    <cellStyle name="输出 2 10 23 2" xfId="23894" xr:uid="{00000000-0005-0000-0000-0000865D0000}"/>
    <cellStyle name="输出 2 10 24" xfId="23897" xr:uid="{00000000-0005-0000-0000-0000895D0000}"/>
    <cellStyle name="输出 2 10 25" xfId="37652" xr:uid="{00000000-0005-0000-0000-000044930000}"/>
    <cellStyle name="输出 2 10 26" xfId="37653" xr:uid="{00000000-0005-0000-0000-000045930000}"/>
    <cellStyle name="输出 2 10 27" xfId="37347" xr:uid="{00000000-0005-0000-0000-000013920000}"/>
    <cellStyle name="输出 2 10 3" xfId="5990" xr:uid="{00000000-0005-0000-0000-000096170000}"/>
    <cellStyle name="输出 2 10 3 10" xfId="14649" xr:uid="{00000000-0005-0000-0000-000069390000}"/>
    <cellStyle name="输出 2 10 3 10 2" xfId="37654" xr:uid="{00000000-0005-0000-0000-000046930000}"/>
    <cellStyle name="输出 2 10 3 11" xfId="6904" xr:uid="{00000000-0005-0000-0000-0000281B0000}"/>
    <cellStyle name="输出 2 10 3 11 2" xfId="37655" xr:uid="{00000000-0005-0000-0000-000047930000}"/>
    <cellStyle name="输出 2 10 3 12" xfId="14654" xr:uid="{00000000-0005-0000-0000-00006E390000}"/>
    <cellStyle name="输出 2 10 3 12 2" xfId="37656" xr:uid="{00000000-0005-0000-0000-000048930000}"/>
    <cellStyle name="输出 2 10 3 13" xfId="14658" xr:uid="{00000000-0005-0000-0000-000072390000}"/>
    <cellStyle name="输出 2 10 3 14" xfId="3528" xr:uid="{00000000-0005-0000-0000-0000F80D0000}"/>
    <cellStyle name="输出 2 10 3 15" xfId="14320" xr:uid="{00000000-0005-0000-0000-000020380000}"/>
    <cellStyle name="输出 2 10 3 16" xfId="37657" xr:uid="{00000000-0005-0000-0000-000049930000}"/>
    <cellStyle name="输出 2 10 3 2" xfId="6004" xr:uid="{00000000-0005-0000-0000-0000A4170000}"/>
    <cellStyle name="输出 2 10 3 2 2" xfId="37660" xr:uid="{00000000-0005-0000-0000-00004C930000}"/>
    <cellStyle name="输出 2 10 3 2 2 2" xfId="18480" xr:uid="{00000000-0005-0000-0000-000060480000}"/>
    <cellStyle name="输出 2 10 3 2 3" xfId="30985" xr:uid="{00000000-0005-0000-0000-000039790000}"/>
    <cellStyle name="输出 2 10 3 2 3 2" xfId="16732" xr:uid="{00000000-0005-0000-0000-00008C410000}"/>
    <cellStyle name="输出 2 10 3 2 4" xfId="37662" xr:uid="{00000000-0005-0000-0000-00004E930000}"/>
    <cellStyle name="输出 2 10 3 2 4 2" xfId="37663" xr:uid="{00000000-0005-0000-0000-00004F930000}"/>
    <cellStyle name="输出 2 10 3 2 5" xfId="37664" xr:uid="{00000000-0005-0000-0000-000050930000}"/>
    <cellStyle name="输出 2 10 3 2 5 2" xfId="12546" xr:uid="{00000000-0005-0000-0000-000032310000}"/>
    <cellStyle name="输出 2 10 3 2 6" xfId="10373" xr:uid="{00000000-0005-0000-0000-0000B5280000}"/>
    <cellStyle name="输出 2 10 3 2 7" xfId="12550" xr:uid="{00000000-0005-0000-0000-000036310000}"/>
    <cellStyle name="输出 2 10 3 2 8" xfId="37665" xr:uid="{00000000-0005-0000-0000-000051930000}"/>
    <cellStyle name="输出 2 10 3 2 9" xfId="7981" xr:uid="{00000000-0005-0000-0000-00005D1F0000}"/>
    <cellStyle name="输出 2 10 3 3" xfId="37666" xr:uid="{00000000-0005-0000-0000-000052930000}"/>
    <cellStyle name="输出 2 10 3 3 2" xfId="37667" xr:uid="{00000000-0005-0000-0000-000053930000}"/>
    <cellStyle name="输出 2 10 3 3 2 2" xfId="37670" xr:uid="{00000000-0005-0000-0000-000056930000}"/>
    <cellStyle name="输出 2 10 3 3 3" xfId="37404" xr:uid="{00000000-0005-0000-0000-00004C920000}"/>
    <cellStyle name="输出 2 10 3 3 3 2" xfId="37672" xr:uid="{00000000-0005-0000-0000-000058930000}"/>
    <cellStyle name="输出 2 10 3 3 4" xfId="37673" xr:uid="{00000000-0005-0000-0000-000059930000}"/>
    <cellStyle name="输出 2 10 3 3 4 2" xfId="37675" xr:uid="{00000000-0005-0000-0000-00005B930000}"/>
    <cellStyle name="输出 2 10 3 3 5" xfId="37676" xr:uid="{00000000-0005-0000-0000-00005C930000}"/>
    <cellStyle name="输出 2 10 3 3 5 2" xfId="37678" xr:uid="{00000000-0005-0000-0000-00005E930000}"/>
    <cellStyle name="输出 2 10 3 3 6" xfId="10380" xr:uid="{00000000-0005-0000-0000-0000BC280000}"/>
    <cellStyle name="输出 2 10 3 4" xfId="37679" xr:uid="{00000000-0005-0000-0000-00005F930000}"/>
    <cellStyle name="输出 2 10 3 4 2" xfId="37680" xr:uid="{00000000-0005-0000-0000-000060930000}"/>
    <cellStyle name="输出 2 10 3 4 2 2" xfId="37682" xr:uid="{00000000-0005-0000-0000-000062930000}"/>
    <cellStyle name="输出 2 10 3 4 3" xfId="37410" xr:uid="{00000000-0005-0000-0000-000052920000}"/>
    <cellStyle name="输出 2 10 3 4 3 2" xfId="37684" xr:uid="{00000000-0005-0000-0000-000064930000}"/>
    <cellStyle name="输出 2 10 3 4 4" xfId="37685" xr:uid="{00000000-0005-0000-0000-000065930000}"/>
    <cellStyle name="输出 2 10 3 4 4 2" xfId="37687" xr:uid="{00000000-0005-0000-0000-000067930000}"/>
    <cellStyle name="输出 2 10 3 4 5" xfId="37688" xr:uid="{00000000-0005-0000-0000-000068930000}"/>
    <cellStyle name="输出 2 10 3 4 5 2" xfId="37690" xr:uid="{00000000-0005-0000-0000-00006A930000}"/>
    <cellStyle name="输出 2 10 3 4 6" xfId="5465" xr:uid="{00000000-0005-0000-0000-000089150000}"/>
    <cellStyle name="输出 2 10 3 5" xfId="37691" xr:uid="{00000000-0005-0000-0000-00006B930000}"/>
    <cellStyle name="输出 2 10 3 5 2" xfId="37693" xr:uid="{00000000-0005-0000-0000-00006D930000}"/>
    <cellStyle name="输出 2 10 3 5 2 2" xfId="37695" xr:uid="{00000000-0005-0000-0000-00006F930000}"/>
    <cellStyle name="输出 2 10 3 5 3" xfId="37696" xr:uid="{00000000-0005-0000-0000-000070930000}"/>
    <cellStyle name="输出 2 10 3 5 3 2" xfId="37697" xr:uid="{00000000-0005-0000-0000-000071930000}"/>
    <cellStyle name="输出 2 10 3 5 4" xfId="14154" xr:uid="{00000000-0005-0000-0000-00007A370000}"/>
    <cellStyle name="输出 2 10 3 5 4 2" xfId="37698" xr:uid="{00000000-0005-0000-0000-000072930000}"/>
    <cellStyle name="输出 2 10 3 5 5" xfId="37699" xr:uid="{00000000-0005-0000-0000-000073930000}"/>
    <cellStyle name="输出 2 10 3 5 5 2" xfId="37700" xr:uid="{00000000-0005-0000-0000-000074930000}"/>
    <cellStyle name="输出 2 10 3 5 6" xfId="13942" xr:uid="{00000000-0005-0000-0000-0000A6360000}"/>
    <cellStyle name="输出 2 10 3 6" xfId="4998" xr:uid="{00000000-0005-0000-0000-0000B6130000}"/>
    <cellStyle name="输出 2 10 3 6 2" xfId="37701" xr:uid="{00000000-0005-0000-0000-000075930000}"/>
    <cellStyle name="输出 2 10 3 6 2 2" xfId="37703" xr:uid="{00000000-0005-0000-0000-000077930000}"/>
    <cellStyle name="输出 2 10 3 6 3" xfId="37704" xr:uid="{00000000-0005-0000-0000-000078930000}"/>
    <cellStyle name="输出 2 10 3 6 3 2" xfId="37705" xr:uid="{00000000-0005-0000-0000-000079930000}"/>
    <cellStyle name="输出 2 10 3 6 4" xfId="5020" xr:uid="{00000000-0005-0000-0000-0000CC130000}"/>
    <cellStyle name="输出 2 10 3 6 4 2" xfId="37706" xr:uid="{00000000-0005-0000-0000-00007A930000}"/>
    <cellStyle name="输出 2 10 3 6 5" xfId="37707" xr:uid="{00000000-0005-0000-0000-00007B930000}"/>
    <cellStyle name="输出 2 10 3 6 5 2" xfId="37708" xr:uid="{00000000-0005-0000-0000-00007C930000}"/>
    <cellStyle name="输出 2 10 3 6 6" xfId="5030" xr:uid="{00000000-0005-0000-0000-0000D6130000}"/>
    <cellStyle name="输出 2 10 3 7" xfId="37709" xr:uid="{00000000-0005-0000-0000-00007D930000}"/>
    <cellStyle name="输出 2 10 3 7 2" xfId="37711" xr:uid="{00000000-0005-0000-0000-00007F930000}"/>
    <cellStyle name="输出 2 10 3 7 2 2" xfId="37714" xr:uid="{00000000-0005-0000-0000-000082930000}"/>
    <cellStyle name="输出 2 10 3 7 3" xfId="37715" xr:uid="{00000000-0005-0000-0000-000083930000}"/>
    <cellStyle name="输出 2 10 3 7 3 2" xfId="37717" xr:uid="{00000000-0005-0000-0000-000085930000}"/>
    <cellStyle name="输出 2 10 3 7 4" xfId="2758" xr:uid="{00000000-0005-0000-0000-0000F60A0000}"/>
    <cellStyle name="输出 2 10 3 7 4 2" xfId="37718" xr:uid="{00000000-0005-0000-0000-000086930000}"/>
    <cellStyle name="输出 2 10 3 7 5" xfId="37719" xr:uid="{00000000-0005-0000-0000-000087930000}"/>
    <cellStyle name="输出 2 10 3 7 5 2" xfId="37721" xr:uid="{00000000-0005-0000-0000-000089930000}"/>
    <cellStyle name="输出 2 10 3 7 6" xfId="37722" xr:uid="{00000000-0005-0000-0000-00008A930000}"/>
    <cellStyle name="输出 2 10 3 8" xfId="37723" xr:uid="{00000000-0005-0000-0000-00008B930000}"/>
    <cellStyle name="输出 2 10 3 8 2" xfId="37726" xr:uid="{00000000-0005-0000-0000-00008E930000}"/>
    <cellStyle name="输出 2 10 3 8 2 2" xfId="37730" xr:uid="{00000000-0005-0000-0000-000092930000}"/>
    <cellStyle name="输出 2 10 3 8 3" xfId="37731" xr:uid="{00000000-0005-0000-0000-000093930000}"/>
    <cellStyle name="输出 2 10 3 8 3 2" xfId="37732" xr:uid="{00000000-0005-0000-0000-000094930000}"/>
    <cellStyle name="输出 2 10 3 8 4" xfId="37733" xr:uid="{00000000-0005-0000-0000-000095930000}"/>
    <cellStyle name="输出 2 10 3 8 4 2" xfId="37734" xr:uid="{00000000-0005-0000-0000-000096930000}"/>
    <cellStyle name="输出 2 10 3 8 5" xfId="37735" xr:uid="{00000000-0005-0000-0000-000097930000}"/>
    <cellStyle name="输出 2 10 3 9" xfId="37736" xr:uid="{00000000-0005-0000-0000-000098930000}"/>
    <cellStyle name="输出 2 10 3 9 2" xfId="37739" xr:uid="{00000000-0005-0000-0000-00009B930000}"/>
    <cellStyle name="输出 2 10 4" xfId="6009" xr:uid="{00000000-0005-0000-0000-0000A9170000}"/>
    <cellStyle name="输出 2 10 4 10" xfId="14800" xr:uid="{00000000-0005-0000-0000-0000003A0000}"/>
    <cellStyle name="输出 2 10 4 10 2" xfId="22199" xr:uid="{00000000-0005-0000-0000-0000E7560000}"/>
    <cellStyle name="输出 2 10 4 11" xfId="11150" xr:uid="{00000000-0005-0000-0000-0000BE2B0000}"/>
    <cellStyle name="输出 2 10 4 11 2" xfId="22224" xr:uid="{00000000-0005-0000-0000-000000570000}"/>
    <cellStyle name="输出 2 10 4 12" xfId="7936" xr:uid="{00000000-0005-0000-0000-0000301F0000}"/>
    <cellStyle name="输出 2 10 4 12 2" xfId="22243" xr:uid="{00000000-0005-0000-0000-000013570000}"/>
    <cellStyle name="输出 2 10 4 13" xfId="11175" xr:uid="{00000000-0005-0000-0000-0000D72B0000}"/>
    <cellStyle name="输出 2 10 4 14" xfId="37743" xr:uid="{00000000-0005-0000-0000-00009F930000}"/>
    <cellStyle name="输出 2 10 4 15" xfId="8220" xr:uid="{00000000-0005-0000-0000-00004C200000}"/>
    <cellStyle name="输出 2 10 4 16" xfId="37744" xr:uid="{00000000-0005-0000-0000-0000A0930000}"/>
    <cellStyle name="输出 2 10 4 2" xfId="6018" xr:uid="{00000000-0005-0000-0000-0000B2170000}"/>
    <cellStyle name="输出 2 10 4 2 2" xfId="37746" xr:uid="{00000000-0005-0000-0000-0000A2930000}"/>
    <cellStyle name="输出 2 10 4 2 2 2" xfId="37748" xr:uid="{00000000-0005-0000-0000-0000A4930000}"/>
    <cellStyle name="输出 2 10 4 2 3" xfId="37750" xr:uid="{00000000-0005-0000-0000-0000A6930000}"/>
    <cellStyle name="输出 2 10 4 2 3 2" xfId="37753" xr:uid="{00000000-0005-0000-0000-0000A9930000}"/>
    <cellStyle name="输出 2 10 4 2 4" xfId="37755" xr:uid="{00000000-0005-0000-0000-0000AB930000}"/>
    <cellStyle name="输出 2 10 4 2 4 2" xfId="37757" xr:uid="{00000000-0005-0000-0000-0000AD930000}"/>
    <cellStyle name="输出 2 10 4 2 5" xfId="37758" xr:uid="{00000000-0005-0000-0000-0000AE930000}"/>
    <cellStyle name="输出 2 10 4 2 5 2" xfId="16877" xr:uid="{00000000-0005-0000-0000-00001D420000}"/>
    <cellStyle name="输出 2 10 4 2 6" xfId="10431" xr:uid="{00000000-0005-0000-0000-0000EF280000}"/>
    <cellStyle name="输出 2 10 4 2 7" xfId="20800" xr:uid="{00000000-0005-0000-0000-000070510000}"/>
    <cellStyle name="输出 2 10 4 2 8" xfId="37759" xr:uid="{00000000-0005-0000-0000-0000AF930000}"/>
    <cellStyle name="输出 2 10 4 2 9" xfId="37760" xr:uid="{00000000-0005-0000-0000-0000B0930000}"/>
    <cellStyle name="输出 2 10 4 3" xfId="37761" xr:uid="{00000000-0005-0000-0000-0000B1930000}"/>
    <cellStyle name="输出 2 10 4 3 2" xfId="37762" xr:uid="{00000000-0005-0000-0000-0000B2930000}"/>
    <cellStyle name="输出 2 10 4 3 2 2" xfId="37763" xr:uid="{00000000-0005-0000-0000-0000B3930000}"/>
    <cellStyle name="输出 2 10 4 3 3" xfId="37765" xr:uid="{00000000-0005-0000-0000-0000B5930000}"/>
    <cellStyle name="输出 2 10 4 3 3 2" xfId="37766" xr:uid="{00000000-0005-0000-0000-0000B6930000}"/>
    <cellStyle name="输出 2 10 4 3 4" xfId="37767" xr:uid="{00000000-0005-0000-0000-0000B7930000}"/>
    <cellStyle name="输出 2 10 4 3 4 2" xfId="37768" xr:uid="{00000000-0005-0000-0000-0000B8930000}"/>
    <cellStyle name="输出 2 10 4 3 5" xfId="37769" xr:uid="{00000000-0005-0000-0000-0000B9930000}"/>
    <cellStyle name="输出 2 10 4 3 5 2" xfId="37770" xr:uid="{00000000-0005-0000-0000-0000BA930000}"/>
    <cellStyle name="输出 2 10 4 3 6" xfId="10435" xr:uid="{00000000-0005-0000-0000-0000F3280000}"/>
    <cellStyle name="输出 2 10 4 4" xfId="37771" xr:uid="{00000000-0005-0000-0000-0000BB930000}"/>
    <cellStyle name="输出 2 10 4 4 2" xfId="37772" xr:uid="{00000000-0005-0000-0000-0000BC930000}"/>
    <cellStyle name="输出 2 10 4 4 2 2" xfId="37773" xr:uid="{00000000-0005-0000-0000-0000BD930000}"/>
    <cellStyle name="输出 2 10 4 4 3" xfId="37775" xr:uid="{00000000-0005-0000-0000-0000BF930000}"/>
    <cellStyle name="输出 2 10 4 4 3 2" xfId="37776" xr:uid="{00000000-0005-0000-0000-0000C0930000}"/>
    <cellStyle name="输出 2 10 4 4 4" xfId="37777" xr:uid="{00000000-0005-0000-0000-0000C1930000}"/>
    <cellStyle name="输出 2 10 4 4 4 2" xfId="37778" xr:uid="{00000000-0005-0000-0000-0000C2930000}"/>
    <cellStyle name="输出 2 10 4 4 5" xfId="37779" xr:uid="{00000000-0005-0000-0000-0000C3930000}"/>
    <cellStyle name="输出 2 10 4 4 5 2" xfId="37780" xr:uid="{00000000-0005-0000-0000-0000C4930000}"/>
    <cellStyle name="输出 2 10 4 4 6" xfId="13958" xr:uid="{00000000-0005-0000-0000-0000B6360000}"/>
    <cellStyle name="输出 2 10 4 5" xfId="37781" xr:uid="{00000000-0005-0000-0000-0000C5930000}"/>
    <cellStyle name="输出 2 10 4 5 2" xfId="37783" xr:uid="{00000000-0005-0000-0000-0000C7930000}"/>
    <cellStyle name="输出 2 10 4 5 2 2" xfId="37785" xr:uid="{00000000-0005-0000-0000-0000C9930000}"/>
    <cellStyle name="输出 2 10 4 5 3" xfId="37786" xr:uid="{00000000-0005-0000-0000-0000CA930000}"/>
    <cellStyle name="输出 2 10 4 5 3 2" xfId="37787" xr:uid="{00000000-0005-0000-0000-0000CB930000}"/>
    <cellStyle name="输出 2 10 4 5 4" xfId="37788" xr:uid="{00000000-0005-0000-0000-0000CC930000}"/>
    <cellStyle name="输出 2 10 4 5 4 2" xfId="37789" xr:uid="{00000000-0005-0000-0000-0000CD930000}"/>
    <cellStyle name="输出 2 10 4 5 5" xfId="37790" xr:uid="{00000000-0005-0000-0000-0000CE930000}"/>
    <cellStyle name="输出 2 10 4 5 5 2" xfId="37791" xr:uid="{00000000-0005-0000-0000-0000CF930000}"/>
    <cellStyle name="输出 2 10 4 5 6" xfId="13966" xr:uid="{00000000-0005-0000-0000-0000BE360000}"/>
    <cellStyle name="输出 2 10 4 6" xfId="37792" xr:uid="{00000000-0005-0000-0000-0000D0930000}"/>
    <cellStyle name="输出 2 10 4 6 2" xfId="37794" xr:uid="{00000000-0005-0000-0000-0000D2930000}"/>
    <cellStyle name="输出 2 10 4 6 2 2" xfId="30018" xr:uid="{00000000-0005-0000-0000-000072750000}"/>
    <cellStyle name="输出 2 10 4 6 3" xfId="37796" xr:uid="{00000000-0005-0000-0000-0000D4930000}"/>
    <cellStyle name="输出 2 10 4 6 3 2" xfId="37797" xr:uid="{00000000-0005-0000-0000-0000D5930000}"/>
    <cellStyle name="输出 2 10 4 6 4" xfId="37798" xr:uid="{00000000-0005-0000-0000-0000D6930000}"/>
    <cellStyle name="输出 2 10 4 6 4 2" xfId="37799" xr:uid="{00000000-0005-0000-0000-0000D7930000}"/>
    <cellStyle name="输出 2 10 4 6 5" xfId="37800" xr:uid="{00000000-0005-0000-0000-0000D8930000}"/>
    <cellStyle name="输出 2 10 4 6 5 2" xfId="37801" xr:uid="{00000000-0005-0000-0000-0000D9930000}"/>
    <cellStyle name="输出 2 10 4 6 6" xfId="37802" xr:uid="{00000000-0005-0000-0000-0000DA930000}"/>
    <cellStyle name="输出 2 10 4 7" xfId="37803" xr:uid="{00000000-0005-0000-0000-0000DB930000}"/>
    <cellStyle name="输出 2 10 4 7 2" xfId="37805" xr:uid="{00000000-0005-0000-0000-0000DD930000}"/>
    <cellStyle name="输出 2 10 4 7 2 2" xfId="37808" xr:uid="{00000000-0005-0000-0000-0000E0930000}"/>
    <cellStyle name="输出 2 10 4 7 3" xfId="37809" xr:uid="{00000000-0005-0000-0000-0000E1930000}"/>
    <cellStyle name="输出 2 10 4 7 3 2" xfId="37811" xr:uid="{00000000-0005-0000-0000-0000E3930000}"/>
    <cellStyle name="输出 2 10 4 7 4" xfId="37812" xr:uid="{00000000-0005-0000-0000-0000E4930000}"/>
    <cellStyle name="输出 2 10 4 7 4 2" xfId="37814" xr:uid="{00000000-0005-0000-0000-0000E6930000}"/>
    <cellStyle name="输出 2 10 4 7 5" xfId="37815" xr:uid="{00000000-0005-0000-0000-0000E7930000}"/>
    <cellStyle name="输出 2 10 4 7 5 2" xfId="37817" xr:uid="{00000000-0005-0000-0000-0000E9930000}"/>
    <cellStyle name="输出 2 10 4 7 6" xfId="37818" xr:uid="{00000000-0005-0000-0000-0000EA930000}"/>
    <cellStyle name="输出 2 10 4 8" xfId="37819" xr:uid="{00000000-0005-0000-0000-0000EB930000}"/>
    <cellStyle name="输出 2 10 4 8 2" xfId="37822" xr:uid="{00000000-0005-0000-0000-0000EE930000}"/>
    <cellStyle name="输出 2 10 4 8 2 2" xfId="37825" xr:uid="{00000000-0005-0000-0000-0000F1930000}"/>
    <cellStyle name="输出 2 10 4 8 3" xfId="37826" xr:uid="{00000000-0005-0000-0000-0000F2930000}"/>
    <cellStyle name="输出 2 10 4 8 3 2" xfId="37827" xr:uid="{00000000-0005-0000-0000-0000F3930000}"/>
    <cellStyle name="输出 2 10 4 8 4" xfId="37828" xr:uid="{00000000-0005-0000-0000-0000F4930000}"/>
    <cellStyle name="输出 2 10 4 8 4 2" xfId="37829" xr:uid="{00000000-0005-0000-0000-0000F5930000}"/>
    <cellStyle name="输出 2 10 4 8 5" xfId="652" xr:uid="{00000000-0005-0000-0000-0000BC020000}"/>
    <cellStyle name="输出 2 10 4 9" xfId="37830" xr:uid="{00000000-0005-0000-0000-0000F6930000}"/>
    <cellStyle name="输出 2 10 4 9 2" xfId="37832" xr:uid="{00000000-0005-0000-0000-0000F8930000}"/>
    <cellStyle name="输出 2 10 5" xfId="6032" xr:uid="{00000000-0005-0000-0000-0000C0170000}"/>
    <cellStyle name="输出 2 10 5 10" xfId="14936" xr:uid="{00000000-0005-0000-0000-0000883A0000}"/>
    <cellStyle name="输出 2 10 5 10 2" xfId="37835" xr:uid="{00000000-0005-0000-0000-0000FB930000}"/>
    <cellStyle name="输出 2 10 5 11" xfId="6314" xr:uid="{00000000-0005-0000-0000-0000DA180000}"/>
    <cellStyle name="输出 2 10 5 11 2" xfId="37836" xr:uid="{00000000-0005-0000-0000-0000FC930000}"/>
    <cellStyle name="输出 2 10 5 12" xfId="14939" xr:uid="{00000000-0005-0000-0000-00008B3A0000}"/>
    <cellStyle name="输出 2 10 5 12 2" xfId="37837" xr:uid="{00000000-0005-0000-0000-0000FD930000}"/>
    <cellStyle name="输出 2 10 5 13" xfId="14889" xr:uid="{00000000-0005-0000-0000-0000593A0000}"/>
    <cellStyle name="输出 2 10 5 14" xfId="37838" xr:uid="{00000000-0005-0000-0000-0000FE930000}"/>
    <cellStyle name="输出 2 10 5 15" xfId="37839" xr:uid="{00000000-0005-0000-0000-0000FF930000}"/>
    <cellStyle name="输出 2 10 5 16" xfId="37840" xr:uid="{00000000-0005-0000-0000-000000940000}"/>
    <cellStyle name="输出 2 10 5 2" xfId="37842" xr:uid="{00000000-0005-0000-0000-000002940000}"/>
    <cellStyle name="输出 2 10 5 2 2" xfId="37844" xr:uid="{00000000-0005-0000-0000-000004940000}"/>
    <cellStyle name="输出 2 10 5 2 2 2" xfId="37846" xr:uid="{00000000-0005-0000-0000-000006940000}"/>
    <cellStyle name="输出 2 10 5 2 3" xfId="37849" xr:uid="{00000000-0005-0000-0000-000009940000}"/>
    <cellStyle name="输出 2 10 5 2 3 2" xfId="29785" xr:uid="{00000000-0005-0000-0000-000089740000}"/>
    <cellStyle name="输出 2 10 5 2 4" xfId="37852" xr:uid="{00000000-0005-0000-0000-00000C940000}"/>
    <cellStyle name="输出 2 10 5 2 4 2" xfId="37855" xr:uid="{00000000-0005-0000-0000-00000F940000}"/>
    <cellStyle name="输出 2 10 5 2 5" xfId="37858" xr:uid="{00000000-0005-0000-0000-000012940000}"/>
    <cellStyle name="输出 2 10 5 2 5 2" xfId="30394" xr:uid="{00000000-0005-0000-0000-0000EA760000}"/>
    <cellStyle name="输出 2 10 5 2 6" xfId="37859" xr:uid="{00000000-0005-0000-0000-000013940000}"/>
    <cellStyle name="输出 2 10 5 2 7" xfId="37860" xr:uid="{00000000-0005-0000-0000-000014940000}"/>
    <cellStyle name="输出 2 10 5 2 8" xfId="37861" xr:uid="{00000000-0005-0000-0000-000015940000}"/>
    <cellStyle name="输出 2 10 5 2 9" xfId="37862" xr:uid="{00000000-0005-0000-0000-000016940000}"/>
    <cellStyle name="输出 2 10 5 3" xfId="37863" xr:uid="{00000000-0005-0000-0000-000017940000}"/>
    <cellStyle name="输出 2 10 5 3 2" xfId="37864" xr:uid="{00000000-0005-0000-0000-000018940000}"/>
    <cellStyle name="输出 2 10 5 3 2 2" xfId="37865" xr:uid="{00000000-0005-0000-0000-000019940000}"/>
    <cellStyle name="输出 2 10 5 3 3" xfId="37868" xr:uid="{00000000-0005-0000-0000-00001C940000}"/>
    <cellStyle name="输出 2 10 5 3 3 2" xfId="37869" xr:uid="{00000000-0005-0000-0000-00001D940000}"/>
    <cellStyle name="输出 2 10 5 3 4" xfId="37870" xr:uid="{00000000-0005-0000-0000-00001E940000}"/>
    <cellStyle name="输出 2 10 5 3 4 2" xfId="37871" xr:uid="{00000000-0005-0000-0000-00001F940000}"/>
    <cellStyle name="输出 2 10 5 3 5" xfId="37874" xr:uid="{00000000-0005-0000-0000-000022940000}"/>
    <cellStyle name="输出 2 10 5 3 5 2" xfId="37875" xr:uid="{00000000-0005-0000-0000-000023940000}"/>
    <cellStyle name="输出 2 10 5 3 6" xfId="37876" xr:uid="{00000000-0005-0000-0000-000024940000}"/>
    <cellStyle name="输出 2 10 5 4" xfId="37877" xr:uid="{00000000-0005-0000-0000-000025940000}"/>
    <cellStyle name="输出 2 10 5 4 2" xfId="37878" xr:uid="{00000000-0005-0000-0000-000026940000}"/>
    <cellStyle name="输出 2 10 5 4 2 2" xfId="37879" xr:uid="{00000000-0005-0000-0000-000027940000}"/>
    <cellStyle name="输出 2 10 5 4 3" xfId="37882" xr:uid="{00000000-0005-0000-0000-00002A940000}"/>
    <cellStyle name="输出 2 10 5 4 3 2" xfId="37883" xr:uid="{00000000-0005-0000-0000-00002B940000}"/>
    <cellStyle name="输出 2 10 5 4 4" xfId="37885" xr:uid="{00000000-0005-0000-0000-00002D940000}"/>
    <cellStyle name="输出 2 10 5 4 4 2" xfId="37886" xr:uid="{00000000-0005-0000-0000-00002E940000}"/>
    <cellStyle name="输出 2 10 5 4 5" xfId="37888" xr:uid="{00000000-0005-0000-0000-000030940000}"/>
    <cellStyle name="输出 2 10 5 4 5 2" xfId="37890" xr:uid="{00000000-0005-0000-0000-000032940000}"/>
    <cellStyle name="输出 2 10 5 4 6" xfId="37892" xr:uid="{00000000-0005-0000-0000-000034940000}"/>
    <cellStyle name="输出 2 10 5 5" xfId="37893" xr:uid="{00000000-0005-0000-0000-000035940000}"/>
    <cellStyle name="输出 2 10 5 5 2" xfId="37895" xr:uid="{00000000-0005-0000-0000-000037940000}"/>
    <cellStyle name="输出 2 10 5 5 2 2" xfId="37897" xr:uid="{00000000-0005-0000-0000-000039940000}"/>
    <cellStyle name="输出 2 10 5 5 3" xfId="37898" xr:uid="{00000000-0005-0000-0000-00003A940000}"/>
    <cellStyle name="输出 2 10 5 5 3 2" xfId="37899" xr:uid="{00000000-0005-0000-0000-00003B940000}"/>
    <cellStyle name="输出 2 10 5 5 4" xfId="37900" xr:uid="{00000000-0005-0000-0000-00003C940000}"/>
    <cellStyle name="输出 2 10 5 5 4 2" xfId="37901" xr:uid="{00000000-0005-0000-0000-00003D940000}"/>
    <cellStyle name="输出 2 10 5 5 5" xfId="37902" xr:uid="{00000000-0005-0000-0000-00003E940000}"/>
    <cellStyle name="输出 2 10 5 5 5 2" xfId="37904" xr:uid="{00000000-0005-0000-0000-000040940000}"/>
    <cellStyle name="输出 2 10 5 5 6" xfId="37905" xr:uid="{00000000-0005-0000-0000-000041940000}"/>
    <cellStyle name="输出 2 10 5 6" xfId="37906" xr:uid="{00000000-0005-0000-0000-000042940000}"/>
    <cellStyle name="输出 2 10 5 6 2" xfId="37908" xr:uid="{00000000-0005-0000-0000-000044940000}"/>
    <cellStyle name="输出 2 10 5 6 2 2" xfId="887" xr:uid="{00000000-0005-0000-0000-0000A7030000}"/>
    <cellStyle name="输出 2 10 5 6 3" xfId="36922" xr:uid="{00000000-0005-0000-0000-00006A900000}"/>
    <cellStyle name="输出 2 10 5 6 3 2" xfId="922" xr:uid="{00000000-0005-0000-0000-0000CA030000}"/>
    <cellStyle name="输出 2 10 5 6 4" xfId="35296" xr:uid="{00000000-0005-0000-0000-0000108A0000}"/>
    <cellStyle name="输出 2 10 5 6 4 2" xfId="1321" xr:uid="{00000000-0005-0000-0000-000059050000}"/>
    <cellStyle name="输出 2 10 5 6 5" xfId="36924" xr:uid="{00000000-0005-0000-0000-00006C900000}"/>
    <cellStyle name="输出 2 10 5 6 5 2" xfId="36927" xr:uid="{00000000-0005-0000-0000-00006F900000}"/>
    <cellStyle name="输出 2 10 5 6 6" xfId="36929" xr:uid="{00000000-0005-0000-0000-000071900000}"/>
    <cellStyle name="输出 2 10 5 7" xfId="37910" xr:uid="{00000000-0005-0000-0000-000046940000}"/>
    <cellStyle name="输出 2 10 5 7 2" xfId="1941" xr:uid="{00000000-0005-0000-0000-0000C5070000}"/>
    <cellStyle name="输出 2 10 5 7 2 2" xfId="37913" xr:uid="{00000000-0005-0000-0000-000049940000}"/>
    <cellStyle name="输出 2 10 5 7 3" xfId="1957" xr:uid="{00000000-0005-0000-0000-0000D5070000}"/>
    <cellStyle name="输出 2 10 5 7 3 2" xfId="36939" xr:uid="{00000000-0005-0000-0000-00007B900000}"/>
    <cellStyle name="输出 2 10 5 7 4" xfId="1968" xr:uid="{00000000-0005-0000-0000-0000E0070000}"/>
    <cellStyle name="输出 2 10 5 7 4 2" xfId="36941" xr:uid="{00000000-0005-0000-0000-00007D900000}"/>
    <cellStyle name="输出 2 10 5 7 5" xfId="1273" xr:uid="{00000000-0005-0000-0000-000029050000}"/>
    <cellStyle name="输出 2 10 5 7 5 2" xfId="36944" xr:uid="{00000000-0005-0000-0000-000080900000}"/>
    <cellStyle name="输出 2 10 5 7 6" xfId="1974" xr:uid="{00000000-0005-0000-0000-0000E6070000}"/>
    <cellStyle name="输出 2 10 5 8" xfId="37914" xr:uid="{00000000-0005-0000-0000-00004A940000}"/>
    <cellStyle name="输出 2 10 5 8 2" xfId="37917" xr:uid="{00000000-0005-0000-0000-00004D940000}"/>
    <cellStyle name="输出 2 10 5 8 2 2" xfId="37920" xr:uid="{00000000-0005-0000-0000-000050940000}"/>
    <cellStyle name="输出 2 10 5 8 3" xfId="36951" xr:uid="{00000000-0005-0000-0000-000087900000}"/>
    <cellStyle name="输出 2 10 5 8 3 2" xfId="36953" xr:uid="{00000000-0005-0000-0000-000089900000}"/>
    <cellStyle name="输出 2 10 5 8 4" xfId="35302" xr:uid="{00000000-0005-0000-0000-0000168A0000}"/>
    <cellStyle name="输出 2 10 5 8 4 2" xfId="36955" xr:uid="{00000000-0005-0000-0000-00008B900000}"/>
    <cellStyle name="输出 2 10 5 8 5" xfId="36957" xr:uid="{00000000-0005-0000-0000-00008D900000}"/>
    <cellStyle name="输出 2 10 5 9" xfId="37921" xr:uid="{00000000-0005-0000-0000-000051940000}"/>
    <cellStyle name="输出 2 10 5 9 2" xfId="37923" xr:uid="{00000000-0005-0000-0000-000053940000}"/>
    <cellStyle name="输出 2 10 6" xfId="37925" xr:uid="{00000000-0005-0000-0000-000055940000}"/>
    <cellStyle name="输出 2 10 6 10" xfId="15070" xr:uid="{00000000-0005-0000-0000-00000E3B0000}"/>
    <cellStyle name="输出 2 10 6 10 2" xfId="35388" xr:uid="{00000000-0005-0000-0000-00006C8A0000}"/>
    <cellStyle name="输出 2 10 6 11" xfId="15073" xr:uid="{00000000-0005-0000-0000-0000113B0000}"/>
    <cellStyle name="输出 2 10 6 11 2" xfId="37927" xr:uid="{00000000-0005-0000-0000-000057940000}"/>
    <cellStyle name="输出 2 10 6 12" xfId="15077" xr:uid="{00000000-0005-0000-0000-0000153B0000}"/>
    <cellStyle name="输出 2 10 6 12 2" xfId="37929" xr:uid="{00000000-0005-0000-0000-000059940000}"/>
    <cellStyle name="输出 2 10 6 13" xfId="9124" xr:uid="{00000000-0005-0000-0000-0000D4230000}"/>
    <cellStyle name="输出 2 10 6 14" xfId="37931" xr:uid="{00000000-0005-0000-0000-00005B940000}"/>
    <cellStyle name="输出 2 10 6 15" xfId="37933" xr:uid="{00000000-0005-0000-0000-00005D940000}"/>
    <cellStyle name="输出 2 10 6 16" xfId="37935" xr:uid="{00000000-0005-0000-0000-00005F940000}"/>
    <cellStyle name="输出 2 10 6 2" xfId="37936" xr:uid="{00000000-0005-0000-0000-000060940000}"/>
    <cellStyle name="输出 2 10 6 2 2" xfId="28432" xr:uid="{00000000-0005-0000-0000-0000406F0000}"/>
    <cellStyle name="输出 2 10 6 2 2 2" xfId="24127" xr:uid="{00000000-0005-0000-0000-00006F5E0000}"/>
    <cellStyle name="输出 2 10 6 2 3" xfId="11271" xr:uid="{00000000-0005-0000-0000-0000372C0000}"/>
    <cellStyle name="输出 2 10 6 2 3 2" xfId="17230" xr:uid="{00000000-0005-0000-0000-00007E430000}"/>
    <cellStyle name="输出 2 10 6 2 4" xfId="717" xr:uid="{00000000-0005-0000-0000-0000FD020000}"/>
    <cellStyle name="输出 2 10 6 2 4 2" xfId="17239" xr:uid="{00000000-0005-0000-0000-000087430000}"/>
    <cellStyle name="输出 2 10 6 2 5" xfId="17243" xr:uid="{00000000-0005-0000-0000-00008B430000}"/>
    <cellStyle name="输出 2 10 6 2 5 2" xfId="31826" xr:uid="{00000000-0005-0000-0000-0000827C0000}"/>
    <cellStyle name="输出 2 10 6 2 6" xfId="37937" xr:uid="{00000000-0005-0000-0000-000061940000}"/>
    <cellStyle name="输出 2 10 6 2 7" xfId="37938" xr:uid="{00000000-0005-0000-0000-000062940000}"/>
    <cellStyle name="输出 2 10 6 2 8" xfId="37939" xr:uid="{00000000-0005-0000-0000-000063940000}"/>
    <cellStyle name="输出 2 10 6 2 9" xfId="15857" xr:uid="{00000000-0005-0000-0000-0000213E0000}"/>
    <cellStyle name="输出 2 10 6 3" xfId="37940" xr:uid="{00000000-0005-0000-0000-000064940000}"/>
    <cellStyle name="输出 2 10 6 3 2" xfId="28526" xr:uid="{00000000-0005-0000-0000-00009E6F0000}"/>
    <cellStyle name="输出 2 10 6 3 2 2" xfId="24286" xr:uid="{00000000-0005-0000-0000-00000E5F0000}"/>
    <cellStyle name="输出 2 10 6 3 3" xfId="7686" xr:uid="{00000000-0005-0000-0000-0000361E0000}"/>
    <cellStyle name="输出 2 10 6 3 3 2" xfId="24308" xr:uid="{00000000-0005-0000-0000-0000245F0000}"/>
    <cellStyle name="输出 2 10 6 3 4" xfId="27746" xr:uid="{00000000-0005-0000-0000-0000926C0000}"/>
    <cellStyle name="输出 2 10 6 3 4 2" xfId="37941" xr:uid="{00000000-0005-0000-0000-000065940000}"/>
    <cellStyle name="输出 2 10 6 3 5" xfId="18246" xr:uid="{00000000-0005-0000-0000-000076470000}"/>
    <cellStyle name="输出 2 10 6 3 5 2" xfId="37943" xr:uid="{00000000-0005-0000-0000-000067940000}"/>
    <cellStyle name="输出 2 10 6 3 6" xfId="37945" xr:uid="{00000000-0005-0000-0000-000069940000}"/>
    <cellStyle name="输出 2 10 6 4" xfId="37947" xr:uid="{00000000-0005-0000-0000-00006B940000}"/>
    <cellStyle name="输出 2 10 6 4 2" xfId="28186" xr:uid="{00000000-0005-0000-0000-00004A6E0000}"/>
    <cellStyle name="输出 2 10 6 4 2 2" xfId="37948" xr:uid="{00000000-0005-0000-0000-00006C940000}"/>
    <cellStyle name="输出 2 10 6 4 3" xfId="7945" xr:uid="{00000000-0005-0000-0000-0000391F0000}"/>
    <cellStyle name="输出 2 10 6 4 3 2" xfId="37949" xr:uid="{00000000-0005-0000-0000-00006D940000}"/>
    <cellStyle name="输出 2 10 6 4 4" xfId="27755" xr:uid="{00000000-0005-0000-0000-00009B6C0000}"/>
    <cellStyle name="输出 2 10 6 4 4 2" xfId="37951" xr:uid="{00000000-0005-0000-0000-00006F940000}"/>
    <cellStyle name="输出 2 10 6 4 5" xfId="18256" xr:uid="{00000000-0005-0000-0000-000080470000}"/>
    <cellStyle name="输出 2 10 6 4 5 2" xfId="37953" xr:uid="{00000000-0005-0000-0000-000071940000}"/>
    <cellStyle name="输出 2 10 6 4 6" xfId="37955" xr:uid="{00000000-0005-0000-0000-000073940000}"/>
    <cellStyle name="输出 2 10 6 5" xfId="37956" xr:uid="{00000000-0005-0000-0000-000074940000}"/>
    <cellStyle name="输出 2 10 6 5 2" xfId="25737" xr:uid="{00000000-0005-0000-0000-0000B9640000}"/>
    <cellStyle name="输出 2 10 6 5 2 2" xfId="24589" xr:uid="{00000000-0005-0000-0000-00003D600000}"/>
    <cellStyle name="输出 2 10 6 5 3" xfId="25740" xr:uid="{00000000-0005-0000-0000-0000BC640000}"/>
    <cellStyle name="输出 2 10 6 5 3 2" xfId="24607" xr:uid="{00000000-0005-0000-0000-00004F600000}"/>
    <cellStyle name="输出 2 10 6 5 4" xfId="25744" xr:uid="{00000000-0005-0000-0000-0000C0640000}"/>
    <cellStyle name="输出 2 10 6 5 4 2" xfId="24618" xr:uid="{00000000-0005-0000-0000-00005A600000}"/>
    <cellStyle name="输出 2 10 6 5 5" xfId="18261" xr:uid="{00000000-0005-0000-0000-000085470000}"/>
    <cellStyle name="输出 2 10 6 5 5 2" xfId="37958" xr:uid="{00000000-0005-0000-0000-000076940000}"/>
    <cellStyle name="输出 2 10 6 5 6" xfId="25746" xr:uid="{00000000-0005-0000-0000-0000C2640000}"/>
    <cellStyle name="输出 2 10 6 6" xfId="37959" xr:uid="{00000000-0005-0000-0000-000077940000}"/>
    <cellStyle name="输出 2 10 6 6 2" xfId="467" xr:uid="{00000000-0005-0000-0000-0000FE010000}"/>
    <cellStyle name="输出 2 10 6 6 2 2" xfId="4569" xr:uid="{00000000-0005-0000-0000-000009120000}"/>
    <cellStyle name="输出 2 10 6 6 3" xfId="514" xr:uid="{00000000-0005-0000-0000-000030020000}"/>
    <cellStyle name="输出 2 10 6 6 3 2" xfId="5227" xr:uid="{00000000-0005-0000-0000-00009B140000}"/>
    <cellStyle name="输出 2 10 6 6 4" xfId="5241" xr:uid="{00000000-0005-0000-0000-0000A9140000}"/>
    <cellStyle name="输出 2 10 6 6 4 2" xfId="5628" xr:uid="{00000000-0005-0000-0000-00002C160000}"/>
    <cellStyle name="输出 2 10 6 6 5" xfId="3007" xr:uid="{00000000-0005-0000-0000-0000EF0B0000}"/>
    <cellStyle name="输出 2 10 6 6 5 2" xfId="36985" xr:uid="{00000000-0005-0000-0000-0000A9900000}"/>
    <cellStyle name="输出 2 10 6 6 6" xfId="36987" xr:uid="{00000000-0005-0000-0000-0000AB900000}"/>
    <cellStyle name="输出 2 10 6 7" xfId="37961" xr:uid="{00000000-0005-0000-0000-000079940000}"/>
    <cellStyle name="输出 2 10 6 7 2" xfId="5658" xr:uid="{00000000-0005-0000-0000-00004A160000}"/>
    <cellStyle name="输出 2 10 6 7 2 2" xfId="5672" xr:uid="{00000000-0005-0000-0000-000058160000}"/>
    <cellStyle name="输出 2 10 6 7 3" xfId="5680" xr:uid="{00000000-0005-0000-0000-000060160000}"/>
    <cellStyle name="输出 2 10 6 7 3 2" xfId="5685" xr:uid="{00000000-0005-0000-0000-000065160000}"/>
    <cellStyle name="输出 2 10 6 7 4" xfId="5698" xr:uid="{00000000-0005-0000-0000-000072160000}"/>
    <cellStyle name="输出 2 10 6 7 4 2" xfId="5703" xr:uid="{00000000-0005-0000-0000-000077160000}"/>
    <cellStyle name="输出 2 10 6 7 5" xfId="5724" xr:uid="{00000000-0005-0000-0000-00008C160000}"/>
    <cellStyle name="输出 2 10 6 7 5 2" xfId="5732" xr:uid="{00000000-0005-0000-0000-000094160000}"/>
    <cellStyle name="输出 2 10 6 7 6" xfId="36996" xr:uid="{00000000-0005-0000-0000-0000B4900000}"/>
    <cellStyle name="输出 2 10 6 8" xfId="37963" xr:uid="{00000000-0005-0000-0000-00007B940000}"/>
    <cellStyle name="输出 2 10 6 8 2" xfId="5748" xr:uid="{00000000-0005-0000-0000-0000A4160000}"/>
    <cellStyle name="输出 2 10 6 8 2 2" xfId="5760" xr:uid="{00000000-0005-0000-0000-0000B0160000}"/>
    <cellStyle name="输出 2 10 6 8 3" xfId="5770" xr:uid="{00000000-0005-0000-0000-0000BA160000}"/>
    <cellStyle name="输出 2 10 6 8 3 2" xfId="292" xr:uid="{00000000-0005-0000-0000-000040010000}"/>
    <cellStyle name="输出 2 10 6 8 4" xfId="5779" xr:uid="{00000000-0005-0000-0000-0000C3160000}"/>
    <cellStyle name="输出 2 10 6 8 4 2" xfId="5785" xr:uid="{00000000-0005-0000-0000-0000C9160000}"/>
    <cellStyle name="输出 2 10 6 8 5" xfId="5802" xr:uid="{00000000-0005-0000-0000-0000DA160000}"/>
    <cellStyle name="输出 2 10 6 9" xfId="37966" xr:uid="{00000000-0005-0000-0000-00007E940000}"/>
    <cellStyle name="输出 2 10 6 9 2" xfId="5828" xr:uid="{00000000-0005-0000-0000-0000F4160000}"/>
    <cellStyle name="输出 2 10 7" xfId="37967" xr:uid="{00000000-0005-0000-0000-00007F940000}"/>
    <cellStyle name="输出 2 10 7 10" xfId="15249" xr:uid="{00000000-0005-0000-0000-0000C13B0000}"/>
    <cellStyle name="输出 2 10 7 10 2" xfId="37968" xr:uid="{00000000-0005-0000-0000-000080940000}"/>
    <cellStyle name="输出 2 10 7 11" xfId="15256" xr:uid="{00000000-0005-0000-0000-0000C83B0000}"/>
    <cellStyle name="输出 2 10 7 11 2" xfId="37970" xr:uid="{00000000-0005-0000-0000-000082940000}"/>
    <cellStyle name="输出 2 10 7 12" xfId="15263" xr:uid="{00000000-0005-0000-0000-0000CF3B0000}"/>
    <cellStyle name="输出 2 10 7 12 2" xfId="37971" xr:uid="{00000000-0005-0000-0000-000083940000}"/>
    <cellStyle name="输出 2 10 7 13" xfId="15270" xr:uid="{00000000-0005-0000-0000-0000D63B0000}"/>
    <cellStyle name="输出 2 10 7 14" xfId="37973" xr:uid="{00000000-0005-0000-0000-000085940000}"/>
    <cellStyle name="输出 2 10 7 15" xfId="37974" xr:uid="{00000000-0005-0000-0000-000086940000}"/>
    <cellStyle name="输出 2 10 7 16" xfId="37975" xr:uid="{00000000-0005-0000-0000-000087940000}"/>
    <cellStyle name="输出 2 10 7 2" xfId="35040" xr:uid="{00000000-0005-0000-0000-000010890000}"/>
    <cellStyle name="输出 2 10 7 2 2" xfId="25007" xr:uid="{00000000-0005-0000-0000-0000DF610000}"/>
    <cellStyle name="输出 2 10 7 2 2 2" xfId="25017" xr:uid="{00000000-0005-0000-0000-0000E9610000}"/>
    <cellStyle name="输出 2 10 7 2 3" xfId="11302" xr:uid="{00000000-0005-0000-0000-0000562C0000}"/>
    <cellStyle name="输出 2 10 7 2 3 2" xfId="25366" xr:uid="{00000000-0005-0000-0000-000046630000}"/>
    <cellStyle name="输出 2 10 7 2 4" xfId="2799" xr:uid="{00000000-0005-0000-0000-00001F0B0000}"/>
    <cellStyle name="输出 2 10 7 2 4 2" xfId="25376" xr:uid="{00000000-0005-0000-0000-000050630000}"/>
    <cellStyle name="输出 2 10 7 2 5" xfId="18279" xr:uid="{00000000-0005-0000-0000-000097470000}"/>
    <cellStyle name="输出 2 10 7 2 5 2" xfId="31901" xr:uid="{00000000-0005-0000-0000-0000CD7C0000}"/>
    <cellStyle name="输出 2 10 7 2 6" xfId="37976" xr:uid="{00000000-0005-0000-0000-000088940000}"/>
    <cellStyle name="输出 2 10 7 2 7" xfId="37977" xr:uid="{00000000-0005-0000-0000-000089940000}"/>
    <cellStyle name="输出 2 10 7 2 8" xfId="28282" xr:uid="{00000000-0005-0000-0000-0000AA6E0000}"/>
    <cellStyle name="输出 2 10 7 2 9" xfId="26492" xr:uid="{00000000-0005-0000-0000-0000AC670000}"/>
    <cellStyle name="输出 2 10 7 3" xfId="35042" xr:uid="{00000000-0005-0000-0000-000012890000}"/>
    <cellStyle name="输出 2 10 7 3 2" xfId="25049" xr:uid="{00000000-0005-0000-0000-000009620000}"/>
    <cellStyle name="输出 2 10 7 3 2 2" xfId="25056" xr:uid="{00000000-0005-0000-0000-000010620000}"/>
    <cellStyle name="输出 2 10 7 3 3" xfId="9819" xr:uid="{00000000-0005-0000-0000-00008B260000}"/>
    <cellStyle name="输出 2 10 7 3 3 2" xfId="25442" xr:uid="{00000000-0005-0000-0000-000092630000}"/>
    <cellStyle name="输出 2 10 7 3 4" xfId="27762" xr:uid="{00000000-0005-0000-0000-0000A26C0000}"/>
    <cellStyle name="输出 2 10 7 3 4 2" xfId="32590" xr:uid="{00000000-0005-0000-0000-00007E7F0000}"/>
    <cellStyle name="输出 2 10 7 3 5" xfId="16057" xr:uid="{00000000-0005-0000-0000-0000E93E0000}"/>
    <cellStyle name="输出 2 10 7 3 5 2" xfId="11924" xr:uid="{00000000-0005-0000-0000-0000C42E0000}"/>
    <cellStyle name="输出 2 10 7 3 6" xfId="37978" xr:uid="{00000000-0005-0000-0000-00008A940000}"/>
    <cellStyle name="输出 2 10 7 4" xfId="35044" xr:uid="{00000000-0005-0000-0000-000014890000}"/>
    <cellStyle name="输出 2 10 7 4 2" xfId="25088" xr:uid="{00000000-0005-0000-0000-000030620000}"/>
    <cellStyle name="输出 2 10 7 4 2 2" xfId="25094" xr:uid="{00000000-0005-0000-0000-000036620000}"/>
    <cellStyle name="输出 2 10 7 4 3" xfId="7729" xr:uid="{00000000-0005-0000-0000-0000611E0000}"/>
    <cellStyle name="输出 2 10 7 4 3 2" xfId="33362" xr:uid="{00000000-0005-0000-0000-000082820000}"/>
    <cellStyle name="输出 2 10 7 4 4" xfId="26871" xr:uid="{00000000-0005-0000-0000-000027690000}"/>
    <cellStyle name="输出 2 10 7 4 4 2" xfId="33461" xr:uid="{00000000-0005-0000-0000-0000E5820000}"/>
    <cellStyle name="输出 2 10 7 4 5" xfId="7748" xr:uid="{00000000-0005-0000-0000-0000741E0000}"/>
    <cellStyle name="输出 2 10 7 4 5 2" xfId="7759" xr:uid="{00000000-0005-0000-0000-00007F1E0000}"/>
    <cellStyle name="输出 2 10 7 4 6" xfId="37979" xr:uid="{00000000-0005-0000-0000-00008B940000}"/>
    <cellStyle name="输出 2 10 7 5" xfId="35046" xr:uid="{00000000-0005-0000-0000-000016890000}"/>
    <cellStyle name="输出 2 10 7 5 2" xfId="25117" xr:uid="{00000000-0005-0000-0000-00004D620000}"/>
    <cellStyle name="输出 2 10 7 5 2 2" xfId="25122" xr:uid="{00000000-0005-0000-0000-000052620000}"/>
    <cellStyle name="输出 2 10 7 5 3" xfId="25125" xr:uid="{00000000-0005-0000-0000-000055620000}"/>
    <cellStyle name="输出 2 10 7 5 3 2" xfId="34024" xr:uid="{00000000-0005-0000-0000-000018850000}"/>
    <cellStyle name="输出 2 10 7 5 4" xfId="37980" xr:uid="{00000000-0005-0000-0000-00008C940000}"/>
    <cellStyle name="输出 2 10 7 5 4 2" xfId="34049" xr:uid="{00000000-0005-0000-0000-000031850000}"/>
    <cellStyle name="输出 2 10 7 5 5" xfId="37981" xr:uid="{00000000-0005-0000-0000-00008D940000}"/>
    <cellStyle name="输出 2 10 7 5 5 2" xfId="34098" xr:uid="{00000000-0005-0000-0000-000062850000}"/>
    <cellStyle name="输出 2 10 7 5 6" xfId="37983" xr:uid="{00000000-0005-0000-0000-00008F940000}"/>
    <cellStyle name="输出 2 10 7 6" xfId="35049" xr:uid="{00000000-0005-0000-0000-000019890000}"/>
    <cellStyle name="输出 2 10 7 6 2" xfId="25156" xr:uid="{00000000-0005-0000-0000-000074620000}"/>
    <cellStyle name="输出 2 10 7 6 2 2" xfId="34261" xr:uid="{00000000-0005-0000-0000-000005860000}"/>
    <cellStyle name="输出 2 10 7 6 3" xfId="37021" xr:uid="{00000000-0005-0000-0000-0000CD900000}"/>
    <cellStyle name="输出 2 10 7 6 3 2" xfId="37023" xr:uid="{00000000-0005-0000-0000-0000CF900000}"/>
    <cellStyle name="输出 2 10 7 6 4" xfId="35315" xr:uid="{00000000-0005-0000-0000-0000238A0000}"/>
    <cellStyle name="输出 2 10 7 6 4 2" xfId="37025" xr:uid="{00000000-0005-0000-0000-0000D1900000}"/>
    <cellStyle name="输出 2 10 7 6 5" xfId="37027" xr:uid="{00000000-0005-0000-0000-0000D3900000}"/>
    <cellStyle name="输出 2 10 7 6 5 2" xfId="37030" xr:uid="{00000000-0005-0000-0000-0000D6900000}"/>
    <cellStyle name="输出 2 10 7 6 6" xfId="37033" xr:uid="{00000000-0005-0000-0000-0000D9900000}"/>
    <cellStyle name="输出 2 10 7 7" xfId="37984" xr:uid="{00000000-0005-0000-0000-000090940000}"/>
    <cellStyle name="输出 2 10 7 7 2" xfId="37985" xr:uid="{00000000-0005-0000-0000-000091940000}"/>
    <cellStyle name="输出 2 10 7 7 2 2" xfId="37987" xr:uid="{00000000-0005-0000-0000-000093940000}"/>
    <cellStyle name="输出 2 10 7 7 3" xfId="37042" xr:uid="{00000000-0005-0000-0000-0000E2900000}"/>
    <cellStyle name="输出 2 10 7 7 3 2" xfId="37045" xr:uid="{00000000-0005-0000-0000-0000E5900000}"/>
    <cellStyle name="输出 2 10 7 7 4" xfId="35319" xr:uid="{00000000-0005-0000-0000-0000278A0000}"/>
    <cellStyle name="输出 2 10 7 7 4 2" xfId="37048" xr:uid="{00000000-0005-0000-0000-0000E8900000}"/>
    <cellStyle name="输出 2 10 7 7 5" xfId="37050" xr:uid="{00000000-0005-0000-0000-0000EA900000}"/>
    <cellStyle name="输出 2 10 7 7 5 2" xfId="37054" xr:uid="{00000000-0005-0000-0000-0000EE900000}"/>
    <cellStyle name="输出 2 10 7 7 6" xfId="37056" xr:uid="{00000000-0005-0000-0000-0000F0900000}"/>
    <cellStyle name="输出 2 10 7 8" xfId="9702" xr:uid="{00000000-0005-0000-0000-000016260000}"/>
    <cellStyle name="输出 2 10 7 8 2" xfId="37989" xr:uid="{00000000-0005-0000-0000-000095940000}"/>
    <cellStyle name="输出 2 10 7 8 2 2" xfId="37991" xr:uid="{00000000-0005-0000-0000-000097940000}"/>
    <cellStyle name="输出 2 10 7 8 3" xfId="37062" xr:uid="{00000000-0005-0000-0000-0000F6900000}"/>
    <cellStyle name="输出 2 10 7 8 3 2" xfId="37064" xr:uid="{00000000-0005-0000-0000-0000F8900000}"/>
    <cellStyle name="输出 2 10 7 8 4" xfId="35323" xr:uid="{00000000-0005-0000-0000-00002B8A0000}"/>
    <cellStyle name="输出 2 10 7 8 4 2" xfId="37066" xr:uid="{00000000-0005-0000-0000-0000FA900000}"/>
    <cellStyle name="输出 2 10 7 8 5" xfId="37068" xr:uid="{00000000-0005-0000-0000-0000FC900000}"/>
    <cellStyle name="输出 2 10 7 9" xfId="37992" xr:uid="{00000000-0005-0000-0000-000098940000}"/>
    <cellStyle name="输出 2 10 7 9 2" xfId="28579" xr:uid="{00000000-0005-0000-0000-0000D36F0000}"/>
    <cellStyle name="输出 2 10 8" xfId="37994" xr:uid="{00000000-0005-0000-0000-00009A940000}"/>
    <cellStyle name="输出 2 10 8 10" xfId="37995" xr:uid="{00000000-0005-0000-0000-00009B940000}"/>
    <cellStyle name="输出 2 10 8 10 2" xfId="37996" xr:uid="{00000000-0005-0000-0000-00009C940000}"/>
    <cellStyle name="输出 2 10 8 11" xfId="37997" xr:uid="{00000000-0005-0000-0000-00009D940000}"/>
    <cellStyle name="输出 2 10 8 11 2" xfId="37998" xr:uid="{00000000-0005-0000-0000-00009E940000}"/>
    <cellStyle name="输出 2 10 8 12" xfId="37999" xr:uid="{00000000-0005-0000-0000-00009F940000}"/>
    <cellStyle name="输出 2 10 8 12 2" xfId="38000" xr:uid="{00000000-0005-0000-0000-0000A0940000}"/>
    <cellStyle name="输出 2 10 8 13" xfId="5273" xr:uid="{00000000-0005-0000-0000-0000C9140000}"/>
    <cellStyle name="输出 2 10 8 14" xfId="38002" xr:uid="{00000000-0005-0000-0000-0000A2940000}"/>
    <cellStyle name="输出 2 10 8 15" xfId="11511" xr:uid="{00000000-0005-0000-0000-0000272D0000}"/>
    <cellStyle name="输出 2 10 8 16" xfId="38003" xr:uid="{00000000-0005-0000-0000-0000A3940000}"/>
    <cellStyle name="输出 2 10 8 2" xfId="35059" xr:uid="{00000000-0005-0000-0000-000023890000}"/>
    <cellStyle name="输出 2 10 8 2 2" xfId="25218" xr:uid="{00000000-0005-0000-0000-0000B2620000}"/>
    <cellStyle name="输出 2 10 8 2 2 2" xfId="21599" xr:uid="{00000000-0005-0000-0000-00008F540000}"/>
    <cellStyle name="输出 2 10 8 2 3" xfId="11355" xr:uid="{00000000-0005-0000-0000-00008B2C0000}"/>
    <cellStyle name="输出 2 10 8 2 3 2" xfId="21621" xr:uid="{00000000-0005-0000-0000-0000A5540000}"/>
    <cellStyle name="输出 2 10 8 2 4" xfId="3237" xr:uid="{00000000-0005-0000-0000-0000D50C0000}"/>
    <cellStyle name="输出 2 10 8 2 4 2" xfId="26154" xr:uid="{00000000-0005-0000-0000-00005A660000}"/>
    <cellStyle name="输出 2 10 8 2 5" xfId="18323" xr:uid="{00000000-0005-0000-0000-0000C3470000}"/>
    <cellStyle name="输出 2 10 8 2 5 2" xfId="33498" xr:uid="{00000000-0005-0000-0000-00000A830000}"/>
    <cellStyle name="输出 2 10 8 2 6" xfId="38005" xr:uid="{00000000-0005-0000-0000-0000A5940000}"/>
    <cellStyle name="输出 2 10 8 2 7" xfId="38006" xr:uid="{00000000-0005-0000-0000-0000A6940000}"/>
    <cellStyle name="输出 2 10 8 2 8" xfId="28296" xr:uid="{00000000-0005-0000-0000-0000B86E0000}"/>
    <cellStyle name="输出 2 10 8 2 9" xfId="8140" xr:uid="{00000000-0005-0000-0000-0000FC1F0000}"/>
    <cellStyle name="输出 2 10 8 3" xfId="35061" xr:uid="{00000000-0005-0000-0000-000025890000}"/>
    <cellStyle name="输出 2 10 8 3 2" xfId="25239" xr:uid="{00000000-0005-0000-0000-0000C7620000}"/>
    <cellStyle name="输出 2 10 8 3 2 2" xfId="25244" xr:uid="{00000000-0005-0000-0000-0000CC620000}"/>
    <cellStyle name="输出 2 10 8 3 3" xfId="11375" xr:uid="{00000000-0005-0000-0000-00009F2C0000}"/>
    <cellStyle name="输出 2 10 8 3 3 2" xfId="26278" xr:uid="{00000000-0005-0000-0000-0000D6660000}"/>
    <cellStyle name="输出 2 10 8 3 4" xfId="27776" xr:uid="{00000000-0005-0000-0000-0000B06C0000}"/>
    <cellStyle name="输出 2 10 8 3 4 2" xfId="38007" xr:uid="{00000000-0005-0000-0000-0000A7940000}"/>
    <cellStyle name="输出 2 10 8 3 5" xfId="16735" xr:uid="{00000000-0005-0000-0000-00008F410000}"/>
    <cellStyle name="输出 2 10 8 3 5 2" xfId="20420" xr:uid="{00000000-0005-0000-0000-0000F44F0000}"/>
    <cellStyle name="输出 2 10 8 3 6" xfId="38009" xr:uid="{00000000-0005-0000-0000-0000A9940000}"/>
    <cellStyle name="输出 2 10 8 4" xfId="38010" xr:uid="{00000000-0005-0000-0000-0000AA940000}"/>
    <cellStyle name="输出 2 10 8 4 2" xfId="25265" xr:uid="{00000000-0005-0000-0000-0000E1620000}"/>
    <cellStyle name="输出 2 10 8 4 2 2" xfId="25271" xr:uid="{00000000-0005-0000-0000-0000E7620000}"/>
    <cellStyle name="输出 2 10 8 4 3" xfId="8826" xr:uid="{00000000-0005-0000-0000-0000AA220000}"/>
    <cellStyle name="输出 2 10 8 4 3 2" xfId="38011" xr:uid="{00000000-0005-0000-0000-0000AB940000}"/>
    <cellStyle name="输出 2 10 8 4 4" xfId="38013" xr:uid="{00000000-0005-0000-0000-0000AD940000}"/>
    <cellStyle name="输出 2 10 8 4 4 2" xfId="38014" xr:uid="{00000000-0005-0000-0000-0000AE940000}"/>
    <cellStyle name="输出 2 10 8 4 5" xfId="8837" xr:uid="{00000000-0005-0000-0000-0000B5220000}"/>
    <cellStyle name="输出 2 10 8 4 5 2" xfId="21017" xr:uid="{00000000-0005-0000-0000-000049520000}"/>
    <cellStyle name="输出 2 10 8 4 6" xfId="38016" xr:uid="{00000000-0005-0000-0000-0000B0940000}"/>
    <cellStyle name="输出 2 10 8 5" xfId="38017" xr:uid="{00000000-0005-0000-0000-0000B1940000}"/>
    <cellStyle name="输出 2 10 8 5 2" xfId="25277" xr:uid="{00000000-0005-0000-0000-0000ED620000}"/>
    <cellStyle name="输出 2 10 8 5 2 2" xfId="12846" xr:uid="{00000000-0005-0000-0000-00005E320000}"/>
    <cellStyle name="输出 2 10 8 5 3" xfId="25279" xr:uid="{00000000-0005-0000-0000-0000EF620000}"/>
    <cellStyle name="输出 2 10 8 5 3 2" xfId="38018" xr:uid="{00000000-0005-0000-0000-0000B2940000}"/>
    <cellStyle name="输出 2 10 8 5 4" xfId="4830" xr:uid="{00000000-0005-0000-0000-00000E130000}"/>
    <cellStyle name="输出 2 10 8 5 4 2" xfId="38020" xr:uid="{00000000-0005-0000-0000-0000B4940000}"/>
    <cellStyle name="输出 2 10 8 5 5" xfId="38022" xr:uid="{00000000-0005-0000-0000-0000B6940000}"/>
    <cellStyle name="输出 2 10 8 5 5 2" xfId="38024" xr:uid="{00000000-0005-0000-0000-0000B8940000}"/>
    <cellStyle name="输出 2 10 8 5 6" xfId="38026" xr:uid="{00000000-0005-0000-0000-0000BA940000}"/>
    <cellStyle name="输出 2 10 8 6" xfId="38027" xr:uid="{00000000-0005-0000-0000-0000BB940000}"/>
    <cellStyle name="输出 2 10 8 6 2" xfId="25308" xr:uid="{00000000-0005-0000-0000-00000C630000}"/>
    <cellStyle name="输出 2 10 8 6 2 2" xfId="36161" xr:uid="{00000000-0005-0000-0000-0000718D0000}"/>
    <cellStyle name="输出 2 10 8 6 3" xfId="37087" xr:uid="{00000000-0005-0000-0000-00000F910000}"/>
    <cellStyle name="输出 2 10 8 6 3 2" xfId="37089" xr:uid="{00000000-0005-0000-0000-000011910000}"/>
    <cellStyle name="输出 2 10 8 6 4" xfId="14302" xr:uid="{00000000-0005-0000-0000-00000E380000}"/>
    <cellStyle name="输出 2 10 8 6 4 2" xfId="37092" xr:uid="{00000000-0005-0000-0000-000014910000}"/>
    <cellStyle name="输出 2 10 8 6 5" xfId="37095" xr:uid="{00000000-0005-0000-0000-000017910000}"/>
    <cellStyle name="输出 2 10 8 6 5 2" xfId="37098" xr:uid="{00000000-0005-0000-0000-00001A910000}"/>
    <cellStyle name="输出 2 10 8 6 6" xfId="37101" xr:uid="{00000000-0005-0000-0000-00001D910000}"/>
    <cellStyle name="输出 2 10 8 7" xfId="38028" xr:uid="{00000000-0005-0000-0000-0000BC940000}"/>
    <cellStyle name="输出 2 10 8 7 2" xfId="38029" xr:uid="{00000000-0005-0000-0000-0000BD940000}"/>
    <cellStyle name="输出 2 10 8 7 2 2" xfId="38030" xr:uid="{00000000-0005-0000-0000-0000BE940000}"/>
    <cellStyle name="输出 2 10 8 7 3" xfId="37112" xr:uid="{00000000-0005-0000-0000-000028910000}"/>
    <cellStyle name="输出 2 10 8 7 3 2" xfId="37114" xr:uid="{00000000-0005-0000-0000-00002A910000}"/>
    <cellStyle name="输出 2 10 8 7 4" xfId="14308" xr:uid="{00000000-0005-0000-0000-000014380000}"/>
    <cellStyle name="输出 2 10 8 7 4 2" xfId="37117" xr:uid="{00000000-0005-0000-0000-00002D910000}"/>
    <cellStyle name="输出 2 10 8 7 5" xfId="37120" xr:uid="{00000000-0005-0000-0000-000030910000}"/>
    <cellStyle name="输出 2 10 8 7 5 2" xfId="37123" xr:uid="{00000000-0005-0000-0000-000033910000}"/>
    <cellStyle name="输出 2 10 8 7 6" xfId="37126" xr:uid="{00000000-0005-0000-0000-000036910000}"/>
    <cellStyle name="输出 2 10 8 8" xfId="9716" xr:uid="{00000000-0005-0000-0000-000024260000}"/>
    <cellStyle name="输出 2 10 8 8 2" xfId="38032" xr:uid="{00000000-0005-0000-0000-0000C0940000}"/>
    <cellStyle name="输出 2 10 8 8 2 2" xfId="38033" xr:uid="{00000000-0005-0000-0000-0000C1940000}"/>
    <cellStyle name="输出 2 10 8 8 3" xfId="37134" xr:uid="{00000000-0005-0000-0000-00003E910000}"/>
    <cellStyle name="输出 2 10 8 8 3 2" xfId="37136" xr:uid="{00000000-0005-0000-0000-000040910000}"/>
    <cellStyle name="输出 2 10 8 8 4" xfId="35327" xr:uid="{00000000-0005-0000-0000-00002F8A0000}"/>
    <cellStyle name="输出 2 10 8 8 4 2" xfId="37139" xr:uid="{00000000-0005-0000-0000-000043910000}"/>
    <cellStyle name="输出 2 10 8 8 5" xfId="37142" xr:uid="{00000000-0005-0000-0000-000046910000}"/>
    <cellStyle name="输出 2 10 8 9" xfId="27248" xr:uid="{00000000-0005-0000-0000-0000A06A0000}"/>
    <cellStyle name="输出 2 10 8 9 2" xfId="38035" xr:uid="{00000000-0005-0000-0000-0000C3940000}"/>
    <cellStyle name="输出 2 10 9" xfId="38037" xr:uid="{00000000-0005-0000-0000-0000C5940000}"/>
    <cellStyle name="输出 2 10 9 10" xfId="12486" xr:uid="{00000000-0005-0000-0000-0000F6300000}"/>
    <cellStyle name="输出 2 10 9 10 2" xfId="12488" xr:uid="{00000000-0005-0000-0000-0000F8300000}"/>
    <cellStyle name="输出 2 10 9 11" xfId="11389" xr:uid="{00000000-0005-0000-0000-0000AD2C0000}"/>
    <cellStyle name="输出 2 10 9 11 2" xfId="11400" xr:uid="{00000000-0005-0000-0000-0000B82C0000}"/>
    <cellStyle name="输出 2 10 9 12" xfId="11408" xr:uid="{00000000-0005-0000-0000-0000C02C0000}"/>
    <cellStyle name="输出 2 10 9 12 2" xfId="11418" xr:uid="{00000000-0005-0000-0000-0000CA2C0000}"/>
    <cellStyle name="输出 2 10 9 13" xfId="11422" xr:uid="{00000000-0005-0000-0000-0000CE2C0000}"/>
    <cellStyle name="输出 2 10 9 14" xfId="38038" xr:uid="{00000000-0005-0000-0000-0000C6940000}"/>
    <cellStyle name="输出 2 10 9 15" xfId="8267" xr:uid="{00000000-0005-0000-0000-00007B200000}"/>
    <cellStyle name="输出 2 10 9 16" xfId="38039" xr:uid="{00000000-0005-0000-0000-0000C7940000}"/>
    <cellStyle name="输出 2 10 9 2" xfId="35071" xr:uid="{00000000-0005-0000-0000-00002F890000}"/>
    <cellStyle name="输出 2 10 9 2 2" xfId="25351" xr:uid="{00000000-0005-0000-0000-000037630000}"/>
    <cellStyle name="输出 2 10 9 2 2 2" xfId="20968" xr:uid="{00000000-0005-0000-0000-000018520000}"/>
    <cellStyle name="输出 2 10 9 2 3" xfId="11415" xr:uid="{00000000-0005-0000-0000-0000C72C0000}"/>
    <cellStyle name="输出 2 10 9 2 3 2" xfId="21037" xr:uid="{00000000-0005-0000-0000-00005D520000}"/>
    <cellStyle name="输出 2 10 9 2 4" xfId="27785" xr:uid="{00000000-0005-0000-0000-0000B96C0000}"/>
    <cellStyle name="输出 2 10 9 2 4 2" xfId="21159" xr:uid="{00000000-0005-0000-0000-0000D7520000}"/>
    <cellStyle name="输出 2 10 9 2 5" xfId="18374" xr:uid="{00000000-0005-0000-0000-0000F6470000}"/>
    <cellStyle name="输出 2 10 9 2 5 2" xfId="80" xr:uid="{00000000-0005-0000-0000-000056000000}"/>
    <cellStyle name="输出 2 10 9 2 6" xfId="38040" xr:uid="{00000000-0005-0000-0000-0000C8940000}"/>
    <cellStyle name="输出 2 10 9 2 7" xfId="38041" xr:uid="{00000000-0005-0000-0000-0000C9940000}"/>
    <cellStyle name="输出 2 10 9 2 8" xfId="28313" xr:uid="{00000000-0005-0000-0000-0000C96E0000}"/>
    <cellStyle name="输出 2 10 9 2 9" xfId="38042" xr:uid="{00000000-0005-0000-0000-0000CA940000}"/>
    <cellStyle name="输出 2 10 9 3" xfId="35073" xr:uid="{00000000-0005-0000-0000-000031890000}"/>
    <cellStyle name="输出 2 10 9 3 2" xfId="25357" xr:uid="{00000000-0005-0000-0000-00003D630000}"/>
    <cellStyle name="输出 2 10 9 3 2 2" xfId="22331" xr:uid="{00000000-0005-0000-0000-00006B570000}"/>
    <cellStyle name="输出 2 10 9 3 3" xfId="4707" xr:uid="{00000000-0005-0000-0000-000093120000}"/>
    <cellStyle name="输出 2 10 9 3 3 2" xfId="22423" xr:uid="{00000000-0005-0000-0000-0000C7570000}"/>
    <cellStyle name="输出 2 10 9 3 4" xfId="4383" xr:uid="{00000000-0005-0000-0000-00004F110000}"/>
    <cellStyle name="输出 2 10 9 3 4 2" xfId="6140" xr:uid="{00000000-0005-0000-0000-00002C180000}"/>
    <cellStyle name="输出 2 10 9 3 5" xfId="18389" xr:uid="{00000000-0005-0000-0000-000005480000}"/>
    <cellStyle name="输出 2 10 9 3 5 2" xfId="2938" xr:uid="{00000000-0005-0000-0000-0000AA0B0000}"/>
    <cellStyle name="输出 2 10 9 3 6" xfId="38043" xr:uid="{00000000-0005-0000-0000-0000CB940000}"/>
    <cellStyle name="输出 2 10 9 4" xfId="38044" xr:uid="{00000000-0005-0000-0000-0000CC940000}"/>
    <cellStyle name="输出 2 10 9 4 2" xfId="25369" xr:uid="{00000000-0005-0000-0000-000049630000}"/>
    <cellStyle name="输出 2 10 9 4 2 2" xfId="23442" xr:uid="{00000000-0005-0000-0000-0000C25B0000}"/>
    <cellStyle name="输出 2 10 9 4 3" xfId="11435" xr:uid="{00000000-0005-0000-0000-0000DB2C0000}"/>
    <cellStyle name="输出 2 10 9 4 3 2" xfId="23485" xr:uid="{00000000-0005-0000-0000-0000ED5B0000}"/>
    <cellStyle name="输出 2 10 9 4 4" xfId="38045" xr:uid="{00000000-0005-0000-0000-0000CD940000}"/>
    <cellStyle name="输出 2 10 9 4 4 2" xfId="23540" xr:uid="{00000000-0005-0000-0000-0000245C0000}"/>
    <cellStyle name="输出 2 10 9 4 5" xfId="18405" xr:uid="{00000000-0005-0000-0000-000015480000}"/>
    <cellStyle name="输出 2 10 9 4 5 2" xfId="23594" xr:uid="{00000000-0005-0000-0000-00005A5C0000}"/>
    <cellStyle name="输出 2 10 9 4 6" xfId="38046" xr:uid="{00000000-0005-0000-0000-0000CE940000}"/>
    <cellStyle name="输出 2 10 9 5" xfId="38047" xr:uid="{00000000-0005-0000-0000-0000CF940000}"/>
    <cellStyle name="输出 2 10 9 5 2" xfId="25379" xr:uid="{00000000-0005-0000-0000-000053630000}"/>
    <cellStyle name="输出 2 10 9 5 2 2" xfId="20401" xr:uid="{00000000-0005-0000-0000-0000E14F0000}"/>
    <cellStyle name="输出 2 10 9 5 3" xfId="11723" xr:uid="{00000000-0005-0000-0000-0000FB2D0000}"/>
    <cellStyle name="输出 2 10 9 5 3 2" xfId="38048" xr:uid="{00000000-0005-0000-0000-0000D0940000}"/>
    <cellStyle name="输出 2 10 9 5 4" xfId="38050" xr:uid="{00000000-0005-0000-0000-0000D2940000}"/>
    <cellStyle name="输出 2 10 9 5 4 2" xfId="38052" xr:uid="{00000000-0005-0000-0000-0000D4940000}"/>
    <cellStyle name="输出 2 10 9 5 5" xfId="38054" xr:uid="{00000000-0005-0000-0000-0000D6940000}"/>
    <cellStyle name="输出 2 10 9 5 5 2" xfId="38057" xr:uid="{00000000-0005-0000-0000-0000D9940000}"/>
    <cellStyle name="输出 2 10 9 5 6" xfId="38059" xr:uid="{00000000-0005-0000-0000-0000DB940000}"/>
    <cellStyle name="输出 2 10 9 6" xfId="38060" xr:uid="{00000000-0005-0000-0000-0000DC940000}"/>
    <cellStyle name="输出 2 10 9 6 2" xfId="25391" xr:uid="{00000000-0005-0000-0000-00005F630000}"/>
    <cellStyle name="输出 2 10 9 6 2 2" xfId="38061" xr:uid="{00000000-0005-0000-0000-0000DD940000}"/>
    <cellStyle name="输出 2 10 9 6 3" xfId="37175" xr:uid="{00000000-0005-0000-0000-000067910000}"/>
    <cellStyle name="输出 2 10 9 6 3 2" xfId="37177" xr:uid="{00000000-0005-0000-0000-000069910000}"/>
    <cellStyle name="输出 2 10 9 6 4" xfId="37180" xr:uid="{00000000-0005-0000-0000-00006C910000}"/>
    <cellStyle name="输出 2 10 9 6 4 2" xfId="37183" xr:uid="{00000000-0005-0000-0000-00006F910000}"/>
    <cellStyle name="输出 2 10 9 6 5" xfId="37186" xr:uid="{00000000-0005-0000-0000-000072910000}"/>
    <cellStyle name="输出 2 10 9 6 5 2" xfId="37189" xr:uid="{00000000-0005-0000-0000-000075910000}"/>
    <cellStyle name="输出 2 10 9 6 6" xfId="37192" xr:uid="{00000000-0005-0000-0000-000078910000}"/>
    <cellStyle name="输出 2 10 9 7" xfId="38063" xr:uid="{00000000-0005-0000-0000-0000DF940000}"/>
    <cellStyle name="输出 2 10 9 7 2" xfId="38064" xr:uid="{00000000-0005-0000-0000-0000E0940000}"/>
    <cellStyle name="输出 2 10 9 7 2 2" xfId="38065" xr:uid="{00000000-0005-0000-0000-0000E1940000}"/>
    <cellStyle name="输出 2 10 9 7 3" xfId="37202" xr:uid="{00000000-0005-0000-0000-000082910000}"/>
    <cellStyle name="输出 2 10 9 7 3 2" xfId="37204" xr:uid="{00000000-0005-0000-0000-000084910000}"/>
    <cellStyle name="输出 2 10 9 7 4" xfId="37207" xr:uid="{00000000-0005-0000-0000-000087910000}"/>
    <cellStyle name="输出 2 10 9 7 4 2" xfId="30563" xr:uid="{00000000-0005-0000-0000-000093770000}"/>
    <cellStyle name="输出 2 10 9 7 5" xfId="37210" xr:uid="{00000000-0005-0000-0000-00008A910000}"/>
    <cellStyle name="输出 2 10 9 7 5 2" xfId="37213" xr:uid="{00000000-0005-0000-0000-00008D910000}"/>
    <cellStyle name="输出 2 10 9 7 6" xfId="37216" xr:uid="{00000000-0005-0000-0000-000090910000}"/>
    <cellStyle name="输出 2 10 9 8" xfId="9736" xr:uid="{00000000-0005-0000-0000-000038260000}"/>
    <cellStyle name="输出 2 10 9 8 2" xfId="38067" xr:uid="{00000000-0005-0000-0000-0000E3940000}"/>
    <cellStyle name="输出 2 10 9 8 2 2" xfId="38068" xr:uid="{00000000-0005-0000-0000-0000E4940000}"/>
    <cellStyle name="输出 2 10 9 8 3" xfId="37223" xr:uid="{00000000-0005-0000-0000-000097910000}"/>
    <cellStyle name="输出 2 10 9 8 3 2" xfId="34269" xr:uid="{00000000-0005-0000-0000-00000D860000}"/>
    <cellStyle name="输出 2 10 9 8 4" xfId="37225" xr:uid="{00000000-0005-0000-0000-000099910000}"/>
    <cellStyle name="输出 2 10 9 8 4 2" xfId="37228" xr:uid="{00000000-0005-0000-0000-00009C910000}"/>
    <cellStyle name="输出 2 10 9 8 5" xfId="20234" xr:uid="{00000000-0005-0000-0000-00003A4F0000}"/>
    <cellStyle name="输出 2 10 9 9" xfId="27251" xr:uid="{00000000-0005-0000-0000-0000A36A0000}"/>
    <cellStyle name="输出 2 10 9 9 2" xfId="38070" xr:uid="{00000000-0005-0000-0000-0000E6940000}"/>
    <cellStyle name="输出 2 11" xfId="32458" xr:uid="{00000000-0005-0000-0000-0000FA7E0000}"/>
    <cellStyle name="输出 2 11 10" xfId="38071" xr:uid="{00000000-0005-0000-0000-0000E7940000}"/>
    <cellStyle name="输出 2 11 10 10" xfId="32261" xr:uid="{00000000-0005-0000-0000-0000357E0000}"/>
    <cellStyle name="输出 2 11 10 10 2" xfId="10321" xr:uid="{00000000-0005-0000-0000-000081280000}"/>
    <cellStyle name="输出 2 11 10 11" xfId="929" xr:uid="{00000000-0005-0000-0000-0000D1030000}"/>
    <cellStyle name="输出 2 11 10 11 2" xfId="4884" xr:uid="{00000000-0005-0000-0000-000044130000}"/>
    <cellStyle name="输出 2 11 10 12" xfId="4891" xr:uid="{00000000-0005-0000-0000-00004B130000}"/>
    <cellStyle name="输出 2 11 10 12 2" xfId="4899" xr:uid="{00000000-0005-0000-0000-000053130000}"/>
    <cellStyle name="输出 2 11 10 13" xfId="4903" xr:uid="{00000000-0005-0000-0000-000057130000}"/>
    <cellStyle name="输出 2 11 10 14" xfId="3960" xr:uid="{00000000-0005-0000-0000-0000A80F0000}"/>
    <cellStyle name="输出 2 11 10 15" xfId="38072" xr:uid="{00000000-0005-0000-0000-0000E8940000}"/>
    <cellStyle name="输出 2 11 10 16" xfId="38073" xr:uid="{00000000-0005-0000-0000-0000E9940000}"/>
    <cellStyle name="输出 2 11 10 2" xfId="38075" xr:uid="{00000000-0005-0000-0000-0000EB940000}"/>
    <cellStyle name="输出 2 11 10 2 2" xfId="36114" xr:uid="{00000000-0005-0000-0000-0000428D0000}"/>
    <cellStyle name="输出 2 11 10 2 2 2" xfId="38078" xr:uid="{00000000-0005-0000-0000-0000EE940000}"/>
    <cellStyle name="输出 2 11 10 2 3" xfId="38080" xr:uid="{00000000-0005-0000-0000-0000F0940000}"/>
    <cellStyle name="输出 2 11 10 2 3 2" xfId="38082" xr:uid="{00000000-0005-0000-0000-0000F2940000}"/>
    <cellStyle name="输出 2 11 10 2 4" xfId="38084" xr:uid="{00000000-0005-0000-0000-0000F4940000}"/>
    <cellStyle name="输出 2 11 10 2 4 2" xfId="38086" xr:uid="{00000000-0005-0000-0000-0000F6940000}"/>
    <cellStyle name="输出 2 11 10 2 5" xfId="38088" xr:uid="{00000000-0005-0000-0000-0000F8940000}"/>
    <cellStyle name="输出 2 11 10 2 5 2" xfId="38090" xr:uid="{00000000-0005-0000-0000-0000FA940000}"/>
    <cellStyle name="输出 2 11 10 2 6" xfId="38092" xr:uid="{00000000-0005-0000-0000-0000FC940000}"/>
    <cellStyle name="输出 2 11 10 2 7" xfId="10757" xr:uid="{00000000-0005-0000-0000-0000352A0000}"/>
    <cellStyle name="输出 2 11 10 2 8" xfId="27388" xr:uid="{00000000-0005-0000-0000-00002C6B0000}"/>
    <cellStyle name="输出 2 11 10 2 9" xfId="28957" xr:uid="{00000000-0005-0000-0000-00004D710000}"/>
    <cellStyle name="输出 2 11 10 3" xfId="38094" xr:uid="{00000000-0005-0000-0000-0000FE940000}"/>
    <cellStyle name="输出 2 11 10 3 2" xfId="36126" xr:uid="{00000000-0005-0000-0000-00004E8D0000}"/>
    <cellStyle name="输出 2 11 10 3 2 2" xfId="38097" xr:uid="{00000000-0005-0000-0000-000001950000}"/>
    <cellStyle name="输出 2 11 10 3 3" xfId="38100" xr:uid="{00000000-0005-0000-0000-000004950000}"/>
    <cellStyle name="输出 2 11 10 3 3 2" xfId="38102" xr:uid="{00000000-0005-0000-0000-000006950000}"/>
    <cellStyle name="输出 2 11 10 3 4" xfId="38105" xr:uid="{00000000-0005-0000-0000-000009950000}"/>
    <cellStyle name="输出 2 11 10 3 4 2" xfId="38107" xr:uid="{00000000-0005-0000-0000-00000B950000}"/>
    <cellStyle name="输出 2 11 10 3 5" xfId="37668" xr:uid="{00000000-0005-0000-0000-000054930000}"/>
    <cellStyle name="输出 2 11 10 3 5 2" xfId="38110" xr:uid="{00000000-0005-0000-0000-00000E950000}"/>
    <cellStyle name="输出 2 11 10 3 6" xfId="38112" xr:uid="{00000000-0005-0000-0000-000010950000}"/>
    <cellStyle name="输出 2 11 10 4" xfId="38113" xr:uid="{00000000-0005-0000-0000-000011950000}"/>
    <cellStyle name="输出 2 11 10 4 2" xfId="38115" xr:uid="{00000000-0005-0000-0000-000013950000}"/>
    <cellStyle name="输出 2 11 10 4 2 2" xfId="38116" xr:uid="{00000000-0005-0000-0000-000014950000}"/>
    <cellStyle name="输出 2 11 10 4 3" xfId="38117" xr:uid="{00000000-0005-0000-0000-000015950000}"/>
    <cellStyle name="输出 2 11 10 4 3 2" xfId="38118" xr:uid="{00000000-0005-0000-0000-000016950000}"/>
    <cellStyle name="输出 2 11 10 4 4" xfId="38119" xr:uid="{00000000-0005-0000-0000-000017950000}"/>
    <cellStyle name="输出 2 11 10 4 4 2" xfId="38120" xr:uid="{00000000-0005-0000-0000-000018950000}"/>
    <cellStyle name="输出 2 11 10 4 5" xfId="37671" xr:uid="{00000000-0005-0000-0000-000057930000}"/>
    <cellStyle name="输出 2 11 10 4 5 2" xfId="38121" xr:uid="{00000000-0005-0000-0000-000019950000}"/>
    <cellStyle name="输出 2 11 10 4 6" xfId="38122" xr:uid="{00000000-0005-0000-0000-00001A950000}"/>
    <cellStyle name="输出 2 11 10 5" xfId="38123" xr:uid="{00000000-0005-0000-0000-00001B950000}"/>
    <cellStyle name="输出 2 11 10 5 2" xfId="38125" xr:uid="{00000000-0005-0000-0000-00001D950000}"/>
    <cellStyle name="输出 2 11 10 5 2 2" xfId="38126" xr:uid="{00000000-0005-0000-0000-00001E950000}"/>
    <cellStyle name="输出 2 11 10 5 3" xfId="38127" xr:uid="{00000000-0005-0000-0000-00001F950000}"/>
    <cellStyle name="输出 2 11 10 5 3 2" xfId="38128" xr:uid="{00000000-0005-0000-0000-000020950000}"/>
    <cellStyle name="输出 2 11 10 5 4" xfId="38129" xr:uid="{00000000-0005-0000-0000-000021950000}"/>
    <cellStyle name="输出 2 11 10 5 4 2" xfId="38130" xr:uid="{00000000-0005-0000-0000-000022950000}"/>
    <cellStyle name="输出 2 11 10 5 5" xfId="37674" xr:uid="{00000000-0005-0000-0000-00005A930000}"/>
    <cellStyle name="输出 2 11 10 5 5 2" xfId="38132" xr:uid="{00000000-0005-0000-0000-000024950000}"/>
    <cellStyle name="输出 2 11 10 5 6" xfId="38133" xr:uid="{00000000-0005-0000-0000-000025950000}"/>
    <cellStyle name="输出 2 11 10 6" xfId="2964" xr:uid="{00000000-0005-0000-0000-0000C40B0000}"/>
    <cellStyle name="输出 2 11 10 6 2" xfId="38135" xr:uid="{00000000-0005-0000-0000-000027950000}"/>
    <cellStyle name="输出 2 11 10 6 2 2" xfId="38136" xr:uid="{00000000-0005-0000-0000-000028950000}"/>
    <cellStyle name="输出 2 11 10 6 3" xfId="13402" xr:uid="{00000000-0005-0000-0000-00008A340000}"/>
    <cellStyle name="输出 2 11 10 6 3 2" xfId="38137" xr:uid="{00000000-0005-0000-0000-000029950000}"/>
    <cellStyle name="输出 2 11 10 6 4" xfId="38138" xr:uid="{00000000-0005-0000-0000-00002A950000}"/>
    <cellStyle name="输出 2 11 10 6 4 2" xfId="38139" xr:uid="{00000000-0005-0000-0000-00002B950000}"/>
    <cellStyle name="输出 2 11 10 6 5" xfId="37677" xr:uid="{00000000-0005-0000-0000-00005D930000}"/>
    <cellStyle name="输出 2 11 10 6 5 2" xfId="38140" xr:uid="{00000000-0005-0000-0000-00002C950000}"/>
    <cellStyle name="输出 2 11 10 6 6" xfId="38141" xr:uid="{00000000-0005-0000-0000-00002D950000}"/>
    <cellStyle name="输出 2 11 10 7" xfId="38143" xr:uid="{00000000-0005-0000-0000-00002F950000}"/>
    <cellStyle name="输出 2 11 10 7 2" xfId="38144" xr:uid="{00000000-0005-0000-0000-000030950000}"/>
    <cellStyle name="输出 2 11 10 7 2 2" xfId="38145" xr:uid="{00000000-0005-0000-0000-000031950000}"/>
    <cellStyle name="输出 2 11 10 7 3" xfId="8513" xr:uid="{00000000-0005-0000-0000-000071210000}"/>
    <cellStyle name="输出 2 11 10 7 3 2" xfId="38146" xr:uid="{00000000-0005-0000-0000-000032950000}"/>
    <cellStyle name="输出 2 11 10 7 4" xfId="38147" xr:uid="{00000000-0005-0000-0000-000033950000}"/>
    <cellStyle name="输出 2 11 10 7 4 2" xfId="38148" xr:uid="{00000000-0005-0000-0000-000034950000}"/>
    <cellStyle name="输出 2 11 10 7 5" xfId="38149" xr:uid="{00000000-0005-0000-0000-000035950000}"/>
    <cellStyle name="输出 2 11 10 7 5 2" xfId="38150" xr:uid="{00000000-0005-0000-0000-000036950000}"/>
    <cellStyle name="输出 2 11 10 7 6" xfId="38151" xr:uid="{00000000-0005-0000-0000-000037950000}"/>
    <cellStyle name="输出 2 11 10 8" xfId="1051" xr:uid="{00000000-0005-0000-0000-00004B040000}"/>
    <cellStyle name="输出 2 11 10 8 2" xfId="34219" xr:uid="{00000000-0005-0000-0000-0000DB850000}"/>
    <cellStyle name="输出 2 11 10 8 2 2" xfId="38153" xr:uid="{00000000-0005-0000-0000-000039950000}"/>
    <cellStyle name="输出 2 11 10 8 3" xfId="8540" xr:uid="{00000000-0005-0000-0000-00008C210000}"/>
    <cellStyle name="输出 2 11 10 8 3 2" xfId="38154" xr:uid="{00000000-0005-0000-0000-00003A950000}"/>
    <cellStyle name="输出 2 11 10 8 4" xfId="38155" xr:uid="{00000000-0005-0000-0000-00003B950000}"/>
    <cellStyle name="输出 2 11 10 8 4 2" xfId="8555" xr:uid="{00000000-0005-0000-0000-00009B210000}"/>
    <cellStyle name="输出 2 11 10 8 5" xfId="38156" xr:uid="{00000000-0005-0000-0000-00003C950000}"/>
    <cellStyle name="输出 2 11 10 9" xfId="2973" xr:uid="{00000000-0005-0000-0000-0000CD0B0000}"/>
    <cellStyle name="输出 2 11 10 9 2" xfId="2980" xr:uid="{00000000-0005-0000-0000-0000D40B0000}"/>
    <cellStyle name="输出 2 11 11" xfId="23127" xr:uid="{00000000-0005-0000-0000-0000875A0000}"/>
    <cellStyle name="输出 2 11 11 10" xfId="21360" xr:uid="{00000000-0005-0000-0000-0000A0530000}"/>
    <cellStyle name="输出 2 11 11 10 2" xfId="30590" xr:uid="{00000000-0005-0000-0000-0000AE770000}"/>
    <cellStyle name="输出 2 11 11 11" xfId="30592" xr:uid="{00000000-0005-0000-0000-0000B0770000}"/>
    <cellStyle name="输出 2 11 11 11 2" xfId="30594" xr:uid="{00000000-0005-0000-0000-0000B2770000}"/>
    <cellStyle name="输出 2 11 11 12" xfId="30597" xr:uid="{00000000-0005-0000-0000-0000B5770000}"/>
    <cellStyle name="输出 2 11 11 12 2" xfId="30599" xr:uid="{00000000-0005-0000-0000-0000B7770000}"/>
    <cellStyle name="输出 2 11 11 13" xfId="14802" xr:uid="{00000000-0005-0000-0000-0000023A0000}"/>
    <cellStyle name="输出 2 11 11 14" xfId="14829" xr:uid="{00000000-0005-0000-0000-00001D3A0000}"/>
    <cellStyle name="输出 2 11 11 15" xfId="14851" xr:uid="{00000000-0005-0000-0000-0000333A0000}"/>
    <cellStyle name="输出 2 11 11 16" xfId="14856" xr:uid="{00000000-0005-0000-0000-0000383A0000}"/>
    <cellStyle name="输出 2 11 11 2" xfId="23129" xr:uid="{00000000-0005-0000-0000-0000895A0000}"/>
    <cellStyle name="输出 2 11 11 2 2" xfId="23131" xr:uid="{00000000-0005-0000-0000-00008B5A0000}"/>
    <cellStyle name="输出 2 11 11 2 2 2" xfId="38157" xr:uid="{00000000-0005-0000-0000-00003D950000}"/>
    <cellStyle name="输出 2 11 11 2 3" xfId="38158" xr:uid="{00000000-0005-0000-0000-00003E950000}"/>
    <cellStyle name="输出 2 11 11 2 3 2" xfId="38159" xr:uid="{00000000-0005-0000-0000-00003F950000}"/>
    <cellStyle name="输出 2 11 11 2 4" xfId="38161" xr:uid="{00000000-0005-0000-0000-000041950000}"/>
    <cellStyle name="输出 2 11 11 2 4 2" xfId="38162" xr:uid="{00000000-0005-0000-0000-000042950000}"/>
    <cellStyle name="输出 2 11 11 2 5" xfId="38163" xr:uid="{00000000-0005-0000-0000-000043950000}"/>
    <cellStyle name="输出 2 11 11 2 5 2" xfId="38164" xr:uid="{00000000-0005-0000-0000-000044950000}"/>
    <cellStyle name="输出 2 11 11 2 6" xfId="38165" xr:uid="{00000000-0005-0000-0000-000045950000}"/>
    <cellStyle name="输出 2 11 11 3" xfId="23133" xr:uid="{00000000-0005-0000-0000-00008D5A0000}"/>
    <cellStyle name="输出 2 11 11 3 2" xfId="23135" xr:uid="{00000000-0005-0000-0000-00008F5A0000}"/>
    <cellStyle name="输出 2 11 11 3 2 2" xfId="38166" xr:uid="{00000000-0005-0000-0000-000046950000}"/>
    <cellStyle name="输出 2 11 11 3 3" xfId="38168" xr:uid="{00000000-0005-0000-0000-000048950000}"/>
    <cellStyle name="输出 2 11 11 3 3 2" xfId="38169" xr:uid="{00000000-0005-0000-0000-000049950000}"/>
    <cellStyle name="输出 2 11 11 3 4" xfId="38172" xr:uid="{00000000-0005-0000-0000-00004C950000}"/>
    <cellStyle name="输出 2 11 11 3 4 2" xfId="31344" xr:uid="{00000000-0005-0000-0000-0000A07A0000}"/>
    <cellStyle name="输出 2 11 11 3 5" xfId="37681" xr:uid="{00000000-0005-0000-0000-000061930000}"/>
    <cellStyle name="输出 2 11 11 3 5 2" xfId="38173" xr:uid="{00000000-0005-0000-0000-00004D950000}"/>
    <cellStyle name="输出 2 11 11 3 6" xfId="38175" xr:uid="{00000000-0005-0000-0000-00004F950000}"/>
    <cellStyle name="输出 2 11 11 4" xfId="23137" xr:uid="{00000000-0005-0000-0000-0000915A0000}"/>
    <cellStyle name="输出 2 11 11 4 2" xfId="23139" xr:uid="{00000000-0005-0000-0000-0000935A0000}"/>
    <cellStyle name="输出 2 11 11 4 2 2" xfId="38176" xr:uid="{00000000-0005-0000-0000-000050950000}"/>
    <cellStyle name="输出 2 11 11 4 3" xfId="38178" xr:uid="{00000000-0005-0000-0000-000052950000}"/>
    <cellStyle name="输出 2 11 11 4 3 2" xfId="38179" xr:uid="{00000000-0005-0000-0000-000053950000}"/>
    <cellStyle name="输出 2 11 11 4 4" xfId="38181" xr:uid="{00000000-0005-0000-0000-000055950000}"/>
    <cellStyle name="输出 2 11 11 4 4 2" xfId="38182" xr:uid="{00000000-0005-0000-0000-000056950000}"/>
    <cellStyle name="输出 2 11 11 4 5" xfId="37683" xr:uid="{00000000-0005-0000-0000-000063930000}"/>
    <cellStyle name="输出 2 11 11 4 5 2" xfId="38184" xr:uid="{00000000-0005-0000-0000-000058950000}"/>
    <cellStyle name="输出 2 11 11 4 6" xfId="38186" xr:uid="{00000000-0005-0000-0000-00005A950000}"/>
    <cellStyle name="输出 2 11 11 5" xfId="23141" xr:uid="{00000000-0005-0000-0000-0000955A0000}"/>
    <cellStyle name="输出 2 11 11 5 2" xfId="23143" xr:uid="{00000000-0005-0000-0000-0000975A0000}"/>
    <cellStyle name="输出 2 11 11 5 2 2" xfId="38187" xr:uid="{00000000-0005-0000-0000-00005B950000}"/>
    <cellStyle name="输出 2 11 11 5 3" xfId="38189" xr:uid="{00000000-0005-0000-0000-00005D950000}"/>
    <cellStyle name="输出 2 11 11 5 3 2" xfId="38190" xr:uid="{00000000-0005-0000-0000-00005E950000}"/>
    <cellStyle name="输出 2 11 11 5 4" xfId="38192" xr:uid="{00000000-0005-0000-0000-000060950000}"/>
    <cellStyle name="输出 2 11 11 5 4 2" xfId="38193" xr:uid="{00000000-0005-0000-0000-000061950000}"/>
    <cellStyle name="输出 2 11 11 5 5" xfId="37686" xr:uid="{00000000-0005-0000-0000-000066930000}"/>
    <cellStyle name="输出 2 11 11 5 5 2" xfId="38196" xr:uid="{00000000-0005-0000-0000-000064950000}"/>
    <cellStyle name="输出 2 11 11 5 6" xfId="38198" xr:uid="{00000000-0005-0000-0000-000066950000}"/>
    <cellStyle name="输出 2 11 11 6" xfId="3022" xr:uid="{00000000-0005-0000-0000-0000FE0B0000}"/>
    <cellStyle name="输出 2 11 11 6 2" xfId="38200" xr:uid="{00000000-0005-0000-0000-000068950000}"/>
    <cellStyle name="输出 2 11 11 6 2 2" xfId="38201" xr:uid="{00000000-0005-0000-0000-000069950000}"/>
    <cellStyle name="输出 2 11 11 6 3" xfId="13405" xr:uid="{00000000-0005-0000-0000-00008D340000}"/>
    <cellStyle name="输出 2 11 11 6 3 2" xfId="38203" xr:uid="{00000000-0005-0000-0000-00006B950000}"/>
    <cellStyle name="输出 2 11 11 6 4" xfId="38205" xr:uid="{00000000-0005-0000-0000-00006D950000}"/>
    <cellStyle name="输出 2 11 11 6 4 2" xfId="38206" xr:uid="{00000000-0005-0000-0000-00006E950000}"/>
    <cellStyle name="输出 2 11 11 6 5" xfId="37689" xr:uid="{00000000-0005-0000-0000-000069930000}"/>
    <cellStyle name="输出 2 11 11 6 5 2" xfId="38208" xr:uid="{00000000-0005-0000-0000-000070950000}"/>
    <cellStyle name="输出 2 11 11 6 6" xfId="38210" xr:uid="{00000000-0005-0000-0000-000072950000}"/>
    <cellStyle name="输出 2 11 11 7" xfId="23145" xr:uid="{00000000-0005-0000-0000-0000995A0000}"/>
    <cellStyle name="输出 2 11 11 7 2" xfId="38212" xr:uid="{00000000-0005-0000-0000-000074950000}"/>
    <cellStyle name="输出 2 11 11 7 2 2" xfId="38213" xr:uid="{00000000-0005-0000-0000-000075950000}"/>
    <cellStyle name="输出 2 11 11 7 3" xfId="8726" xr:uid="{00000000-0005-0000-0000-000046220000}"/>
    <cellStyle name="输出 2 11 11 7 3 2" xfId="38215" xr:uid="{00000000-0005-0000-0000-000077950000}"/>
    <cellStyle name="输出 2 11 11 7 4" xfId="38218" xr:uid="{00000000-0005-0000-0000-00007A950000}"/>
    <cellStyle name="输出 2 11 11 7 4 2" xfId="38219" xr:uid="{00000000-0005-0000-0000-00007B950000}"/>
    <cellStyle name="输出 2 11 11 7 5" xfId="38221" xr:uid="{00000000-0005-0000-0000-00007D950000}"/>
    <cellStyle name="输出 2 11 11 7 5 2" xfId="38222" xr:uid="{00000000-0005-0000-0000-00007E950000}"/>
    <cellStyle name="输出 2 11 11 7 6" xfId="38224" xr:uid="{00000000-0005-0000-0000-000080950000}"/>
    <cellStyle name="输出 2 11 11 8" xfId="3048" xr:uid="{00000000-0005-0000-0000-0000180C0000}"/>
    <cellStyle name="输出 2 11 11 8 2" xfId="34223" xr:uid="{00000000-0005-0000-0000-0000DF850000}"/>
    <cellStyle name="输出 2 11 11 8 2 2" xfId="38226" xr:uid="{00000000-0005-0000-0000-000082950000}"/>
    <cellStyle name="输出 2 11 11 8 3" xfId="8752" xr:uid="{00000000-0005-0000-0000-000060220000}"/>
    <cellStyle name="输出 2 11 11 8 3 2" xfId="38228" xr:uid="{00000000-0005-0000-0000-000084950000}"/>
    <cellStyle name="输出 2 11 11 8 4" xfId="38231" xr:uid="{00000000-0005-0000-0000-000087950000}"/>
    <cellStyle name="输出 2 11 11 8 4 2" xfId="32438" xr:uid="{00000000-0005-0000-0000-0000E67E0000}"/>
    <cellStyle name="输出 2 11 11 8 5" xfId="38232" xr:uid="{00000000-0005-0000-0000-000088950000}"/>
    <cellStyle name="输出 2 11 11 9" xfId="3068" xr:uid="{00000000-0005-0000-0000-00002C0C0000}"/>
    <cellStyle name="输出 2 11 11 9 2" xfId="34225" xr:uid="{00000000-0005-0000-0000-0000E1850000}"/>
    <cellStyle name="输出 2 11 12" xfId="23147" xr:uid="{00000000-0005-0000-0000-00009B5A0000}"/>
    <cellStyle name="输出 2 11 12 2" xfId="23149" xr:uid="{00000000-0005-0000-0000-00009D5A0000}"/>
    <cellStyle name="输出 2 11 12 2 2" xfId="23151" xr:uid="{00000000-0005-0000-0000-00009F5A0000}"/>
    <cellStyle name="输出 2 11 12 3" xfId="23153" xr:uid="{00000000-0005-0000-0000-0000A15A0000}"/>
    <cellStyle name="输出 2 11 12 3 2" xfId="23155" xr:uid="{00000000-0005-0000-0000-0000A35A0000}"/>
    <cellStyle name="输出 2 11 12 4" xfId="23157" xr:uid="{00000000-0005-0000-0000-0000A55A0000}"/>
    <cellStyle name="输出 2 11 12 4 2" xfId="23159" xr:uid="{00000000-0005-0000-0000-0000A75A0000}"/>
    <cellStyle name="输出 2 11 12 5" xfId="23161" xr:uid="{00000000-0005-0000-0000-0000A95A0000}"/>
    <cellStyle name="输出 2 11 12 5 2" xfId="23163" xr:uid="{00000000-0005-0000-0000-0000AB5A0000}"/>
    <cellStyle name="输出 2 11 12 6" xfId="3107" xr:uid="{00000000-0005-0000-0000-0000530C0000}"/>
    <cellStyle name="输出 2 11 12 7" xfId="3116" xr:uid="{00000000-0005-0000-0000-00005C0C0000}"/>
    <cellStyle name="输出 2 11 12 8" xfId="3128" xr:uid="{00000000-0005-0000-0000-0000680C0000}"/>
    <cellStyle name="输出 2 11 12 9" xfId="3140" xr:uid="{00000000-0005-0000-0000-0000740C0000}"/>
    <cellStyle name="输出 2 11 13" xfId="23167" xr:uid="{00000000-0005-0000-0000-0000AF5A0000}"/>
    <cellStyle name="输出 2 11 13 2" xfId="23171" xr:uid="{00000000-0005-0000-0000-0000B35A0000}"/>
    <cellStyle name="输出 2 11 13 2 2" xfId="23174" xr:uid="{00000000-0005-0000-0000-0000B65A0000}"/>
    <cellStyle name="输出 2 11 13 3" xfId="23177" xr:uid="{00000000-0005-0000-0000-0000B95A0000}"/>
    <cellStyle name="输出 2 11 13 3 2" xfId="23179" xr:uid="{00000000-0005-0000-0000-0000BB5A0000}"/>
    <cellStyle name="输出 2 11 13 4" xfId="23182" xr:uid="{00000000-0005-0000-0000-0000BE5A0000}"/>
    <cellStyle name="输出 2 11 13 4 2" xfId="23184" xr:uid="{00000000-0005-0000-0000-0000C05A0000}"/>
    <cellStyle name="输出 2 11 13 5" xfId="7752" xr:uid="{00000000-0005-0000-0000-0000781E0000}"/>
    <cellStyle name="输出 2 11 13 5 2" xfId="8711" xr:uid="{00000000-0005-0000-0000-000037220000}"/>
    <cellStyle name="输出 2 11 13 6" xfId="3172" xr:uid="{00000000-0005-0000-0000-0000940C0000}"/>
    <cellStyle name="输出 2 11 14" xfId="23188" xr:uid="{00000000-0005-0000-0000-0000C45A0000}"/>
    <cellStyle name="输出 2 11 14 2" xfId="23193" xr:uid="{00000000-0005-0000-0000-0000C95A0000}"/>
    <cellStyle name="输出 2 11 14 2 2" xfId="23195" xr:uid="{00000000-0005-0000-0000-0000CB5A0000}"/>
    <cellStyle name="输出 2 11 14 3" xfId="23197" xr:uid="{00000000-0005-0000-0000-0000CD5A0000}"/>
    <cellStyle name="输出 2 11 14 3 2" xfId="23199" xr:uid="{00000000-0005-0000-0000-0000CF5A0000}"/>
    <cellStyle name="输出 2 11 14 4" xfId="23201" xr:uid="{00000000-0005-0000-0000-0000D15A0000}"/>
    <cellStyle name="输出 2 11 14 4 2" xfId="23203" xr:uid="{00000000-0005-0000-0000-0000D35A0000}"/>
    <cellStyle name="输出 2 11 14 5" xfId="12473" xr:uid="{00000000-0005-0000-0000-0000E9300000}"/>
    <cellStyle name="输出 2 11 14 5 2" xfId="23205" xr:uid="{00000000-0005-0000-0000-0000D55A0000}"/>
    <cellStyle name="输出 2 11 14 6" xfId="23208" xr:uid="{00000000-0005-0000-0000-0000D85A0000}"/>
    <cellStyle name="输出 2 11 15" xfId="23214" xr:uid="{00000000-0005-0000-0000-0000DE5A0000}"/>
    <cellStyle name="输出 2 11 15 2" xfId="23224" xr:uid="{00000000-0005-0000-0000-0000E85A0000}"/>
    <cellStyle name="输出 2 11 15 2 2" xfId="23228" xr:uid="{00000000-0005-0000-0000-0000EC5A0000}"/>
    <cellStyle name="输出 2 11 15 3" xfId="23098" xr:uid="{00000000-0005-0000-0000-00006A5A0000}"/>
    <cellStyle name="输出 2 11 15 3 2" xfId="23230" xr:uid="{00000000-0005-0000-0000-0000EE5A0000}"/>
    <cellStyle name="输出 2 11 15 4" xfId="23232" xr:uid="{00000000-0005-0000-0000-0000F05A0000}"/>
    <cellStyle name="输出 2 11 15 4 2" xfId="23234" xr:uid="{00000000-0005-0000-0000-0000F25A0000}"/>
    <cellStyle name="输出 2 11 15 5" xfId="11342" xr:uid="{00000000-0005-0000-0000-00007E2C0000}"/>
    <cellStyle name="输出 2 11 15 5 2" xfId="23236" xr:uid="{00000000-0005-0000-0000-0000F45A0000}"/>
    <cellStyle name="输出 2 11 15 6" xfId="21241" xr:uid="{00000000-0005-0000-0000-000029530000}"/>
    <cellStyle name="输出 2 11 16" xfId="23241" xr:uid="{00000000-0005-0000-0000-0000F95A0000}"/>
    <cellStyle name="输出 2 11 16 2" xfId="23248" xr:uid="{00000000-0005-0000-0000-0000005B0000}"/>
    <cellStyle name="输出 2 11 16 2 2" xfId="23253" xr:uid="{00000000-0005-0000-0000-0000055B0000}"/>
    <cellStyle name="输出 2 11 16 3" xfId="23104" xr:uid="{00000000-0005-0000-0000-0000705A0000}"/>
    <cellStyle name="输出 2 11 16 3 2" xfId="23256" xr:uid="{00000000-0005-0000-0000-0000085B0000}"/>
    <cellStyle name="输出 2 11 16 4" xfId="23258" xr:uid="{00000000-0005-0000-0000-00000A5B0000}"/>
    <cellStyle name="输出 2 11 16 4 2" xfId="23261" xr:uid="{00000000-0005-0000-0000-00000D5B0000}"/>
    <cellStyle name="输出 2 11 16 5" xfId="11360" xr:uid="{00000000-0005-0000-0000-0000902C0000}"/>
    <cellStyle name="输出 2 11 16 5 2" xfId="23263" xr:uid="{00000000-0005-0000-0000-00000F5B0000}"/>
    <cellStyle name="输出 2 11 16 6" xfId="3243" xr:uid="{00000000-0005-0000-0000-0000DB0C0000}"/>
    <cellStyle name="输出 2 11 17" xfId="15812" xr:uid="{00000000-0005-0000-0000-0000F43D0000}"/>
    <cellStyle name="输出 2 11 17 2" xfId="11553" xr:uid="{00000000-0005-0000-0000-0000512D0000}"/>
    <cellStyle name="输出 2 11 17 2 2" xfId="1196" xr:uid="{00000000-0005-0000-0000-0000DC040000}"/>
    <cellStyle name="输出 2 11 17 3" xfId="11560" xr:uid="{00000000-0005-0000-0000-0000582D0000}"/>
    <cellStyle name="输出 2 11 17 3 2" xfId="23266" xr:uid="{00000000-0005-0000-0000-0000125B0000}"/>
    <cellStyle name="输出 2 11 17 4" xfId="11566" xr:uid="{00000000-0005-0000-0000-00005E2D0000}"/>
    <cellStyle name="输出 2 11 17 4 2" xfId="21509" xr:uid="{00000000-0005-0000-0000-000035540000}"/>
    <cellStyle name="输出 2 11 17 5" xfId="11377" xr:uid="{00000000-0005-0000-0000-0000A12C0000}"/>
    <cellStyle name="输出 2 11 17 5 2" xfId="38233" xr:uid="{00000000-0005-0000-0000-000089950000}"/>
    <cellStyle name="输出 2 11 17 6" xfId="4807" xr:uid="{00000000-0005-0000-0000-0000F7120000}"/>
    <cellStyle name="输出 2 11 18" xfId="23271" xr:uid="{00000000-0005-0000-0000-0000175B0000}"/>
    <cellStyle name="输出 2 11 18 2" xfId="11582" xr:uid="{00000000-0005-0000-0000-00006E2D0000}"/>
    <cellStyle name="输出 2 11 18 2 2" xfId="8813" xr:uid="{00000000-0005-0000-0000-00009D220000}"/>
    <cellStyle name="输出 2 11 18 3" xfId="11587" xr:uid="{00000000-0005-0000-0000-0000732D0000}"/>
    <cellStyle name="输出 2 11 18 3 2" xfId="38234" xr:uid="{00000000-0005-0000-0000-00008A950000}"/>
    <cellStyle name="输出 2 11 18 4" xfId="38236" xr:uid="{00000000-0005-0000-0000-00008C950000}"/>
    <cellStyle name="输出 2 11 18 4 2" xfId="38237" xr:uid="{00000000-0005-0000-0000-00008D950000}"/>
    <cellStyle name="输出 2 11 18 5" xfId="38239" xr:uid="{00000000-0005-0000-0000-00008F950000}"/>
    <cellStyle name="输出 2 11 18 5 2" xfId="38240" xr:uid="{00000000-0005-0000-0000-000090950000}"/>
    <cellStyle name="输出 2 11 18 6" xfId="4815" xr:uid="{00000000-0005-0000-0000-0000FF120000}"/>
    <cellStyle name="输出 2 11 19" xfId="36661" xr:uid="{00000000-0005-0000-0000-0000658F0000}"/>
    <cellStyle name="输出 2 11 19 2" xfId="11597" xr:uid="{00000000-0005-0000-0000-00007D2D0000}"/>
    <cellStyle name="输出 2 11 19 2 2" xfId="9182" xr:uid="{00000000-0005-0000-0000-00000E240000}"/>
    <cellStyle name="输出 2 11 19 3" xfId="2767" xr:uid="{00000000-0005-0000-0000-0000FF0A0000}"/>
    <cellStyle name="输出 2 11 19 3 2" xfId="37384" xr:uid="{00000000-0005-0000-0000-000038920000}"/>
    <cellStyle name="输出 2 11 19 4" xfId="38241" xr:uid="{00000000-0005-0000-0000-000091950000}"/>
    <cellStyle name="输出 2 11 19 4 2" xfId="38242" xr:uid="{00000000-0005-0000-0000-000092950000}"/>
    <cellStyle name="输出 2 11 19 5" xfId="38244" xr:uid="{00000000-0005-0000-0000-000094950000}"/>
    <cellStyle name="输出 2 11 2" xfId="5426" xr:uid="{00000000-0005-0000-0000-000062150000}"/>
    <cellStyle name="输出 2 11 2 10" xfId="3626" xr:uid="{00000000-0005-0000-0000-00005A0E0000}"/>
    <cellStyle name="输出 2 11 2 10 2" xfId="38245" xr:uid="{00000000-0005-0000-0000-000095950000}"/>
    <cellStyle name="输出 2 11 2 11" xfId="16328" xr:uid="{00000000-0005-0000-0000-0000F83F0000}"/>
    <cellStyle name="输出 2 11 2 11 2" xfId="38246" xr:uid="{00000000-0005-0000-0000-000096950000}"/>
    <cellStyle name="输出 2 11 2 12" xfId="16330" xr:uid="{00000000-0005-0000-0000-0000FA3F0000}"/>
    <cellStyle name="输出 2 11 2 12 2" xfId="38247" xr:uid="{00000000-0005-0000-0000-000097950000}"/>
    <cellStyle name="输出 2 11 2 13" xfId="13255" xr:uid="{00000000-0005-0000-0000-0000F7330000}"/>
    <cellStyle name="输出 2 11 2 14" xfId="38248" xr:uid="{00000000-0005-0000-0000-000098950000}"/>
    <cellStyle name="输出 2 11 2 15" xfId="24826" xr:uid="{00000000-0005-0000-0000-00002A610000}"/>
    <cellStyle name="输出 2 11 2 16" xfId="26753" xr:uid="{00000000-0005-0000-0000-0000B1680000}"/>
    <cellStyle name="输出 2 11 2 2" xfId="5433" xr:uid="{00000000-0005-0000-0000-000069150000}"/>
    <cellStyle name="输出 2 11 2 2 2" xfId="22572" xr:uid="{00000000-0005-0000-0000-00005C580000}"/>
    <cellStyle name="输出 2 11 2 2 2 2" xfId="10028" xr:uid="{00000000-0005-0000-0000-00005C270000}"/>
    <cellStyle name="输出 2 11 2 2 3" xfId="18471" xr:uid="{00000000-0005-0000-0000-000057480000}"/>
    <cellStyle name="输出 2 11 2 2 3 2" xfId="10089" xr:uid="{00000000-0005-0000-0000-000099270000}"/>
    <cellStyle name="输出 2 11 2 2 4" xfId="18484" xr:uid="{00000000-0005-0000-0000-000064480000}"/>
    <cellStyle name="输出 2 11 2 2 4 2" xfId="10139" xr:uid="{00000000-0005-0000-0000-0000CB270000}"/>
    <cellStyle name="输出 2 11 2 2 5" xfId="18495" xr:uid="{00000000-0005-0000-0000-00006F480000}"/>
    <cellStyle name="输出 2 11 2 2 5 2" xfId="18502" xr:uid="{00000000-0005-0000-0000-000076480000}"/>
    <cellStyle name="输出 2 11 2 2 6" xfId="10694" xr:uid="{00000000-0005-0000-0000-0000F6290000}"/>
    <cellStyle name="输出 2 11 2 2 7" xfId="20880" xr:uid="{00000000-0005-0000-0000-0000C0510000}"/>
    <cellStyle name="输出 2 11 2 2 8" xfId="38249" xr:uid="{00000000-0005-0000-0000-000099950000}"/>
    <cellStyle name="输出 2 11 2 2 9" xfId="38251" xr:uid="{00000000-0005-0000-0000-00009B950000}"/>
    <cellStyle name="输出 2 11 2 3" xfId="22575" xr:uid="{00000000-0005-0000-0000-00005F580000}"/>
    <cellStyle name="输出 2 11 2 3 2" xfId="22577" xr:uid="{00000000-0005-0000-0000-000061580000}"/>
    <cellStyle name="输出 2 11 2 3 2 2" xfId="10331" xr:uid="{00000000-0005-0000-0000-00008B280000}"/>
    <cellStyle name="输出 2 11 2 3 3" xfId="18506" xr:uid="{00000000-0005-0000-0000-00007A480000}"/>
    <cellStyle name="输出 2 11 2 3 3 2" xfId="10385" xr:uid="{00000000-0005-0000-0000-0000C1280000}"/>
    <cellStyle name="输出 2 11 2 3 4" xfId="22580" xr:uid="{00000000-0005-0000-0000-000064580000}"/>
    <cellStyle name="输出 2 11 2 3 4 2" xfId="10440" xr:uid="{00000000-0005-0000-0000-0000F8280000}"/>
    <cellStyle name="输出 2 11 2 3 5" xfId="22585" xr:uid="{00000000-0005-0000-0000-000069580000}"/>
    <cellStyle name="输出 2 11 2 3 5 2" xfId="38253" xr:uid="{00000000-0005-0000-0000-00009D950000}"/>
    <cellStyle name="输出 2 11 2 3 6" xfId="27098" xr:uid="{00000000-0005-0000-0000-00000A6A0000}"/>
    <cellStyle name="输出 2 11 2 4" xfId="22587" xr:uid="{00000000-0005-0000-0000-00006B580000}"/>
    <cellStyle name="输出 2 11 2 4 2" xfId="22590" xr:uid="{00000000-0005-0000-0000-00006E580000}"/>
    <cellStyle name="输出 2 11 2 4 2 2" xfId="29309" xr:uid="{00000000-0005-0000-0000-0000AD720000}"/>
    <cellStyle name="输出 2 11 2 4 3" xfId="32503" xr:uid="{00000000-0005-0000-0000-0000277F0000}"/>
    <cellStyle name="输出 2 11 2 4 3 2" xfId="29318" xr:uid="{00000000-0005-0000-0000-0000B6720000}"/>
    <cellStyle name="输出 2 11 2 4 4" xfId="32506" xr:uid="{00000000-0005-0000-0000-00002A7F0000}"/>
    <cellStyle name="输出 2 11 2 4 4 2" xfId="38254" xr:uid="{00000000-0005-0000-0000-00009E950000}"/>
    <cellStyle name="输出 2 11 2 4 5" xfId="12989" xr:uid="{00000000-0005-0000-0000-0000ED320000}"/>
    <cellStyle name="输出 2 11 2 4 5 2" xfId="38255" xr:uid="{00000000-0005-0000-0000-00009F950000}"/>
    <cellStyle name="输出 2 11 2 4 6" xfId="38256" xr:uid="{00000000-0005-0000-0000-0000A0950000}"/>
    <cellStyle name="输出 2 11 2 5" xfId="38257" xr:uid="{00000000-0005-0000-0000-0000A1950000}"/>
    <cellStyle name="输出 2 11 2 5 2" xfId="22483" xr:uid="{00000000-0005-0000-0000-000003580000}"/>
    <cellStyle name="输出 2 11 2 5 2 2" xfId="22486" xr:uid="{00000000-0005-0000-0000-000006580000}"/>
    <cellStyle name="输出 2 11 2 5 3" xfId="22488" xr:uid="{00000000-0005-0000-0000-000008580000}"/>
    <cellStyle name="输出 2 11 2 5 3 2" xfId="22491" xr:uid="{00000000-0005-0000-0000-00000B580000}"/>
    <cellStyle name="输出 2 11 2 5 4" xfId="22493" xr:uid="{00000000-0005-0000-0000-00000D580000}"/>
    <cellStyle name="输出 2 11 2 5 4 2" xfId="22495" xr:uid="{00000000-0005-0000-0000-00000F580000}"/>
    <cellStyle name="输出 2 11 2 5 5" xfId="12998" xr:uid="{00000000-0005-0000-0000-0000F6320000}"/>
    <cellStyle name="输出 2 11 2 5 5 2" xfId="38258" xr:uid="{00000000-0005-0000-0000-0000A2950000}"/>
    <cellStyle name="输出 2 11 2 5 6" xfId="22497" xr:uid="{00000000-0005-0000-0000-000011580000}"/>
    <cellStyle name="输出 2 11 2 6" xfId="8022" xr:uid="{00000000-0005-0000-0000-0000861F0000}"/>
    <cellStyle name="输出 2 11 2 6 2" xfId="8167" xr:uid="{00000000-0005-0000-0000-000017200000}"/>
    <cellStyle name="输出 2 11 2 6 2 2" xfId="6884" xr:uid="{00000000-0005-0000-0000-0000141B0000}"/>
    <cellStyle name="输出 2 11 2 6 3" xfId="7435" xr:uid="{00000000-0005-0000-0000-00003B1D0000}"/>
    <cellStyle name="输出 2 11 2 6 3 2" xfId="8170" xr:uid="{00000000-0005-0000-0000-00001A200000}"/>
    <cellStyle name="输出 2 11 2 6 4" xfId="5910" xr:uid="{00000000-0005-0000-0000-000046170000}"/>
    <cellStyle name="输出 2 11 2 6 4 2" xfId="8177" xr:uid="{00000000-0005-0000-0000-000021200000}"/>
    <cellStyle name="输出 2 11 2 6 5" xfId="8186" xr:uid="{00000000-0005-0000-0000-00002A200000}"/>
    <cellStyle name="输出 2 11 2 6 5 2" xfId="8194" xr:uid="{00000000-0005-0000-0000-000032200000}"/>
    <cellStyle name="输出 2 11 2 6 6" xfId="8202" xr:uid="{00000000-0005-0000-0000-00003A200000}"/>
    <cellStyle name="输出 2 11 2 7" xfId="38259" xr:uid="{00000000-0005-0000-0000-0000A3950000}"/>
    <cellStyle name="输出 2 11 2 7 2" xfId="8216" xr:uid="{00000000-0005-0000-0000-000048200000}"/>
    <cellStyle name="输出 2 11 2 7 2 2" xfId="8224" xr:uid="{00000000-0005-0000-0000-000050200000}"/>
    <cellStyle name="输出 2 11 2 7 3" xfId="7452" xr:uid="{00000000-0005-0000-0000-00004C1D0000}"/>
    <cellStyle name="输出 2 11 2 7 3 2" xfId="8231" xr:uid="{00000000-0005-0000-0000-000057200000}"/>
    <cellStyle name="输出 2 11 2 7 4" xfId="5932" xr:uid="{00000000-0005-0000-0000-00005C170000}"/>
    <cellStyle name="输出 2 11 2 7 4 2" xfId="8238" xr:uid="{00000000-0005-0000-0000-00005E200000}"/>
    <cellStyle name="输出 2 11 2 7 5" xfId="8244" xr:uid="{00000000-0005-0000-0000-000064200000}"/>
    <cellStyle name="输出 2 11 2 7 5 2" xfId="38260" xr:uid="{00000000-0005-0000-0000-0000A4950000}"/>
    <cellStyle name="输出 2 11 2 7 6" xfId="38261" xr:uid="{00000000-0005-0000-0000-0000A5950000}"/>
    <cellStyle name="输出 2 11 2 8" xfId="38262" xr:uid="{00000000-0005-0000-0000-0000A6950000}"/>
    <cellStyle name="输出 2 11 2 8 2" xfId="8263" xr:uid="{00000000-0005-0000-0000-000077200000}"/>
    <cellStyle name="输出 2 11 2 8 2 2" xfId="8271" xr:uid="{00000000-0005-0000-0000-00007F200000}"/>
    <cellStyle name="输出 2 11 2 8 3" xfId="7463" xr:uid="{00000000-0005-0000-0000-0000571D0000}"/>
    <cellStyle name="输出 2 11 2 8 3 2" xfId="8280" xr:uid="{00000000-0005-0000-0000-000088200000}"/>
    <cellStyle name="输出 2 11 2 8 4" xfId="8288" xr:uid="{00000000-0005-0000-0000-000090200000}"/>
    <cellStyle name="输出 2 11 2 8 4 2" xfId="6237" xr:uid="{00000000-0005-0000-0000-00008D180000}"/>
    <cellStyle name="输出 2 11 2 8 5" xfId="8291" xr:uid="{00000000-0005-0000-0000-000093200000}"/>
    <cellStyle name="输出 2 11 2 9" xfId="38263" xr:uid="{00000000-0005-0000-0000-0000A7950000}"/>
    <cellStyle name="输出 2 11 2 9 2" xfId="8313" xr:uid="{00000000-0005-0000-0000-0000A9200000}"/>
    <cellStyle name="输出 2 11 20" xfId="23215" xr:uid="{00000000-0005-0000-0000-0000DF5A0000}"/>
    <cellStyle name="输出 2 11 20 2" xfId="23225" xr:uid="{00000000-0005-0000-0000-0000E95A0000}"/>
    <cellStyle name="输出 2 11 21" xfId="23242" xr:uid="{00000000-0005-0000-0000-0000FA5A0000}"/>
    <cellStyle name="输出 2 11 21 2" xfId="23249" xr:uid="{00000000-0005-0000-0000-0000015B0000}"/>
    <cellStyle name="输出 2 11 22" xfId="15811" xr:uid="{00000000-0005-0000-0000-0000F33D0000}"/>
    <cellStyle name="输出 2 11 22 2" xfId="11552" xr:uid="{00000000-0005-0000-0000-0000502D0000}"/>
    <cellStyle name="输出 2 11 23" xfId="23272" xr:uid="{00000000-0005-0000-0000-0000185B0000}"/>
    <cellStyle name="输出 2 11 23 2" xfId="11581" xr:uid="{00000000-0005-0000-0000-00006D2D0000}"/>
    <cellStyle name="输出 2 11 24" xfId="36660" xr:uid="{00000000-0005-0000-0000-0000648F0000}"/>
    <cellStyle name="输出 2 11 25" xfId="38264" xr:uid="{00000000-0005-0000-0000-0000A8950000}"/>
    <cellStyle name="输出 2 11 26" xfId="38267" xr:uid="{00000000-0005-0000-0000-0000AB950000}"/>
    <cellStyle name="输出 2 11 27" xfId="38268" xr:uid="{00000000-0005-0000-0000-0000AC950000}"/>
    <cellStyle name="输出 2 11 3" xfId="5443" xr:uid="{00000000-0005-0000-0000-000073150000}"/>
    <cellStyle name="输出 2 11 3 10" xfId="16488" xr:uid="{00000000-0005-0000-0000-000098400000}"/>
    <cellStyle name="输出 2 11 3 10 2" xfId="24384" xr:uid="{00000000-0005-0000-0000-0000705F0000}"/>
    <cellStyle name="输出 2 11 3 11" xfId="7201" xr:uid="{00000000-0005-0000-0000-0000511C0000}"/>
    <cellStyle name="输出 2 11 3 11 2" xfId="24408" xr:uid="{00000000-0005-0000-0000-0000885F0000}"/>
    <cellStyle name="输出 2 11 3 12" xfId="15800" xr:uid="{00000000-0005-0000-0000-0000E83D0000}"/>
    <cellStyle name="输出 2 11 3 12 2" xfId="24433" xr:uid="{00000000-0005-0000-0000-0000A15F0000}"/>
    <cellStyle name="输出 2 11 3 13" xfId="4973" xr:uid="{00000000-0005-0000-0000-00009D130000}"/>
    <cellStyle name="输出 2 11 3 14" xfId="34188" xr:uid="{00000000-0005-0000-0000-0000BC850000}"/>
    <cellStyle name="输出 2 11 3 15" xfId="14423" xr:uid="{00000000-0005-0000-0000-000087380000}"/>
    <cellStyle name="输出 2 11 3 16" xfId="38269" xr:uid="{00000000-0005-0000-0000-0000AD950000}"/>
    <cellStyle name="输出 2 11 3 2" xfId="5452" xr:uid="{00000000-0005-0000-0000-00007C150000}"/>
    <cellStyle name="输出 2 11 3 2 2" xfId="22667" xr:uid="{00000000-0005-0000-0000-0000BB580000}"/>
    <cellStyle name="输出 2 11 3 2 2 2" xfId="22671" xr:uid="{00000000-0005-0000-0000-0000BF580000}"/>
    <cellStyle name="输出 2 11 3 2 3" xfId="18794" xr:uid="{00000000-0005-0000-0000-00009A490000}"/>
    <cellStyle name="输出 2 11 3 2 3 2" xfId="18802" xr:uid="{00000000-0005-0000-0000-0000A2490000}"/>
    <cellStyle name="输出 2 11 3 2 4" xfId="13827" xr:uid="{00000000-0005-0000-0000-000033360000}"/>
    <cellStyle name="输出 2 11 3 2 4 2" xfId="13835" xr:uid="{00000000-0005-0000-0000-00003B360000}"/>
    <cellStyle name="输出 2 11 3 2 5" xfId="13840" xr:uid="{00000000-0005-0000-0000-000040360000}"/>
    <cellStyle name="输出 2 11 3 2 5 2" xfId="13848" xr:uid="{00000000-0005-0000-0000-000048360000}"/>
    <cellStyle name="输出 2 11 3 2 6" xfId="10768" xr:uid="{00000000-0005-0000-0000-0000402A0000}"/>
    <cellStyle name="输出 2 11 3 2 7" xfId="13853" xr:uid="{00000000-0005-0000-0000-00004D360000}"/>
    <cellStyle name="输出 2 11 3 2 8" xfId="32413" xr:uid="{00000000-0005-0000-0000-0000CD7E0000}"/>
    <cellStyle name="输出 2 11 3 2 9" xfId="4143" xr:uid="{00000000-0005-0000-0000-00005F100000}"/>
    <cellStyle name="输出 2 11 3 3" xfId="22677" xr:uid="{00000000-0005-0000-0000-0000C5580000}"/>
    <cellStyle name="输出 2 11 3 3 2" xfId="22679" xr:uid="{00000000-0005-0000-0000-0000C7580000}"/>
    <cellStyle name="输出 2 11 3 3 2 2" xfId="22682" xr:uid="{00000000-0005-0000-0000-0000CA580000}"/>
    <cellStyle name="输出 2 11 3 3 3" xfId="18808" xr:uid="{00000000-0005-0000-0000-0000A8490000}"/>
    <cellStyle name="输出 2 11 3 3 3 2" xfId="22686" xr:uid="{00000000-0005-0000-0000-0000CE580000}"/>
    <cellStyle name="输出 2 11 3 3 4" xfId="22690" xr:uid="{00000000-0005-0000-0000-0000D2580000}"/>
    <cellStyle name="输出 2 11 3 3 4 2" xfId="22692" xr:uid="{00000000-0005-0000-0000-0000D4580000}"/>
    <cellStyle name="输出 2 11 3 3 5" xfId="22696" xr:uid="{00000000-0005-0000-0000-0000D8580000}"/>
    <cellStyle name="输出 2 11 3 3 5 2" xfId="32971" xr:uid="{00000000-0005-0000-0000-0000FB800000}"/>
    <cellStyle name="输出 2 11 3 3 6" xfId="29315" xr:uid="{00000000-0005-0000-0000-0000B3720000}"/>
    <cellStyle name="输出 2 11 3 4" xfId="14755" xr:uid="{00000000-0005-0000-0000-0000D3390000}"/>
    <cellStyle name="输出 2 11 3 4 2" xfId="22698" xr:uid="{00000000-0005-0000-0000-0000DA580000}"/>
    <cellStyle name="输出 2 11 3 4 2 2" xfId="30484" xr:uid="{00000000-0005-0000-0000-000044770000}"/>
    <cellStyle name="输出 2 11 3 4 3" xfId="38272" xr:uid="{00000000-0005-0000-0000-0000B0950000}"/>
    <cellStyle name="输出 2 11 3 4 3 2" xfId="30497" xr:uid="{00000000-0005-0000-0000-000051770000}"/>
    <cellStyle name="输出 2 11 3 4 4" xfId="38273" xr:uid="{00000000-0005-0000-0000-0000B1950000}"/>
    <cellStyle name="输出 2 11 3 4 4 2" xfId="38274" xr:uid="{00000000-0005-0000-0000-0000B2950000}"/>
    <cellStyle name="输出 2 11 3 4 5" xfId="33839" xr:uid="{00000000-0005-0000-0000-00005F840000}"/>
    <cellStyle name="输出 2 11 3 4 5 2" xfId="33847" xr:uid="{00000000-0005-0000-0000-000067840000}"/>
    <cellStyle name="输出 2 11 3 4 6" xfId="33883" xr:uid="{00000000-0005-0000-0000-00008B840000}"/>
    <cellStyle name="输出 2 11 3 5" xfId="38275" xr:uid="{00000000-0005-0000-0000-0000B3950000}"/>
    <cellStyle name="输出 2 11 3 5 2" xfId="38276" xr:uid="{00000000-0005-0000-0000-0000B4950000}"/>
    <cellStyle name="输出 2 11 3 5 2 2" xfId="38277" xr:uid="{00000000-0005-0000-0000-0000B5950000}"/>
    <cellStyle name="输出 2 11 3 5 3" xfId="38280" xr:uid="{00000000-0005-0000-0000-0000B8950000}"/>
    <cellStyle name="输出 2 11 3 5 3 2" xfId="38281" xr:uid="{00000000-0005-0000-0000-0000B9950000}"/>
    <cellStyle name="输出 2 11 3 5 4" xfId="14932" xr:uid="{00000000-0005-0000-0000-0000843A0000}"/>
    <cellStyle name="输出 2 11 3 5 4 2" xfId="38283" xr:uid="{00000000-0005-0000-0000-0000BB950000}"/>
    <cellStyle name="输出 2 11 3 5 5" xfId="38284" xr:uid="{00000000-0005-0000-0000-0000BC950000}"/>
    <cellStyle name="输出 2 11 3 5 5 2" xfId="38285" xr:uid="{00000000-0005-0000-0000-0000BD950000}"/>
    <cellStyle name="输出 2 11 3 5 6" xfId="38286" xr:uid="{00000000-0005-0000-0000-0000BE950000}"/>
    <cellStyle name="输出 2 11 3 6" xfId="8031" xr:uid="{00000000-0005-0000-0000-00008F1F0000}"/>
    <cellStyle name="输出 2 11 3 6 2" xfId="38287" xr:uid="{00000000-0005-0000-0000-0000BF950000}"/>
    <cellStyle name="输出 2 11 3 6 2 2" xfId="38288" xr:uid="{00000000-0005-0000-0000-0000C0950000}"/>
    <cellStyle name="输出 2 11 3 6 3" xfId="38290" xr:uid="{00000000-0005-0000-0000-0000C2950000}"/>
    <cellStyle name="输出 2 11 3 6 3 2" xfId="38291" xr:uid="{00000000-0005-0000-0000-0000C3950000}"/>
    <cellStyle name="输出 2 11 3 6 4" xfId="6015" xr:uid="{00000000-0005-0000-0000-0000AF170000}"/>
    <cellStyle name="输出 2 11 3 6 4 2" xfId="38294" xr:uid="{00000000-0005-0000-0000-0000C6950000}"/>
    <cellStyle name="输出 2 11 3 6 5" xfId="38296" xr:uid="{00000000-0005-0000-0000-0000C8950000}"/>
    <cellStyle name="输出 2 11 3 6 5 2" xfId="38297" xr:uid="{00000000-0005-0000-0000-0000C9950000}"/>
    <cellStyle name="输出 2 11 3 6 6" xfId="38299" xr:uid="{00000000-0005-0000-0000-0000CB950000}"/>
    <cellStyle name="输出 2 11 3 7" xfId="38300" xr:uid="{00000000-0005-0000-0000-0000CC950000}"/>
    <cellStyle name="输出 2 11 3 7 2" xfId="38301" xr:uid="{00000000-0005-0000-0000-0000CD950000}"/>
    <cellStyle name="输出 2 11 3 7 2 2" xfId="38303" xr:uid="{00000000-0005-0000-0000-0000CF950000}"/>
    <cellStyle name="输出 2 11 3 7 3" xfId="38305" xr:uid="{00000000-0005-0000-0000-0000D1950000}"/>
    <cellStyle name="输出 2 11 3 7 3 2" xfId="38307" xr:uid="{00000000-0005-0000-0000-0000D3950000}"/>
    <cellStyle name="输出 2 11 3 7 4" xfId="6038" xr:uid="{00000000-0005-0000-0000-0000C6170000}"/>
    <cellStyle name="输出 2 11 3 7 4 2" xfId="38309" xr:uid="{00000000-0005-0000-0000-0000D5950000}"/>
    <cellStyle name="输出 2 11 3 7 5" xfId="38310" xr:uid="{00000000-0005-0000-0000-0000D6950000}"/>
    <cellStyle name="输出 2 11 3 7 5 2" xfId="38312" xr:uid="{00000000-0005-0000-0000-0000D8950000}"/>
    <cellStyle name="输出 2 11 3 7 6" xfId="38313" xr:uid="{00000000-0005-0000-0000-0000D9950000}"/>
    <cellStyle name="输出 2 11 3 8" xfId="38314" xr:uid="{00000000-0005-0000-0000-0000DA950000}"/>
    <cellStyle name="输出 2 11 3 8 2" xfId="38315" xr:uid="{00000000-0005-0000-0000-0000DB950000}"/>
    <cellStyle name="输出 2 11 3 8 2 2" xfId="38317" xr:uid="{00000000-0005-0000-0000-0000DD950000}"/>
    <cellStyle name="输出 2 11 3 8 3" xfId="38319" xr:uid="{00000000-0005-0000-0000-0000DF950000}"/>
    <cellStyle name="输出 2 11 3 8 3 2" xfId="38320" xr:uid="{00000000-0005-0000-0000-0000E0950000}"/>
    <cellStyle name="输出 2 11 3 8 4" xfId="37834" xr:uid="{00000000-0005-0000-0000-0000FA930000}"/>
    <cellStyle name="输出 2 11 3 8 4 2" xfId="38322" xr:uid="{00000000-0005-0000-0000-0000E2950000}"/>
    <cellStyle name="输出 2 11 3 8 5" xfId="38323" xr:uid="{00000000-0005-0000-0000-0000E3950000}"/>
    <cellStyle name="输出 2 11 3 9" xfId="38324" xr:uid="{00000000-0005-0000-0000-0000E4950000}"/>
    <cellStyle name="输出 2 11 3 9 2" xfId="38325" xr:uid="{00000000-0005-0000-0000-0000E5950000}"/>
    <cellStyle name="输出 2 11 4" xfId="5460" xr:uid="{00000000-0005-0000-0000-000084150000}"/>
    <cellStyle name="输出 2 11 4 10" xfId="3154" xr:uid="{00000000-0005-0000-0000-0000820C0000}"/>
    <cellStyle name="输出 2 11 4 10 2" xfId="38327" xr:uid="{00000000-0005-0000-0000-0000E7950000}"/>
    <cellStyle name="输出 2 11 4 11" xfId="15885" xr:uid="{00000000-0005-0000-0000-00003D3E0000}"/>
    <cellStyle name="输出 2 11 4 11 2" xfId="38329" xr:uid="{00000000-0005-0000-0000-0000E9950000}"/>
    <cellStyle name="输出 2 11 4 12" xfId="16646" xr:uid="{00000000-0005-0000-0000-000036410000}"/>
    <cellStyle name="输出 2 11 4 12 2" xfId="38331" xr:uid="{00000000-0005-0000-0000-0000EB950000}"/>
    <cellStyle name="输出 2 11 4 13" xfId="16649" xr:uid="{00000000-0005-0000-0000-000039410000}"/>
    <cellStyle name="输出 2 11 4 14" xfId="38334" xr:uid="{00000000-0005-0000-0000-0000EE950000}"/>
    <cellStyle name="输出 2 11 4 15" xfId="7443" xr:uid="{00000000-0005-0000-0000-0000431D0000}"/>
    <cellStyle name="输出 2 11 4 16" xfId="38335" xr:uid="{00000000-0005-0000-0000-0000EF950000}"/>
    <cellStyle name="输出 2 11 4 2" xfId="6077" xr:uid="{00000000-0005-0000-0000-0000ED170000}"/>
    <cellStyle name="输出 2 11 4 2 2" xfId="38338" xr:uid="{00000000-0005-0000-0000-0000F2950000}"/>
    <cellStyle name="输出 2 11 4 2 2 2" xfId="24738" xr:uid="{00000000-0005-0000-0000-0000D2600000}"/>
    <cellStyle name="输出 2 11 4 2 3" xfId="38340" xr:uid="{00000000-0005-0000-0000-0000F4950000}"/>
    <cellStyle name="输出 2 11 4 2 3 2" xfId="31686" xr:uid="{00000000-0005-0000-0000-0000F67B0000}"/>
    <cellStyle name="输出 2 11 4 2 4" xfId="37575" xr:uid="{00000000-0005-0000-0000-0000F7920000}"/>
    <cellStyle name="输出 2 11 4 2 4 2" xfId="38343" xr:uid="{00000000-0005-0000-0000-0000F7950000}"/>
    <cellStyle name="输出 2 11 4 2 5" xfId="38344" xr:uid="{00000000-0005-0000-0000-0000F8950000}"/>
    <cellStyle name="输出 2 11 4 2 5 2" xfId="38347" xr:uid="{00000000-0005-0000-0000-0000FB950000}"/>
    <cellStyle name="输出 2 11 4 2 6" xfId="10821" xr:uid="{00000000-0005-0000-0000-0000752A0000}"/>
    <cellStyle name="输出 2 11 4 2 7" xfId="20907" xr:uid="{00000000-0005-0000-0000-0000DB510000}"/>
    <cellStyle name="输出 2 11 4 2 8" xfId="38348" xr:uid="{00000000-0005-0000-0000-0000FC950000}"/>
    <cellStyle name="输出 2 11 4 2 9" xfId="30635" xr:uid="{00000000-0005-0000-0000-0000DB770000}"/>
    <cellStyle name="输出 2 11 4 3" xfId="22725" xr:uid="{00000000-0005-0000-0000-0000F5580000}"/>
    <cellStyle name="输出 2 11 4 3 2" xfId="38349" xr:uid="{00000000-0005-0000-0000-0000FD950000}"/>
    <cellStyle name="输出 2 11 4 3 2 2" xfId="31768" xr:uid="{00000000-0005-0000-0000-0000487C0000}"/>
    <cellStyle name="输出 2 11 4 3 3" xfId="38352" xr:uid="{00000000-0005-0000-0000-000000960000}"/>
    <cellStyle name="输出 2 11 4 3 3 2" xfId="31777" xr:uid="{00000000-0005-0000-0000-0000517C0000}"/>
    <cellStyle name="输出 2 11 4 3 4" xfId="37580" xr:uid="{00000000-0005-0000-0000-0000FC920000}"/>
    <cellStyle name="输出 2 11 4 3 4 2" xfId="38353" xr:uid="{00000000-0005-0000-0000-000001960000}"/>
    <cellStyle name="输出 2 11 4 3 5" xfId="38354" xr:uid="{00000000-0005-0000-0000-000002960000}"/>
    <cellStyle name="输出 2 11 4 3 5 2" xfId="38355" xr:uid="{00000000-0005-0000-0000-000003960000}"/>
    <cellStyle name="输出 2 11 4 3 6" xfId="38356" xr:uid="{00000000-0005-0000-0000-000004960000}"/>
    <cellStyle name="输出 2 11 4 4" xfId="14761" xr:uid="{00000000-0005-0000-0000-0000D9390000}"/>
    <cellStyle name="输出 2 11 4 4 2" xfId="38357" xr:uid="{00000000-0005-0000-0000-000005960000}"/>
    <cellStyle name="输出 2 11 4 4 2 2" xfId="31898" xr:uid="{00000000-0005-0000-0000-0000CA7C0000}"/>
    <cellStyle name="输出 2 11 4 4 3" xfId="38359" xr:uid="{00000000-0005-0000-0000-000007960000}"/>
    <cellStyle name="输出 2 11 4 4 3 2" xfId="31921" xr:uid="{00000000-0005-0000-0000-0000E17C0000}"/>
    <cellStyle name="输出 2 11 4 4 4" xfId="38360" xr:uid="{00000000-0005-0000-0000-000008960000}"/>
    <cellStyle name="输出 2 11 4 4 4 2" xfId="38362" xr:uid="{00000000-0005-0000-0000-00000A960000}"/>
    <cellStyle name="输出 2 11 4 4 5" xfId="38363" xr:uid="{00000000-0005-0000-0000-00000B960000}"/>
    <cellStyle name="输出 2 11 4 4 5 2" xfId="38365" xr:uid="{00000000-0005-0000-0000-00000D960000}"/>
    <cellStyle name="输出 2 11 4 4 6" xfId="38366" xr:uid="{00000000-0005-0000-0000-00000E960000}"/>
    <cellStyle name="输出 2 11 4 5" xfId="23123" xr:uid="{00000000-0005-0000-0000-0000835A0000}"/>
    <cellStyle name="输出 2 11 4 5 2" xfId="23125" xr:uid="{00000000-0005-0000-0000-0000855A0000}"/>
    <cellStyle name="输出 2 11 4 5 2 2" xfId="38367" xr:uid="{00000000-0005-0000-0000-00000F960000}"/>
    <cellStyle name="输出 2 11 4 5 3" xfId="38369" xr:uid="{00000000-0005-0000-0000-000011960000}"/>
    <cellStyle name="输出 2 11 4 5 3 2" xfId="38370" xr:uid="{00000000-0005-0000-0000-000012960000}"/>
    <cellStyle name="输出 2 11 4 5 4" xfId="38372" xr:uid="{00000000-0005-0000-0000-000014960000}"/>
    <cellStyle name="输出 2 11 4 5 4 2" xfId="38373" xr:uid="{00000000-0005-0000-0000-000015960000}"/>
    <cellStyle name="输出 2 11 4 5 5" xfId="38374" xr:uid="{00000000-0005-0000-0000-000016960000}"/>
    <cellStyle name="输出 2 11 4 5 5 2" xfId="38375" xr:uid="{00000000-0005-0000-0000-000017960000}"/>
    <cellStyle name="输出 2 11 4 5 6" xfId="38376" xr:uid="{00000000-0005-0000-0000-000018960000}"/>
    <cellStyle name="输出 2 11 4 6" xfId="8716" xr:uid="{00000000-0005-0000-0000-00003C220000}"/>
    <cellStyle name="输出 2 11 4 6 2" xfId="8724" xr:uid="{00000000-0005-0000-0000-000044220000}"/>
    <cellStyle name="输出 2 11 4 6 2 2" xfId="38377" xr:uid="{00000000-0005-0000-0000-000019960000}"/>
    <cellStyle name="输出 2 11 4 6 3" xfId="38379" xr:uid="{00000000-0005-0000-0000-00001B960000}"/>
    <cellStyle name="输出 2 11 4 6 3 2" xfId="38380" xr:uid="{00000000-0005-0000-0000-00001C960000}"/>
    <cellStyle name="输出 2 11 4 6 4" xfId="38382" xr:uid="{00000000-0005-0000-0000-00001E960000}"/>
    <cellStyle name="输出 2 11 4 6 4 2" xfId="38383" xr:uid="{00000000-0005-0000-0000-00001F960000}"/>
    <cellStyle name="输出 2 11 4 6 5" xfId="38384" xr:uid="{00000000-0005-0000-0000-000020960000}"/>
    <cellStyle name="输出 2 11 4 6 5 2" xfId="38385" xr:uid="{00000000-0005-0000-0000-000021960000}"/>
    <cellStyle name="输出 2 11 4 6 6" xfId="38386" xr:uid="{00000000-0005-0000-0000-000022960000}"/>
    <cellStyle name="输出 2 11 4 7" xfId="6779" xr:uid="{00000000-0005-0000-0000-0000AB1A0000}"/>
    <cellStyle name="输出 2 11 4 7 2" xfId="8749" xr:uid="{00000000-0005-0000-0000-00005D220000}"/>
    <cellStyle name="输出 2 11 4 7 2 2" xfId="38387" xr:uid="{00000000-0005-0000-0000-000023960000}"/>
    <cellStyle name="输出 2 11 4 7 3" xfId="38389" xr:uid="{00000000-0005-0000-0000-000025960000}"/>
    <cellStyle name="输出 2 11 4 7 3 2" xfId="38391" xr:uid="{00000000-0005-0000-0000-000027960000}"/>
    <cellStyle name="输出 2 11 4 7 4" xfId="38393" xr:uid="{00000000-0005-0000-0000-000029960000}"/>
    <cellStyle name="输出 2 11 4 7 4 2" xfId="38395" xr:uid="{00000000-0005-0000-0000-00002B960000}"/>
    <cellStyle name="输出 2 11 4 7 5" xfId="38396" xr:uid="{00000000-0005-0000-0000-00002C960000}"/>
    <cellStyle name="输出 2 11 4 7 5 2" xfId="38398" xr:uid="{00000000-0005-0000-0000-00002E960000}"/>
    <cellStyle name="输出 2 11 4 7 6" xfId="38399" xr:uid="{00000000-0005-0000-0000-00002F960000}"/>
    <cellStyle name="输出 2 11 4 8" xfId="4192" xr:uid="{00000000-0005-0000-0000-000090100000}"/>
    <cellStyle name="输出 2 11 4 8 2" xfId="38400" xr:uid="{00000000-0005-0000-0000-000030960000}"/>
    <cellStyle name="输出 2 11 4 8 2 2" xfId="38402" xr:uid="{00000000-0005-0000-0000-000032960000}"/>
    <cellStyle name="输出 2 11 4 8 3" xfId="38404" xr:uid="{00000000-0005-0000-0000-000034960000}"/>
    <cellStyle name="输出 2 11 4 8 3 2" xfId="38405" xr:uid="{00000000-0005-0000-0000-000035960000}"/>
    <cellStyle name="输出 2 11 4 8 4" xfId="38407" xr:uid="{00000000-0005-0000-0000-000037960000}"/>
    <cellStyle name="输出 2 11 4 8 4 2" xfId="38408" xr:uid="{00000000-0005-0000-0000-000038960000}"/>
    <cellStyle name="输出 2 11 4 8 5" xfId="38409" xr:uid="{00000000-0005-0000-0000-000039960000}"/>
    <cellStyle name="输出 2 11 4 9" xfId="8779" xr:uid="{00000000-0005-0000-0000-00007B220000}"/>
    <cellStyle name="输出 2 11 4 9 2" xfId="3461" xr:uid="{00000000-0005-0000-0000-0000B50D0000}"/>
    <cellStyle name="输出 2 11 5" xfId="3219" xr:uid="{00000000-0005-0000-0000-0000C30C0000}"/>
    <cellStyle name="输出 2 11 5 10" xfId="16747" xr:uid="{00000000-0005-0000-0000-00009B410000}"/>
    <cellStyle name="输出 2 11 5 10 2" xfId="38410" xr:uid="{00000000-0005-0000-0000-00003A960000}"/>
    <cellStyle name="输出 2 11 5 11" xfId="8147" xr:uid="{00000000-0005-0000-0000-000003200000}"/>
    <cellStyle name="输出 2 11 5 11 2" xfId="38411" xr:uid="{00000000-0005-0000-0000-00003B960000}"/>
    <cellStyle name="输出 2 11 5 12" xfId="16750" xr:uid="{00000000-0005-0000-0000-00009E410000}"/>
    <cellStyle name="输出 2 11 5 12 2" xfId="38412" xr:uid="{00000000-0005-0000-0000-00003C960000}"/>
    <cellStyle name="输出 2 11 5 13" xfId="16754" xr:uid="{00000000-0005-0000-0000-0000A2410000}"/>
    <cellStyle name="输出 2 11 5 14" xfId="38413" xr:uid="{00000000-0005-0000-0000-00003D960000}"/>
    <cellStyle name="输出 2 11 5 15" xfId="38414" xr:uid="{00000000-0005-0000-0000-00003E960000}"/>
    <cellStyle name="输出 2 11 5 16" xfId="38416" xr:uid="{00000000-0005-0000-0000-000040960000}"/>
    <cellStyle name="输出 2 11 5 2" xfId="38418" xr:uid="{00000000-0005-0000-0000-000042960000}"/>
    <cellStyle name="输出 2 11 5 2 2" xfId="38420" xr:uid="{00000000-0005-0000-0000-000044960000}"/>
    <cellStyle name="输出 2 11 5 2 2 2" xfId="32535" xr:uid="{00000000-0005-0000-0000-0000477F0000}"/>
    <cellStyle name="输出 2 11 5 2 3" xfId="38423" xr:uid="{00000000-0005-0000-0000-000047960000}"/>
    <cellStyle name="输出 2 11 5 2 3 2" xfId="32544" xr:uid="{00000000-0005-0000-0000-0000507F0000}"/>
    <cellStyle name="输出 2 11 5 2 4" xfId="37599" xr:uid="{00000000-0005-0000-0000-00000F930000}"/>
    <cellStyle name="输出 2 11 5 2 4 2" xfId="38426" xr:uid="{00000000-0005-0000-0000-00004A960000}"/>
    <cellStyle name="输出 2 11 5 2 5" xfId="38429" xr:uid="{00000000-0005-0000-0000-00004D960000}"/>
    <cellStyle name="输出 2 11 5 2 5 2" xfId="38430" xr:uid="{00000000-0005-0000-0000-00004E960000}"/>
    <cellStyle name="输出 2 11 5 2 6" xfId="38431" xr:uid="{00000000-0005-0000-0000-00004F960000}"/>
    <cellStyle name="输出 2 11 5 2 7" xfId="38432" xr:uid="{00000000-0005-0000-0000-000050960000}"/>
    <cellStyle name="输出 2 11 5 2 8" xfId="38433" xr:uid="{00000000-0005-0000-0000-000051960000}"/>
    <cellStyle name="输出 2 11 5 2 9" xfId="38435" xr:uid="{00000000-0005-0000-0000-000053960000}"/>
    <cellStyle name="输出 2 11 5 3" xfId="38437" xr:uid="{00000000-0005-0000-0000-000055960000}"/>
    <cellStyle name="输出 2 11 5 3 2" xfId="38438" xr:uid="{00000000-0005-0000-0000-000056960000}"/>
    <cellStyle name="输出 2 11 5 3 2 2" xfId="32588" xr:uid="{00000000-0005-0000-0000-00007C7F0000}"/>
    <cellStyle name="输出 2 11 5 3 3" xfId="38441" xr:uid="{00000000-0005-0000-0000-000059960000}"/>
    <cellStyle name="输出 2 11 5 3 3 2" xfId="32600" xr:uid="{00000000-0005-0000-0000-0000887F0000}"/>
    <cellStyle name="输出 2 11 5 3 4" xfId="38443" xr:uid="{00000000-0005-0000-0000-00005B960000}"/>
    <cellStyle name="输出 2 11 5 3 4 2" xfId="38445" xr:uid="{00000000-0005-0000-0000-00005D960000}"/>
    <cellStyle name="输出 2 11 5 3 5" xfId="38449" xr:uid="{00000000-0005-0000-0000-000061960000}"/>
    <cellStyle name="输出 2 11 5 3 5 2" xfId="38450" xr:uid="{00000000-0005-0000-0000-000062960000}"/>
    <cellStyle name="输出 2 11 5 3 6" xfId="38451" xr:uid="{00000000-0005-0000-0000-000063960000}"/>
    <cellStyle name="输出 2 11 5 4" xfId="38452" xr:uid="{00000000-0005-0000-0000-000064960000}"/>
    <cellStyle name="输出 2 11 5 4 2" xfId="11744" xr:uid="{00000000-0005-0000-0000-0000102E0000}"/>
    <cellStyle name="输出 2 11 5 4 2 2" xfId="32680" xr:uid="{00000000-0005-0000-0000-0000D87F0000}"/>
    <cellStyle name="输出 2 11 5 4 3" xfId="38454" xr:uid="{00000000-0005-0000-0000-000066960000}"/>
    <cellStyle name="输出 2 11 5 4 3 2" xfId="32698" xr:uid="{00000000-0005-0000-0000-0000EA7F0000}"/>
    <cellStyle name="输出 2 11 5 4 4" xfId="38456" xr:uid="{00000000-0005-0000-0000-000068960000}"/>
    <cellStyle name="输出 2 11 5 4 4 2" xfId="38459" xr:uid="{00000000-0005-0000-0000-00006B960000}"/>
    <cellStyle name="输出 2 11 5 4 5" xfId="38461" xr:uid="{00000000-0005-0000-0000-00006D960000}"/>
    <cellStyle name="输出 2 11 5 4 5 2" xfId="38465" xr:uid="{00000000-0005-0000-0000-000071960000}"/>
    <cellStyle name="输出 2 11 5 4 6" xfId="38466" xr:uid="{00000000-0005-0000-0000-000072960000}"/>
    <cellStyle name="输出 2 11 5 5" xfId="38467" xr:uid="{00000000-0005-0000-0000-000073960000}"/>
    <cellStyle name="输出 2 11 5 5 2" xfId="38468" xr:uid="{00000000-0005-0000-0000-000074960000}"/>
    <cellStyle name="输出 2 11 5 5 2 2" xfId="38469" xr:uid="{00000000-0005-0000-0000-000075960000}"/>
    <cellStyle name="输出 2 11 5 5 3" xfId="38470" xr:uid="{00000000-0005-0000-0000-000076960000}"/>
    <cellStyle name="输出 2 11 5 5 3 2" xfId="12465" xr:uid="{00000000-0005-0000-0000-0000E1300000}"/>
    <cellStyle name="输出 2 11 5 5 4" xfId="38471" xr:uid="{00000000-0005-0000-0000-000077960000}"/>
    <cellStyle name="输出 2 11 5 5 4 2" xfId="38472" xr:uid="{00000000-0005-0000-0000-000078960000}"/>
    <cellStyle name="输出 2 11 5 5 5" xfId="38473" xr:uid="{00000000-0005-0000-0000-000079960000}"/>
    <cellStyle name="输出 2 11 5 5 5 2" xfId="38475" xr:uid="{00000000-0005-0000-0000-00007B960000}"/>
    <cellStyle name="输出 2 11 5 5 6" xfId="38476" xr:uid="{00000000-0005-0000-0000-00007C960000}"/>
    <cellStyle name="输出 2 11 5 6" xfId="38477" xr:uid="{00000000-0005-0000-0000-00007D960000}"/>
    <cellStyle name="输出 2 11 5 6 2" xfId="38478" xr:uid="{00000000-0005-0000-0000-00007E960000}"/>
    <cellStyle name="输出 2 11 5 6 2 2" xfId="8895" xr:uid="{00000000-0005-0000-0000-0000EF220000}"/>
    <cellStyle name="输出 2 11 5 6 3" xfId="38479" xr:uid="{00000000-0005-0000-0000-00007F960000}"/>
    <cellStyle name="输出 2 11 5 6 3 2" xfId="8830" xr:uid="{00000000-0005-0000-0000-0000AE220000}"/>
    <cellStyle name="输出 2 11 5 6 4" xfId="35344" xr:uid="{00000000-0005-0000-0000-0000408A0000}"/>
    <cellStyle name="输出 2 11 5 6 4 2" xfId="38480" xr:uid="{00000000-0005-0000-0000-000080960000}"/>
    <cellStyle name="输出 2 11 5 6 5" xfId="34130" xr:uid="{00000000-0005-0000-0000-000082850000}"/>
    <cellStyle name="输出 2 11 5 6 5 2" xfId="38481" xr:uid="{00000000-0005-0000-0000-000081960000}"/>
    <cellStyle name="输出 2 11 5 6 6" xfId="38482" xr:uid="{00000000-0005-0000-0000-000082960000}"/>
    <cellStyle name="输出 2 11 5 7" xfId="38483" xr:uid="{00000000-0005-0000-0000-000083960000}"/>
    <cellStyle name="输出 2 11 5 7 2" xfId="38484" xr:uid="{00000000-0005-0000-0000-000084960000}"/>
    <cellStyle name="输出 2 11 5 7 2 2" xfId="38486" xr:uid="{00000000-0005-0000-0000-000086960000}"/>
    <cellStyle name="输出 2 11 5 7 3" xfId="38487" xr:uid="{00000000-0005-0000-0000-000087960000}"/>
    <cellStyle name="输出 2 11 5 7 3 2" xfId="38489" xr:uid="{00000000-0005-0000-0000-000089960000}"/>
    <cellStyle name="输出 2 11 5 7 4" xfId="35347" xr:uid="{00000000-0005-0000-0000-0000438A0000}"/>
    <cellStyle name="输出 2 11 5 7 4 2" xfId="38490" xr:uid="{00000000-0005-0000-0000-00008A960000}"/>
    <cellStyle name="输出 2 11 5 7 5" xfId="34137" xr:uid="{00000000-0005-0000-0000-000089850000}"/>
    <cellStyle name="输出 2 11 5 7 5 2" xfId="38492" xr:uid="{00000000-0005-0000-0000-00008C960000}"/>
    <cellStyle name="输出 2 11 5 7 6" xfId="38493" xr:uid="{00000000-0005-0000-0000-00008D960000}"/>
    <cellStyle name="输出 2 11 5 8" xfId="38494" xr:uid="{00000000-0005-0000-0000-00008E960000}"/>
    <cellStyle name="输出 2 11 5 8 2" xfId="38496" xr:uid="{00000000-0005-0000-0000-000090960000}"/>
    <cellStyle name="输出 2 11 5 8 2 2" xfId="38498" xr:uid="{00000000-0005-0000-0000-000092960000}"/>
    <cellStyle name="输出 2 11 5 8 3" xfId="38499" xr:uid="{00000000-0005-0000-0000-000093960000}"/>
    <cellStyle name="输出 2 11 5 8 3 2" xfId="38500" xr:uid="{00000000-0005-0000-0000-000094960000}"/>
    <cellStyle name="输出 2 11 5 8 4" xfId="35352" xr:uid="{00000000-0005-0000-0000-0000488A0000}"/>
    <cellStyle name="输出 2 11 5 8 4 2" xfId="38501" xr:uid="{00000000-0005-0000-0000-000095960000}"/>
    <cellStyle name="输出 2 11 5 8 5" xfId="30524" xr:uid="{00000000-0005-0000-0000-00006C770000}"/>
    <cellStyle name="输出 2 11 5 9" xfId="38504" xr:uid="{00000000-0005-0000-0000-000098960000}"/>
    <cellStyle name="输出 2 11 5 9 2" xfId="9009" xr:uid="{00000000-0005-0000-0000-000061230000}"/>
    <cellStyle name="输出 2 11 6" xfId="38505" xr:uid="{00000000-0005-0000-0000-000099960000}"/>
    <cellStyle name="输出 2 11 6 10" xfId="16901" xr:uid="{00000000-0005-0000-0000-000035420000}"/>
    <cellStyle name="输出 2 11 6 10 2" xfId="6658" xr:uid="{00000000-0005-0000-0000-0000321A0000}"/>
    <cellStyle name="输出 2 11 6 11" xfId="16907" xr:uid="{00000000-0005-0000-0000-00003B420000}"/>
    <cellStyle name="输出 2 11 6 11 2" xfId="38506" xr:uid="{00000000-0005-0000-0000-00009A960000}"/>
    <cellStyle name="输出 2 11 6 12" xfId="16910" xr:uid="{00000000-0005-0000-0000-00003E420000}"/>
    <cellStyle name="输出 2 11 6 12 2" xfId="38507" xr:uid="{00000000-0005-0000-0000-00009B960000}"/>
    <cellStyle name="输出 2 11 6 13" xfId="16914" xr:uid="{00000000-0005-0000-0000-000042420000}"/>
    <cellStyle name="输出 2 11 6 14" xfId="38508" xr:uid="{00000000-0005-0000-0000-00009C960000}"/>
    <cellStyle name="输出 2 11 6 15" xfId="1628" xr:uid="{00000000-0005-0000-0000-00008C060000}"/>
    <cellStyle name="输出 2 11 6 16" xfId="38509" xr:uid="{00000000-0005-0000-0000-00009D960000}"/>
    <cellStyle name="输出 2 11 6 2" xfId="38510" xr:uid="{00000000-0005-0000-0000-00009E960000}"/>
    <cellStyle name="输出 2 11 6 2 2" xfId="29727" xr:uid="{00000000-0005-0000-0000-00004F740000}"/>
    <cellStyle name="输出 2 11 6 2 2 2" xfId="29732" xr:uid="{00000000-0005-0000-0000-000054740000}"/>
    <cellStyle name="输出 2 11 6 2 3" xfId="29736" xr:uid="{00000000-0005-0000-0000-000058740000}"/>
    <cellStyle name="输出 2 11 6 2 3 2" xfId="29740" xr:uid="{00000000-0005-0000-0000-00005C740000}"/>
    <cellStyle name="输出 2 11 6 2 4" xfId="29744" xr:uid="{00000000-0005-0000-0000-000060740000}"/>
    <cellStyle name="输出 2 11 6 2 4 2" xfId="29747" xr:uid="{00000000-0005-0000-0000-000063740000}"/>
    <cellStyle name="输出 2 11 6 2 5" xfId="18561" xr:uid="{00000000-0005-0000-0000-0000B1480000}"/>
    <cellStyle name="输出 2 11 6 2 5 2" xfId="38513" xr:uid="{00000000-0005-0000-0000-0000A1960000}"/>
    <cellStyle name="输出 2 11 6 2 6" xfId="38514" xr:uid="{00000000-0005-0000-0000-0000A2960000}"/>
    <cellStyle name="输出 2 11 6 2 7" xfId="38515" xr:uid="{00000000-0005-0000-0000-0000A3960000}"/>
    <cellStyle name="输出 2 11 6 2 8" xfId="38516" xr:uid="{00000000-0005-0000-0000-0000A4960000}"/>
    <cellStyle name="输出 2 11 6 2 9" xfId="38517" xr:uid="{00000000-0005-0000-0000-0000A5960000}"/>
    <cellStyle name="输出 2 11 6 3" xfId="38518" xr:uid="{00000000-0005-0000-0000-0000A6960000}"/>
    <cellStyle name="输出 2 11 6 3 2" xfId="29761" xr:uid="{00000000-0005-0000-0000-000071740000}"/>
    <cellStyle name="输出 2 11 6 3 2 2" xfId="29765" xr:uid="{00000000-0005-0000-0000-000075740000}"/>
    <cellStyle name="输出 2 11 6 3 3" xfId="29767" xr:uid="{00000000-0005-0000-0000-000077740000}"/>
    <cellStyle name="输出 2 11 6 3 3 2" xfId="29773" xr:uid="{00000000-0005-0000-0000-00007D740000}"/>
    <cellStyle name="输出 2 11 6 3 4" xfId="29776" xr:uid="{00000000-0005-0000-0000-000080740000}"/>
    <cellStyle name="输出 2 11 6 3 4 2" xfId="38519" xr:uid="{00000000-0005-0000-0000-0000A7960000}"/>
    <cellStyle name="输出 2 11 6 3 5" xfId="13667" xr:uid="{00000000-0005-0000-0000-000093350000}"/>
    <cellStyle name="输出 2 11 6 3 5 2" xfId="38521" xr:uid="{00000000-0005-0000-0000-0000A9960000}"/>
    <cellStyle name="输出 2 11 6 3 6" xfId="38522" xr:uid="{00000000-0005-0000-0000-0000AA960000}"/>
    <cellStyle name="输出 2 11 6 4" xfId="38524" xr:uid="{00000000-0005-0000-0000-0000AC960000}"/>
    <cellStyle name="输出 2 11 6 4 2" xfId="32963" xr:uid="{00000000-0005-0000-0000-0000F3800000}"/>
    <cellStyle name="输出 2 11 6 4 2 2" xfId="33540" xr:uid="{00000000-0005-0000-0000-000034830000}"/>
    <cellStyle name="输出 2 11 6 4 3" xfId="32966" xr:uid="{00000000-0005-0000-0000-0000F6800000}"/>
    <cellStyle name="输出 2 11 6 4 3 2" xfId="33546" xr:uid="{00000000-0005-0000-0000-00003A830000}"/>
    <cellStyle name="输出 2 11 6 4 4" xfId="32968" xr:uid="{00000000-0005-0000-0000-0000F8800000}"/>
    <cellStyle name="输出 2 11 6 4 4 2" xfId="38526" xr:uid="{00000000-0005-0000-0000-0000AE960000}"/>
    <cellStyle name="输出 2 11 6 4 5" xfId="13677" xr:uid="{00000000-0005-0000-0000-00009D350000}"/>
    <cellStyle name="输出 2 11 6 4 5 2" xfId="27216" xr:uid="{00000000-0005-0000-0000-0000806A0000}"/>
    <cellStyle name="输出 2 11 6 4 6" xfId="27224" xr:uid="{00000000-0005-0000-0000-0000886A0000}"/>
    <cellStyle name="输出 2 11 6 5" xfId="38528" xr:uid="{00000000-0005-0000-0000-0000B0960000}"/>
    <cellStyle name="输出 2 11 6 5 2" xfId="38529" xr:uid="{00000000-0005-0000-0000-0000B1960000}"/>
    <cellStyle name="输出 2 11 6 5 2 2" xfId="23982" xr:uid="{00000000-0005-0000-0000-0000DE5D0000}"/>
    <cellStyle name="输出 2 11 6 5 3" xfId="19921" xr:uid="{00000000-0005-0000-0000-0000014E0000}"/>
    <cellStyle name="输出 2 11 6 5 3 2" xfId="20551" xr:uid="{00000000-0005-0000-0000-000077500000}"/>
    <cellStyle name="输出 2 11 6 5 4" xfId="38530" xr:uid="{00000000-0005-0000-0000-0000B2960000}"/>
    <cellStyle name="输出 2 11 6 5 4 2" xfId="24293" xr:uid="{00000000-0005-0000-0000-0000155F0000}"/>
    <cellStyle name="输出 2 11 6 5 5" xfId="13694" xr:uid="{00000000-0005-0000-0000-0000AE350000}"/>
    <cellStyle name="输出 2 11 6 5 5 2" xfId="24440" xr:uid="{00000000-0005-0000-0000-0000A85F0000}"/>
    <cellStyle name="输出 2 11 6 5 6" xfId="27265" xr:uid="{00000000-0005-0000-0000-0000B16A0000}"/>
    <cellStyle name="输出 2 11 6 6" xfId="38531" xr:uid="{00000000-0005-0000-0000-0000B3960000}"/>
    <cellStyle name="输出 2 11 6 6 2" xfId="38532" xr:uid="{00000000-0005-0000-0000-0000B4960000}"/>
    <cellStyle name="输出 2 11 6 6 2 2" xfId="9195" xr:uid="{00000000-0005-0000-0000-00001B240000}"/>
    <cellStyle name="输出 2 11 6 6 3" xfId="7699" xr:uid="{00000000-0005-0000-0000-0000431E0000}"/>
    <cellStyle name="输出 2 11 6 6 3 2" xfId="9198" xr:uid="{00000000-0005-0000-0000-00001E240000}"/>
    <cellStyle name="输出 2 11 6 6 4" xfId="35362" xr:uid="{00000000-0005-0000-0000-0000528A0000}"/>
    <cellStyle name="输出 2 11 6 6 4 2" xfId="9206" xr:uid="{00000000-0005-0000-0000-000026240000}"/>
    <cellStyle name="输出 2 11 6 6 5" xfId="9211" xr:uid="{00000000-0005-0000-0000-00002B240000}"/>
    <cellStyle name="输出 2 11 6 6 5 2" xfId="9217" xr:uid="{00000000-0005-0000-0000-000031240000}"/>
    <cellStyle name="输出 2 11 6 6 6" xfId="9225" xr:uid="{00000000-0005-0000-0000-000039240000}"/>
    <cellStyle name="输出 2 11 6 7" xfId="38533" xr:uid="{00000000-0005-0000-0000-0000B5960000}"/>
    <cellStyle name="输出 2 11 6 7 2" xfId="38534" xr:uid="{00000000-0005-0000-0000-0000B6960000}"/>
    <cellStyle name="输出 2 11 6 7 2 2" xfId="9232" xr:uid="{00000000-0005-0000-0000-000040240000}"/>
    <cellStyle name="输出 2 11 6 7 3" xfId="7708" xr:uid="{00000000-0005-0000-0000-00004C1E0000}"/>
    <cellStyle name="输出 2 11 6 7 3 2" xfId="9240" xr:uid="{00000000-0005-0000-0000-000048240000}"/>
    <cellStyle name="输出 2 11 6 7 4" xfId="35365" xr:uid="{00000000-0005-0000-0000-0000558A0000}"/>
    <cellStyle name="输出 2 11 6 7 4 2" xfId="1205" xr:uid="{00000000-0005-0000-0000-0000E5040000}"/>
    <cellStyle name="输出 2 11 6 7 5" xfId="9245" xr:uid="{00000000-0005-0000-0000-00004D240000}"/>
    <cellStyle name="输出 2 11 6 7 5 2" xfId="9252" xr:uid="{00000000-0005-0000-0000-000054240000}"/>
    <cellStyle name="输出 2 11 6 7 6" xfId="9258" xr:uid="{00000000-0005-0000-0000-00005A240000}"/>
    <cellStyle name="输出 2 11 6 8" xfId="38536" xr:uid="{00000000-0005-0000-0000-0000B8960000}"/>
    <cellStyle name="输出 2 11 6 8 2" xfId="38538" xr:uid="{00000000-0005-0000-0000-0000BA960000}"/>
    <cellStyle name="输出 2 11 6 8 2 2" xfId="3304" xr:uid="{00000000-0005-0000-0000-0000180D0000}"/>
    <cellStyle name="输出 2 11 6 8 3" xfId="38541" xr:uid="{00000000-0005-0000-0000-0000BD960000}"/>
    <cellStyle name="输出 2 11 6 8 3 2" xfId="9261" xr:uid="{00000000-0005-0000-0000-00005D240000}"/>
    <cellStyle name="输出 2 11 6 8 4" xfId="35369" xr:uid="{00000000-0005-0000-0000-0000598A0000}"/>
    <cellStyle name="输出 2 11 6 8 4 2" xfId="9267" xr:uid="{00000000-0005-0000-0000-000063240000}"/>
    <cellStyle name="输出 2 11 6 8 5" xfId="2310" xr:uid="{00000000-0005-0000-0000-000036090000}"/>
    <cellStyle name="输出 2 11 6 9" xfId="38543" xr:uid="{00000000-0005-0000-0000-0000BF960000}"/>
    <cellStyle name="输出 2 11 6 9 2" xfId="33069" xr:uid="{00000000-0005-0000-0000-00005D810000}"/>
    <cellStyle name="输出 2 11 7" xfId="38544" xr:uid="{00000000-0005-0000-0000-0000C0960000}"/>
    <cellStyle name="输出 2 11 7 10" xfId="3652" xr:uid="{00000000-0005-0000-0000-0000740E0000}"/>
    <cellStyle name="输出 2 11 7 10 2" xfId="38545" xr:uid="{00000000-0005-0000-0000-0000C1960000}"/>
    <cellStyle name="输出 2 11 7 11" xfId="17042" xr:uid="{00000000-0005-0000-0000-0000C2420000}"/>
    <cellStyle name="输出 2 11 7 11 2" xfId="38546" xr:uid="{00000000-0005-0000-0000-0000C2960000}"/>
    <cellStyle name="输出 2 11 7 12" xfId="17044" xr:uid="{00000000-0005-0000-0000-0000C4420000}"/>
    <cellStyle name="输出 2 11 7 12 2" xfId="38547" xr:uid="{00000000-0005-0000-0000-0000C3960000}"/>
    <cellStyle name="输出 2 11 7 13" xfId="13271" xr:uid="{00000000-0005-0000-0000-000007340000}"/>
    <cellStyle name="输出 2 11 7 14" xfId="38548" xr:uid="{00000000-0005-0000-0000-0000C4960000}"/>
    <cellStyle name="输出 2 11 7 15" xfId="38549" xr:uid="{00000000-0005-0000-0000-0000C5960000}"/>
    <cellStyle name="输出 2 11 7 16" xfId="26771" xr:uid="{00000000-0005-0000-0000-0000C3680000}"/>
    <cellStyle name="输出 2 11 7 2" xfId="38550" xr:uid="{00000000-0005-0000-0000-0000C6960000}"/>
    <cellStyle name="输出 2 11 7 2 2" xfId="25821" xr:uid="{00000000-0005-0000-0000-00000D650000}"/>
    <cellStyle name="输出 2 11 7 2 2 2" xfId="12669" xr:uid="{00000000-0005-0000-0000-0000AD310000}"/>
    <cellStyle name="输出 2 11 7 2 3" xfId="12569" xr:uid="{00000000-0005-0000-0000-000049310000}"/>
    <cellStyle name="输出 2 11 7 2 3 2" xfId="12708" xr:uid="{00000000-0005-0000-0000-0000D4310000}"/>
    <cellStyle name="输出 2 11 7 2 4" xfId="29865" xr:uid="{00000000-0005-0000-0000-0000D9740000}"/>
    <cellStyle name="输出 2 11 7 2 4 2" xfId="12742" xr:uid="{00000000-0005-0000-0000-0000F6310000}"/>
    <cellStyle name="输出 2 11 7 2 5" xfId="18576" xr:uid="{00000000-0005-0000-0000-0000C0480000}"/>
    <cellStyle name="输出 2 11 7 2 5 2" xfId="38551" xr:uid="{00000000-0005-0000-0000-0000C7960000}"/>
    <cellStyle name="输出 2 11 7 2 6" xfId="38552" xr:uid="{00000000-0005-0000-0000-0000C8960000}"/>
    <cellStyle name="输出 2 11 7 2 7" xfId="38553" xr:uid="{00000000-0005-0000-0000-0000C9960000}"/>
    <cellStyle name="输出 2 11 7 2 8" xfId="28354" xr:uid="{00000000-0005-0000-0000-0000F26E0000}"/>
    <cellStyle name="输出 2 11 7 2 9" xfId="38554" xr:uid="{00000000-0005-0000-0000-0000CA960000}"/>
    <cellStyle name="输出 2 11 7 3" xfId="38555" xr:uid="{00000000-0005-0000-0000-0000CB960000}"/>
    <cellStyle name="输出 2 11 7 3 2" xfId="25833" xr:uid="{00000000-0005-0000-0000-000019650000}"/>
    <cellStyle name="输出 2 11 7 3 2 2" xfId="15771" xr:uid="{00000000-0005-0000-0000-0000CB3D0000}"/>
    <cellStyle name="输出 2 11 7 3 3" xfId="15514" xr:uid="{00000000-0005-0000-0000-0000CA3C0000}"/>
    <cellStyle name="输出 2 11 7 3 3 2" xfId="15820" xr:uid="{00000000-0005-0000-0000-0000FC3D0000}"/>
    <cellStyle name="输出 2 11 7 3 4" xfId="29873" xr:uid="{00000000-0005-0000-0000-0000E1740000}"/>
    <cellStyle name="输出 2 11 7 3 4 2" xfId="15852" xr:uid="{00000000-0005-0000-0000-00001C3E0000}"/>
    <cellStyle name="输出 2 11 7 3 5" xfId="18588" xr:uid="{00000000-0005-0000-0000-0000CC480000}"/>
    <cellStyle name="输出 2 11 7 3 5 2" xfId="38556" xr:uid="{00000000-0005-0000-0000-0000CC960000}"/>
    <cellStyle name="输出 2 11 7 3 6" xfId="38557" xr:uid="{00000000-0005-0000-0000-0000CD960000}"/>
    <cellStyle name="输出 2 11 7 4" xfId="38558" xr:uid="{00000000-0005-0000-0000-0000CE960000}"/>
    <cellStyle name="输出 2 11 7 4 2" xfId="25875" xr:uid="{00000000-0005-0000-0000-000043650000}"/>
    <cellStyle name="输出 2 11 7 4 2 2" xfId="25771" xr:uid="{00000000-0005-0000-0000-0000DB640000}"/>
    <cellStyle name="输出 2 11 7 4 3" xfId="15521" xr:uid="{00000000-0005-0000-0000-0000D13C0000}"/>
    <cellStyle name="输出 2 11 7 4 3 2" xfId="34107" xr:uid="{00000000-0005-0000-0000-00006B850000}"/>
    <cellStyle name="输出 2 11 7 4 4" xfId="33306" xr:uid="{00000000-0005-0000-0000-00004A820000}"/>
    <cellStyle name="输出 2 11 7 4 4 2" xfId="38560" xr:uid="{00000000-0005-0000-0000-0000D0960000}"/>
    <cellStyle name="输出 2 11 7 4 5" xfId="18602" xr:uid="{00000000-0005-0000-0000-0000DA480000}"/>
    <cellStyle name="输出 2 11 7 4 5 2" xfId="26497" xr:uid="{00000000-0005-0000-0000-0000B1670000}"/>
    <cellStyle name="输出 2 11 7 4 6" xfId="28190" xr:uid="{00000000-0005-0000-0000-00004E6E0000}"/>
    <cellStyle name="输出 2 11 7 5" xfId="38562" xr:uid="{00000000-0005-0000-0000-0000D2960000}"/>
    <cellStyle name="输出 2 11 7 5 2" xfId="25889" xr:uid="{00000000-0005-0000-0000-000051650000}"/>
    <cellStyle name="输出 2 11 7 5 2 2" xfId="25891" xr:uid="{00000000-0005-0000-0000-000053650000}"/>
    <cellStyle name="输出 2 11 7 5 3" xfId="25893" xr:uid="{00000000-0005-0000-0000-000055650000}"/>
    <cellStyle name="输出 2 11 7 5 3 2" xfId="38563" xr:uid="{00000000-0005-0000-0000-0000D3960000}"/>
    <cellStyle name="输出 2 11 7 5 4" xfId="38564" xr:uid="{00000000-0005-0000-0000-0000D4960000}"/>
    <cellStyle name="输出 2 11 7 5 4 2" xfId="38565" xr:uid="{00000000-0005-0000-0000-0000D5960000}"/>
    <cellStyle name="输出 2 11 7 5 5" xfId="18615" xr:uid="{00000000-0005-0000-0000-0000E7480000}"/>
    <cellStyle name="输出 2 11 7 5 5 2" xfId="28223" xr:uid="{00000000-0005-0000-0000-00006F6E0000}"/>
    <cellStyle name="输出 2 11 7 5 6" xfId="28234" xr:uid="{00000000-0005-0000-0000-00007A6E0000}"/>
    <cellStyle name="输出 2 11 7 6" xfId="38566" xr:uid="{00000000-0005-0000-0000-0000D6960000}"/>
    <cellStyle name="输出 2 11 7 6 2" xfId="25907" xr:uid="{00000000-0005-0000-0000-000063650000}"/>
    <cellStyle name="输出 2 11 7 6 2 2" xfId="38567" xr:uid="{00000000-0005-0000-0000-0000D7960000}"/>
    <cellStyle name="输出 2 11 7 6 3" xfId="38568" xr:uid="{00000000-0005-0000-0000-0000D8960000}"/>
    <cellStyle name="输出 2 11 7 6 3 2" xfId="38569" xr:uid="{00000000-0005-0000-0000-0000D9960000}"/>
    <cellStyle name="输出 2 11 7 6 4" xfId="35375" xr:uid="{00000000-0005-0000-0000-00005F8A0000}"/>
    <cellStyle name="输出 2 11 7 6 4 2" xfId="38570" xr:uid="{00000000-0005-0000-0000-0000DA960000}"/>
    <cellStyle name="输出 2 11 7 6 5" xfId="28276" xr:uid="{00000000-0005-0000-0000-0000A46E0000}"/>
    <cellStyle name="输出 2 11 7 6 5 2" xfId="28278" xr:uid="{00000000-0005-0000-0000-0000A66E0000}"/>
    <cellStyle name="输出 2 11 7 6 6" xfId="28288" xr:uid="{00000000-0005-0000-0000-0000B06E0000}"/>
    <cellStyle name="输出 2 11 7 7" xfId="38571" xr:uid="{00000000-0005-0000-0000-0000DB960000}"/>
    <cellStyle name="输出 2 11 7 7 2" xfId="38572" xr:uid="{00000000-0005-0000-0000-0000DC960000}"/>
    <cellStyle name="输出 2 11 7 7 2 2" xfId="38575" xr:uid="{00000000-0005-0000-0000-0000DF960000}"/>
    <cellStyle name="输出 2 11 7 7 3" xfId="38576" xr:uid="{00000000-0005-0000-0000-0000E0960000}"/>
    <cellStyle name="输出 2 11 7 7 3 2" xfId="38578" xr:uid="{00000000-0005-0000-0000-0000E2960000}"/>
    <cellStyle name="输出 2 11 7 7 4" xfId="35378" xr:uid="{00000000-0005-0000-0000-0000628A0000}"/>
    <cellStyle name="输出 2 11 7 7 4 2" xfId="38579" xr:uid="{00000000-0005-0000-0000-0000E3960000}"/>
    <cellStyle name="输出 2 11 7 7 5" xfId="28349" xr:uid="{00000000-0005-0000-0000-0000ED6E0000}"/>
    <cellStyle name="输出 2 11 7 7 5 2" xfId="28351" xr:uid="{00000000-0005-0000-0000-0000EF6E0000}"/>
    <cellStyle name="输出 2 11 7 7 6" xfId="24523" xr:uid="{00000000-0005-0000-0000-0000FB5F0000}"/>
    <cellStyle name="输出 2 11 7 8" xfId="9753" xr:uid="{00000000-0005-0000-0000-000049260000}"/>
    <cellStyle name="输出 2 11 7 8 2" xfId="38581" xr:uid="{00000000-0005-0000-0000-0000E5960000}"/>
    <cellStyle name="输出 2 11 7 8 2 2" xfId="27137" xr:uid="{00000000-0005-0000-0000-0000316A0000}"/>
    <cellStyle name="输出 2 11 7 8 3" xfId="38584" xr:uid="{00000000-0005-0000-0000-0000E8960000}"/>
    <cellStyle name="输出 2 11 7 8 3 2" xfId="38585" xr:uid="{00000000-0005-0000-0000-0000E9960000}"/>
    <cellStyle name="输出 2 11 7 8 4" xfId="35382" xr:uid="{00000000-0005-0000-0000-0000668A0000}"/>
    <cellStyle name="输出 2 11 7 8 4 2" xfId="38586" xr:uid="{00000000-0005-0000-0000-0000EA960000}"/>
    <cellStyle name="输出 2 11 7 8 5" xfId="28476" xr:uid="{00000000-0005-0000-0000-00006C6F0000}"/>
    <cellStyle name="输出 2 11 7 9" xfId="38588" xr:uid="{00000000-0005-0000-0000-0000EC960000}"/>
    <cellStyle name="输出 2 11 7 9 2" xfId="33398" xr:uid="{00000000-0005-0000-0000-0000A6820000}"/>
    <cellStyle name="输出 2 11 8" xfId="31349" xr:uid="{00000000-0005-0000-0000-0000A57A0000}"/>
    <cellStyle name="输出 2 11 8 10" xfId="38589" xr:uid="{00000000-0005-0000-0000-0000ED960000}"/>
    <cellStyle name="输出 2 11 8 10 2" xfId="5401" xr:uid="{00000000-0005-0000-0000-000049150000}"/>
    <cellStyle name="输出 2 11 8 11" xfId="38590" xr:uid="{00000000-0005-0000-0000-0000EE960000}"/>
    <cellStyle name="输出 2 11 8 11 2" xfId="25479" xr:uid="{00000000-0005-0000-0000-0000B7630000}"/>
    <cellStyle name="输出 2 11 8 12" xfId="38591" xr:uid="{00000000-0005-0000-0000-0000EF960000}"/>
    <cellStyle name="输出 2 11 8 12 2" xfId="25485" xr:uid="{00000000-0005-0000-0000-0000BD630000}"/>
    <cellStyle name="输出 2 11 8 13" xfId="5359" xr:uid="{00000000-0005-0000-0000-00001F150000}"/>
    <cellStyle name="输出 2 11 8 14" xfId="38595" xr:uid="{00000000-0005-0000-0000-0000F3960000}"/>
    <cellStyle name="输出 2 11 8 15" xfId="14450" xr:uid="{00000000-0005-0000-0000-0000A2380000}"/>
    <cellStyle name="输出 2 11 8 16" xfId="38599" xr:uid="{00000000-0005-0000-0000-0000F7960000}"/>
    <cellStyle name="输出 2 11 8 2" xfId="31352" xr:uid="{00000000-0005-0000-0000-0000A87A0000}"/>
    <cellStyle name="输出 2 11 8 2 2" xfId="25995" xr:uid="{00000000-0005-0000-0000-0000BB650000}"/>
    <cellStyle name="输出 2 11 8 2 2 2" xfId="25999" xr:uid="{00000000-0005-0000-0000-0000BF650000}"/>
    <cellStyle name="输出 2 11 8 2 3" xfId="150" xr:uid="{00000000-0005-0000-0000-0000A3000000}"/>
    <cellStyle name="输出 2 11 8 2 3 2" xfId="29984" xr:uid="{00000000-0005-0000-0000-000050750000}"/>
    <cellStyle name="输出 2 11 8 2 4" xfId="29988" xr:uid="{00000000-0005-0000-0000-000054750000}"/>
    <cellStyle name="输出 2 11 8 2 4 2" xfId="29992" xr:uid="{00000000-0005-0000-0000-000058750000}"/>
    <cellStyle name="输出 2 11 8 2 5" xfId="18634" xr:uid="{00000000-0005-0000-0000-0000FA480000}"/>
    <cellStyle name="输出 2 11 8 2 5 2" xfId="38602" xr:uid="{00000000-0005-0000-0000-0000FA960000}"/>
    <cellStyle name="输出 2 11 8 2 6" xfId="38604" xr:uid="{00000000-0005-0000-0000-0000FC960000}"/>
    <cellStyle name="输出 2 11 8 2 7" xfId="38606" xr:uid="{00000000-0005-0000-0000-0000FE960000}"/>
    <cellStyle name="输出 2 11 8 2 8" xfId="28370" xr:uid="{00000000-0005-0000-0000-0000026F0000}"/>
    <cellStyle name="输出 2 11 8 2 9" xfId="38608" xr:uid="{00000000-0005-0000-0000-000000970000}"/>
    <cellStyle name="输出 2 11 8 3" xfId="38609" xr:uid="{00000000-0005-0000-0000-000001970000}"/>
    <cellStyle name="输出 2 11 8 3 2" xfId="26013" xr:uid="{00000000-0005-0000-0000-0000CD650000}"/>
    <cellStyle name="输出 2 11 8 3 2 2" xfId="26016" xr:uid="{00000000-0005-0000-0000-0000D0650000}"/>
    <cellStyle name="输出 2 11 8 3 3" xfId="15535" xr:uid="{00000000-0005-0000-0000-0000DF3C0000}"/>
    <cellStyle name="输出 2 11 8 3 3 2" xfId="29999" xr:uid="{00000000-0005-0000-0000-00005F750000}"/>
    <cellStyle name="输出 2 11 8 3 4" xfId="30002" xr:uid="{00000000-0005-0000-0000-000062750000}"/>
    <cellStyle name="输出 2 11 8 3 4 2" xfId="38611" xr:uid="{00000000-0005-0000-0000-000003970000}"/>
    <cellStyle name="输出 2 11 8 3 5" xfId="18645" xr:uid="{00000000-0005-0000-0000-000005490000}"/>
    <cellStyle name="输出 2 11 8 3 5 2" xfId="38613" xr:uid="{00000000-0005-0000-0000-000005970000}"/>
    <cellStyle name="输出 2 11 8 3 6" xfId="38615" xr:uid="{00000000-0005-0000-0000-000007970000}"/>
    <cellStyle name="输出 2 11 8 4" xfId="38616" xr:uid="{00000000-0005-0000-0000-000008970000}"/>
    <cellStyle name="输出 2 11 8 4 2" xfId="26020" xr:uid="{00000000-0005-0000-0000-0000D4650000}"/>
    <cellStyle name="输出 2 11 8 4 2 2" xfId="26022" xr:uid="{00000000-0005-0000-0000-0000D6650000}"/>
    <cellStyle name="输出 2 11 8 4 3" xfId="15539" xr:uid="{00000000-0005-0000-0000-0000E33C0000}"/>
    <cellStyle name="输出 2 11 8 4 3 2" xfId="38618" xr:uid="{00000000-0005-0000-0000-00000A970000}"/>
    <cellStyle name="输出 2 11 8 4 4" xfId="38620" xr:uid="{00000000-0005-0000-0000-00000C970000}"/>
    <cellStyle name="输出 2 11 8 4 4 2" xfId="38622" xr:uid="{00000000-0005-0000-0000-00000E970000}"/>
    <cellStyle name="输出 2 11 8 4 5" xfId="18659" xr:uid="{00000000-0005-0000-0000-000013490000}"/>
    <cellStyle name="输出 2 11 8 4 5 2" xfId="29031" xr:uid="{00000000-0005-0000-0000-000097710000}"/>
    <cellStyle name="输出 2 11 8 4 6" xfId="29041" xr:uid="{00000000-0005-0000-0000-0000A1710000}"/>
    <cellStyle name="输出 2 11 8 5" xfId="38623" xr:uid="{00000000-0005-0000-0000-00000F970000}"/>
    <cellStyle name="输出 2 11 8 5 2" xfId="26029" xr:uid="{00000000-0005-0000-0000-0000DD650000}"/>
    <cellStyle name="输出 2 11 8 5 2 2" xfId="26032" xr:uid="{00000000-0005-0000-0000-0000E0650000}"/>
    <cellStyle name="输出 2 11 8 5 3" xfId="26034" xr:uid="{00000000-0005-0000-0000-0000E2650000}"/>
    <cellStyle name="输出 2 11 8 5 3 2" xfId="38624" xr:uid="{00000000-0005-0000-0000-000010970000}"/>
    <cellStyle name="输出 2 11 8 5 4" xfId="5079" xr:uid="{00000000-0005-0000-0000-000007140000}"/>
    <cellStyle name="输出 2 11 8 5 4 2" xfId="38626" xr:uid="{00000000-0005-0000-0000-000012970000}"/>
    <cellStyle name="输出 2 11 8 5 5" xfId="18671" xr:uid="{00000000-0005-0000-0000-00001F490000}"/>
    <cellStyle name="输出 2 11 8 5 5 2" xfId="29053" xr:uid="{00000000-0005-0000-0000-0000AD710000}"/>
    <cellStyle name="输出 2 11 8 5 6" xfId="29068" xr:uid="{00000000-0005-0000-0000-0000BC710000}"/>
    <cellStyle name="输出 2 11 8 6" xfId="38627" xr:uid="{00000000-0005-0000-0000-000013970000}"/>
    <cellStyle name="输出 2 11 8 6 2" xfId="26050" xr:uid="{00000000-0005-0000-0000-0000F2650000}"/>
    <cellStyle name="输出 2 11 8 6 2 2" xfId="38628" xr:uid="{00000000-0005-0000-0000-000014970000}"/>
    <cellStyle name="输出 2 11 8 6 3" xfId="38629" xr:uid="{00000000-0005-0000-0000-000015970000}"/>
    <cellStyle name="输出 2 11 8 6 3 2" xfId="38630" xr:uid="{00000000-0005-0000-0000-000016970000}"/>
    <cellStyle name="输出 2 11 8 6 4" xfId="15060" xr:uid="{00000000-0005-0000-0000-0000043B0000}"/>
    <cellStyle name="输出 2 11 8 6 4 2" xfId="38632" xr:uid="{00000000-0005-0000-0000-000018970000}"/>
    <cellStyle name="输出 2 11 8 6 5" xfId="27329" xr:uid="{00000000-0005-0000-0000-0000F16A0000}"/>
    <cellStyle name="输出 2 11 8 6 5 2" xfId="463" xr:uid="{00000000-0005-0000-0000-0000FA010000}"/>
    <cellStyle name="输出 2 11 8 6 6" xfId="29105" xr:uid="{00000000-0005-0000-0000-0000E1710000}"/>
    <cellStyle name="输出 2 11 8 7" xfId="38633" xr:uid="{00000000-0005-0000-0000-000019970000}"/>
    <cellStyle name="输出 2 11 8 7 2" xfId="38634" xr:uid="{00000000-0005-0000-0000-00001A970000}"/>
    <cellStyle name="输出 2 11 8 7 2 2" xfId="38636" xr:uid="{00000000-0005-0000-0000-00001C970000}"/>
    <cellStyle name="输出 2 11 8 7 3" xfId="38637" xr:uid="{00000000-0005-0000-0000-00001D970000}"/>
    <cellStyle name="输出 2 11 8 7 3 2" xfId="38638" xr:uid="{00000000-0005-0000-0000-00001E970000}"/>
    <cellStyle name="输出 2 11 8 7 4" xfId="15067" xr:uid="{00000000-0005-0000-0000-00000B3B0000}"/>
    <cellStyle name="输出 2 11 8 7 4 2" xfId="38640" xr:uid="{00000000-0005-0000-0000-000020970000}"/>
    <cellStyle name="输出 2 11 8 7 5" xfId="27338" xr:uid="{00000000-0005-0000-0000-0000FA6A0000}"/>
    <cellStyle name="输出 2 11 8 7 5 2" xfId="29156" xr:uid="{00000000-0005-0000-0000-000014720000}"/>
    <cellStyle name="输出 2 11 8 7 6" xfId="24552" xr:uid="{00000000-0005-0000-0000-000018600000}"/>
    <cellStyle name="输出 2 11 8 8" xfId="9769" xr:uid="{00000000-0005-0000-0000-000059260000}"/>
    <cellStyle name="输出 2 11 8 8 2" xfId="38641" xr:uid="{00000000-0005-0000-0000-000021970000}"/>
    <cellStyle name="输出 2 11 8 8 2 2" xfId="38643" xr:uid="{00000000-0005-0000-0000-000023970000}"/>
    <cellStyle name="输出 2 11 8 8 3" xfId="38644" xr:uid="{00000000-0005-0000-0000-000024970000}"/>
    <cellStyle name="输出 2 11 8 8 3 2" xfId="38645" xr:uid="{00000000-0005-0000-0000-000025970000}"/>
    <cellStyle name="输出 2 11 8 8 4" xfId="35387" xr:uid="{00000000-0005-0000-0000-00006B8A0000}"/>
    <cellStyle name="输出 2 11 8 8 4 2" xfId="38646" xr:uid="{00000000-0005-0000-0000-000026970000}"/>
    <cellStyle name="输出 2 11 8 8 5" xfId="27347" xr:uid="{00000000-0005-0000-0000-0000036B0000}"/>
    <cellStyle name="输出 2 11 8 9" xfId="27255" xr:uid="{00000000-0005-0000-0000-0000A76A0000}"/>
    <cellStyle name="输出 2 11 8 9 2" xfId="38647" xr:uid="{00000000-0005-0000-0000-000027970000}"/>
    <cellStyle name="输出 2 11 9" xfId="31355" xr:uid="{00000000-0005-0000-0000-0000AB7A0000}"/>
    <cellStyle name="输出 2 11 9 10" xfId="38648" xr:uid="{00000000-0005-0000-0000-000028970000}"/>
    <cellStyle name="输出 2 11 9 10 2" xfId="38651" xr:uid="{00000000-0005-0000-0000-00002B970000}"/>
    <cellStyle name="输出 2 11 9 11" xfId="38653" xr:uid="{00000000-0005-0000-0000-00002D970000}"/>
    <cellStyle name="输出 2 11 9 11 2" xfId="3028" xr:uid="{00000000-0005-0000-0000-0000040C0000}"/>
    <cellStyle name="输出 2 11 9 12" xfId="38656" xr:uid="{00000000-0005-0000-0000-000030970000}"/>
    <cellStyle name="输出 2 11 9 12 2" xfId="38659" xr:uid="{00000000-0005-0000-0000-000033970000}"/>
    <cellStyle name="输出 2 11 9 13" xfId="38661" xr:uid="{00000000-0005-0000-0000-000035970000}"/>
    <cellStyle name="输出 2 11 9 14" xfId="38663" xr:uid="{00000000-0005-0000-0000-000037970000}"/>
    <cellStyle name="输出 2 11 9 15" xfId="38664" xr:uid="{00000000-0005-0000-0000-000038970000}"/>
    <cellStyle name="输出 2 11 9 16" xfId="38665" xr:uid="{00000000-0005-0000-0000-000039970000}"/>
    <cellStyle name="输出 2 11 9 2" xfId="31358" xr:uid="{00000000-0005-0000-0000-0000AE7A0000}"/>
    <cellStyle name="输出 2 11 9 2 2" xfId="26133" xr:uid="{00000000-0005-0000-0000-000045660000}"/>
    <cellStyle name="输出 2 11 9 2 2 2" xfId="26138" xr:uid="{00000000-0005-0000-0000-00004A660000}"/>
    <cellStyle name="输出 2 11 9 2 3" xfId="12644" xr:uid="{00000000-0005-0000-0000-000094310000}"/>
    <cellStyle name="输出 2 11 9 2 3 2" xfId="30140" xr:uid="{00000000-0005-0000-0000-0000EC750000}"/>
    <cellStyle name="输出 2 11 9 2 4" xfId="30146" xr:uid="{00000000-0005-0000-0000-0000F2750000}"/>
    <cellStyle name="输出 2 11 9 2 4 2" xfId="30150" xr:uid="{00000000-0005-0000-0000-0000F6750000}"/>
    <cellStyle name="输出 2 11 9 2 5" xfId="18705" xr:uid="{00000000-0005-0000-0000-000041490000}"/>
    <cellStyle name="输出 2 11 9 2 5 2" xfId="38669" xr:uid="{00000000-0005-0000-0000-00003D970000}"/>
    <cellStyle name="输出 2 11 9 2 6" xfId="38671" xr:uid="{00000000-0005-0000-0000-00003F970000}"/>
    <cellStyle name="输出 2 11 9 2 7" xfId="38673" xr:uid="{00000000-0005-0000-0000-000041970000}"/>
    <cellStyle name="输出 2 11 9 2 8" xfId="408" xr:uid="{00000000-0005-0000-0000-0000BF010000}"/>
    <cellStyle name="输出 2 11 9 2 9" xfId="38675" xr:uid="{00000000-0005-0000-0000-000043970000}"/>
    <cellStyle name="输出 2 11 9 3" xfId="38676" xr:uid="{00000000-0005-0000-0000-000044970000}"/>
    <cellStyle name="输出 2 11 9 3 2" xfId="26147" xr:uid="{00000000-0005-0000-0000-000053660000}"/>
    <cellStyle name="输出 2 11 9 3 2 2" xfId="9448" xr:uid="{00000000-0005-0000-0000-000018250000}"/>
    <cellStyle name="输出 2 11 9 3 3" xfId="15549" xr:uid="{00000000-0005-0000-0000-0000ED3C0000}"/>
    <cellStyle name="输出 2 11 9 3 3 2" xfId="30159" xr:uid="{00000000-0005-0000-0000-0000FF750000}"/>
    <cellStyle name="输出 2 11 9 3 4" xfId="30162" xr:uid="{00000000-0005-0000-0000-000002760000}"/>
    <cellStyle name="输出 2 11 9 3 4 2" xfId="38678" xr:uid="{00000000-0005-0000-0000-000046970000}"/>
    <cellStyle name="输出 2 11 9 3 5" xfId="18717" xr:uid="{00000000-0005-0000-0000-00004D490000}"/>
    <cellStyle name="输出 2 11 9 3 5 2" xfId="38681" xr:uid="{00000000-0005-0000-0000-000049970000}"/>
    <cellStyle name="输出 2 11 9 3 6" xfId="38684" xr:uid="{00000000-0005-0000-0000-00004C970000}"/>
    <cellStyle name="输出 2 11 9 4" xfId="38685" xr:uid="{00000000-0005-0000-0000-00004D970000}"/>
    <cellStyle name="输出 2 11 9 4 2" xfId="26150" xr:uid="{00000000-0005-0000-0000-000056660000}"/>
    <cellStyle name="输出 2 11 9 4 2 2" xfId="12230" xr:uid="{00000000-0005-0000-0000-0000F62F0000}"/>
    <cellStyle name="输出 2 11 9 4 3" xfId="15559" xr:uid="{00000000-0005-0000-0000-0000F73C0000}"/>
    <cellStyle name="输出 2 11 9 4 3 2" xfId="38686" xr:uid="{00000000-0005-0000-0000-00004E970000}"/>
    <cellStyle name="输出 2 11 9 4 4" xfId="38688" xr:uid="{00000000-0005-0000-0000-000050970000}"/>
    <cellStyle name="输出 2 11 9 4 4 2" xfId="38690" xr:uid="{00000000-0005-0000-0000-000052970000}"/>
    <cellStyle name="输出 2 11 9 4 5" xfId="18731" xr:uid="{00000000-0005-0000-0000-00005B490000}"/>
    <cellStyle name="输出 2 11 9 4 5 2" xfId="29648" xr:uid="{00000000-0005-0000-0000-000000740000}"/>
    <cellStyle name="输出 2 11 9 4 6" xfId="29661" xr:uid="{00000000-0005-0000-0000-00000D740000}"/>
    <cellStyle name="输出 2 11 9 5" xfId="23277" xr:uid="{00000000-0005-0000-0000-00001D5B0000}"/>
    <cellStyle name="输出 2 11 9 5 2" xfId="23280" xr:uid="{00000000-0005-0000-0000-0000205B0000}"/>
    <cellStyle name="输出 2 11 9 5 2 2" xfId="26159" xr:uid="{00000000-0005-0000-0000-00005F660000}"/>
    <cellStyle name="输出 2 11 9 5 3" xfId="26161" xr:uid="{00000000-0005-0000-0000-000061660000}"/>
    <cellStyle name="输出 2 11 9 5 3 2" xfId="38691" xr:uid="{00000000-0005-0000-0000-000053970000}"/>
    <cellStyle name="输出 2 11 9 5 4" xfId="38693" xr:uid="{00000000-0005-0000-0000-000055970000}"/>
    <cellStyle name="输出 2 11 9 5 4 2" xfId="38696" xr:uid="{00000000-0005-0000-0000-000058970000}"/>
    <cellStyle name="输出 2 11 9 5 5" xfId="29807" xr:uid="{00000000-0005-0000-0000-00009F740000}"/>
    <cellStyle name="输出 2 11 9 5 5 2" xfId="29810" xr:uid="{00000000-0005-0000-0000-0000A2740000}"/>
    <cellStyle name="输出 2 11 9 5 6" xfId="29823" xr:uid="{00000000-0005-0000-0000-0000AF740000}"/>
    <cellStyle name="输出 2 11 9 6" xfId="23282" xr:uid="{00000000-0005-0000-0000-0000225B0000}"/>
    <cellStyle name="输出 2 11 9 6 2" xfId="23285" xr:uid="{00000000-0005-0000-0000-0000255B0000}"/>
    <cellStyle name="输出 2 11 9 6 2 2" xfId="38697" xr:uid="{00000000-0005-0000-0000-000059970000}"/>
    <cellStyle name="输出 2 11 9 6 3" xfId="38698" xr:uid="{00000000-0005-0000-0000-00005A970000}"/>
    <cellStyle name="输出 2 11 9 6 3 2" xfId="38699" xr:uid="{00000000-0005-0000-0000-00005B970000}"/>
    <cellStyle name="输出 2 11 9 6 4" xfId="38701" xr:uid="{00000000-0005-0000-0000-00005D970000}"/>
    <cellStyle name="输出 2 11 9 6 4 2" xfId="38704" xr:uid="{00000000-0005-0000-0000-000060970000}"/>
    <cellStyle name="输出 2 11 9 6 5" xfId="29889" xr:uid="{00000000-0005-0000-0000-0000F1740000}"/>
    <cellStyle name="输出 2 11 9 6 5 2" xfId="29892" xr:uid="{00000000-0005-0000-0000-0000F4740000}"/>
    <cellStyle name="输出 2 11 9 6 6" xfId="29918" xr:uid="{00000000-0005-0000-0000-00000E750000}"/>
    <cellStyle name="输出 2 11 9 7" xfId="23287" xr:uid="{00000000-0005-0000-0000-0000275B0000}"/>
    <cellStyle name="输出 2 11 9 7 2" xfId="23289" xr:uid="{00000000-0005-0000-0000-0000295B0000}"/>
    <cellStyle name="输出 2 11 9 7 2 2" xfId="38705" xr:uid="{00000000-0005-0000-0000-000061970000}"/>
    <cellStyle name="输出 2 11 9 7 3" xfId="38706" xr:uid="{00000000-0005-0000-0000-000062970000}"/>
    <cellStyle name="输出 2 11 9 7 3 2" xfId="38707" xr:uid="{00000000-0005-0000-0000-000063970000}"/>
    <cellStyle name="输出 2 11 9 7 4" xfId="38709" xr:uid="{00000000-0005-0000-0000-000065970000}"/>
    <cellStyle name="输出 2 11 9 7 4 2" xfId="38712" xr:uid="{00000000-0005-0000-0000-000068970000}"/>
    <cellStyle name="输出 2 11 9 7 5" xfId="30022" xr:uid="{00000000-0005-0000-0000-000076750000}"/>
    <cellStyle name="输出 2 11 9 7 5 2" xfId="30025" xr:uid="{00000000-0005-0000-0000-000079750000}"/>
    <cellStyle name="输出 2 11 9 7 6" xfId="30055" xr:uid="{00000000-0005-0000-0000-000097750000}"/>
    <cellStyle name="输出 2 11 9 8" xfId="9793" xr:uid="{00000000-0005-0000-0000-000071260000}"/>
    <cellStyle name="输出 2 11 9 8 2" xfId="38713" xr:uid="{00000000-0005-0000-0000-000069970000}"/>
    <cellStyle name="输出 2 11 9 8 2 2" xfId="38714" xr:uid="{00000000-0005-0000-0000-00006A970000}"/>
    <cellStyle name="输出 2 11 9 8 3" xfId="38715" xr:uid="{00000000-0005-0000-0000-00006B970000}"/>
    <cellStyle name="输出 2 11 9 8 3 2" xfId="38716" xr:uid="{00000000-0005-0000-0000-00006C970000}"/>
    <cellStyle name="输出 2 11 9 8 4" xfId="38718" xr:uid="{00000000-0005-0000-0000-00006E970000}"/>
    <cellStyle name="输出 2 11 9 8 4 2" xfId="38720" xr:uid="{00000000-0005-0000-0000-000070970000}"/>
    <cellStyle name="输出 2 11 9 8 5" xfId="30175" xr:uid="{00000000-0005-0000-0000-00000F760000}"/>
    <cellStyle name="输出 2 11 9 9" xfId="23292" xr:uid="{00000000-0005-0000-0000-00002C5B0000}"/>
    <cellStyle name="输出 2 11 9 9 2" xfId="38722" xr:uid="{00000000-0005-0000-0000-000072970000}"/>
    <cellStyle name="输出 2 12" xfId="38724" xr:uid="{00000000-0005-0000-0000-000074970000}"/>
    <cellStyle name="输出 2 12 10" xfId="16802" xr:uid="{00000000-0005-0000-0000-0000D2410000}"/>
    <cellStyle name="输出 2 12 10 2" xfId="38725" xr:uid="{00000000-0005-0000-0000-000075970000}"/>
    <cellStyle name="输出 2 12 10 2 2" xfId="38726" xr:uid="{00000000-0005-0000-0000-000076970000}"/>
    <cellStyle name="输出 2 12 10 3" xfId="38728" xr:uid="{00000000-0005-0000-0000-000078970000}"/>
    <cellStyle name="输出 2 12 10 3 2" xfId="38730" xr:uid="{00000000-0005-0000-0000-00007A970000}"/>
    <cellStyle name="输出 2 12 10 4" xfId="38733" xr:uid="{00000000-0005-0000-0000-00007D970000}"/>
    <cellStyle name="输出 2 12 10 4 2" xfId="38735" xr:uid="{00000000-0005-0000-0000-00007F970000}"/>
    <cellStyle name="输出 2 12 10 5" xfId="38737" xr:uid="{00000000-0005-0000-0000-000081970000}"/>
    <cellStyle name="输出 2 12 10 5 2" xfId="38739" xr:uid="{00000000-0005-0000-0000-000083970000}"/>
    <cellStyle name="输出 2 12 10 6" xfId="3149" xr:uid="{00000000-0005-0000-0000-00007D0C0000}"/>
    <cellStyle name="输出 2 12 10 7" xfId="38741" xr:uid="{00000000-0005-0000-0000-000085970000}"/>
    <cellStyle name="输出 2 12 10 8" xfId="3718" xr:uid="{00000000-0005-0000-0000-0000B60E0000}"/>
    <cellStyle name="输出 2 12 10 9" xfId="12822" xr:uid="{00000000-0005-0000-0000-000046320000}"/>
    <cellStyle name="输出 2 12 11" xfId="3251" xr:uid="{00000000-0005-0000-0000-0000E30C0000}"/>
    <cellStyle name="输出 2 12 11 2" xfId="23551" xr:uid="{00000000-0005-0000-0000-00002F5C0000}"/>
    <cellStyle name="输出 2 12 11 2 2" xfId="23553" xr:uid="{00000000-0005-0000-0000-0000315C0000}"/>
    <cellStyle name="输出 2 12 11 3" xfId="23555" xr:uid="{00000000-0005-0000-0000-0000335C0000}"/>
    <cellStyle name="输出 2 12 11 3 2" xfId="23558" xr:uid="{00000000-0005-0000-0000-0000365C0000}"/>
    <cellStyle name="输出 2 12 11 4" xfId="23561" xr:uid="{00000000-0005-0000-0000-0000395C0000}"/>
    <cellStyle name="输出 2 12 11 4 2" xfId="23564" xr:uid="{00000000-0005-0000-0000-00003C5C0000}"/>
    <cellStyle name="输出 2 12 11 5" xfId="23567" xr:uid="{00000000-0005-0000-0000-00003F5C0000}"/>
    <cellStyle name="输出 2 12 11 5 2" xfId="23570" xr:uid="{00000000-0005-0000-0000-0000425C0000}"/>
    <cellStyle name="输出 2 12 11 6" xfId="353" xr:uid="{00000000-0005-0000-0000-000083010000}"/>
    <cellStyle name="输出 2 12 12" xfId="4770" xr:uid="{00000000-0005-0000-0000-0000D2120000}"/>
    <cellStyle name="输出 2 12 12 2" xfId="5879" xr:uid="{00000000-0005-0000-0000-000027170000}"/>
    <cellStyle name="输出 2 12 12 2 2" xfId="5892" xr:uid="{00000000-0005-0000-0000-000034170000}"/>
    <cellStyle name="输出 2 12 12 3" xfId="5917" xr:uid="{00000000-0005-0000-0000-00004D170000}"/>
    <cellStyle name="输出 2 12 12 3 2" xfId="5935" xr:uid="{00000000-0005-0000-0000-00005F170000}"/>
    <cellStyle name="输出 2 12 12 4" xfId="5952" xr:uid="{00000000-0005-0000-0000-000070170000}"/>
    <cellStyle name="输出 2 12 12 4 2" xfId="10494" xr:uid="{00000000-0005-0000-0000-00002E290000}"/>
    <cellStyle name="输出 2 12 12 5" xfId="10502" xr:uid="{00000000-0005-0000-0000-000036290000}"/>
    <cellStyle name="输出 2 12 12 5 2" xfId="10509" xr:uid="{00000000-0005-0000-0000-00003D290000}"/>
    <cellStyle name="输出 2 12 12 6" xfId="1226" xr:uid="{00000000-0005-0000-0000-0000FA040000}"/>
    <cellStyle name="输出 2 12 13" xfId="23577" xr:uid="{00000000-0005-0000-0000-0000495C0000}"/>
    <cellStyle name="输出 2 12 13 2" xfId="16204" xr:uid="{00000000-0005-0000-0000-00007C3F0000}"/>
    <cellStyle name="输出 2 12 13 2 2" xfId="23581" xr:uid="{00000000-0005-0000-0000-00004D5C0000}"/>
    <cellStyle name="输出 2 12 13 3" xfId="6023" xr:uid="{00000000-0005-0000-0000-0000B7170000}"/>
    <cellStyle name="输出 2 12 13 3 2" xfId="6041" xr:uid="{00000000-0005-0000-0000-0000C9170000}"/>
    <cellStyle name="输出 2 12 13 4" xfId="6057" xr:uid="{00000000-0005-0000-0000-0000D9170000}"/>
    <cellStyle name="输出 2 12 13 4 2" xfId="10560" xr:uid="{00000000-0005-0000-0000-000070290000}"/>
    <cellStyle name="输出 2 12 13 5" xfId="10568" xr:uid="{00000000-0005-0000-0000-000078290000}"/>
    <cellStyle name="输出 2 12 13 5 2" xfId="10582" xr:uid="{00000000-0005-0000-0000-000086290000}"/>
    <cellStyle name="输出 2 12 13 6" xfId="10593" xr:uid="{00000000-0005-0000-0000-000091290000}"/>
    <cellStyle name="输出 2 12 14" xfId="17652" xr:uid="{00000000-0005-0000-0000-000024450000}"/>
    <cellStyle name="输出 2 12 14 2" xfId="23587" xr:uid="{00000000-0005-0000-0000-0000535C0000}"/>
    <cellStyle name="输出 2 12 14 2 2" xfId="23590" xr:uid="{00000000-0005-0000-0000-0000565C0000}"/>
    <cellStyle name="输出 2 12 14 3" xfId="3227" xr:uid="{00000000-0005-0000-0000-0000CB0C0000}"/>
    <cellStyle name="输出 2 12 14 3 2" xfId="6082" xr:uid="{00000000-0005-0000-0000-0000F2170000}"/>
    <cellStyle name="输出 2 12 14 4" xfId="5467" xr:uid="{00000000-0005-0000-0000-00008B150000}"/>
    <cellStyle name="输出 2 12 14 4 2" xfId="10619" xr:uid="{00000000-0005-0000-0000-0000AB290000}"/>
    <cellStyle name="输出 2 12 14 5" xfId="10624" xr:uid="{00000000-0005-0000-0000-0000B0290000}"/>
    <cellStyle name="输出 2 12 14 5 2" xfId="10635" xr:uid="{00000000-0005-0000-0000-0000BB290000}"/>
    <cellStyle name="输出 2 12 14 6" xfId="10644" xr:uid="{00000000-0005-0000-0000-0000C4290000}"/>
    <cellStyle name="输出 2 12 15" xfId="23595" xr:uid="{00000000-0005-0000-0000-00005B5C0000}"/>
    <cellStyle name="输出 2 12 15 2" xfId="23602" xr:uid="{00000000-0005-0000-0000-0000625C0000}"/>
    <cellStyle name="输出 2 12 15 2 2" xfId="23606" xr:uid="{00000000-0005-0000-0000-0000665C0000}"/>
    <cellStyle name="输出 2 12 15 3" xfId="6127" xr:uid="{00000000-0005-0000-0000-00001F180000}"/>
    <cellStyle name="输出 2 12 15 3 2" xfId="10668" xr:uid="{00000000-0005-0000-0000-0000DC290000}"/>
    <cellStyle name="输出 2 12 15 4" xfId="7824" xr:uid="{00000000-0005-0000-0000-0000C01E0000}"/>
    <cellStyle name="输出 2 12 15 4 2" xfId="10683" xr:uid="{00000000-0005-0000-0000-0000EB290000}"/>
    <cellStyle name="输出 2 12 15 5" xfId="10688" xr:uid="{00000000-0005-0000-0000-0000F0290000}"/>
    <cellStyle name="输出 2 12 15 5 2" xfId="10703" xr:uid="{00000000-0005-0000-0000-0000FF290000}"/>
    <cellStyle name="输出 2 12 15 6" xfId="10709" xr:uid="{00000000-0005-0000-0000-0000052A0000}"/>
    <cellStyle name="输出 2 12 16" xfId="7259" xr:uid="{00000000-0005-0000-0000-00008B1C0000}"/>
    <cellStyle name="输出 2 12 16 2" xfId="23613" xr:uid="{00000000-0005-0000-0000-00006D5C0000}"/>
    <cellStyle name="输出 2 12 16 2 2" xfId="23617" xr:uid="{00000000-0005-0000-0000-0000715C0000}"/>
    <cellStyle name="输出 2 12 16 3" xfId="10723" xr:uid="{00000000-0005-0000-0000-0000132A0000}"/>
    <cellStyle name="输出 2 12 16 3 2" xfId="10740" xr:uid="{00000000-0005-0000-0000-0000242A0000}"/>
    <cellStyle name="输出 2 12 16 4" xfId="10748" xr:uid="{00000000-0005-0000-0000-00002C2A0000}"/>
    <cellStyle name="输出 2 12 16 4 2" xfId="10760" xr:uid="{00000000-0005-0000-0000-0000382A0000}"/>
    <cellStyle name="输出 2 12 16 5" xfId="10764" xr:uid="{00000000-0005-0000-0000-00003C2A0000}"/>
    <cellStyle name="输出 2 12 16 5 2" xfId="10775" xr:uid="{00000000-0005-0000-0000-0000472A0000}"/>
    <cellStyle name="输出 2 12 16 6" xfId="10780" xr:uid="{00000000-0005-0000-0000-00004C2A0000}"/>
    <cellStyle name="输出 2 12 17" xfId="23622" xr:uid="{00000000-0005-0000-0000-0000765C0000}"/>
    <cellStyle name="输出 2 12 17 2" xfId="14088" xr:uid="{00000000-0005-0000-0000-000038370000}"/>
    <cellStyle name="输出 2 12 17 2 2" xfId="14102" xr:uid="{00000000-0005-0000-0000-000046370000}"/>
    <cellStyle name="输出 2 12 17 3" xfId="10796" xr:uid="{00000000-0005-0000-0000-00005C2A0000}"/>
    <cellStyle name="输出 2 12 17 3 2" xfId="1779" xr:uid="{00000000-0005-0000-0000-000023070000}"/>
    <cellStyle name="输出 2 12 17 4" xfId="10805" xr:uid="{00000000-0005-0000-0000-0000652A0000}"/>
    <cellStyle name="输出 2 12 17 4 2" xfId="10813" xr:uid="{00000000-0005-0000-0000-00006D2A0000}"/>
    <cellStyle name="输出 2 12 17 5" xfId="10818" xr:uid="{00000000-0005-0000-0000-0000722A0000}"/>
    <cellStyle name="输出 2 12 18" xfId="23629" xr:uid="{00000000-0005-0000-0000-00007D5C0000}"/>
    <cellStyle name="输出 2 12 18 2" xfId="23634" xr:uid="{00000000-0005-0000-0000-0000825C0000}"/>
    <cellStyle name="输出 2 12 19" xfId="38743" xr:uid="{00000000-0005-0000-0000-000087970000}"/>
    <cellStyle name="输出 2 12 19 2" xfId="38744" xr:uid="{00000000-0005-0000-0000-000088970000}"/>
    <cellStyle name="输出 2 12 2" xfId="5561" xr:uid="{00000000-0005-0000-0000-0000E9150000}"/>
    <cellStyle name="输出 2 12 2 10" xfId="11796" xr:uid="{00000000-0005-0000-0000-0000442E0000}"/>
    <cellStyle name="输出 2 12 2 10 2" xfId="14369" xr:uid="{00000000-0005-0000-0000-000051380000}"/>
    <cellStyle name="输出 2 12 2 11" xfId="17958" xr:uid="{00000000-0005-0000-0000-000056460000}"/>
    <cellStyle name="输出 2 12 2 11 2" xfId="14394" xr:uid="{00000000-0005-0000-0000-00006A380000}"/>
    <cellStyle name="输出 2 12 2 12" xfId="17962" xr:uid="{00000000-0005-0000-0000-00005A460000}"/>
    <cellStyle name="输出 2 12 2 12 2" xfId="14426" xr:uid="{00000000-0005-0000-0000-00008A380000}"/>
    <cellStyle name="输出 2 12 2 13" xfId="17965" xr:uid="{00000000-0005-0000-0000-00005D460000}"/>
    <cellStyle name="输出 2 12 2 14" xfId="38746" xr:uid="{00000000-0005-0000-0000-00008A970000}"/>
    <cellStyle name="输出 2 12 2 15" xfId="38748" xr:uid="{00000000-0005-0000-0000-00008C970000}"/>
    <cellStyle name="输出 2 12 2 16" xfId="26858" xr:uid="{00000000-0005-0000-0000-00001A690000}"/>
    <cellStyle name="输出 2 12 2 2" xfId="6101" xr:uid="{00000000-0005-0000-0000-000005180000}"/>
    <cellStyle name="输出 2 12 2 2 2" xfId="17621" xr:uid="{00000000-0005-0000-0000-000005450000}"/>
    <cellStyle name="输出 2 12 2 2 2 2" xfId="21414" xr:uid="{00000000-0005-0000-0000-0000D6530000}"/>
    <cellStyle name="输出 2 12 2 2 3" xfId="31287" xr:uid="{00000000-0005-0000-0000-0000677A0000}"/>
    <cellStyle name="输出 2 12 2 2 3 2" xfId="19291" xr:uid="{00000000-0005-0000-0000-00008B4B0000}"/>
    <cellStyle name="输出 2 12 2 2 4" xfId="35723" xr:uid="{00000000-0005-0000-0000-0000BB8B0000}"/>
    <cellStyle name="输出 2 12 2 2 4 2" xfId="10875" xr:uid="{00000000-0005-0000-0000-0000AB2A0000}"/>
    <cellStyle name="输出 2 12 2 2 5" xfId="35725" xr:uid="{00000000-0005-0000-0000-0000BD8B0000}"/>
    <cellStyle name="输出 2 12 2 2 5 2" xfId="35729" xr:uid="{00000000-0005-0000-0000-0000C18B0000}"/>
    <cellStyle name="输出 2 12 2 2 6" xfId="35732" xr:uid="{00000000-0005-0000-0000-0000C48B0000}"/>
    <cellStyle name="输出 2 12 2 2 7" xfId="3702" xr:uid="{00000000-0005-0000-0000-0000A60E0000}"/>
    <cellStyle name="输出 2 12 2 2 8" xfId="35736" xr:uid="{00000000-0005-0000-0000-0000C88B0000}"/>
    <cellStyle name="输出 2 12 2 2 9" xfId="35740" xr:uid="{00000000-0005-0000-0000-0000CC8B0000}"/>
    <cellStyle name="输出 2 12 2 3" xfId="38749" xr:uid="{00000000-0005-0000-0000-00008D970000}"/>
    <cellStyle name="输出 2 12 2 3 2" xfId="38750" xr:uid="{00000000-0005-0000-0000-00008E970000}"/>
    <cellStyle name="输出 2 12 2 3 2 2" xfId="21584" xr:uid="{00000000-0005-0000-0000-000080540000}"/>
    <cellStyle name="输出 2 12 2 3 3" xfId="31297" xr:uid="{00000000-0005-0000-0000-0000717A0000}"/>
    <cellStyle name="输出 2 12 2 3 3 2" xfId="21609" xr:uid="{00000000-0005-0000-0000-000099540000}"/>
    <cellStyle name="输出 2 12 2 3 4" xfId="38751" xr:uid="{00000000-0005-0000-0000-00008F970000}"/>
    <cellStyle name="输出 2 12 2 3 4 2" xfId="21631" xr:uid="{00000000-0005-0000-0000-0000AF540000}"/>
    <cellStyle name="输出 2 12 2 3 5" xfId="38752" xr:uid="{00000000-0005-0000-0000-000090970000}"/>
    <cellStyle name="输出 2 12 2 3 5 2" xfId="38753" xr:uid="{00000000-0005-0000-0000-000091970000}"/>
    <cellStyle name="输出 2 12 2 3 6" xfId="38754" xr:uid="{00000000-0005-0000-0000-000092970000}"/>
    <cellStyle name="输出 2 12 2 4" xfId="38755" xr:uid="{00000000-0005-0000-0000-000093970000}"/>
    <cellStyle name="输出 2 12 2 4 2" xfId="38727" xr:uid="{00000000-0005-0000-0000-000077970000}"/>
    <cellStyle name="输出 2 12 2 4 2 2" xfId="38729" xr:uid="{00000000-0005-0000-0000-000079970000}"/>
    <cellStyle name="输出 2 12 2 4 3" xfId="38732" xr:uid="{00000000-0005-0000-0000-00007C970000}"/>
    <cellStyle name="输出 2 12 2 4 3 2" xfId="38734" xr:uid="{00000000-0005-0000-0000-00007E970000}"/>
    <cellStyle name="输出 2 12 2 4 4" xfId="38736" xr:uid="{00000000-0005-0000-0000-000080970000}"/>
    <cellStyle name="输出 2 12 2 4 4 2" xfId="38738" xr:uid="{00000000-0005-0000-0000-000082970000}"/>
    <cellStyle name="输出 2 12 2 4 5" xfId="3148" xr:uid="{00000000-0005-0000-0000-00007C0C0000}"/>
    <cellStyle name="输出 2 12 2 4 5 2" xfId="20408" xr:uid="{00000000-0005-0000-0000-0000E84F0000}"/>
    <cellStyle name="输出 2 12 2 4 6" xfId="38740" xr:uid="{00000000-0005-0000-0000-000084970000}"/>
    <cellStyle name="输出 2 12 2 5" xfId="38756" xr:uid="{00000000-0005-0000-0000-000094970000}"/>
    <cellStyle name="输出 2 12 2 5 2" xfId="23556" xr:uid="{00000000-0005-0000-0000-0000345C0000}"/>
    <cellStyle name="输出 2 12 2 5 2 2" xfId="23559" xr:uid="{00000000-0005-0000-0000-0000375C0000}"/>
    <cellStyle name="输出 2 12 2 5 3" xfId="23562" xr:uid="{00000000-0005-0000-0000-00003A5C0000}"/>
    <cellStyle name="输出 2 12 2 5 3 2" xfId="23565" xr:uid="{00000000-0005-0000-0000-00003D5C0000}"/>
    <cellStyle name="输出 2 12 2 5 4" xfId="23568" xr:uid="{00000000-0005-0000-0000-0000405C0000}"/>
    <cellStyle name="输出 2 12 2 5 4 2" xfId="23571" xr:uid="{00000000-0005-0000-0000-0000435C0000}"/>
    <cellStyle name="输出 2 12 2 5 5" xfId="354" xr:uid="{00000000-0005-0000-0000-000084010000}"/>
    <cellStyle name="输出 2 12 2 5 5 2" xfId="21002" xr:uid="{00000000-0005-0000-0000-00003A520000}"/>
    <cellStyle name="输出 2 12 2 5 6" xfId="23573" xr:uid="{00000000-0005-0000-0000-0000455C0000}"/>
    <cellStyle name="输出 2 12 2 6" xfId="8063" xr:uid="{00000000-0005-0000-0000-0000AF1F0000}"/>
    <cellStyle name="输出 2 12 2 6 2" xfId="5918" xr:uid="{00000000-0005-0000-0000-00004E170000}"/>
    <cellStyle name="输出 2 12 2 6 2 2" xfId="5936" xr:uid="{00000000-0005-0000-0000-000060170000}"/>
    <cellStyle name="输出 2 12 2 6 3" xfId="5953" xr:uid="{00000000-0005-0000-0000-000071170000}"/>
    <cellStyle name="输出 2 12 2 6 3 2" xfId="10493" xr:uid="{00000000-0005-0000-0000-00002D290000}"/>
    <cellStyle name="输出 2 12 2 6 4" xfId="10501" xr:uid="{00000000-0005-0000-0000-000035290000}"/>
    <cellStyle name="输出 2 12 2 6 4 2" xfId="10508" xr:uid="{00000000-0005-0000-0000-00003C290000}"/>
    <cellStyle name="输出 2 12 2 6 5" xfId="1227" xr:uid="{00000000-0005-0000-0000-0000FB040000}"/>
    <cellStyle name="输出 2 12 2 6 5 2" xfId="38757" xr:uid="{00000000-0005-0000-0000-000095970000}"/>
    <cellStyle name="输出 2 12 2 6 6" xfId="10517" xr:uid="{00000000-0005-0000-0000-000045290000}"/>
    <cellStyle name="输出 2 12 2 7" xfId="38758" xr:uid="{00000000-0005-0000-0000-000096970000}"/>
    <cellStyle name="输出 2 12 2 7 2" xfId="6024" xr:uid="{00000000-0005-0000-0000-0000B8170000}"/>
    <cellStyle name="输出 2 12 2 7 2 2" xfId="6042" xr:uid="{00000000-0005-0000-0000-0000CA170000}"/>
    <cellStyle name="输出 2 12 2 7 3" xfId="6058" xr:uid="{00000000-0005-0000-0000-0000DA170000}"/>
    <cellStyle name="输出 2 12 2 7 3 2" xfId="10559" xr:uid="{00000000-0005-0000-0000-00006F290000}"/>
    <cellStyle name="输出 2 12 2 7 4" xfId="10567" xr:uid="{00000000-0005-0000-0000-000077290000}"/>
    <cellStyle name="输出 2 12 2 7 4 2" xfId="10581" xr:uid="{00000000-0005-0000-0000-000085290000}"/>
    <cellStyle name="输出 2 12 2 7 5" xfId="10592" xr:uid="{00000000-0005-0000-0000-000090290000}"/>
    <cellStyle name="输出 2 12 2 7 5 2" xfId="36164" xr:uid="{00000000-0005-0000-0000-0000748D0000}"/>
    <cellStyle name="输出 2 12 2 7 6" xfId="36166" xr:uid="{00000000-0005-0000-0000-0000768D0000}"/>
    <cellStyle name="输出 2 12 2 8" xfId="38759" xr:uid="{00000000-0005-0000-0000-000097970000}"/>
    <cellStyle name="输出 2 12 2 8 2" xfId="3226" xr:uid="{00000000-0005-0000-0000-0000CA0C0000}"/>
    <cellStyle name="输出 2 12 2 8 2 2" xfId="6083" xr:uid="{00000000-0005-0000-0000-0000F3170000}"/>
    <cellStyle name="输出 2 12 2 8 3" xfId="5468" xr:uid="{00000000-0005-0000-0000-00008C150000}"/>
    <cellStyle name="输出 2 12 2 8 3 2" xfId="10618" xr:uid="{00000000-0005-0000-0000-0000AA290000}"/>
    <cellStyle name="输出 2 12 2 8 4" xfId="10623" xr:uid="{00000000-0005-0000-0000-0000AF290000}"/>
    <cellStyle name="输出 2 12 2 8 4 2" xfId="10634" xr:uid="{00000000-0005-0000-0000-0000BA290000}"/>
    <cellStyle name="输出 2 12 2 8 5" xfId="10643" xr:uid="{00000000-0005-0000-0000-0000C3290000}"/>
    <cellStyle name="输出 2 12 2 9" xfId="38760" xr:uid="{00000000-0005-0000-0000-000098970000}"/>
    <cellStyle name="输出 2 12 2 9 2" xfId="6128" xr:uid="{00000000-0005-0000-0000-000020180000}"/>
    <cellStyle name="输出 2 12 20" xfId="23596" xr:uid="{00000000-0005-0000-0000-00005C5C0000}"/>
    <cellStyle name="输出 2 12 20 2" xfId="23603" xr:uid="{00000000-0005-0000-0000-0000635C0000}"/>
    <cellStyle name="输出 2 12 21" xfId="7260" xr:uid="{00000000-0005-0000-0000-00008C1C0000}"/>
    <cellStyle name="输出 2 12 21 2" xfId="23614" xr:uid="{00000000-0005-0000-0000-00006E5C0000}"/>
    <cellStyle name="输出 2 12 22" xfId="23623" xr:uid="{00000000-0005-0000-0000-0000775C0000}"/>
    <cellStyle name="输出 2 12 23" xfId="23630" xr:uid="{00000000-0005-0000-0000-00007E5C0000}"/>
    <cellStyle name="输出 2 12 24" xfId="38742" xr:uid="{00000000-0005-0000-0000-000086970000}"/>
    <cellStyle name="输出 2 12 25" xfId="38761" xr:uid="{00000000-0005-0000-0000-000099970000}"/>
    <cellStyle name="输出 2 12 3" xfId="6108" xr:uid="{00000000-0005-0000-0000-00000C180000}"/>
    <cellStyle name="输出 2 12 3 10" xfId="18204" xr:uid="{00000000-0005-0000-0000-00004C470000}"/>
    <cellStyle name="输出 2 12 3 10 2" xfId="15144" xr:uid="{00000000-0005-0000-0000-0000583B0000}"/>
    <cellStyle name="输出 2 12 3 11" xfId="18207" xr:uid="{00000000-0005-0000-0000-00004F470000}"/>
    <cellStyle name="输出 2 12 3 11 2" xfId="15163" xr:uid="{00000000-0005-0000-0000-00006B3B0000}"/>
    <cellStyle name="输出 2 12 3 12" xfId="15136" xr:uid="{00000000-0005-0000-0000-0000503B0000}"/>
    <cellStyle name="输出 2 12 3 12 2" xfId="15181" xr:uid="{00000000-0005-0000-0000-00007D3B0000}"/>
    <cellStyle name="输出 2 12 3 13" xfId="17968" xr:uid="{00000000-0005-0000-0000-000060460000}"/>
    <cellStyle name="输出 2 12 3 14" xfId="8733" xr:uid="{00000000-0005-0000-0000-00004D220000}"/>
    <cellStyle name="输出 2 12 3 15" xfId="17973" xr:uid="{00000000-0005-0000-0000-000065460000}"/>
    <cellStyle name="输出 2 12 3 16" xfId="16218" xr:uid="{00000000-0005-0000-0000-00008A3F0000}"/>
    <cellStyle name="输出 2 12 3 2" xfId="6110" xr:uid="{00000000-0005-0000-0000-00000E180000}"/>
    <cellStyle name="输出 2 12 3 2 2" xfId="38763" xr:uid="{00000000-0005-0000-0000-00009B970000}"/>
    <cellStyle name="输出 2 12 3 2 2 2" xfId="19932" xr:uid="{00000000-0005-0000-0000-00000C4E0000}"/>
    <cellStyle name="输出 2 12 3 2 3" xfId="31318" xr:uid="{00000000-0005-0000-0000-0000867A0000}"/>
    <cellStyle name="输出 2 12 3 2 3 2" xfId="19993" xr:uid="{00000000-0005-0000-0000-0000494E0000}"/>
    <cellStyle name="输出 2 12 3 2 4" xfId="38765" xr:uid="{00000000-0005-0000-0000-00009D970000}"/>
    <cellStyle name="输出 2 12 3 2 4 2" xfId="15612" xr:uid="{00000000-0005-0000-0000-00002C3D0000}"/>
    <cellStyle name="输出 2 12 3 2 5" xfId="38766" xr:uid="{00000000-0005-0000-0000-00009E970000}"/>
    <cellStyle name="输出 2 12 3 2 5 2" xfId="1655" xr:uid="{00000000-0005-0000-0000-0000A7060000}"/>
    <cellStyle name="输出 2 12 3 2 6" xfId="38767" xr:uid="{00000000-0005-0000-0000-00009F970000}"/>
    <cellStyle name="输出 2 12 3 2 7" xfId="3759" xr:uid="{00000000-0005-0000-0000-0000DF0E0000}"/>
    <cellStyle name="输出 2 12 3 2 8" xfId="38768" xr:uid="{00000000-0005-0000-0000-0000A0970000}"/>
    <cellStyle name="输出 2 12 3 2 9" xfId="38769" xr:uid="{00000000-0005-0000-0000-0000A1970000}"/>
    <cellStyle name="输出 2 12 3 3" xfId="38771" xr:uid="{00000000-0005-0000-0000-0000A3970000}"/>
    <cellStyle name="输出 2 12 3 3 2" xfId="38772" xr:uid="{00000000-0005-0000-0000-0000A4970000}"/>
    <cellStyle name="输出 2 12 3 3 2 2" xfId="20955" xr:uid="{00000000-0005-0000-0000-00000B520000}"/>
    <cellStyle name="输出 2 12 3 3 3" xfId="38774" xr:uid="{00000000-0005-0000-0000-0000A6970000}"/>
    <cellStyle name="输出 2 12 3 3 3 2" xfId="21026" xr:uid="{00000000-0005-0000-0000-000052520000}"/>
    <cellStyle name="输出 2 12 3 3 4" xfId="38775" xr:uid="{00000000-0005-0000-0000-0000A7970000}"/>
    <cellStyle name="输出 2 12 3 3 4 2" xfId="21131" xr:uid="{00000000-0005-0000-0000-0000BB520000}"/>
    <cellStyle name="输出 2 12 3 3 5" xfId="38776" xr:uid="{00000000-0005-0000-0000-0000A8970000}"/>
    <cellStyle name="输出 2 12 3 3 5 2" xfId="2433" xr:uid="{00000000-0005-0000-0000-0000B1090000}"/>
    <cellStyle name="输出 2 12 3 3 6" xfId="38777" xr:uid="{00000000-0005-0000-0000-0000A9970000}"/>
    <cellStyle name="输出 2 12 3 4" xfId="6213" xr:uid="{00000000-0005-0000-0000-000075180000}"/>
    <cellStyle name="输出 2 12 3 4 2" xfId="6215" xr:uid="{00000000-0005-0000-0000-000077180000}"/>
    <cellStyle name="输出 2 12 3 4 2 2" xfId="6218" xr:uid="{00000000-0005-0000-0000-00007A180000}"/>
    <cellStyle name="输出 2 12 3 4 3" xfId="6219" xr:uid="{00000000-0005-0000-0000-00007B180000}"/>
    <cellStyle name="输出 2 12 3 4 3 2" xfId="6224" xr:uid="{00000000-0005-0000-0000-000080180000}"/>
    <cellStyle name="输出 2 12 3 4 4" xfId="6227" xr:uid="{00000000-0005-0000-0000-000083180000}"/>
    <cellStyle name="输出 2 12 3 4 4 2" xfId="6230" xr:uid="{00000000-0005-0000-0000-000086180000}"/>
    <cellStyle name="输出 2 12 3 4 5" xfId="643" xr:uid="{00000000-0005-0000-0000-0000B3020000}"/>
    <cellStyle name="输出 2 12 3 4 5 2" xfId="997" xr:uid="{00000000-0005-0000-0000-000015040000}"/>
    <cellStyle name="输出 2 12 3 4 6" xfId="6235" xr:uid="{00000000-0005-0000-0000-00008B180000}"/>
    <cellStyle name="输出 2 12 3 5" xfId="6259" xr:uid="{00000000-0005-0000-0000-0000A3180000}"/>
    <cellStyle name="输出 2 12 3 5 2" xfId="6265" xr:uid="{00000000-0005-0000-0000-0000A9180000}"/>
    <cellStyle name="输出 2 12 3 5 2 2" xfId="6269" xr:uid="{00000000-0005-0000-0000-0000AD180000}"/>
    <cellStyle name="输出 2 12 3 5 3" xfId="6271" xr:uid="{00000000-0005-0000-0000-0000AF180000}"/>
    <cellStyle name="输出 2 12 3 5 3 2" xfId="4006" xr:uid="{00000000-0005-0000-0000-0000D60F0000}"/>
    <cellStyle name="输出 2 12 3 5 4" xfId="6273" xr:uid="{00000000-0005-0000-0000-0000B1180000}"/>
    <cellStyle name="输出 2 12 3 5 4 2" xfId="6276" xr:uid="{00000000-0005-0000-0000-0000B4180000}"/>
    <cellStyle name="输出 2 12 3 5 5" xfId="215" xr:uid="{00000000-0005-0000-0000-0000E9000000}"/>
    <cellStyle name="输出 2 12 3 5 5 2" xfId="4771" xr:uid="{00000000-0005-0000-0000-0000D3120000}"/>
    <cellStyle name="输出 2 12 3 5 6" xfId="6279" xr:uid="{00000000-0005-0000-0000-0000B7180000}"/>
    <cellStyle name="输出 2 12 3 6" xfId="6286" xr:uid="{00000000-0005-0000-0000-0000BE180000}"/>
    <cellStyle name="输出 2 12 3 6 2" xfId="6294" xr:uid="{00000000-0005-0000-0000-0000C6180000}"/>
    <cellStyle name="输出 2 12 3 6 2 2" xfId="6308" xr:uid="{00000000-0005-0000-0000-0000D4180000}"/>
    <cellStyle name="输出 2 12 3 6 3" xfId="6320" xr:uid="{00000000-0005-0000-0000-0000E0180000}"/>
    <cellStyle name="输出 2 12 3 6 3 2" xfId="5482" xr:uid="{00000000-0005-0000-0000-00009A150000}"/>
    <cellStyle name="输出 2 12 3 6 4" xfId="6330" xr:uid="{00000000-0005-0000-0000-0000EA180000}"/>
    <cellStyle name="输出 2 12 3 6 4 2" xfId="6336" xr:uid="{00000000-0005-0000-0000-0000F0180000}"/>
    <cellStyle name="输出 2 12 3 6 5" xfId="3497" xr:uid="{00000000-0005-0000-0000-0000D90D0000}"/>
    <cellStyle name="输出 2 12 3 6 5 2" xfId="5035" xr:uid="{00000000-0005-0000-0000-0000DB130000}"/>
    <cellStyle name="输出 2 12 3 6 6" xfId="6344" xr:uid="{00000000-0005-0000-0000-0000F8180000}"/>
    <cellStyle name="输出 2 12 3 7" xfId="6357" xr:uid="{00000000-0005-0000-0000-000005190000}"/>
    <cellStyle name="输出 2 12 3 7 2" xfId="6368" xr:uid="{00000000-0005-0000-0000-000010190000}"/>
    <cellStyle name="输出 2 12 3 7 2 2" xfId="2367" xr:uid="{00000000-0005-0000-0000-00006F090000}"/>
    <cellStyle name="输出 2 12 3 7 3" xfId="2352" xr:uid="{00000000-0005-0000-0000-000060090000}"/>
    <cellStyle name="输出 2 12 3 7 3 2" xfId="2038" xr:uid="{00000000-0005-0000-0000-000026080000}"/>
    <cellStyle name="输出 2 12 3 7 4" xfId="2360" xr:uid="{00000000-0005-0000-0000-000068090000}"/>
    <cellStyle name="输出 2 12 3 7 4 2" xfId="2375" xr:uid="{00000000-0005-0000-0000-000077090000}"/>
    <cellStyle name="输出 2 12 3 7 5" xfId="2380" xr:uid="{00000000-0005-0000-0000-00007C090000}"/>
    <cellStyle name="输出 2 12 3 7 5 2" xfId="2389" xr:uid="{00000000-0005-0000-0000-000085090000}"/>
    <cellStyle name="输出 2 12 3 7 6" xfId="2393" xr:uid="{00000000-0005-0000-0000-000089090000}"/>
    <cellStyle name="输出 2 12 3 8" xfId="813" xr:uid="{00000000-0005-0000-0000-00005D030000}"/>
    <cellStyle name="输出 2 12 3 8 2" xfId="6375" xr:uid="{00000000-0005-0000-0000-000017190000}"/>
    <cellStyle name="输出 2 12 3 8 2 2" xfId="6386" xr:uid="{00000000-0005-0000-0000-000022190000}"/>
    <cellStyle name="输出 2 12 3 8 3" xfId="6397" xr:uid="{00000000-0005-0000-0000-00002D190000}"/>
    <cellStyle name="输出 2 12 3 8 3 2" xfId="6413" xr:uid="{00000000-0005-0000-0000-00003D190000}"/>
    <cellStyle name="输出 2 12 3 8 4" xfId="2033" xr:uid="{00000000-0005-0000-0000-000021080000}"/>
    <cellStyle name="输出 2 12 3 8 4 2" xfId="6423" xr:uid="{00000000-0005-0000-0000-000047190000}"/>
    <cellStyle name="输出 2 12 3 8 5" xfId="2057" xr:uid="{00000000-0005-0000-0000-000039080000}"/>
    <cellStyle name="输出 2 12 3 9" xfId="6434" xr:uid="{00000000-0005-0000-0000-000052190000}"/>
    <cellStyle name="输出 2 12 3 9 2" xfId="6444" xr:uid="{00000000-0005-0000-0000-00005C190000}"/>
    <cellStyle name="输出 2 12 4" xfId="6115" xr:uid="{00000000-0005-0000-0000-000013180000}"/>
    <cellStyle name="输出 2 12 4 10" xfId="10540" xr:uid="{00000000-0005-0000-0000-00005C290000}"/>
    <cellStyle name="输出 2 12 4 10 2" xfId="7419" xr:uid="{00000000-0005-0000-0000-00002B1D0000}"/>
    <cellStyle name="输出 2 12 4 11" xfId="16025" xr:uid="{00000000-0005-0000-0000-0000C93E0000}"/>
    <cellStyle name="输出 2 12 4 11 2" xfId="7484" xr:uid="{00000000-0005-0000-0000-00006C1D0000}"/>
    <cellStyle name="输出 2 12 4 12" xfId="17405" xr:uid="{00000000-0005-0000-0000-00002D440000}"/>
    <cellStyle name="输出 2 12 4 12 2" xfId="35572" xr:uid="{00000000-0005-0000-0000-0000248B0000}"/>
    <cellStyle name="输出 2 12 4 13" xfId="18141" xr:uid="{00000000-0005-0000-0000-00000D470000}"/>
    <cellStyle name="输出 2 12 4 14" xfId="18148" xr:uid="{00000000-0005-0000-0000-000014470000}"/>
    <cellStyle name="输出 2 12 4 15" xfId="18154" xr:uid="{00000000-0005-0000-0000-00001A470000}"/>
    <cellStyle name="输出 2 12 4 16" xfId="10608" xr:uid="{00000000-0005-0000-0000-0000A0290000}"/>
    <cellStyle name="输出 2 12 4 2" xfId="38778" xr:uid="{00000000-0005-0000-0000-0000AA970000}"/>
    <cellStyle name="输出 2 12 4 2 2" xfId="38780" xr:uid="{00000000-0005-0000-0000-0000AC970000}"/>
    <cellStyle name="输出 2 12 4 2 2 2" xfId="38782" xr:uid="{00000000-0005-0000-0000-0000AE970000}"/>
    <cellStyle name="输出 2 12 4 2 3" xfId="38784" xr:uid="{00000000-0005-0000-0000-0000B0970000}"/>
    <cellStyle name="输出 2 12 4 2 3 2" xfId="38787" xr:uid="{00000000-0005-0000-0000-0000B3970000}"/>
    <cellStyle name="输出 2 12 4 2 4" xfId="38789" xr:uid="{00000000-0005-0000-0000-0000B5970000}"/>
    <cellStyle name="输出 2 12 4 2 4 2" xfId="38791" xr:uid="{00000000-0005-0000-0000-0000B7970000}"/>
    <cellStyle name="输出 2 12 4 2 5" xfId="38792" xr:uid="{00000000-0005-0000-0000-0000B8970000}"/>
    <cellStyle name="输出 2 12 4 2 5 2" xfId="38793" xr:uid="{00000000-0005-0000-0000-0000B9970000}"/>
    <cellStyle name="输出 2 12 4 2 6" xfId="38794" xr:uid="{00000000-0005-0000-0000-0000BA970000}"/>
    <cellStyle name="输出 2 12 4 2 7" xfId="3828" xr:uid="{00000000-0005-0000-0000-0000240F0000}"/>
    <cellStyle name="输出 2 12 4 2 8" xfId="27156" xr:uid="{00000000-0005-0000-0000-0000446A0000}"/>
    <cellStyle name="输出 2 12 4 2 9" xfId="27159" xr:uid="{00000000-0005-0000-0000-0000476A0000}"/>
    <cellStyle name="输出 2 12 4 3" xfId="38795" xr:uid="{00000000-0005-0000-0000-0000BB970000}"/>
    <cellStyle name="输出 2 12 4 3 2" xfId="13351" xr:uid="{00000000-0005-0000-0000-000057340000}"/>
    <cellStyle name="输出 2 12 4 3 2 2" xfId="13354" xr:uid="{00000000-0005-0000-0000-00005A340000}"/>
    <cellStyle name="输出 2 12 4 3 3" xfId="13378" xr:uid="{00000000-0005-0000-0000-000072340000}"/>
    <cellStyle name="输出 2 12 4 3 3 2" xfId="13381" xr:uid="{00000000-0005-0000-0000-000075340000}"/>
    <cellStyle name="输出 2 12 4 3 4" xfId="13390" xr:uid="{00000000-0005-0000-0000-00007E340000}"/>
    <cellStyle name="输出 2 12 4 3 4 2" xfId="13393" xr:uid="{00000000-0005-0000-0000-000081340000}"/>
    <cellStyle name="输出 2 12 4 3 5" xfId="25459" xr:uid="{00000000-0005-0000-0000-0000A3630000}"/>
    <cellStyle name="输出 2 12 4 3 5 2" xfId="38796" xr:uid="{00000000-0005-0000-0000-0000BC970000}"/>
    <cellStyle name="输出 2 12 4 3 6" xfId="25461" xr:uid="{00000000-0005-0000-0000-0000A5630000}"/>
    <cellStyle name="输出 2 12 4 4" xfId="6586" xr:uid="{00000000-0005-0000-0000-0000EA190000}"/>
    <cellStyle name="输出 2 12 4 4 2" xfId="6591" xr:uid="{00000000-0005-0000-0000-0000EF190000}"/>
    <cellStyle name="输出 2 12 4 4 2 2" xfId="501" xr:uid="{00000000-0005-0000-0000-000022020000}"/>
    <cellStyle name="输出 2 12 4 4 3" xfId="6593" xr:uid="{00000000-0005-0000-0000-0000F1190000}"/>
    <cellStyle name="输出 2 12 4 4 3 2" xfId="211" xr:uid="{00000000-0005-0000-0000-0000E5000000}"/>
    <cellStyle name="输出 2 12 4 4 4" xfId="6598" xr:uid="{00000000-0005-0000-0000-0000F6190000}"/>
    <cellStyle name="输出 2 12 4 4 4 2" xfId="6601" xr:uid="{00000000-0005-0000-0000-0000F9190000}"/>
    <cellStyle name="输出 2 12 4 4 5" xfId="2197" xr:uid="{00000000-0005-0000-0000-0000C5080000}"/>
    <cellStyle name="输出 2 12 4 4 5 2" xfId="6604" xr:uid="{00000000-0005-0000-0000-0000FC190000}"/>
    <cellStyle name="输出 2 12 4 4 6" xfId="6607" xr:uid="{00000000-0005-0000-0000-0000FF190000}"/>
    <cellStyle name="输出 2 12 4 5" xfId="6617" xr:uid="{00000000-0005-0000-0000-0000091A0000}"/>
    <cellStyle name="输出 2 12 4 5 2" xfId="6621" xr:uid="{00000000-0005-0000-0000-00000D1A0000}"/>
    <cellStyle name="输出 2 12 4 5 2 2" xfId="6628" xr:uid="{00000000-0005-0000-0000-0000141A0000}"/>
    <cellStyle name="输出 2 12 4 5 3" xfId="6632" xr:uid="{00000000-0005-0000-0000-0000181A0000}"/>
    <cellStyle name="输出 2 12 4 5 3 2" xfId="6640" xr:uid="{00000000-0005-0000-0000-0000201A0000}"/>
    <cellStyle name="输出 2 12 4 5 4" xfId="6643" xr:uid="{00000000-0005-0000-0000-0000231A0000}"/>
    <cellStyle name="输出 2 12 4 5 4 2" xfId="6650" xr:uid="{00000000-0005-0000-0000-00002A1A0000}"/>
    <cellStyle name="输出 2 12 4 5 5" xfId="1557" xr:uid="{00000000-0005-0000-0000-000045060000}"/>
    <cellStyle name="输出 2 12 4 5 5 2" xfId="6653" xr:uid="{00000000-0005-0000-0000-00002D1A0000}"/>
    <cellStyle name="输出 2 12 4 5 6" xfId="6662" xr:uid="{00000000-0005-0000-0000-0000361A0000}"/>
    <cellStyle name="输出 2 12 4 6" xfId="6671" xr:uid="{00000000-0005-0000-0000-00003F1A0000}"/>
    <cellStyle name="输出 2 12 4 6 2" xfId="6676" xr:uid="{00000000-0005-0000-0000-0000441A0000}"/>
    <cellStyle name="输出 2 12 4 6 2 2" xfId="4492" xr:uid="{00000000-0005-0000-0000-0000BC110000}"/>
    <cellStyle name="输出 2 12 4 6 3" xfId="6695" xr:uid="{00000000-0005-0000-0000-0000571A0000}"/>
    <cellStyle name="输出 2 12 4 6 3 2" xfId="2271" xr:uid="{00000000-0005-0000-0000-00000F090000}"/>
    <cellStyle name="输出 2 12 4 6 4" xfId="6707" xr:uid="{00000000-0005-0000-0000-0000631A0000}"/>
    <cellStyle name="输出 2 12 4 6 4 2" xfId="2004" xr:uid="{00000000-0005-0000-0000-000004080000}"/>
    <cellStyle name="输出 2 12 4 6 5" xfId="1411" xr:uid="{00000000-0005-0000-0000-0000B3050000}"/>
    <cellStyle name="输出 2 12 4 6 5 2" xfId="1424" xr:uid="{00000000-0005-0000-0000-0000C0050000}"/>
    <cellStyle name="输出 2 12 4 6 6" xfId="6716" xr:uid="{00000000-0005-0000-0000-00006C1A0000}"/>
    <cellStyle name="输出 2 12 4 7" xfId="6729" xr:uid="{00000000-0005-0000-0000-0000791A0000}"/>
    <cellStyle name="输出 2 12 4 7 2" xfId="6735" xr:uid="{00000000-0005-0000-0000-00007F1A0000}"/>
    <cellStyle name="输出 2 12 4 7 2 2" xfId="6178" xr:uid="{00000000-0005-0000-0000-000052180000}"/>
    <cellStyle name="输出 2 12 4 7 3" xfId="6749" xr:uid="{00000000-0005-0000-0000-00008D1A0000}"/>
    <cellStyle name="输出 2 12 4 7 3 2" xfId="6760" xr:uid="{00000000-0005-0000-0000-0000981A0000}"/>
    <cellStyle name="输出 2 12 4 7 4" xfId="6383" xr:uid="{00000000-0005-0000-0000-00001F190000}"/>
    <cellStyle name="输出 2 12 4 7 4 2" xfId="6769" xr:uid="{00000000-0005-0000-0000-0000A11A0000}"/>
    <cellStyle name="输出 2 12 4 7 5" xfId="6774" xr:uid="{00000000-0005-0000-0000-0000A61A0000}"/>
    <cellStyle name="输出 2 12 4 7 5 2" xfId="6783" xr:uid="{00000000-0005-0000-0000-0000AF1A0000}"/>
    <cellStyle name="输出 2 12 4 7 6" xfId="6787" xr:uid="{00000000-0005-0000-0000-0000B31A0000}"/>
    <cellStyle name="输出 2 12 4 8" xfId="843" xr:uid="{00000000-0005-0000-0000-00007B030000}"/>
    <cellStyle name="输出 2 12 4 8 2" xfId="6794" xr:uid="{00000000-0005-0000-0000-0000BA1A0000}"/>
    <cellStyle name="输出 2 12 4 8 2 2" xfId="6802" xr:uid="{00000000-0005-0000-0000-0000C21A0000}"/>
    <cellStyle name="输出 2 12 4 8 3" xfId="6811" xr:uid="{00000000-0005-0000-0000-0000CB1A0000}"/>
    <cellStyle name="输出 2 12 4 8 3 2" xfId="6826" xr:uid="{00000000-0005-0000-0000-0000DA1A0000}"/>
    <cellStyle name="输出 2 12 4 8 4" xfId="6408" xr:uid="{00000000-0005-0000-0000-000038190000}"/>
    <cellStyle name="输出 2 12 4 8 4 2" xfId="6350" xr:uid="{00000000-0005-0000-0000-0000FE180000}"/>
    <cellStyle name="输出 2 12 4 8 5" xfId="451" xr:uid="{00000000-0005-0000-0000-0000ED010000}"/>
    <cellStyle name="输出 2 12 4 9" xfId="6836" xr:uid="{00000000-0005-0000-0000-0000E41A0000}"/>
    <cellStyle name="输出 2 12 4 9 2" xfId="6846" xr:uid="{00000000-0005-0000-0000-0000EE1A0000}"/>
    <cellStyle name="输出 2 12 5" xfId="38797" xr:uid="{00000000-0005-0000-0000-0000BD970000}"/>
    <cellStyle name="输出 2 12 5 10" xfId="18821" xr:uid="{00000000-0005-0000-0000-0000B5490000}"/>
    <cellStyle name="输出 2 12 5 10 2" xfId="35702" xr:uid="{00000000-0005-0000-0000-0000A68B0000}"/>
    <cellStyle name="输出 2 12 5 11" xfId="8500" xr:uid="{00000000-0005-0000-0000-000064210000}"/>
    <cellStyle name="输出 2 12 5 11 2" xfId="35710" xr:uid="{00000000-0005-0000-0000-0000AE8B0000}"/>
    <cellStyle name="输出 2 12 5 12" xfId="6166" xr:uid="{00000000-0005-0000-0000-000046180000}"/>
    <cellStyle name="输出 2 12 5 12 2" xfId="2323" xr:uid="{00000000-0005-0000-0000-000043090000}"/>
    <cellStyle name="输出 2 12 5 13" xfId="7401" xr:uid="{00000000-0005-0000-0000-0000191D0000}"/>
    <cellStyle name="输出 2 12 5 14" xfId="5793" xr:uid="{00000000-0005-0000-0000-0000D1160000}"/>
    <cellStyle name="输出 2 12 5 15" xfId="7991" xr:uid="{00000000-0005-0000-0000-0000671F0000}"/>
    <cellStyle name="输出 2 12 5 16" xfId="7998" xr:uid="{00000000-0005-0000-0000-00006E1F0000}"/>
    <cellStyle name="输出 2 12 5 2" xfId="38798" xr:uid="{00000000-0005-0000-0000-0000BE970000}"/>
    <cellStyle name="输出 2 12 5 2 2" xfId="38800" xr:uid="{00000000-0005-0000-0000-0000C0970000}"/>
    <cellStyle name="输出 2 12 5 2 2 2" xfId="38803" xr:uid="{00000000-0005-0000-0000-0000C3970000}"/>
    <cellStyle name="输出 2 12 5 2 3" xfId="38806" xr:uid="{00000000-0005-0000-0000-0000C6970000}"/>
    <cellStyle name="输出 2 12 5 2 3 2" xfId="38810" xr:uid="{00000000-0005-0000-0000-0000CA970000}"/>
    <cellStyle name="输出 2 12 5 2 4" xfId="38813" xr:uid="{00000000-0005-0000-0000-0000CD970000}"/>
    <cellStyle name="输出 2 12 5 2 4 2" xfId="6145" xr:uid="{00000000-0005-0000-0000-000031180000}"/>
    <cellStyle name="输出 2 12 5 2 5" xfId="38818" xr:uid="{00000000-0005-0000-0000-0000D2970000}"/>
    <cellStyle name="输出 2 12 5 2 5 2" xfId="38819" xr:uid="{00000000-0005-0000-0000-0000D3970000}"/>
    <cellStyle name="输出 2 12 5 2 6" xfId="38820" xr:uid="{00000000-0005-0000-0000-0000D4970000}"/>
    <cellStyle name="输出 2 12 5 2 7" xfId="38821" xr:uid="{00000000-0005-0000-0000-0000D5970000}"/>
    <cellStyle name="输出 2 12 5 2 8" xfId="38822" xr:uid="{00000000-0005-0000-0000-0000D6970000}"/>
    <cellStyle name="输出 2 12 5 2 9" xfId="38824" xr:uid="{00000000-0005-0000-0000-0000D8970000}"/>
    <cellStyle name="输出 2 12 5 3" xfId="38827" xr:uid="{00000000-0005-0000-0000-0000DB970000}"/>
    <cellStyle name="输出 2 12 5 3 2" xfId="38828" xr:uid="{00000000-0005-0000-0000-0000DC970000}"/>
    <cellStyle name="输出 2 12 5 3 2 2" xfId="38830" xr:uid="{00000000-0005-0000-0000-0000DE970000}"/>
    <cellStyle name="输出 2 12 5 3 3" xfId="38833" xr:uid="{00000000-0005-0000-0000-0000E1970000}"/>
    <cellStyle name="输出 2 12 5 3 3 2" xfId="38835" xr:uid="{00000000-0005-0000-0000-0000E3970000}"/>
    <cellStyle name="输出 2 12 5 3 4" xfId="38837" xr:uid="{00000000-0005-0000-0000-0000E5970000}"/>
    <cellStyle name="输出 2 12 5 3 4 2" xfId="11979" xr:uid="{00000000-0005-0000-0000-0000FB2E0000}"/>
    <cellStyle name="输出 2 12 5 3 5" xfId="38841" xr:uid="{00000000-0005-0000-0000-0000E9970000}"/>
    <cellStyle name="输出 2 12 5 3 5 2" xfId="38842" xr:uid="{00000000-0005-0000-0000-0000EA970000}"/>
    <cellStyle name="输出 2 12 5 3 6" xfId="38843" xr:uid="{00000000-0005-0000-0000-0000EB970000}"/>
    <cellStyle name="输出 2 12 5 4" xfId="6902" xr:uid="{00000000-0005-0000-0000-0000261B0000}"/>
    <cellStyle name="输出 2 12 5 4 2" xfId="6907" xr:uid="{00000000-0005-0000-0000-00002B1B0000}"/>
    <cellStyle name="输出 2 12 5 4 2 2" xfId="32784" xr:uid="{00000000-0005-0000-0000-000040800000}"/>
    <cellStyle name="输出 2 12 5 4 3" xfId="38845" xr:uid="{00000000-0005-0000-0000-0000ED970000}"/>
    <cellStyle name="输出 2 12 5 4 3 2" xfId="32879" xr:uid="{00000000-0005-0000-0000-00009F800000}"/>
    <cellStyle name="输出 2 12 5 4 4" xfId="38847" xr:uid="{00000000-0005-0000-0000-0000EF970000}"/>
    <cellStyle name="输出 2 12 5 4 4 2" xfId="32909" xr:uid="{00000000-0005-0000-0000-0000BD800000}"/>
    <cellStyle name="输出 2 12 5 4 5" xfId="38848" xr:uid="{00000000-0005-0000-0000-0000F0970000}"/>
    <cellStyle name="输出 2 12 5 4 5 2" xfId="38850" xr:uid="{00000000-0005-0000-0000-0000F2970000}"/>
    <cellStyle name="输出 2 12 5 4 6" xfId="38851" xr:uid="{00000000-0005-0000-0000-0000F3970000}"/>
    <cellStyle name="输出 2 12 5 5" xfId="6912" xr:uid="{00000000-0005-0000-0000-0000301B0000}"/>
    <cellStyle name="输出 2 12 5 5 2" xfId="4989" xr:uid="{00000000-0005-0000-0000-0000AD130000}"/>
    <cellStyle name="输出 2 12 5 5 2 2" xfId="38852" xr:uid="{00000000-0005-0000-0000-0000F4970000}"/>
    <cellStyle name="输出 2 12 5 5 3" xfId="38853" xr:uid="{00000000-0005-0000-0000-0000F5970000}"/>
    <cellStyle name="输出 2 12 5 5 3 2" xfId="38854" xr:uid="{00000000-0005-0000-0000-0000F6970000}"/>
    <cellStyle name="输出 2 12 5 5 4" xfId="38855" xr:uid="{00000000-0005-0000-0000-0000F7970000}"/>
    <cellStyle name="输出 2 12 5 5 4 2" xfId="38856" xr:uid="{00000000-0005-0000-0000-0000F8970000}"/>
    <cellStyle name="输出 2 12 5 5 5" xfId="38857" xr:uid="{00000000-0005-0000-0000-0000F9970000}"/>
    <cellStyle name="输出 2 12 5 5 5 2" xfId="38859" xr:uid="{00000000-0005-0000-0000-0000FB970000}"/>
    <cellStyle name="输出 2 12 5 5 6" xfId="38860" xr:uid="{00000000-0005-0000-0000-0000FC970000}"/>
    <cellStyle name="输出 2 12 5 6" xfId="6917" xr:uid="{00000000-0005-0000-0000-0000351B0000}"/>
    <cellStyle name="输出 2 12 5 6 2" xfId="6924" xr:uid="{00000000-0005-0000-0000-00003C1B0000}"/>
    <cellStyle name="输出 2 12 5 6 2 2" xfId="11067" xr:uid="{00000000-0005-0000-0000-00006B2B0000}"/>
    <cellStyle name="输出 2 12 5 6 3" xfId="38861" xr:uid="{00000000-0005-0000-0000-0000FD970000}"/>
    <cellStyle name="输出 2 12 5 6 3 2" xfId="6248" xr:uid="{00000000-0005-0000-0000-000098180000}"/>
    <cellStyle name="输出 2 12 5 6 4" xfId="35413" xr:uid="{00000000-0005-0000-0000-0000858A0000}"/>
    <cellStyle name="输出 2 12 5 6 4 2" xfId="11075" xr:uid="{00000000-0005-0000-0000-0000732B0000}"/>
    <cellStyle name="输出 2 12 5 6 5" xfId="38862" xr:uid="{00000000-0005-0000-0000-0000FE970000}"/>
    <cellStyle name="输出 2 12 5 6 5 2" xfId="38864" xr:uid="{00000000-0005-0000-0000-000000980000}"/>
    <cellStyle name="输出 2 12 5 6 6" xfId="38865" xr:uid="{00000000-0005-0000-0000-000001980000}"/>
    <cellStyle name="输出 2 12 5 7" xfId="6932" xr:uid="{00000000-0005-0000-0000-0000441B0000}"/>
    <cellStyle name="输出 2 12 5 7 2" xfId="6942" xr:uid="{00000000-0005-0000-0000-00004E1B0000}"/>
    <cellStyle name="输出 2 12 5 7 2 2" xfId="11111" xr:uid="{00000000-0005-0000-0000-0000972B0000}"/>
    <cellStyle name="输出 2 12 5 7 3" xfId="38866" xr:uid="{00000000-0005-0000-0000-000002980000}"/>
    <cellStyle name="输出 2 12 5 7 3 2" xfId="11115" xr:uid="{00000000-0005-0000-0000-00009B2B0000}"/>
    <cellStyle name="输出 2 12 5 7 4" xfId="35416" xr:uid="{00000000-0005-0000-0000-0000888A0000}"/>
    <cellStyle name="输出 2 12 5 7 4 2" xfId="11121" xr:uid="{00000000-0005-0000-0000-0000A12B0000}"/>
    <cellStyle name="输出 2 12 5 7 5" xfId="38868" xr:uid="{00000000-0005-0000-0000-000004980000}"/>
    <cellStyle name="输出 2 12 5 7 5 2" xfId="10982" xr:uid="{00000000-0005-0000-0000-0000162B0000}"/>
    <cellStyle name="输出 2 12 5 7 6" xfId="38871" xr:uid="{00000000-0005-0000-0000-000007980000}"/>
    <cellStyle name="输出 2 12 5 8" xfId="868" xr:uid="{00000000-0005-0000-0000-000094030000}"/>
    <cellStyle name="输出 2 12 5 8 2" xfId="38872" xr:uid="{00000000-0005-0000-0000-000008980000}"/>
    <cellStyle name="输出 2 12 5 8 2 2" xfId="11136" xr:uid="{00000000-0005-0000-0000-0000B02B0000}"/>
    <cellStyle name="输出 2 12 5 8 3" xfId="38874" xr:uid="{00000000-0005-0000-0000-00000A980000}"/>
    <cellStyle name="输出 2 12 5 8 3 2" xfId="136" xr:uid="{00000000-0005-0000-0000-000093000000}"/>
    <cellStyle name="输出 2 12 5 8 4" xfId="35421" xr:uid="{00000000-0005-0000-0000-00008D8A0000}"/>
    <cellStyle name="输出 2 12 5 8 4 2" xfId="11145" xr:uid="{00000000-0005-0000-0000-0000B92B0000}"/>
    <cellStyle name="输出 2 12 5 8 5" xfId="30576" xr:uid="{00000000-0005-0000-0000-0000A0770000}"/>
    <cellStyle name="输出 2 12 5 9" xfId="6951" xr:uid="{00000000-0005-0000-0000-0000571B0000}"/>
    <cellStyle name="输出 2 12 5 9 2" xfId="38875" xr:uid="{00000000-0005-0000-0000-00000B980000}"/>
    <cellStyle name="输出 2 12 6" xfId="38877" xr:uid="{00000000-0005-0000-0000-00000D980000}"/>
    <cellStyle name="输出 2 12 6 10" xfId="14261" xr:uid="{00000000-0005-0000-0000-0000E5370000}"/>
    <cellStyle name="输出 2 12 6 10 2" xfId="38879" xr:uid="{00000000-0005-0000-0000-00000F980000}"/>
    <cellStyle name="输出 2 12 6 11" xfId="11529" xr:uid="{00000000-0005-0000-0000-0000392D0000}"/>
    <cellStyle name="输出 2 12 6 11 2" xfId="38881" xr:uid="{00000000-0005-0000-0000-000011980000}"/>
    <cellStyle name="输出 2 12 6 12" xfId="8073" xr:uid="{00000000-0005-0000-0000-0000B91F0000}"/>
    <cellStyle name="输出 2 12 6 12 2" xfId="8081" xr:uid="{00000000-0005-0000-0000-0000C11F0000}"/>
    <cellStyle name="输出 2 12 6 13" xfId="8089" xr:uid="{00000000-0005-0000-0000-0000C91F0000}"/>
    <cellStyle name="输出 2 12 6 14" xfId="8103" xr:uid="{00000000-0005-0000-0000-0000D71F0000}"/>
    <cellStyle name="输出 2 12 6 15" xfId="4679" xr:uid="{00000000-0005-0000-0000-000077120000}"/>
    <cellStyle name="输出 2 12 6 16" xfId="8118" xr:uid="{00000000-0005-0000-0000-0000E61F0000}"/>
    <cellStyle name="输出 2 12 6 2" xfId="38882" xr:uid="{00000000-0005-0000-0000-000012980000}"/>
    <cellStyle name="输出 2 12 6 2 2" xfId="30933" xr:uid="{00000000-0005-0000-0000-000005790000}"/>
    <cellStyle name="输出 2 12 6 2 2 2" xfId="30938" xr:uid="{00000000-0005-0000-0000-00000A790000}"/>
    <cellStyle name="输出 2 12 6 2 3" xfId="30943" xr:uid="{00000000-0005-0000-0000-00000F790000}"/>
    <cellStyle name="输出 2 12 6 2 3 2" xfId="30949" xr:uid="{00000000-0005-0000-0000-000015790000}"/>
    <cellStyle name="输出 2 12 6 2 4" xfId="30954" xr:uid="{00000000-0005-0000-0000-00001A790000}"/>
    <cellStyle name="输出 2 12 6 2 4 2" xfId="30956" xr:uid="{00000000-0005-0000-0000-00001C790000}"/>
    <cellStyle name="输出 2 12 6 2 5" xfId="30960" xr:uid="{00000000-0005-0000-0000-000020790000}"/>
    <cellStyle name="输出 2 12 6 2 5 2" xfId="3956" xr:uid="{00000000-0005-0000-0000-0000A40F0000}"/>
    <cellStyle name="输出 2 12 6 2 6" xfId="38884" xr:uid="{00000000-0005-0000-0000-000014980000}"/>
    <cellStyle name="输出 2 12 6 2 7" xfId="38886" xr:uid="{00000000-0005-0000-0000-000016980000}"/>
    <cellStyle name="输出 2 12 6 2 8" xfId="38888" xr:uid="{00000000-0005-0000-0000-000018980000}"/>
    <cellStyle name="输出 2 12 6 2 9" xfId="38889" xr:uid="{00000000-0005-0000-0000-000019980000}"/>
    <cellStyle name="输出 2 12 6 3" xfId="38891" xr:uid="{00000000-0005-0000-0000-00001B980000}"/>
    <cellStyle name="输出 2 12 6 3 2" xfId="30974" xr:uid="{00000000-0005-0000-0000-00002E790000}"/>
    <cellStyle name="输出 2 12 6 3 2 2" xfId="30975" xr:uid="{00000000-0005-0000-0000-00002F790000}"/>
    <cellStyle name="输出 2 12 6 3 3" xfId="30978" xr:uid="{00000000-0005-0000-0000-000032790000}"/>
    <cellStyle name="输出 2 12 6 3 3 2" xfId="30982" xr:uid="{00000000-0005-0000-0000-000036790000}"/>
    <cellStyle name="输出 2 12 6 3 4" xfId="30989" xr:uid="{00000000-0005-0000-0000-00003D790000}"/>
    <cellStyle name="输出 2 12 6 3 4 2" xfId="37403" xr:uid="{00000000-0005-0000-0000-00004B920000}"/>
    <cellStyle name="输出 2 12 6 3 5" xfId="37408" xr:uid="{00000000-0005-0000-0000-000050920000}"/>
    <cellStyle name="输出 2 12 6 3 5 2" xfId="37409" xr:uid="{00000000-0005-0000-0000-000051920000}"/>
    <cellStyle name="输出 2 12 6 3 6" xfId="37412" xr:uid="{00000000-0005-0000-0000-000054920000}"/>
    <cellStyle name="输出 2 12 6 4" xfId="6974" xr:uid="{00000000-0005-0000-0000-00006E1B0000}"/>
    <cellStyle name="输出 2 12 6 4 2" xfId="2717" xr:uid="{00000000-0005-0000-0000-0000CD0A0000}"/>
    <cellStyle name="输出 2 12 6 4 2 2" xfId="38893" xr:uid="{00000000-0005-0000-0000-00001D980000}"/>
    <cellStyle name="输出 2 12 6 4 3" xfId="38895" xr:uid="{00000000-0005-0000-0000-00001F980000}"/>
    <cellStyle name="输出 2 12 6 4 3 2" xfId="37751" xr:uid="{00000000-0005-0000-0000-0000A7930000}"/>
    <cellStyle name="输出 2 12 6 4 4" xfId="38896" xr:uid="{00000000-0005-0000-0000-000020980000}"/>
    <cellStyle name="输出 2 12 6 4 4 2" xfId="37764" xr:uid="{00000000-0005-0000-0000-0000B4930000}"/>
    <cellStyle name="输出 2 12 6 4 5" xfId="38897" xr:uid="{00000000-0005-0000-0000-000021980000}"/>
    <cellStyle name="输出 2 12 6 4 5 2" xfId="37774" xr:uid="{00000000-0005-0000-0000-0000BE930000}"/>
    <cellStyle name="输出 2 12 6 4 6" xfId="38899" xr:uid="{00000000-0005-0000-0000-000023980000}"/>
    <cellStyle name="输出 2 12 6 5" xfId="6978" xr:uid="{00000000-0005-0000-0000-0000721B0000}"/>
    <cellStyle name="输出 2 12 6 5 2" xfId="2790" xr:uid="{00000000-0005-0000-0000-0000160B0000}"/>
    <cellStyle name="输出 2 12 6 5 2 2" xfId="38901" xr:uid="{00000000-0005-0000-0000-000025980000}"/>
    <cellStyle name="输出 2 12 6 5 3" xfId="38902" xr:uid="{00000000-0005-0000-0000-000026980000}"/>
    <cellStyle name="输出 2 12 6 5 3 2" xfId="37850" xr:uid="{00000000-0005-0000-0000-00000A940000}"/>
    <cellStyle name="输出 2 12 6 5 4" xfId="38903" xr:uid="{00000000-0005-0000-0000-000027980000}"/>
    <cellStyle name="输出 2 12 6 5 4 2" xfId="37867" xr:uid="{00000000-0005-0000-0000-00001B940000}"/>
    <cellStyle name="输出 2 12 6 5 5" xfId="38904" xr:uid="{00000000-0005-0000-0000-000028980000}"/>
    <cellStyle name="输出 2 12 6 5 5 2" xfId="37881" xr:uid="{00000000-0005-0000-0000-000029940000}"/>
    <cellStyle name="输出 2 12 6 5 6" xfId="38906" xr:uid="{00000000-0005-0000-0000-00002A980000}"/>
    <cellStyle name="输出 2 12 6 6" xfId="6984" xr:uid="{00000000-0005-0000-0000-0000781B0000}"/>
    <cellStyle name="输出 2 12 6 6 2" xfId="6990" xr:uid="{00000000-0005-0000-0000-00007E1B0000}"/>
    <cellStyle name="输出 2 12 6 6 2 2" xfId="11264" xr:uid="{00000000-0005-0000-0000-0000302C0000}"/>
    <cellStyle name="输出 2 12 6 6 3" xfId="38907" xr:uid="{00000000-0005-0000-0000-00002B980000}"/>
    <cellStyle name="输出 2 12 6 6 3 2" xfId="11272" xr:uid="{00000000-0005-0000-0000-0000382C0000}"/>
    <cellStyle name="输出 2 12 6 6 4" xfId="35431" xr:uid="{00000000-0005-0000-0000-0000978A0000}"/>
    <cellStyle name="输出 2 12 6 6 4 2" xfId="7688" xr:uid="{00000000-0005-0000-0000-0000381E0000}"/>
    <cellStyle name="输出 2 12 6 6 5" xfId="38908" xr:uid="{00000000-0005-0000-0000-00002C980000}"/>
    <cellStyle name="输出 2 12 6 6 5 2" xfId="7946" xr:uid="{00000000-0005-0000-0000-00003A1F0000}"/>
    <cellStyle name="输出 2 12 6 6 6" xfId="38910" xr:uid="{00000000-0005-0000-0000-00002E980000}"/>
    <cellStyle name="输出 2 12 6 7" xfId="6995" xr:uid="{00000000-0005-0000-0000-0000831B0000}"/>
    <cellStyle name="输出 2 12 6 7 2" xfId="7006" xr:uid="{00000000-0005-0000-0000-00008E1B0000}"/>
    <cellStyle name="输出 2 12 6 7 2 2" xfId="11290" xr:uid="{00000000-0005-0000-0000-00004A2C0000}"/>
    <cellStyle name="输出 2 12 6 7 3" xfId="38911" xr:uid="{00000000-0005-0000-0000-00002F980000}"/>
    <cellStyle name="输出 2 12 6 7 3 2" xfId="11303" xr:uid="{00000000-0005-0000-0000-0000572C0000}"/>
    <cellStyle name="输出 2 12 6 7 4" xfId="35434" xr:uid="{00000000-0005-0000-0000-00009A8A0000}"/>
    <cellStyle name="输出 2 12 6 7 4 2" xfId="9816" xr:uid="{00000000-0005-0000-0000-000088260000}"/>
    <cellStyle name="输出 2 12 6 7 5" xfId="38913" xr:uid="{00000000-0005-0000-0000-000031980000}"/>
    <cellStyle name="输出 2 12 6 7 5 2" xfId="7731" xr:uid="{00000000-0005-0000-0000-0000631E0000}"/>
    <cellStyle name="输出 2 12 6 7 6" xfId="38916" xr:uid="{00000000-0005-0000-0000-000034980000}"/>
    <cellStyle name="输出 2 12 6 8" xfId="7016" xr:uid="{00000000-0005-0000-0000-0000981B0000}"/>
    <cellStyle name="输出 2 12 6 8 2" xfId="38917" xr:uid="{00000000-0005-0000-0000-000035980000}"/>
    <cellStyle name="输出 2 12 6 8 2 2" xfId="11339" xr:uid="{00000000-0005-0000-0000-00007B2C0000}"/>
    <cellStyle name="输出 2 12 6 8 3" xfId="37472" xr:uid="{00000000-0005-0000-0000-000090920000}"/>
    <cellStyle name="输出 2 12 6 8 3 2" xfId="11357" xr:uid="{00000000-0005-0000-0000-00008D2C0000}"/>
    <cellStyle name="输出 2 12 6 8 4" xfId="35438" xr:uid="{00000000-0005-0000-0000-00009E8A0000}"/>
    <cellStyle name="输出 2 12 6 8 4 2" xfId="11372" xr:uid="{00000000-0005-0000-0000-00009C2C0000}"/>
    <cellStyle name="输出 2 12 6 8 5" xfId="30588" xr:uid="{00000000-0005-0000-0000-0000AC770000}"/>
    <cellStyle name="输出 2 12 6 9" xfId="38919" xr:uid="{00000000-0005-0000-0000-000037980000}"/>
    <cellStyle name="输出 2 12 6 9 2" xfId="38920" xr:uid="{00000000-0005-0000-0000-000038980000}"/>
    <cellStyle name="输出 2 12 7" xfId="38922" xr:uid="{00000000-0005-0000-0000-00003A980000}"/>
    <cellStyle name="输出 2 12 7 10" xfId="11805" xr:uid="{00000000-0005-0000-0000-00004D2E0000}"/>
    <cellStyle name="输出 2 12 7 10 2" xfId="16270" xr:uid="{00000000-0005-0000-0000-0000BE3F0000}"/>
    <cellStyle name="输出 2 12 7 11" xfId="8429" xr:uid="{00000000-0005-0000-0000-00001D210000}"/>
    <cellStyle name="输出 2 12 7 11 2" xfId="12376" xr:uid="{00000000-0005-0000-0000-000088300000}"/>
    <cellStyle name="输出 2 12 7 12" xfId="10868" xr:uid="{00000000-0005-0000-0000-0000A42A0000}"/>
    <cellStyle name="输出 2 12 7 12 2" xfId="12383" xr:uid="{00000000-0005-0000-0000-00008F300000}"/>
    <cellStyle name="输出 2 12 7 13" xfId="12388" xr:uid="{00000000-0005-0000-0000-000094300000}"/>
    <cellStyle name="输出 2 12 7 14" xfId="38923" xr:uid="{00000000-0005-0000-0000-00003B980000}"/>
    <cellStyle name="输出 2 12 7 15" xfId="38925" xr:uid="{00000000-0005-0000-0000-00003D980000}"/>
    <cellStyle name="输出 2 12 7 16" xfId="1002" xr:uid="{00000000-0005-0000-0000-00001A040000}"/>
    <cellStyle name="输出 2 12 7 2" xfId="38926" xr:uid="{00000000-0005-0000-0000-00003E980000}"/>
    <cellStyle name="输出 2 12 7 2 2" xfId="18421" xr:uid="{00000000-0005-0000-0000-000025480000}"/>
    <cellStyle name="输出 2 12 7 2 2 2" xfId="18427" xr:uid="{00000000-0005-0000-0000-00002B480000}"/>
    <cellStyle name="输出 2 12 7 2 3" xfId="31106" xr:uid="{00000000-0005-0000-0000-0000B2790000}"/>
    <cellStyle name="输出 2 12 7 2 3 2" xfId="18473" xr:uid="{00000000-0005-0000-0000-000059480000}"/>
    <cellStyle name="输出 2 12 7 2 4" xfId="31110" xr:uid="{00000000-0005-0000-0000-0000B6790000}"/>
    <cellStyle name="输出 2 12 7 2 4 2" xfId="18507" xr:uid="{00000000-0005-0000-0000-00007B480000}"/>
    <cellStyle name="输出 2 12 7 2 5" xfId="31112" xr:uid="{00000000-0005-0000-0000-0000B8790000}"/>
    <cellStyle name="输出 2 12 7 2 5 2" xfId="32504" xr:uid="{00000000-0005-0000-0000-0000287F0000}"/>
    <cellStyle name="输出 2 12 7 2 6" xfId="38927" xr:uid="{00000000-0005-0000-0000-00003F980000}"/>
    <cellStyle name="输出 2 12 7 2 7" xfId="38928" xr:uid="{00000000-0005-0000-0000-000040980000}"/>
    <cellStyle name="输出 2 12 7 2 8" xfId="28481" xr:uid="{00000000-0005-0000-0000-0000716F0000}"/>
    <cellStyle name="输出 2 12 7 2 9" xfId="19424" xr:uid="{00000000-0005-0000-0000-0000104C0000}"/>
    <cellStyle name="输出 2 12 7 3" xfId="38929" xr:uid="{00000000-0005-0000-0000-000041980000}"/>
    <cellStyle name="输出 2 12 7 3 2" xfId="31120" xr:uid="{00000000-0005-0000-0000-0000C0790000}"/>
    <cellStyle name="输出 2 12 7 3 2 2" xfId="18744" xr:uid="{00000000-0005-0000-0000-000068490000}"/>
    <cellStyle name="输出 2 12 7 3 3" xfId="31121" xr:uid="{00000000-0005-0000-0000-0000C1790000}"/>
    <cellStyle name="输出 2 12 7 3 3 2" xfId="18791" xr:uid="{00000000-0005-0000-0000-000097490000}"/>
    <cellStyle name="输出 2 12 7 3 4" xfId="31125" xr:uid="{00000000-0005-0000-0000-0000C5790000}"/>
    <cellStyle name="输出 2 12 7 3 4 2" xfId="18810" xr:uid="{00000000-0005-0000-0000-0000AA490000}"/>
    <cellStyle name="输出 2 12 7 3 5" xfId="38931" xr:uid="{00000000-0005-0000-0000-000043980000}"/>
    <cellStyle name="输出 2 12 7 3 5 2" xfId="38271" xr:uid="{00000000-0005-0000-0000-0000AF950000}"/>
    <cellStyle name="输出 2 12 7 3 6" xfId="38932" xr:uid="{00000000-0005-0000-0000-000044980000}"/>
    <cellStyle name="输出 2 12 7 4" xfId="7029" xr:uid="{00000000-0005-0000-0000-0000A51B0000}"/>
    <cellStyle name="输出 2 12 7 4 2" xfId="1240" xr:uid="{00000000-0005-0000-0000-000008050000}"/>
    <cellStyle name="输出 2 12 7 4 2 2" xfId="38934" xr:uid="{00000000-0005-0000-0000-000046980000}"/>
    <cellStyle name="输出 2 12 7 4 3" xfId="38936" xr:uid="{00000000-0005-0000-0000-000048980000}"/>
    <cellStyle name="输出 2 12 7 4 3 2" xfId="38341" xr:uid="{00000000-0005-0000-0000-0000F5950000}"/>
    <cellStyle name="输出 2 12 7 4 4" xfId="38937" xr:uid="{00000000-0005-0000-0000-000049980000}"/>
    <cellStyle name="输出 2 12 7 4 4 2" xfId="38350" xr:uid="{00000000-0005-0000-0000-0000FE950000}"/>
    <cellStyle name="输出 2 12 7 4 5" xfId="38938" xr:uid="{00000000-0005-0000-0000-00004A980000}"/>
    <cellStyle name="输出 2 12 7 4 5 2" xfId="38358" xr:uid="{00000000-0005-0000-0000-000006960000}"/>
    <cellStyle name="输出 2 12 7 4 6" xfId="38940" xr:uid="{00000000-0005-0000-0000-00004C980000}"/>
    <cellStyle name="输出 2 12 7 5" xfId="7031" xr:uid="{00000000-0005-0000-0000-0000A71B0000}"/>
    <cellStyle name="输出 2 12 7 5 2" xfId="3083" xr:uid="{00000000-0005-0000-0000-00003B0C0000}"/>
    <cellStyle name="输出 2 12 7 5 2 2" xfId="38943" xr:uid="{00000000-0005-0000-0000-00004F980000}"/>
    <cellStyle name="输出 2 12 7 5 3" xfId="38944" xr:uid="{00000000-0005-0000-0000-000050980000}"/>
    <cellStyle name="输出 2 12 7 5 3 2" xfId="38425" xr:uid="{00000000-0005-0000-0000-000049960000}"/>
    <cellStyle name="输出 2 12 7 5 4" xfId="38945" xr:uid="{00000000-0005-0000-0000-000051980000}"/>
    <cellStyle name="输出 2 12 7 5 4 2" xfId="38440" xr:uid="{00000000-0005-0000-0000-000058960000}"/>
    <cellStyle name="输出 2 12 7 5 5" xfId="38946" xr:uid="{00000000-0005-0000-0000-000052980000}"/>
    <cellStyle name="输出 2 12 7 5 5 2" xfId="38453" xr:uid="{00000000-0005-0000-0000-000065960000}"/>
    <cellStyle name="输出 2 12 7 5 6" xfId="38948" xr:uid="{00000000-0005-0000-0000-000054980000}"/>
    <cellStyle name="输出 2 12 7 6" xfId="7036" xr:uid="{00000000-0005-0000-0000-0000AC1B0000}"/>
    <cellStyle name="输出 2 12 7 6 2" xfId="7046" xr:uid="{00000000-0005-0000-0000-0000B61B0000}"/>
    <cellStyle name="输出 2 12 7 6 2 2" xfId="29711" xr:uid="{00000000-0005-0000-0000-00003F740000}"/>
    <cellStyle name="输出 2 12 7 6 3" xfId="38949" xr:uid="{00000000-0005-0000-0000-000055980000}"/>
    <cellStyle name="输出 2 12 7 6 3 2" xfId="29735" xr:uid="{00000000-0005-0000-0000-000057740000}"/>
    <cellStyle name="输出 2 12 7 6 4" xfId="35447" xr:uid="{00000000-0005-0000-0000-0000A78A0000}"/>
    <cellStyle name="输出 2 12 7 6 4 2" xfId="29769" xr:uid="{00000000-0005-0000-0000-000079740000}"/>
    <cellStyle name="输出 2 12 7 6 5" xfId="38950" xr:uid="{00000000-0005-0000-0000-000056980000}"/>
    <cellStyle name="输出 2 12 7 6 5 2" xfId="32965" xr:uid="{00000000-0005-0000-0000-0000F5800000}"/>
    <cellStyle name="输出 2 12 7 6 6" xfId="14352" xr:uid="{00000000-0005-0000-0000-000040380000}"/>
    <cellStyle name="输出 2 12 7 7" xfId="7056" xr:uid="{00000000-0005-0000-0000-0000C01B0000}"/>
    <cellStyle name="输出 2 12 7 7 2" xfId="7065" xr:uid="{00000000-0005-0000-0000-0000C91B0000}"/>
    <cellStyle name="输出 2 12 7 7 2 2" xfId="2159" xr:uid="{00000000-0005-0000-0000-00009F080000}"/>
    <cellStyle name="输出 2 12 7 7 3" xfId="38952" xr:uid="{00000000-0005-0000-0000-000058980000}"/>
    <cellStyle name="输出 2 12 7 7 3 2" xfId="12570" xr:uid="{00000000-0005-0000-0000-00004A310000}"/>
    <cellStyle name="输出 2 12 7 7 4" xfId="35450" xr:uid="{00000000-0005-0000-0000-0000AA8A0000}"/>
    <cellStyle name="输出 2 12 7 7 4 2" xfId="15511" xr:uid="{00000000-0005-0000-0000-0000C73C0000}"/>
    <cellStyle name="输出 2 12 7 7 5" xfId="38954" xr:uid="{00000000-0005-0000-0000-00005A980000}"/>
    <cellStyle name="输出 2 12 7 7 5 2" xfId="15519" xr:uid="{00000000-0005-0000-0000-0000CF3C0000}"/>
    <cellStyle name="输出 2 12 7 7 6" xfId="38957" xr:uid="{00000000-0005-0000-0000-00005D980000}"/>
    <cellStyle name="输出 2 12 7 8" xfId="7079" xr:uid="{00000000-0005-0000-0000-0000D71B0000}"/>
    <cellStyle name="输出 2 12 7 8 2" xfId="38958" xr:uid="{00000000-0005-0000-0000-00005E980000}"/>
    <cellStyle name="输出 2 12 7 8 2 2" xfId="955" xr:uid="{00000000-0005-0000-0000-0000EB030000}"/>
    <cellStyle name="输出 2 12 7 8 3" xfId="38960" xr:uid="{00000000-0005-0000-0000-000060980000}"/>
    <cellStyle name="输出 2 12 7 8 3 2" xfId="149" xr:uid="{00000000-0005-0000-0000-0000A2000000}"/>
    <cellStyle name="输出 2 12 7 8 4" xfId="35454" xr:uid="{00000000-0005-0000-0000-0000AE8A0000}"/>
    <cellStyle name="输出 2 12 7 8 4 2" xfId="15531" xr:uid="{00000000-0005-0000-0000-0000DB3C0000}"/>
    <cellStyle name="输出 2 12 7 8 5" xfId="30603" xr:uid="{00000000-0005-0000-0000-0000BB770000}"/>
    <cellStyle name="输出 2 12 7 9" xfId="38961" xr:uid="{00000000-0005-0000-0000-000061980000}"/>
    <cellStyle name="输出 2 12 7 9 2" xfId="38962" xr:uid="{00000000-0005-0000-0000-000062980000}"/>
    <cellStyle name="输出 2 12 8" xfId="31376" xr:uid="{00000000-0005-0000-0000-0000C07A0000}"/>
    <cellStyle name="输出 2 12 8 10" xfId="38964" xr:uid="{00000000-0005-0000-0000-000064980000}"/>
    <cellStyle name="输出 2 12 8 10 2" xfId="16974" xr:uid="{00000000-0005-0000-0000-00007E420000}"/>
    <cellStyle name="输出 2 12 8 11" xfId="29363" xr:uid="{00000000-0005-0000-0000-0000E3720000}"/>
    <cellStyle name="输出 2 12 8 11 2" xfId="16997" xr:uid="{00000000-0005-0000-0000-000095420000}"/>
    <cellStyle name="输出 2 12 8 12" xfId="38965" xr:uid="{00000000-0005-0000-0000-000065980000}"/>
    <cellStyle name="输出 2 12 8 12 2" xfId="17008" xr:uid="{00000000-0005-0000-0000-0000A0420000}"/>
    <cellStyle name="输出 2 12 8 13" xfId="18209" xr:uid="{00000000-0005-0000-0000-000051470000}"/>
    <cellStyle name="输出 2 12 8 14" xfId="185" xr:uid="{00000000-0005-0000-0000-0000C8000000}"/>
    <cellStyle name="输出 2 12 8 15" xfId="18214" xr:uid="{00000000-0005-0000-0000-000056470000}"/>
    <cellStyle name="输出 2 12 8 16" xfId="16240" xr:uid="{00000000-0005-0000-0000-0000A03F0000}"/>
    <cellStyle name="输出 2 12 8 2" xfId="31379" xr:uid="{00000000-0005-0000-0000-0000C37A0000}"/>
    <cellStyle name="输出 2 12 8 2 2" xfId="31280" xr:uid="{00000000-0005-0000-0000-0000607A0000}"/>
    <cellStyle name="输出 2 12 8 2 2 2" xfId="31284" xr:uid="{00000000-0005-0000-0000-0000647A0000}"/>
    <cellStyle name="输出 2 12 8 2 3" xfId="15692" xr:uid="{00000000-0005-0000-0000-00007C3D0000}"/>
    <cellStyle name="输出 2 12 8 2 3 2" xfId="31290" xr:uid="{00000000-0005-0000-0000-00006A7A0000}"/>
    <cellStyle name="输出 2 12 8 2 4" xfId="31294" xr:uid="{00000000-0005-0000-0000-00006E7A0000}"/>
    <cellStyle name="输出 2 12 8 2 4 2" xfId="31298" xr:uid="{00000000-0005-0000-0000-0000727A0000}"/>
    <cellStyle name="输出 2 12 8 2 5" xfId="31299" xr:uid="{00000000-0005-0000-0000-0000737A0000}"/>
    <cellStyle name="输出 2 12 8 2 5 2" xfId="38731" xr:uid="{00000000-0005-0000-0000-00007B970000}"/>
    <cellStyle name="输出 2 12 8 2 6" xfId="38966" xr:uid="{00000000-0005-0000-0000-000066980000}"/>
    <cellStyle name="输出 2 12 8 2 7" xfId="38967" xr:uid="{00000000-0005-0000-0000-000067980000}"/>
    <cellStyle name="输出 2 12 8 2 8" xfId="28493" xr:uid="{00000000-0005-0000-0000-00007D6F0000}"/>
    <cellStyle name="输出 2 12 8 2 9" xfId="19451" xr:uid="{00000000-0005-0000-0000-00002B4C0000}"/>
    <cellStyle name="输出 2 12 8 3" xfId="38968" xr:uid="{00000000-0005-0000-0000-000068980000}"/>
    <cellStyle name="输出 2 12 8 3 2" xfId="31312" xr:uid="{00000000-0005-0000-0000-0000807A0000}"/>
    <cellStyle name="输出 2 12 8 3 2 2" xfId="31313" xr:uid="{00000000-0005-0000-0000-0000817A0000}"/>
    <cellStyle name="输出 2 12 8 3 3" xfId="15708" xr:uid="{00000000-0005-0000-0000-00008C3D0000}"/>
    <cellStyle name="输出 2 12 8 3 3 2" xfId="31316" xr:uid="{00000000-0005-0000-0000-0000847A0000}"/>
    <cellStyle name="输出 2 12 8 3 4" xfId="31321" xr:uid="{00000000-0005-0000-0000-0000897A0000}"/>
    <cellStyle name="输出 2 12 8 3 4 2" xfId="38773" xr:uid="{00000000-0005-0000-0000-0000A5970000}"/>
    <cellStyle name="输出 2 12 8 3 5" xfId="38970" xr:uid="{00000000-0005-0000-0000-00006A980000}"/>
    <cellStyle name="输出 2 12 8 3 5 2" xfId="6221" xr:uid="{00000000-0005-0000-0000-00007D180000}"/>
    <cellStyle name="输出 2 12 8 3 6" xfId="38971" xr:uid="{00000000-0005-0000-0000-00006B980000}"/>
    <cellStyle name="输出 2 12 8 4" xfId="7111" xr:uid="{00000000-0005-0000-0000-0000F71B0000}"/>
    <cellStyle name="输出 2 12 8 4 2" xfId="7113" xr:uid="{00000000-0005-0000-0000-0000F91B0000}"/>
    <cellStyle name="输出 2 12 8 4 2 2" xfId="38973" xr:uid="{00000000-0005-0000-0000-00006D980000}"/>
    <cellStyle name="输出 2 12 8 4 3" xfId="38974" xr:uid="{00000000-0005-0000-0000-00006E980000}"/>
    <cellStyle name="输出 2 12 8 4 3 2" xfId="38785" xr:uid="{00000000-0005-0000-0000-0000B1970000}"/>
    <cellStyle name="输出 2 12 8 4 4" xfId="38975" xr:uid="{00000000-0005-0000-0000-00006F980000}"/>
    <cellStyle name="输出 2 12 8 4 4 2" xfId="13377" xr:uid="{00000000-0005-0000-0000-000071340000}"/>
    <cellStyle name="输出 2 12 8 4 5" xfId="38976" xr:uid="{00000000-0005-0000-0000-000070980000}"/>
    <cellStyle name="输出 2 12 8 4 5 2" xfId="6595" xr:uid="{00000000-0005-0000-0000-0000F3190000}"/>
    <cellStyle name="输出 2 12 8 4 6" xfId="38978" xr:uid="{00000000-0005-0000-0000-000072980000}"/>
    <cellStyle name="输出 2 12 8 5" xfId="6625" xr:uid="{00000000-0005-0000-0000-0000111A0000}"/>
    <cellStyle name="输出 2 12 8 5 2" xfId="7118" xr:uid="{00000000-0005-0000-0000-0000FE1B0000}"/>
    <cellStyle name="输出 2 12 8 5 2 2" xfId="38981" xr:uid="{00000000-0005-0000-0000-000075980000}"/>
    <cellStyle name="输出 2 12 8 5 3" xfId="38982" xr:uid="{00000000-0005-0000-0000-000076980000}"/>
    <cellStyle name="输出 2 12 8 5 3 2" xfId="38808" xr:uid="{00000000-0005-0000-0000-0000C8970000}"/>
    <cellStyle name="输出 2 12 8 5 4" xfId="38983" xr:uid="{00000000-0005-0000-0000-000077980000}"/>
    <cellStyle name="输出 2 12 8 5 4 2" xfId="38832" xr:uid="{00000000-0005-0000-0000-0000E0970000}"/>
    <cellStyle name="输出 2 12 8 5 5" xfId="38984" xr:uid="{00000000-0005-0000-0000-000078980000}"/>
    <cellStyle name="输出 2 12 8 5 5 2" xfId="38844" xr:uid="{00000000-0005-0000-0000-0000EC970000}"/>
    <cellStyle name="输出 2 12 8 5 6" xfId="38986" xr:uid="{00000000-0005-0000-0000-00007A980000}"/>
    <cellStyle name="输出 2 12 8 6" xfId="7123" xr:uid="{00000000-0005-0000-0000-0000031C0000}"/>
    <cellStyle name="输出 2 12 8 6 2" xfId="2043" xr:uid="{00000000-0005-0000-0000-00002B080000}"/>
    <cellStyle name="输出 2 12 8 6 2 2" xfId="30910" xr:uid="{00000000-0005-0000-0000-0000EE780000}"/>
    <cellStyle name="输出 2 12 8 6 3" xfId="38987" xr:uid="{00000000-0005-0000-0000-00007B980000}"/>
    <cellStyle name="输出 2 12 8 6 3 2" xfId="30941" xr:uid="{00000000-0005-0000-0000-00000D790000}"/>
    <cellStyle name="输出 2 12 8 6 4" xfId="35462" xr:uid="{00000000-0005-0000-0000-0000B68A0000}"/>
    <cellStyle name="输出 2 12 8 6 4 2" xfId="30981" xr:uid="{00000000-0005-0000-0000-000035790000}"/>
    <cellStyle name="输出 2 12 8 6 5" xfId="38988" xr:uid="{00000000-0005-0000-0000-00007C980000}"/>
    <cellStyle name="输出 2 12 8 6 5 2" xfId="38894" xr:uid="{00000000-0005-0000-0000-00001E980000}"/>
    <cellStyle name="输出 2 12 8 6 6" xfId="38990" xr:uid="{00000000-0005-0000-0000-00007E980000}"/>
    <cellStyle name="输出 2 12 8 7" xfId="7129" xr:uid="{00000000-0005-0000-0000-0000091C0000}"/>
    <cellStyle name="输出 2 12 8 7 2" xfId="7133" xr:uid="{00000000-0005-0000-0000-00000D1C0000}"/>
    <cellStyle name="输出 2 12 8 7 2 2" xfId="31091" xr:uid="{00000000-0005-0000-0000-0000A3790000}"/>
    <cellStyle name="输出 2 12 8 7 3" xfId="38991" xr:uid="{00000000-0005-0000-0000-00007F980000}"/>
    <cellStyle name="输出 2 12 8 7 3 2" xfId="31105" xr:uid="{00000000-0005-0000-0000-0000B1790000}"/>
    <cellStyle name="输出 2 12 8 7 4" xfId="35465" xr:uid="{00000000-0005-0000-0000-0000B98A0000}"/>
    <cellStyle name="输出 2 12 8 7 4 2" xfId="31123" xr:uid="{00000000-0005-0000-0000-0000C3790000}"/>
    <cellStyle name="输出 2 12 8 7 5" xfId="38992" xr:uid="{00000000-0005-0000-0000-000080980000}"/>
    <cellStyle name="输出 2 12 8 7 5 2" xfId="38935" xr:uid="{00000000-0005-0000-0000-000047980000}"/>
    <cellStyle name="输出 2 12 8 7 6" xfId="38994" xr:uid="{00000000-0005-0000-0000-000082980000}"/>
    <cellStyle name="输出 2 12 8 8" xfId="2230" xr:uid="{00000000-0005-0000-0000-0000E6080000}"/>
    <cellStyle name="输出 2 12 8 8 2" xfId="13496" xr:uid="{00000000-0005-0000-0000-0000E8340000}"/>
    <cellStyle name="输出 2 12 8 8 2 2" xfId="15679" xr:uid="{00000000-0005-0000-0000-00006F3D0000}"/>
    <cellStyle name="输出 2 12 8 8 3" xfId="15682" xr:uid="{00000000-0005-0000-0000-0000723D0000}"/>
    <cellStyle name="输出 2 12 8 8 3 2" xfId="15693" xr:uid="{00000000-0005-0000-0000-00007D3D0000}"/>
    <cellStyle name="输出 2 12 8 8 4" xfId="15699" xr:uid="{00000000-0005-0000-0000-0000833D0000}"/>
    <cellStyle name="输出 2 12 8 8 4 2" xfId="15705" xr:uid="{00000000-0005-0000-0000-0000893D0000}"/>
    <cellStyle name="输出 2 12 8 8 5" xfId="14130" xr:uid="{00000000-0005-0000-0000-000062370000}"/>
    <cellStyle name="输出 2 12 8 9" xfId="38995" xr:uid="{00000000-0005-0000-0000-000083980000}"/>
    <cellStyle name="输出 2 12 8 9 2" xfId="38996" xr:uid="{00000000-0005-0000-0000-000084980000}"/>
    <cellStyle name="输出 2 12 9" xfId="24815" xr:uid="{00000000-0005-0000-0000-00001F610000}"/>
    <cellStyle name="输出 2 12 9 10" xfId="35832" xr:uid="{00000000-0005-0000-0000-0000288C0000}"/>
    <cellStyle name="输出 2 12 9 10 2" xfId="35835" xr:uid="{00000000-0005-0000-0000-00002B8C0000}"/>
    <cellStyle name="输出 2 12 9 11" xfId="35849" xr:uid="{00000000-0005-0000-0000-0000398C0000}"/>
    <cellStyle name="输出 2 12 9 11 2" xfId="35851" xr:uid="{00000000-0005-0000-0000-00003B8C0000}"/>
    <cellStyle name="输出 2 12 9 12" xfId="35861" xr:uid="{00000000-0005-0000-0000-0000458C0000}"/>
    <cellStyle name="输出 2 12 9 12 2" xfId="35864" xr:uid="{00000000-0005-0000-0000-0000488C0000}"/>
    <cellStyle name="输出 2 12 9 13" xfId="18433" xr:uid="{00000000-0005-0000-0000-000031480000}"/>
    <cellStyle name="输出 2 12 9 14" xfId="18443" xr:uid="{00000000-0005-0000-0000-00003B480000}"/>
    <cellStyle name="输出 2 12 9 15" xfId="18448" xr:uid="{00000000-0005-0000-0000-000040480000}"/>
    <cellStyle name="输出 2 12 9 16" xfId="10670" xr:uid="{00000000-0005-0000-0000-0000DE290000}"/>
    <cellStyle name="输出 2 12 9 2" xfId="26183" xr:uid="{00000000-0005-0000-0000-000077660000}"/>
    <cellStyle name="输出 2 12 9 2 2" xfId="31479" xr:uid="{00000000-0005-0000-0000-0000277B0000}"/>
    <cellStyle name="输出 2 12 9 2 2 2" xfId="31481" xr:uid="{00000000-0005-0000-0000-0000297B0000}"/>
    <cellStyle name="输出 2 12 9 2 3" xfId="31487" xr:uid="{00000000-0005-0000-0000-00002F7B0000}"/>
    <cellStyle name="输出 2 12 9 2 3 2" xfId="31489" xr:uid="{00000000-0005-0000-0000-0000317B0000}"/>
    <cellStyle name="输出 2 12 9 2 4" xfId="31495" xr:uid="{00000000-0005-0000-0000-0000377B0000}"/>
    <cellStyle name="输出 2 12 9 2 4 2" xfId="31498" xr:uid="{00000000-0005-0000-0000-00003A7B0000}"/>
    <cellStyle name="输出 2 12 9 2 5" xfId="31499" xr:uid="{00000000-0005-0000-0000-00003B7B0000}"/>
    <cellStyle name="输出 2 12 9 2 5 2" xfId="38997" xr:uid="{00000000-0005-0000-0000-000085980000}"/>
    <cellStyle name="输出 2 12 9 2 6" xfId="38998" xr:uid="{00000000-0005-0000-0000-000086980000}"/>
    <cellStyle name="输出 2 12 9 3" xfId="38999" xr:uid="{00000000-0005-0000-0000-000087980000}"/>
    <cellStyle name="输出 2 12 9 3 2" xfId="20972" xr:uid="{00000000-0005-0000-0000-00001C520000}"/>
    <cellStyle name="输出 2 12 9 3 2 2" xfId="20977" xr:uid="{00000000-0005-0000-0000-000021520000}"/>
    <cellStyle name="输出 2 12 9 3 3" xfId="15748" xr:uid="{00000000-0005-0000-0000-0000B43D0000}"/>
    <cellStyle name="输出 2 12 9 3 3 2" xfId="20983" xr:uid="{00000000-0005-0000-0000-000027520000}"/>
    <cellStyle name="输出 2 12 9 3 4" xfId="20990" xr:uid="{00000000-0005-0000-0000-00002E520000}"/>
    <cellStyle name="输出 2 12 9 3 4 2" xfId="20995" xr:uid="{00000000-0005-0000-0000-000033520000}"/>
    <cellStyle name="输出 2 12 9 3 5" xfId="18882" xr:uid="{00000000-0005-0000-0000-0000F2490000}"/>
    <cellStyle name="输出 2 12 9 3 5 2" xfId="39001" xr:uid="{00000000-0005-0000-0000-000089980000}"/>
    <cellStyle name="输出 2 12 9 3 6" xfId="26305" xr:uid="{00000000-0005-0000-0000-0000F1660000}"/>
    <cellStyle name="输出 2 12 9 4" xfId="7148" xr:uid="{00000000-0005-0000-0000-00001C1C0000}"/>
    <cellStyle name="输出 2 12 9 4 2" xfId="1406" xr:uid="{00000000-0005-0000-0000-0000AE050000}"/>
    <cellStyle name="输出 2 12 9 4 2 2" xfId="17318" xr:uid="{00000000-0005-0000-0000-0000D6430000}"/>
    <cellStyle name="输出 2 12 9 4 3" xfId="39002" xr:uid="{00000000-0005-0000-0000-00008A980000}"/>
    <cellStyle name="输出 2 12 9 4 3 2" xfId="39004" xr:uid="{00000000-0005-0000-0000-00008C980000}"/>
    <cellStyle name="输出 2 12 9 4 4" xfId="39005" xr:uid="{00000000-0005-0000-0000-00008D980000}"/>
    <cellStyle name="输出 2 12 9 4 4 2" xfId="39006" xr:uid="{00000000-0005-0000-0000-00008E980000}"/>
    <cellStyle name="输出 2 12 9 4 5" xfId="39007" xr:uid="{00000000-0005-0000-0000-00008F980000}"/>
    <cellStyle name="输出 2 12 9 4 5 2" xfId="39009" xr:uid="{00000000-0005-0000-0000-000091980000}"/>
    <cellStyle name="输出 2 12 9 4 6" xfId="21283" xr:uid="{00000000-0005-0000-0000-000053530000}"/>
    <cellStyle name="输出 2 12 9 5" xfId="6636" xr:uid="{00000000-0005-0000-0000-00001C1A0000}"/>
    <cellStyle name="输出 2 12 9 5 2" xfId="7154" xr:uid="{00000000-0005-0000-0000-0000221C0000}"/>
    <cellStyle name="输出 2 12 9 5 2 2" xfId="39011" xr:uid="{00000000-0005-0000-0000-000093980000}"/>
    <cellStyle name="输出 2 12 9 5 3" xfId="39012" xr:uid="{00000000-0005-0000-0000-000094980000}"/>
    <cellStyle name="输出 2 12 9 5 3 2" xfId="39014" xr:uid="{00000000-0005-0000-0000-000096980000}"/>
    <cellStyle name="输出 2 12 9 5 4" xfId="39015" xr:uid="{00000000-0005-0000-0000-000097980000}"/>
    <cellStyle name="输出 2 12 9 5 4 2" xfId="39017" xr:uid="{00000000-0005-0000-0000-000099980000}"/>
    <cellStyle name="输出 2 12 9 5 5" xfId="39018" xr:uid="{00000000-0005-0000-0000-00009A980000}"/>
    <cellStyle name="输出 2 12 9 5 5 2" xfId="39020" xr:uid="{00000000-0005-0000-0000-00009C980000}"/>
    <cellStyle name="输出 2 12 9 5 6" xfId="21313" xr:uid="{00000000-0005-0000-0000-000071530000}"/>
    <cellStyle name="输出 2 12 9 6" xfId="7161" xr:uid="{00000000-0005-0000-0000-0000291C0000}"/>
    <cellStyle name="输出 2 12 9 6 2" xfId="434" xr:uid="{00000000-0005-0000-0000-0000DB010000}"/>
    <cellStyle name="输出 2 12 9 6 2 2" xfId="32247" xr:uid="{00000000-0005-0000-0000-0000277E0000}"/>
    <cellStyle name="输出 2 12 9 6 3" xfId="39021" xr:uid="{00000000-0005-0000-0000-00009D980000}"/>
    <cellStyle name="输出 2 12 9 6 3 2" xfId="32253" xr:uid="{00000000-0005-0000-0000-00002D7E0000}"/>
    <cellStyle name="输出 2 12 9 6 4" xfId="39022" xr:uid="{00000000-0005-0000-0000-00009E980000}"/>
    <cellStyle name="输出 2 12 9 6 4 2" xfId="32262" xr:uid="{00000000-0005-0000-0000-0000367E0000}"/>
    <cellStyle name="输出 2 12 9 6 5" xfId="39024" xr:uid="{00000000-0005-0000-0000-0000A0980000}"/>
    <cellStyle name="输出 2 12 9 6 5 2" xfId="39026" xr:uid="{00000000-0005-0000-0000-0000A2980000}"/>
    <cellStyle name="输出 2 12 9 6 6" xfId="21339" xr:uid="{00000000-0005-0000-0000-00008B530000}"/>
    <cellStyle name="输出 2 12 9 7" xfId="7166" xr:uid="{00000000-0005-0000-0000-00002E1C0000}"/>
    <cellStyle name="输出 2 12 9 7 2" xfId="7173" xr:uid="{00000000-0005-0000-0000-0000351C0000}"/>
    <cellStyle name="输出 2 12 9 7 2 2" xfId="32321" xr:uid="{00000000-0005-0000-0000-0000717E0000}"/>
    <cellStyle name="输出 2 12 9 7 3" xfId="39027" xr:uid="{00000000-0005-0000-0000-0000A3980000}"/>
    <cellStyle name="输出 2 12 9 7 3 2" xfId="32328" xr:uid="{00000000-0005-0000-0000-0000787E0000}"/>
    <cellStyle name="输出 2 12 9 7 4" xfId="39028" xr:uid="{00000000-0005-0000-0000-0000A4980000}"/>
    <cellStyle name="输出 2 12 9 7 4 2" xfId="32340" xr:uid="{00000000-0005-0000-0000-0000847E0000}"/>
    <cellStyle name="输出 2 12 9 7 5" xfId="39030" xr:uid="{00000000-0005-0000-0000-0000A6980000}"/>
    <cellStyle name="输出 2 12 9 7 5 2" xfId="39032" xr:uid="{00000000-0005-0000-0000-0000A8980000}"/>
    <cellStyle name="输出 2 12 9 7 6" xfId="21376" xr:uid="{00000000-0005-0000-0000-0000B0530000}"/>
    <cellStyle name="输出 2 12 9 8" xfId="1606" xr:uid="{00000000-0005-0000-0000-000076060000}"/>
    <cellStyle name="输出 2 12 9 8 2" xfId="15862" xr:uid="{00000000-0005-0000-0000-0000263E0000}"/>
    <cellStyle name="输出 2 12 9 8 2 2" xfId="26388" xr:uid="{00000000-0005-0000-0000-000044670000}"/>
    <cellStyle name="输出 2 12 9 8 3" xfId="25852" xr:uid="{00000000-0005-0000-0000-00002C650000}"/>
    <cellStyle name="输出 2 12 9 8 3 2" xfId="26392" xr:uid="{00000000-0005-0000-0000-000048670000}"/>
    <cellStyle name="输出 2 12 9 8 4" xfId="26397" xr:uid="{00000000-0005-0000-0000-00004D670000}"/>
    <cellStyle name="输出 2 12 9 8 4 2" xfId="26402" xr:uid="{00000000-0005-0000-0000-000052670000}"/>
    <cellStyle name="输出 2 12 9 8 5" xfId="1838" xr:uid="{00000000-0005-0000-0000-00005E070000}"/>
    <cellStyle name="输出 2 12 9 9" xfId="39033" xr:uid="{00000000-0005-0000-0000-0000A9980000}"/>
    <cellStyle name="输出 2 12 9 9 2" xfId="39034" xr:uid="{00000000-0005-0000-0000-0000AA980000}"/>
    <cellStyle name="输出 2 13" xfId="39035" xr:uid="{00000000-0005-0000-0000-0000AB980000}"/>
    <cellStyle name="输出 2 13 10" xfId="31129" xr:uid="{00000000-0005-0000-0000-0000C9790000}"/>
    <cellStyle name="输出 2 13 10 2" xfId="31132" xr:uid="{00000000-0005-0000-0000-0000CC790000}"/>
    <cellStyle name="输出 2 13 11" xfId="39036" xr:uid="{00000000-0005-0000-0000-0000AC980000}"/>
    <cellStyle name="输出 2 13 11 2" xfId="39038" xr:uid="{00000000-0005-0000-0000-0000AE980000}"/>
    <cellStyle name="输出 2 13 12" xfId="35789" xr:uid="{00000000-0005-0000-0000-0000FD8B0000}"/>
    <cellStyle name="输出 2 13 12 2" xfId="35791" xr:uid="{00000000-0005-0000-0000-0000FF8B0000}"/>
    <cellStyle name="输出 2 13 13" xfId="35130" xr:uid="{00000000-0005-0000-0000-00006A890000}"/>
    <cellStyle name="输出 2 13 14" xfId="35796" xr:uid="{00000000-0005-0000-0000-0000048C0000}"/>
    <cellStyle name="输出 2 13 15" xfId="35800" xr:uid="{00000000-0005-0000-0000-0000088C0000}"/>
    <cellStyle name="输出 2 13 16" xfId="39039" xr:uid="{00000000-0005-0000-0000-0000AF980000}"/>
    <cellStyle name="输出 2 13 2" xfId="39041" xr:uid="{00000000-0005-0000-0000-0000B1980000}"/>
    <cellStyle name="输出 2 13 2 2" xfId="39043" xr:uid="{00000000-0005-0000-0000-0000B3980000}"/>
    <cellStyle name="输出 2 13 2 2 2" xfId="39046" xr:uid="{00000000-0005-0000-0000-0000B6980000}"/>
    <cellStyle name="输出 2 13 2 3" xfId="39047" xr:uid="{00000000-0005-0000-0000-0000B7980000}"/>
    <cellStyle name="输出 2 13 2 3 2" xfId="39048" xr:uid="{00000000-0005-0000-0000-0000B8980000}"/>
    <cellStyle name="输出 2 13 2 4" xfId="39049" xr:uid="{00000000-0005-0000-0000-0000B9980000}"/>
    <cellStyle name="输出 2 13 2 4 2" xfId="39050" xr:uid="{00000000-0005-0000-0000-0000BA980000}"/>
    <cellStyle name="输出 2 13 2 5" xfId="39051" xr:uid="{00000000-0005-0000-0000-0000BB980000}"/>
    <cellStyle name="输出 2 13 2 5 2" xfId="2315" xr:uid="{00000000-0005-0000-0000-00003B090000}"/>
    <cellStyle name="输出 2 13 2 6" xfId="8106" xr:uid="{00000000-0005-0000-0000-0000DA1F0000}"/>
    <cellStyle name="输出 2 13 2 7" xfId="39052" xr:uid="{00000000-0005-0000-0000-0000BC980000}"/>
    <cellStyle name="输出 2 13 2 8" xfId="39053" xr:uid="{00000000-0005-0000-0000-0000BD980000}"/>
    <cellStyle name="输出 2 13 2 9" xfId="39054" xr:uid="{00000000-0005-0000-0000-0000BE980000}"/>
    <cellStyle name="输出 2 13 3" xfId="19047" xr:uid="{00000000-0005-0000-0000-0000974A0000}"/>
    <cellStyle name="输出 2 13 3 2" xfId="252" xr:uid="{00000000-0005-0000-0000-000015010000}"/>
    <cellStyle name="输出 2 13 3 2 2" xfId="23636" xr:uid="{00000000-0005-0000-0000-0000845C0000}"/>
    <cellStyle name="输出 2 13 3 3" xfId="39055" xr:uid="{00000000-0005-0000-0000-0000BF980000}"/>
    <cellStyle name="输出 2 13 3 3 2" xfId="39057" xr:uid="{00000000-0005-0000-0000-0000C1980000}"/>
    <cellStyle name="输出 2 13 3 4" xfId="39058" xr:uid="{00000000-0005-0000-0000-0000C2980000}"/>
    <cellStyle name="输出 2 13 3 4 2" xfId="39059" xr:uid="{00000000-0005-0000-0000-0000C3980000}"/>
    <cellStyle name="输出 2 13 3 5" xfId="39060" xr:uid="{00000000-0005-0000-0000-0000C4980000}"/>
    <cellStyle name="输出 2 13 3 5 2" xfId="39061" xr:uid="{00000000-0005-0000-0000-0000C5980000}"/>
    <cellStyle name="输出 2 13 3 6" xfId="8109" xr:uid="{00000000-0005-0000-0000-0000DD1F0000}"/>
    <cellStyle name="输出 2 13 4" xfId="39062" xr:uid="{00000000-0005-0000-0000-0000C6980000}"/>
    <cellStyle name="输出 2 13 4 2" xfId="39064" xr:uid="{00000000-0005-0000-0000-0000C8980000}"/>
    <cellStyle name="输出 2 13 4 2 2" xfId="39066" xr:uid="{00000000-0005-0000-0000-0000CA980000}"/>
    <cellStyle name="输出 2 13 4 3" xfId="39067" xr:uid="{00000000-0005-0000-0000-0000CB980000}"/>
    <cellStyle name="输出 2 13 4 3 2" xfId="39069" xr:uid="{00000000-0005-0000-0000-0000CD980000}"/>
    <cellStyle name="输出 2 13 4 4" xfId="39070" xr:uid="{00000000-0005-0000-0000-0000CE980000}"/>
    <cellStyle name="输出 2 13 4 4 2" xfId="39071" xr:uid="{00000000-0005-0000-0000-0000CF980000}"/>
    <cellStyle name="输出 2 13 4 5" xfId="39072" xr:uid="{00000000-0005-0000-0000-0000D0980000}"/>
    <cellStyle name="输出 2 13 4 5 2" xfId="39073" xr:uid="{00000000-0005-0000-0000-0000D1980000}"/>
    <cellStyle name="输出 2 13 4 6" xfId="39074" xr:uid="{00000000-0005-0000-0000-0000D2980000}"/>
    <cellStyle name="输出 2 13 5" xfId="39075" xr:uid="{00000000-0005-0000-0000-0000D3980000}"/>
    <cellStyle name="输出 2 13 5 2" xfId="39077" xr:uid="{00000000-0005-0000-0000-0000D5980000}"/>
    <cellStyle name="输出 2 13 5 2 2" xfId="12948" xr:uid="{00000000-0005-0000-0000-0000C4320000}"/>
    <cellStyle name="输出 2 13 5 3" xfId="39078" xr:uid="{00000000-0005-0000-0000-0000D6980000}"/>
    <cellStyle name="输出 2 13 5 3 2" xfId="12975" xr:uid="{00000000-0005-0000-0000-0000DF320000}"/>
    <cellStyle name="输出 2 13 5 4" xfId="39080" xr:uid="{00000000-0005-0000-0000-0000D8980000}"/>
    <cellStyle name="输出 2 13 5 4 2" xfId="39081" xr:uid="{00000000-0005-0000-0000-0000D9980000}"/>
    <cellStyle name="输出 2 13 5 5" xfId="39082" xr:uid="{00000000-0005-0000-0000-0000DA980000}"/>
    <cellStyle name="输出 2 13 5 5 2" xfId="39083" xr:uid="{00000000-0005-0000-0000-0000DB980000}"/>
    <cellStyle name="输出 2 13 5 6" xfId="39084" xr:uid="{00000000-0005-0000-0000-0000DC980000}"/>
    <cellStyle name="输出 2 13 6" xfId="35592" xr:uid="{00000000-0005-0000-0000-0000388B0000}"/>
    <cellStyle name="输出 2 13 6 2" xfId="39085" xr:uid="{00000000-0005-0000-0000-0000DD980000}"/>
    <cellStyle name="输出 2 13 6 2 2" xfId="13043" xr:uid="{00000000-0005-0000-0000-000023330000}"/>
    <cellStyle name="输出 2 13 6 3" xfId="39086" xr:uid="{00000000-0005-0000-0000-0000DE980000}"/>
    <cellStyle name="输出 2 13 6 3 2" xfId="13055" xr:uid="{00000000-0005-0000-0000-00002F330000}"/>
    <cellStyle name="输出 2 13 6 4" xfId="39088" xr:uid="{00000000-0005-0000-0000-0000E0980000}"/>
    <cellStyle name="输出 2 13 6 4 2" xfId="39089" xr:uid="{00000000-0005-0000-0000-0000E1980000}"/>
    <cellStyle name="输出 2 13 6 5" xfId="39090" xr:uid="{00000000-0005-0000-0000-0000E2980000}"/>
    <cellStyle name="输出 2 13 6 5 2" xfId="39091" xr:uid="{00000000-0005-0000-0000-0000E3980000}"/>
    <cellStyle name="输出 2 13 6 6" xfId="39092" xr:uid="{00000000-0005-0000-0000-0000E4980000}"/>
    <cellStyle name="输出 2 13 7" xfId="39093" xr:uid="{00000000-0005-0000-0000-0000E5980000}"/>
    <cellStyle name="输出 2 13 7 2" xfId="39095" xr:uid="{00000000-0005-0000-0000-0000E7980000}"/>
    <cellStyle name="输出 2 13 7 2 2" xfId="13153" xr:uid="{00000000-0005-0000-0000-000091330000}"/>
    <cellStyle name="输出 2 13 7 3" xfId="39096" xr:uid="{00000000-0005-0000-0000-0000E8980000}"/>
    <cellStyle name="输出 2 13 7 3 2" xfId="13166" xr:uid="{00000000-0005-0000-0000-00009E330000}"/>
    <cellStyle name="输出 2 13 7 4" xfId="39098" xr:uid="{00000000-0005-0000-0000-0000EA980000}"/>
    <cellStyle name="输出 2 13 7 4 2" xfId="39099" xr:uid="{00000000-0005-0000-0000-0000EB980000}"/>
    <cellStyle name="输出 2 13 7 5" xfId="39100" xr:uid="{00000000-0005-0000-0000-0000EC980000}"/>
    <cellStyle name="输出 2 13 7 5 2" xfId="39101" xr:uid="{00000000-0005-0000-0000-0000ED980000}"/>
    <cellStyle name="输出 2 13 7 6" xfId="39102" xr:uid="{00000000-0005-0000-0000-0000EE980000}"/>
    <cellStyle name="输出 2 13 8" xfId="31384" xr:uid="{00000000-0005-0000-0000-0000C87A0000}"/>
    <cellStyle name="输出 2 13 8 2" xfId="31387" xr:uid="{00000000-0005-0000-0000-0000CB7A0000}"/>
    <cellStyle name="输出 2 13 8 2 2" xfId="13275" xr:uid="{00000000-0005-0000-0000-00000B340000}"/>
    <cellStyle name="输出 2 13 8 3" xfId="39103" xr:uid="{00000000-0005-0000-0000-0000EF980000}"/>
    <cellStyle name="输出 2 13 8 3 2" xfId="13296" xr:uid="{00000000-0005-0000-0000-000020340000}"/>
    <cellStyle name="输出 2 13 8 4" xfId="39104" xr:uid="{00000000-0005-0000-0000-0000F0980000}"/>
    <cellStyle name="输出 2 13 8 4 2" xfId="39105" xr:uid="{00000000-0005-0000-0000-0000F1980000}"/>
    <cellStyle name="输出 2 13 8 5" xfId="39106" xr:uid="{00000000-0005-0000-0000-0000F2980000}"/>
    <cellStyle name="输出 2 13 9" xfId="31390" xr:uid="{00000000-0005-0000-0000-0000CE7A0000}"/>
    <cellStyle name="输出 2 13 9 2" xfId="31393" xr:uid="{00000000-0005-0000-0000-0000D17A0000}"/>
    <cellStyle name="输出 2 14" xfId="34287" xr:uid="{00000000-0005-0000-0000-00001F860000}"/>
    <cellStyle name="输出 2 14 10" xfId="11720" xr:uid="{00000000-0005-0000-0000-0000F82D0000}"/>
    <cellStyle name="输出 2 14 10 2" xfId="31790" xr:uid="{00000000-0005-0000-0000-00005E7C0000}"/>
    <cellStyle name="输出 2 14 11" xfId="4410" xr:uid="{00000000-0005-0000-0000-00006A110000}"/>
    <cellStyle name="输出 2 14 11 2" xfId="39107" xr:uid="{00000000-0005-0000-0000-0000F3980000}"/>
    <cellStyle name="输出 2 14 12" xfId="18409" xr:uid="{00000000-0005-0000-0000-000019480000}"/>
    <cellStyle name="输出 2 14 12 2" xfId="39108" xr:uid="{00000000-0005-0000-0000-0000F4980000}"/>
    <cellStyle name="输出 2 14 13" xfId="39109" xr:uid="{00000000-0005-0000-0000-0000F5980000}"/>
    <cellStyle name="输出 2 14 14" xfId="39110" xr:uid="{00000000-0005-0000-0000-0000F6980000}"/>
    <cellStyle name="输出 2 14 15" xfId="23929" xr:uid="{00000000-0005-0000-0000-0000A95D0000}"/>
    <cellStyle name="输出 2 14 16" xfId="23934" xr:uid="{00000000-0005-0000-0000-0000AE5D0000}"/>
    <cellStyle name="输出 2 14 2" xfId="28273" xr:uid="{00000000-0005-0000-0000-0000A16E0000}"/>
    <cellStyle name="输出 2 14 2 2" xfId="39112" xr:uid="{00000000-0005-0000-0000-0000F8980000}"/>
    <cellStyle name="输出 2 14 2 2 2" xfId="39114" xr:uid="{00000000-0005-0000-0000-0000FA980000}"/>
    <cellStyle name="输出 2 14 2 3" xfId="39115" xr:uid="{00000000-0005-0000-0000-0000FB980000}"/>
    <cellStyle name="输出 2 14 2 3 2" xfId="39116" xr:uid="{00000000-0005-0000-0000-0000FC980000}"/>
    <cellStyle name="输出 2 14 2 4" xfId="20179" xr:uid="{00000000-0005-0000-0000-0000034F0000}"/>
    <cellStyle name="输出 2 14 2 4 2" xfId="39117" xr:uid="{00000000-0005-0000-0000-0000FD980000}"/>
    <cellStyle name="输出 2 14 2 5" xfId="39118" xr:uid="{00000000-0005-0000-0000-0000FE980000}"/>
    <cellStyle name="输出 2 14 2 5 2" xfId="39119" xr:uid="{00000000-0005-0000-0000-0000FF980000}"/>
    <cellStyle name="输出 2 14 2 6" xfId="3748" xr:uid="{00000000-0005-0000-0000-0000D40E0000}"/>
    <cellStyle name="输出 2 14 2 7" xfId="39120" xr:uid="{00000000-0005-0000-0000-000000990000}"/>
    <cellStyle name="输出 2 14 2 8" xfId="39122" xr:uid="{00000000-0005-0000-0000-000002990000}"/>
    <cellStyle name="输出 2 14 2 9" xfId="39123" xr:uid="{00000000-0005-0000-0000-000003990000}"/>
    <cellStyle name="输出 2 14 3" xfId="19050" xr:uid="{00000000-0005-0000-0000-00009A4A0000}"/>
    <cellStyle name="输出 2 14 3 2" xfId="39124" xr:uid="{00000000-0005-0000-0000-000004990000}"/>
    <cellStyle name="输出 2 14 3 2 2" xfId="39126" xr:uid="{00000000-0005-0000-0000-000006990000}"/>
    <cellStyle name="输出 2 14 3 3" xfId="39127" xr:uid="{00000000-0005-0000-0000-000007990000}"/>
    <cellStyle name="输出 2 14 3 3 2" xfId="39128" xr:uid="{00000000-0005-0000-0000-000008990000}"/>
    <cellStyle name="输出 2 14 3 4" xfId="617" xr:uid="{00000000-0005-0000-0000-000099020000}"/>
    <cellStyle name="输出 2 14 3 4 2" xfId="263" xr:uid="{00000000-0005-0000-0000-000021010000}"/>
    <cellStyle name="输出 2 14 3 5" xfId="623" xr:uid="{00000000-0005-0000-0000-00009F020000}"/>
    <cellStyle name="输出 2 14 3 5 2" xfId="39129" xr:uid="{00000000-0005-0000-0000-000009990000}"/>
    <cellStyle name="输出 2 14 3 6" xfId="39130" xr:uid="{00000000-0005-0000-0000-00000A990000}"/>
    <cellStyle name="输出 2 14 4" xfId="20553" xr:uid="{00000000-0005-0000-0000-000079500000}"/>
    <cellStyle name="输出 2 14 4 2" xfId="39131" xr:uid="{00000000-0005-0000-0000-00000B990000}"/>
    <cellStyle name="输出 2 14 4 2 2" xfId="17800" xr:uid="{00000000-0005-0000-0000-0000B8450000}"/>
    <cellStyle name="输出 2 14 4 3" xfId="39132" xr:uid="{00000000-0005-0000-0000-00000C990000}"/>
    <cellStyle name="输出 2 14 4 3 2" xfId="35093" xr:uid="{00000000-0005-0000-0000-000045890000}"/>
    <cellStyle name="输出 2 14 4 4" xfId="1596" xr:uid="{00000000-0005-0000-0000-00006C060000}"/>
    <cellStyle name="输出 2 14 4 4 2" xfId="39134" xr:uid="{00000000-0005-0000-0000-00000E990000}"/>
    <cellStyle name="输出 2 14 4 5" xfId="39135" xr:uid="{00000000-0005-0000-0000-00000F990000}"/>
    <cellStyle name="输出 2 14 4 5 2" xfId="39136" xr:uid="{00000000-0005-0000-0000-000010990000}"/>
    <cellStyle name="输出 2 14 4 6" xfId="39137" xr:uid="{00000000-0005-0000-0000-000011990000}"/>
    <cellStyle name="输出 2 14 5" xfId="39138" xr:uid="{00000000-0005-0000-0000-000012990000}"/>
    <cellStyle name="输出 2 14 5 2" xfId="39139" xr:uid="{00000000-0005-0000-0000-000013990000}"/>
    <cellStyle name="输出 2 14 5 2 2" xfId="14259" xr:uid="{00000000-0005-0000-0000-0000E3370000}"/>
    <cellStyle name="输出 2 14 5 3" xfId="39140" xr:uid="{00000000-0005-0000-0000-000014990000}"/>
    <cellStyle name="输出 2 14 5 3 2" xfId="11246" xr:uid="{00000000-0005-0000-0000-00001E2C0000}"/>
    <cellStyle name="输出 2 14 5 4" xfId="1613" xr:uid="{00000000-0005-0000-0000-00007D060000}"/>
    <cellStyle name="输出 2 14 5 4 2" xfId="39142" xr:uid="{00000000-0005-0000-0000-000016990000}"/>
    <cellStyle name="输出 2 14 5 5" xfId="39143" xr:uid="{00000000-0005-0000-0000-000017990000}"/>
    <cellStyle name="输出 2 14 5 5 2" xfId="39144" xr:uid="{00000000-0005-0000-0000-000018990000}"/>
    <cellStyle name="输出 2 14 5 6" xfId="39145" xr:uid="{00000000-0005-0000-0000-000019990000}"/>
    <cellStyle name="输出 2 14 6" xfId="20587" xr:uid="{00000000-0005-0000-0000-00009B500000}"/>
    <cellStyle name="输出 2 14 6 2" xfId="39146" xr:uid="{00000000-0005-0000-0000-00001A990000}"/>
    <cellStyle name="输出 2 14 6 2 2" xfId="14411" xr:uid="{00000000-0005-0000-0000-00007B380000}"/>
    <cellStyle name="输出 2 14 6 3" xfId="39147" xr:uid="{00000000-0005-0000-0000-00001B990000}"/>
    <cellStyle name="输出 2 14 6 3 2" xfId="14432" xr:uid="{00000000-0005-0000-0000-000090380000}"/>
    <cellStyle name="输出 2 14 6 4" xfId="39149" xr:uid="{00000000-0005-0000-0000-00001D990000}"/>
    <cellStyle name="输出 2 14 6 4 2" xfId="39150" xr:uid="{00000000-0005-0000-0000-00001E990000}"/>
    <cellStyle name="输出 2 14 6 5" xfId="39151" xr:uid="{00000000-0005-0000-0000-00001F990000}"/>
    <cellStyle name="输出 2 14 6 5 2" xfId="39152" xr:uid="{00000000-0005-0000-0000-000020990000}"/>
    <cellStyle name="输出 2 14 6 6" xfId="39153" xr:uid="{00000000-0005-0000-0000-000021990000}"/>
    <cellStyle name="输出 2 14 7" xfId="39154" xr:uid="{00000000-0005-0000-0000-000022990000}"/>
    <cellStyle name="输出 2 14 7 2" xfId="39155" xr:uid="{00000000-0005-0000-0000-000023990000}"/>
    <cellStyle name="输出 2 14 7 2 2" xfId="14579" xr:uid="{00000000-0005-0000-0000-000023390000}"/>
    <cellStyle name="输出 2 14 7 3" xfId="39156" xr:uid="{00000000-0005-0000-0000-000024990000}"/>
    <cellStyle name="输出 2 14 7 3 2" xfId="14600" xr:uid="{00000000-0005-0000-0000-000038390000}"/>
    <cellStyle name="输出 2 14 7 4" xfId="39158" xr:uid="{00000000-0005-0000-0000-000026990000}"/>
    <cellStyle name="输出 2 14 7 4 2" xfId="39159" xr:uid="{00000000-0005-0000-0000-000027990000}"/>
    <cellStyle name="输出 2 14 7 5" xfId="39160" xr:uid="{00000000-0005-0000-0000-000028990000}"/>
    <cellStyle name="输出 2 14 7 5 2" xfId="39161" xr:uid="{00000000-0005-0000-0000-000029990000}"/>
    <cellStyle name="输出 2 14 7 6" xfId="39162" xr:uid="{00000000-0005-0000-0000-00002A990000}"/>
    <cellStyle name="输出 2 14 8" xfId="31411" xr:uid="{00000000-0005-0000-0000-0000E37A0000}"/>
    <cellStyle name="输出 2 14 8 2" xfId="31415" xr:uid="{00000000-0005-0000-0000-0000E77A0000}"/>
    <cellStyle name="输出 2 14 8 2 2" xfId="14726" xr:uid="{00000000-0005-0000-0000-0000B6390000}"/>
    <cellStyle name="输出 2 14 8 3" xfId="39163" xr:uid="{00000000-0005-0000-0000-00002B990000}"/>
    <cellStyle name="输出 2 14 8 3 2" xfId="14742" xr:uid="{00000000-0005-0000-0000-0000C6390000}"/>
    <cellStyle name="输出 2 14 8 4" xfId="39164" xr:uid="{00000000-0005-0000-0000-00002C990000}"/>
    <cellStyle name="输出 2 14 8 4 2" xfId="39165" xr:uid="{00000000-0005-0000-0000-00002D990000}"/>
    <cellStyle name="输出 2 14 8 5" xfId="39166" xr:uid="{00000000-0005-0000-0000-00002E990000}"/>
    <cellStyle name="输出 2 14 9" xfId="31418" xr:uid="{00000000-0005-0000-0000-0000EA7A0000}"/>
    <cellStyle name="输出 2 14 9 2" xfId="31421" xr:uid="{00000000-0005-0000-0000-0000ED7A0000}"/>
    <cellStyle name="输出 2 15" xfId="5584" xr:uid="{00000000-0005-0000-0000-000000160000}"/>
    <cellStyle name="输出 2 15 10" xfId="32681" xr:uid="{00000000-0005-0000-0000-0000D97F0000}"/>
    <cellStyle name="输出 2 15 10 2" xfId="39167" xr:uid="{00000000-0005-0000-0000-00002F990000}"/>
    <cellStyle name="输出 2 15 11" xfId="39168" xr:uid="{00000000-0005-0000-0000-000030990000}"/>
    <cellStyle name="输出 2 15 11 2" xfId="39169" xr:uid="{00000000-0005-0000-0000-000031990000}"/>
    <cellStyle name="输出 2 15 12" xfId="39170" xr:uid="{00000000-0005-0000-0000-000032990000}"/>
    <cellStyle name="输出 2 15 12 2" xfId="39171" xr:uid="{00000000-0005-0000-0000-000033990000}"/>
    <cellStyle name="输出 2 15 13" xfId="7910" xr:uid="{00000000-0005-0000-0000-0000161F0000}"/>
    <cellStyle name="输出 2 15 14" xfId="19725" xr:uid="{00000000-0005-0000-0000-00003D4D0000}"/>
    <cellStyle name="输出 2 15 15" xfId="1435" xr:uid="{00000000-0005-0000-0000-0000CB050000}"/>
    <cellStyle name="输出 2 15 16" xfId="20338" xr:uid="{00000000-0005-0000-0000-0000A24F0000}"/>
    <cellStyle name="输出 2 15 2" xfId="39173" xr:uid="{00000000-0005-0000-0000-000035990000}"/>
    <cellStyle name="输出 2 15 2 2" xfId="39174" xr:uid="{00000000-0005-0000-0000-000036990000}"/>
    <cellStyle name="输出 2 15 2 2 2" xfId="39176" xr:uid="{00000000-0005-0000-0000-000038990000}"/>
    <cellStyle name="输出 2 15 2 3" xfId="39177" xr:uid="{00000000-0005-0000-0000-000039990000}"/>
    <cellStyle name="输出 2 15 2 3 2" xfId="39178" xr:uid="{00000000-0005-0000-0000-00003A990000}"/>
    <cellStyle name="输出 2 15 2 4" xfId="1428" xr:uid="{00000000-0005-0000-0000-0000C4050000}"/>
    <cellStyle name="输出 2 15 2 4 2" xfId="1522" xr:uid="{00000000-0005-0000-0000-000022060000}"/>
    <cellStyle name="输出 2 15 2 5" xfId="39179" xr:uid="{00000000-0005-0000-0000-00003B990000}"/>
    <cellStyle name="输出 2 15 2 5 2" xfId="39121" xr:uid="{00000000-0005-0000-0000-000001990000}"/>
    <cellStyle name="输出 2 15 2 6" xfId="39180" xr:uid="{00000000-0005-0000-0000-00003C990000}"/>
    <cellStyle name="输出 2 15 2 7" xfId="39181" xr:uid="{00000000-0005-0000-0000-00003D990000}"/>
    <cellStyle name="输出 2 15 2 8" xfId="39183" xr:uid="{00000000-0005-0000-0000-00003F990000}"/>
    <cellStyle name="输出 2 15 2 9" xfId="39186" xr:uid="{00000000-0005-0000-0000-000042990000}"/>
    <cellStyle name="输出 2 15 3" xfId="39188" xr:uid="{00000000-0005-0000-0000-000044990000}"/>
    <cellStyle name="输出 2 15 3 2" xfId="39189" xr:uid="{00000000-0005-0000-0000-000045990000}"/>
    <cellStyle name="输出 2 15 3 2 2" xfId="39190" xr:uid="{00000000-0005-0000-0000-000046990000}"/>
    <cellStyle name="输出 2 15 3 3" xfId="39192" xr:uid="{00000000-0005-0000-0000-000048990000}"/>
    <cellStyle name="输出 2 15 3 3 2" xfId="39193" xr:uid="{00000000-0005-0000-0000-000049990000}"/>
    <cellStyle name="输出 2 15 3 4" xfId="20181" xr:uid="{00000000-0005-0000-0000-0000054F0000}"/>
    <cellStyle name="输出 2 15 3 4 2" xfId="37398" xr:uid="{00000000-0005-0000-0000-000046920000}"/>
    <cellStyle name="输出 2 15 3 5" xfId="39194" xr:uid="{00000000-0005-0000-0000-00004A990000}"/>
    <cellStyle name="输出 2 15 3 5 2" xfId="39182" xr:uid="{00000000-0005-0000-0000-00003E990000}"/>
    <cellStyle name="输出 2 15 3 6" xfId="39195" xr:uid="{00000000-0005-0000-0000-00004B990000}"/>
    <cellStyle name="输出 2 15 4" xfId="39196" xr:uid="{00000000-0005-0000-0000-00004C990000}"/>
    <cellStyle name="输出 2 15 4 2" xfId="39197" xr:uid="{00000000-0005-0000-0000-00004D990000}"/>
    <cellStyle name="输出 2 15 4 2 2" xfId="39198" xr:uid="{00000000-0005-0000-0000-00004E990000}"/>
    <cellStyle name="输出 2 15 4 3" xfId="39200" xr:uid="{00000000-0005-0000-0000-000050990000}"/>
    <cellStyle name="输出 2 15 4 3 2" xfId="39202" xr:uid="{00000000-0005-0000-0000-000052990000}"/>
    <cellStyle name="输出 2 15 4 4" xfId="20184" xr:uid="{00000000-0005-0000-0000-0000084F0000}"/>
    <cellStyle name="输出 2 15 4 4 2" xfId="39203" xr:uid="{00000000-0005-0000-0000-000053990000}"/>
    <cellStyle name="输出 2 15 4 5" xfId="39204" xr:uid="{00000000-0005-0000-0000-000054990000}"/>
    <cellStyle name="输出 2 15 4 5 2" xfId="39206" xr:uid="{00000000-0005-0000-0000-000056990000}"/>
    <cellStyle name="输出 2 15 4 6" xfId="39207" xr:uid="{00000000-0005-0000-0000-000057990000}"/>
    <cellStyle name="输出 2 15 5" xfId="39208" xr:uid="{00000000-0005-0000-0000-000058990000}"/>
    <cellStyle name="输出 2 15 5 2" xfId="39209" xr:uid="{00000000-0005-0000-0000-000059990000}"/>
    <cellStyle name="输出 2 15 5 2 2" xfId="12251" xr:uid="{00000000-0005-0000-0000-00000B300000}"/>
    <cellStyle name="输出 2 15 5 3" xfId="39210" xr:uid="{00000000-0005-0000-0000-00005A990000}"/>
    <cellStyle name="输出 2 15 5 3 2" xfId="12296" xr:uid="{00000000-0005-0000-0000-000038300000}"/>
    <cellStyle name="输出 2 15 5 4" xfId="39212" xr:uid="{00000000-0005-0000-0000-00005C990000}"/>
    <cellStyle name="输出 2 15 5 4 2" xfId="39213" xr:uid="{00000000-0005-0000-0000-00005D990000}"/>
    <cellStyle name="输出 2 15 5 5" xfId="39214" xr:uid="{00000000-0005-0000-0000-00005E990000}"/>
    <cellStyle name="输出 2 15 5 5 2" xfId="39215" xr:uid="{00000000-0005-0000-0000-00005F990000}"/>
    <cellStyle name="输出 2 15 5 6" xfId="39216" xr:uid="{00000000-0005-0000-0000-000060990000}"/>
    <cellStyle name="输出 2 15 6" xfId="20739" xr:uid="{00000000-0005-0000-0000-000033510000}"/>
    <cellStyle name="输出 2 15 6 2" xfId="39217" xr:uid="{00000000-0005-0000-0000-000061990000}"/>
    <cellStyle name="输出 2 15 6 2 2" xfId="14035" xr:uid="{00000000-0005-0000-0000-000003370000}"/>
    <cellStyle name="输出 2 15 6 3" xfId="39218" xr:uid="{00000000-0005-0000-0000-000062990000}"/>
    <cellStyle name="输出 2 15 6 3 2" xfId="16300" xr:uid="{00000000-0005-0000-0000-0000DC3F0000}"/>
    <cellStyle name="输出 2 15 6 4" xfId="39220" xr:uid="{00000000-0005-0000-0000-000064990000}"/>
    <cellStyle name="输出 2 15 6 4 2" xfId="39221" xr:uid="{00000000-0005-0000-0000-000065990000}"/>
    <cellStyle name="输出 2 15 6 5" xfId="39222" xr:uid="{00000000-0005-0000-0000-000066990000}"/>
    <cellStyle name="输出 2 15 6 5 2" xfId="39223" xr:uid="{00000000-0005-0000-0000-000067990000}"/>
    <cellStyle name="输出 2 15 6 6" xfId="39224" xr:uid="{00000000-0005-0000-0000-000068990000}"/>
    <cellStyle name="输出 2 15 7" xfId="39225" xr:uid="{00000000-0005-0000-0000-000069990000}"/>
    <cellStyle name="输出 2 15 7 2" xfId="39226" xr:uid="{00000000-0005-0000-0000-00006A990000}"/>
    <cellStyle name="输出 2 15 7 2 2" xfId="16444" xr:uid="{00000000-0005-0000-0000-00006C400000}"/>
    <cellStyle name="输出 2 15 7 3" xfId="39227" xr:uid="{00000000-0005-0000-0000-00006B990000}"/>
    <cellStyle name="输出 2 15 7 3 2" xfId="16465" xr:uid="{00000000-0005-0000-0000-000081400000}"/>
    <cellStyle name="输出 2 15 7 4" xfId="39229" xr:uid="{00000000-0005-0000-0000-00006D990000}"/>
    <cellStyle name="输出 2 15 7 4 2" xfId="39230" xr:uid="{00000000-0005-0000-0000-00006E990000}"/>
    <cellStyle name="输出 2 15 7 5" xfId="39231" xr:uid="{00000000-0005-0000-0000-00006F990000}"/>
    <cellStyle name="输出 2 15 7 5 2" xfId="39232" xr:uid="{00000000-0005-0000-0000-000070990000}"/>
    <cellStyle name="输出 2 15 7 6" xfId="39233" xr:uid="{00000000-0005-0000-0000-000071990000}"/>
    <cellStyle name="输出 2 15 8" xfId="31441" xr:uid="{00000000-0005-0000-0000-0000017B0000}"/>
    <cellStyle name="输出 2 15 8 2" xfId="31446" xr:uid="{00000000-0005-0000-0000-0000067B0000}"/>
    <cellStyle name="输出 2 15 8 2 2" xfId="16610" xr:uid="{00000000-0005-0000-0000-000012410000}"/>
    <cellStyle name="输出 2 15 8 3" xfId="39234" xr:uid="{00000000-0005-0000-0000-000072990000}"/>
    <cellStyle name="输出 2 15 8 3 2" xfId="16626" xr:uid="{00000000-0005-0000-0000-000022410000}"/>
    <cellStyle name="输出 2 15 8 4" xfId="39235" xr:uid="{00000000-0005-0000-0000-000073990000}"/>
    <cellStyle name="输出 2 15 8 4 2" xfId="39236" xr:uid="{00000000-0005-0000-0000-000074990000}"/>
    <cellStyle name="输出 2 15 8 5" xfId="39237" xr:uid="{00000000-0005-0000-0000-000075990000}"/>
    <cellStyle name="输出 2 15 9" xfId="31451" xr:uid="{00000000-0005-0000-0000-00000B7B0000}"/>
    <cellStyle name="输出 2 15 9 2" xfId="31454" xr:uid="{00000000-0005-0000-0000-00000E7B0000}"/>
    <cellStyle name="输出 2 16" xfId="39239" xr:uid="{00000000-0005-0000-0000-000077990000}"/>
    <cellStyle name="输出 2 16 10" xfId="39242" xr:uid="{00000000-0005-0000-0000-00007A990000}"/>
    <cellStyle name="输出 2 16 10 2" xfId="39244" xr:uid="{00000000-0005-0000-0000-00007C990000}"/>
    <cellStyle name="输出 2 16 11" xfId="39246" xr:uid="{00000000-0005-0000-0000-00007E990000}"/>
    <cellStyle name="输出 2 16 11 2" xfId="39248" xr:uid="{00000000-0005-0000-0000-000080990000}"/>
    <cellStyle name="输出 2 16 12" xfId="39250" xr:uid="{00000000-0005-0000-0000-000082990000}"/>
    <cellStyle name="输出 2 16 12 2" xfId="39251" xr:uid="{00000000-0005-0000-0000-000083990000}"/>
    <cellStyle name="输出 2 16 13" xfId="39252" xr:uid="{00000000-0005-0000-0000-000084990000}"/>
    <cellStyle name="输出 2 16 14" xfId="39254" xr:uid="{00000000-0005-0000-0000-000086990000}"/>
    <cellStyle name="输出 2 16 15" xfId="11227" xr:uid="{00000000-0005-0000-0000-00000B2C0000}"/>
    <cellStyle name="输出 2 16 16" xfId="39256" xr:uid="{00000000-0005-0000-0000-000088990000}"/>
    <cellStyle name="输出 2 16 2" xfId="39260" xr:uid="{00000000-0005-0000-0000-00008C990000}"/>
    <cellStyle name="输出 2 16 2 2" xfId="39262" xr:uid="{00000000-0005-0000-0000-00008E990000}"/>
    <cellStyle name="输出 2 16 2 2 2" xfId="39263" xr:uid="{00000000-0005-0000-0000-00008F990000}"/>
    <cellStyle name="输出 2 16 2 3" xfId="39265" xr:uid="{00000000-0005-0000-0000-000091990000}"/>
    <cellStyle name="输出 2 16 2 3 2" xfId="39266" xr:uid="{00000000-0005-0000-0000-000092990000}"/>
    <cellStyle name="输出 2 16 2 4" xfId="20194" xr:uid="{00000000-0005-0000-0000-0000124F0000}"/>
    <cellStyle name="输出 2 16 2 4 2" xfId="39267" xr:uid="{00000000-0005-0000-0000-000093990000}"/>
    <cellStyle name="输出 2 16 2 5" xfId="39268" xr:uid="{00000000-0005-0000-0000-000094990000}"/>
    <cellStyle name="输出 2 16 2 5 2" xfId="39269" xr:uid="{00000000-0005-0000-0000-000095990000}"/>
    <cellStyle name="输出 2 16 2 6" xfId="39270" xr:uid="{00000000-0005-0000-0000-000096990000}"/>
    <cellStyle name="输出 2 16 2 7" xfId="39271" xr:uid="{00000000-0005-0000-0000-000097990000}"/>
    <cellStyle name="输出 2 16 2 8" xfId="39205" xr:uid="{00000000-0005-0000-0000-000055990000}"/>
    <cellStyle name="输出 2 16 2 9" xfId="39272" xr:uid="{00000000-0005-0000-0000-000098990000}"/>
    <cellStyle name="输出 2 16 3" xfId="39273" xr:uid="{00000000-0005-0000-0000-000099990000}"/>
    <cellStyle name="输出 2 16 3 2" xfId="39274" xr:uid="{00000000-0005-0000-0000-00009A990000}"/>
    <cellStyle name="输出 2 16 3 2 2" xfId="39275" xr:uid="{00000000-0005-0000-0000-00009B990000}"/>
    <cellStyle name="输出 2 16 3 3" xfId="39277" xr:uid="{00000000-0005-0000-0000-00009D990000}"/>
    <cellStyle name="输出 2 16 3 3 2" xfId="39278" xr:uid="{00000000-0005-0000-0000-00009E990000}"/>
    <cellStyle name="输出 2 16 3 4" xfId="20198" xr:uid="{00000000-0005-0000-0000-0000164F0000}"/>
    <cellStyle name="输出 2 16 3 4 2" xfId="39279" xr:uid="{00000000-0005-0000-0000-00009F990000}"/>
    <cellStyle name="输出 2 16 3 5" xfId="39280" xr:uid="{00000000-0005-0000-0000-0000A0990000}"/>
    <cellStyle name="输出 2 16 3 5 2" xfId="39281" xr:uid="{00000000-0005-0000-0000-0000A1990000}"/>
    <cellStyle name="输出 2 16 3 6" xfId="39282" xr:uid="{00000000-0005-0000-0000-0000A2990000}"/>
    <cellStyle name="输出 2 16 4" xfId="20822" xr:uid="{00000000-0005-0000-0000-000086510000}"/>
    <cellStyle name="输出 2 16 4 2" xfId="39284" xr:uid="{00000000-0005-0000-0000-0000A4990000}"/>
    <cellStyle name="输出 2 16 4 2 2" xfId="39286" xr:uid="{00000000-0005-0000-0000-0000A6990000}"/>
    <cellStyle name="输出 2 16 4 3" xfId="39289" xr:uid="{00000000-0005-0000-0000-0000A9990000}"/>
    <cellStyle name="输出 2 16 4 3 2" xfId="39292" xr:uid="{00000000-0005-0000-0000-0000AC990000}"/>
    <cellStyle name="输出 2 16 4 4" xfId="20204" xr:uid="{00000000-0005-0000-0000-00001C4F0000}"/>
    <cellStyle name="输出 2 16 4 4 2" xfId="39293" xr:uid="{00000000-0005-0000-0000-0000AD990000}"/>
    <cellStyle name="输出 2 16 4 5" xfId="39295" xr:uid="{00000000-0005-0000-0000-0000AF990000}"/>
    <cellStyle name="输出 2 16 4 5 2" xfId="35182" xr:uid="{00000000-0005-0000-0000-00009E890000}"/>
    <cellStyle name="输出 2 16 4 6" xfId="39297" xr:uid="{00000000-0005-0000-0000-0000B1990000}"/>
    <cellStyle name="输出 2 16 5" xfId="39298" xr:uid="{00000000-0005-0000-0000-0000B2990000}"/>
    <cellStyle name="输出 2 16 5 2" xfId="39300" xr:uid="{00000000-0005-0000-0000-0000B4990000}"/>
    <cellStyle name="输出 2 16 5 2 2" xfId="12827" xr:uid="{00000000-0005-0000-0000-00004B320000}"/>
    <cellStyle name="输出 2 16 5 3" xfId="39302" xr:uid="{00000000-0005-0000-0000-0000B6990000}"/>
    <cellStyle name="输出 2 16 5 3 2" xfId="17744" xr:uid="{00000000-0005-0000-0000-000080450000}"/>
    <cellStyle name="输出 2 16 5 4" xfId="39305" xr:uid="{00000000-0005-0000-0000-0000B9990000}"/>
    <cellStyle name="输出 2 16 5 4 2" xfId="39306" xr:uid="{00000000-0005-0000-0000-0000BA990000}"/>
    <cellStyle name="输出 2 16 5 5" xfId="39307" xr:uid="{00000000-0005-0000-0000-0000BB990000}"/>
    <cellStyle name="输出 2 16 5 5 2" xfId="39309" xr:uid="{00000000-0005-0000-0000-0000BD990000}"/>
    <cellStyle name="输出 2 16 5 6" xfId="39311" xr:uid="{00000000-0005-0000-0000-0000BF990000}"/>
    <cellStyle name="输出 2 16 6" xfId="20843" xr:uid="{00000000-0005-0000-0000-00009B510000}"/>
    <cellStyle name="输出 2 16 6 2" xfId="39314" xr:uid="{00000000-0005-0000-0000-0000C2990000}"/>
    <cellStyle name="输出 2 16 6 2 2" xfId="17904" xr:uid="{00000000-0005-0000-0000-000020460000}"/>
    <cellStyle name="输出 2 16 6 3" xfId="39316" xr:uid="{00000000-0005-0000-0000-0000C4990000}"/>
    <cellStyle name="输出 2 16 6 3 2" xfId="17927" xr:uid="{00000000-0005-0000-0000-000037460000}"/>
    <cellStyle name="输出 2 16 6 4" xfId="39319" xr:uid="{00000000-0005-0000-0000-0000C7990000}"/>
    <cellStyle name="输出 2 16 6 4 2" xfId="39320" xr:uid="{00000000-0005-0000-0000-0000C8990000}"/>
    <cellStyle name="输出 2 16 6 5" xfId="39321" xr:uid="{00000000-0005-0000-0000-0000C9990000}"/>
    <cellStyle name="输出 2 16 6 5 2" xfId="39322" xr:uid="{00000000-0005-0000-0000-0000CA990000}"/>
    <cellStyle name="输出 2 16 6 6" xfId="39323" xr:uid="{00000000-0005-0000-0000-0000CB990000}"/>
    <cellStyle name="输出 2 16 7" xfId="39324" xr:uid="{00000000-0005-0000-0000-0000CC990000}"/>
    <cellStyle name="输出 2 16 7 2" xfId="39326" xr:uid="{00000000-0005-0000-0000-0000CE990000}"/>
    <cellStyle name="输出 2 16 7 2 2" xfId="18123" xr:uid="{00000000-0005-0000-0000-0000FB460000}"/>
    <cellStyle name="输出 2 16 7 3" xfId="39328" xr:uid="{00000000-0005-0000-0000-0000D0990000}"/>
    <cellStyle name="输出 2 16 7 3 2" xfId="18169" xr:uid="{00000000-0005-0000-0000-000029470000}"/>
    <cellStyle name="输出 2 16 7 4" xfId="39331" xr:uid="{00000000-0005-0000-0000-0000D3990000}"/>
    <cellStyle name="输出 2 16 7 4 2" xfId="20859" xr:uid="{00000000-0005-0000-0000-0000AB510000}"/>
    <cellStyle name="输出 2 16 7 5" xfId="39332" xr:uid="{00000000-0005-0000-0000-0000D4990000}"/>
    <cellStyle name="输出 2 16 7 5 2" xfId="108" xr:uid="{00000000-0005-0000-0000-000075000000}"/>
    <cellStyle name="输出 2 16 7 6" xfId="39333" xr:uid="{00000000-0005-0000-0000-0000D5990000}"/>
    <cellStyle name="输出 2 16 8" xfId="31469" xr:uid="{00000000-0005-0000-0000-00001D7B0000}"/>
    <cellStyle name="输出 2 16 8 2" xfId="31475" xr:uid="{00000000-0005-0000-0000-0000237B0000}"/>
    <cellStyle name="输出 2 16 8 2 2" xfId="18413" xr:uid="{00000000-0005-0000-0000-00001D480000}"/>
    <cellStyle name="输出 2 16 8 3" xfId="39335" xr:uid="{00000000-0005-0000-0000-0000D7990000}"/>
    <cellStyle name="输出 2 16 8 3 2" xfId="18464" xr:uid="{00000000-0005-0000-0000-000050480000}"/>
    <cellStyle name="输出 2 16 8 4" xfId="39337" xr:uid="{00000000-0005-0000-0000-0000D9990000}"/>
    <cellStyle name="输出 2 16 8 4 2" xfId="20876" xr:uid="{00000000-0005-0000-0000-0000BC510000}"/>
    <cellStyle name="输出 2 16 8 5" xfId="39338" xr:uid="{00000000-0005-0000-0000-0000DA990000}"/>
    <cellStyle name="输出 2 16 9" xfId="31478" xr:uid="{00000000-0005-0000-0000-0000267B0000}"/>
    <cellStyle name="输出 2 16 9 2" xfId="31484" xr:uid="{00000000-0005-0000-0000-00002C7B0000}"/>
    <cellStyle name="输出 2 17" xfId="39340" xr:uid="{00000000-0005-0000-0000-0000DC990000}"/>
    <cellStyle name="输出 2 17 10" xfId="16826" xr:uid="{00000000-0005-0000-0000-0000EA410000}"/>
    <cellStyle name="输出 2 17 10 2" xfId="39343" xr:uid="{00000000-0005-0000-0000-0000DF990000}"/>
    <cellStyle name="输出 2 17 11" xfId="297" xr:uid="{00000000-0005-0000-0000-000047010000}"/>
    <cellStyle name="输出 2 17 11 2" xfId="2306" xr:uid="{00000000-0005-0000-0000-000032090000}"/>
    <cellStyle name="输出 2 17 12" xfId="5037" xr:uid="{00000000-0005-0000-0000-0000DD130000}"/>
    <cellStyle name="输出 2 17 12 2" xfId="39344" xr:uid="{00000000-0005-0000-0000-0000E0990000}"/>
    <cellStyle name="输出 2 17 13" xfId="39345" xr:uid="{00000000-0005-0000-0000-0000E1990000}"/>
    <cellStyle name="输出 2 17 14" xfId="39347" xr:uid="{00000000-0005-0000-0000-0000E3990000}"/>
    <cellStyle name="输出 2 17 15" xfId="38056" xr:uid="{00000000-0005-0000-0000-0000D8940000}"/>
    <cellStyle name="输出 2 17 16" xfId="7287" xr:uid="{00000000-0005-0000-0000-0000A71C0000}"/>
    <cellStyle name="输出 2 17 2" xfId="39350" xr:uid="{00000000-0005-0000-0000-0000E6990000}"/>
    <cellStyle name="输出 2 17 2 2" xfId="39352" xr:uid="{00000000-0005-0000-0000-0000E8990000}"/>
    <cellStyle name="输出 2 17 2 2 2" xfId="39353" xr:uid="{00000000-0005-0000-0000-0000E9990000}"/>
    <cellStyle name="输出 2 17 2 3" xfId="39355" xr:uid="{00000000-0005-0000-0000-0000EB990000}"/>
    <cellStyle name="输出 2 17 2 3 2" xfId="39356" xr:uid="{00000000-0005-0000-0000-0000EC990000}"/>
    <cellStyle name="输出 2 17 2 4" xfId="16162" xr:uid="{00000000-0005-0000-0000-0000523F0000}"/>
    <cellStyle name="输出 2 17 2 4 2" xfId="39357" xr:uid="{00000000-0005-0000-0000-0000ED990000}"/>
    <cellStyle name="输出 2 17 2 5" xfId="853" xr:uid="{00000000-0005-0000-0000-000085030000}"/>
    <cellStyle name="输出 2 17 2 5 2" xfId="39358" xr:uid="{00000000-0005-0000-0000-0000EE990000}"/>
    <cellStyle name="输出 2 17 2 6" xfId="39359" xr:uid="{00000000-0005-0000-0000-0000EF990000}"/>
    <cellStyle name="输出 2 17 3" xfId="39360" xr:uid="{00000000-0005-0000-0000-0000F0990000}"/>
    <cellStyle name="输出 2 17 3 2" xfId="39361" xr:uid="{00000000-0005-0000-0000-0000F1990000}"/>
    <cellStyle name="输出 2 17 3 2 2" xfId="39362" xr:uid="{00000000-0005-0000-0000-0000F2990000}"/>
    <cellStyle name="输出 2 17 3 3" xfId="39364" xr:uid="{00000000-0005-0000-0000-0000F4990000}"/>
    <cellStyle name="输出 2 17 3 3 2" xfId="39365" xr:uid="{00000000-0005-0000-0000-0000F5990000}"/>
    <cellStyle name="输出 2 17 3 4" xfId="865" xr:uid="{00000000-0005-0000-0000-000091030000}"/>
    <cellStyle name="输出 2 17 3 4 2" xfId="8505" xr:uid="{00000000-0005-0000-0000-000069210000}"/>
    <cellStyle name="输出 2 17 3 5" xfId="884" xr:uid="{00000000-0005-0000-0000-0000A4030000}"/>
    <cellStyle name="输出 2 17 3 5 2" xfId="1022" xr:uid="{00000000-0005-0000-0000-00002E040000}"/>
    <cellStyle name="输出 2 17 3 6" xfId="9364" xr:uid="{00000000-0005-0000-0000-0000C4240000}"/>
    <cellStyle name="输出 2 17 4" xfId="20942" xr:uid="{00000000-0005-0000-0000-0000FE510000}"/>
    <cellStyle name="输出 2 17 4 2" xfId="39367" xr:uid="{00000000-0005-0000-0000-0000F7990000}"/>
    <cellStyle name="输出 2 17 4 2 2" xfId="39369" xr:uid="{00000000-0005-0000-0000-0000F9990000}"/>
    <cellStyle name="输出 2 17 4 3" xfId="39372" xr:uid="{00000000-0005-0000-0000-0000FC990000}"/>
    <cellStyle name="输出 2 17 4 3 2" xfId="39375" xr:uid="{00000000-0005-0000-0000-0000FF990000}"/>
    <cellStyle name="输出 2 17 4 4" xfId="906" xr:uid="{00000000-0005-0000-0000-0000BA030000}"/>
    <cellStyle name="输出 2 17 4 4 2" xfId="9379" xr:uid="{00000000-0005-0000-0000-0000D3240000}"/>
    <cellStyle name="输出 2 17 4 5" xfId="917" xr:uid="{00000000-0005-0000-0000-0000C5030000}"/>
    <cellStyle name="输出 2 17 4 5 2" xfId="9383" xr:uid="{00000000-0005-0000-0000-0000D7240000}"/>
    <cellStyle name="输出 2 17 4 6" xfId="9388" xr:uid="{00000000-0005-0000-0000-0000DC240000}"/>
    <cellStyle name="输出 2 17 5" xfId="39376" xr:uid="{00000000-0005-0000-0000-0000009A0000}"/>
    <cellStyle name="输出 2 17 5 2" xfId="39378" xr:uid="{00000000-0005-0000-0000-0000029A0000}"/>
    <cellStyle name="输出 2 17 5 2 2" xfId="19562" xr:uid="{00000000-0005-0000-0000-00009A4C0000}"/>
    <cellStyle name="输出 2 17 5 3" xfId="1304" xr:uid="{00000000-0005-0000-0000-000048050000}"/>
    <cellStyle name="输出 2 17 5 3 2" xfId="3279" xr:uid="{00000000-0005-0000-0000-0000FF0C0000}"/>
    <cellStyle name="输出 2 17 5 4" xfId="1311" xr:uid="{00000000-0005-0000-0000-00004F050000}"/>
    <cellStyle name="输出 2 17 5 4 2" xfId="3363" xr:uid="{00000000-0005-0000-0000-0000530D0000}"/>
    <cellStyle name="输出 2 17 5 5" xfId="1332" xr:uid="{00000000-0005-0000-0000-000064050000}"/>
    <cellStyle name="输出 2 17 5 5 2" xfId="3392" xr:uid="{00000000-0005-0000-0000-0000700D0000}"/>
    <cellStyle name="输出 2 17 5 6" xfId="1340" xr:uid="{00000000-0005-0000-0000-00006C050000}"/>
    <cellStyle name="输出 2 17 6" xfId="20959" xr:uid="{00000000-0005-0000-0000-00000F520000}"/>
    <cellStyle name="输出 2 17 6 2" xfId="39380" xr:uid="{00000000-0005-0000-0000-0000049A0000}"/>
    <cellStyle name="输出 2 17 6 2 2" xfId="19698" xr:uid="{00000000-0005-0000-0000-0000224D0000}"/>
    <cellStyle name="输出 2 17 6 3" xfId="2208" xr:uid="{00000000-0005-0000-0000-0000D0080000}"/>
    <cellStyle name="输出 2 17 6 3 2" xfId="2063" xr:uid="{00000000-0005-0000-0000-00003F080000}"/>
    <cellStyle name="输出 2 17 6 4" xfId="2216" xr:uid="{00000000-0005-0000-0000-0000D8080000}"/>
    <cellStyle name="输出 2 17 6 4 2" xfId="3618" xr:uid="{00000000-0005-0000-0000-0000520E0000}"/>
    <cellStyle name="输出 2 17 6 5" xfId="2221" xr:uid="{00000000-0005-0000-0000-0000DD080000}"/>
    <cellStyle name="输出 2 17 6 5 2" xfId="3630" xr:uid="{00000000-0005-0000-0000-00005E0E0000}"/>
    <cellStyle name="输出 2 17 6 6" xfId="3538" xr:uid="{00000000-0005-0000-0000-0000020E0000}"/>
    <cellStyle name="输出 2 17 7" xfId="39381" xr:uid="{00000000-0005-0000-0000-0000059A0000}"/>
    <cellStyle name="输出 2 17 7 2" xfId="39383" xr:uid="{00000000-0005-0000-0000-0000079A0000}"/>
    <cellStyle name="输出 2 17 7 2 2" xfId="19816" xr:uid="{00000000-0005-0000-0000-0000984D0000}"/>
    <cellStyle name="输出 2 17 7 3" xfId="1565" xr:uid="{00000000-0005-0000-0000-00004D060000}"/>
    <cellStyle name="输出 2 17 7 3 2" xfId="456" xr:uid="{00000000-0005-0000-0000-0000F2010000}"/>
    <cellStyle name="输出 2 17 7 4" xfId="1573" xr:uid="{00000000-0005-0000-0000-000055060000}"/>
    <cellStyle name="输出 2 17 7 4 2" xfId="1587" xr:uid="{00000000-0005-0000-0000-000063060000}"/>
    <cellStyle name="输出 2 17 7 5" xfId="1600" xr:uid="{00000000-0005-0000-0000-000070060000}"/>
    <cellStyle name="输出 2 17 7 5 2" xfId="3656" xr:uid="{00000000-0005-0000-0000-0000780E0000}"/>
    <cellStyle name="输出 2 17 7 6" xfId="3664" xr:uid="{00000000-0005-0000-0000-0000800E0000}"/>
    <cellStyle name="输出 2 17 8" xfId="31507" xr:uid="{00000000-0005-0000-0000-0000437B0000}"/>
    <cellStyle name="输出 2 17 8 2" xfId="31511" xr:uid="{00000000-0005-0000-0000-0000477B0000}"/>
    <cellStyle name="输出 2 17 8 2 2" xfId="19908" xr:uid="{00000000-0005-0000-0000-0000F44D0000}"/>
    <cellStyle name="输出 2 17 8 3" xfId="1443" xr:uid="{00000000-0005-0000-0000-0000D3050000}"/>
    <cellStyle name="输出 2 17 8 3 2" xfId="1451" xr:uid="{00000000-0005-0000-0000-0000DB050000}"/>
    <cellStyle name="输出 2 17 8 4" xfId="1469" xr:uid="{00000000-0005-0000-0000-0000ED050000}"/>
    <cellStyle name="输出 2 17 8 4 2" xfId="3697" xr:uid="{00000000-0005-0000-0000-0000A10E0000}"/>
    <cellStyle name="输出 2 17 8 5" xfId="1480" xr:uid="{00000000-0005-0000-0000-0000F8050000}"/>
    <cellStyle name="输出 2 17 9" xfId="20974" xr:uid="{00000000-0005-0000-0000-00001E520000}"/>
    <cellStyle name="输出 2 17 9 2" xfId="20979" xr:uid="{00000000-0005-0000-0000-000023520000}"/>
    <cellStyle name="输出 2 18" xfId="36569" xr:uid="{00000000-0005-0000-0000-0000098F0000}"/>
    <cellStyle name="输出 2 18 2" xfId="39384" xr:uid="{00000000-0005-0000-0000-0000089A0000}"/>
    <cellStyle name="输出 2 18 2 2" xfId="39387" xr:uid="{00000000-0005-0000-0000-00000B9A0000}"/>
    <cellStyle name="输出 2 18 3" xfId="39390" xr:uid="{00000000-0005-0000-0000-00000E9A0000}"/>
    <cellStyle name="输出 2 18 3 2" xfId="39392" xr:uid="{00000000-0005-0000-0000-0000109A0000}"/>
    <cellStyle name="输出 2 18 4" xfId="21023" xr:uid="{00000000-0005-0000-0000-00004F520000}"/>
    <cellStyle name="输出 2 18 4 2" xfId="15607" xr:uid="{00000000-0005-0000-0000-0000273D0000}"/>
    <cellStyle name="输出 2 18 5" xfId="39394" xr:uid="{00000000-0005-0000-0000-0000129A0000}"/>
    <cellStyle name="输出 2 18 6" xfId="39396" xr:uid="{00000000-0005-0000-0000-0000149A0000}"/>
    <cellStyle name="输出 2 18 7" xfId="39399" xr:uid="{00000000-0005-0000-0000-0000179A0000}"/>
    <cellStyle name="输出 2 18 8" xfId="31514" xr:uid="{00000000-0005-0000-0000-00004A7B0000}"/>
    <cellStyle name="输出 2 19" xfId="39402" xr:uid="{00000000-0005-0000-0000-00001A9A0000}"/>
    <cellStyle name="输出 2 19 2" xfId="28343" xr:uid="{00000000-0005-0000-0000-0000E76E0000}"/>
    <cellStyle name="输出 2 2" xfId="37346" xr:uid="{00000000-0005-0000-0000-000012920000}"/>
    <cellStyle name="输出 2 2 10" xfId="25915" xr:uid="{00000000-0005-0000-0000-00006B650000}"/>
    <cellStyle name="输出 2 2 10 10" xfId="30793" xr:uid="{00000000-0005-0000-0000-000079780000}"/>
    <cellStyle name="输出 2 2 10 10 2" xfId="30797" xr:uid="{00000000-0005-0000-0000-00007D780000}"/>
    <cellStyle name="输出 2 2 10 11" xfId="30801" xr:uid="{00000000-0005-0000-0000-000081780000}"/>
    <cellStyle name="输出 2 2 10 11 2" xfId="30805" xr:uid="{00000000-0005-0000-0000-000085780000}"/>
    <cellStyle name="输出 2 2 10 12" xfId="30809" xr:uid="{00000000-0005-0000-0000-000089780000}"/>
    <cellStyle name="输出 2 2 10 12 2" xfId="30812" xr:uid="{00000000-0005-0000-0000-00008C780000}"/>
    <cellStyle name="输出 2 2 10 13" xfId="30815" xr:uid="{00000000-0005-0000-0000-00008F780000}"/>
    <cellStyle name="输出 2 2 10 14" xfId="30819" xr:uid="{00000000-0005-0000-0000-000093780000}"/>
    <cellStyle name="输出 2 2 10 15" xfId="30821" xr:uid="{00000000-0005-0000-0000-000095780000}"/>
    <cellStyle name="输出 2 2 10 16" xfId="30823" xr:uid="{00000000-0005-0000-0000-000097780000}"/>
    <cellStyle name="输出 2 2 10 2" xfId="25918" xr:uid="{00000000-0005-0000-0000-00006E650000}"/>
    <cellStyle name="输出 2 2 10 2 2" xfId="31912" xr:uid="{00000000-0005-0000-0000-0000D87C0000}"/>
    <cellStyle name="输出 2 2 10 2 2 2" xfId="39404" xr:uid="{00000000-0005-0000-0000-00001C9A0000}"/>
    <cellStyle name="输出 2 2 10 2 3" xfId="23375" xr:uid="{00000000-0005-0000-0000-00007F5B0000}"/>
    <cellStyle name="输出 2 2 10 2 3 2" xfId="36864" xr:uid="{00000000-0005-0000-0000-000030900000}"/>
    <cellStyle name="输出 2 2 10 2 4" xfId="39405" xr:uid="{00000000-0005-0000-0000-00001D9A0000}"/>
    <cellStyle name="输出 2 2 10 2 4 2" xfId="39406" xr:uid="{00000000-0005-0000-0000-00001E9A0000}"/>
    <cellStyle name="输出 2 2 10 2 5" xfId="15741" xr:uid="{00000000-0005-0000-0000-0000AD3D0000}"/>
    <cellStyle name="输出 2 2 10 2 5 2" xfId="39408" xr:uid="{00000000-0005-0000-0000-0000209A0000}"/>
    <cellStyle name="输出 2 2 10 2 6" xfId="39409" xr:uid="{00000000-0005-0000-0000-0000219A0000}"/>
    <cellStyle name="输出 2 2 10 2 7" xfId="39410" xr:uid="{00000000-0005-0000-0000-0000229A0000}"/>
    <cellStyle name="输出 2 2 10 2 8" xfId="39411" xr:uid="{00000000-0005-0000-0000-0000239A0000}"/>
    <cellStyle name="输出 2 2 10 2 9" xfId="36402" xr:uid="{00000000-0005-0000-0000-0000628E0000}"/>
    <cellStyle name="输出 2 2 10 3" xfId="31915" xr:uid="{00000000-0005-0000-0000-0000DB7C0000}"/>
    <cellStyle name="输出 2 2 10 3 2" xfId="31918" xr:uid="{00000000-0005-0000-0000-0000DE7C0000}"/>
    <cellStyle name="输出 2 2 10 3 2 2" xfId="39412" xr:uid="{00000000-0005-0000-0000-0000249A0000}"/>
    <cellStyle name="输出 2 2 10 3 3" xfId="23377" xr:uid="{00000000-0005-0000-0000-0000815B0000}"/>
    <cellStyle name="输出 2 2 10 3 3 2" xfId="39413" xr:uid="{00000000-0005-0000-0000-0000259A0000}"/>
    <cellStyle name="输出 2 2 10 3 4" xfId="39414" xr:uid="{00000000-0005-0000-0000-0000269A0000}"/>
    <cellStyle name="输出 2 2 10 3 4 2" xfId="39415" xr:uid="{00000000-0005-0000-0000-0000279A0000}"/>
    <cellStyle name="输出 2 2 10 3 5" xfId="15754" xr:uid="{00000000-0005-0000-0000-0000BA3D0000}"/>
    <cellStyle name="输出 2 2 10 3 5 2" xfId="39416" xr:uid="{00000000-0005-0000-0000-0000289A0000}"/>
    <cellStyle name="输出 2 2 10 3 6" xfId="39417" xr:uid="{00000000-0005-0000-0000-0000299A0000}"/>
    <cellStyle name="输出 2 2 10 4" xfId="31922" xr:uid="{00000000-0005-0000-0000-0000E27C0000}"/>
    <cellStyle name="输出 2 2 10 4 2" xfId="39418" xr:uid="{00000000-0005-0000-0000-00002A9A0000}"/>
    <cellStyle name="输出 2 2 10 4 2 2" xfId="39419" xr:uid="{00000000-0005-0000-0000-00002B9A0000}"/>
    <cellStyle name="输出 2 2 10 4 3" xfId="39420" xr:uid="{00000000-0005-0000-0000-00002C9A0000}"/>
    <cellStyle name="输出 2 2 10 4 3 2" xfId="39421" xr:uid="{00000000-0005-0000-0000-00002D9A0000}"/>
    <cellStyle name="输出 2 2 10 4 4" xfId="7156" xr:uid="{00000000-0005-0000-0000-0000241C0000}"/>
    <cellStyle name="输出 2 2 10 4 4 2" xfId="39422" xr:uid="{00000000-0005-0000-0000-00002E9A0000}"/>
    <cellStyle name="输出 2 2 10 4 5" xfId="19199" xr:uid="{00000000-0005-0000-0000-00002F4B0000}"/>
    <cellStyle name="输出 2 2 10 4 5 2" xfId="39423" xr:uid="{00000000-0005-0000-0000-00002F9A0000}"/>
    <cellStyle name="输出 2 2 10 4 6" xfId="5336" xr:uid="{00000000-0005-0000-0000-000008150000}"/>
    <cellStyle name="输出 2 2 10 5" xfId="39424" xr:uid="{00000000-0005-0000-0000-0000309A0000}"/>
    <cellStyle name="输出 2 2 10 5 2" xfId="39425" xr:uid="{00000000-0005-0000-0000-0000319A0000}"/>
    <cellStyle name="输出 2 2 10 5 2 2" xfId="39426" xr:uid="{00000000-0005-0000-0000-0000329A0000}"/>
    <cellStyle name="输出 2 2 10 5 3" xfId="39427" xr:uid="{00000000-0005-0000-0000-0000339A0000}"/>
    <cellStyle name="输出 2 2 10 5 3 2" xfId="39428" xr:uid="{00000000-0005-0000-0000-0000349A0000}"/>
    <cellStyle name="输出 2 2 10 5 4" xfId="442" xr:uid="{00000000-0005-0000-0000-0000E3010000}"/>
    <cellStyle name="输出 2 2 10 5 4 2" xfId="39429" xr:uid="{00000000-0005-0000-0000-0000359A0000}"/>
    <cellStyle name="输出 2 2 10 5 5" xfId="484" xr:uid="{00000000-0005-0000-0000-000010020000}"/>
    <cellStyle name="输出 2 2 10 5 5 2" xfId="13793" xr:uid="{00000000-0005-0000-0000-000011360000}"/>
    <cellStyle name="输出 2 2 10 5 6" xfId="526" xr:uid="{00000000-0005-0000-0000-00003D020000}"/>
    <cellStyle name="输出 2 2 10 6" xfId="39430" xr:uid="{00000000-0005-0000-0000-0000369A0000}"/>
    <cellStyle name="输出 2 2 10 6 2" xfId="39431" xr:uid="{00000000-0005-0000-0000-0000379A0000}"/>
    <cellStyle name="输出 2 2 10 6 2 2" xfId="39434" xr:uid="{00000000-0005-0000-0000-00003A9A0000}"/>
    <cellStyle name="输出 2 2 10 6 3" xfId="39435" xr:uid="{00000000-0005-0000-0000-00003B9A0000}"/>
    <cellStyle name="输出 2 2 10 6 3 2" xfId="39438" xr:uid="{00000000-0005-0000-0000-00003E9A0000}"/>
    <cellStyle name="输出 2 2 10 6 4" xfId="7171" xr:uid="{00000000-0005-0000-0000-0000331C0000}"/>
    <cellStyle name="输出 2 2 10 6 4 2" xfId="39441" xr:uid="{00000000-0005-0000-0000-0000419A0000}"/>
    <cellStyle name="输出 2 2 10 6 5" xfId="39443" xr:uid="{00000000-0005-0000-0000-0000439A0000}"/>
    <cellStyle name="输出 2 2 10 6 5 2" xfId="39446" xr:uid="{00000000-0005-0000-0000-0000469A0000}"/>
    <cellStyle name="输出 2 2 10 6 6" xfId="19242" xr:uid="{00000000-0005-0000-0000-00005A4B0000}"/>
    <cellStyle name="输出 2 2 10 7" xfId="7654" xr:uid="{00000000-0005-0000-0000-0000161E0000}"/>
    <cellStyle name="输出 2 2 10 7 2" xfId="39447" xr:uid="{00000000-0005-0000-0000-0000479A0000}"/>
    <cellStyle name="输出 2 2 10 7 2 2" xfId="39448" xr:uid="{00000000-0005-0000-0000-0000489A0000}"/>
    <cellStyle name="输出 2 2 10 7 3" xfId="39449" xr:uid="{00000000-0005-0000-0000-0000499A0000}"/>
    <cellStyle name="输出 2 2 10 7 3 2" xfId="39450" xr:uid="{00000000-0005-0000-0000-00004A9A0000}"/>
    <cellStyle name="输出 2 2 10 7 4" xfId="39451" xr:uid="{00000000-0005-0000-0000-00004B9A0000}"/>
    <cellStyle name="输出 2 2 10 7 4 2" xfId="39452" xr:uid="{00000000-0005-0000-0000-00004C9A0000}"/>
    <cellStyle name="输出 2 2 10 7 5" xfId="39454" xr:uid="{00000000-0005-0000-0000-00004E9A0000}"/>
    <cellStyle name="输出 2 2 10 7 5 2" xfId="39455" xr:uid="{00000000-0005-0000-0000-00004F9A0000}"/>
    <cellStyle name="输出 2 2 10 7 6" xfId="19261" xr:uid="{00000000-0005-0000-0000-00006D4B0000}"/>
    <cellStyle name="输出 2 2 10 8" xfId="8983" xr:uid="{00000000-0005-0000-0000-000047230000}"/>
    <cellStyle name="输出 2 2 10 8 2" xfId="39456" xr:uid="{00000000-0005-0000-0000-0000509A0000}"/>
    <cellStyle name="输出 2 2 10 8 2 2" xfId="2536" xr:uid="{00000000-0005-0000-0000-0000180A0000}"/>
    <cellStyle name="输出 2 2 10 8 3" xfId="39457" xr:uid="{00000000-0005-0000-0000-0000519A0000}"/>
    <cellStyle name="输出 2 2 10 8 3 2" xfId="5541" xr:uid="{00000000-0005-0000-0000-0000D5150000}"/>
    <cellStyle name="输出 2 2 10 8 4" xfId="39458" xr:uid="{00000000-0005-0000-0000-0000529A0000}"/>
    <cellStyle name="输出 2 2 10 8 4 2" xfId="5970" xr:uid="{00000000-0005-0000-0000-000082170000}"/>
    <cellStyle name="输出 2 2 10 8 5" xfId="39459" xr:uid="{00000000-0005-0000-0000-0000539A0000}"/>
    <cellStyle name="输出 2 2 10 9" xfId="39460" xr:uid="{00000000-0005-0000-0000-0000549A0000}"/>
    <cellStyle name="输出 2 2 10 9 2" xfId="2617" xr:uid="{00000000-0005-0000-0000-0000690A0000}"/>
    <cellStyle name="输出 2 2 11" xfId="25920" xr:uid="{00000000-0005-0000-0000-000070650000}"/>
    <cellStyle name="输出 2 2 11 10" xfId="30932" xr:uid="{00000000-0005-0000-0000-000004790000}"/>
    <cellStyle name="输出 2 2 11 10 2" xfId="30936" xr:uid="{00000000-0005-0000-0000-000008790000}"/>
    <cellStyle name="输出 2 2 11 11" xfId="30942" xr:uid="{00000000-0005-0000-0000-00000E790000}"/>
    <cellStyle name="输出 2 2 11 11 2" xfId="30947" xr:uid="{00000000-0005-0000-0000-000013790000}"/>
    <cellStyle name="输出 2 2 11 12" xfId="30952" xr:uid="{00000000-0005-0000-0000-000018790000}"/>
    <cellStyle name="输出 2 2 11 12 2" xfId="30959" xr:uid="{00000000-0005-0000-0000-00001F790000}"/>
    <cellStyle name="输出 2 2 11 13" xfId="30962" xr:uid="{00000000-0005-0000-0000-000022790000}"/>
    <cellStyle name="输出 2 2 11 14" xfId="38883" xr:uid="{00000000-0005-0000-0000-000013980000}"/>
    <cellStyle name="输出 2 2 11 15" xfId="38885" xr:uid="{00000000-0005-0000-0000-000015980000}"/>
    <cellStyle name="输出 2 2 11 16" xfId="38887" xr:uid="{00000000-0005-0000-0000-000017980000}"/>
    <cellStyle name="输出 2 2 11 2" xfId="25924" xr:uid="{00000000-0005-0000-0000-000074650000}"/>
    <cellStyle name="输出 2 2 11 2 2" xfId="31936" xr:uid="{00000000-0005-0000-0000-0000F07C0000}"/>
    <cellStyle name="输出 2 2 11 2 2 2" xfId="39461" xr:uid="{00000000-0005-0000-0000-0000559A0000}"/>
    <cellStyle name="输出 2 2 11 2 3" xfId="22593" xr:uid="{00000000-0005-0000-0000-000071580000}"/>
    <cellStyle name="输出 2 2 11 2 3 2" xfId="37353" xr:uid="{00000000-0005-0000-0000-000019920000}"/>
    <cellStyle name="输出 2 2 11 2 4" xfId="39462" xr:uid="{00000000-0005-0000-0000-0000569A0000}"/>
    <cellStyle name="输出 2 2 11 2 4 2" xfId="39463" xr:uid="{00000000-0005-0000-0000-0000579A0000}"/>
    <cellStyle name="输出 2 2 11 2 5" xfId="15782" xr:uid="{00000000-0005-0000-0000-0000D63D0000}"/>
    <cellStyle name="输出 2 2 11 2 5 2" xfId="39464" xr:uid="{00000000-0005-0000-0000-0000589A0000}"/>
    <cellStyle name="输出 2 2 11 2 6" xfId="39465" xr:uid="{00000000-0005-0000-0000-0000599A0000}"/>
    <cellStyle name="输出 2 2 11 3" xfId="31940" xr:uid="{00000000-0005-0000-0000-0000F47C0000}"/>
    <cellStyle name="输出 2 2 11 3 2" xfId="39466" xr:uid="{00000000-0005-0000-0000-00005A9A0000}"/>
    <cellStyle name="输出 2 2 11 3 2 2" xfId="39468" xr:uid="{00000000-0005-0000-0000-00005C9A0000}"/>
    <cellStyle name="输出 2 2 11 3 3" xfId="39470" xr:uid="{00000000-0005-0000-0000-00005E9A0000}"/>
    <cellStyle name="输出 2 2 11 3 3 2" xfId="39472" xr:uid="{00000000-0005-0000-0000-0000609A0000}"/>
    <cellStyle name="输出 2 2 11 3 4" xfId="39474" xr:uid="{00000000-0005-0000-0000-0000629A0000}"/>
    <cellStyle name="输出 2 2 11 3 4 2" xfId="39475" xr:uid="{00000000-0005-0000-0000-0000639A0000}"/>
    <cellStyle name="输出 2 2 11 3 5" xfId="15797" xr:uid="{00000000-0005-0000-0000-0000E53D0000}"/>
    <cellStyle name="输出 2 2 11 3 5 2" xfId="39476" xr:uid="{00000000-0005-0000-0000-0000649A0000}"/>
    <cellStyle name="输出 2 2 11 3 6" xfId="39477" xr:uid="{00000000-0005-0000-0000-0000659A0000}"/>
    <cellStyle name="输出 2 2 11 4" xfId="38361" xr:uid="{00000000-0005-0000-0000-000009960000}"/>
    <cellStyle name="输出 2 2 11 4 2" xfId="2329" xr:uid="{00000000-0005-0000-0000-000049090000}"/>
    <cellStyle name="输出 2 2 11 4 2 2" xfId="39478" xr:uid="{00000000-0005-0000-0000-0000669A0000}"/>
    <cellStyle name="输出 2 2 11 4 3" xfId="6143" xr:uid="{00000000-0005-0000-0000-00002F180000}"/>
    <cellStyle name="输出 2 2 11 4 3 2" xfId="39480" xr:uid="{00000000-0005-0000-0000-0000689A0000}"/>
    <cellStyle name="输出 2 2 11 4 4" xfId="7208" xr:uid="{00000000-0005-0000-0000-0000581C0000}"/>
    <cellStyle name="输出 2 2 11 4 4 2" xfId="39482" xr:uid="{00000000-0005-0000-0000-00006A9A0000}"/>
    <cellStyle name="输出 2 2 11 4 5" xfId="11501" xr:uid="{00000000-0005-0000-0000-00001D2D0000}"/>
    <cellStyle name="输出 2 2 11 4 5 2" xfId="39483" xr:uid="{00000000-0005-0000-0000-00006B9A0000}"/>
    <cellStyle name="输出 2 2 11 4 6" xfId="5343" xr:uid="{00000000-0005-0000-0000-00000F150000}"/>
    <cellStyle name="输出 2 2 11 5" xfId="39484" xr:uid="{00000000-0005-0000-0000-00006C9A0000}"/>
    <cellStyle name="输出 2 2 11 5 2" xfId="39485" xr:uid="{00000000-0005-0000-0000-00006D9A0000}"/>
    <cellStyle name="输出 2 2 11 5 2 2" xfId="39487" xr:uid="{00000000-0005-0000-0000-00006F9A0000}"/>
    <cellStyle name="输出 2 2 11 5 3" xfId="39488" xr:uid="{00000000-0005-0000-0000-0000709A0000}"/>
    <cellStyle name="输出 2 2 11 5 3 2" xfId="39490" xr:uid="{00000000-0005-0000-0000-0000729A0000}"/>
    <cellStyle name="输出 2 2 11 5 4" xfId="39491" xr:uid="{00000000-0005-0000-0000-0000739A0000}"/>
    <cellStyle name="输出 2 2 11 5 4 2" xfId="39493" xr:uid="{00000000-0005-0000-0000-0000759A0000}"/>
    <cellStyle name="输出 2 2 11 5 5" xfId="19215" xr:uid="{00000000-0005-0000-0000-00003F4B0000}"/>
    <cellStyle name="输出 2 2 11 5 5 2" xfId="21405" xr:uid="{00000000-0005-0000-0000-0000CD530000}"/>
    <cellStyle name="输出 2 2 11 5 6" xfId="19322" xr:uid="{00000000-0005-0000-0000-0000AA4B0000}"/>
    <cellStyle name="输出 2 2 11 6" xfId="39495" xr:uid="{00000000-0005-0000-0000-0000779A0000}"/>
    <cellStyle name="输出 2 2 11 6 2" xfId="39497" xr:uid="{00000000-0005-0000-0000-0000799A0000}"/>
    <cellStyle name="输出 2 2 11 6 2 2" xfId="2978" xr:uid="{00000000-0005-0000-0000-0000D20B0000}"/>
    <cellStyle name="输出 2 2 11 6 3" xfId="39498" xr:uid="{00000000-0005-0000-0000-00007A9A0000}"/>
    <cellStyle name="输出 2 2 11 6 3 2" xfId="16643" xr:uid="{00000000-0005-0000-0000-000033410000}"/>
    <cellStyle name="输出 2 2 11 6 4" xfId="39499" xr:uid="{00000000-0005-0000-0000-00007B9A0000}"/>
    <cellStyle name="输出 2 2 11 6 4 2" xfId="18515" xr:uid="{00000000-0005-0000-0000-000083480000}"/>
    <cellStyle name="输出 2 2 11 6 5" xfId="39500" xr:uid="{00000000-0005-0000-0000-00007C9A0000}"/>
    <cellStyle name="输出 2 2 11 6 5 2" xfId="19919" xr:uid="{00000000-0005-0000-0000-0000FF4D0000}"/>
    <cellStyle name="输出 2 2 11 6 6" xfId="19326" xr:uid="{00000000-0005-0000-0000-0000AE4B0000}"/>
    <cellStyle name="输出 2 2 11 7" xfId="39501" xr:uid="{00000000-0005-0000-0000-00007D9A0000}"/>
    <cellStyle name="输出 2 2 11 7 2" xfId="39502" xr:uid="{00000000-0005-0000-0000-00007E9A0000}"/>
    <cellStyle name="输出 2 2 11 7 2 2" xfId="39503" xr:uid="{00000000-0005-0000-0000-00007F9A0000}"/>
    <cellStyle name="输出 2 2 11 7 3" xfId="39504" xr:uid="{00000000-0005-0000-0000-0000809A0000}"/>
    <cellStyle name="输出 2 2 11 7 3 2" xfId="39505" xr:uid="{00000000-0005-0000-0000-0000819A0000}"/>
    <cellStyle name="输出 2 2 11 7 4" xfId="39506" xr:uid="{00000000-0005-0000-0000-0000829A0000}"/>
    <cellStyle name="输出 2 2 11 7 4 2" xfId="39507" xr:uid="{00000000-0005-0000-0000-0000839A0000}"/>
    <cellStyle name="输出 2 2 11 7 5" xfId="39508" xr:uid="{00000000-0005-0000-0000-0000849A0000}"/>
    <cellStyle name="输出 2 2 11 7 5 2" xfId="39509" xr:uid="{00000000-0005-0000-0000-0000859A0000}"/>
    <cellStyle name="输出 2 2 11 7 6" xfId="19329" xr:uid="{00000000-0005-0000-0000-0000B14B0000}"/>
    <cellStyle name="输出 2 2 11 8" xfId="39510" xr:uid="{00000000-0005-0000-0000-0000869A0000}"/>
    <cellStyle name="输出 2 2 11 8 2" xfId="39511" xr:uid="{00000000-0005-0000-0000-0000879A0000}"/>
    <cellStyle name="输出 2 2 11 8 2 2" xfId="39512" xr:uid="{00000000-0005-0000-0000-0000889A0000}"/>
    <cellStyle name="输出 2 2 11 8 3" xfId="39513" xr:uid="{00000000-0005-0000-0000-0000899A0000}"/>
    <cellStyle name="输出 2 2 11 8 3 2" xfId="39514" xr:uid="{00000000-0005-0000-0000-00008A9A0000}"/>
    <cellStyle name="输出 2 2 11 8 4" xfId="39515" xr:uid="{00000000-0005-0000-0000-00008B9A0000}"/>
    <cellStyle name="输出 2 2 11 8 4 2" xfId="39516" xr:uid="{00000000-0005-0000-0000-00008C9A0000}"/>
    <cellStyle name="输出 2 2 11 8 5" xfId="39517" xr:uid="{00000000-0005-0000-0000-00008D9A0000}"/>
    <cellStyle name="输出 2 2 11 9" xfId="39518" xr:uid="{00000000-0005-0000-0000-00008E9A0000}"/>
    <cellStyle name="输出 2 2 11 9 2" xfId="347" xr:uid="{00000000-0005-0000-0000-00007D010000}"/>
    <cellStyle name="输出 2 2 12" xfId="4979" xr:uid="{00000000-0005-0000-0000-0000A3130000}"/>
    <cellStyle name="输出 2 2 12 2" xfId="15094" xr:uid="{00000000-0005-0000-0000-0000263B0000}"/>
    <cellStyle name="输出 2 2 12 2 2" xfId="39519" xr:uid="{00000000-0005-0000-0000-00008F9A0000}"/>
    <cellStyle name="输出 2 2 12 3" xfId="39521" xr:uid="{00000000-0005-0000-0000-0000919A0000}"/>
    <cellStyle name="输出 2 2 12 3 2" xfId="39522" xr:uid="{00000000-0005-0000-0000-0000929A0000}"/>
    <cellStyle name="输出 2 2 12 4" xfId="38364" xr:uid="{00000000-0005-0000-0000-00000C960000}"/>
    <cellStyle name="输出 2 2 12 4 2" xfId="39524" xr:uid="{00000000-0005-0000-0000-0000949A0000}"/>
    <cellStyle name="输出 2 2 12 5" xfId="21670" xr:uid="{00000000-0005-0000-0000-0000D6540000}"/>
    <cellStyle name="输出 2 2 12 5 2" xfId="37018" xr:uid="{00000000-0005-0000-0000-0000CA900000}"/>
    <cellStyle name="输出 2 2 12 6" xfId="39525" xr:uid="{00000000-0005-0000-0000-0000959A0000}"/>
    <cellStyle name="输出 2 2 12 7" xfId="34058" xr:uid="{00000000-0005-0000-0000-00003A850000}"/>
    <cellStyle name="输出 2 2 12 8" xfId="39526" xr:uid="{00000000-0005-0000-0000-0000969A0000}"/>
    <cellStyle name="输出 2 2 12 9" xfId="39527" xr:uid="{00000000-0005-0000-0000-0000979A0000}"/>
    <cellStyle name="输出 2 2 13" xfId="15096" xr:uid="{00000000-0005-0000-0000-0000283B0000}"/>
    <cellStyle name="输出 2 2 13 2" xfId="15100" xr:uid="{00000000-0005-0000-0000-00002C3B0000}"/>
    <cellStyle name="输出 2 2 13 2 2" xfId="39528" xr:uid="{00000000-0005-0000-0000-0000989A0000}"/>
    <cellStyle name="输出 2 2 13 3" xfId="39530" xr:uid="{00000000-0005-0000-0000-00009A9A0000}"/>
    <cellStyle name="输出 2 2 13 3 2" xfId="39532" xr:uid="{00000000-0005-0000-0000-00009C9A0000}"/>
    <cellStyle name="输出 2 2 13 4" xfId="39534" xr:uid="{00000000-0005-0000-0000-00009E9A0000}"/>
    <cellStyle name="输出 2 2 13 4 2" xfId="39535" xr:uid="{00000000-0005-0000-0000-00009F9A0000}"/>
    <cellStyle name="输出 2 2 13 5" xfId="21673" xr:uid="{00000000-0005-0000-0000-0000D9540000}"/>
    <cellStyle name="输出 2 2 13 5 2" xfId="39536" xr:uid="{00000000-0005-0000-0000-0000A09A0000}"/>
    <cellStyle name="输出 2 2 13 6" xfId="39537" xr:uid="{00000000-0005-0000-0000-0000A19A0000}"/>
    <cellStyle name="输出 2 2 14" xfId="15102" xr:uid="{00000000-0005-0000-0000-00002E3B0000}"/>
    <cellStyle name="输出 2 2 14 2" xfId="15107" xr:uid="{00000000-0005-0000-0000-0000333B0000}"/>
    <cellStyle name="输出 2 2 14 2 2" xfId="39539" xr:uid="{00000000-0005-0000-0000-0000A39A0000}"/>
    <cellStyle name="输出 2 2 14 3" xfId="39541" xr:uid="{00000000-0005-0000-0000-0000A59A0000}"/>
    <cellStyle name="输出 2 2 14 3 2" xfId="39543" xr:uid="{00000000-0005-0000-0000-0000A79A0000}"/>
    <cellStyle name="输出 2 2 14 4" xfId="39545" xr:uid="{00000000-0005-0000-0000-0000A99A0000}"/>
    <cellStyle name="输出 2 2 14 4 2" xfId="39546" xr:uid="{00000000-0005-0000-0000-0000AA9A0000}"/>
    <cellStyle name="输出 2 2 14 5" xfId="21676" xr:uid="{00000000-0005-0000-0000-0000DC540000}"/>
    <cellStyle name="输出 2 2 14 5 2" xfId="39547" xr:uid="{00000000-0005-0000-0000-0000AB9A0000}"/>
    <cellStyle name="输出 2 2 14 6" xfId="39548" xr:uid="{00000000-0005-0000-0000-0000AC9A0000}"/>
    <cellStyle name="输出 2 2 15" xfId="12053" xr:uid="{00000000-0005-0000-0000-0000452F0000}"/>
    <cellStyle name="输出 2 2 15 2" xfId="15110" xr:uid="{00000000-0005-0000-0000-0000363B0000}"/>
    <cellStyle name="输出 2 2 15 2 2" xfId="39549" xr:uid="{00000000-0005-0000-0000-0000AD9A0000}"/>
    <cellStyle name="输出 2 2 15 3" xfId="39551" xr:uid="{00000000-0005-0000-0000-0000AF9A0000}"/>
    <cellStyle name="输出 2 2 15 3 2" xfId="39553" xr:uid="{00000000-0005-0000-0000-0000B19A0000}"/>
    <cellStyle name="输出 2 2 15 4" xfId="39555" xr:uid="{00000000-0005-0000-0000-0000B39A0000}"/>
    <cellStyle name="输出 2 2 15 4 2" xfId="39556" xr:uid="{00000000-0005-0000-0000-0000B49A0000}"/>
    <cellStyle name="输出 2 2 15 5" xfId="21682" xr:uid="{00000000-0005-0000-0000-0000E2540000}"/>
    <cellStyle name="输出 2 2 15 5 2" xfId="39557" xr:uid="{00000000-0005-0000-0000-0000B59A0000}"/>
    <cellStyle name="输出 2 2 15 6" xfId="5893" xr:uid="{00000000-0005-0000-0000-000035170000}"/>
    <cellStyle name="输出 2 2 16" xfId="15114" xr:uid="{00000000-0005-0000-0000-00003A3B0000}"/>
    <cellStyle name="输出 2 2 16 2" xfId="13740" xr:uid="{00000000-0005-0000-0000-0000DC350000}"/>
    <cellStyle name="输出 2 2 16 2 2" xfId="39558" xr:uid="{00000000-0005-0000-0000-0000B69A0000}"/>
    <cellStyle name="输出 2 2 16 3" xfId="13752" xr:uid="{00000000-0005-0000-0000-0000E8350000}"/>
    <cellStyle name="输出 2 2 16 3 2" xfId="39560" xr:uid="{00000000-0005-0000-0000-0000B89A0000}"/>
    <cellStyle name="输出 2 2 16 4" xfId="39563" xr:uid="{00000000-0005-0000-0000-0000BB9A0000}"/>
    <cellStyle name="输出 2 2 16 4 2" xfId="10898" xr:uid="{00000000-0005-0000-0000-0000C22A0000}"/>
    <cellStyle name="输出 2 2 16 5" xfId="39564" xr:uid="{00000000-0005-0000-0000-0000BC9A0000}"/>
    <cellStyle name="输出 2 2 16 5 2" xfId="39565" xr:uid="{00000000-0005-0000-0000-0000BD9A0000}"/>
    <cellStyle name="输出 2 2 16 6" xfId="5937" xr:uid="{00000000-0005-0000-0000-000061170000}"/>
    <cellStyle name="输出 2 2 17" xfId="33328" xr:uid="{00000000-0005-0000-0000-000060820000}"/>
    <cellStyle name="输出 2 2 17 2" xfId="33331" xr:uid="{00000000-0005-0000-0000-000063820000}"/>
    <cellStyle name="输出 2 2 17 2 2" xfId="39567" xr:uid="{00000000-0005-0000-0000-0000BF9A0000}"/>
    <cellStyle name="输出 2 2 17 3" xfId="39569" xr:uid="{00000000-0005-0000-0000-0000C19A0000}"/>
    <cellStyle name="输出 2 2 17 3 2" xfId="39570" xr:uid="{00000000-0005-0000-0000-0000C29A0000}"/>
    <cellStyle name="输出 2 2 17 4" xfId="39572" xr:uid="{00000000-0005-0000-0000-0000C49A0000}"/>
    <cellStyle name="输出 2 2 17 4 2" xfId="15624" xr:uid="{00000000-0005-0000-0000-0000383D0000}"/>
    <cellStyle name="输出 2 2 17 5" xfId="39573" xr:uid="{00000000-0005-0000-0000-0000C59A0000}"/>
    <cellStyle name="输出 2 2 17 5 2" xfId="39574" xr:uid="{00000000-0005-0000-0000-0000C69A0000}"/>
    <cellStyle name="输出 2 2 17 6" xfId="10492" xr:uid="{00000000-0005-0000-0000-00002C290000}"/>
    <cellStyle name="输出 2 2 18" xfId="33334" xr:uid="{00000000-0005-0000-0000-000066820000}"/>
    <cellStyle name="输出 2 2 18 2" xfId="33339" xr:uid="{00000000-0005-0000-0000-00006B820000}"/>
    <cellStyle name="输出 2 2 18 2 2" xfId="39576" xr:uid="{00000000-0005-0000-0000-0000C89A0000}"/>
    <cellStyle name="输出 2 2 18 3" xfId="39578" xr:uid="{00000000-0005-0000-0000-0000CA9A0000}"/>
    <cellStyle name="输出 2 2 18 3 2" xfId="33672" xr:uid="{00000000-0005-0000-0000-0000B8830000}"/>
    <cellStyle name="输出 2 2 18 4" xfId="39579" xr:uid="{00000000-0005-0000-0000-0000CB9A0000}"/>
    <cellStyle name="输出 2 2 18 4 2" xfId="39581" xr:uid="{00000000-0005-0000-0000-0000CD9A0000}"/>
    <cellStyle name="输出 2 2 18 5" xfId="39582" xr:uid="{00000000-0005-0000-0000-0000CE9A0000}"/>
    <cellStyle name="输出 2 2 18 5 2" xfId="39586" xr:uid="{00000000-0005-0000-0000-0000D29A0000}"/>
    <cellStyle name="输出 2 2 18 6" xfId="10507" xr:uid="{00000000-0005-0000-0000-00003B290000}"/>
    <cellStyle name="输出 2 2 19" xfId="33343" xr:uid="{00000000-0005-0000-0000-00006F820000}"/>
    <cellStyle name="输出 2 2 19 2" xfId="39587" xr:uid="{00000000-0005-0000-0000-0000D39A0000}"/>
    <cellStyle name="输出 2 2 19 2 2" xfId="39590" xr:uid="{00000000-0005-0000-0000-0000D69A0000}"/>
    <cellStyle name="输出 2 2 19 3" xfId="39592" xr:uid="{00000000-0005-0000-0000-0000D89A0000}"/>
    <cellStyle name="输出 2 2 19 3 2" xfId="39594" xr:uid="{00000000-0005-0000-0000-0000DA9A0000}"/>
    <cellStyle name="输出 2 2 19 4" xfId="4554" xr:uid="{00000000-0005-0000-0000-0000FA110000}"/>
    <cellStyle name="输出 2 2 19 4 2" xfId="39597" xr:uid="{00000000-0005-0000-0000-0000DD9A0000}"/>
    <cellStyle name="输出 2 2 19 5" xfId="39598" xr:uid="{00000000-0005-0000-0000-0000DE9A0000}"/>
    <cellStyle name="输出 2 2 2" xfId="39600" xr:uid="{00000000-0005-0000-0000-0000E09A0000}"/>
    <cellStyle name="输出 2 2 2 10" xfId="25544" xr:uid="{00000000-0005-0000-0000-0000F8630000}"/>
    <cellStyle name="输出 2 2 2 10 2" xfId="25547" xr:uid="{00000000-0005-0000-0000-0000FB630000}"/>
    <cellStyle name="输出 2 2 2 11" xfId="25554" xr:uid="{00000000-0005-0000-0000-000002640000}"/>
    <cellStyle name="输出 2 2 2 11 2" xfId="25558" xr:uid="{00000000-0005-0000-0000-000006640000}"/>
    <cellStyle name="输出 2 2 2 12" xfId="25569" xr:uid="{00000000-0005-0000-0000-000011640000}"/>
    <cellStyle name="输出 2 2 2 12 2" xfId="25572" xr:uid="{00000000-0005-0000-0000-000014640000}"/>
    <cellStyle name="输出 2 2 2 13" xfId="16546" xr:uid="{00000000-0005-0000-0000-0000D2400000}"/>
    <cellStyle name="输出 2 2 2 14" xfId="25586" xr:uid="{00000000-0005-0000-0000-000022640000}"/>
    <cellStyle name="输出 2 2 2 15" xfId="11964" xr:uid="{00000000-0005-0000-0000-0000EC2E0000}"/>
    <cellStyle name="输出 2 2 2 16" xfId="39602" xr:uid="{00000000-0005-0000-0000-0000E29A0000}"/>
    <cellStyle name="输出 2 2 2 2" xfId="25958" xr:uid="{00000000-0005-0000-0000-000096650000}"/>
    <cellStyle name="输出 2 2 2 2 2" xfId="29966" xr:uid="{00000000-0005-0000-0000-00003E750000}"/>
    <cellStyle name="输出 2 2 2 2 2 2" xfId="23899" xr:uid="{00000000-0005-0000-0000-00008B5D0000}"/>
    <cellStyle name="输出 2 2 2 2 3" xfId="39603" xr:uid="{00000000-0005-0000-0000-0000E39A0000}"/>
    <cellStyle name="输出 2 2 2 2 3 2" xfId="23992" xr:uid="{00000000-0005-0000-0000-0000E85D0000}"/>
    <cellStyle name="输出 2 2 2 2 4" xfId="39604" xr:uid="{00000000-0005-0000-0000-0000E49A0000}"/>
    <cellStyle name="输出 2 2 2 2 4 2" xfId="16495" xr:uid="{00000000-0005-0000-0000-00009F400000}"/>
    <cellStyle name="输出 2 2 2 2 5" xfId="39605" xr:uid="{00000000-0005-0000-0000-0000E59A0000}"/>
    <cellStyle name="输出 2 2 2 2 5 2" xfId="621" xr:uid="{00000000-0005-0000-0000-00009D020000}"/>
    <cellStyle name="输出 2 2 2 2 6" xfId="16503" xr:uid="{00000000-0005-0000-0000-0000A7400000}"/>
    <cellStyle name="输出 2 2 2 2 7" xfId="39607" xr:uid="{00000000-0005-0000-0000-0000E79A0000}"/>
    <cellStyle name="输出 2 2 2 2 8" xfId="39608" xr:uid="{00000000-0005-0000-0000-0000E89A0000}"/>
    <cellStyle name="输出 2 2 2 2 9" xfId="35749" xr:uid="{00000000-0005-0000-0000-0000D58B0000}"/>
    <cellStyle name="输出 2 2 2 3" xfId="25964" xr:uid="{00000000-0005-0000-0000-00009C650000}"/>
    <cellStyle name="输出 2 2 2 3 2" xfId="13858" xr:uid="{00000000-0005-0000-0000-000052360000}"/>
    <cellStyle name="输出 2 2 2 3 2 2" xfId="25127" xr:uid="{00000000-0005-0000-0000-000057620000}"/>
    <cellStyle name="输出 2 2 2 3 3" xfId="39609" xr:uid="{00000000-0005-0000-0000-0000E99A0000}"/>
    <cellStyle name="输出 2 2 2 3 3 2" xfId="25281" xr:uid="{00000000-0005-0000-0000-0000F1620000}"/>
    <cellStyle name="输出 2 2 2 3 4" xfId="39610" xr:uid="{00000000-0005-0000-0000-0000EA9A0000}"/>
    <cellStyle name="输出 2 2 2 3 4 2" xfId="16528" xr:uid="{00000000-0005-0000-0000-0000C0400000}"/>
    <cellStyle name="输出 2 2 2 3 5" xfId="39611" xr:uid="{00000000-0005-0000-0000-0000EB9A0000}"/>
    <cellStyle name="输出 2 2 2 3 5 2" xfId="16534" xr:uid="{00000000-0005-0000-0000-0000C6400000}"/>
    <cellStyle name="输出 2 2 2 3 6" xfId="39613" xr:uid="{00000000-0005-0000-0000-0000ED9A0000}"/>
    <cellStyle name="输出 2 2 2 4" xfId="25968" xr:uid="{00000000-0005-0000-0000-0000A0650000}"/>
    <cellStyle name="输出 2 2 2 4 2" xfId="39615" xr:uid="{00000000-0005-0000-0000-0000EF9A0000}"/>
    <cellStyle name="输出 2 2 2 4 2 2" xfId="25896" xr:uid="{00000000-0005-0000-0000-000058650000}"/>
    <cellStyle name="输出 2 2 2 4 3" xfId="39616" xr:uid="{00000000-0005-0000-0000-0000F09A0000}"/>
    <cellStyle name="输出 2 2 2 4 3 2" xfId="26037" xr:uid="{00000000-0005-0000-0000-0000E5650000}"/>
    <cellStyle name="输出 2 2 2 4 4" xfId="39617" xr:uid="{00000000-0005-0000-0000-0000F19A0000}"/>
    <cellStyle name="输出 2 2 2 4 4 2" xfId="16558" xr:uid="{00000000-0005-0000-0000-0000DE400000}"/>
    <cellStyle name="输出 2 2 2 4 5" xfId="39618" xr:uid="{00000000-0005-0000-0000-0000F29A0000}"/>
    <cellStyle name="输出 2 2 2 4 5 2" xfId="16564" xr:uid="{00000000-0005-0000-0000-0000E4400000}"/>
    <cellStyle name="输出 2 2 2 4 6" xfId="39620" xr:uid="{00000000-0005-0000-0000-0000F49A0000}"/>
    <cellStyle name="输出 2 2 2 5" xfId="39622" xr:uid="{00000000-0005-0000-0000-0000F69A0000}"/>
    <cellStyle name="输出 2 2 2 5 2" xfId="27432" xr:uid="{00000000-0005-0000-0000-0000586B0000}"/>
    <cellStyle name="输出 2 2 2 5 2 2" xfId="39623" xr:uid="{00000000-0005-0000-0000-0000F79A0000}"/>
    <cellStyle name="输出 2 2 2 5 3" xfId="27434" xr:uid="{00000000-0005-0000-0000-00005A6B0000}"/>
    <cellStyle name="输出 2 2 2 5 3 2" xfId="39624" xr:uid="{00000000-0005-0000-0000-0000F89A0000}"/>
    <cellStyle name="输出 2 2 2 5 4" xfId="2512" xr:uid="{00000000-0005-0000-0000-0000000A0000}"/>
    <cellStyle name="输出 2 2 2 5 4 2" xfId="39625" xr:uid="{00000000-0005-0000-0000-0000F99A0000}"/>
    <cellStyle name="输出 2 2 2 5 5" xfId="3558" xr:uid="{00000000-0005-0000-0000-0000160E0000}"/>
    <cellStyle name="输出 2 2 2 5 5 2" xfId="39626" xr:uid="{00000000-0005-0000-0000-0000FA9A0000}"/>
    <cellStyle name="输出 2 2 2 5 6" xfId="39628" xr:uid="{00000000-0005-0000-0000-0000FC9A0000}"/>
    <cellStyle name="输出 2 2 2 6" xfId="28364" xr:uid="{00000000-0005-0000-0000-0000FC6E0000}"/>
    <cellStyle name="输出 2 2 2 6 2" xfId="39630" xr:uid="{00000000-0005-0000-0000-0000FE9A0000}"/>
    <cellStyle name="输出 2 2 2 6 2 2" xfId="39631" xr:uid="{00000000-0005-0000-0000-0000FF9A0000}"/>
    <cellStyle name="输出 2 2 2 6 3" xfId="39632" xr:uid="{00000000-0005-0000-0000-0000009B0000}"/>
    <cellStyle name="输出 2 2 2 6 3 2" xfId="39633" xr:uid="{00000000-0005-0000-0000-0000019B0000}"/>
    <cellStyle name="输出 2 2 2 6 4" xfId="30929" xr:uid="{00000000-0005-0000-0000-000001790000}"/>
    <cellStyle name="输出 2 2 2 6 4 2" xfId="39634" xr:uid="{00000000-0005-0000-0000-0000029B0000}"/>
    <cellStyle name="输出 2 2 2 6 5" xfId="39635" xr:uid="{00000000-0005-0000-0000-0000039B0000}"/>
    <cellStyle name="输出 2 2 2 6 5 2" xfId="39636" xr:uid="{00000000-0005-0000-0000-0000049B0000}"/>
    <cellStyle name="输出 2 2 2 6 6" xfId="39638" xr:uid="{00000000-0005-0000-0000-0000069B0000}"/>
    <cellStyle name="输出 2 2 2 7" xfId="39639" xr:uid="{00000000-0005-0000-0000-0000079B0000}"/>
    <cellStyle name="输出 2 2 2 7 2" xfId="39640" xr:uid="{00000000-0005-0000-0000-0000089B0000}"/>
    <cellStyle name="输出 2 2 2 7 2 2" xfId="39641" xr:uid="{00000000-0005-0000-0000-0000099B0000}"/>
    <cellStyle name="输出 2 2 2 7 3" xfId="39642" xr:uid="{00000000-0005-0000-0000-00000A9B0000}"/>
    <cellStyle name="输出 2 2 2 7 3 2" xfId="39643" xr:uid="{00000000-0005-0000-0000-00000B9B0000}"/>
    <cellStyle name="输出 2 2 2 7 4" xfId="30937" xr:uid="{00000000-0005-0000-0000-000009790000}"/>
    <cellStyle name="输出 2 2 2 7 4 2" xfId="39644" xr:uid="{00000000-0005-0000-0000-00000C9B0000}"/>
    <cellStyle name="输出 2 2 2 7 5" xfId="39645" xr:uid="{00000000-0005-0000-0000-00000D9B0000}"/>
    <cellStyle name="输出 2 2 2 7 5 2" xfId="39646" xr:uid="{00000000-0005-0000-0000-00000E9B0000}"/>
    <cellStyle name="输出 2 2 2 7 6" xfId="39647" xr:uid="{00000000-0005-0000-0000-00000F9B0000}"/>
    <cellStyle name="输出 2 2 2 8" xfId="39648" xr:uid="{00000000-0005-0000-0000-0000109B0000}"/>
    <cellStyle name="输出 2 2 2 8 2" xfId="39649" xr:uid="{00000000-0005-0000-0000-0000119B0000}"/>
    <cellStyle name="输出 2 2 2 8 2 2" xfId="39650" xr:uid="{00000000-0005-0000-0000-0000129B0000}"/>
    <cellStyle name="输出 2 2 2 8 3" xfId="37613" xr:uid="{00000000-0005-0000-0000-00001D930000}"/>
    <cellStyle name="输出 2 2 2 8 3 2" xfId="37615" xr:uid="{00000000-0005-0000-0000-00001F930000}"/>
    <cellStyle name="输出 2 2 2 8 4" xfId="30948" xr:uid="{00000000-0005-0000-0000-000014790000}"/>
    <cellStyle name="输出 2 2 2 8 4 2" xfId="37617" xr:uid="{00000000-0005-0000-0000-000021930000}"/>
    <cellStyle name="输出 2 2 2 8 5" xfId="37619" xr:uid="{00000000-0005-0000-0000-000023930000}"/>
    <cellStyle name="输出 2 2 2 9" xfId="39651" xr:uid="{00000000-0005-0000-0000-0000139B0000}"/>
    <cellStyle name="输出 2 2 2 9 2" xfId="39652" xr:uid="{00000000-0005-0000-0000-0000149B0000}"/>
    <cellStyle name="输出 2 2 20" xfId="12052" xr:uid="{00000000-0005-0000-0000-0000442F0000}"/>
    <cellStyle name="输出 2 2 20 2" xfId="15109" xr:uid="{00000000-0005-0000-0000-0000353B0000}"/>
    <cellStyle name="输出 2 2 21" xfId="15113" xr:uid="{00000000-0005-0000-0000-0000393B0000}"/>
    <cellStyle name="输出 2 2 21 2" xfId="13739" xr:uid="{00000000-0005-0000-0000-0000DB350000}"/>
    <cellStyle name="输出 2 2 22" xfId="33327" xr:uid="{00000000-0005-0000-0000-00005F820000}"/>
    <cellStyle name="输出 2 2 22 2" xfId="33330" xr:uid="{00000000-0005-0000-0000-000062820000}"/>
    <cellStyle name="输出 2 2 23" xfId="33333" xr:uid="{00000000-0005-0000-0000-000065820000}"/>
    <cellStyle name="输出 2 2 23 2" xfId="33338" xr:uid="{00000000-0005-0000-0000-00006A820000}"/>
    <cellStyle name="输出 2 2 24" xfId="33342" xr:uid="{00000000-0005-0000-0000-00006E820000}"/>
    <cellStyle name="输出 2 2 25" xfId="39653" xr:uid="{00000000-0005-0000-0000-0000159B0000}"/>
    <cellStyle name="输出 2 2 26" xfId="39656" xr:uid="{00000000-0005-0000-0000-0000189B0000}"/>
    <cellStyle name="输出 2 2 27" xfId="24532" xr:uid="{00000000-0005-0000-0000-000004600000}"/>
    <cellStyle name="输出 2 2 3" xfId="39432" xr:uid="{00000000-0005-0000-0000-0000389A0000}"/>
    <cellStyle name="输出 2 2 3 10" xfId="39659" xr:uid="{00000000-0005-0000-0000-00001B9B0000}"/>
    <cellStyle name="输出 2 2 3 10 2" xfId="36666" xr:uid="{00000000-0005-0000-0000-00006A8F0000}"/>
    <cellStyle name="输出 2 2 3 11" xfId="12509" xr:uid="{00000000-0005-0000-0000-00000D310000}"/>
    <cellStyle name="输出 2 2 3 11 2" xfId="12518" xr:uid="{00000000-0005-0000-0000-000016310000}"/>
    <cellStyle name="输出 2 2 3 12" xfId="12524" xr:uid="{00000000-0005-0000-0000-00001C310000}"/>
    <cellStyle name="输出 2 2 3 12 2" xfId="12531" xr:uid="{00000000-0005-0000-0000-000023310000}"/>
    <cellStyle name="输出 2 2 3 13" xfId="6352" xr:uid="{00000000-0005-0000-0000-000000190000}"/>
    <cellStyle name="输出 2 2 3 14" xfId="27326" xr:uid="{00000000-0005-0000-0000-0000EE6A0000}"/>
    <cellStyle name="输出 2 2 3 15" xfId="39661" xr:uid="{00000000-0005-0000-0000-00001D9B0000}"/>
    <cellStyle name="输出 2 2 3 16" xfId="37285" xr:uid="{00000000-0005-0000-0000-0000D5910000}"/>
    <cellStyle name="输出 2 2 3 2" xfId="29976" xr:uid="{00000000-0005-0000-0000-000048750000}"/>
    <cellStyle name="输出 2 2 3 2 2" xfId="29981" xr:uid="{00000000-0005-0000-0000-00004D750000}"/>
    <cellStyle name="输出 2 2 3 2 2 2" xfId="39663" xr:uid="{00000000-0005-0000-0000-00001F9B0000}"/>
    <cellStyle name="输出 2 2 3 2 3" xfId="32808" xr:uid="{00000000-0005-0000-0000-000058800000}"/>
    <cellStyle name="输出 2 2 3 2 3 2" xfId="39664" xr:uid="{00000000-0005-0000-0000-0000209B0000}"/>
    <cellStyle name="输出 2 2 3 2 4" xfId="32810" xr:uid="{00000000-0005-0000-0000-00005A800000}"/>
    <cellStyle name="输出 2 2 3 2 4 2" xfId="39665" xr:uid="{00000000-0005-0000-0000-0000219B0000}"/>
    <cellStyle name="输出 2 2 3 2 5" xfId="32812" xr:uid="{00000000-0005-0000-0000-00005C800000}"/>
    <cellStyle name="输出 2 2 3 2 5 2" xfId="39666" xr:uid="{00000000-0005-0000-0000-0000229B0000}"/>
    <cellStyle name="输出 2 2 3 2 6" xfId="16662" xr:uid="{00000000-0005-0000-0000-000046410000}"/>
    <cellStyle name="输出 2 2 3 2 7" xfId="39667" xr:uid="{00000000-0005-0000-0000-0000239B0000}"/>
    <cellStyle name="输出 2 2 3 2 8" xfId="39668" xr:uid="{00000000-0005-0000-0000-0000249B0000}"/>
    <cellStyle name="输出 2 2 3 2 9" xfId="35763" xr:uid="{00000000-0005-0000-0000-0000E38B0000}"/>
    <cellStyle name="输出 2 2 3 3" xfId="22634" xr:uid="{00000000-0005-0000-0000-00009A580000}"/>
    <cellStyle name="输出 2 2 3 3 2" xfId="39669" xr:uid="{00000000-0005-0000-0000-0000259B0000}"/>
    <cellStyle name="输出 2 2 3 3 2 2" xfId="39670" xr:uid="{00000000-0005-0000-0000-0000269B0000}"/>
    <cellStyle name="输出 2 2 3 3 3" xfId="39671" xr:uid="{00000000-0005-0000-0000-0000279B0000}"/>
    <cellStyle name="输出 2 2 3 3 3 2" xfId="39672" xr:uid="{00000000-0005-0000-0000-0000289B0000}"/>
    <cellStyle name="输出 2 2 3 3 4" xfId="39673" xr:uid="{00000000-0005-0000-0000-0000299B0000}"/>
    <cellStyle name="输出 2 2 3 3 4 2" xfId="39674" xr:uid="{00000000-0005-0000-0000-00002A9B0000}"/>
    <cellStyle name="输出 2 2 3 3 5" xfId="39675" xr:uid="{00000000-0005-0000-0000-00002B9B0000}"/>
    <cellStyle name="输出 2 2 3 3 5 2" xfId="39677" xr:uid="{00000000-0005-0000-0000-00002D9B0000}"/>
    <cellStyle name="输出 2 2 3 3 6" xfId="32417" xr:uid="{00000000-0005-0000-0000-0000D17E0000}"/>
    <cellStyle name="输出 2 2 3 4" xfId="39678" xr:uid="{00000000-0005-0000-0000-00002E9B0000}"/>
    <cellStyle name="输出 2 2 3 4 2" xfId="39679" xr:uid="{00000000-0005-0000-0000-00002F9B0000}"/>
    <cellStyle name="输出 2 2 3 4 2 2" xfId="39680" xr:uid="{00000000-0005-0000-0000-0000309B0000}"/>
    <cellStyle name="输出 2 2 3 4 3" xfId="39682" xr:uid="{00000000-0005-0000-0000-0000329B0000}"/>
    <cellStyle name="输出 2 2 3 4 3 2" xfId="39683" xr:uid="{00000000-0005-0000-0000-0000339B0000}"/>
    <cellStyle name="输出 2 2 3 4 4" xfId="39684" xr:uid="{00000000-0005-0000-0000-0000349B0000}"/>
    <cellStyle name="输出 2 2 3 4 4 2" xfId="39685" xr:uid="{00000000-0005-0000-0000-0000359B0000}"/>
    <cellStyle name="输出 2 2 3 4 5" xfId="39686" xr:uid="{00000000-0005-0000-0000-0000369B0000}"/>
    <cellStyle name="输出 2 2 3 4 5 2" xfId="39688" xr:uid="{00000000-0005-0000-0000-0000389B0000}"/>
    <cellStyle name="输出 2 2 3 4 6" xfId="32425" xr:uid="{00000000-0005-0000-0000-0000D97E0000}"/>
    <cellStyle name="输出 2 2 3 5" xfId="39689" xr:uid="{00000000-0005-0000-0000-0000399B0000}"/>
    <cellStyle name="输出 2 2 3 5 2" xfId="39690" xr:uid="{00000000-0005-0000-0000-00003A9B0000}"/>
    <cellStyle name="输出 2 2 3 5 2 2" xfId="39691" xr:uid="{00000000-0005-0000-0000-00003B9B0000}"/>
    <cellStyle name="输出 2 2 3 5 3" xfId="39692" xr:uid="{00000000-0005-0000-0000-00003C9B0000}"/>
    <cellStyle name="输出 2 2 3 5 3 2" xfId="27152" xr:uid="{00000000-0005-0000-0000-0000406A0000}"/>
    <cellStyle name="输出 2 2 3 5 4" xfId="39693" xr:uid="{00000000-0005-0000-0000-00003D9B0000}"/>
    <cellStyle name="输出 2 2 3 5 4 2" xfId="39694" xr:uid="{00000000-0005-0000-0000-00003E9B0000}"/>
    <cellStyle name="输出 2 2 3 5 5" xfId="39695" xr:uid="{00000000-0005-0000-0000-00003F9B0000}"/>
    <cellStyle name="输出 2 2 3 5 5 2" xfId="39697" xr:uid="{00000000-0005-0000-0000-0000419B0000}"/>
    <cellStyle name="输出 2 2 3 5 6" xfId="32431" xr:uid="{00000000-0005-0000-0000-0000DF7E0000}"/>
    <cellStyle name="输出 2 2 3 6" xfId="28368" xr:uid="{00000000-0005-0000-0000-0000006F0000}"/>
    <cellStyle name="输出 2 2 3 6 2" xfId="39698" xr:uid="{00000000-0005-0000-0000-0000429B0000}"/>
    <cellStyle name="输出 2 2 3 6 2 2" xfId="39699" xr:uid="{00000000-0005-0000-0000-0000439B0000}"/>
    <cellStyle name="输出 2 2 3 6 3" xfId="39700" xr:uid="{00000000-0005-0000-0000-0000449B0000}"/>
    <cellStyle name="输出 2 2 3 6 3 2" xfId="32175" xr:uid="{00000000-0005-0000-0000-0000DF7D0000}"/>
    <cellStyle name="输出 2 2 3 6 4" xfId="30972" xr:uid="{00000000-0005-0000-0000-00002C790000}"/>
    <cellStyle name="输出 2 2 3 6 4 2" xfId="39701" xr:uid="{00000000-0005-0000-0000-0000459B0000}"/>
    <cellStyle name="输出 2 2 3 6 5" xfId="39702" xr:uid="{00000000-0005-0000-0000-0000469B0000}"/>
    <cellStyle name="输出 2 2 3 6 5 2" xfId="39703" xr:uid="{00000000-0005-0000-0000-0000479B0000}"/>
    <cellStyle name="输出 2 2 3 6 6" xfId="39704" xr:uid="{00000000-0005-0000-0000-0000489B0000}"/>
    <cellStyle name="输出 2 2 3 7" xfId="39705" xr:uid="{00000000-0005-0000-0000-0000499B0000}"/>
    <cellStyle name="输出 2 2 3 7 2" xfId="39706" xr:uid="{00000000-0005-0000-0000-00004A9B0000}"/>
    <cellStyle name="输出 2 2 3 7 2 2" xfId="18143" xr:uid="{00000000-0005-0000-0000-00000F470000}"/>
    <cellStyle name="输出 2 2 3 7 3" xfId="39707" xr:uid="{00000000-0005-0000-0000-00004B9B0000}"/>
    <cellStyle name="输出 2 2 3 7 3 2" xfId="18180" xr:uid="{00000000-0005-0000-0000-000034470000}"/>
    <cellStyle name="输出 2 2 3 7 4" xfId="30977" xr:uid="{00000000-0005-0000-0000-000031790000}"/>
    <cellStyle name="输出 2 2 3 7 4 2" xfId="16716" xr:uid="{00000000-0005-0000-0000-00007C410000}"/>
    <cellStyle name="输出 2 2 3 7 5" xfId="39708" xr:uid="{00000000-0005-0000-0000-00004C9B0000}"/>
    <cellStyle name="输出 2 2 3 7 5 2" xfId="39709" xr:uid="{00000000-0005-0000-0000-00004D9B0000}"/>
    <cellStyle name="输出 2 2 3 7 6" xfId="39710" xr:uid="{00000000-0005-0000-0000-00004E9B0000}"/>
    <cellStyle name="输出 2 2 3 8" xfId="39711" xr:uid="{00000000-0005-0000-0000-00004F9B0000}"/>
    <cellStyle name="输出 2 2 3 8 2" xfId="39712" xr:uid="{00000000-0005-0000-0000-0000509B0000}"/>
    <cellStyle name="输出 2 2 3 8 2 2" xfId="18435" xr:uid="{00000000-0005-0000-0000-000033480000}"/>
    <cellStyle name="输出 2 2 3 8 3" xfId="37659" xr:uid="{00000000-0005-0000-0000-00004B930000}"/>
    <cellStyle name="输出 2 2 3 8 3 2" xfId="18481" xr:uid="{00000000-0005-0000-0000-000061480000}"/>
    <cellStyle name="输出 2 2 3 8 4" xfId="30986" xr:uid="{00000000-0005-0000-0000-00003A790000}"/>
    <cellStyle name="输出 2 2 3 8 4 2" xfId="16733" xr:uid="{00000000-0005-0000-0000-00008D410000}"/>
    <cellStyle name="输出 2 2 3 8 5" xfId="37661" xr:uid="{00000000-0005-0000-0000-00004D930000}"/>
    <cellStyle name="输出 2 2 3 9" xfId="39713" xr:uid="{00000000-0005-0000-0000-0000519B0000}"/>
    <cellStyle name="输出 2 2 3 9 2" xfId="39714" xr:uid="{00000000-0005-0000-0000-0000529B0000}"/>
    <cellStyle name="输出 2 2 4" xfId="39715" xr:uid="{00000000-0005-0000-0000-0000539B0000}"/>
    <cellStyle name="输出 2 2 4 10" xfId="39718" xr:uid="{00000000-0005-0000-0000-0000569B0000}"/>
    <cellStyle name="输出 2 2 4 10 2" xfId="37081" xr:uid="{00000000-0005-0000-0000-000009910000}"/>
    <cellStyle name="输出 2 2 4 11" xfId="34029" xr:uid="{00000000-0005-0000-0000-00001D850000}"/>
    <cellStyle name="输出 2 2 4 11 2" xfId="31613" xr:uid="{00000000-0005-0000-0000-0000AD7B0000}"/>
    <cellStyle name="输出 2 2 4 12" xfId="29514" xr:uid="{00000000-0005-0000-0000-00007A730000}"/>
    <cellStyle name="输出 2 2 4 12 2" xfId="39720" xr:uid="{00000000-0005-0000-0000-0000589B0000}"/>
    <cellStyle name="输出 2 2 4 13" xfId="35503" xr:uid="{00000000-0005-0000-0000-0000DF8A0000}"/>
    <cellStyle name="输出 2 2 4 14" xfId="35225" xr:uid="{00000000-0005-0000-0000-0000C9890000}"/>
    <cellStyle name="输出 2 2 4 15" xfId="36286" xr:uid="{00000000-0005-0000-0000-0000EE8D0000}"/>
    <cellStyle name="输出 2 2 4 16" xfId="36291" xr:uid="{00000000-0005-0000-0000-0000F38D0000}"/>
    <cellStyle name="输出 2 2 4 2" xfId="29989" xr:uid="{00000000-0005-0000-0000-000055750000}"/>
    <cellStyle name="输出 2 2 4 2 2" xfId="29993" xr:uid="{00000000-0005-0000-0000-000059750000}"/>
    <cellStyle name="输出 2 2 4 2 2 2" xfId="39389" xr:uid="{00000000-0005-0000-0000-00000D9A0000}"/>
    <cellStyle name="输出 2 2 4 2 3" xfId="39721" xr:uid="{00000000-0005-0000-0000-0000599B0000}"/>
    <cellStyle name="输出 2 2 4 2 3 2" xfId="28345" xr:uid="{00000000-0005-0000-0000-0000E96E0000}"/>
    <cellStyle name="输出 2 2 4 2 4" xfId="39722" xr:uid="{00000000-0005-0000-0000-00005A9B0000}"/>
    <cellStyle name="输出 2 2 4 2 4 2" xfId="39723" xr:uid="{00000000-0005-0000-0000-00005B9B0000}"/>
    <cellStyle name="输出 2 2 4 2 5" xfId="39724" xr:uid="{00000000-0005-0000-0000-00005C9B0000}"/>
    <cellStyle name="输出 2 2 4 2 5 2" xfId="39727" xr:uid="{00000000-0005-0000-0000-00005F9B0000}"/>
    <cellStyle name="输出 2 2 4 2 6" xfId="16762" xr:uid="{00000000-0005-0000-0000-0000AA410000}"/>
    <cellStyle name="输出 2 2 4 2 7" xfId="39728" xr:uid="{00000000-0005-0000-0000-0000609B0000}"/>
    <cellStyle name="输出 2 2 4 2 8" xfId="39729" xr:uid="{00000000-0005-0000-0000-0000619B0000}"/>
    <cellStyle name="输出 2 2 4 2 9" xfId="35777" xr:uid="{00000000-0005-0000-0000-0000F18B0000}"/>
    <cellStyle name="输出 2 2 4 3" xfId="18635" xr:uid="{00000000-0005-0000-0000-0000FB480000}"/>
    <cellStyle name="输出 2 2 4 3 2" xfId="38601" xr:uid="{00000000-0005-0000-0000-0000F9960000}"/>
    <cellStyle name="输出 2 2 4 3 2 2" xfId="39730" xr:uid="{00000000-0005-0000-0000-0000629B0000}"/>
    <cellStyle name="输出 2 2 4 3 3" xfId="39731" xr:uid="{00000000-0005-0000-0000-0000639B0000}"/>
    <cellStyle name="输出 2 2 4 3 3 2" xfId="39732" xr:uid="{00000000-0005-0000-0000-0000649B0000}"/>
    <cellStyle name="输出 2 2 4 3 4" xfId="39733" xr:uid="{00000000-0005-0000-0000-0000659B0000}"/>
    <cellStyle name="输出 2 2 4 3 4 2" xfId="39734" xr:uid="{00000000-0005-0000-0000-0000669B0000}"/>
    <cellStyle name="输出 2 2 4 3 5" xfId="39735" xr:uid="{00000000-0005-0000-0000-0000679B0000}"/>
    <cellStyle name="输出 2 2 4 3 5 2" xfId="39738" xr:uid="{00000000-0005-0000-0000-00006A9B0000}"/>
    <cellStyle name="输出 2 2 4 3 6" xfId="39739" xr:uid="{00000000-0005-0000-0000-00006B9B0000}"/>
    <cellStyle name="输出 2 2 4 4" xfId="38603" xr:uid="{00000000-0005-0000-0000-0000FB960000}"/>
    <cellStyle name="输出 2 2 4 4 2" xfId="39741" xr:uid="{00000000-0005-0000-0000-00006D9B0000}"/>
    <cellStyle name="输出 2 2 4 4 2 2" xfId="39742" xr:uid="{00000000-0005-0000-0000-00006E9B0000}"/>
    <cellStyle name="输出 2 2 4 4 3" xfId="39743" xr:uid="{00000000-0005-0000-0000-00006F9B0000}"/>
    <cellStyle name="输出 2 2 4 4 3 2" xfId="39744" xr:uid="{00000000-0005-0000-0000-0000709B0000}"/>
    <cellStyle name="输出 2 2 4 4 4" xfId="39745" xr:uid="{00000000-0005-0000-0000-0000719B0000}"/>
    <cellStyle name="输出 2 2 4 4 4 2" xfId="39746" xr:uid="{00000000-0005-0000-0000-0000729B0000}"/>
    <cellStyle name="输出 2 2 4 4 5" xfId="39747" xr:uid="{00000000-0005-0000-0000-0000739B0000}"/>
    <cellStyle name="输出 2 2 4 4 5 2" xfId="39750" xr:uid="{00000000-0005-0000-0000-0000769B0000}"/>
    <cellStyle name="输出 2 2 4 4 6" xfId="39751" xr:uid="{00000000-0005-0000-0000-0000779B0000}"/>
    <cellStyle name="输出 2 2 4 5" xfId="38605" xr:uid="{00000000-0005-0000-0000-0000FD960000}"/>
    <cellStyle name="输出 2 2 4 5 2" xfId="39753" xr:uid="{00000000-0005-0000-0000-0000799B0000}"/>
    <cellStyle name="输出 2 2 4 5 2 2" xfId="39754" xr:uid="{00000000-0005-0000-0000-00007A9B0000}"/>
    <cellStyle name="输出 2 2 4 5 3" xfId="39755" xr:uid="{00000000-0005-0000-0000-00007B9B0000}"/>
    <cellStyle name="输出 2 2 4 5 3 2" xfId="39756" xr:uid="{00000000-0005-0000-0000-00007C9B0000}"/>
    <cellStyle name="输出 2 2 4 5 4" xfId="39757" xr:uid="{00000000-0005-0000-0000-00007D9B0000}"/>
    <cellStyle name="输出 2 2 4 5 4 2" xfId="39758" xr:uid="{00000000-0005-0000-0000-00007E9B0000}"/>
    <cellStyle name="输出 2 2 4 5 5" xfId="39759" xr:uid="{00000000-0005-0000-0000-00007F9B0000}"/>
    <cellStyle name="输出 2 2 4 5 5 2" xfId="39762" xr:uid="{00000000-0005-0000-0000-0000829B0000}"/>
    <cellStyle name="输出 2 2 4 5 6" xfId="39763" xr:uid="{00000000-0005-0000-0000-0000839B0000}"/>
    <cellStyle name="输出 2 2 4 6" xfId="28371" xr:uid="{00000000-0005-0000-0000-0000036F0000}"/>
    <cellStyle name="输出 2 2 4 6 2" xfId="39764" xr:uid="{00000000-0005-0000-0000-0000849B0000}"/>
    <cellStyle name="输出 2 2 4 6 2 2" xfId="39765" xr:uid="{00000000-0005-0000-0000-0000859B0000}"/>
    <cellStyle name="输出 2 2 4 6 3" xfId="39767" xr:uid="{00000000-0005-0000-0000-0000879B0000}"/>
    <cellStyle name="输出 2 2 4 6 3 2" xfId="39768" xr:uid="{00000000-0005-0000-0000-0000889B0000}"/>
    <cellStyle name="输出 2 2 4 6 4" xfId="39769" xr:uid="{00000000-0005-0000-0000-0000899B0000}"/>
    <cellStyle name="输出 2 2 4 6 4 2" xfId="39770" xr:uid="{00000000-0005-0000-0000-00008A9B0000}"/>
    <cellStyle name="输出 2 2 4 6 5" xfId="39771" xr:uid="{00000000-0005-0000-0000-00008B9B0000}"/>
    <cellStyle name="输出 2 2 4 6 5 2" xfId="39773" xr:uid="{00000000-0005-0000-0000-00008D9B0000}"/>
    <cellStyle name="输出 2 2 4 6 6" xfId="39774" xr:uid="{00000000-0005-0000-0000-00008E9B0000}"/>
    <cellStyle name="输出 2 2 4 7" xfId="38607" xr:uid="{00000000-0005-0000-0000-0000FF960000}"/>
    <cellStyle name="输出 2 2 4 7 2" xfId="39775" xr:uid="{00000000-0005-0000-0000-00008F9B0000}"/>
    <cellStyle name="输出 2 2 4 7 2 2" xfId="39776" xr:uid="{00000000-0005-0000-0000-0000909B0000}"/>
    <cellStyle name="输出 2 2 4 7 3" xfId="39778" xr:uid="{00000000-0005-0000-0000-0000929B0000}"/>
    <cellStyle name="输出 2 2 4 7 3 2" xfId="29153" xr:uid="{00000000-0005-0000-0000-000011720000}"/>
    <cellStyle name="输出 2 2 4 7 4" xfId="38892" xr:uid="{00000000-0005-0000-0000-00001C980000}"/>
    <cellStyle name="输出 2 2 4 7 4 2" xfId="39779" xr:uid="{00000000-0005-0000-0000-0000939B0000}"/>
    <cellStyle name="输出 2 2 4 7 5" xfId="39780" xr:uid="{00000000-0005-0000-0000-0000949B0000}"/>
    <cellStyle name="输出 2 2 4 7 5 2" xfId="39782" xr:uid="{00000000-0005-0000-0000-0000969B0000}"/>
    <cellStyle name="输出 2 2 4 7 6" xfId="39783" xr:uid="{00000000-0005-0000-0000-0000979B0000}"/>
    <cellStyle name="输出 2 2 4 8" xfId="39784" xr:uid="{00000000-0005-0000-0000-0000989B0000}"/>
    <cellStyle name="输出 2 2 4 8 2" xfId="39785" xr:uid="{00000000-0005-0000-0000-0000999B0000}"/>
    <cellStyle name="输出 2 2 4 8 2 2" xfId="39786" xr:uid="{00000000-0005-0000-0000-00009A9B0000}"/>
    <cellStyle name="输出 2 2 4 8 3" xfId="37745" xr:uid="{00000000-0005-0000-0000-0000A1930000}"/>
    <cellStyle name="输出 2 2 4 8 3 2" xfId="37747" xr:uid="{00000000-0005-0000-0000-0000A3930000}"/>
    <cellStyle name="输出 2 2 4 8 4" xfId="37749" xr:uid="{00000000-0005-0000-0000-0000A5930000}"/>
    <cellStyle name="输出 2 2 4 8 4 2" xfId="37752" xr:uid="{00000000-0005-0000-0000-0000A8930000}"/>
    <cellStyle name="输出 2 2 4 8 5" xfId="37754" xr:uid="{00000000-0005-0000-0000-0000AA930000}"/>
    <cellStyle name="输出 2 2 4 9" xfId="39787" xr:uid="{00000000-0005-0000-0000-00009B9B0000}"/>
    <cellStyle name="输出 2 2 4 9 2" xfId="39788" xr:uid="{00000000-0005-0000-0000-00009C9B0000}"/>
    <cellStyle name="输出 2 2 5" xfId="39789" xr:uid="{00000000-0005-0000-0000-00009D9B0000}"/>
    <cellStyle name="输出 2 2 5 10" xfId="39791" xr:uid="{00000000-0005-0000-0000-00009F9B0000}"/>
    <cellStyle name="输出 2 2 5 10 2" xfId="39792" xr:uid="{00000000-0005-0000-0000-0000A09B0000}"/>
    <cellStyle name="输出 2 2 5 11" xfId="39793" xr:uid="{00000000-0005-0000-0000-0000A19B0000}"/>
    <cellStyle name="输出 2 2 5 11 2" xfId="32499" xr:uid="{00000000-0005-0000-0000-0000237F0000}"/>
    <cellStyle name="输出 2 2 5 12" xfId="39794" xr:uid="{00000000-0005-0000-0000-0000A29B0000}"/>
    <cellStyle name="输出 2 2 5 12 2" xfId="39795" xr:uid="{00000000-0005-0000-0000-0000A39B0000}"/>
    <cellStyle name="输出 2 2 5 13" xfId="36307" xr:uid="{00000000-0005-0000-0000-0000038E0000}"/>
    <cellStyle name="输出 2 2 5 14" xfId="39796" xr:uid="{00000000-0005-0000-0000-0000A49B0000}"/>
    <cellStyle name="输出 2 2 5 15" xfId="39797" xr:uid="{00000000-0005-0000-0000-0000A59B0000}"/>
    <cellStyle name="输出 2 2 5 16" xfId="39798" xr:uid="{00000000-0005-0000-0000-0000A69B0000}"/>
    <cellStyle name="输出 2 2 5 2" xfId="30003" xr:uid="{00000000-0005-0000-0000-000063750000}"/>
    <cellStyle name="输出 2 2 5 2 2" xfId="38610" xr:uid="{00000000-0005-0000-0000-000002970000}"/>
    <cellStyle name="输出 2 2 5 2 2 2" xfId="39799" xr:uid="{00000000-0005-0000-0000-0000A79B0000}"/>
    <cellStyle name="输出 2 2 5 2 3" xfId="39801" xr:uid="{00000000-0005-0000-0000-0000A99B0000}"/>
    <cellStyle name="输出 2 2 5 2 3 2" xfId="33232" xr:uid="{00000000-0005-0000-0000-000000820000}"/>
    <cellStyle name="输出 2 2 5 2 4" xfId="39802" xr:uid="{00000000-0005-0000-0000-0000AA9B0000}"/>
    <cellStyle name="输出 2 2 5 2 4 2" xfId="39803" xr:uid="{00000000-0005-0000-0000-0000AB9B0000}"/>
    <cellStyle name="输出 2 2 5 2 5" xfId="39804" xr:uid="{00000000-0005-0000-0000-0000AC9B0000}"/>
    <cellStyle name="输出 2 2 5 2 5 2" xfId="39807" xr:uid="{00000000-0005-0000-0000-0000AF9B0000}"/>
    <cellStyle name="输出 2 2 5 2 6" xfId="16921" xr:uid="{00000000-0005-0000-0000-000049420000}"/>
    <cellStyle name="输出 2 2 5 2 7" xfId="39808" xr:uid="{00000000-0005-0000-0000-0000B09B0000}"/>
    <cellStyle name="输出 2 2 5 2 8" xfId="39809" xr:uid="{00000000-0005-0000-0000-0000B19B0000}"/>
    <cellStyle name="输出 2 2 5 2 9" xfId="35793" xr:uid="{00000000-0005-0000-0000-0000018C0000}"/>
    <cellStyle name="输出 2 2 5 3" xfId="18646" xr:uid="{00000000-0005-0000-0000-000006490000}"/>
    <cellStyle name="输出 2 2 5 3 2" xfId="38612" xr:uid="{00000000-0005-0000-0000-000004970000}"/>
    <cellStyle name="输出 2 2 5 3 2 2" xfId="39810" xr:uid="{00000000-0005-0000-0000-0000B29B0000}"/>
    <cellStyle name="输出 2 2 5 3 3" xfId="39811" xr:uid="{00000000-0005-0000-0000-0000B39B0000}"/>
    <cellStyle name="输出 2 2 5 3 3 2" xfId="39812" xr:uid="{00000000-0005-0000-0000-0000B49B0000}"/>
    <cellStyle name="输出 2 2 5 3 4" xfId="39813" xr:uid="{00000000-0005-0000-0000-0000B59B0000}"/>
    <cellStyle name="输出 2 2 5 3 4 2" xfId="39814" xr:uid="{00000000-0005-0000-0000-0000B69B0000}"/>
    <cellStyle name="输出 2 2 5 3 5" xfId="39815" xr:uid="{00000000-0005-0000-0000-0000B79B0000}"/>
    <cellStyle name="输出 2 2 5 3 5 2" xfId="39818" xr:uid="{00000000-0005-0000-0000-0000BA9B0000}"/>
    <cellStyle name="输出 2 2 5 3 6" xfId="39819" xr:uid="{00000000-0005-0000-0000-0000BB9B0000}"/>
    <cellStyle name="输出 2 2 5 4" xfId="38614" xr:uid="{00000000-0005-0000-0000-000006970000}"/>
    <cellStyle name="输出 2 2 5 4 2" xfId="39820" xr:uid="{00000000-0005-0000-0000-0000BC9B0000}"/>
    <cellStyle name="输出 2 2 5 4 2 2" xfId="39821" xr:uid="{00000000-0005-0000-0000-0000BD9B0000}"/>
    <cellStyle name="输出 2 2 5 4 3" xfId="39822" xr:uid="{00000000-0005-0000-0000-0000BE9B0000}"/>
    <cellStyle name="输出 2 2 5 4 3 2" xfId="39823" xr:uid="{00000000-0005-0000-0000-0000BF9B0000}"/>
    <cellStyle name="输出 2 2 5 4 4" xfId="39824" xr:uid="{00000000-0005-0000-0000-0000C09B0000}"/>
    <cellStyle name="输出 2 2 5 4 4 2" xfId="39825" xr:uid="{00000000-0005-0000-0000-0000C19B0000}"/>
    <cellStyle name="输出 2 2 5 4 5" xfId="39826" xr:uid="{00000000-0005-0000-0000-0000C29B0000}"/>
    <cellStyle name="输出 2 2 5 4 5 2" xfId="39829" xr:uid="{00000000-0005-0000-0000-0000C59B0000}"/>
    <cellStyle name="输出 2 2 5 4 6" xfId="39830" xr:uid="{00000000-0005-0000-0000-0000C69B0000}"/>
    <cellStyle name="输出 2 2 5 5" xfId="39831" xr:uid="{00000000-0005-0000-0000-0000C79B0000}"/>
    <cellStyle name="输出 2 2 5 5 2" xfId="39832" xr:uid="{00000000-0005-0000-0000-0000C89B0000}"/>
    <cellStyle name="输出 2 2 5 5 2 2" xfId="39833" xr:uid="{00000000-0005-0000-0000-0000C99B0000}"/>
    <cellStyle name="输出 2 2 5 5 3" xfId="39834" xr:uid="{00000000-0005-0000-0000-0000CA9B0000}"/>
    <cellStyle name="输出 2 2 5 5 3 2" xfId="39835" xr:uid="{00000000-0005-0000-0000-0000CB9B0000}"/>
    <cellStyle name="输出 2 2 5 5 4" xfId="39836" xr:uid="{00000000-0005-0000-0000-0000CC9B0000}"/>
    <cellStyle name="输出 2 2 5 5 4 2" xfId="39837" xr:uid="{00000000-0005-0000-0000-0000CD9B0000}"/>
    <cellStyle name="输出 2 2 5 5 5" xfId="39839" xr:uid="{00000000-0005-0000-0000-0000CF9B0000}"/>
    <cellStyle name="输出 2 2 5 5 5 2" xfId="39841" xr:uid="{00000000-0005-0000-0000-0000D19B0000}"/>
    <cellStyle name="输出 2 2 5 5 6" xfId="39843" xr:uid="{00000000-0005-0000-0000-0000D39B0000}"/>
    <cellStyle name="输出 2 2 5 6" xfId="28374" xr:uid="{00000000-0005-0000-0000-0000066F0000}"/>
    <cellStyle name="输出 2 2 5 6 2" xfId="39844" xr:uid="{00000000-0005-0000-0000-0000D49B0000}"/>
    <cellStyle name="输出 2 2 5 6 2 2" xfId="39845" xr:uid="{00000000-0005-0000-0000-0000D59B0000}"/>
    <cellStyle name="输出 2 2 5 6 3" xfId="39847" xr:uid="{00000000-0005-0000-0000-0000D79B0000}"/>
    <cellStyle name="输出 2 2 5 6 3 2" xfId="39848" xr:uid="{00000000-0005-0000-0000-0000D89B0000}"/>
    <cellStyle name="输出 2 2 5 6 4" xfId="39849" xr:uid="{00000000-0005-0000-0000-0000D99B0000}"/>
    <cellStyle name="输出 2 2 5 6 4 2" xfId="39850" xr:uid="{00000000-0005-0000-0000-0000DA9B0000}"/>
    <cellStyle name="输出 2 2 5 6 5" xfId="39852" xr:uid="{00000000-0005-0000-0000-0000DC9B0000}"/>
    <cellStyle name="输出 2 2 5 6 5 2" xfId="39855" xr:uid="{00000000-0005-0000-0000-0000DF9B0000}"/>
    <cellStyle name="输出 2 2 5 6 6" xfId="39858" xr:uid="{00000000-0005-0000-0000-0000E29B0000}"/>
    <cellStyle name="输出 2 2 5 7" xfId="39859" xr:uid="{00000000-0005-0000-0000-0000E39B0000}"/>
    <cellStyle name="输出 2 2 5 7 2" xfId="39861" xr:uid="{00000000-0005-0000-0000-0000E59B0000}"/>
    <cellStyle name="输出 2 2 5 7 2 2" xfId="39863" xr:uid="{00000000-0005-0000-0000-0000E79B0000}"/>
    <cellStyle name="输出 2 2 5 7 3" xfId="39865" xr:uid="{00000000-0005-0000-0000-0000E99B0000}"/>
    <cellStyle name="输出 2 2 5 7 3 2" xfId="12506" xr:uid="{00000000-0005-0000-0000-00000A310000}"/>
    <cellStyle name="输出 2 2 5 7 4" xfId="38900" xr:uid="{00000000-0005-0000-0000-000024980000}"/>
    <cellStyle name="输出 2 2 5 7 4 2" xfId="6612" xr:uid="{00000000-0005-0000-0000-0000041A0000}"/>
    <cellStyle name="输出 2 2 5 7 5" xfId="39866" xr:uid="{00000000-0005-0000-0000-0000EA9B0000}"/>
    <cellStyle name="输出 2 2 5 7 5 2" xfId="12765" xr:uid="{00000000-0005-0000-0000-00000D320000}"/>
    <cellStyle name="输出 2 2 5 7 6" xfId="39871" xr:uid="{00000000-0005-0000-0000-0000EF9B0000}"/>
    <cellStyle name="输出 2 2 5 8" xfId="39872" xr:uid="{00000000-0005-0000-0000-0000F09B0000}"/>
    <cellStyle name="输出 2 2 5 8 2" xfId="39874" xr:uid="{00000000-0005-0000-0000-0000F29B0000}"/>
    <cellStyle name="输出 2 2 5 8 2 2" xfId="39876" xr:uid="{00000000-0005-0000-0000-0000F49B0000}"/>
    <cellStyle name="输出 2 2 5 8 3" xfId="37843" xr:uid="{00000000-0005-0000-0000-000003940000}"/>
    <cellStyle name="输出 2 2 5 8 3 2" xfId="37845" xr:uid="{00000000-0005-0000-0000-000005940000}"/>
    <cellStyle name="输出 2 2 5 8 4" xfId="37848" xr:uid="{00000000-0005-0000-0000-000008940000}"/>
    <cellStyle name="输出 2 2 5 8 4 2" xfId="29786" xr:uid="{00000000-0005-0000-0000-00008A740000}"/>
    <cellStyle name="输出 2 2 5 8 5" xfId="37851" xr:uid="{00000000-0005-0000-0000-00000B940000}"/>
    <cellStyle name="输出 2 2 5 9" xfId="39878" xr:uid="{00000000-0005-0000-0000-0000F69B0000}"/>
    <cellStyle name="输出 2 2 5 9 2" xfId="39881" xr:uid="{00000000-0005-0000-0000-0000F99B0000}"/>
    <cellStyle name="输出 2 2 6" xfId="39883" xr:uid="{00000000-0005-0000-0000-0000FB9B0000}"/>
    <cellStyle name="输出 2 2 6 10" xfId="25828" xr:uid="{00000000-0005-0000-0000-000014650000}"/>
    <cellStyle name="输出 2 2 6 10 2" xfId="25795" xr:uid="{00000000-0005-0000-0000-0000F3640000}"/>
    <cellStyle name="输出 2 2 6 11" xfId="25837" xr:uid="{00000000-0005-0000-0000-00001D650000}"/>
    <cellStyle name="输出 2 2 6 11 2" xfId="25842" xr:uid="{00000000-0005-0000-0000-000022650000}"/>
    <cellStyle name="输出 2 2 6 12" xfId="25878" xr:uid="{00000000-0005-0000-0000-000046650000}"/>
    <cellStyle name="输出 2 2 6 12 2" xfId="25882" xr:uid="{00000000-0005-0000-0000-00004A650000}"/>
    <cellStyle name="输出 2 2 6 13" xfId="25897" xr:uid="{00000000-0005-0000-0000-000059650000}"/>
    <cellStyle name="输出 2 2 6 14" xfId="24636" xr:uid="{00000000-0005-0000-0000-00006C600000}"/>
    <cellStyle name="输出 2 2 6 15" xfId="23514" xr:uid="{00000000-0005-0000-0000-00000A5C0000}"/>
    <cellStyle name="输出 2 2 6 16" xfId="25491" xr:uid="{00000000-0005-0000-0000-0000C3630000}"/>
    <cellStyle name="输出 2 2 6 2" xfId="38619" xr:uid="{00000000-0005-0000-0000-00000B970000}"/>
    <cellStyle name="输出 2 2 6 2 2" xfId="38621" xr:uid="{00000000-0005-0000-0000-00000D970000}"/>
    <cellStyle name="输出 2 2 6 2 2 2" xfId="39884" xr:uid="{00000000-0005-0000-0000-0000FC9B0000}"/>
    <cellStyle name="输出 2 2 6 2 3" xfId="39885" xr:uid="{00000000-0005-0000-0000-0000FD9B0000}"/>
    <cellStyle name="输出 2 2 6 2 3 2" xfId="19208" xr:uid="{00000000-0005-0000-0000-0000384B0000}"/>
    <cellStyle name="输出 2 2 6 2 4" xfId="39886" xr:uid="{00000000-0005-0000-0000-0000FE9B0000}"/>
    <cellStyle name="输出 2 2 6 2 4 2" xfId="17048" xr:uid="{00000000-0005-0000-0000-0000C8420000}"/>
    <cellStyle name="输出 2 2 6 2 5" xfId="39887" xr:uid="{00000000-0005-0000-0000-0000FF9B0000}"/>
    <cellStyle name="输出 2 2 6 2 5 2" xfId="17051" xr:uid="{00000000-0005-0000-0000-0000CB420000}"/>
    <cellStyle name="输出 2 2 6 2 6" xfId="15620" xr:uid="{00000000-0005-0000-0000-0000343D0000}"/>
    <cellStyle name="输出 2 2 6 2 7" xfId="39888" xr:uid="{00000000-0005-0000-0000-0000009C0000}"/>
    <cellStyle name="输出 2 2 6 2 8" xfId="39889" xr:uid="{00000000-0005-0000-0000-0000019C0000}"/>
    <cellStyle name="输出 2 2 6 2 9" xfId="39890" xr:uid="{00000000-0005-0000-0000-0000029C0000}"/>
    <cellStyle name="输出 2 2 6 3" xfId="18660" xr:uid="{00000000-0005-0000-0000-000014490000}"/>
    <cellStyle name="输出 2 2 6 3 2" xfId="29032" xr:uid="{00000000-0005-0000-0000-000098710000}"/>
    <cellStyle name="输出 2 2 6 3 2 2" xfId="29034" xr:uid="{00000000-0005-0000-0000-00009A710000}"/>
    <cellStyle name="输出 2 2 6 3 3" xfId="29036" xr:uid="{00000000-0005-0000-0000-00009C710000}"/>
    <cellStyle name="输出 2 2 6 3 3 2" xfId="29038" xr:uid="{00000000-0005-0000-0000-00009E710000}"/>
    <cellStyle name="输出 2 2 6 3 4" xfId="17063" xr:uid="{00000000-0005-0000-0000-0000D7420000}"/>
    <cellStyle name="输出 2 2 6 3 4 2" xfId="17066" xr:uid="{00000000-0005-0000-0000-0000DA420000}"/>
    <cellStyle name="输出 2 2 6 3 5" xfId="17070" xr:uid="{00000000-0005-0000-0000-0000DE420000}"/>
    <cellStyle name="输出 2 2 6 3 5 2" xfId="17074" xr:uid="{00000000-0005-0000-0000-0000E2420000}"/>
    <cellStyle name="输出 2 2 6 3 6" xfId="17079" xr:uid="{00000000-0005-0000-0000-0000E7420000}"/>
    <cellStyle name="输出 2 2 6 4" xfId="29042" xr:uid="{00000000-0005-0000-0000-0000A2710000}"/>
    <cellStyle name="输出 2 2 6 4 2" xfId="29045" xr:uid="{00000000-0005-0000-0000-0000A5710000}"/>
    <cellStyle name="输出 2 2 6 4 2 2" xfId="26059" xr:uid="{00000000-0005-0000-0000-0000FB650000}"/>
    <cellStyle name="输出 2 2 6 4 3" xfId="29048" xr:uid="{00000000-0005-0000-0000-0000A8710000}"/>
    <cellStyle name="输出 2 2 6 4 3 2" xfId="29051" xr:uid="{00000000-0005-0000-0000-0000AB710000}"/>
    <cellStyle name="输出 2 2 6 4 4" xfId="17090" xr:uid="{00000000-0005-0000-0000-0000F2420000}"/>
    <cellStyle name="输出 2 2 6 4 4 2" xfId="17096" xr:uid="{00000000-0005-0000-0000-0000F8420000}"/>
    <cellStyle name="输出 2 2 6 4 5" xfId="17101" xr:uid="{00000000-0005-0000-0000-0000FD420000}"/>
    <cellStyle name="输出 2 2 6 4 5 2" xfId="17106" xr:uid="{00000000-0005-0000-0000-000002430000}"/>
    <cellStyle name="输出 2 2 6 4 6" xfId="17111" xr:uid="{00000000-0005-0000-0000-000007430000}"/>
    <cellStyle name="输出 2 2 6 5" xfId="28439" xr:uid="{00000000-0005-0000-0000-0000476F0000}"/>
    <cellStyle name="输出 2 2 6 5 2" xfId="28207" xr:uid="{00000000-0005-0000-0000-00005F6E0000}"/>
    <cellStyle name="输出 2 2 6 5 2 2" xfId="26732" xr:uid="{00000000-0005-0000-0000-00009C680000}"/>
    <cellStyle name="输出 2 2 6 5 3" xfId="28211" xr:uid="{00000000-0005-0000-0000-0000636E0000}"/>
    <cellStyle name="输出 2 2 6 5 3 2" xfId="28214" xr:uid="{00000000-0005-0000-0000-0000666E0000}"/>
    <cellStyle name="输出 2 2 6 5 4" xfId="17125" xr:uid="{00000000-0005-0000-0000-000015430000}"/>
    <cellStyle name="输出 2 2 6 5 4 2" xfId="17132" xr:uid="{00000000-0005-0000-0000-00001C430000}"/>
    <cellStyle name="输出 2 2 6 5 5" xfId="17138" xr:uid="{00000000-0005-0000-0000-000022430000}"/>
    <cellStyle name="输出 2 2 6 5 5 2" xfId="17144" xr:uid="{00000000-0005-0000-0000-000028430000}"/>
    <cellStyle name="输出 2 2 6 5 6" xfId="17147" xr:uid="{00000000-0005-0000-0000-00002B430000}"/>
    <cellStyle name="输出 2 2 6 6" xfId="28443" xr:uid="{00000000-0005-0000-0000-00004B6F0000}"/>
    <cellStyle name="输出 2 2 6 6 2" xfId="28252" xr:uid="{00000000-0005-0000-0000-00008C6E0000}"/>
    <cellStyle name="输出 2 2 6 6 2 2" xfId="23825" xr:uid="{00000000-0005-0000-0000-0000415D0000}"/>
    <cellStyle name="输出 2 2 6 6 3" xfId="28260" xr:uid="{00000000-0005-0000-0000-0000946E0000}"/>
    <cellStyle name="输出 2 2 6 6 3 2" xfId="23844" xr:uid="{00000000-0005-0000-0000-0000545D0000}"/>
    <cellStyle name="输出 2 2 6 6 4" xfId="17160" xr:uid="{00000000-0005-0000-0000-000038430000}"/>
    <cellStyle name="输出 2 2 6 6 4 2" xfId="17166" xr:uid="{00000000-0005-0000-0000-00003E430000}"/>
    <cellStyle name="输出 2 2 6 6 5" xfId="17173" xr:uid="{00000000-0005-0000-0000-000045430000}"/>
    <cellStyle name="输出 2 2 6 6 5 2" xfId="17177" xr:uid="{00000000-0005-0000-0000-000049430000}"/>
    <cellStyle name="输出 2 2 6 6 6" xfId="17182" xr:uid="{00000000-0005-0000-0000-00004E430000}"/>
    <cellStyle name="输出 2 2 6 7" xfId="28449" xr:uid="{00000000-0005-0000-0000-0000516F0000}"/>
    <cellStyle name="输出 2 2 6 7 2" xfId="28328" xr:uid="{00000000-0005-0000-0000-0000D86E0000}"/>
    <cellStyle name="输出 2 2 6 7 2 2" xfId="23971" xr:uid="{00000000-0005-0000-0000-0000D35D0000}"/>
    <cellStyle name="输出 2 2 6 7 3" xfId="28333" xr:uid="{00000000-0005-0000-0000-0000DD6E0000}"/>
    <cellStyle name="输出 2 2 6 7 3 2" xfId="20257" xr:uid="{00000000-0005-0000-0000-0000514F0000}"/>
    <cellStyle name="输出 2 2 6 7 4" xfId="11263" xr:uid="{00000000-0005-0000-0000-00002F2C0000}"/>
    <cellStyle name="输出 2 2 6 7 4 2" xfId="17198" xr:uid="{00000000-0005-0000-0000-00005E430000}"/>
    <cellStyle name="输出 2 2 6 7 5" xfId="17205" xr:uid="{00000000-0005-0000-0000-000065430000}"/>
    <cellStyle name="输出 2 2 6 7 5 2" xfId="17211" xr:uid="{00000000-0005-0000-0000-00006B430000}"/>
    <cellStyle name="输出 2 2 6 7 6" xfId="17214" xr:uid="{00000000-0005-0000-0000-00006E430000}"/>
    <cellStyle name="输出 2 2 6 8" xfId="28457" xr:uid="{00000000-0005-0000-0000-0000596F0000}"/>
    <cellStyle name="输出 2 2 6 8 2" xfId="28424" xr:uid="{00000000-0005-0000-0000-0000386F0000}"/>
    <cellStyle name="输出 2 2 6 8 2 2" xfId="24093" xr:uid="{00000000-0005-0000-0000-00004D5E0000}"/>
    <cellStyle name="输出 2 2 6 8 3" xfId="28433" xr:uid="{00000000-0005-0000-0000-0000416F0000}"/>
    <cellStyle name="输出 2 2 6 8 3 2" xfId="24128" xr:uid="{00000000-0005-0000-0000-0000705E0000}"/>
    <cellStyle name="输出 2 2 6 8 4" xfId="11270" xr:uid="{00000000-0005-0000-0000-0000362C0000}"/>
    <cellStyle name="输出 2 2 6 8 4 2" xfId="17231" xr:uid="{00000000-0005-0000-0000-00007F430000}"/>
    <cellStyle name="输出 2 2 6 8 5" xfId="716" xr:uid="{00000000-0005-0000-0000-0000FC020000}"/>
    <cellStyle name="输出 2 2 6 9" xfId="28465" xr:uid="{00000000-0005-0000-0000-0000616F0000}"/>
    <cellStyle name="输出 2 2 6 9 2" xfId="28521" xr:uid="{00000000-0005-0000-0000-0000996F0000}"/>
    <cellStyle name="输出 2 2 7" xfId="5074" xr:uid="{00000000-0005-0000-0000-000002140000}"/>
    <cellStyle name="输出 2 2 7 10" xfId="26429" xr:uid="{00000000-0005-0000-0000-00006D670000}"/>
    <cellStyle name="输出 2 2 7 10 2" xfId="12832" xr:uid="{00000000-0005-0000-0000-000050320000}"/>
    <cellStyle name="输出 2 2 7 11" xfId="26435" xr:uid="{00000000-0005-0000-0000-000073670000}"/>
    <cellStyle name="输出 2 2 7 11 2" xfId="26439" xr:uid="{00000000-0005-0000-0000-000077670000}"/>
    <cellStyle name="输出 2 2 7 12" xfId="26453" xr:uid="{00000000-0005-0000-0000-000085670000}"/>
    <cellStyle name="输出 2 2 7 12 2" xfId="26458" xr:uid="{00000000-0005-0000-0000-00008A670000}"/>
    <cellStyle name="输出 2 2 7 13" xfId="16581" xr:uid="{00000000-0005-0000-0000-0000F5400000}"/>
    <cellStyle name="输出 2 2 7 14" xfId="26487" xr:uid="{00000000-0005-0000-0000-0000A7670000}"/>
    <cellStyle name="输出 2 2 7 15" xfId="12202" xr:uid="{00000000-0005-0000-0000-0000DA2F0000}"/>
    <cellStyle name="输出 2 2 7 16" xfId="25787" xr:uid="{00000000-0005-0000-0000-0000EB640000}"/>
    <cellStyle name="输出 2 2 7 2" xfId="5080" xr:uid="{00000000-0005-0000-0000-000008140000}"/>
    <cellStyle name="输出 2 2 7 2 2" xfId="38625" xr:uid="{00000000-0005-0000-0000-000011970000}"/>
    <cellStyle name="输出 2 2 7 2 2 2" xfId="39891" xr:uid="{00000000-0005-0000-0000-0000039C0000}"/>
    <cellStyle name="输出 2 2 7 2 3" xfId="39892" xr:uid="{00000000-0005-0000-0000-0000049C0000}"/>
    <cellStyle name="输出 2 2 7 2 3 2" xfId="39893" xr:uid="{00000000-0005-0000-0000-0000059C0000}"/>
    <cellStyle name="输出 2 2 7 2 4" xfId="39726" xr:uid="{00000000-0005-0000-0000-00005E9B0000}"/>
    <cellStyle name="输出 2 2 7 2 4 2" xfId="39894" xr:uid="{00000000-0005-0000-0000-0000069C0000}"/>
    <cellStyle name="输出 2 2 7 2 5" xfId="39895" xr:uid="{00000000-0005-0000-0000-0000079C0000}"/>
    <cellStyle name="输出 2 2 7 2 5 2" xfId="39897" xr:uid="{00000000-0005-0000-0000-0000099C0000}"/>
    <cellStyle name="输出 2 2 7 2 6" xfId="39898" xr:uid="{00000000-0005-0000-0000-00000A9C0000}"/>
    <cellStyle name="输出 2 2 7 2 7" xfId="39899" xr:uid="{00000000-0005-0000-0000-00000B9C0000}"/>
    <cellStyle name="输出 2 2 7 2 8" xfId="39900" xr:uid="{00000000-0005-0000-0000-00000C9C0000}"/>
    <cellStyle name="输出 2 2 7 2 9" xfId="39902" xr:uid="{00000000-0005-0000-0000-00000E9C0000}"/>
    <cellStyle name="输出 2 2 7 3" xfId="18672" xr:uid="{00000000-0005-0000-0000-000020490000}"/>
    <cellStyle name="输出 2 2 7 3 2" xfId="29054" xr:uid="{00000000-0005-0000-0000-0000AE710000}"/>
    <cellStyle name="输出 2 2 7 3 2 2" xfId="29058" xr:uid="{00000000-0005-0000-0000-0000B2710000}"/>
    <cellStyle name="输出 2 2 7 3 3" xfId="29060" xr:uid="{00000000-0005-0000-0000-0000B4710000}"/>
    <cellStyle name="输出 2 2 7 3 3 2" xfId="29063" xr:uid="{00000000-0005-0000-0000-0000B7710000}"/>
    <cellStyle name="输出 2 2 7 3 4" xfId="16765" xr:uid="{00000000-0005-0000-0000-0000AD410000}"/>
    <cellStyle name="输出 2 2 7 3 4 2" xfId="29066" xr:uid="{00000000-0005-0000-0000-0000BA710000}"/>
    <cellStyle name="输出 2 2 7 3 5" xfId="1700" xr:uid="{00000000-0005-0000-0000-0000D4060000}"/>
    <cellStyle name="输出 2 2 7 3 5 2" xfId="2241" xr:uid="{00000000-0005-0000-0000-0000F1080000}"/>
    <cellStyle name="输出 2 2 7 3 6" xfId="1718" xr:uid="{00000000-0005-0000-0000-0000E6060000}"/>
    <cellStyle name="输出 2 2 7 4" xfId="29069" xr:uid="{00000000-0005-0000-0000-0000BD710000}"/>
    <cellStyle name="输出 2 2 7 4 2" xfId="29072" xr:uid="{00000000-0005-0000-0000-0000C0710000}"/>
    <cellStyle name="输出 2 2 7 4 2 2" xfId="27381" xr:uid="{00000000-0005-0000-0000-0000256B0000}"/>
    <cellStyle name="输出 2 2 7 4 3" xfId="29075" xr:uid="{00000000-0005-0000-0000-0000C3710000}"/>
    <cellStyle name="输出 2 2 7 4 3 2" xfId="27492" xr:uid="{00000000-0005-0000-0000-0000946B0000}"/>
    <cellStyle name="输出 2 2 7 4 4" xfId="16770" xr:uid="{00000000-0005-0000-0000-0000B2410000}"/>
    <cellStyle name="输出 2 2 7 4 4 2" xfId="27571" xr:uid="{00000000-0005-0000-0000-0000E36B0000}"/>
    <cellStyle name="输出 2 2 7 4 5" xfId="1278" xr:uid="{00000000-0005-0000-0000-00002E050000}"/>
    <cellStyle name="输出 2 2 7 4 5 2" xfId="2505" xr:uid="{00000000-0005-0000-0000-0000F9090000}"/>
    <cellStyle name="输出 2 2 7 4 6" xfId="1977" xr:uid="{00000000-0005-0000-0000-0000E9070000}"/>
    <cellStyle name="输出 2 2 7 5" xfId="29077" xr:uid="{00000000-0005-0000-0000-0000C5710000}"/>
    <cellStyle name="输出 2 2 7 5 2" xfId="28454" xr:uid="{00000000-0005-0000-0000-0000566F0000}"/>
    <cellStyle name="输出 2 2 7 5 2 2" xfId="28421" xr:uid="{00000000-0005-0000-0000-0000356F0000}"/>
    <cellStyle name="输出 2 2 7 5 3" xfId="28461" xr:uid="{00000000-0005-0000-0000-00005D6F0000}"/>
    <cellStyle name="输出 2 2 7 5 3 2" xfId="28517" xr:uid="{00000000-0005-0000-0000-0000956F0000}"/>
    <cellStyle name="输出 2 2 7 5 4" xfId="28469" xr:uid="{00000000-0005-0000-0000-0000656F0000}"/>
    <cellStyle name="输出 2 2 7 5 4 2" xfId="28180" xr:uid="{00000000-0005-0000-0000-0000446E0000}"/>
    <cellStyle name="输出 2 2 7 5 5" xfId="2563" xr:uid="{00000000-0005-0000-0000-0000330A0000}"/>
    <cellStyle name="输出 2 2 7 5 5 2" xfId="2583" xr:uid="{00000000-0005-0000-0000-0000470A0000}"/>
    <cellStyle name="输出 2 2 7 5 6" xfId="2590" xr:uid="{00000000-0005-0000-0000-00004E0A0000}"/>
    <cellStyle name="输出 2 2 7 6" xfId="24852" xr:uid="{00000000-0005-0000-0000-000044610000}"/>
    <cellStyle name="输出 2 2 7 6 2" xfId="24861" xr:uid="{00000000-0005-0000-0000-00004D610000}"/>
    <cellStyle name="输出 2 2 7 6 2 2" xfId="24876" xr:uid="{00000000-0005-0000-0000-00005C610000}"/>
    <cellStyle name="输出 2 2 7 6 3" xfId="24892" xr:uid="{00000000-0005-0000-0000-00006C610000}"/>
    <cellStyle name="输出 2 2 7 6 3 2" xfId="24897" xr:uid="{00000000-0005-0000-0000-000071610000}"/>
    <cellStyle name="输出 2 2 7 6 4" xfId="24909" xr:uid="{00000000-0005-0000-0000-00007D610000}"/>
    <cellStyle name="输出 2 2 7 6 4 2" xfId="25074" xr:uid="{00000000-0005-0000-0000-000022620000}"/>
    <cellStyle name="输出 2 2 7 6 5" xfId="2649" xr:uid="{00000000-0005-0000-0000-0000890A0000}"/>
    <cellStyle name="输出 2 2 7 6 5 2" xfId="2670" xr:uid="{00000000-0005-0000-0000-00009E0A0000}"/>
    <cellStyle name="输出 2 2 7 6 6" xfId="2680" xr:uid="{00000000-0005-0000-0000-0000A80A0000}"/>
    <cellStyle name="输出 2 2 7 7" xfId="24865" xr:uid="{00000000-0005-0000-0000-000051610000}"/>
    <cellStyle name="输出 2 2 7 7 2" xfId="24874" xr:uid="{00000000-0005-0000-0000-00005A610000}"/>
    <cellStyle name="输出 2 2 7 7 2 2" xfId="24943" xr:uid="{00000000-0005-0000-0000-00009F610000}"/>
    <cellStyle name="输出 2 2 7 7 3" xfId="24955" xr:uid="{00000000-0005-0000-0000-0000AB610000}"/>
    <cellStyle name="输出 2 2 7 7 3 2" xfId="24964" xr:uid="{00000000-0005-0000-0000-0000B4610000}"/>
    <cellStyle name="输出 2 2 7 7 4" xfId="11289" xr:uid="{00000000-0005-0000-0000-0000492C0000}"/>
    <cellStyle name="输出 2 2 7 7 4 2" xfId="25259" xr:uid="{00000000-0005-0000-0000-0000DB620000}"/>
    <cellStyle name="输出 2 2 7 7 5" xfId="2743" xr:uid="{00000000-0005-0000-0000-0000E70A0000}"/>
    <cellStyle name="输出 2 2 7 7 5 2" xfId="2764" xr:uid="{00000000-0005-0000-0000-0000FC0A0000}"/>
    <cellStyle name="输出 2 2 7 7 6" xfId="2778" xr:uid="{00000000-0005-0000-0000-00000A0B0000}"/>
    <cellStyle name="输出 2 2 7 8" xfId="24858" xr:uid="{00000000-0005-0000-0000-00004A610000}"/>
    <cellStyle name="输出 2 2 7 8 2" xfId="24884" xr:uid="{00000000-0005-0000-0000-000064610000}"/>
    <cellStyle name="输出 2 2 7 8 2 2" xfId="24995" xr:uid="{00000000-0005-0000-0000-0000D3610000}"/>
    <cellStyle name="输出 2 2 7 8 3" xfId="25008" xr:uid="{00000000-0005-0000-0000-0000E0610000}"/>
    <cellStyle name="输出 2 2 7 8 3 2" xfId="25018" xr:uid="{00000000-0005-0000-0000-0000EA610000}"/>
    <cellStyle name="输出 2 2 7 8 4" xfId="11301" xr:uid="{00000000-0005-0000-0000-0000552C0000}"/>
    <cellStyle name="输出 2 2 7 8 4 2" xfId="25367" xr:uid="{00000000-0005-0000-0000-000047630000}"/>
    <cellStyle name="输出 2 2 7 8 5" xfId="2798" xr:uid="{00000000-0005-0000-0000-00001E0B0000}"/>
    <cellStyle name="输出 2 2 7 9" xfId="24888" xr:uid="{00000000-0005-0000-0000-000068610000}"/>
    <cellStyle name="输出 2 2 7 9 2" xfId="24901" xr:uid="{00000000-0005-0000-0000-000075610000}"/>
    <cellStyle name="输出 2 2 8" xfId="5086" xr:uid="{00000000-0005-0000-0000-00000E140000}"/>
    <cellStyle name="输出 2 2 8 10" xfId="28984" xr:uid="{00000000-0005-0000-0000-000068710000}"/>
    <cellStyle name="输出 2 2 8 10 2" xfId="1811" xr:uid="{00000000-0005-0000-0000-000043070000}"/>
    <cellStyle name="输出 2 2 8 11" xfId="27407" xr:uid="{00000000-0005-0000-0000-00003F6B0000}"/>
    <cellStyle name="输出 2 2 8 11 2" xfId="27409" xr:uid="{00000000-0005-0000-0000-0000416B0000}"/>
    <cellStyle name="输出 2 2 8 12" xfId="27413" xr:uid="{00000000-0005-0000-0000-0000456B0000}"/>
    <cellStyle name="输出 2 2 8 12 2" xfId="27415" xr:uid="{00000000-0005-0000-0000-0000476B0000}"/>
    <cellStyle name="输出 2 2 8 13" xfId="6871" xr:uid="{00000000-0005-0000-0000-0000071B0000}"/>
    <cellStyle name="输出 2 2 8 14" xfId="27420" xr:uid="{00000000-0005-0000-0000-00004C6B0000}"/>
    <cellStyle name="输出 2 2 8 15" xfId="17892" xr:uid="{00000000-0005-0000-0000-000014460000}"/>
    <cellStyle name="输出 2 2 8 16" xfId="29082" xr:uid="{00000000-0005-0000-0000-0000CA710000}"/>
    <cellStyle name="输出 2 2 8 2" xfId="15059" xr:uid="{00000000-0005-0000-0000-0000033B0000}"/>
    <cellStyle name="输出 2 2 8 2 2" xfId="38631" xr:uid="{00000000-0005-0000-0000-000017970000}"/>
    <cellStyle name="输出 2 2 8 2 2 2" xfId="35490" xr:uid="{00000000-0005-0000-0000-0000D28A0000}"/>
    <cellStyle name="输出 2 2 8 2 3" xfId="39903" xr:uid="{00000000-0005-0000-0000-00000F9C0000}"/>
    <cellStyle name="输出 2 2 8 2 3 2" xfId="35506" xr:uid="{00000000-0005-0000-0000-0000E28A0000}"/>
    <cellStyle name="输出 2 2 8 2 4" xfId="39737" xr:uid="{00000000-0005-0000-0000-0000699B0000}"/>
    <cellStyle name="输出 2 2 8 2 4 2" xfId="36347" xr:uid="{00000000-0005-0000-0000-00002B8E0000}"/>
    <cellStyle name="输出 2 2 8 2 5" xfId="39904" xr:uid="{00000000-0005-0000-0000-0000109C0000}"/>
    <cellStyle name="输出 2 2 8 2 5 2" xfId="36412" xr:uid="{00000000-0005-0000-0000-00006C8E0000}"/>
    <cellStyle name="输出 2 2 8 2 6" xfId="39905" xr:uid="{00000000-0005-0000-0000-0000119C0000}"/>
    <cellStyle name="输出 2 2 8 2 7" xfId="39906" xr:uid="{00000000-0005-0000-0000-0000129C0000}"/>
    <cellStyle name="输出 2 2 8 2 8" xfId="39907" xr:uid="{00000000-0005-0000-0000-0000139C0000}"/>
    <cellStyle name="输出 2 2 8 2 9" xfId="39909" xr:uid="{00000000-0005-0000-0000-0000159C0000}"/>
    <cellStyle name="输出 2 2 8 3" xfId="27330" xr:uid="{00000000-0005-0000-0000-0000F26A0000}"/>
    <cellStyle name="输出 2 2 8 3 2" xfId="462" xr:uid="{00000000-0005-0000-0000-0000F9010000}"/>
    <cellStyle name="输出 2 2 8 3 2 2" xfId="29094" xr:uid="{00000000-0005-0000-0000-0000D6710000}"/>
    <cellStyle name="输出 2 2 8 3 3" xfId="505" xr:uid="{00000000-0005-0000-0000-000027020000}"/>
    <cellStyle name="输出 2 2 8 3 3 2" xfId="29099" xr:uid="{00000000-0005-0000-0000-0000DB710000}"/>
    <cellStyle name="输出 2 2 8 3 4" xfId="16789" xr:uid="{00000000-0005-0000-0000-0000C5410000}"/>
    <cellStyle name="输出 2 2 8 3 4 2" xfId="29103" xr:uid="{00000000-0005-0000-0000-0000DF710000}"/>
    <cellStyle name="输出 2 2 8 3 5" xfId="3020" xr:uid="{00000000-0005-0000-0000-0000FC0B0000}"/>
    <cellStyle name="输出 2 2 8 3 5 2" xfId="197" xr:uid="{00000000-0005-0000-0000-0000D5000000}"/>
    <cellStyle name="输出 2 2 8 3 6" xfId="3032" xr:uid="{00000000-0005-0000-0000-0000080C0000}"/>
    <cellStyle name="输出 2 2 8 4" xfId="29106" xr:uid="{00000000-0005-0000-0000-0000E2710000}"/>
    <cellStyle name="输出 2 2 8 4 2" xfId="29108" xr:uid="{00000000-0005-0000-0000-0000E4710000}"/>
    <cellStyle name="输出 2 2 8 4 2 2" xfId="29112" xr:uid="{00000000-0005-0000-0000-0000E8710000}"/>
    <cellStyle name="输出 2 2 8 4 3" xfId="29114" xr:uid="{00000000-0005-0000-0000-0000EA710000}"/>
    <cellStyle name="输出 2 2 8 4 3 2" xfId="29118" xr:uid="{00000000-0005-0000-0000-0000EE710000}"/>
    <cellStyle name="输出 2 2 8 4 4" xfId="16793" xr:uid="{00000000-0005-0000-0000-0000C9410000}"/>
    <cellStyle name="输出 2 2 8 4 4 2" xfId="11740" xr:uid="{00000000-0005-0000-0000-00000C2E0000}"/>
    <cellStyle name="输出 2 2 8 4 5" xfId="3105" xr:uid="{00000000-0005-0000-0000-0000510C0000}"/>
    <cellStyle name="输出 2 2 8 4 5 2" xfId="3112" xr:uid="{00000000-0005-0000-0000-0000580C0000}"/>
    <cellStyle name="输出 2 2 8 4 6" xfId="3119" xr:uid="{00000000-0005-0000-0000-00005F0C0000}"/>
    <cellStyle name="输出 2 2 8 5" xfId="29120" xr:uid="{00000000-0005-0000-0000-0000F0710000}"/>
    <cellStyle name="输出 2 2 8 5 2" xfId="29122" xr:uid="{00000000-0005-0000-0000-0000F2710000}"/>
    <cellStyle name="输出 2 2 8 5 2 2" xfId="29125" xr:uid="{00000000-0005-0000-0000-0000F5710000}"/>
    <cellStyle name="输出 2 2 8 5 3" xfId="29128" xr:uid="{00000000-0005-0000-0000-0000F8710000}"/>
    <cellStyle name="输出 2 2 8 5 3 2" xfId="29131" xr:uid="{00000000-0005-0000-0000-0000FB710000}"/>
    <cellStyle name="输出 2 2 8 5 4" xfId="29134" xr:uid="{00000000-0005-0000-0000-0000FE710000}"/>
    <cellStyle name="输出 2 2 8 5 4 2" xfId="29137" xr:uid="{00000000-0005-0000-0000-000001720000}"/>
    <cellStyle name="输出 2 2 8 5 5" xfId="3177" xr:uid="{00000000-0005-0000-0000-0000990C0000}"/>
    <cellStyle name="输出 2 2 8 5 5 2" xfId="1389" xr:uid="{00000000-0005-0000-0000-00009D050000}"/>
    <cellStyle name="输出 2 2 8 5 6" xfId="3184" xr:uid="{00000000-0005-0000-0000-0000A00C0000}"/>
    <cellStyle name="输出 2 2 8 6" xfId="24915" xr:uid="{00000000-0005-0000-0000-000083610000}"/>
    <cellStyle name="输出 2 2 8 6 2" xfId="24920" xr:uid="{00000000-0005-0000-0000-000088610000}"/>
    <cellStyle name="输出 2 2 8 6 2 2" xfId="25179" xr:uid="{00000000-0005-0000-0000-00008B620000}"/>
    <cellStyle name="输出 2 2 8 6 3" xfId="25187" xr:uid="{00000000-0005-0000-0000-000093620000}"/>
    <cellStyle name="输出 2 2 8 6 3 2" xfId="25191" xr:uid="{00000000-0005-0000-0000-000097620000}"/>
    <cellStyle name="输出 2 2 8 6 4" xfId="25200" xr:uid="{00000000-0005-0000-0000-0000A0620000}"/>
    <cellStyle name="输出 2 2 8 6 4 2" xfId="25862" xr:uid="{00000000-0005-0000-0000-000036650000}"/>
    <cellStyle name="输出 2 2 8 6 5" xfId="1170" xr:uid="{00000000-0005-0000-0000-0000C2040000}"/>
    <cellStyle name="输出 2 2 8 6 5 2" xfId="2420" xr:uid="{00000000-0005-0000-0000-0000A4090000}"/>
    <cellStyle name="输出 2 2 8 6 6" xfId="1178" xr:uid="{00000000-0005-0000-0000-0000CA040000}"/>
    <cellStyle name="输出 2 2 8 7" xfId="24928" xr:uid="{00000000-0005-0000-0000-000090610000}"/>
    <cellStyle name="输出 2 2 8 7 2" xfId="24933" xr:uid="{00000000-0005-0000-0000-000095610000}"/>
    <cellStyle name="输出 2 2 8 7 2 2" xfId="21396" xr:uid="{00000000-0005-0000-0000-0000C4530000}"/>
    <cellStyle name="输出 2 2 8 7 3" xfId="25209" xr:uid="{00000000-0005-0000-0000-0000A9620000}"/>
    <cellStyle name="输出 2 2 8 7 3 2" xfId="21447" xr:uid="{00000000-0005-0000-0000-0000F7530000}"/>
    <cellStyle name="输出 2 2 8 7 4" xfId="11338" xr:uid="{00000000-0005-0000-0000-00007A2C0000}"/>
    <cellStyle name="输出 2 2 8 7 4 2" xfId="21475" xr:uid="{00000000-0005-0000-0000-000013540000}"/>
    <cellStyle name="输出 2 2 8 7 5" xfId="2895" xr:uid="{00000000-0005-0000-0000-00007F0B0000}"/>
    <cellStyle name="输出 2 2 8 7 5 2" xfId="2911" xr:uid="{00000000-0005-0000-0000-00008F0B0000}"/>
    <cellStyle name="输出 2 2 8 7 6" xfId="2949" xr:uid="{00000000-0005-0000-0000-0000B50B0000}"/>
    <cellStyle name="输出 2 2 8 8" xfId="24870" xr:uid="{00000000-0005-0000-0000-000056610000}"/>
    <cellStyle name="输出 2 2 8 8 2" xfId="24941" xr:uid="{00000000-0005-0000-0000-00009D610000}"/>
    <cellStyle name="输出 2 2 8 8 2 2" xfId="21574" xr:uid="{00000000-0005-0000-0000-000076540000}"/>
    <cellStyle name="输出 2 2 8 8 3" xfId="25219" xr:uid="{00000000-0005-0000-0000-0000B3620000}"/>
    <cellStyle name="输出 2 2 8 8 3 2" xfId="21600" xr:uid="{00000000-0005-0000-0000-000090540000}"/>
    <cellStyle name="输出 2 2 8 8 4" xfId="11354" xr:uid="{00000000-0005-0000-0000-00008A2C0000}"/>
    <cellStyle name="输出 2 2 8 8 4 2" xfId="21622" xr:uid="{00000000-0005-0000-0000-0000A6540000}"/>
    <cellStyle name="输出 2 2 8 8 5" xfId="3236" xr:uid="{00000000-0005-0000-0000-0000D40C0000}"/>
    <cellStyle name="输出 2 2 8 9" xfId="24951" xr:uid="{00000000-0005-0000-0000-0000A7610000}"/>
    <cellStyle name="输出 2 2 8 9 2" xfId="24959" xr:uid="{00000000-0005-0000-0000-0000AF610000}"/>
    <cellStyle name="输出 2 2 9" xfId="15063" xr:uid="{00000000-0005-0000-0000-0000073B0000}"/>
    <cellStyle name="输出 2 2 9 10" xfId="29027" xr:uid="{00000000-0005-0000-0000-000093710000}"/>
    <cellStyle name="输出 2 2 9 10 2" xfId="16040" xr:uid="{00000000-0005-0000-0000-0000D83E0000}"/>
    <cellStyle name="输出 2 2 9 11" xfId="29029" xr:uid="{00000000-0005-0000-0000-000095710000}"/>
    <cellStyle name="输出 2 2 9 11 2" xfId="39910" xr:uid="{00000000-0005-0000-0000-0000169C0000}"/>
    <cellStyle name="输出 2 2 9 12" xfId="29527" xr:uid="{00000000-0005-0000-0000-000087730000}"/>
    <cellStyle name="输出 2 2 9 12 2" xfId="39913" xr:uid="{00000000-0005-0000-0000-0000199C0000}"/>
    <cellStyle name="输出 2 2 9 13" xfId="36338" xr:uid="{00000000-0005-0000-0000-0000228E0000}"/>
    <cellStyle name="输出 2 2 9 14" xfId="36341" xr:uid="{00000000-0005-0000-0000-0000258E0000}"/>
    <cellStyle name="输出 2 2 9 15" xfId="29140" xr:uid="{00000000-0005-0000-0000-000004720000}"/>
    <cellStyle name="输出 2 2 9 16" xfId="24121" xr:uid="{00000000-0005-0000-0000-0000695E0000}"/>
    <cellStyle name="输出 2 2 9 2" xfId="15066" xr:uid="{00000000-0005-0000-0000-00000A3B0000}"/>
    <cellStyle name="输出 2 2 9 2 2" xfId="38639" xr:uid="{00000000-0005-0000-0000-00001F970000}"/>
    <cellStyle name="输出 2 2 9 2 2 2" xfId="39914" xr:uid="{00000000-0005-0000-0000-00001A9C0000}"/>
    <cellStyle name="输出 2 2 9 2 3" xfId="39915" xr:uid="{00000000-0005-0000-0000-00001B9C0000}"/>
    <cellStyle name="输出 2 2 9 2 3 2" xfId="39916" xr:uid="{00000000-0005-0000-0000-00001C9C0000}"/>
    <cellStyle name="输出 2 2 9 2 4" xfId="39749" xr:uid="{00000000-0005-0000-0000-0000759B0000}"/>
    <cellStyle name="输出 2 2 9 2 4 2" xfId="39917" xr:uid="{00000000-0005-0000-0000-00001D9C0000}"/>
    <cellStyle name="输出 2 2 9 2 5" xfId="39918" xr:uid="{00000000-0005-0000-0000-00001E9C0000}"/>
    <cellStyle name="输出 2 2 9 2 5 2" xfId="39919" xr:uid="{00000000-0005-0000-0000-00001F9C0000}"/>
    <cellStyle name="输出 2 2 9 2 6" xfId="39921" xr:uid="{00000000-0005-0000-0000-0000219C0000}"/>
    <cellStyle name="输出 2 2 9 2 7" xfId="27439" xr:uid="{00000000-0005-0000-0000-00005F6B0000}"/>
    <cellStyle name="输出 2 2 9 2 8" xfId="9040" xr:uid="{00000000-0005-0000-0000-000080230000}"/>
    <cellStyle name="输出 2 2 9 2 9" xfId="39922" xr:uid="{00000000-0005-0000-0000-0000229C0000}"/>
    <cellStyle name="输出 2 2 9 3" xfId="27339" xr:uid="{00000000-0005-0000-0000-0000FB6A0000}"/>
    <cellStyle name="输出 2 2 9 3 2" xfId="29157" xr:uid="{00000000-0005-0000-0000-000015720000}"/>
    <cellStyle name="输出 2 2 9 3 2 2" xfId="4825" xr:uid="{00000000-0005-0000-0000-000009130000}"/>
    <cellStyle name="输出 2 2 9 3 3" xfId="29159" xr:uid="{00000000-0005-0000-0000-000017720000}"/>
    <cellStyle name="输出 2 2 9 3 3 2" xfId="13338" xr:uid="{00000000-0005-0000-0000-00004A340000}"/>
    <cellStyle name="输出 2 2 9 3 4" xfId="16812" xr:uid="{00000000-0005-0000-0000-0000DC410000}"/>
    <cellStyle name="输出 2 2 9 3 4 2" xfId="13412" xr:uid="{00000000-0005-0000-0000-000094340000}"/>
    <cellStyle name="输出 2 2 9 3 5" xfId="3274" xr:uid="{00000000-0005-0000-0000-0000FA0C0000}"/>
    <cellStyle name="输出 2 2 9 3 5 2" xfId="13484" xr:uid="{00000000-0005-0000-0000-0000DC340000}"/>
    <cellStyle name="输出 2 2 9 3 6" xfId="29161" xr:uid="{00000000-0005-0000-0000-000019720000}"/>
    <cellStyle name="输出 2 2 9 4" xfId="24553" xr:uid="{00000000-0005-0000-0000-000019600000}"/>
    <cellStyle name="输出 2 2 9 4 2" xfId="29166" xr:uid="{00000000-0005-0000-0000-00001E720000}"/>
    <cellStyle name="输出 2 2 9 4 2 2" xfId="14711" xr:uid="{00000000-0005-0000-0000-0000A7390000}"/>
    <cellStyle name="输出 2 2 9 4 3" xfId="29168" xr:uid="{00000000-0005-0000-0000-000020720000}"/>
    <cellStyle name="输出 2 2 9 4 3 2" xfId="14877" xr:uid="{00000000-0005-0000-0000-00004D3A0000}"/>
    <cellStyle name="输出 2 2 9 4 4" xfId="16817" xr:uid="{00000000-0005-0000-0000-0000E1410000}"/>
    <cellStyle name="输出 2 2 9 4 4 2" xfId="14645" xr:uid="{00000000-0005-0000-0000-000065390000}"/>
    <cellStyle name="输出 2 2 9 4 5" xfId="175" xr:uid="{00000000-0005-0000-0000-0000BD000000}"/>
    <cellStyle name="输出 2 2 9 4 5 2" xfId="4985" xr:uid="{00000000-0005-0000-0000-0000A9130000}"/>
    <cellStyle name="输出 2 2 9 4 6" xfId="29170" xr:uid="{00000000-0005-0000-0000-000022720000}"/>
    <cellStyle name="输出 2 2 9 5" xfId="29172" xr:uid="{00000000-0005-0000-0000-000024720000}"/>
    <cellStyle name="输出 2 2 9 5 2" xfId="29174" xr:uid="{00000000-0005-0000-0000-000026720000}"/>
    <cellStyle name="输出 2 2 9 5 2 2" xfId="16595" xr:uid="{00000000-0005-0000-0000-000003410000}"/>
    <cellStyle name="输出 2 2 9 5 3" xfId="29177" xr:uid="{00000000-0005-0000-0000-000029720000}"/>
    <cellStyle name="输出 2 2 9 5 3 2" xfId="16694" xr:uid="{00000000-0005-0000-0000-000066410000}"/>
    <cellStyle name="输出 2 2 9 5 4" xfId="29180" xr:uid="{00000000-0005-0000-0000-00002C720000}"/>
    <cellStyle name="输出 2 2 9 5 4 2" xfId="16841" xr:uid="{00000000-0005-0000-0000-0000F9410000}"/>
    <cellStyle name="输出 2 2 9 5 5" xfId="29183" xr:uid="{00000000-0005-0000-0000-00002F720000}"/>
    <cellStyle name="输出 2 2 9 5 5 2" xfId="16985" xr:uid="{00000000-0005-0000-0000-000089420000}"/>
    <cellStyle name="输出 2 2 9 5 6" xfId="29185" xr:uid="{00000000-0005-0000-0000-000031720000}"/>
    <cellStyle name="输出 2 2 9 6" xfId="24968" xr:uid="{00000000-0005-0000-0000-0000B8610000}"/>
    <cellStyle name="输出 2 2 9 6 2" xfId="24973" xr:uid="{00000000-0005-0000-0000-0000BD610000}"/>
    <cellStyle name="输出 2 2 9 6 2 2" xfId="18358" xr:uid="{00000000-0005-0000-0000-0000E6470000}"/>
    <cellStyle name="输出 2 2 9 6 3" xfId="25325" xr:uid="{00000000-0005-0000-0000-00001D630000}"/>
    <cellStyle name="输出 2 2 9 6 3 2" xfId="18686" xr:uid="{00000000-0005-0000-0000-00002E490000}"/>
    <cellStyle name="输出 2 2 9 6 4" xfId="25329" xr:uid="{00000000-0005-0000-0000-000021630000}"/>
    <cellStyle name="输出 2 2 9 6 4 2" xfId="18877" xr:uid="{00000000-0005-0000-0000-0000ED490000}"/>
    <cellStyle name="输出 2 2 9 6 5" xfId="25333" xr:uid="{00000000-0005-0000-0000-000025630000}"/>
    <cellStyle name="输出 2 2 9 6 5 2" xfId="19019" xr:uid="{00000000-0005-0000-0000-00007B4A0000}"/>
    <cellStyle name="输出 2 2 9 6 6" xfId="25334" xr:uid="{00000000-0005-0000-0000-000026630000}"/>
    <cellStyle name="输出 2 2 9 7" xfId="24980" xr:uid="{00000000-0005-0000-0000-0000C4610000}"/>
    <cellStyle name="输出 2 2 9 7 2" xfId="24985" xr:uid="{00000000-0005-0000-0000-0000C9610000}"/>
    <cellStyle name="输出 2 2 9 7 2 2" xfId="19893" xr:uid="{00000000-0005-0000-0000-0000E54D0000}"/>
    <cellStyle name="输出 2 2 9 7 3" xfId="25345" xr:uid="{00000000-0005-0000-0000-000031630000}"/>
    <cellStyle name="输出 2 2 9 7 3 2" xfId="19977" xr:uid="{00000000-0005-0000-0000-0000394E0000}"/>
    <cellStyle name="输出 2 2 9 7 4" xfId="11397" xr:uid="{00000000-0005-0000-0000-0000B52C0000}"/>
    <cellStyle name="输出 2 2 9 7 4 2" xfId="20084" xr:uid="{00000000-0005-0000-0000-0000A44E0000}"/>
    <cellStyle name="输出 2 2 9 7 5" xfId="29188" xr:uid="{00000000-0005-0000-0000-000034720000}"/>
    <cellStyle name="输出 2 2 9 7 5 2" xfId="20150" xr:uid="{00000000-0005-0000-0000-0000E64E0000}"/>
    <cellStyle name="输出 2 2 9 7 6" xfId="22561" xr:uid="{00000000-0005-0000-0000-000051580000}"/>
    <cellStyle name="输出 2 2 9 8" xfId="24880" xr:uid="{00000000-0005-0000-0000-000060610000}"/>
    <cellStyle name="输出 2 2 9 8 2" xfId="24993" xr:uid="{00000000-0005-0000-0000-0000D1610000}"/>
    <cellStyle name="输出 2 2 9 8 2 2" xfId="20869" xr:uid="{00000000-0005-0000-0000-0000B5510000}"/>
    <cellStyle name="输出 2 2 9 8 3" xfId="25352" xr:uid="{00000000-0005-0000-0000-000038630000}"/>
    <cellStyle name="输出 2 2 9 8 3 2" xfId="20969" xr:uid="{00000000-0005-0000-0000-000019520000}"/>
    <cellStyle name="输出 2 2 9 8 4" xfId="11414" xr:uid="{00000000-0005-0000-0000-0000C62C0000}"/>
    <cellStyle name="输出 2 2 9 8 4 2" xfId="21038" xr:uid="{00000000-0005-0000-0000-00005E520000}"/>
    <cellStyle name="输出 2 2 9 8 5" xfId="27786" xr:uid="{00000000-0005-0000-0000-0000BA6C0000}"/>
    <cellStyle name="输出 2 2 9 9" xfId="25003" xr:uid="{00000000-0005-0000-0000-0000DB610000}"/>
    <cellStyle name="输出 2 2 9 9 2" xfId="25012" xr:uid="{00000000-0005-0000-0000-0000E4610000}"/>
    <cellStyle name="输出 2 20" xfId="5585" xr:uid="{00000000-0005-0000-0000-000001160000}"/>
    <cellStyle name="输出 2 20 2" xfId="39172" xr:uid="{00000000-0005-0000-0000-000034990000}"/>
    <cellStyle name="输出 2 21" xfId="39238" xr:uid="{00000000-0005-0000-0000-000076990000}"/>
    <cellStyle name="输出 2 22" xfId="39339" xr:uid="{00000000-0005-0000-0000-0000DB990000}"/>
    <cellStyle name="输出 2 23" xfId="36568" xr:uid="{00000000-0005-0000-0000-0000088F0000}"/>
    <cellStyle name="输出 2 24" xfId="39401" xr:uid="{00000000-0005-0000-0000-0000199A0000}"/>
    <cellStyle name="输出 2 25" xfId="39923" xr:uid="{00000000-0005-0000-0000-0000239C0000}"/>
    <cellStyle name="输出 2 3" xfId="32045" xr:uid="{00000000-0005-0000-0000-00005D7D0000}"/>
    <cellStyle name="输出 2 3 10" xfId="26061" xr:uid="{00000000-0005-0000-0000-0000FD650000}"/>
    <cellStyle name="输出 2 3 10 10" xfId="32227" xr:uid="{00000000-0005-0000-0000-0000137E0000}"/>
    <cellStyle name="输出 2 3 10 10 2" xfId="23023" xr:uid="{00000000-0005-0000-0000-00001F5A0000}"/>
    <cellStyle name="输出 2 3 10 11" xfId="32230" xr:uid="{00000000-0005-0000-0000-0000167E0000}"/>
    <cellStyle name="输出 2 3 10 11 2" xfId="21229" xr:uid="{00000000-0005-0000-0000-00001D530000}"/>
    <cellStyle name="输出 2 3 10 12" xfId="337" xr:uid="{00000000-0005-0000-0000-000072010000}"/>
    <cellStyle name="输出 2 3 10 12 2" xfId="725" xr:uid="{00000000-0005-0000-0000-000005030000}"/>
    <cellStyle name="输出 2 3 10 13" xfId="270" xr:uid="{00000000-0005-0000-0000-000029010000}"/>
    <cellStyle name="输出 2 3 10 14" xfId="4737" xr:uid="{00000000-0005-0000-0000-0000B1120000}"/>
    <cellStyle name="输出 2 3 10 15" xfId="4743" xr:uid="{00000000-0005-0000-0000-0000B7120000}"/>
    <cellStyle name="输出 2 3 10 16" xfId="4750" xr:uid="{00000000-0005-0000-0000-0000BE120000}"/>
    <cellStyle name="输出 2 3 10 2" xfId="26063" xr:uid="{00000000-0005-0000-0000-0000FF650000}"/>
    <cellStyle name="输出 2 3 10 2 2" xfId="39926" xr:uid="{00000000-0005-0000-0000-0000269C0000}"/>
    <cellStyle name="输出 2 3 10 2 2 2" xfId="39927" xr:uid="{00000000-0005-0000-0000-0000279C0000}"/>
    <cellStyle name="输出 2 3 10 2 3" xfId="6489" xr:uid="{00000000-0005-0000-0000-000089190000}"/>
    <cellStyle name="输出 2 3 10 2 3 2" xfId="39928" xr:uid="{00000000-0005-0000-0000-0000289C0000}"/>
    <cellStyle name="输出 2 3 10 2 4" xfId="34524" xr:uid="{00000000-0005-0000-0000-00000C870000}"/>
    <cellStyle name="输出 2 3 10 2 4 2" xfId="39929" xr:uid="{00000000-0005-0000-0000-0000299C0000}"/>
    <cellStyle name="输出 2 3 10 2 5" xfId="34527" xr:uid="{00000000-0005-0000-0000-00000F870000}"/>
    <cellStyle name="输出 2 3 10 2 5 2" xfId="39931" xr:uid="{00000000-0005-0000-0000-00002B9C0000}"/>
    <cellStyle name="输出 2 3 10 2 6" xfId="34530" xr:uid="{00000000-0005-0000-0000-000012870000}"/>
    <cellStyle name="输出 2 3 10 2 7" xfId="34534" xr:uid="{00000000-0005-0000-0000-000016870000}"/>
    <cellStyle name="输出 2 3 10 2 8" xfId="39934" xr:uid="{00000000-0005-0000-0000-00002E9C0000}"/>
    <cellStyle name="输出 2 3 10 2 9" xfId="39936" xr:uid="{00000000-0005-0000-0000-0000309C0000}"/>
    <cellStyle name="输出 2 3 10 3" xfId="34502" xr:uid="{00000000-0005-0000-0000-0000F6860000}"/>
    <cellStyle name="输出 2 3 10 3 2" xfId="39939" xr:uid="{00000000-0005-0000-0000-0000339C0000}"/>
    <cellStyle name="输出 2 3 10 3 2 2" xfId="39940" xr:uid="{00000000-0005-0000-0000-0000349C0000}"/>
    <cellStyle name="输出 2 3 10 3 3" xfId="6502" xr:uid="{00000000-0005-0000-0000-000096190000}"/>
    <cellStyle name="输出 2 3 10 3 3 2" xfId="39941" xr:uid="{00000000-0005-0000-0000-0000359C0000}"/>
    <cellStyle name="输出 2 3 10 3 4" xfId="39942" xr:uid="{00000000-0005-0000-0000-0000369C0000}"/>
    <cellStyle name="输出 2 3 10 3 4 2" xfId="39944" xr:uid="{00000000-0005-0000-0000-0000389C0000}"/>
    <cellStyle name="输出 2 3 10 3 5" xfId="39946" xr:uid="{00000000-0005-0000-0000-00003A9C0000}"/>
    <cellStyle name="输出 2 3 10 3 5 2" xfId="39948" xr:uid="{00000000-0005-0000-0000-00003C9C0000}"/>
    <cellStyle name="输出 2 3 10 3 6" xfId="37233" xr:uid="{00000000-0005-0000-0000-0000A1910000}"/>
    <cellStyle name="输出 2 3 10 4" xfId="1089" xr:uid="{00000000-0005-0000-0000-000071040000}"/>
    <cellStyle name="输出 2 3 10 4 2" xfId="3489" xr:uid="{00000000-0005-0000-0000-0000D10D0000}"/>
    <cellStyle name="输出 2 3 10 4 2 2" xfId="39950" xr:uid="{00000000-0005-0000-0000-00003E9C0000}"/>
    <cellStyle name="输出 2 3 10 4 3" xfId="39951" xr:uid="{00000000-0005-0000-0000-00003F9C0000}"/>
    <cellStyle name="输出 2 3 10 4 3 2" xfId="39952" xr:uid="{00000000-0005-0000-0000-0000409C0000}"/>
    <cellStyle name="输出 2 3 10 4 4" xfId="39953" xr:uid="{00000000-0005-0000-0000-0000419C0000}"/>
    <cellStyle name="输出 2 3 10 4 4 2" xfId="39955" xr:uid="{00000000-0005-0000-0000-0000439C0000}"/>
    <cellStyle name="输出 2 3 10 4 5" xfId="39957" xr:uid="{00000000-0005-0000-0000-0000459C0000}"/>
    <cellStyle name="输出 2 3 10 4 5 2" xfId="39960" xr:uid="{00000000-0005-0000-0000-0000489C0000}"/>
    <cellStyle name="输出 2 3 10 4 6" xfId="20279" xr:uid="{00000000-0005-0000-0000-0000674F0000}"/>
    <cellStyle name="输出 2 3 10 5" xfId="2152" xr:uid="{00000000-0005-0000-0000-000098080000}"/>
    <cellStyle name="输出 2 3 10 5 2" xfId="645" xr:uid="{00000000-0005-0000-0000-0000B5020000}"/>
    <cellStyle name="输出 2 3 10 5 2 2" xfId="39962" xr:uid="{00000000-0005-0000-0000-00004A9C0000}"/>
    <cellStyle name="输出 2 3 10 5 3" xfId="39963" xr:uid="{00000000-0005-0000-0000-00004B9C0000}"/>
    <cellStyle name="输出 2 3 10 5 3 2" xfId="39965" xr:uid="{00000000-0005-0000-0000-00004D9C0000}"/>
    <cellStyle name="输出 2 3 10 5 4" xfId="39966" xr:uid="{00000000-0005-0000-0000-00004E9C0000}"/>
    <cellStyle name="输出 2 3 10 5 4 2" xfId="39969" xr:uid="{00000000-0005-0000-0000-0000519C0000}"/>
    <cellStyle name="输出 2 3 10 5 5" xfId="39971" xr:uid="{00000000-0005-0000-0000-0000539C0000}"/>
    <cellStyle name="输出 2 3 10 5 5 2" xfId="39974" xr:uid="{00000000-0005-0000-0000-0000569C0000}"/>
    <cellStyle name="输出 2 3 10 5 6" xfId="6256" xr:uid="{00000000-0005-0000-0000-0000A0180000}"/>
    <cellStyle name="输出 2 3 10 6" xfId="2179" xr:uid="{00000000-0005-0000-0000-0000B3080000}"/>
    <cellStyle name="输出 2 3 10 6 2" xfId="218" xr:uid="{00000000-0005-0000-0000-0000EC000000}"/>
    <cellStyle name="输出 2 3 10 6 2 2" xfId="37016" xr:uid="{00000000-0005-0000-0000-0000C8900000}"/>
    <cellStyle name="输出 2 3 10 6 3" xfId="36004" xr:uid="{00000000-0005-0000-0000-0000D48C0000}"/>
    <cellStyle name="输出 2 3 10 6 3 2" xfId="36007" xr:uid="{00000000-0005-0000-0000-0000D78C0000}"/>
    <cellStyle name="输出 2 3 10 6 4" xfId="36009" xr:uid="{00000000-0005-0000-0000-0000D98C0000}"/>
    <cellStyle name="输出 2 3 10 6 4 2" xfId="36014" xr:uid="{00000000-0005-0000-0000-0000DE8C0000}"/>
    <cellStyle name="输出 2 3 10 6 5" xfId="36016" xr:uid="{00000000-0005-0000-0000-0000E08C0000}"/>
    <cellStyle name="输出 2 3 10 6 5 2" xfId="36019" xr:uid="{00000000-0005-0000-0000-0000E38C0000}"/>
    <cellStyle name="输出 2 3 10 6 6" xfId="20282" xr:uid="{00000000-0005-0000-0000-00006A4F0000}"/>
    <cellStyle name="输出 2 3 10 7" xfId="2188" xr:uid="{00000000-0005-0000-0000-0000BC080000}"/>
    <cellStyle name="输出 2 3 10 7 2" xfId="3495" xr:uid="{00000000-0005-0000-0000-0000D70D0000}"/>
    <cellStyle name="输出 2 3 10 7 2 2" xfId="39976" xr:uid="{00000000-0005-0000-0000-0000589C0000}"/>
    <cellStyle name="输出 2 3 10 7 3" xfId="36024" xr:uid="{00000000-0005-0000-0000-0000E88C0000}"/>
    <cellStyle name="输出 2 3 10 7 3 2" xfId="36026" xr:uid="{00000000-0005-0000-0000-0000EA8C0000}"/>
    <cellStyle name="输出 2 3 10 7 4" xfId="36028" xr:uid="{00000000-0005-0000-0000-0000EC8C0000}"/>
    <cellStyle name="输出 2 3 10 7 4 2" xfId="36031" xr:uid="{00000000-0005-0000-0000-0000EF8C0000}"/>
    <cellStyle name="输出 2 3 10 7 5" xfId="36033" xr:uid="{00000000-0005-0000-0000-0000F18C0000}"/>
    <cellStyle name="输出 2 3 10 7 5 2" xfId="5617" xr:uid="{00000000-0005-0000-0000-000021160000}"/>
    <cellStyle name="输出 2 3 10 7 6" xfId="10913" xr:uid="{00000000-0005-0000-0000-0000D12A0000}"/>
    <cellStyle name="输出 2 3 10 8" xfId="2202" xr:uid="{00000000-0005-0000-0000-0000CA080000}"/>
    <cellStyle name="输出 2 3 10 8 2" xfId="39977" xr:uid="{00000000-0005-0000-0000-0000599C0000}"/>
    <cellStyle name="输出 2 3 10 8 2 2" xfId="39978" xr:uid="{00000000-0005-0000-0000-00005A9C0000}"/>
    <cellStyle name="输出 2 3 10 8 3" xfId="36039" xr:uid="{00000000-0005-0000-0000-0000F78C0000}"/>
    <cellStyle name="输出 2 3 10 8 3 2" xfId="36041" xr:uid="{00000000-0005-0000-0000-0000F98C0000}"/>
    <cellStyle name="输出 2 3 10 8 4" xfId="36043" xr:uid="{00000000-0005-0000-0000-0000FB8C0000}"/>
    <cellStyle name="输出 2 3 10 8 4 2" xfId="36046" xr:uid="{00000000-0005-0000-0000-0000FE8C0000}"/>
    <cellStyle name="输出 2 3 10 8 5" xfId="36048" xr:uid="{00000000-0005-0000-0000-0000008D0000}"/>
    <cellStyle name="输出 2 3 10 9" xfId="13554" xr:uid="{00000000-0005-0000-0000-000022350000}"/>
    <cellStyle name="输出 2 3 10 9 2" xfId="39979" xr:uid="{00000000-0005-0000-0000-00005B9C0000}"/>
    <cellStyle name="输出 2 3 11" xfId="26067" xr:uid="{00000000-0005-0000-0000-000003660000}"/>
    <cellStyle name="输出 2 3 11 10" xfId="13045" xr:uid="{00000000-0005-0000-0000-000025330000}"/>
    <cellStyle name="输出 2 3 11 10 2" xfId="9964" xr:uid="{00000000-0005-0000-0000-00001C270000}"/>
    <cellStyle name="输出 2 3 11 11" xfId="32254" xr:uid="{00000000-0005-0000-0000-00002E7E0000}"/>
    <cellStyle name="输出 2 3 11 11 2" xfId="10023" xr:uid="{00000000-0005-0000-0000-000057270000}"/>
    <cellStyle name="输出 2 3 11 12" xfId="899" xr:uid="{00000000-0005-0000-0000-0000B3030000}"/>
    <cellStyle name="输出 2 3 11 12 2" xfId="1009" xr:uid="{00000000-0005-0000-0000-000021040000}"/>
    <cellStyle name="输出 2 3 11 13" xfId="4861" xr:uid="{00000000-0005-0000-0000-00002D130000}"/>
    <cellStyle name="输出 2 3 11 14" xfId="4865" xr:uid="{00000000-0005-0000-0000-000031130000}"/>
    <cellStyle name="输出 2 3 11 15" xfId="4872" xr:uid="{00000000-0005-0000-0000-000038130000}"/>
    <cellStyle name="输出 2 3 11 16" xfId="4881" xr:uid="{00000000-0005-0000-0000-000041130000}"/>
    <cellStyle name="输出 2 3 11 2" xfId="26068" xr:uid="{00000000-0005-0000-0000-000004660000}"/>
    <cellStyle name="输出 2 3 11 2 2" xfId="39982" xr:uid="{00000000-0005-0000-0000-00005E9C0000}"/>
    <cellStyle name="输出 2 3 11 2 2 2" xfId="39984" xr:uid="{00000000-0005-0000-0000-0000609C0000}"/>
    <cellStyle name="输出 2 3 11 2 3" xfId="39986" xr:uid="{00000000-0005-0000-0000-0000629C0000}"/>
    <cellStyle name="输出 2 3 11 2 3 2" xfId="39988" xr:uid="{00000000-0005-0000-0000-0000649C0000}"/>
    <cellStyle name="输出 2 3 11 2 4" xfId="39990" xr:uid="{00000000-0005-0000-0000-0000669C0000}"/>
    <cellStyle name="输出 2 3 11 2 4 2" xfId="39993" xr:uid="{00000000-0005-0000-0000-0000699C0000}"/>
    <cellStyle name="输出 2 3 11 2 5" xfId="39996" xr:uid="{00000000-0005-0000-0000-00006C9C0000}"/>
    <cellStyle name="输出 2 3 11 2 5 2" xfId="39999" xr:uid="{00000000-0005-0000-0000-00006F9C0000}"/>
    <cellStyle name="输出 2 3 11 2 6" xfId="40003" xr:uid="{00000000-0005-0000-0000-0000739C0000}"/>
    <cellStyle name="输出 2 3 11 3" xfId="40009" xr:uid="{00000000-0005-0000-0000-0000799C0000}"/>
    <cellStyle name="输出 2 3 11 3 2" xfId="40012" xr:uid="{00000000-0005-0000-0000-00007C9C0000}"/>
    <cellStyle name="输出 2 3 11 3 2 2" xfId="40014" xr:uid="{00000000-0005-0000-0000-00007E9C0000}"/>
    <cellStyle name="输出 2 3 11 3 3" xfId="40016" xr:uid="{00000000-0005-0000-0000-0000809C0000}"/>
    <cellStyle name="输出 2 3 11 3 3 2" xfId="40018" xr:uid="{00000000-0005-0000-0000-0000829C0000}"/>
    <cellStyle name="输出 2 3 11 3 4" xfId="40020" xr:uid="{00000000-0005-0000-0000-0000849C0000}"/>
    <cellStyle name="输出 2 3 11 3 4 2" xfId="40023" xr:uid="{00000000-0005-0000-0000-0000879C0000}"/>
    <cellStyle name="输出 2 3 11 3 5" xfId="40026" xr:uid="{00000000-0005-0000-0000-00008A9C0000}"/>
    <cellStyle name="输出 2 3 11 3 5 2" xfId="40029" xr:uid="{00000000-0005-0000-0000-00008D9C0000}"/>
    <cellStyle name="输出 2 3 11 3 6" xfId="40032" xr:uid="{00000000-0005-0000-0000-0000909C0000}"/>
    <cellStyle name="输出 2 3 11 4" xfId="1112" xr:uid="{00000000-0005-0000-0000-000088040000}"/>
    <cellStyle name="输出 2 3 11 4 2" xfId="1282" xr:uid="{00000000-0005-0000-0000-000032050000}"/>
    <cellStyle name="输出 2 3 11 4 2 2" xfId="40035" xr:uid="{00000000-0005-0000-0000-0000939C0000}"/>
    <cellStyle name="输出 2 3 11 4 3" xfId="40036" xr:uid="{00000000-0005-0000-0000-0000949C0000}"/>
    <cellStyle name="输出 2 3 11 4 3 2" xfId="40037" xr:uid="{00000000-0005-0000-0000-0000959C0000}"/>
    <cellStyle name="输出 2 3 11 4 4" xfId="40038" xr:uid="{00000000-0005-0000-0000-0000969C0000}"/>
    <cellStyle name="输出 2 3 11 4 4 2" xfId="40040" xr:uid="{00000000-0005-0000-0000-0000989C0000}"/>
    <cellStyle name="输出 2 3 11 4 5" xfId="40042" xr:uid="{00000000-0005-0000-0000-00009A9C0000}"/>
    <cellStyle name="输出 2 3 11 4 5 2" xfId="40045" xr:uid="{00000000-0005-0000-0000-00009D9C0000}"/>
    <cellStyle name="输出 2 3 11 4 6" xfId="20329" xr:uid="{00000000-0005-0000-0000-0000994F0000}"/>
    <cellStyle name="输出 2 3 11 5" xfId="3504" xr:uid="{00000000-0005-0000-0000-0000E00D0000}"/>
    <cellStyle name="输出 2 3 11 5 2" xfId="2199" xr:uid="{00000000-0005-0000-0000-0000C7080000}"/>
    <cellStyle name="输出 2 3 11 5 2 2" xfId="40047" xr:uid="{00000000-0005-0000-0000-00009F9C0000}"/>
    <cellStyle name="输出 2 3 11 5 3" xfId="40048" xr:uid="{00000000-0005-0000-0000-0000A09C0000}"/>
    <cellStyle name="输出 2 3 11 5 3 2" xfId="40049" xr:uid="{00000000-0005-0000-0000-0000A19C0000}"/>
    <cellStyle name="输出 2 3 11 5 4" xfId="40051" xr:uid="{00000000-0005-0000-0000-0000A39C0000}"/>
    <cellStyle name="输出 2 3 11 5 4 2" xfId="40054" xr:uid="{00000000-0005-0000-0000-0000A69C0000}"/>
    <cellStyle name="输出 2 3 11 5 5" xfId="40056" xr:uid="{00000000-0005-0000-0000-0000A89C0000}"/>
    <cellStyle name="输出 2 3 11 5 5 2" xfId="40059" xr:uid="{00000000-0005-0000-0000-0000AB9C0000}"/>
    <cellStyle name="输出 2 3 11 5 6" xfId="20332" xr:uid="{00000000-0005-0000-0000-00009C4F0000}"/>
    <cellStyle name="输出 2 3 11 6" xfId="3508" xr:uid="{00000000-0005-0000-0000-0000E40D0000}"/>
    <cellStyle name="输出 2 3 11 6 2" xfId="1559" xr:uid="{00000000-0005-0000-0000-000047060000}"/>
    <cellStyle name="输出 2 3 11 6 2 2" xfId="40061" xr:uid="{00000000-0005-0000-0000-0000AD9C0000}"/>
    <cellStyle name="输出 2 3 11 6 3" xfId="36073" xr:uid="{00000000-0005-0000-0000-0000198D0000}"/>
    <cellStyle name="输出 2 3 11 6 3 2" xfId="36075" xr:uid="{00000000-0005-0000-0000-00001B8D0000}"/>
    <cellStyle name="输出 2 3 11 6 4" xfId="36078" xr:uid="{00000000-0005-0000-0000-00001E8D0000}"/>
    <cellStyle name="输出 2 3 11 6 4 2" xfId="36082" xr:uid="{00000000-0005-0000-0000-0000228D0000}"/>
    <cellStyle name="输出 2 3 11 6 5" xfId="36085" xr:uid="{00000000-0005-0000-0000-0000258D0000}"/>
    <cellStyle name="输出 2 3 11 6 5 2" xfId="36088" xr:uid="{00000000-0005-0000-0000-0000288D0000}"/>
    <cellStyle name="输出 2 3 11 6 6" xfId="20335" xr:uid="{00000000-0005-0000-0000-00009F4F0000}"/>
    <cellStyle name="输出 2 3 11 7" xfId="1397" xr:uid="{00000000-0005-0000-0000-0000A5050000}"/>
    <cellStyle name="输出 2 3 11 7 2" xfId="1413" xr:uid="{00000000-0005-0000-0000-0000B5050000}"/>
    <cellStyle name="输出 2 3 11 7 2 2" xfId="40063" xr:uid="{00000000-0005-0000-0000-0000AF9C0000}"/>
    <cellStyle name="输出 2 3 11 7 3" xfId="32977" xr:uid="{00000000-0005-0000-0000-000001810000}"/>
    <cellStyle name="输出 2 3 11 7 3 2" xfId="36100" xr:uid="{00000000-0005-0000-0000-0000348D0000}"/>
    <cellStyle name="输出 2 3 11 7 4" xfId="36103" xr:uid="{00000000-0005-0000-0000-0000378D0000}"/>
    <cellStyle name="输出 2 3 11 7 4 2" xfId="36106" xr:uid="{00000000-0005-0000-0000-00003A8D0000}"/>
    <cellStyle name="输出 2 3 11 7 5" xfId="36109" xr:uid="{00000000-0005-0000-0000-00003D8D0000}"/>
    <cellStyle name="输出 2 3 11 7 5 2" xfId="36111" xr:uid="{00000000-0005-0000-0000-00003F8D0000}"/>
    <cellStyle name="输出 2 3 11 7 6" xfId="10984" xr:uid="{00000000-0005-0000-0000-0000182B0000}"/>
    <cellStyle name="输出 2 3 11 8" xfId="1543" xr:uid="{00000000-0005-0000-0000-000037060000}"/>
    <cellStyle name="输出 2 3 11 8 2" xfId="40065" xr:uid="{00000000-0005-0000-0000-0000B19C0000}"/>
    <cellStyle name="输出 2 3 11 8 2 2" xfId="23723" xr:uid="{00000000-0005-0000-0000-0000DB5C0000}"/>
    <cellStyle name="输出 2 3 11 8 3" xfId="32985" xr:uid="{00000000-0005-0000-0000-000009810000}"/>
    <cellStyle name="输出 2 3 11 8 3 2" xfId="23737" xr:uid="{00000000-0005-0000-0000-0000E95C0000}"/>
    <cellStyle name="输出 2 3 11 8 4" xfId="36118" xr:uid="{00000000-0005-0000-0000-0000468D0000}"/>
    <cellStyle name="输出 2 3 11 8 4 2" xfId="23754" xr:uid="{00000000-0005-0000-0000-0000FA5C0000}"/>
    <cellStyle name="输出 2 3 11 8 5" xfId="36121" xr:uid="{00000000-0005-0000-0000-0000498D0000}"/>
    <cellStyle name="输出 2 3 11 9" xfId="13561" xr:uid="{00000000-0005-0000-0000-000029350000}"/>
    <cellStyle name="输出 2 3 11 9 2" xfId="40066" xr:uid="{00000000-0005-0000-0000-0000B29C0000}"/>
    <cellStyle name="输出 2 3 12" xfId="15194" xr:uid="{00000000-0005-0000-0000-00008A3B0000}"/>
    <cellStyle name="输出 2 3 12 2" xfId="15198" xr:uid="{00000000-0005-0000-0000-00008E3B0000}"/>
    <cellStyle name="输出 2 3 12 2 2" xfId="40068" xr:uid="{00000000-0005-0000-0000-0000B49C0000}"/>
    <cellStyle name="输出 2 3 12 3" xfId="40071" xr:uid="{00000000-0005-0000-0000-0000B79C0000}"/>
    <cellStyle name="输出 2 3 12 3 2" xfId="40073" xr:uid="{00000000-0005-0000-0000-0000B99C0000}"/>
    <cellStyle name="输出 2 3 12 4" xfId="1142" xr:uid="{00000000-0005-0000-0000-0000A6040000}"/>
    <cellStyle name="输出 2 3 12 4 2" xfId="2880" xr:uid="{00000000-0005-0000-0000-0000700B0000}"/>
    <cellStyle name="输出 2 3 12 5" xfId="3523" xr:uid="{00000000-0005-0000-0000-0000F30D0000}"/>
    <cellStyle name="输出 2 3 12 5 2" xfId="3527" xr:uid="{00000000-0005-0000-0000-0000F70D0000}"/>
    <cellStyle name="输出 2 3 12 6" xfId="3534" xr:uid="{00000000-0005-0000-0000-0000FE0D0000}"/>
    <cellStyle name="输出 2 3 12 7" xfId="1996" xr:uid="{00000000-0005-0000-0000-0000FC070000}"/>
    <cellStyle name="输出 2 3 12 8" xfId="40074" xr:uid="{00000000-0005-0000-0000-0000BA9C0000}"/>
    <cellStyle name="输出 2 3 12 9" xfId="40075" xr:uid="{00000000-0005-0000-0000-0000BB9C0000}"/>
    <cellStyle name="输出 2 3 13" xfId="15200" xr:uid="{00000000-0005-0000-0000-0000903B0000}"/>
    <cellStyle name="输出 2 3 13 2" xfId="15205" xr:uid="{00000000-0005-0000-0000-0000953B0000}"/>
    <cellStyle name="输出 2 3 13 2 2" xfId="40078" xr:uid="{00000000-0005-0000-0000-0000BE9C0000}"/>
    <cellStyle name="输出 2 3 13 3" xfId="40081" xr:uid="{00000000-0005-0000-0000-0000C19C0000}"/>
    <cellStyle name="输出 2 3 13 3 2" xfId="40083" xr:uid="{00000000-0005-0000-0000-0000C39C0000}"/>
    <cellStyle name="输出 2 3 13 4" xfId="40085" xr:uid="{00000000-0005-0000-0000-0000C59C0000}"/>
    <cellStyle name="输出 2 3 13 4 2" xfId="40086" xr:uid="{00000000-0005-0000-0000-0000C69C0000}"/>
    <cellStyle name="输出 2 3 13 5" xfId="21755" xr:uid="{00000000-0005-0000-0000-00002B550000}"/>
    <cellStyle name="输出 2 3 13 5 2" xfId="38001" xr:uid="{00000000-0005-0000-0000-0000A1940000}"/>
    <cellStyle name="输出 2 3 13 6" xfId="40087" xr:uid="{00000000-0005-0000-0000-0000C79C0000}"/>
    <cellStyle name="输出 2 3 14" xfId="15207" xr:uid="{00000000-0005-0000-0000-0000973B0000}"/>
    <cellStyle name="输出 2 3 14 2" xfId="15212" xr:uid="{00000000-0005-0000-0000-00009C3B0000}"/>
    <cellStyle name="输出 2 3 14 2 2" xfId="40090" xr:uid="{00000000-0005-0000-0000-0000CA9C0000}"/>
    <cellStyle name="输出 2 3 14 3" xfId="40093" xr:uid="{00000000-0005-0000-0000-0000CD9C0000}"/>
    <cellStyle name="输出 2 3 14 3 2" xfId="40095" xr:uid="{00000000-0005-0000-0000-0000CF9C0000}"/>
    <cellStyle name="输出 2 3 14 4" xfId="40097" xr:uid="{00000000-0005-0000-0000-0000D19C0000}"/>
    <cellStyle name="输出 2 3 14 4 2" xfId="40098" xr:uid="{00000000-0005-0000-0000-0000D29C0000}"/>
    <cellStyle name="输出 2 3 14 5" xfId="21759" xr:uid="{00000000-0005-0000-0000-00002F550000}"/>
    <cellStyle name="输出 2 3 14 5 2" xfId="40099" xr:uid="{00000000-0005-0000-0000-0000D39C0000}"/>
    <cellStyle name="输出 2 3 14 6" xfId="40100" xr:uid="{00000000-0005-0000-0000-0000D49C0000}"/>
    <cellStyle name="输出 2 3 15" xfId="10168" xr:uid="{00000000-0005-0000-0000-0000E8270000}"/>
    <cellStyle name="输出 2 3 15 2" xfId="40104" xr:uid="{00000000-0005-0000-0000-0000D89C0000}"/>
    <cellStyle name="输出 2 3 15 2 2" xfId="40107" xr:uid="{00000000-0005-0000-0000-0000DB9C0000}"/>
    <cellStyle name="输出 2 3 15 3" xfId="40109" xr:uid="{00000000-0005-0000-0000-0000DD9C0000}"/>
    <cellStyle name="输出 2 3 15 3 2" xfId="40112" xr:uid="{00000000-0005-0000-0000-0000E09C0000}"/>
    <cellStyle name="输出 2 3 15 4" xfId="40114" xr:uid="{00000000-0005-0000-0000-0000E29C0000}"/>
    <cellStyle name="输出 2 3 15 4 2" xfId="40115" xr:uid="{00000000-0005-0000-0000-0000E39C0000}"/>
    <cellStyle name="输出 2 3 15 5" xfId="40116" xr:uid="{00000000-0005-0000-0000-0000E49C0000}"/>
    <cellStyle name="输出 2 3 15 5 2" xfId="40117" xr:uid="{00000000-0005-0000-0000-0000E59C0000}"/>
    <cellStyle name="输出 2 3 15 6" xfId="14101" xr:uid="{00000000-0005-0000-0000-000045370000}"/>
    <cellStyle name="输出 2 3 16" xfId="40119" xr:uid="{00000000-0005-0000-0000-0000E79C0000}"/>
    <cellStyle name="输出 2 3 16 2" xfId="40122" xr:uid="{00000000-0005-0000-0000-0000EA9C0000}"/>
    <cellStyle name="输出 2 3 16 2 2" xfId="40125" xr:uid="{00000000-0005-0000-0000-0000ED9C0000}"/>
    <cellStyle name="输出 2 3 16 3" xfId="40127" xr:uid="{00000000-0005-0000-0000-0000EF9C0000}"/>
    <cellStyle name="输出 2 3 16 3 2" xfId="40128" xr:uid="{00000000-0005-0000-0000-0000F09C0000}"/>
    <cellStyle name="输出 2 3 16 4" xfId="40129" xr:uid="{00000000-0005-0000-0000-0000F19C0000}"/>
    <cellStyle name="输出 2 3 16 4 2" xfId="40130" xr:uid="{00000000-0005-0000-0000-0000F29C0000}"/>
    <cellStyle name="输出 2 3 16 5" xfId="40131" xr:uid="{00000000-0005-0000-0000-0000F39C0000}"/>
    <cellStyle name="输出 2 3 16 5 2" xfId="40132" xr:uid="{00000000-0005-0000-0000-0000F49C0000}"/>
    <cellStyle name="输出 2 3 16 6" xfId="1780" xr:uid="{00000000-0005-0000-0000-000024070000}"/>
    <cellStyle name="输出 2 3 17" xfId="40135" xr:uid="{00000000-0005-0000-0000-0000F79C0000}"/>
    <cellStyle name="输出 2 3 17 2" xfId="40137" xr:uid="{00000000-0005-0000-0000-0000F99C0000}"/>
    <cellStyle name="输出 2 3 17 2 2" xfId="34164" xr:uid="{00000000-0005-0000-0000-0000A4850000}"/>
    <cellStyle name="输出 2 3 17 3" xfId="40138" xr:uid="{00000000-0005-0000-0000-0000FA9C0000}"/>
    <cellStyle name="输出 2 3 17 3 2" xfId="34180" xr:uid="{00000000-0005-0000-0000-0000B4850000}"/>
    <cellStyle name="输出 2 3 17 4" xfId="40139" xr:uid="{00000000-0005-0000-0000-0000FB9C0000}"/>
    <cellStyle name="输出 2 3 17 4 2" xfId="22609" xr:uid="{00000000-0005-0000-0000-000081580000}"/>
    <cellStyle name="输出 2 3 17 5" xfId="40140" xr:uid="{00000000-0005-0000-0000-0000FC9C0000}"/>
    <cellStyle name="输出 2 3 17 5 2" xfId="34187" xr:uid="{00000000-0005-0000-0000-0000BB850000}"/>
    <cellStyle name="输出 2 3 17 6" xfId="10812" xr:uid="{00000000-0005-0000-0000-00006C2A0000}"/>
    <cellStyle name="输出 2 3 18" xfId="40142" xr:uid="{00000000-0005-0000-0000-0000FE9C0000}"/>
    <cellStyle name="输出 2 3 18 2" xfId="40144" xr:uid="{00000000-0005-0000-0000-0000009D0000}"/>
    <cellStyle name="输出 2 3 18 2 2" xfId="40146" xr:uid="{00000000-0005-0000-0000-0000029D0000}"/>
    <cellStyle name="输出 2 3 18 3" xfId="40147" xr:uid="{00000000-0005-0000-0000-0000039D0000}"/>
    <cellStyle name="输出 2 3 18 3 2" xfId="40149" xr:uid="{00000000-0005-0000-0000-0000059D0000}"/>
    <cellStyle name="输出 2 3 18 4" xfId="40150" xr:uid="{00000000-0005-0000-0000-0000069D0000}"/>
    <cellStyle name="输出 2 3 18 4 2" xfId="40152" xr:uid="{00000000-0005-0000-0000-0000089D0000}"/>
    <cellStyle name="输出 2 3 18 5" xfId="40153" xr:uid="{00000000-0005-0000-0000-0000099D0000}"/>
    <cellStyle name="输出 2 3 18 5 2" xfId="38594" xr:uid="{00000000-0005-0000-0000-0000F2960000}"/>
    <cellStyle name="输出 2 3 18 6" xfId="40154" xr:uid="{00000000-0005-0000-0000-00000A9D0000}"/>
    <cellStyle name="输出 2 3 19" xfId="38512" xr:uid="{00000000-0005-0000-0000-0000A0960000}"/>
    <cellStyle name="输出 2 3 19 2" xfId="40155" xr:uid="{00000000-0005-0000-0000-00000B9D0000}"/>
    <cellStyle name="输出 2 3 19 2 2" xfId="40157" xr:uid="{00000000-0005-0000-0000-00000D9D0000}"/>
    <cellStyle name="输出 2 3 19 3" xfId="40158" xr:uid="{00000000-0005-0000-0000-00000E9D0000}"/>
    <cellStyle name="输出 2 3 19 3 2" xfId="40160" xr:uid="{00000000-0005-0000-0000-0000109D0000}"/>
    <cellStyle name="输出 2 3 19 4" xfId="40161" xr:uid="{00000000-0005-0000-0000-0000119D0000}"/>
    <cellStyle name="输出 2 3 19 4 2" xfId="40164" xr:uid="{00000000-0005-0000-0000-0000149D0000}"/>
    <cellStyle name="输出 2 3 19 5" xfId="40165" xr:uid="{00000000-0005-0000-0000-0000159D0000}"/>
    <cellStyle name="输出 2 3 2" xfId="40166" xr:uid="{00000000-0005-0000-0000-0000169D0000}"/>
    <cellStyle name="输出 2 3 2 10" xfId="40168" xr:uid="{00000000-0005-0000-0000-0000189D0000}"/>
    <cellStyle name="输出 2 3 2 10 2" xfId="17208" xr:uid="{00000000-0005-0000-0000-000068430000}"/>
    <cellStyle name="输出 2 3 2 11" xfId="27741" xr:uid="{00000000-0005-0000-0000-00008D6C0000}"/>
    <cellStyle name="输出 2 3 2 11 2" xfId="712" xr:uid="{00000000-0005-0000-0000-0000F8020000}"/>
    <cellStyle name="输出 2 3 2 12" xfId="27743" xr:uid="{00000000-0005-0000-0000-00008F6C0000}"/>
    <cellStyle name="输出 2 3 2 12 2" xfId="27749" xr:uid="{00000000-0005-0000-0000-0000956C0000}"/>
    <cellStyle name="输出 2 3 2 13" xfId="27753" xr:uid="{00000000-0005-0000-0000-0000996C0000}"/>
    <cellStyle name="输出 2 3 2 14" xfId="27759" xr:uid="{00000000-0005-0000-0000-00009F6C0000}"/>
    <cellStyle name="输出 2 3 2 15" xfId="4756" xr:uid="{00000000-0005-0000-0000-0000C4120000}"/>
    <cellStyle name="输出 2 3 2 16" xfId="40169" xr:uid="{00000000-0005-0000-0000-0000199D0000}"/>
    <cellStyle name="输出 2 3 2 2" xfId="26091" xr:uid="{00000000-0005-0000-0000-00001B660000}"/>
    <cellStyle name="输出 2 3 2 2 2" xfId="30119" xr:uid="{00000000-0005-0000-0000-0000D7750000}"/>
    <cellStyle name="输出 2 3 2 2 2 2" xfId="39856" xr:uid="{00000000-0005-0000-0000-0000E09B0000}"/>
    <cellStyle name="输出 2 3 2 2 3" xfId="40170" xr:uid="{00000000-0005-0000-0000-00001A9D0000}"/>
    <cellStyle name="输出 2 3 2 2 3 2" xfId="39869" xr:uid="{00000000-0005-0000-0000-0000ED9B0000}"/>
    <cellStyle name="输出 2 3 2 2 4" xfId="40172" xr:uid="{00000000-0005-0000-0000-00001C9D0000}"/>
    <cellStyle name="输出 2 3 2 2 4 2" xfId="37856" xr:uid="{00000000-0005-0000-0000-000010940000}"/>
    <cellStyle name="输出 2 3 2 2 5" xfId="40174" xr:uid="{00000000-0005-0000-0000-00001E9D0000}"/>
    <cellStyle name="输出 2 3 2 2 5 2" xfId="37872" xr:uid="{00000000-0005-0000-0000-000020940000}"/>
    <cellStyle name="输出 2 3 2 2 6" xfId="18216" xr:uid="{00000000-0005-0000-0000-000058470000}"/>
    <cellStyle name="输出 2 3 2 2 7" xfId="40177" xr:uid="{00000000-0005-0000-0000-0000219D0000}"/>
    <cellStyle name="输出 2 3 2 2 8" xfId="40178" xr:uid="{00000000-0005-0000-0000-0000229D0000}"/>
    <cellStyle name="输出 2 3 2 2 9" xfId="35811" xr:uid="{00000000-0005-0000-0000-0000138C0000}"/>
    <cellStyle name="输出 2 3 2 3" xfId="26099" xr:uid="{00000000-0005-0000-0000-000023660000}"/>
    <cellStyle name="输出 2 3 2 3 2" xfId="15627" xr:uid="{00000000-0005-0000-0000-00003B3D0000}"/>
    <cellStyle name="输出 2 3 2 3 2 2" xfId="17184" xr:uid="{00000000-0005-0000-0000-000050430000}"/>
    <cellStyle name="输出 2 3 2 3 3" xfId="22545" xr:uid="{00000000-0005-0000-0000-000041580000}"/>
    <cellStyle name="输出 2 3 2 3 3 2" xfId="17217" xr:uid="{00000000-0005-0000-0000-000071430000}"/>
    <cellStyle name="输出 2 3 2 3 4" xfId="18238" xr:uid="{00000000-0005-0000-0000-00006E470000}"/>
    <cellStyle name="输出 2 3 2 3 4 2" xfId="17246" xr:uid="{00000000-0005-0000-0000-00008E430000}"/>
    <cellStyle name="输出 2 3 2 3 5" xfId="18242" xr:uid="{00000000-0005-0000-0000-000072470000}"/>
    <cellStyle name="输出 2 3 2 3 5 2" xfId="18248" xr:uid="{00000000-0005-0000-0000-000078470000}"/>
    <cellStyle name="输出 2 3 2 3 6" xfId="18251" xr:uid="{00000000-0005-0000-0000-00007B470000}"/>
    <cellStyle name="输出 2 3 2 4" xfId="26106" xr:uid="{00000000-0005-0000-0000-00002A660000}"/>
    <cellStyle name="输出 2 3 2 4 2" xfId="40179" xr:uid="{00000000-0005-0000-0000-0000239D0000}"/>
    <cellStyle name="输出 2 3 2 4 2 2" xfId="2676" xr:uid="{00000000-0005-0000-0000-0000A40A0000}"/>
    <cellStyle name="输出 2 3 2 4 3" xfId="22554" xr:uid="{00000000-0005-0000-0000-00004A580000}"/>
    <cellStyle name="输出 2 3 2 4 3 2" xfId="2774" xr:uid="{00000000-0005-0000-0000-0000060B0000}"/>
    <cellStyle name="输出 2 3 2 4 4" xfId="18276" xr:uid="{00000000-0005-0000-0000-000094470000}"/>
    <cellStyle name="输出 2 3 2 4 4 2" xfId="18283" xr:uid="{00000000-0005-0000-0000-00009B470000}"/>
    <cellStyle name="输出 2 3 2 4 5" xfId="18289" xr:uid="{00000000-0005-0000-0000-0000A1470000}"/>
    <cellStyle name="输出 2 3 2 4 5 2" xfId="16055" xr:uid="{00000000-0005-0000-0000-0000E73E0000}"/>
    <cellStyle name="输出 2 3 2 4 6" xfId="18298" xr:uid="{00000000-0005-0000-0000-0000AA470000}"/>
    <cellStyle name="输出 2 3 2 5" xfId="40181" xr:uid="{00000000-0005-0000-0000-0000259D0000}"/>
    <cellStyle name="输出 2 3 2 5 2" xfId="32480" xr:uid="{00000000-0005-0000-0000-0000107F0000}"/>
    <cellStyle name="输出 2 3 2 5 2 2" xfId="1181" xr:uid="{00000000-0005-0000-0000-0000CD040000}"/>
    <cellStyle name="输出 2 3 2 5 3" xfId="22557" xr:uid="{00000000-0005-0000-0000-00004D580000}"/>
    <cellStyle name="输出 2 3 2 5 3 2" xfId="2946" xr:uid="{00000000-0005-0000-0000-0000B20B0000}"/>
    <cellStyle name="输出 2 3 2 5 4" xfId="18320" xr:uid="{00000000-0005-0000-0000-0000C0470000}"/>
    <cellStyle name="输出 2 3 2 5 4 2" xfId="18326" xr:uid="{00000000-0005-0000-0000-0000C6470000}"/>
    <cellStyle name="输出 2 3 2 5 5" xfId="18332" xr:uid="{00000000-0005-0000-0000-0000CC470000}"/>
    <cellStyle name="输出 2 3 2 5 5 2" xfId="16737" xr:uid="{00000000-0005-0000-0000-000091410000}"/>
    <cellStyle name="输出 2 3 2 5 6" xfId="18339" xr:uid="{00000000-0005-0000-0000-0000D3470000}"/>
    <cellStyle name="输出 2 3 2 6" xfId="28382" xr:uid="{00000000-0005-0000-0000-00000E6F0000}"/>
    <cellStyle name="输出 2 3 2 6 2" xfId="40182" xr:uid="{00000000-0005-0000-0000-0000269D0000}"/>
    <cellStyle name="输出 2 3 2 6 2 2" xfId="25337" xr:uid="{00000000-0005-0000-0000-000029630000}"/>
    <cellStyle name="输出 2 3 2 6 3" xfId="22560" xr:uid="{00000000-0005-0000-0000-000050580000}"/>
    <cellStyle name="输出 2 3 2 6 3 2" xfId="22564" xr:uid="{00000000-0005-0000-0000-000054580000}"/>
    <cellStyle name="输出 2 3 2 6 4" xfId="18367" xr:uid="{00000000-0005-0000-0000-0000EF470000}"/>
    <cellStyle name="输出 2 3 2 6 4 2" xfId="18377" xr:uid="{00000000-0005-0000-0000-0000F9470000}"/>
    <cellStyle name="输出 2 3 2 6 5" xfId="18385" xr:uid="{00000000-0005-0000-0000-000001480000}"/>
    <cellStyle name="输出 2 3 2 6 5 2" xfId="18391" xr:uid="{00000000-0005-0000-0000-000007480000}"/>
    <cellStyle name="输出 2 3 2 6 6" xfId="18399" xr:uid="{00000000-0005-0000-0000-00000F480000}"/>
    <cellStyle name="输出 2 3 2 7" xfId="40183" xr:uid="{00000000-0005-0000-0000-0000279D0000}"/>
    <cellStyle name="输出 2 3 2 7 2" xfId="40184" xr:uid="{00000000-0005-0000-0000-0000289D0000}"/>
    <cellStyle name="输出 2 3 2 7 2 2" xfId="25414" xr:uid="{00000000-0005-0000-0000-000076630000}"/>
    <cellStyle name="输出 2 3 2 7 3" xfId="22567" xr:uid="{00000000-0005-0000-0000-000057580000}"/>
    <cellStyle name="输出 2 3 2 7 3 2" xfId="22570" xr:uid="{00000000-0005-0000-0000-00005A580000}"/>
    <cellStyle name="输出 2 3 2 7 4" xfId="18426" xr:uid="{00000000-0005-0000-0000-00002A480000}"/>
    <cellStyle name="输出 2 3 2 7 4 2" xfId="396" xr:uid="{00000000-0005-0000-0000-0000B2010000}"/>
    <cellStyle name="输出 2 3 2 7 5" xfId="18438" xr:uid="{00000000-0005-0000-0000-000036480000}"/>
    <cellStyle name="输出 2 3 2 7 5 2" xfId="9811" xr:uid="{00000000-0005-0000-0000-000083260000}"/>
    <cellStyle name="输出 2 3 2 7 6" xfId="18450" xr:uid="{00000000-0005-0000-0000-000042480000}"/>
    <cellStyle name="输出 2 3 2 8" xfId="40185" xr:uid="{00000000-0005-0000-0000-0000299D0000}"/>
    <cellStyle name="输出 2 3 2 8 2" xfId="40186" xr:uid="{00000000-0005-0000-0000-00002A9D0000}"/>
    <cellStyle name="输出 2 3 2 8 2 2" xfId="9973" xr:uid="{00000000-0005-0000-0000-000025270000}"/>
    <cellStyle name="输出 2 3 2 8 3" xfId="22573" xr:uid="{00000000-0005-0000-0000-00005D580000}"/>
    <cellStyle name="输出 2 3 2 8 3 2" xfId="10027" xr:uid="{00000000-0005-0000-0000-00005B270000}"/>
    <cellStyle name="输出 2 3 2 8 4" xfId="18472" xr:uid="{00000000-0005-0000-0000-000058480000}"/>
    <cellStyle name="输出 2 3 2 8 4 2" xfId="10088" xr:uid="{00000000-0005-0000-0000-000098270000}"/>
    <cellStyle name="输出 2 3 2 8 5" xfId="18485" xr:uid="{00000000-0005-0000-0000-000065480000}"/>
    <cellStyle name="输出 2 3 2 9" xfId="40187" xr:uid="{00000000-0005-0000-0000-00002B9D0000}"/>
    <cellStyle name="输出 2 3 2 9 2" xfId="40188" xr:uid="{00000000-0005-0000-0000-00002C9D0000}"/>
    <cellStyle name="输出 2 3 20" xfId="10167" xr:uid="{00000000-0005-0000-0000-0000E7270000}"/>
    <cellStyle name="输出 2 3 20 2" xfId="40103" xr:uid="{00000000-0005-0000-0000-0000D79C0000}"/>
    <cellStyle name="输出 2 3 21" xfId="40118" xr:uid="{00000000-0005-0000-0000-0000E69C0000}"/>
    <cellStyle name="输出 2 3 21 2" xfId="40121" xr:uid="{00000000-0005-0000-0000-0000E99C0000}"/>
    <cellStyle name="输出 2 3 22" xfId="40134" xr:uid="{00000000-0005-0000-0000-0000F69C0000}"/>
    <cellStyle name="输出 2 3 22 2" xfId="40136" xr:uid="{00000000-0005-0000-0000-0000F89C0000}"/>
    <cellStyle name="输出 2 3 23" xfId="40141" xr:uid="{00000000-0005-0000-0000-0000FD9C0000}"/>
    <cellStyle name="输出 2 3 23 2" xfId="40143" xr:uid="{00000000-0005-0000-0000-0000FF9C0000}"/>
    <cellStyle name="输出 2 3 24" xfId="38511" xr:uid="{00000000-0005-0000-0000-00009F960000}"/>
    <cellStyle name="输出 2 3 25" xfId="40189" xr:uid="{00000000-0005-0000-0000-00002D9D0000}"/>
    <cellStyle name="输出 2 3 26" xfId="40190" xr:uid="{00000000-0005-0000-0000-00002E9D0000}"/>
    <cellStyle name="输出 2 3 27" xfId="40191" xr:uid="{00000000-0005-0000-0000-00002F9D0000}"/>
    <cellStyle name="输出 2 3 3" xfId="39436" xr:uid="{00000000-0005-0000-0000-00003C9A0000}"/>
    <cellStyle name="输出 2 3 3 10" xfId="40192" xr:uid="{00000000-0005-0000-0000-0000309D0000}"/>
    <cellStyle name="输出 2 3 3 10 2" xfId="40193" xr:uid="{00000000-0005-0000-0000-0000319D0000}"/>
    <cellStyle name="输出 2 3 3 11" xfId="894" xr:uid="{00000000-0005-0000-0000-0000AE030000}"/>
    <cellStyle name="输出 2 3 3 11 2" xfId="1019" xr:uid="{00000000-0005-0000-0000-00002B040000}"/>
    <cellStyle name="输出 2 3 3 12" xfId="4848" xr:uid="{00000000-0005-0000-0000-000020130000}"/>
    <cellStyle name="输出 2 3 3 12 2" xfId="1048" xr:uid="{00000000-0005-0000-0000-000048040000}"/>
    <cellStyle name="输出 2 3 3 13" xfId="4869" xr:uid="{00000000-0005-0000-0000-000035130000}"/>
    <cellStyle name="输出 2 3 3 14" xfId="27814" xr:uid="{00000000-0005-0000-0000-0000D66C0000}"/>
    <cellStyle name="输出 2 3 3 15" xfId="40195" xr:uid="{00000000-0005-0000-0000-0000339D0000}"/>
    <cellStyle name="输出 2 3 3 16" xfId="40197" xr:uid="{00000000-0005-0000-0000-0000359D0000}"/>
    <cellStyle name="输出 2 3 3 2" xfId="30131" xr:uid="{00000000-0005-0000-0000-0000E3750000}"/>
    <cellStyle name="输出 2 3 3 2 2" xfId="30134" xr:uid="{00000000-0005-0000-0000-0000E6750000}"/>
    <cellStyle name="输出 2 3 3 2 2 2" xfId="40201" xr:uid="{00000000-0005-0000-0000-0000399D0000}"/>
    <cellStyle name="输出 2 3 3 2 3" xfId="33682" xr:uid="{00000000-0005-0000-0000-0000C2830000}"/>
    <cellStyle name="输出 2 3 3 2 3 2" xfId="40204" xr:uid="{00000000-0005-0000-0000-00003C9D0000}"/>
    <cellStyle name="输出 2 3 3 2 4" xfId="33684" xr:uid="{00000000-0005-0000-0000-0000C4830000}"/>
    <cellStyle name="输出 2 3 3 2 4 2" xfId="38427" xr:uid="{00000000-0005-0000-0000-00004B960000}"/>
    <cellStyle name="输出 2 3 3 2 5" xfId="33687" xr:uid="{00000000-0005-0000-0000-0000C7830000}"/>
    <cellStyle name="输出 2 3 3 2 5 2" xfId="38447" xr:uid="{00000000-0005-0000-0000-00005F960000}"/>
    <cellStyle name="输出 2 3 3 2 6" xfId="18532" xr:uid="{00000000-0005-0000-0000-000094480000}"/>
    <cellStyle name="输出 2 3 3 2 7" xfId="40206" xr:uid="{00000000-0005-0000-0000-00003E9D0000}"/>
    <cellStyle name="输出 2 3 3 2 8" xfId="34127" xr:uid="{00000000-0005-0000-0000-00007F850000}"/>
    <cellStyle name="输出 2 3 3 2 9" xfId="34133" xr:uid="{00000000-0005-0000-0000-000085850000}"/>
    <cellStyle name="输出 2 3 3 3" xfId="22650" xr:uid="{00000000-0005-0000-0000-0000AA580000}"/>
    <cellStyle name="输出 2 3 3 3 2" xfId="40208" xr:uid="{00000000-0005-0000-0000-0000409D0000}"/>
    <cellStyle name="输出 2 3 3 3 2 2" xfId="29698" xr:uid="{00000000-0005-0000-0000-000032740000}"/>
    <cellStyle name="输出 2 3 3 3 3" xfId="22615" xr:uid="{00000000-0005-0000-0000-000087580000}"/>
    <cellStyle name="输出 2 3 3 3 3 2" xfId="19164" xr:uid="{00000000-0005-0000-0000-00000C4B0000}"/>
    <cellStyle name="输出 2 3 3 3 4" xfId="18560" xr:uid="{00000000-0005-0000-0000-0000B0480000}"/>
    <cellStyle name="输出 2 3 3 3 4 2" xfId="18564" xr:uid="{00000000-0005-0000-0000-0000B4480000}"/>
    <cellStyle name="输出 2 3 3 3 5" xfId="13660" xr:uid="{00000000-0005-0000-0000-00008C350000}"/>
    <cellStyle name="输出 2 3 3 3 5 2" xfId="13665" xr:uid="{00000000-0005-0000-0000-000091350000}"/>
    <cellStyle name="输出 2 3 3 3 6" xfId="13672" xr:uid="{00000000-0005-0000-0000-000098350000}"/>
    <cellStyle name="输出 2 3 3 4" xfId="40209" xr:uid="{00000000-0005-0000-0000-0000419D0000}"/>
    <cellStyle name="输出 2 3 3 4 2" xfId="40212" xr:uid="{00000000-0005-0000-0000-0000449D0000}"/>
    <cellStyle name="输出 2 3 3 4 2 2" xfId="1214" xr:uid="{00000000-0005-0000-0000-0000EE040000}"/>
    <cellStyle name="输出 2 3 3 4 3" xfId="22622" xr:uid="{00000000-0005-0000-0000-00008E580000}"/>
    <cellStyle name="输出 2 3 3 4 3 2" xfId="2191" xr:uid="{00000000-0005-0000-0000-0000BF080000}"/>
    <cellStyle name="输出 2 3 3 4 4" xfId="18575" xr:uid="{00000000-0005-0000-0000-0000BF480000}"/>
    <cellStyle name="输出 2 3 3 4 4 2" xfId="18579" xr:uid="{00000000-0005-0000-0000-0000C3480000}"/>
    <cellStyle name="输出 2 3 3 4 5" xfId="18584" xr:uid="{00000000-0005-0000-0000-0000C8480000}"/>
    <cellStyle name="输出 2 3 3 4 5 2" xfId="18590" xr:uid="{00000000-0005-0000-0000-0000CE480000}"/>
    <cellStyle name="输出 2 3 3 4 6" xfId="18595" xr:uid="{00000000-0005-0000-0000-0000D3480000}"/>
    <cellStyle name="输出 2 3 3 5" xfId="40213" xr:uid="{00000000-0005-0000-0000-0000459D0000}"/>
    <cellStyle name="输出 2 3 3 5 2" xfId="40215" xr:uid="{00000000-0005-0000-0000-0000479D0000}"/>
    <cellStyle name="输出 2 3 3 5 2 2" xfId="25963" xr:uid="{00000000-0005-0000-0000-00009B650000}"/>
    <cellStyle name="输出 2 3 3 5 3" xfId="22628" xr:uid="{00000000-0005-0000-0000-000094580000}"/>
    <cellStyle name="输出 2 3 3 5 3 2" xfId="22633" xr:uid="{00000000-0005-0000-0000-000099580000}"/>
    <cellStyle name="输出 2 3 3 5 4" xfId="18633" xr:uid="{00000000-0005-0000-0000-0000F9480000}"/>
    <cellStyle name="输出 2 3 3 5 4 2" xfId="18638" xr:uid="{00000000-0005-0000-0000-0000FE480000}"/>
    <cellStyle name="输出 2 3 3 5 5" xfId="18642" xr:uid="{00000000-0005-0000-0000-000002490000}"/>
    <cellStyle name="输出 2 3 3 5 5 2" xfId="18648" xr:uid="{00000000-0005-0000-0000-000008490000}"/>
    <cellStyle name="输出 2 3 3 5 6" xfId="18653" xr:uid="{00000000-0005-0000-0000-00000D490000}"/>
    <cellStyle name="输出 2 3 3 6" xfId="28389" xr:uid="{00000000-0005-0000-0000-0000156F0000}"/>
    <cellStyle name="输出 2 3 3 6 2" xfId="40217" xr:uid="{00000000-0005-0000-0000-0000499D0000}"/>
    <cellStyle name="输出 2 3 3 6 2 2" xfId="26098" xr:uid="{00000000-0005-0000-0000-000022660000}"/>
    <cellStyle name="输出 2 3 3 6 3" xfId="22642" xr:uid="{00000000-0005-0000-0000-0000A2580000}"/>
    <cellStyle name="输出 2 3 3 6 3 2" xfId="22649" xr:uid="{00000000-0005-0000-0000-0000A9580000}"/>
    <cellStyle name="输出 2 3 3 6 4" xfId="18697" xr:uid="{00000000-0005-0000-0000-000039490000}"/>
    <cellStyle name="输出 2 3 3 6 4 2" xfId="18704" xr:uid="{00000000-0005-0000-0000-000040490000}"/>
    <cellStyle name="输出 2 3 3 6 5" xfId="18709" xr:uid="{00000000-0005-0000-0000-000045490000}"/>
    <cellStyle name="输出 2 3 3 6 5 2" xfId="18716" xr:uid="{00000000-0005-0000-0000-00004C490000}"/>
    <cellStyle name="输出 2 3 3 6 6" xfId="18724" xr:uid="{00000000-0005-0000-0000-000054490000}"/>
    <cellStyle name="输出 2 3 3 7" xfId="40218" xr:uid="{00000000-0005-0000-0000-00004A9D0000}"/>
    <cellStyle name="输出 2 3 3 7 2" xfId="40220" xr:uid="{00000000-0005-0000-0000-00004C9D0000}"/>
    <cellStyle name="输出 2 3 3 7 2 2" xfId="26233" xr:uid="{00000000-0005-0000-0000-0000A9660000}"/>
    <cellStyle name="输出 2 3 3 7 3" xfId="22658" xr:uid="{00000000-0005-0000-0000-0000B2580000}"/>
    <cellStyle name="输出 2 3 3 7 3 2" xfId="22664" xr:uid="{00000000-0005-0000-0000-0000B8580000}"/>
    <cellStyle name="输出 2 3 3 7 4" xfId="18747" xr:uid="{00000000-0005-0000-0000-00006B490000}"/>
    <cellStyle name="输出 2 3 3 7 4 2" xfId="18754" xr:uid="{00000000-0005-0000-0000-000072490000}"/>
    <cellStyle name="输出 2 3 3 7 5" xfId="18761" xr:uid="{00000000-0005-0000-0000-000079490000}"/>
    <cellStyle name="输出 2 3 3 7 5 2" xfId="18765" xr:uid="{00000000-0005-0000-0000-00007D490000}"/>
    <cellStyle name="输出 2 3 3 7 6" xfId="18776" xr:uid="{00000000-0005-0000-0000-000088490000}"/>
    <cellStyle name="输出 2 3 3 8" xfId="40221" xr:uid="{00000000-0005-0000-0000-00004D9D0000}"/>
    <cellStyle name="输出 2 3 3 8 2" xfId="40222" xr:uid="{00000000-0005-0000-0000-00004E9D0000}"/>
    <cellStyle name="输出 2 3 3 8 2 2" xfId="26329" xr:uid="{00000000-0005-0000-0000-000009670000}"/>
    <cellStyle name="输出 2 3 3 8 3" xfId="22668" xr:uid="{00000000-0005-0000-0000-0000BC580000}"/>
    <cellStyle name="输出 2 3 3 8 3 2" xfId="22672" xr:uid="{00000000-0005-0000-0000-0000C0580000}"/>
    <cellStyle name="输出 2 3 3 8 4" xfId="18795" xr:uid="{00000000-0005-0000-0000-00009B490000}"/>
    <cellStyle name="输出 2 3 3 8 4 2" xfId="18803" xr:uid="{00000000-0005-0000-0000-0000A3490000}"/>
    <cellStyle name="输出 2 3 3 8 5" xfId="13826" xr:uid="{00000000-0005-0000-0000-000032360000}"/>
    <cellStyle name="输出 2 3 3 9" xfId="40223" xr:uid="{00000000-0005-0000-0000-00004F9D0000}"/>
    <cellStyle name="输出 2 3 3 9 2" xfId="40224" xr:uid="{00000000-0005-0000-0000-0000509D0000}"/>
    <cellStyle name="输出 2 3 4" xfId="1883" xr:uid="{00000000-0005-0000-0000-00008B070000}"/>
    <cellStyle name="输出 2 3 4 10" xfId="40225" xr:uid="{00000000-0005-0000-0000-0000519D0000}"/>
    <cellStyle name="输出 2 3 4 10 2" xfId="37742" xr:uid="{00000000-0005-0000-0000-00009E930000}"/>
    <cellStyle name="输出 2 3 4 11" xfId="32735" xr:uid="{00000000-0005-0000-0000-00000F800000}"/>
    <cellStyle name="输出 2 3 4 11 2" xfId="32737" xr:uid="{00000000-0005-0000-0000-000011800000}"/>
    <cellStyle name="输出 2 3 4 12" xfId="29609" xr:uid="{00000000-0005-0000-0000-0000D9730000}"/>
    <cellStyle name="输出 2 3 4 12 2" xfId="32739" xr:uid="{00000000-0005-0000-0000-000013800000}"/>
    <cellStyle name="输出 2 3 4 13" xfId="32742" xr:uid="{00000000-0005-0000-0000-000016800000}"/>
    <cellStyle name="输出 2 3 4 14" xfId="32747" xr:uid="{00000000-0005-0000-0000-00001B800000}"/>
    <cellStyle name="输出 2 3 4 15" xfId="32751" xr:uid="{00000000-0005-0000-0000-00001F800000}"/>
    <cellStyle name="输出 2 3 4 16" xfId="31845" xr:uid="{00000000-0005-0000-0000-0000957C0000}"/>
    <cellStyle name="输出 2 3 4 2" xfId="30147" xr:uid="{00000000-0005-0000-0000-0000F3750000}"/>
    <cellStyle name="输出 2 3 4 2 2" xfId="30151" xr:uid="{00000000-0005-0000-0000-0000F7750000}"/>
    <cellStyle name="输出 2 3 4 2 2 2" xfId="40228" xr:uid="{00000000-0005-0000-0000-0000549D0000}"/>
    <cellStyle name="输出 2 3 4 2 3" xfId="40231" xr:uid="{00000000-0005-0000-0000-0000579D0000}"/>
    <cellStyle name="输出 2 3 4 2 3 2" xfId="40234" xr:uid="{00000000-0005-0000-0000-00005A9D0000}"/>
    <cellStyle name="输出 2 3 4 2 4" xfId="40236" xr:uid="{00000000-0005-0000-0000-00005C9D0000}"/>
    <cellStyle name="输出 2 3 4 2 4 2" xfId="38816" xr:uid="{00000000-0005-0000-0000-0000D0970000}"/>
    <cellStyle name="输出 2 3 4 2 5" xfId="40238" xr:uid="{00000000-0005-0000-0000-00005E9D0000}"/>
    <cellStyle name="输出 2 3 4 2 5 2" xfId="38839" xr:uid="{00000000-0005-0000-0000-0000E7970000}"/>
    <cellStyle name="输出 2 3 4 2 6" xfId="3519" xr:uid="{00000000-0005-0000-0000-0000EF0D0000}"/>
    <cellStyle name="输出 2 3 4 2 7" xfId="40241" xr:uid="{00000000-0005-0000-0000-0000619D0000}"/>
    <cellStyle name="输出 2 3 4 2 8" xfId="40242" xr:uid="{00000000-0005-0000-0000-0000629D0000}"/>
    <cellStyle name="输出 2 3 4 2 9" xfId="35838" xr:uid="{00000000-0005-0000-0000-00002E8C0000}"/>
    <cellStyle name="输出 2 3 4 3" xfId="18706" xr:uid="{00000000-0005-0000-0000-000042490000}"/>
    <cellStyle name="输出 2 3 4 3 2" xfId="38668" xr:uid="{00000000-0005-0000-0000-00003C970000}"/>
    <cellStyle name="输出 2 3 4 3 2 2" xfId="30892" xr:uid="{00000000-0005-0000-0000-0000DC780000}"/>
    <cellStyle name="输出 2 3 4 3 3" xfId="22702" xr:uid="{00000000-0005-0000-0000-0000DE580000}"/>
    <cellStyle name="输出 2 3 4 3 3 2" xfId="30920" xr:uid="{00000000-0005-0000-0000-0000F8780000}"/>
    <cellStyle name="输出 2 3 4 3 4" xfId="40243" xr:uid="{00000000-0005-0000-0000-0000639D0000}"/>
    <cellStyle name="输出 2 3 4 3 4 2" xfId="30963" xr:uid="{00000000-0005-0000-0000-000023790000}"/>
    <cellStyle name="输出 2 3 4 3 5" xfId="40244" xr:uid="{00000000-0005-0000-0000-0000649D0000}"/>
    <cellStyle name="输出 2 3 4 3 5 2" xfId="37406" xr:uid="{00000000-0005-0000-0000-00004E920000}"/>
    <cellStyle name="输出 2 3 4 3 6" xfId="40247" xr:uid="{00000000-0005-0000-0000-0000679D0000}"/>
    <cellStyle name="输出 2 3 4 4" xfId="38670" xr:uid="{00000000-0005-0000-0000-00003E970000}"/>
    <cellStyle name="输出 2 3 4 4 2" xfId="40250" xr:uid="{00000000-0005-0000-0000-00006A9D0000}"/>
    <cellStyle name="输出 2 3 4 4 2 2" xfId="31079" xr:uid="{00000000-0005-0000-0000-000097790000}"/>
    <cellStyle name="输出 2 3 4 4 3" xfId="22710" xr:uid="{00000000-0005-0000-0000-0000E6580000}"/>
    <cellStyle name="输出 2 3 4 4 3 2" xfId="31102" xr:uid="{00000000-0005-0000-0000-0000AE790000}"/>
    <cellStyle name="输出 2 3 4 4 4" xfId="40251" xr:uid="{00000000-0005-0000-0000-00006B9D0000}"/>
    <cellStyle name="输出 2 3 4 4 4 2" xfId="31114" xr:uid="{00000000-0005-0000-0000-0000BA790000}"/>
    <cellStyle name="输出 2 3 4 4 5" xfId="40252" xr:uid="{00000000-0005-0000-0000-00006C9D0000}"/>
    <cellStyle name="输出 2 3 4 4 5 2" xfId="38930" xr:uid="{00000000-0005-0000-0000-000042980000}"/>
    <cellStyle name="输出 2 3 4 4 6" xfId="40255" xr:uid="{00000000-0005-0000-0000-00006F9D0000}"/>
    <cellStyle name="输出 2 3 4 5" xfId="38672" xr:uid="{00000000-0005-0000-0000-000040970000}"/>
    <cellStyle name="输出 2 3 4 5 2" xfId="40257" xr:uid="{00000000-0005-0000-0000-0000719D0000}"/>
    <cellStyle name="输出 2 3 4 5 2 2" xfId="31248" xr:uid="{00000000-0005-0000-0000-0000407A0000}"/>
    <cellStyle name="输出 2 3 4 5 3" xfId="22717" xr:uid="{00000000-0005-0000-0000-0000ED580000}"/>
    <cellStyle name="输出 2 3 4 5 3 2" xfId="31271" xr:uid="{00000000-0005-0000-0000-0000577A0000}"/>
    <cellStyle name="输出 2 3 4 5 4" xfId="40258" xr:uid="{00000000-0005-0000-0000-0000729D0000}"/>
    <cellStyle name="输出 2 3 4 5 4 2" xfId="31301" xr:uid="{00000000-0005-0000-0000-0000757A0000}"/>
    <cellStyle name="输出 2 3 4 5 5" xfId="40259" xr:uid="{00000000-0005-0000-0000-0000739D0000}"/>
    <cellStyle name="输出 2 3 4 5 5 2" xfId="38969" xr:uid="{00000000-0005-0000-0000-000069980000}"/>
    <cellStyle name="输出 2 3 4 5 6" xfId="40263" xr:uid="{00000000-0005-0000-0000-0000779D0000}"/>
    <cellStyle name="输出 2 3 4 6" xfId="407" xr:uid="{00000000-0005-0000-0000-0000BE010000}"/>
    <cellStyle name="输出 2 3 4 6 2" xfId="40265" xr:uid="{00000000-0005-0000-0000-0000799D0000}"/>
    <cellStyle name="输出 2 3 4 6 2 2" xfId="31433" xr:uid="{00000000-0005-0000-0000-0000F97A0000}"/>
    <cellStyle name="输出 2 3 4 6 3" xfId="1683" xr:uid="{00000000-0005-0000-0000-0000C3060000}"/>
    <cellStyle name="输出 2 3 4 6 3 2" xfId="31466" xr:uid="{00000000-0005-0000-0000-00001A7B0000}"/>
    <cellStyle name="输出 2 3 4 6 4" xfId="1703" xr:uid="{00000000-0005-0000-0000-0000D7060000}"/>
    <cellStyle name="输出 2 3 4 6 4 2" xfId="31501" xr:uid="{00000000-0005-0000-0000-00003D7B0000}"/>
    <cellStyle name="输出 2 3 4 6 5" xfId="1723" xr:uid="{00000000-0005-0000-0000-0000EB060000}"/>
    <cellStyle name="输出 2 3 4 6 5 2" xfId="18883" xr:uid="{00000000-0005-0000-0000-0000F3490000}"/>
    <cellStyle name="输出 2 3 4 6 6" xfId="1751" xr:uid="{00000000-0005-0000-0000-000007070000}"/>
    <cellStyle name="输出 2 3 4 7" xfId="38674" xr:uid="{00000000-0005-0000-0000-000042970000}"/>
    <cellStyle name="输出 2 3 4 7 2" xfId="40267" xr:uid="{00000000-0005-0000-0000-00007B9D0000}"/>
    <cellStyle name="输出 2 3 4 7 2 2" xfId="31564" xr:uid="{00000000-0005-0000-0000-00007C7B0000}"/>
    <cellStyle name="输出 2 3 4 7 3" xfId="40268" xr:uid="{00000000-0005-0000-0000-00007C9D0000}"/>
    <cellStyle name="输出 2 3 4 7 3 2" xfId="31575" xr:uid="{00000000-0005-0000-0000-0000877B0000}"/>
    <cellStyle name="输出 2 3 4 7 4" xfId="38933" xr:uid="{00000000-0005-0000-0000-000045980000}"/>
    <cellStyle name="输出 2 3 4 7 4 2" xfId="31602" xr:uid="{00000000-0005-0000-0000-0000A27B0000}"/>
    <cellStyle name="输出 2 3 4 7 5" xfId="37571" xr:uid="{00000000-0005-0000-0000-0000F3920000}"/>
    <cellStyle name="输出 2 3 4 7 5 2" xfId="18901" xr:uid="{00000000-0005-0000-0000-0000054A0000}"/>
    <cellStyle name="输出 2 3 4 7 6" xfId="40269" xr:uid="{00000000-0005-0000-0000-00007D9D0000}"/>
    <cellStyle name="输出 2 3 4 8" xfId="40270" xr:uid="{00000000-0005-0000-0000-00007E9D0000}"/>
    <cellStyle name="输出 2 3 4 8 2" xfId="40271" xr:uid="{00000000-0005-0000-0000-00007F9D0000}"/>
    <cellStyle name="输出 2 3 4 8 2 2" xfId="31664" xr:uid="{00000000-0005-0000-0000-0000E07B0000}"/>
    <cellStyle name="输出 2 3 4 8 3" xfId="38337" xr:uid="{00000000-0005-0000-0000-0000F1950000}"/>
    <cellStyle name="输出 2 3 4 8 3 2" xfId="24739" xr:uid="{00000000-0005-0000-0000-0000D3600000}"/>
    <cellStyle name="输出 2 3 4 8 4" xfId="38339" xr:uid="{00000000-0005-0000-0000-0000F3950000}"/>
    <cellStyle name="输出 2 3 4 8 4 2" xfId="31687" xr:uid="{00000000-0005-0000-0000-0000F77B0000}"/>
    <cellStyle name="输出 2 3 4 8 5" xfId="37574" xr:uid="{00000000-0005-0000-0000-0000F6920000}"/>
    <cellStyle name="输出 2 3 4 9" xfId="40272" xr:uid="{00000000-0005-0000-0000-0000809D0000}"/>
    <cellStyle name="输出 2 3 4 9 2" xfId="40273" xr:uid="{00000000-0005-0000-0000-0000819D0000}"/>
    <cellStyle name="输出 2 3 5" xfId="40274" xr:uid="{00000000-0005-0000-0000-0000829D0000}"/>
    <cellStyle name="输出 2 3 5 10" xfId="40276" xr:uid="{00000000-0005-0000-0000-0000849D0000}"/>
    <cellStyle name="输出 2 3 5 10 2" xfId="38333" xr:uid="{00000000-0005-0000-0000-0000ED950000}"/>
    <cellStyle name="输出 2 3 5 11" xfId="32787" xr:uid="{00000000-0005-0000-0000-000043800000}"/>
    <cellStyle name="输出 2 3 5 11 2" xfId="32789" xr:uid="{00000000-0005-0000-0000-000045800000}"/>
    <cellStyle name="输出 2 3 5 12" xfId="32791" xr:uid="{00000000-0005-0000-0000-000047800000}"/>
    <cellStyle name="输出 2 3 5 12 2" xfId="32794" xr:uid="{00000000-0005-0000-0000-00004A800000}"/>
    <cellStyle name="输出 2 3 5 13" xfId="7602" xr:uid="{00000000-0005-0000-0000-0000E21D0000}"/>
    <cellStyle name="输出 2 3 5 14" xfId="32797" xr:uid="{00000000-0005-0000-0000-00004D800000}"/>
    <cellStyle name="输出 2 3 5 15" xfId="16133" xr:uid="{00000000-0005-0000-0000-0000353F0000}"/>
    <cellStyle name="输出 2 3 5 16" xfId="40277" xr:uid="{00000000-0005-0000-0000-0000859D0000}"/>
    <cellStyle name="输出 2 3 5 2" xfId="30163" xr:uid="{00000000-0005-0000-0000-000003760000}"/>
    <cellStyle name="输出 2 3 5 2 2" xfId="38677" xr:uid="{00000000-0005-0000-0000-000045970000}"/>
    <cellStyle name="输出 2 3 5 2 2 2" xfId="4595" xr:uid="{00000000-0005-0000-0000-000023120000}"/>
    <cellStyle name="输出 2 3 5 2 3" xfId="40279" xr:uid="{00000000-0005-0000-0000-0000879D0000}"/>
    <cellStyle name="输出 2 3 5 2 3 2" xfId="4620" xr:uid="{00000000-0005-0000-0000-00003C120000}"/>
    <cellStyle name="输出 2 3 5 2 4" xfId="40281" xr:uid="{00000000-0005-0000-0000-0000899D0000}"/>
    <cellStyle name="输出 2 3 5 2 4 2" xfId="4641" xr:uid="{00000000-0005-0000-0000-000051120000}"/>
    <cellStyle name="输出 2 3 5 2 5" xfId="40283" xr:uid="{00000000-0005-0000-0000-00008B9D0000}"/>
    <cellStyle name="输出 2 3 5 2 5 2" xfId="4676" xr:uid="{00000000-0005-0000-0000-000074120000}"/>
    <cellStyle name="输出 2 3 5 2 6" xfId="18948" xr:uid="{00000000-0005-0000-0000-0000344A0000}"/>
    <cellStyle name="输出 2 3 5 2 7" xfId="40286" xr:uid="{00000000-0005-0000-0000-00008E9D0000}"/>
    <cellStyle name="输出 2 3 5 2 8" xfId="40288" xr:uid="{00000000-0005-0000-0000-0000909D0000}"/>
    <cellStyle name="输出 2 3 5 2 9" xfId="35854" xr:uid="{00000000-0005-0000-0000-00003E8C0000}"/>
    <cellStyle name="输出 2 3 5 3" xfId="18718" xr:uid="{00000000-0005-0000-0000-00004E490000}"/>
    <cellStyle name="输出 2 3 5 3 2" xfId="38680" xr:uid="{00000000-0005-0000-0000-000048970000}"/>
    <cellStyle name="输出 2 3 5 3 2 2" xfId="4372" xr:uid="{00000000-0005-0000-0000-000044110000}"/>
    <cellStyle name="输出 2 3 5 3 3" xfId="22730" xr:uid="{00000000-0005-0000-0000-0000FA580000}"/>
    <cellStyle name="输出 2 3 5 3 3 2" xfId="4842" xr:uid="{00000000-0005-0000-0000-00001A130000}"/>
    <cellStyle name="输出 2 3 5 3 4" xfId="40290" xr:uid="{00000000-0005-0000-0000-0000929D0000}"/>
    <cellStyle name="输出 2 3 5 3 4 2" xfId="4862" xr:uid="{00000000-0005-0000-0000-00002E130000}"/>
    <cellStyle name="输出 2 3 5 3 5" xfId="40292" xr:uid="{00000000-0005-0000-0000-0000949D0000}"/>
    <cellStyle name="输出 2 3 5 3 5 2" xfId="4892" xr:uid="{00000000-0005-0000-0000-00004C130000}"/>
    <cellStyle name="输出 2 3 5 3 6" xfId="33667" xr:uid="{00000000-0005-0000-0000-0000B3830000}"/>
    <cellStyle name="输出 2 3 5 4" xfId="38683" xr:uid="{00000000-0005-0000-0000-00004B970000}"/>
    <cellStyle name="输出 2 3 5 4 2" xfId="40295" xr:uid="{00000000-0005-0000-0000-0000979D0000}"/>
    <cellStyle name="输出 2 3 5 4 2 2" xfId="5099" xr:uid="{00000000-0005-0000-0000-00001B140000}"/>
    <cellStyle name="输出 2 3 5 4 3" xfId="22739" xr:uid="{00000000-0005-0000-0000-000003590000}"/>
    <cellStyle name="输出 2 3 5 4 3 2" xfId="5152" xr:uid="{00000000-0005-0000-0000-000050140000}"/>
    <cellStyle name="输出 2 3 5 4 4" xfId="40297" xr:uid="{00000000-0005-0000-0000-0000999D0000}"/>
    <cellStyle name="输出 2 3 5 4 4 2" xfId="5170" xr:uid="{00000000-0005-0000-0000-000062140000}"/>
    <cellStyle name="输出 2 3 5 4 5" xfId="40299" xr:uid="{00000000-0005-0000-0000-00009B9D0000}"/>
    <cellStyle name="输出 2 3 5 4 5 2" xfId="3805" xr:uid="{00000000-0005-0000-0000-00000D0F0000}"/>
    <cellStyle name="输出 2 3 5 4 6" xfId="33675" xr:uid="{00000000-0005-0000-0000-0000BB830000}"/>
    <cellStyle name="输出 2 3 5 5" xfId="40302" xr:uid="{00000000-0005-0000-0000-00009E9D0000}"/>
    <cellStyle name="输出 2 3 5 5 2" xfId="4584" xr:uid="{00000000-0005-0000-0000-000018120000}"/>
    <cellStyle name="输出 2 3 5 5 2 2" xfId="3859" xr:uid="{00000000-0005-0000-0000-0000430F0000}"/>
    <cellStyle name="输出 2 3 5 5 3" xfId="11520" xr:uid="{00000000-0005-0000-0000-0000302D0000}"/>
    <cellStyle name="输出 2 3 5 5 3 2" xfId="4937" xr:uid="{00000000-0005-0000-0000-000079130000}"/>
    <cellStyle name="输出 2 3 5 5 4" xfId="40303" xr:uid="{00000000-0005-0000-0000-00009F9D0000}"/>
    <cellStyle name="输出 2 3 5 5 4 2" xfId="53" xr:uid="{00000000-0005-0000-0000-00003A000000}"/>
    <cellStyle name="输出 2 3 5 5 5" xfId="40305" xr:uid="{00000000-0005-0000-0000-0000A19D0000}"/>
    <cellStyle name="输出 2 3 5 5 5 2" xfId="5395" xr:uid="{00000000-0005-0000-0000-000043150000}"/>
    <cellStyle name="输出 2 3 5 5 6" xfId="33678" xr:uid="{00000000-0005-0000-0000-0000BE830000}"/>
    <cellStyle name="输出 2 3 5 6" xfId="28398" xr:uid="{00000000-0005-0000-0000-00001E6F0000}"/>
    <cellStyle name="输出 2 3 5 6 2" xfId="40308" xr:uid="{00000000-0005-0000-0000-0000A49D0000}"/>
    <cellStyle name="输出 2 3 5 6 2 2" xfId="5513" xr:uid="{00000000-0005-0000-0000-0000B9150000}"/>
    <cellStyle name="输出 2 3 5 6 3" xfId="22752" xr:uid="{00000000-0005-0000-0000-000010590000}"/>
    <cellStyle name="输出 2 3 5 6 3 2" xfId="5551" xr:uid="{00000000-0005-0000-0000-0000DF150000}"/>
    <cellStyle name="输出 2 3 5 6 4" xfId="40310" xr:uid="{00000000-0005-0000-0000-0000A69D0000}"/>
    <cellStyle name="输出 2 3 5 6 4 2" xfId="191" xr:uid="{00000000-0005-0000-0000-0000CE000000}"/>
    <cellStyle name="输出 2 3 5 6 5" xfId="37586" xr:uid="{00000000-0005-0000-0000-000002930000}"/>
    <cellStyle name="输出 2 3 5 6 5 2" xfId="5588" xr:uid="{00000000-0005-0000-0000-000004160000}"/>
    <cellStyle name="输出 2 3 5 6 6" xfId="40200" xr:uid="{00000000-0005-0000-0000-0000389D0000}"/>
    <cellStyle name="输出 2 3 5 7" xfId="40312" xr:uid="{00000000-0005-0000-0000-0000A89D0000}"/>
    <cellStyle name="输出 2 3 5 7 2" xfId="40314" xr:uid="{00000000-0005-0000-0000-0000AA9D0000}"/>
    <cellStyle name="输出 2 3 5 7 2 2" xfId="5861" xr:uid="{00000000-0005-0000-0000-000015170000}"/>
    <cellStyle name="输出 2 3 5 7 3" xfId="40317" xr:uid="{00000000-0005-0000-0000-0000AD9D0000}"/>
    <cellStyle name="输出 2 3 5 7 3 2" xfId="5994" xr:uid="{00000000-0005-0000-0000-00009A170000}"/>
    <cellStyle name="输出 2 3 5 7 4" xfId="38941" xr:uid="{00000000-0005-0000-0000-00004D980000}"/>
    <cellStyle name="输出 2 3 5 7 4 2" xfId="5447" xr:uid="{00000000-0005-0000-0000-000077150000}"/>
    <cellStyle name="输出 2 3 5 7 5" xfId="37592" xr:uid="{00000000-0005-0000-0000-000008930000}"/>
    <cellStyle name="输出 2 3 5 7 5 2" xfId="6104" xr:uid="{00000000-0005-0000-0000-000008180000}"/>
    <cellStyle name="输出 2 3 5 7 6" xfId="40203" xr:uid="{00000000-0005-0000-0000-00003B9D0000}"/>
    <cellStyle name="输出 2 3 5 8" xfId="40319" xr:uid="{00000000-0005-0000-0000-0000AF9D0000}"/>
    <cellStyle name="输出 2 3 5 8 2" xfId="40321" xr:uid="{00000000-0005-0000-0000-0000B19D0000}"/>
    <cellStyle name="输出 2 3 5 8 2 2" xfId="32526" xr:uid="{00000000-0005-0000-0000-00003E7F0000}"/>
    <cellStyle name="输出 2 3 5 8 3" xfId="38419" xr:uid="{00000000-0005-0000-0000-000043960000}"/>
    <cellStyle name="输出 2 3 5 8 3 2" xfId="32536" xr:uid="{00000000-0005-0000-0000-0000487F0000}"/>
    <cellStyle name="输出 2 3 5 8 4" xfId="38422" xr:uid="{00000000-0005-0000-0000-000046960000}"/>
    <cellStyle name="输出 2 3 5 8 4 2" xfId="32545" xr:uid="{00000000-0005-0000-0000-0000517F0000}"/>
    <cellStyle name="输出 2 3 5 8 5" xfId="37598" xr:uid="{00000000-0005-0000-0000-00000E930000}"/>
    <cellStyle name="输出 2 3 5 9" xfId="40324" xr:uid="{00000000-0005-0000-0000-0000B49D0000}"/>
    <cellStyle name="输出 2 3 5 9 2" xfId="40327" xr:uid="{00000000-0005-0000-0000-0000B79D0000}"/>
    <cellStyle name="输出 2 3 6" xfId="40330" xr:uid="{00000000-0005-0000-0000-0000BA9D0000}"/>
    <cellStyle name="输出 2 3 6 10" xfId="35696" xr:uid="{00000000-0005-0000-0000-0000A08B0000}"/>
    <cellStyle name="输出 2 3 6 10 2" xfId="18149" xr:uid="{00000000-0005-0000-0000-000015470000}"/>
    <cellStyle name="输出 2 3 6 11" xfId="40331" xr:uid="{00000000-0005-0000-0000-0000BB9D0000}"/>
    <cellStyle name="输出 2 3 6 11 2" xfId="18185" xr:uid="{00000000-0005-0000-0000-000039470000}"/>
    <cellStyle name="输出 2 3 6 12" xfId="40333" xr:uid="{00000000-0005-0000-0000-0000BD9D0000}"/>
    <cellStyle name="输出 2 3 6 12 2" xfId="35614" xr:uid="{00000000-0005-0000-0000-00004E8B0000}"/>
    <cellStyle name="输出 2 3 6 13" xfId="40334" xr:uid="{00000000-0005-0000-0000-0000BE9D0000}"/>
    <cellStyle name="输出 2 3 6 14" xfId="40335" xr:uid="{00000000-0005-0000-0000-0000BF9D0000}"/>
    <cellStyle name="输出 2 3 6 15" xfId="10358" xr:uid="{00000000-0005-0000-0000-0000A6280000}"/>
    <cellStyle name="输出 2 3 6 16" xfId="27315" xr:uid="{00000000-0005-0000-0000-0000E36A0000}"/>
    <cellStyle name="输出 2 3 6 2" xfId="38687" xr:uid="{00000000-0005-0000-0000-00004F970000}"/>
    <cellStyle name="输出 2 3 6 2 2" xfId="38689" xr:uid="{00000000-0005-0000-0000-000051970000}"/>
    <cellStyle name="输出 2 3 6 2 2 2" xfId="1648" xr:uid="{00000000-0005-0000-0000-0000A0060000}"/>
    <cellStyle name="输出 2 3 6 2 3" xfId="40336" xr:uid="{00000000-0005-0000-0000-0000C09D0000}"/>
    <cellStyle name="输出 2 3 6 2 3 2" xfId="8044" xr:uid="{00000000-0005-0000-0000-00009C1F0000}"/>
    <cellStyle name="输出 2 3 6 2 4" xfId="40337" xr:uid="{00000000-0005-0000-0000-0000C19D0000}"/>
    <cellStyle name="输出 2 3 6 2 4 2" xfId="8090" xr:uid="{00000000-0005-0000-0000-0000CA1F0000}"/>
    <cellStyle name="输出 2 3 6 2 5" xfId="40338" xr:uid="{00000000-0005-0000-0000-0000C29D0000}"/>
    <cellStyle name="输出 2 3 6 2 5 2" xfId="8128" xr:uid="{00000000-0005-0000-0000-0000F01F0000}"/>
    <cellStyle name="输出 2 3 6 2 6" xfId="40339" xr:uid="{00000000-0005-0000-0000-0000C39D0000}"/>
    <cellStyle name="输出 2 3 6 2 7" xfId="40340" xr:uid="{00000000-0005-0000-0000-0000C49D0000}"/>
    <cellStyle name="输出 2 3 6 2 8" xfId="40341" xr:uid="{00000000-0005-0000-0000-0000C59D0000}"/>
    <cellStyle name="输出 2 3 6 2 9" xfId="40342" xr:uid="{00000000-0005-0000-0000-0000C69D0000}"/>
    <cellStyle name="输出 2 3 6 3" xfId="18732" xr:uid="{00000000-0005-0000-0000-00005C490000}"/>
    <cellStyle name="输出 2 3 6 3 2" xfId="29649" xr:uid="{00000000-0005-0000-0000-000001740000}"/>
    <cellStyle name="输出 2 3 6 3 2 2" xfId="7475" xr:uid="{00000000-0005-0000-0000-0000631D0000}"/>
    <cellStyle name="输出 2 3 6 3 3" xfId="22760" xr:uid="{00000000-0005-0000-0000-000018590000}"/>
    <cellStyle name="输出 2 3 6 3 3 2" xfId="8373" xr:uid="{00000000-0005-0000-0000-0000E5200000}"/>
    <cellStyle name="输出 2 3 6 3 4" xfId="29651" xr:uid="{00000000-0005-0000-0000-000003740000}"/>
    <cellStyle name="输出 2 3 6 3 4 2" xfId="8422" xr:uid="{00000000-0005-0000-0000-000016210000}"/>
    <cellStyle name="输出 2 3 6 3 5" xfId="29653" xr:uid="{00000000-0005-0000-0000-000005740000}"/>
    <cellStyle name="输出 2 3 6 3 5 2" xfId="8474" xr:uid="{00000000-0005-0000-0000-00004A210000}"/>
    <cellStyle name="输出 2 3 6 3 6" xfId="29655" xr:uid="{00000000-0005-0000-0000-000007740000}"/>
    <cellStyle name="输出 2 3 6 4" xfId="29662" xr:uid="{00000000-0005-0000-0000-00000E740000}"/>
    <cellStyle name="输出 2 3 6 4 2" xfId="29665" xr:uid="{00000000-0005-0000-0000-000011740000}"/>
    <cellStyle name="输出 2 3 6 4 2 2" xfId="7543" xr:uid="{00000000-0005-0000-0000-0000A71D0000}"/>
    <cellStyle name="输出 2 3 6 4 3" xfId="22772" xr:uid="{00000000-0005-0000-0000-000024590000}"/>
    <cellStyle name="输出 2 3 6 4 3 2" xfId="8647" xr:uid="{00000000-0005-0000-0000-0000F7210000}"/>
    <cellStyle name="输出 2 3 6 4 4" xfId="29668" xr:uid="{00000000-0005-0000-0000-000014740000}"/>
    <cellStyle name="输出 2 3 6 4 4 2" xfId="8679" xr:uid="{00000000-0005-0000-0000-000017220000}"/>
    <cellStyle name="输出 2 3 6 4 5" xfId="29671" xr:uid="{00000000-0005-0000-0000-000017740000}"/>
    <cellStyle name="输出 2 3 6 4 5 2" xfId="8704" xr:uid="{00000000-0005-0000-0000-000030220000}"/>
    <cellStyle name="输出 2 3 6 4 6" xfId="29674" xr:uid="{00000000-0005-0000-0000-00001A740000}"/>
    <cellStyle name="输出 2 3 6 5" xfId="29677" xr:uid="{00000000-0005-0000-0000-00001D740000}"/>
    <cellStyle name="输出 2 3 6 5 2" xfId="29679" xr:uid="{00000000-0005-0000-0000-00001F740000}"/>
    <cellStyle name="输出 2 3 6 5 2 2" xfId="3485" xr:uid="{00000000-0005-0000-0000-0000CD0D0000}"/>
    <cellStyle name="输出 2 3 6 5 3" xfId="22783" xr:uid="{00000000-0005-0000-0000-00002F590000}"/>
    <cellStyle name="输出 2 3 6 5 3 2" xfId="233" xr:uid="{00000000-0005-0000-0000-0000FE000000}"/>
    <cellStyle name="输出 2 3 6 5 4" xfId="29681" xr:uid="{00000000-0005-0000-0000-000021740000}"/>
    <cellStyle name="输出 2 3 6 5 4 2" xfId="8789" xr:uid="{00000000-0005-0000-0000-000085220000}"/>
    <cellStyle name="输出 2 3 6 5 5" xfId="29684" xr:uid="{00000000-0005-0000-0000-000024740000}"/>
    <cellStyle name="输出 2 3 6 5 5 2" xfId="8805" xr:uid="{00000000-0005-0000-0000-000095220000}"/>
    <cellStyle name="输出 2 3 6 5 6" xfId="29686" xr:uid="{00000000-0005-0000-0000-000026740000}"/>
    <cellStyle name="输出 2 3 6 6" xfId="29689" xr:uid="{00000000-0005-0000-0000-000029740000}"/>
    <cellStyle name="输出 2 3 6 6 2" xfId="29691" xr:uid="{00000000-0005-0000-0000-00002B740000}"/>
    <cellStyle name="输出 2 3 6 6 2 2" xfId="7668" xr:uid="{00000000-0005-0000-0000-0000241E0000}"/>
    <cellStyle name="输出 2 3 6 6 3" xfId="22795" xr:uid="{00000000-0005-0000-0000-00003B590000}"/>
    <cellStyle name="输出 2 3 6 6 3 2" xfId="9058" xr:uid="{00000000-0005-0000-0000-000092230000}"/>
    <cellStyle name="输出 2 3 6 6 4" xfId="29693" xr:uid="{00000000-0005-0000-0000-00002D740000}"/>
    <cellStyle name="输出 2 3 6 6 4 2" xfId="9111" xr:uid="{00000000-0005-0000-0000-0000C7230000}"/>
    <cellStyle name="输出 2 3 6 6 5" xfId="29696" xr:uid="{00000000-0005-0000-0000-000030740000}"/>
    <cellStyle name="输出 2 3 6 6 5 2" xfId="9161" xr:uid="{00000000-0005-0000-0000-0000F9230000}"/>
    <cellStyle name="输出 2 3 6 6 6" xfId="29699" xr:uid="{00000000-0005-0000-0000-000033740000}"/>
    <cellStyle name="输出 2 3 6 7" xfId="29704" xr:uid="{00000000-0005-0000-0000-000038740000}"/>
    <cellStyle name="输出 2 3 6 7 2" xfId="29707" xr:uid="{00000000-0005-0000-0000-00003B740000}"/>
    <cellStyle name="输出 2 3 6 7 2 2" xfId="9279" xr:uid="{00000000-0005-0000-0000-00006F240000}"/>
    <cellStyle name="输出 2 3 6 7 3" xfId="29709" xr:uid="{00000000-0005-0000-0000-00003D740000}"/>
    <cellStyle name="输出 2 3 6 7 3 2" xfId="9301" xr:uid="{00000000-0005-0000-0000-000085240000}"/>
    <cellStyle name="输出 2 3 6 7 4" xfId="29712" xr:uid="{00000000-0005-0000-0000-000040740000}"/>
    <cellStyle name="输出 2 3 6 7 4 2" xfId="9324" xr:uid="{00000000-0005-0000-0000-00009C240000}"/>
    <cellStyle name="输出 2 3 6 7 5" xfId="29715" xr:uid="{00000000-0005-0000-0000-000043740000}"/>
    <cellStyle name="输出 2 3 6 7 5 2" xfId="9347" xr:uid="{00000000-0005-0000-0000-0000B3240000}"/>
    <cellStyle name="输出 2 3 6 7 6" xfId="19165" xr:uid="{00000000-0005-0000-0000-00000D4B0000}"/>
    <cellStyle name="输出 2 3 6 8" xfId="29718" xr:uid="{00000000-0005-0000-0000-000046740000}"/>
    <cellStyle name="输出 2 3 6 8 2" xfId="29721" xr:uid="{00000000-0005-0000-0000-000049740000}"/>
    <cellStyle name="输出 2 3 6 8 2 2" xfId="29725" xr:uid="{00000000-0005-0000-0000-00004D740000}"/>
    <cellStyle name="输出 2 3 6 8 3" xfId="29728" xr:uid="{00000000-0005-0000-0000-000050740000}"/>
    <cellStyle name="输出 2 3 6 8 3 2" xfId="29733" xr:uid="{00000000-0005-0000-0000-000055740000}"/>
    <cellStyle name="输出 2 3 6 8 4" xfId="29737" xr:uid="{00000000-0005-0000-0000-000059740000}"/>
    <cellStyle name="输出 2 3 6 8 4 2" xfId="29741" xr:uid="{00000000-0005-0000-0000-00005D740000}"/>
    <cellStyle name="输出 2 3 6 8 5" xfId="29745" xr:uid="{00000000-0005-0000-0000-000061740000}"/>
    <cellStyle name="输出 2 3 6 9" xfId="29751" xr:uid="{00000000-0005-0000-0000-000067740000}"/>
    <cellStyle name="输出 2 3 6 9 2" xfId="29755" xr:uid="{00000000-0005-0000-0000-00006B740000}"/>
    <cellStyle name="输出 2 3 7" xfId="40344" xr:uid="{00000000-0005-0000-0000-0000C89D0000}"/>
    <cellStyle name="输出 2 3 7 10" xfId="40346" xr:uid="{00000000-0005-0000-0000-0000CA9D0000}"/>
    <cellStyle name="输出 2 3 7 10 2" xfId="19159" xr:uid="{00000000-0005-0000-0000-0000074B0000}"/>
    <cellStyle name="输出 2 3 7 11" xfId="5000" xr:uid="{00000000-0005-0000-0000-0000B8130000}"/>
    <cellStyle name="输出 2 3 7 11 2" xfId="5009" xr:uid="{00000000-0005-0000-0000-0000C1130000}"/>
    <cellStyle name="输出 2 3 7 12" xfId="40347" xr:uid="{00000000-0005-0000-0000-0000CB9D0000}"/>
    <cellStyle name="输出 2 3 7 12 2" xfId="40348" xr:uid="{00000000-0005-0000-0000-0000CC9D0000}"/>
    <cellStyle name="输出 2 3 7 13" xfId="40350" xr:uid="{00000000-0005-0000-0000-0000CE9D0000}"/>
    <cellStyle name="输出 2 3 7 14" xfId="40351" xr:uid="{00000000-0005-0000-0000-0000CF9D0000}"/>
    <cellStyle name="输出 2 3 7 15" xfId="29790" xr:uid="{00000000-0005-0000-0000-00008E740000}"/>
    <cellStyle name="输出 2 3 7 16" xfId="29794" xr:uid="{00000000-0005-0000-0000-000092740000}"/>
    <cellStyle name="输出 2 3 7 2" xfId="38692" xr:uid="{00000000-0005-0000-0000-000054970000}"/>
    <cellStyle name="输出 2 3 7 2 2" xfId="38695" xr:uid="{00000000-0005-0000-0000-000057970000}"/>
    <cellStyle name="输出 2 3 7 2 2 2" xfId="7808" xr:uid="{00000000-0005-0000-0000-0000B01E0000}"/>
    <cellStyle name="输出 2 3 7 2 3" xfId="40352" xr:uid="{00000000-0005-0000-0000-0000D09D0000}"/>
    <cellStyle name="输出 2 3 7 2 3 2" xfId="10348" xr:uid="{00000000-0005-0000-0000-00009C280000}"/>
    <cellStyle name="输出 2 3 7 2 4" xfId="39806" xr:uid="{00000000-0005-0000-0000-0000AE9B0000}"/>
    <cellStyle name="输出 2 3 7 2 4 2" xfId="10404" xr:uid="{00000000-0005-0000-0000-0000D4280000}"/>
    <cellStyle name="输出 2 3 7 2 5" xfId="40353" xr:uid="{00000000-0005-0000-0000-0000D19D0000}"/>
    <cellStyle name="输出 2 3 7 2 5 2" xfId="10448" xr:uid="{00000000-0005-0000-0000-000000290000}"/>
    <cellStyle name="输出 2 3 7 2 6" xfId="40354" xr:uid="{00000000-0005-0000-0000-0000D29D0000}"/>
    <cellStyle name="输出 2 3 7 2 7" xfId="40355" xr:uid="{00000000-0005-0000-0000-0000D39D0000}"/>
    <cellStyle name="输出 2 3 7 2 8" xfId="40356" xr:uid="{00000000-0005-0000-0000-0000D49D0000}"/>
    <cellStyle name="输出 2 3 7 2 9" xfId="810" xr:uid="{00000000-0005-0000-0000-00005A030000}"/>
    <cellStyle name="输出 2 3 7 3" xfId="29808" xr:uid="{00000000-0005-0000-0000-0000A0740000}"/>
    <cellStyle name="输出 2 3 7 3 2" xfId="29811" xr:uid="{00000000-0005-0000-0000-0000A3740000}"/>
    <cellStyle name="输出 2 3 7 3 2 2" xfId="7830" xr:uid="{00000000-0005-0000-0000-0000C61E0000}"/>
    <cellStyle name="输出 2 3 7 3 3" xfId="22807" xr:uid="{00000000-0005-0000-0000-000047590000}"/>
    <cellStyle name="输出 2 3 7 3 3 2" xfId="10742" xr:uid="{00000000-0005-0000-0000-0000262A0000}"/>
    <cellStyle name="输出 2 3 7 3 4" xfId="29814" xr:uid="{00000000-0005-0000-0000-0000A6740000}"/>
    <cellStyle name="输出 2 3 7 3 4 2" xfId="10800" xr:uid="{00000000-0005-0000-0000-0000602A0000}"/>
    <cellStyle name="输出 2 3 7 3 5" xfId="29816" xr:uid="{00000000-0005-0000-0000-0000A8740000}"/>
    <cellStyle name="输出 2 3 7 3 5 2" xfId="10841" xr:uid="{00000000-0005-0000-0000-0000892A0000}"/>
    <cellStyle name="输出 2 3 7 3 6" xfId="29818" xr:uid="{00000000-0005-0000-0000-0000AA740000}"/>
    <cellStyle name="输出 2 3 7 4" xfId="29824" xr:uid="{00000000-0005-0000-0000-0000B0740000}"/>
    <cellStyle name="输出 2 3 7 4 2" xfId="29827" xr:uid="{00000000-0005-0000-0000-0000B3740000}"/>
    <cellStyle name="输出 2 3 7 4 2 2" xfId="6458" xr:uid="{00000000-0005-0000-0000-00006A190000}"/>
    <cellStyle name="输出 2 3 7 4 3" xfId="22818" xr:uid="{00000000-0005-0000-0000-000052590000}"/>
    <cellStyle name="输出 2 3 7 4 3 2" xfId="97" xr:uid="{00000000-0005-0000-0000-000068000000}"/>
    <cellStyle name="输出 2 3 7 4 4" xfId="29831" xr:uid="{00000000-0005-0000-0000-0000B7740000}"/>
    <cellStyle name="输出 2 3 7 4 4 2" xfId="2294" xr:uid="{00000000-0005-0000-0000-000026090000}"/>
    <cellStyle name="输出 2 3 7 4 5" xfId="29834" xr:uid="{00000000-0005-0000-0000-0000BA740000}"/>
    <cellStyle name="输出 2 3 7 4 5 2" xfId="2823" xr:uid="{00000000-0005-0000-0000-0000370B0000}"/>
    <cellStyle name="输出 2 3 7 4 6" xfId="29838" xr:uid="{00000000-0005-0000-0000-0000BE740000}"/>
    <cellStyle name="输出 2 3 7 5" xfId="29841" xr:uid="{00000000-0005-0000-0000-0000C1740000}"/>
    <cellStyle name="输出 2 3 7 5 2" xfId="29844" xr:uid="{00000000-0005-0000-0000-0000C4740000}"/>
    <cellStyle name="输出 2 3 7 5 2 2" xfId="6860" xr:uid="{00000000-0005-0000-0000-0000FC1A0000}"/>
    <cellStyle name="输出 2 3 7 5 3" xfId="22830" xr:uid="{00000000-0005-0000-0000-00005E590000}"/>
    <cellStyle name="输出 2 3 7 5 3 2" xfId="1765" xr:uid="{00000000-0005-0000-0000-000015070000}"/>
    <cellStyle name="输出 2 3 7 5 4" xfId="29848" xr:uid="{00000000-0005-0000-0000-0000C8740000}"/>
    <cellStyle name="输出 2 3 7 5 4 2" xfId="10994" xr:uid="{00000000-0005-0000-0000-0000222B0000}"/>
    <cellStyle name="输出 2 3 7 5 5" xfId="29852" xr:uid="{00000000-0005-0000-0000-0000CC740000}"/>
    <cellStyle name="输出 2 3 7 5 5 2" xfId="11007" xr:uid="{00000000-0005-0000-0000-00002F2B0000}"/>
    <cellStyle name="输出 2 3 7 5 6" xfId="29855" xr:uid="{00000000-0005-0000-0000-0000CF740000}"/>
    <cellStyle name="输出 2 3 7 6" xfId="29858" xr:uid="{00000000-0005-0000-0000-0000D2740000}"/>
    <cellStyle name="输出 2 3 7 6 2" xfId="25172" xr:uid="{00000000-0005-0000-0000-000084620000}"/>
    <cellStyle name="输出 2 3 7 6 2 2" xfId="7934" xr:uid="{00000000-0005-0000-0000-00002E1F0000}"/>
    <cellStyle name="输出 2 3 7 6 3" xfId="22839" xr:uid="{00000000-0005-0000-0000-000067590000}"/>
    <cellStyle name="输出 2 3 7 6 3 2" xfId="11191" xr:uid="{00000000-0005-0000-0000-0000E72B0000}"/>
    <cellStyle name="输出 2 3 7 6 4" xfId="25808" xr:uid="{00000000-0005-0000-0000-000000650000}"/>
    <cellStyle name="输出 2 3 7 6 4 2" xfId="11208" xr:uid="{00000000-0005-0000-0000-0000F82B0000}"/>
    <cellStyle name="输出 2 3 7 6 5" xfId="25812" xr:uid="{00000000-0005-0000-0000-000004650000}"/>
    <cellStyle name="输出 2 3 7 6 5 2" xfId="11219" xr:uid="{00000000-0005-0000-0000-0000032C0000}"/>
    <cellStyle name="输出 2 3 7 6 6" xfId="1216" xr:uid="{00000000-0005-0000-0000-0000F0040000}"/>
    <cellStyle name="输出 2 3 7 7" xfId="29862" xr:uid="{00000000-0005-0000-0000-0000D6740000}"/>
    <cellStyle name="输出 2 3 7 7 2" xfId="1066" xr:uid="{00000000-0005-0000-0000-00005A040000}"/>
    <cellStyle name="输出 2 3 7 7 2 2" xfId="11403" xr:uid="{00000000-0005-0000-0000-0000BB2C0000}"/>
    <cellStyle name="输出 2 3 7 7 3" xfId="1088" xr:uid="{00000000-0005-0000-0000-000070040000}"/>
    <cellStyle name="输出 2 3 7 7 3 2" xfId="11444" xr:uid="{00000000-0005-0000-0000-0000E42C0000}"/>
    <cellStyle name="输出 2 3 7 7 4" xfId="2158" xr:uid="{00000000-0005-0000-0000-00009E080000}"/>
    <cellStyle name="输出 2 3 7 7 4 2" xfId="11463" xr:uid="{00000000-0005-0000-0000-0000F72C0000}"/>
    <cellStyle name="输出 2 3 7 7 5" xfId="2180" xr:uid="{00000000-0005-0000-0000-0000B4080000}"/>
    <cellStyle name="输出 2 3 7 7 5 2" xfId="11480" xr:uid="{00000000-0005-0000-0000-0000082D0000}"/>
    <cellStyle name="输出 2 3 7 7 6" xfId="2190" xr:uid="{00000000-0005-0000-0000-0000BE080000}"/>
    <cellStyle name="输出 2 3 7 8" xfId="24924" xr:uid="{00000000-0005-0000-0000-00008C610000}"/>
    <cellStyle name="输出 2 3 7 8 2" xfId="25183" xr:uid="{00000000-0005-0000-0000-00008F620000}"/>
    <cellStyle name="输出 2 3 7 8 2 2" xfId="12629" xr:uid="{00000000-0005-0000-0000-000085310000}"/>
    <cellStyle name="输出 2 3 7 8 3" xfId="25822" xr:uid="{00000000-0005-0000-0000-00000E650000}"/>
    <cellStyle name="输出 2 3 7 8 3 2" xfId="12668" xr:uid="{00000000-0005-0000-0000-0000AC310000}"/>
    <cellStyle name="输出 2 3 7 8 4" xfId="12568" xr:uid="{00000000-0005-0000-0000-000048310000}"/>
    <cellStyle name="输出 2 3 7 8 4 2" xfId="12707" xr:uid="{00000000-0005-0000-0000-0000D3310000}"/>
    <cellStyle name="输出 2 3 7 8 5" xfId="29866" xr:uid="{00000000-0005-0000-0000-0000DA740000}"/>
    <cellStyle name="输出 2 3 7 9" xfId="29870" xr:uid="{00000000-0005-0000-0000-0000DE740000}"/>
    <cellStyle name="输出 2 3 7 9 2" xfId="25196" xr:uid="{00000000-0005-0000-0000-00009C620000}"/>
    <cellStyle name="输出 2 3 8" xfId="35396" xr:uid="{00000000-0005-0000-0000-0000748A0000}"/>
    <cellStyle name="输出 2 3 8 10" xfId="29490" xr:uid="{00000000-0005-0000-0000-000062730000}"/>
    <cellStyle name="输出 2 3 8 10 2" xfId="29496" xr:uid="{00000000-0005-0000-0000-000068730000}"/>
    <cellStyle name="输出 2 3 8 11" xfId="4259" xr:uid="{00000000-0005-0000-0000-0000D3100000}"/>
    <cellStyle name="输出 2 3 8 11 2" xfId="40358" xr:uid="{00000000-0005-0000-0000-0000D69D0000}"/>
    <cellStyle name="输出 2 3 8 12" xfId="29497" xr:uid="{00000000-0005-0000-0000-000069730000}"/>
    <cellStyle name="输出 2 3 8 12 2" xfId="40360" xr:uid="{00000000-0005-0000-0000-0000D89D0000}"/>
    <cellStyle name="输出 2 3 8 13" xfId="29503" xr:uid="{00000000-0005-0000-0000-00006F730000}"/>
    <cellStyle name="输出 2 3 8 14" xfId="29508" xr:uid="{00000000-0005-0000-0000-000074730000}"/>
    <cellStyle name="输出 2 3 8 15" xfId="22401" xr:uid="{00000000-0005-0000-0000-0000B1570000}"/>
    <cellStyle name="输出 2 3 8 16" xfId="29878" xr:uid="{00000000-0005-0000-0000-0000E6740000}"/>
    <cellStyle name="输出 2 3 8 2" xfId="38700" xr:uid="{00000000-0005-0000-0000-00005C970000}"/>
    <cellStyle name="输出 2 3 8 2 2" xfId="38703" xr:uid="{00000000-0005-0000-0000-00005F970000}"/>
    <cellStyle name="输出 2 3 8 2 2 2" xfId="40362" xr:uid="{00000000-0005-0000-0000-0000DA9D0000}"/>
    <cellStyle name="输出 2 3 8 2 3" xfId="40363" xr:uid="{00000000-0005-0000-0000-0000DB9D0000}"/>
    <cellStyle name="输出 2 3 8 2 3 2" xfId="40364" xr:uid="{00000000-0005-0000-0000-0000DC9D0000}"/>
    <cellStyle name="输出 2 3 8 2 4" xfId="39817" xr:uid="{00000000-0005-0000-0000-0000B99B0000}"/>
    <cellStyle name="输出 2 3 8 2 4 2" xfId="40365" xr:uid="{00000000-0005-0000-0000-0000DD9D0000}"/>
    <cellStyle name="输出 2 3 8 2 5" xfId="40366" xr:uid="{00000000-0005-0000-0000-0000DE9D0000}"/>
    <cellStyle name="输出 2 3 8 2 5 2" xfId="40367" xr:uid="{00000000-0005-0000-0000-0000DF9D0000}"/>
    <cellStyle name="输出 2 3 8 2 6" xfId="40368" xr:uid="{00000000-0005-0000-0000-0000E09D0000}"/>
    <cellStyle name="输出 2 3 8 2 7" xfId="40369" xr:uid="{00000000-0005-0000-0000-0000E19D0000}"/>
    <cellStyle name="输出 2 3 8 2 8" xfId="40370" xr:uid="{00000000-0005-0000-0000-0000E29D0000}"/>
    <cellStyle name="输出 2 3 8 2 9" xfId="40372" xr:uid="{00000000-0005-0000-0000-0000E49D0000}"/>
    <cellStyle name="输出 2 3 8 3" xfId="29890" xr:uid="{00000000-0005-0000-0000-0000F2740000}"/>
    <cellStyle name="输出 2 3 8 3 2" xfId="29893" xr:uid="{00000000-0005-0000-0000-0000F5740000}"/>
    <cellStyle name="输出 2 3 8 3 2 2" xfId="29896" xr:uid="{00000000-0005-0000-0000-0000F8740000}"/>
    <cellStyle name="输出 2 3 8 3 3" xfId="22856" xr:uid="{00000000-0005-0000-0000-000078590000}"/>
    <cellStyle name="输出 2 3 8 3 3 2" xfId="29899" xr:uid="{00000000-0005-0000-0000-0000FB740000}"/>
    <cellStyle name="输出 2 3 8 3 4" xfId="29902" xr:uid="{00000000-0005-0000-0000-0000FE740000}"/>
    <cellStyle name="输出 2 3 8 3 4 2" xfId="29904" xr:uid="{00000000-0005-0000-0000-000000750000}"/>
    <cellStyle name="输出 2 3 8 3 5" xfId="29907" xr:uid="{00000000-0005-0000-0000-000003750000}"/>
    <cellStyle name="输出 2 3 8 3 5 2" xfId="29909" xr:uid="{00000000-0005-0000-0000-000005750000}"/>
    <cellStyle name="输出 2 3 8 3 6" xfId="29911" xr:uid="{00000000-0005-0000-0000-000007750000}"/>
    <cellStyle name="输出 2 3 8 4" xfId="29919" xr:uid="{00000000-0005-0000-0000-00000F750000}"/>
    <cellStyle name="输出 2 3 8 4 2" xfId="29922" xr:uid="{00000000-0005-0000-0000-000012750000}"/>
    <cellStyle name="输出 2 3 8 4 2 2" xfId="26982" xr:uid="{00000000-0005-0000-0000-000096690000}"/>
    <cellStyle name="输出 2 3 8 4 3" xfId="22869" xr:uid="{00000000-0005-0000-0000-000085590000}"/>
    <cellStyle name="输出 2 3 8 4 3 2" xfId="29925" xr:uid="{00000000-0005-0000-0000-000015750000}"/>
    <cellStyle name="输出 2 3 8 4 4" xfId="29929" xr:uid="{00000000-0005-0000-0000-000019750000}"/>
    <cellStyle name="输出 2 3 8 4 4 2" xfId="29931" xr:uid="{00000000-0005-0000-0000-00001B750000}"/>
    <cellStyle name="输出 2 3 8 4 5" xfId="29934" xr:uid="{00000000-0005-0000-0000-00001E750000}"/>
    <cellStyle name="输出 2 3 8 4 5 2" xfId="6528" xr:uid="{00000000-0005-0000-0000-0000B0190000}"/>
    <cellStyle name="输出 2 3 8 4 6" xfId="29936" xr:uid="{00000000-0005-0000-0000-000020750000}"/>
    <cellStyle name="输出 2 3 8 5" xfId="29939" xr:uid="{00000000-0005-0000-0000-000023750000}"/>
    <cellStyle name="输出 2 3 8 5 2" xfId="29941" xr:uid="{00000000-0005-0000-0000-000025750000}"/>
    <cellStyle name="输出 2 3 8 5 2 2" xfId="29944" xr:uid="{00000000-0005-0000-0000-000028750000}"/>
    <cellStyle name="输出 2 3 8 5 3" xfId="21302" xr:uid="{00000000-0005-0000-0000-000066530000}"/>
    <cellStyle name="输出 2 3 8 5 3 2" xfId="29947" xr:uid="{00000000-0005-0000-0000-00002B750000}"/>
    <cellStyle name="输出 2 3 8 5 4" xfId="29950" xr:uid="{00000000-0005-0000-0000-00002E750000}"/>
    <cellStyle name="输出 2 3 8 5 4 2" xfId="29952" xr:uid="{00000000-0005-0000-0000-000030750000}"/>
    <cellStyle name="输出 2 3 8 5 5" xfId="29955" xr:uid="{00000000-0005-0000-0000-000033750000}"/>
    <cellStyle name="输出 2 3 8 5 5 2" xfId="29957" xr:uid="{00000000-0005-0000-0000-000035750000}"/>
    <cellStyle name="输出 2 3 8 5 6" xfId="29959" xr:uid="{00000000-0005-0000-0000-000037750000}"/>
    <cellStyle name="输出 2 3 8 6" xfId="29962" xr:uid="{00000000-0005-0000-0000-00003A750000}"/>
    <cellStyle name="输出 2 3 8 6 2" xfId="21337" xr:uid="{00000000-0005-0000-0000-000089530000}"/>
    <cellStyle name="输出 2 3 8 6 2 2" xfId="25939" xr:uid="{00000000-0005-0000-0000-000083650000}"/>
    <cellStyle name="输出 2 3 8 6 3" xfId="22886" xr:uid="{00000000-0005-0000-0000-000096590000}"/>
    <cellStyle name="输出 2 3 8 6 3 2" xfId="25948" xr:uid="{00000000-0005-0000-0000-00008C650000}"/>
    <cellStyle name="输出 2 3 8 6 4" xfId="25954" xr:uid="{00000000-0005-0000-0000-000092650000}"/>
    <cellStyle name="输出 2 3 8 6 4 2" xfId="29964" xr:uid="{00000000-0005-0000-0000-00003C750000}"/>
    <cellStyle name="输出 2 3 8 6 5" xfId="25959" xr:uid="{00000000-0005-0000-0000-000097650000}"/>
    <cellStyle name="输出 2 3 8 6 5 2" xfId="29967" xr:uid="{00000000-0005-0000-0000-00003F750000}"/>
    <cellStyle name="输出 2 3 8 6 6" xfId="25965" xr:uid="{00000000-0005-0000-0000-00009D650000}"/>
    <cellStyle name="输出 2 3 8 7" xfId="29971" xr:uid="{00000000-0005-0000-0000-000043750000}"/>
    <cellStyle name="输出 2 3 8 7 2" xfId="21370" xr:uid="{00000000-0005-0000-0000-0000AA530000}"/>
    <cellStyle name="输出 2 3 8 7 2 2" xfId="25981" xr:uid="{00000000-0005-0000-0000-0000AD650000}"/>
    <cellStyle name="输出 2 3 8 7 3" xfId="25986" xr:uid="{00000000-0005-0000-0000-0000B2650000}"/>
    <cellStyle name="输出 2 3 8 7 3 2" xfId="25989" xr:uid="{00000000-0005-0000-0000-0000B5650000}"/>
    <cellStyle name="输出 2 3 8 7 4" xfId="954" xr:uid="{00000000-0005-0000-0000-0000EA030000}"/>
    <cellStyle name="输出 2 3 8 7 4 2" xfId="29973" xr:uid="{00000000-0005-0000-0000-000045750000}"/>
    <cellStyle name="输出 2 3 8 7 5" xfId="29977" xr:uid="{00000000-0005-0000-0000-000049750000}"/>
    <cellStyle name="输出 2 3 8 7 5 2" xfId="29982" xr:uid="{00000000-0005-0000-0000-00004E750000}"/>
    <cellStyle name="输出 2 3 8 7 6" xfId="22635" xr:uid="{00000000-0005-0000-0000-00009B580000}"/>
    <cellStyle name="输出 2 3 8 8" xfId="24937" xr:uid="{00000000-0005-0000-0000-000099610000}"/>
    <cellStyle name="输出 2 3 8 8 2" xfId="21400" xr:uid="{00000000-0005-0000-0000-0000C8530000}"/>
    <cellStyle name="输出 2 3 8 8 2 2" xfId="25992" xr:uid="{00000000-0005-0000-0000-0000B8650000}"/>
    <cellStyle name="输出 2 3 8 8 3" xfId="25996" xr:uid="{00000000-0005-0000-0000-0000BC650000}"/>
    <cellStyle name="输出 2 3 8 8 3 2" xfId="26000" xr:uid="{00000000-0005-0000-0000-0000C0650000}"/>
    <cellStyle name="输出 2 3 8 8 4" xfId="151" xr:uid="{00000000-0005-0000-0000-0000A4000000}"/>
    <cellStyle name="输出 2 3 8 8 4 2" xfId="29985" xr:uid="{00000000-0005-0000-0000-000051750000}"/>
    <cellStyle name="输出 2 3 8 8 5" xfId="29990" xr:uid="{00000000-0005-0000-0000-000056750000}"/>
    <cellStyle name="输出 2 3 8 9" xfId="29997" xr:uid="{00000000-0005-0000-0000-00005D750000}"/>
    <cellStyle name="输出 2 3 8 9 2" xfId="21455" xr:uid="{00000000-0005-0000-0000-0000FF530000}"/>
    <cellStyle name="输出 2 3 9" xfId="40374" xr:uid="{00000000-0005-0000-0000-0000E69D0000}"/>
    <cellStyle name="输出 2 3 9 10" xfId="29587" xr:uid="{00000000-0005-0000-0000-0000C3730000}"/>
    <cellStyle name="输出 2 3 9 10 2" xfId="29591" xr:uid="{00000000-0005-0000-0000-0000C7730000}"/>
    <cellStyle name="输出 2 3 9 11" xfId="29595" xr:uid="{00000000-0005-0000-0000-0000CB730000}"/>
    <cellStyle name="输出 2 3 9 11 2" xfId="32828" xr:uid="{00000000-0005-0000-0000-00006C800000}"/>
    <cellStyle name="输出 2 3 9 12" xfId="29635" xr:uid="{00000000-0005-0000-0000-0000F3730000}"/>
    <cellStyle name="输出 2 3 9 12 2" xfId="32830" xr:uid="{00000000-0005-0000-0000-00006E800000}"/>
    <cellStyle name="输出 2 3 9 13" xfId="32833" xr:uid="{00000000-0005-0000-0000-000071800000}"/>
    <cellStyle name="输出 2 3 9 14" xfId="32838" xr:uid="{00000000-0005-0000-0000-000076800000}"/>
    <cellStyle name="输出 2 3 9 15" xfId="30008" xr:uid="{00000000-0005-0000-0000-000068750000}"/>
    <cellStyle name="输出 2 3 9 16" xfId="30012" xr:uid="{00000000-0005-0000-0000-00006C750000}"/>
    <cellStyle name="输出 2 3 9 2" xfId="38708" xr:uid="{00000000-0005-0000-0000-000064970000}"/>
    <cellStyle name="输出 2 3 9 2 2" xfId="38711" xr:uid="{00000000-0005-0000-0000-000067970000}"/>
    <cellStyle name="输出 2 3 9 2 2 2" xfId="40376" xr:uid="{00000000-0005-0000-0000-0000E89D0000}"/>
    <cellStyle name="输出 2 3 9 2 3" xfId="40378" xr:uid="{00000000-0005-0000-0000-0000EA9D0000}"/>
    <cellStyle name="输出 2 3 9 2 3 2" xfId="40379" xr:uid="{00000000-0005-0000-0000-0000EB9D0000}"/>
    <cellStyle name="输出 2 3 9 2 4" xfId="39828" xr:uid="{00000000-0005-0000-0000-0000C49B0000}"/>
    <cellStyle name="输出 2 3 9 2 4 2" xfId="40381" xr:uid="{00000000-0005-0000-0000-0000ED9D0000}"/>
    <cellStyle name="输出 2 3 9 2 5" xfId="40383" xr:uid="{00000000-0005-0000-0000-0000EF9D0000}"/>
    <cellStyle name="输出 2 3 9 2 5 2" xfId="40384" xr:uid="{00000000-0005-0000-0000-0000F09D0000}"/>
    <cellStyle name="输出 2 3 9 2 6" xfId="40386" xr:uid="{00000000-0005-0000-0000-0000F29D0000}"/>
    <cellStyle name="输出 2 3 9 2 7" xfId="27533" xr:uid="{00000000-0005-0000-0000-0000BD6B0000}"/>
    <cellStyle name="输出 2 3 9 2 8" xfId="7299" xr:uid="{00000000-0005-0000-0000-0000B31C0000}"/>
    <cellStyle name="输出 2 3 9 2 9" xfId="40387" xr:uid="{00000000-0005-0000-0000-0000F39D0000}"/>
    <cellStyle name="输出 2 3 9 3" xfId="30023" xr:uid="{00000000-0005-0000-0000-000077750000}"/>
    <cellStyle name="输出 2 3 9 3 2" xfId="30026" xr:uid="{00000000-0005-0000-0000-00007A750000}"/>
    <cellStyle name="输出 2 3 9 3 2 2" xfId="30031" xr:uid="{00000000-0005-0000-0000-00007F750000}"/>
    <cellStyle name="输出 2 3 9 3 3" xfId="22899" xr:uid="{00000000-0005-0000-0000-0000A3590000}"/>
    <cellStyle name="输出 2 3 9 3 3 2" xfId="30035" xr:uid="{00000000-0005-0000-0000-000083750000}"/>
    <cellStyle name="输出 2 3 9 3 4" xfId="30038" xr:uid="{00000000-0005-0000-0000-000086750000}"/>
    <cellStyle name="输出 2 3 9 3 4 2" xfId="30041" xr:uid="{00000000-0005-0000-0000-000089750000}"/>
    <cellStyle name="输出 2 3 9 3 5" xfId="30044" xr:uid="{00000000-0005-0000-0000-00008C750000}"/>
    <cellStyle name="输出 2 3 9 3 5 2" xfId="30047" xr:uid="{00000000-0005-0000-0000-00008F750000}"/>
    <cellStyle name="输出 2 3 9 3 6" xfId="30049" xr:uid="{00000000-0005-0000-0000-000091750000}"/>
    <cellStyle name="输出 2 3 9 4" xfId="30056" xr:uid="{00000000-0005-0000-0000-000098750000}"/>
    <cellStyle name="输出 2 3 9 4 2" xfId="30059" xr:uid="{00000000-0005-0000-0000-00009B750000}"/>
    <cellStyle name="输出 2 3 9 4 2 2" xfId="30063" xr:uid="{00000000-0005-0000-0000-00009F750000}"/>
    <cellStyle name="输出 2 3 9 4 3" xfId="22909" xr:uid="{00000000-0005-0000-0000-0000AD590000}"/>
    <cellStyle name="输出 2 3 9 4 3 2" xfId="30067" xr:uid="{00000000-0005-0000-0000-0000A3750000}"/>
    <cellStyle name="输出 2 3 9 4 4" xfId="30071" xr:uid="{00000000-0005-0000-0000-0000A7750000}"/>
    <cellStyle name="输出 2 3 9 4 4 2" xfId="30074" xr:uid="{00000000-0005-0000-0000-0000AA750000}"/>
    <cellStyle name="输出 2 3 9 4 5" xfId="30077" xr:uid="{00000000-0005-0000-0000-0000AD750000}"/>
    <cellStyle name="输出 2 3 9 4 5 2" xfId="30080" xr:uid="{00000000-0005-0000-0000-0000B0750000}"/>
    <cellStyle name="输出 2 3 9 4 6" xfId="30082" xr:uid="{00000000-0005-0000-0000-0000B2750000}"/>
    <cellStyle name="输出 2 3 9 5" xfId="30085" xr:uid="{00000000-0005-0000-0000-0000B5750000}"/>
    <cellStyle name="输出 2 3 9 5 2" xfId="30087" xr:uid="{00000000-0005-0000-0000-0000B7750000}"/>
    <cellStyle name="输出 2 3 9 5 2 2" xfId="30092" xr:uid="{00000000-0005-0000-0000-0000BC750000}"/>
    <cellStyle name="输出 2 3 9 5 3" xfId="22920" xr:uid="{00000000-0005-0000-0000-0000B8590000}"/>
    <cellStyle name="输出 2 3 9 5 3 2" xfId="30096" xr:uid="{00000000-0005-0000-0000-0000C0750000}"/>
    <cellStyle name="输出 2 3 9 5 4" xfId="30099" xr:uid="{00000000-0005-0000-0000-0000C3750000}"/>
    <cellStyle name="输出 2 3 9 5 4 2" xfId="30102" xr:uid="{00000000-0005-0000-0000-0000C6750000}"/>
    <cellStyle name="输出 2 3 9 5 5" xfId="30105" xr:uid="{00000000-0005-0000-0000-0000C9750000}"/>
    <cellStyle name="输出 2 3 9 5 5 2" xfId="30108" xr:uid="{00000000-0005-0000-0000-0000CC750000}"/>
    <cellStyle name="输出 2 3 9 5 6" xfId="30110" xr:uid="{00000000-0005-0000-0000-0000CE750000}"/>
    <cellStyle name="输出 2 3 9 6" xfId="30113" xr:uid="{00000000-0005-0000-0000-0000D1750000}"/>
    <cellStyle name="输出 2 3 9 6 2" xfId="13651" xr:uid="{00000000-0005-0000-0000-000083350000}"/>
    <cellStyle name="输出 2 3 9 6 2 2" xfId="26076" xr:uid="{00000000-0005-0000-0000-00000C660000}"/>
    <cellStyle name="输出 2 3 9 6 3" xfId="22928" xr:uid="{00000000-0005-0000-0000-0000C0590000}"/>
    <cellStyle name="输出 2 3 9 6 3 2" xfId="26082" xr:uid="{00000000-0005-0000-0000-000012660000}"/>
    <cellStyle name="输出 2 3 9 6 4" xfId="26086" xr:uid="{00000000-0005-0000-0000-000016660000}"/>
    <cellStyle name="输出 2 3 9 6 4 2" xfId="30116" xr:uid="{00000000-0005-0000-0000-0000D4750000}"/>
    <cellStyle name="输出 2 3 9 6 5" xfId="26092" xr:uid="{00000000-0005-0000-0000-00001C660000}"/>
    <cellStyle name="输出 2 3 9 6 5 2" xfId="30120" xr:uid="{00000000-0005-0000-0000-0000D8750000}"/>
    <cellStyle name="输出 2 3 9 6 6" xfId="26100" xr:uid="{00000000-0005-0000-0000-000024660000}"/>
    <cellStyle name="输出 2 3 9 7" xfId="30124" xr:uid="{00000000-0005-0000-0000-0000DC750000}"/>
    <cellStyle name="输出 2 3 9 7 2" xfId="21550" xr:uid="{00000000-0005-0000-0000-00005E540000}"/>
    <cellStyle name="输出 2 3 9 7 2 2" xfId="26114" xr:uid="{00000000-0005-0000-0000-000032660000}"/>
    <cellStyle name="输出 2 3 9 7 3" xfId="26117" xr:uid="{00000000-0005-0000-0000-000035660000}"/>
    <cellStyle name="输出 2 3 9 7 3 2" xfId="26122" xr:uid="{00000000-0005-0000-0000-00003A660000}"/>
    <cellStyle name="输出 2 3 9 7 4" xfId="12621" xr:uid="{00000000-0005-0000-0000-00007D310000}"/>
    <cellStyle name="输出 2 3 9 7 4 2" xfId="30126" xr:uid="{00000000-0005-0000-0000-0000DE750000}"/>
    <cellStyle name="输出 2 3 9 7 5" xfId="30132" xr:uid="{00000000-0005-0000-0000-0000E4750000}"/>
    <cellStyle name="输出 2 3 9 7 5 2" xfId="30135" xr:uid="{00000000-0005-0000-0000-0000E7750000}"/>
    <cellStyle name="输出 2 3 9 7 6" xfId="22651" xr:uid="{00000000-0005-0000-0000-0000AB580000}"/>
    <cellStyle name="输出 2 3 9 8" xfId="24947" xr:uid="{00000000-0005-0000-0000-0000A3610000}"/>
    <cellStyle name="输出 2 3 9 8 2" xfId="21578" xr:uid="{00000000-0005-0000-0000-00007A540000}"/>
    <cellStyle name="输出 2 3 9 8 2 2" xfId="26130" xr:uid="{00000000-0005-0000-0000-000042660000}"/>
    <cellStyle name="输出 2 3 9 8 3" xfId="26134" xr:uid="{00000000-0005-0000-0000-000046660000}"/>
    <cellStyle name="输出 2 3 9 8 3 2" xfId="26139" xr:uid="{00000000-0005-0000-0000-00004B660000}"/>
    <cellStyle name="输出 2 3 9 8 4" xfId="12643" xr:uid="{00000000-0005-0000-0000-000093310000}"/>
    <cellStyle name="输出 2 3 9 8 4 2" xfId="30141" xr:uid="{00000000-0005-0000-0000-0000ED750000}"/>
    <cellStyle name="输出 2 3 9 8 5" xfId="30148" xr:uid="{00000000-0005-0000-0000-0000F4750000}"/>
    <cellStyle name="输出 2 3 9 9" xfId="30156" xr:uid="{00000000-0005-0000-0000-0000FC750000}"/>
    <cellStyle name="输出 2 3 9 9 2" xfId="21605" xr:uid="{00000000-0005-0000-0000-000095540000}"/>
    <cellStyle name="输出 2 4" xfId="40389" xr:uid="{00000000-0005-0000-0000-0000F59D0000}"/>
    <cellStyle name="输出 2 4 10" xfId="17116" xr:uid="{00000000-0005-0000-0000-00000C430000}"/>
    <cellStyle name="输出 2 4 10 10" xfId="32982" xr:uid="{00000000-0005-0000-0000-000006810000}"/>
    <cellStyle name="输出 2 4 10 10 2" xfId="32987" xr:uid="{00000000-0005-0000-0000-00000B810000}"/>
    <cellStyle name="输出 2 4 10 11" xfId="32991" xr:uid="{00000000-0005-0000-0000-00000F810000}"/>
    <cellStyle name="输出 2 4 10 11 2" xfId="32995" xr:uid="{00000000-0005-0000-0000-000013810000}"/>
    <cellStyle name="输出 2 4 10 12" xfId="8165" xr:uid="{00000000-0005-0000-0000-000015200000}"/>
    <cellStyle name="输出 2 4 10 12 2" xfId="6887" xr:uid="{00000000-0005-0000-0000-0000171B0000}"/>
    <cellStyle name="输出 2 4 10 13" xfId="7438" xr:uid="{00000000-0005-0000-0000-00003E1D0000}"/>
    <cellStyle name="输出 2 4 10 14" xfId="5915" xr:uid="{00000000-0005-0000-0000-00004B170000}"/>
    <cellStyle name="输出 2 4 10 15" xfId="8181" xr:uid="{00000000-0005-0000-0000-000025200000}"/>
    <cellStyle name="输出 2 4 10 16" xfId="8204" xr:uid="{00000000-0005-0000-0000-00003C200000}"/>
    <cellStyle name="输出 2 4 10 2" xfId="26187" xr:uid="{00000000-0005-0000-0000-00007B660000}"/>
    <cellStyle name="输出 2 4 10 2 2" xfId="31581" xr:uid="{00000000-0005-0000-0000-00008D7B0000}"/>
    <cellStyle name="输出 2 4 10 2 2 2" xfId="31583" xr:uid="{00000000-0005-0000-0000-00008F7B0000}"/>
    <cellStyle name="输出 2 4 10 2 3" xfId="31590" xr:uid="{00000000-0005-0000-0000-0000967B0000}"/>
    <cellStyle name="输出 2 4 10 2 3 2" xfId="31592" xr:uid="{00000000-0005-0000-0000-0000987B0000}"/>
    <cellStyle name="输出 2 4 10 2 4" xfId="31597" xr:uid="{00000000-0005-0000-0000-00009D7B0000}"/>
    <cellStyle name="输出 2 4 10 2 4 2" xfId="31600" xr:uid="{00000000-0005-0000-0000-0000A07B0000}"/>
    <cellStyle name="输出 2 4 10 2 5" xfId="31603" xr:uid="{00000000-0005-0000-0000-0000A37B0000}"/>
    <cellStyle name="输出 2 4 10 2 5 2" xfId="40390" xr:uid="{00000000-0005-0000-0000-0000F69D0000}"/>
    <cellStyle name="输出 2 4 10 2 6" xfId="40391" xr:uid="{00000000-0005-0000-0000-0000F79D0000}"/>
    <cellStyle name="输出 2 4 10 2 7" xfId="40392" xr:uid="{00000000-0005-0000-0000-0000F89D0000}"/>
    <cellStyle name="输出 2 4 10 2 8" xfId="28502" xr:uid="{00000000-0005-0000-0000-0000866F0000}"/>
    <cellStyle name="输出 2 4 10 2 9" xfId="19524" xr:uid="{00000000-0005-0000-0000-0000744C0000}"/>
    <cellStyle name="输出 2 4 10 3" xfId="40393" xr:uid="{00000000-0005-0000-0000-0000F99D0000}"/>
    <cellStyle name="输出 2 4 10 3 2" xfId="22339" xr:uid="{00000000-0005-0000-0000-000073570000}"/>
    <cellStyle name="输出 2 4 10 3 2 2" xfId="22344" xr:uid="{00000000-0005-0000-0000-000078570000}"/>
    <cellStyle name="输出 2 4 10 3 3" xfId="15790" xr:uid="{00000000-0005-0000-0000-0000DE3D0000}"/>
    <cellStyle name="输出 2 4 10 3 3 2" xfId="22353" xr:uid="{00000000-0005-0000-0000-000081570000}"/>
    <cellStyle name="输出 2 4 10 3 4" xfId="22362" xr:uid="{00000000-0005-0000-0000-00008A570000}"/>
    <cellStyle name="输出 2 4 10 3 4 2" xfId="22366" xr:uid="{00000000-0005-0000-0000-00008E570000}"/>
    <cellStyle name="输出 2 4 10 3 5" xfId="18903" xr:uid="{00000000-0005-0000-0000-0000074A0000}"/>
    <cellStyle name="输出 2 4 10 3 5 2" xfId="40394" xr:uid="{00000000-0005-0000-0000-0000FA9D0000}"/>
    <cellStyle name="输出 2 4 10 3 6" xfId="28867" xr:uid="{00000000-0005-0000-0000-0000F3700000}"/>
    <cellStyle name="输出 2 4 10 4" xfId="7193" xr:uid="{00000000-0005-0000-0000-0000491C0000}"/>
    <cellStyle name="输出 2 4 10 4 2" xfId="7198" xr:uid="{00000000-0005-0000-0000-00004E1C0000}"/>
    <cellStyle name="输出 2 4 10 4 2 2" xfId="40396" xr:uid="{00000000-0005-0000-0000-0000FC9D0000}"/>
    <cellStyle name="输出 2 4 10 4 3" xfId="40398" xr:uid="{00000000-0005-0000-0000-0000FE9D0000}"/>
    <cellStyle name="输出 2 4 10 4 3 2" xfId="17806" xr:uid="{00000000-0005-0000-0000-0000BE450000}"/>
    <cellStyle name="输出 2 4 10 4 4" xfId="40400" xr:uid="{00000000-0005-0000-0000-0000009E0000}"/>
    <cellStyle name="输出 2 4 10 4 4 2" xfId="40401" xr:uid="{00000000-0005-0000-0000-0000019E0000}"/>
    <cellStyle name="输出 2 4 10 4 5" xfId="40402" xr:uid="{00000000-0005-0000-0000-0000029E0000}"/>
    <cellStyle name="输出 2 4 10 4 5 2" xfId="40404" xr:uid="{00000000-0005-0000-0000-0000049E0000}"/>
    <cellStyle name="输出 2 4 10 4 6" xfId="21520" xr:uid="{00000000-0005-0000-0000-000040540000}"/>
    <cellStyle name="输出 2 4 10 5" xfId="6648" xr:uid="{00000000-0005-0000-0000-0000281A0000}"/>
    <cellStyle name="输出 2 4 10 5 2" xfId="7206" xr:uid="{00000000-0005-0000-0000-0000561C0000}"/>
    <cellStyle name="输出 2 4 10 5 2 2" xfId="40406" xr:uid="{00000000-0005-0000-0000-0000069E0000}"/>
    <cellStyle name="输出 2 4 10 5 3" xfId="40407" xr:uid="{00000000-0005-0000-0000-0000079E0000}"/>
    <cellStyle name="输出 2 4 10 5 3 2" xfId="11528" xr:uid="{00000000-0005-0000-0000-0000382D0000}"/>
    <cellStyle name="输出 2 4 10 5 4" xfId="40408" xr:uid="{00000000-0005-0000-0000-0000089E0000}"/>
    <cellStyle name="输出 2 4 10 5 4 2" xfId="40410" xr:uid="{00000000-0005-0000-0000-00000A9E0000}"/>
    <cellStyle name="输出 2 4 10 5 5" xfId="40411" xr:uid="{00000000-0005-0000-0000-00000B9E0000}"/>
    <cellStyle name="输出 2 4 10 5 5 2" xfId="40413" xr:uid="{00000000-0005-0000-0000-00000D9E0000}"/>
    <cellStyle name="输出 2 4 10 5 6" xfId="11974" xr:uid="{00000000-0005-0000-0000-0000F62E0000}"/>
    <cellStyle name="输出 2 4 10 6" xfId="7211" xr:uid="{00000000-0005-0000-0000-00005B1C0000}"/>
    <cellStyle name="输出 2 4 10 6 2" xfId="7217" xr:uid="{00000000-0005-0000-0000-0000611C0000}"/>
    <cellStyle name="输出 2 4 10 6 2 2" xfId="33025" xr:uid="{00000000-0005-0000-0000-000031810000}"/>
    <cellStyle name="输出 2 4 10 6 3" xfId="40414" xr:uid="{00000000-0005-0000-0000-00000E9E0000}"/>
    <cellStyle name="输出 2 4 10 6 3 2" xfId="33035" xr:uid="{00000000-0005-0000-0000-00003B810000}"/>
    <cellStyle name="输出 2 4 10 6 4" xfId="40415" xr:uid="{00000000-0005-0000-0000-00000F9E0000}"/>
    <cellStyle name="输出 2 4 10 6 4 2" xfId="33045" xr:uid="{00000000-0005-0000-0000-000045810000}"/>
    <cellStyle name="输出 2 4 10 6 5" xfId="40417" xr:uid="{00000000-0005-0000-0000-0000119E0000}"/>
    <cellStyle name="输出 2 4 10 6 5 2" xfId="40419" xr:uid="{00000000-0005-0000-0000-0000139E0000}"/>
    <cellStyle name="输出 2 4 10 6 6" xfId="21535" xr:uid="{00000000-0005-0000-0000-00004F540000}"/>
    <cellStyle name="输出 2 4 10 7" xfId="7219" xr:uid="{00000000-0005-0000-0000-0000631C0000}"/>
    <cellStyle name="输出 2 4 10 7 2" xfId="7225" xr:uid="{00000000-0005-0000-0000-0000691C0000}"/>
    <cellStyle name="输出 2 4 10 7 2 2" xfId="33125" xr:uid="{00000000-0005-0000-0000-000095810000}"/>
    <cellStyle name="输出 2 4 10 7 3" xfId="40420" xr:uid="{00000000-0005-0000-0000-0000149E0000}"/>
    <cellStyle name="输出 2 4 10 7 3 2" xfId="33132" xr:uid="{00000000-0005-0000-0000-00009C810000}"/>
    <cellStyle name="输出 2 4 10 7 4" xfId="40421" xr:uid="{00000000-0005-0000-0000-0000159E0000}"/>
    <cellStyle name="输出 2 4 10 7 4 2" xfId="33142" xr:uid="{00000000-0005-0000-0000-0000A6810000}"/>
    <cellStyle name="输出 2 4 10 7 5" xfId="40423" xr:uid="{00000000-0005-0000-0000-0000179E0000}"/>
    <cellStyle name="输出 2 4 10 7 5 2" xfId="40425" xr:uid="{00000000-0005-0000-0000-0000199E0000}"/>
    <cellStyle name="输出 2 4 10 7 6" xfId="21559" xr:uid="{00000000-0005-0000-0000-000067540000}"/>
    <cellStyle name="输出 2 4 10 8" xfId="1499" xr:uid="{00000000-0005-0000-0000-00000B060000}"/>
    <cellStyle name="输出 2 4 10 8 2" xfId="40426" xr:uid="{00000000-0005-0000-0000-00001A9E0000}"/>
    <cellStyle name="输出 2 4 10 8 2 2" xfId="33206" xr:uid="{00000000-0005-0000-0000-0000E6810000}"/>
    <cellStyle name="输出 2 4 10 8 3" xfId="40427" xr:uid="{00000000-0005-0000-0000-00001B9E0000}"/>
    <cellStyle name="输出 2 4 10 8 3 2" xfId="33213" xr:uid="{00000000-0005-0000-0000-0000ED810000}"/>
    <cellStyle name="输出 2 4 10 8 4" xfId="40428" xr:uid="{00000000-0005-0000-0000-00001C9E0000}"/>
    <cellStyle name="输出 2 4 10 8 4 2" xfId="33219" xr:uid="{00000000-0005-0000-0000-0000F3810000}"/>
    <cellStyle name="输出 2 4 10 8 5" xfId="30628" xr:uid="{00000000-0005-0000-0000-0000D4770000}"/>
    <cellStyle name="输出 2 4 10 9" xfId="40430" xr:uid="{00000000-0005-0000-0000-00001E9E0000}"/>
    <cellStyle name="输出 2 4 10 9 2" xfId="40431" xr:uid="{00000000-0005-0000-0000-00001F9E0000}"/>
    <cellStyle name="输出 2 4 11" xfId="26191" xr:uid="{00000000-0005-0000-0000-00007F660000}"/>
    <cellStyle name="输出 2 4 11 10" xfId="14413" xr:uid="{00000000-0005-0000-0000-00007D380000}"/>
    <cellStyle name="输出 2 4 11 10 2" xfId="33031" xr:uid="{00000000-0005-0000-0000-000037810000}"/>
    <cellStyle name="输出 2 4 11 11" xfId="33034" xr:uid="{00000000-0005-0000-0000-00003A810000}"/>
    <cellStyle name="输出 2 4 11 11 2" xfId="33038" xr:uid="{00000000-0005-0000-0000-00003E810000}"/>
    <cellStyle name="输出 2 4 11 12" xfId="4573" xr:uid="{00000000-0005-0000-0000-00000D120000}"/>
    <cellStyle name="输出 2 4 11 12 2" xfId="8410" xr:uid="{00000000-0005-0000-0000-00000A210000}"/>
    <cellStyle name="输出 2 4 11 13" xfId="8421" xr:uid="{00000000-0005-0000-0000-000015210000}"/>
    <cellStyle name="输出 2 4 11 14" xfId="8450" xr:uid="{00000000-0005-0000-0000-000032210000}"/>
    <cellStyle name="输出 2 4 11 15" xfId="8462" xr:uid="{00000000-0005-0000-0000-00003E210000}"/>
    <cellStyle name="输出 2 4 11 16" xfId="8470" xr:uid="{00000000-0005-0000-0000-000046210000}"/>
    <cellStyle name="输出 2 4 11 2" xfId="26195" xr:uid="{00000000-0005-0000-0000-000083660000}"/>
    <cellStyle name="输出 2 4 11 2 2" xfId="31672" xr:uid="{00000000-0005-0000-0000-0000E87B0000}"/>
    <cellStyle name="输出 2 4 11 2 2 2" xfId="31673" xr:uid="{00000000-0005-0000-0000-0000E97B0000}"/>
    <cellStyle name="输出 2 4 11 2 3" xfId="31677" xr:uid="{00000000-0005-0000-0000-0000ED7B0000}"/>
    <cellStyle name="输出 2 4 11 2 3 2" xfId="31678" xr:uid="{00000000-0005-0000-0000-0000EE7B0000}"/>
    <cellStyle name="输出 2 4 11 2 4" xfId="31682" xr:uid="{00000000-0005-0000-0000-0000F27B0000}"/>
    <cellStyle name="输出 2 4 11 2 4 2" xfId="31684" xr:uid="{00000000-0005-0000-0000-0000F47B0000}"/>
    <cellStyle name="输出 2 4 11 2 5" xfId="31688" xr:uid="{00000000-0005-0000-0000-0000F87B0000}"/>
    <cellStyle name="输出 2 4 11 2 5 2" xfId="1540" xr:uid="{00000000-0005-0000-0000-000034060000}"/>
    <cellStyle name="输出 2 4 11 2 6" xfId="40432" xr:uid="{00000000-0005-0000-0000-0000209E0000}"/>
    <cellStyle name="输出 2 4 11 3" xfId="40433" xr:uid="{00000000-0005-0000-0000-0000219E0000}"/>
    <cellStyle name="输出 2 4 11 3 2" xfId="31694" xr:uid="{00000000-0005-0000-0000-0000FE7B0000}"/>
    <cellStyle name="输出 2 4 11 3 2 2" xfId="31699" xr:uid="{00000000-0005-0000-0000-0000037C0000}"/>
    <cellStyle name="输出 2 4 11 3 3" xfId="31701" xr:uid="{00000000-0005-0000-0000-0000057C0000}"/>
    <cellStyle name="输出 2 4 11 3 3 2" xfId="31705" xr:uid="{00000000-0005-0000-0000-0000097C0000}"/>
    <cellStyle name="输出 2 4 11 3 4" xfId="31707" xr:uid="{00000000-0005-0000-0000-00000B7C0000}"/>
    <cellStyle name="输出 2 4 11 3 4 2" xfId="40434" xr:uid="{00000000-0005-0000-0000-0000229E0000}"/>
    <cellStyle name="输出 2 4 11 3 5" xfId="38342" xr:uid="{00000000-0005-0000-0000-0000F6950000}"/>
    <cellStyle name="输出 2 4 11 3 5 2" xfId="40436" xr:uid="{00000000-0005-0000-0000-0000249E0000}"/>
    <cellStyle name="输出 2 4 11 3 6" xfId="40438" xr:uid="{00000000-0005-0000-0000-0000269E0000}"/>
    <cellStyle name="输出 2 4 11 4" xfId="7240" xr:uid="{00000000-0005-0000-0000-0000781C0000}"/>
    <cellStyle name="输出 2 4 11 4 2" xfId="7248" xr:uid="{00000000-0005-0000-0000-0000801C0000}"/>
    <cellStyle name="输出 2 4 11 4 2 2" xfId="40439" xr:uid="{00000000-0005-0000-0000-0000279E0000}"/>
    <cellStyle name="输出 2 4 11 4 3" xfId="40440" xr:uid="{00000000-0005-0000-0000-0000289E0000}"/>
    <cellStyle name="输出 2 4 11 4 3 2" xfId="40441" xr:uid="{00000000-0005-0000-0000-0000299E0000}"/>
    <cellStyle name="输出 2 4 11 4 4" xfId="40442" xr:uid="{00000000-0005-0000-0000-00002A9E0000}"/>
    <cellStyle name="输出 2 4 11 4 4 2" xfId="40443" xr:uid="{00000000-0005-0000-0000-00002B9E0000}"/>
    <cellStyle name="输出 2 4 11 4 5" xfId="38345" xr:uid="{00000000-0005-0000-0000-0000F9950000}"/>
    <cellStyle name="输出 2 4 11 4 5 2" xfId="40444" xr:uid="{00000000-0005-0000-0000-00002C9E0000}"/>
    <cellStyle name="输出 2 4 11 4 6" xfId="21642" xr:uid="{00000000-0005-0000-0000-0000BA540000}"/>
    <cellStyle name="输出 2 4 11 5" xfId="6656" xr:uid="{00000000-0005-0000-0000-0000301A0000}"/>
    <cellStyle name="输出 2 4 11 5 2" xfId="7252" xr:uid="{00000000-0005-0000-0000-0000841C0000}"/>
    <cellStyle name="输出 2 4 11 5 2 2" xfId="40445" xr:uid="{00000000-0005-0000-0000-00002D9E0000}"/>
    <cellStyle name="输出 2 4 11 5 3" xfId="40446" xr:uid="{00000000-0005-0000-0000-00002E9E0000}"/>
    <cellStyle name="输出 2 4 11 5 3 2" xfId="40447" xr:uid="{00000000-0005-0000-0000-00002F9E0000}"/>
    <cellStyle name="输出 2 4 11 5 4" xfId="40448" xr:uid="{00000000-0005-0000-0000-0000309E0000}"/>
    <cellStyle name="输出 2 4 11 5 4 2" xfId="40450" xr:uid="{00000000-0005-0000-0000-0000329E0000}"/>
    <cellStyle name="输出 2 4 11 5 5" xfId="40451" xr:uid="{00000000-0005-0000-0000-0000339E0000}"/>
    <cellStyle name="输出 2 4 11 5 5 2" xfId="40453" xr:uid="{00000000-0005-0000-0000-0000359E0000}"/>
    <cellStyle name="输出 2 4 11 5 6" xfId="21645" xr:uid="{00000000-0005-0000-0000-0000BD540000}"/>
    <cellStyle name="输出 2 4 11 6" xfId="3732" xr:uid="{00000000-0005-0000-0000-0000C40E0000}"/>
    <cellStyle name="输出 2 4 11 6 2" xfId="7255" xr:uid="{00000000-0005-0000-0000-0000871C0000}"/>
    <cellStyle name="输出 2 4 11 6 2 2" xfId="23609" xr:uid="{00000000-0005-0000-0000-0000695C0000}"/>
    <cellStyle name="输出 2 4 11 6 3" xfId="23619" xr:uid="{00000000-0005-0000-0000-0000735C0000}"/>
    <cellStyle name="输出 2 4 11 6 3 2" xfId="14083" xr:uid="{00000000-0005-0000-0000-000033370000}"/>
    <cellStyle name="输出 2 4 11 6 4" xfId="23626" xr:uid="{00000000-0005-0000-0000-00007A5C0000}"/>
    <cellStyle name="输出 2 4 11 6 4 2" xfId="33872" xr:uid="{00000000-0005-0000-0000-000080840000}"/>
    <cellStyle name="输出 2 4 11 6 5" xfId="24743" xr:uid="{00000000-0005-0000-0000-0000D7600000}"/>
    <cellStyle name="输出 2 4 11 6 5 2" xfId="40454" xr:uid="{00000000-0005-0000-0000-0000369E0000}"/>
    <cellStyle name="输出 2 4 11 6 6" xfId="21648" xr:uid="{00000000-0005-0000-0000-0000C0540000}"/>
    <cellStyle name="输出 2 4 11 7" xfId="7263" xr:uid="{00000000-0005-0000-0000-00008F1C0000}"/>
    <cellStyle name="输出 2 4 11 7 2" xfId="7268" xr:uid="{00000000-0005-0000-0000-0000941C0000}"/>
    <cellStyle name="输出 2 4 11 7 2 2" xfId="33907" xr:uid="{00000000-0005-0000-0000-0000A3840000}"/>
    <cellStyle name="输出 2 4 11 7 3" xfId="33310" xr:uid="{00000000-0005-0000-0000-00004E820000}"/>
    <cellStyle name="输出 2 4 11 7 3 2" xfId="21731" xr:uid="{00000000-0005-0000-0000-000013550000}"/>
    <cellStyle name="输出 2 4 11 7 4" xfId="40455" xr:uid="{00000000-0005-0000-0000-0000379E0000}"/>
    <cellStyle name="输出 2 4 11 7 4 2" xfId="33912" xr:uid="{00000000-0005-0000-0000-0000A8840000}"/>
    <cellStyle name="输出 2 4 11 7 5" xfId="40457" xr:uid="{00000000-0005-0000-0000-0000399E0000}"/>
    <cellStyle name="输出 2 4 11 7 5 2" xfId="40458" xr:uid="{00000000-0005-0000-0000-00003A9E0000}"/>
    <cellStyle name="输出 2 4 11 7 6" xfId="21654" xr:uid="{00000000-0005-0000-0000-0000C6540000}"/>
    <cellStyle name="输出 2 4 11 8" xfId="2489" xr:uid="{00000000-0005-0000-0000-0000E9090000}"/>
    <cellStyle name="输出 2 4 11 8 2" xfId="40459" xr:uid="{00000000-0005-0000-0000-00003B9E0000}"/>
    <cellStyle name="输出 2 4 11 8 2 2" xfId="33953" xr:uid="{00000000-0005-0000-0000-0000D1840000}"/>
    <cellStyle name="输出 2 4 11 8 3" xfId="33313" xr:uid="{00000000-0005-0000-0000-000051820000}"/>
    <cellStyle name="输出 2 4 11 8 3 2" xfId="33962" xr:uid="{00000000-0005-0000-0000-0000DA840000}"/>
    <cellStyle name="输出 2 4 11 8 4" xfId="40461" xr:uid="{00000000-0005-0000-0000-00003D9E0000}"/>
    <cellStyle name="输出 2 4 11 8 4 2" xfId="33971" xr:uid="{00000000-0005-0000-0000-0000E3840000}"/>
    <cellStyle name="输出 2 4 11 8 5" xfId="30637" xr:uid="{00000000-0005-0000-0000-0000DD770000}"/>
    <cellStyle name="输出 2 4 11 9" xfId="40463" xr:uid="{00000000-0005-0000-0000-00003F9E0000}"/>
    <cellStyle name="输出 2 4 11 9 2" xfId="40466" xr:uid="{00000000-0005-0000-0000-0000429E0000}"/>
    <cellStyle name="输出 2 4 12" xfId="26199" xr:uid="{00000000-0005-0000-0000-000087660000}"/>
    <cellStyle name="输出 2 4 12 2" xfId="40468" xr:uid="{00000000-0005-0000-0000-0000449E0000}"/>
    <cellStyle name="输出 2 4 12 2 2" xfId="20395" xr:uid="{00000000-0005-0000-0000-0000DB4F0000}"/>
    <cellStyle name="输出 2 4 12 3" xfId="40469" xr:uid="{00000000-0005-0000-0000-0000459E0000}"/>
    <cellStyle name="输出 2 4 12 3 2" xfId="31782" xr:uid="{00000000-0005-0000-0000-0000567C0000}"/>
    <cellStyle name="输出 2 4 12 4" xfId="7276" xr:uid="{00000000-0005-0000-0000-00009C1C0000}"/>
    <cellStyle name="输出 2 4 12 4 2" xfId="7278" xr:uid="{00000000-0005-0000-0000-00009E1C0000}"/>
    <cellStyle name="输出 2 4 12 5" xfId="7281" xr:uid="{00000000-0005-0000-0000-0000A11C0000}"/>
    <cellStyle name="输出 2 4 12 5 2" xfId="261" xr:uid="{00000000-0005-0000-0000-00001F010000}"/>
    <cellStyle name="输出 2 4 12 6" xfId="635" xr:uid="{00000000-0005-0000-0000-0000AB020000}"/>
    <cellStyle name="输出 2 4 12 7" xfId="7292" xr:uid="{00000000-0005-0000-0000-0000AC1C0000}"/>
    <cellStyle name="输出 2 4 12 8" xfId="40470" xr:uid="{00000000-0005-0000-0000-0000469E0000}"/>
    <cellStyle name="输出 2 4 12 9" xfId="40472" xr:uid="{00000000-0005-0000-0000-0000489E0000}"/>
    <cellStyle name="输出 2 4 13" xfId="26204" xr:uid="{00000000-0005-0000-0000-00008C660000}"/>
    <cellStyle name="输出 2 4 13 2" xfId="40475" xr:uid="{00000000-0005-0000-0000-00004B9E0000}"/>
    <cellStyle name="输出 2 4 13 2 2" xfId="31907" xr:uid="{00000000-0005-0000-0000-0000D37C0000}"/>
    <cellStyle name="输出 2 4 13 3" xfId="40476" xr:uid="{00000000-0005-0000-0000-00004C9E0000}"/>
    <cellStyle name="输出 2 4 13 3 2" xfId="31930" xr:uid="{00000000-0005-0000-0000-0000EA7C0000}"/>
    <cellStyle name="输出 2 4 13 4" xfId="13115" xr:uid="{00000000-0005-0000-0000-00006B330000}"/>
    <cellStyle name="输出 2 4 13 4 2" xfId="40477" xr:uid="{00000000-0005-0000-0000-00004D9E0000}"/>
    <cellStyle name="输出 2 4 13 5" xfId="40478" xr:uid="{00000000-0005-0000-0000-00004E9E0000}"/>
    <cellStyle name="输出 2 4 13 5 2" xfId="40479" xr:uid="{00000000-0005-0000-0000-00004F9E0000}"/>
    <cellStyle name="输出 2 4 13 6" xfId="40480" xr:uid="{00000000-0005-0000-0000-0000509E0000}"/>
    <cellStyle name="输出 2 4 14" xfId="26207" xr:uid="{00000000-0005-0000-0000-00008F660000}"/>
    <cellStyle name="输出 2 4 14 2" xfId="40481" xr:uid="{00000000-0005-0000-0000-0000519E0000}"/>
    <cellStyle name="输出 2 4 14 2 2" xfId="40482" xr:uid="{00000000-0005-0000-0000-0000529E0000}"/>
    <cellStyle name="输出 2 4 14 3" xfId="34745" xr:uid="{00000000-0005-0000-0000-0000E9870000}"/>
    <cellStyle name="输出 2 4 14 3 2" xfId="40483" xr:uid="{00000000-0005-0000-0000-0000539E0000}"/>
    <cellStyle name="输出 2 4 14 4" xfId="13117" xr:uid="{00000000-0005-0000-0000-00006D330000}"/>
    <cellStyle name="输出 2 4 14 4 2" xfId="40484" xr:uid="{00000000-0005-0000-0000-0000549E0000}"/>
    <cellStyle name="输出 2 4 14 5" xfId="40485" xr:uid="{00000000-0005-0000-0000-0000559E0000}"/>
    <cellStyle name="输出 2 4 14 5 2" xfId="40486" xr:uid="{00000000-0005-0000-0000-0000569E0000}"/>
    <cellStyle name="输出 2 4 14 6" xfId="40487" xr:uid="{00000000-0005-0000-0000-0000579E0000}"/>
    <cellStyle name="输出 2 4 15" xfId="26210" xr:uid="{00000000-0005-0000-0000-000092660000}"/>
    <cellStyle name="输出 2 4 15 2" xfId="27971" xr:uid="{00000000-0005-0000-0000-0000736D0000}"/>
    <cellStyle name="输出 2 4 15 2 2" xfId="27976" xr:uid="{00000000-0005-0000-0000-0000786D0000}"/>
    <cellStyle name="输出 2 4 15 3" xfId="12596" xr:uid="{00000000-0005-0000-0000-000064310000}"/>
    <cellStyle name="输出 2 4 15 3 2" xfId="27979" xr:uid="{00000000-0005-0000-0000-00007B6D0000}"/>
    <cellStyle name="输出 2 4 15 4" xfId="13120" xr:uid="{00000000-0005-0000-0000-000070330000}"/>
    <cellStyle name="输出 2 4 15 4 2" xfId="27982" xr:uid="{00000000-0005-0000-0000-00007E6D0000}"/>
    <cellStyle name="输出 2 4 15 5" xfId="27984" xr:uid="{00000000-0005-0000-0000-0000806D0000}"/>
    <cellStyle name="输出 2 4 15 5 2" xfId="27986" xr:uid="{00000000-0005-0000-0000-0000826D0000}"/>
    <cellStyle name="输出 2 4 15 6" xfId="15994" xr:uid="{00000000-0005-0000-0000-0000AA3E0000}"/>
    <cellStyle name="输出 2 4 16" xfId="27989" xr:uid="{00000000-0005-0000-0000-0000856D0000}"/>
    <cellStyle name="输出 2 4 16 2" xfId="27992" xr:uid="{00000000-0005-0000-0000-0000886D0000}"/>
    <cellStyle name="输出 2 4 16 2 2" xfId="27996" xr:uid="{00000000-0005-0000-0000-00008C6D0000}"/>
    <cellStyle name="输出 2 4 16 3" xfId="12602" xr:uid="{00000000-0005-0000-0000-00006A310000}"/>
    <cellStyle name="输出 2 4 16 3 2" xfId="27998" xr:uid="{00000000-0005-0000-0000-00008E6D0000}"/>
    <cellStyle name="输出 2 4 16 4" xfId="28001" xr:uid="{00000000-0005-0000-0000-0000916D0000}"/>
    <cellStyle name="输出 2 4 16 4 2" xfId="28004" xr:uid="{00000000-0005-0000-0000-0000946D0000}"/>
    <cellStyle name="输出 2 4 16 5" xfId="28006" xr:uid="{00000000-0005-0000-0000-0000966D0000}"/>
    <cellStyle name="输出 2 4 16 5 2" xfId="28008" xr:uid="{00000000-0005-0000-0000-0000986D0000}"/>
    <cellStyle name="输出 2 4 16 6" xfId="16035" xr:uid="{00000000-0005-0000-0000-0000D33E0000}"/>
    <cellStyle name="输出 2 4 17" xfId="26173" xr:uid="{00000000-0005-0000-0000-00006D660000}"/>
    <cellStyle name="输出 2 4 17 2" xfId="28010" xr:uid="{00000000-0005-0000-0000-00009A6D0000}"/>
    <cellStyle name="输出 2 4 17 2 2" xfId="21752" xr:uid="{00000000-0005-0000-0000-000028550000}"/>
    <cellStyle name="输出 2 4 17 3" xfId="12624" xr:uid="{00000000-0005-0000-0000-000080310000}"/>
    <cellStyle name="输出 2 4 17 3 2" xfId="28013" xr:uid="{00000000-0005-0000-0000-00009D6D0000}"/>
    <cellStyle name="输出 2 4 17 4" xfId="28016" xr:uid="{00000000-0005-0000-0000-0000A06D0000}"/>
    <cellStyle name="输出 2 4 17 4 2" xfId="28019" xr:uid="{00000000-0005-0000-0000-0000A36D0000}"/>
    <cellStyle name="输出 2 4 17 5" xfId="28021" xr:uid="{00000000-0005-0000-0000-0000A56D0000}"/>
    <cellStyle name="输出 2 4 17 5 2" xfId="28023" xr:uid="{00000000-0005-0000-0000-0000A76D0000}"/>
    <cellStyle name="输出 2 4 17 6" xfId="28025" xr:uid="{00000000-0005-0000-0000-0000A96D0000}"/>
    <cellStyle name="输出 2 4 18" xfId="28027" xr:uid="{00000000-0005-0000-0000-0000AB6D0000}"/>
    <cellStyle name="输出 2 4 18 2" xfId="28031" xr:uid="{00000000-0005-0000-0000-0000AF6D0000}"/>
    <cellStyle name="输出 2 4 18 2 2" xfId="28036" xr:uid="{00000000-0005-0000-0000-0000B46D0000}"/>
    <cellStyle name="输出 2 4 18 3" xfId="12647" xr:uid="{00000000-0005-0000-0000-000097310000}"/>
    <cellStyle name="输出 2 4 18 3 2" xfId="28040" xr:uid="{00000000-0005-0000-0000-0000B86D0000}"/>
    <cellStyle name="输出 2 4 18 4" xfId="5095" xr:uid="{00000000-0005-0000-0000-000017140000}"/>
    <cellStyle name="输出 2 4 18 4 2" xfId="28043" xr:uid="{00000000-0005-0000-0000-0000BB6D0000}"/>
    <cellStyle name="输出 2 4 18 5" xfId="28046" xr:uid="{00000000-0005-0000-0000-0000BE6D0000}"/>
    <cellStyle name="输出 2 4 18 5 2" xfId="28048" xr:uid="{00000000-0005-0000-0000-0000C06D0000}"/>
    <cellStyle name="输出 2 4 18 6" xfId="28051" xr:uid="{00000000-0005-0000-0000-0000C36D0000}"/>
    <cellStyle name="输出 2 4 19" xfId="28053" xr:uid="{00000000-0005-0000-0000-0000C56D0000}"/>
    <cellStyle name="输出 2 4 19 2" xfId="28058" xr:uid="{00000000-0005-0000-0000-0000CA6D0000}"/>
    <cellStyle name="输出 2 4 19 2 2" xfId="28062" xr:uid="{00000000-0005-0000-0000-0000CE6D0000}"/>
    <cellStyle name="输出 2 4 19 3" xfId="28067" xr:uid="{00000000-0005-0000-0000-0000D36D0000}"/>
    <cellStyle name="输出 2 4 19 3 2" xfId="28070" xr:uid="{00000000-0005-0000-0000-0000D66D0000}"/>
    <cellStyle name="输出 2 4 19 4" xfId="5112" xr:uid="{00000000-0005-0000-0000-000028140000}"/>
    <cellStyle name="输出 2 4 19 4 2" xfId="28073" xr:uid="{00000000-0005-0000-0000-0000D96D0000}"/>
    <cellStyle name="输出 2 4 19 5" xfId="28076" xr:uid="{00000000-0005-0000-0000-0000DC6D0000}"/>
    <cellStyle name="输出 2 4 2" xfId="40488" xr:uid="{00000000-0005-0000-0000-0000589E0000}"/>
    <cellStyle name="输出 2 4 2 10" xfId="40490" xr:uid="{00000000-0005-0000-0000-00005A9E0000}"/>
    <cellStyle name="输出 2 4 2 10 2" xfId="10722" xr:uid="{00000000-0005-0000-0000-0000122A0000}"/>
    <cellStyle name="输出 2 4 2 11" xfId="10787" xr:uid="{00000000-0005-0000-0000-0000532A0000}"/>
    <cellStyle name="输出 2 4 2 11 2" xfId="10795" xr:uid="{00000000-0005-0000-0000-00005B2A0000}"/>
    <cellStyle name="输出 2 4 2 12" xfId="40491" xr:uid="{00000000-0005-0000-0000-00005B9E0000}"/>
    <cellStyle name="输出 2 4 2 12 2" xfId="36498" xr:uid="{00000000-0005-0000-0000-0000C28E0000}"/>
    <cellStyle name="输出 2 4 2 13" xfId="40493" xr:uid="{00000000-0005-0000-0000-00005D9E0000}"/>
    <cellStyle name="输出 2 4 2 14" xfId="28750" xr:uid="{00000000-0005-0000-0000-00007E700000}"/>
    <cellStyle name="输出 2 4 2 15" xfId="40494" xr:uid="{00000000-0005-0000-0000-00005E9E0000}"/>
    <cellStyle name="输出 2 4 2 16" xfId="36271" xr:uid="{00000000-0005-0000-0000-0000DF8D0000}"/>
    <cellStyle name="输出 2 4 2 2" xfId="26226" xr:uid="{00000000-0005-0000-0000-0000A2660000}"/>
    <cellStyle name="输出 2 4 2 2 2" xfId="17500" xr:uid="{00000000-0005-0000-0000-00008C440000}"/>
    <cellStyle name="输出 2 4 2 2 2 2" xfId="2401" xr:uid="{00000000-0005-0000-0000-000091090000}"/>
    <cellStyle name="输出 2 4 2 2 3" xfId="15354" xr:uid="{00000000-0005-0000-0000-00002A3C0000}"/>
    <cellStyle name="输出 2 4 2 2 3 2" xfId="24843" xr:uid="{00000000-0005-0000-0000-00003B610000}"/>
    <cellStyle name="输出 2 4 2 2 4" xfId="17503" xr:uid="{00000000-0005-0000-0000-00008F440000}"/>
    <cellStyle name="输出 2 4 2 2 4 2" xfId="35954" xr:uid="{00000000-0005-0000-0000-0000A28C0000}"/>
    <cellStyle name="输出 2 4 2 2 5" xfId="8967" xr:uid="{00000000-0005-0000-0000-000037230000}"/>
    <cellStyle name="输出 2 4 2 2 5 2" xfId="36002" xr:uid="{00000000-0005-0000-0000-0000D28C0000}"/>
    <cellStyle name="输出 2 4 2 2 6" xfId="17509" xr:uid="{00000000-0005-0000-0000-000095440000}"/>
    <cellStyle name="输出 2 4 2 2 7" xfId="16380" xr:uid="{00000000-0005-0000-0000-00002C400000}"/>
    <cellStyle name="输出 2 4 2 2 8" xfId="17949" xr:uid="{00000000-0005-0000-0000-00004D460000}"/>
    <cellStyle name="输出 2 4 2 2 9" xfId="13727" xr:uid="{00000000-0005-0000-0000-0000CF350000}"/>
    <cellStyle name="输出 2 4 2 3" xfId="26234" xr:uid="{00000000-0005-0000-0000-0000AA660000}"/>
    <cellStyle name="输出 2 4 2 3 2" xfId="17331" xr:uid="{00000000-0005-0000-0000-0000E3430000}"/>
    <cellStyle name="输出 2 4 2 3 2 2" xfId="17517" xr:uid="{00000000-0005-0000-0000-00009D440000}"/>
    <cellStyle name="输出 2 4 2 3 3" xfId="15362" xr:uid="{00000000-0005-0000-0000-0000323C0000}"/>
    <cellStyle name="输出 2 4 2 3 3 2" xfId="25517" xr:uid="{00000000-0005-0000-0000-0000DD630000}"/>
    <cellStyle name="输出 2 4 2 3 4" xfId="35509" xr:uid="{00000000-0005-0000-0000-0000E58A0000}"/>
    <cellStyle name="输出 2 4 2 3 4 2" xfId="35512" xr:uid="{00000000-0005-0000-0000-0000E88A0000}"/>
    <cellStyle name="输出 2 4 2 3 5" xfId="35515" xr:uid="{00000000-0005-0000-0000-0000EB8A0000}"/>
    <cellStyle name="输出 2 4 2 3 5 2" xfId="35519" xr:uid="{00000000-0005-0000-0000-0000EF8A0000}"/>
    <cellStyle name="输出 2 4 2 3 6" xfId="35522" xr:uid="{00000000-0005-0000-0000-0000F28A0000}"/>
    <cellStyle name="输出 2 4 2 4" xfId="26239" xr:uid="{00000000-0005-0000-0000-0000AF660000}"/>
    <cellStyle name="输出 2 4 2 4 2" xfId="17533" xr:uid="{00000000-0005-0000-0000-0000AD440000}"/>
    <cellStyle name="输出 2 4 2 4 2 2" xfId="17536" xr:uid="{00000000-0005-0000-0000-0000B0440000}"/>
    <cellStyle name="输出 2 4 2 4 3" xfId="15371" xr:uid="{00000000-0005-0000-0000-00003B3C0000}"/>
    <cellStyle name="输出 2 4 2 4 3 2" xfId="36669" xr:uid="{00000000-0005-0000-0000-00006D8F0000}"/>
    <cellStyle name="输出 2 4 2 4 4" xfId="36721" xr:uid="{00000000-0005-0000-0000-0000A18F0000}"/>
    <cellStyle name="输出 2 4 2 4 4 2" xfId="36732" xr:uid="{00000000-0005-0000-0000-0000AC8F0000}"/>
    <cellStyle name="输出 2 4 2 4 5" xfId="36783" xr:uid="{00000000-0005-0000-0000-0000DF8F0000}"/>
    <cellStyle name="输出 2 4 2 4 5 2" xfId="36792" xr:uid="{00000000-0005-0000-0000-0000E88F0000}"/>
    <cellStyle name="输出 2 4 2 4 6" xfId="36846" xr:uid="{00000000-0005-0000-0000-00001E900000}"/>
    <cellStyle name="输出 2 4 2 5" xfId="40496" xr:uid="{00000000-0005-0000-0000-0000609E0000}"/>
    <cellStyle name="输出 2 4 2 5 2" xfId="17552" xr:uid="{00000000-0005-0000-0000-0000C0440000}"/>
    <cellStyle name="输出 2 4 2 5 2 2" xfId="12453" xr:uid="{00000000-0005-0000-0000-0000D5300000}"/>
    <cellStyle name="输出 2 4 2 5 3" xfId="15378" xr:uid="{00000000-0005-0000-0000-0000423C0000}"/>
    <cellStyle name="输出 2 4 2 5 3 2" xfId="37084" xr:uid="{00000000-0005-0000-0000-00000C910000}"/>
    <cellStyle name="输出 2 4 2 5 4" xfId="37163" xr:uid="{00000000-0005-0000-0000-00005B910000}"/>
    <cellStyle name="输出 2 4 2 5 4 2" xfId="37173" xr:uid="{00000000-0005-0000-0000-000065910000}"/>
    <cellStyle name="输出 2 4 2 5 5" xfId="37243" xr:uid="{00000000-0005-0000-0000-0000AB910000}"/>
    <cellStyle name="输出 2 4 2 5 5 2" xfId="37255" xr:uid="{00000000-0005-0000-0000-0000B7910000}"/>
    <cellStyle name="输出 2 4 2 5 6" xfId="37332" xr:uid="{00000000-0005-0000-0000-000004920000}"/>
    <cellStyle name="输出 2 4 2 6" xfId="24038" xr:uid="{00000000-0005-0000-0000-0000165E0000}"/>
    <cellStyle name="输出 2 4 2 6 2" xfId="17563" xr:uid="{00000000-0005-0000-0000-0000CB440000}"/>
    <cellStyle name="输出 2 4 2 6 2 2" xfId="17565" xr:uid="{00000000-0005-0000-0000-0000CD440000}"/>
    <cellStyle name="输出 2 4 2 6 3" xfId="17567" xr:uid="{00000000-0005-0000-0000-0000CF440000}"/>
    <cellStyle name="输出 2 4 2 6 3 2" xfId="40497" xr:uid="{00000000-0005-0000-0000-0000619E0000}"/>
    <cellStyle name="输出 2 4 2 6 4" xfId="31277" xr:uid="{00000000-0005-0000-0000-00005D7A0000}"/>
    <cellStyle name="输出 2 4 2 6 4 2" xfId="40498" xr:uid="{00000000-0005-0000-0000-0000629E0000}"/>
    <cellStyle name="输出 2 4 2 6 5" xfId="40499" xr:uid="{00000000-0005-0000-0000-0000639E0000}"/>
    <cellStyle name="输出 2 4 2 6 5 2" xfId="40500" xr:uid="{00000000-0005-0000-0000-0000649E0000}"/>
    <cellStyle name="输出 2 4 2 6 6" xfId="40502" xr:uid="{00000000-0005-0000-0000-0000669E0000}"/>
    <cellStyle name="输出 2 4 2 7" xfId="40505" xr:uid="{00000000-0005-0000-0000-0000699E0000}"/>
    <cellStyle name="输出 2 4 2 7 2" xfId="17585" xr:uid="{00000000-0005-0000-0000-0000E1440000}"/>
    <cellStyle name="输出 2 4 2 7 2 2" xfId="17589" xr:uid="{00000000-0005-0000-0000-0000E5440000}"/>
    <cellStyle name="输出 2 4 2 7 3" xfId="17591" xr:uid="{00000000-0005-0000-0000-0000E7440000}"/>
    <cellStyle name="输出 2 4 2 7 3 2" xfId="25791" xr:uid="{00000000-0005-0000-0000-0000EF640000}"/>
    <cellStyle name="输出 2 4 2 7 4" xfId="31283" xr:uid="{00000000-0005-0000-0000-0000637A0000}"/>
    <cellStyle name="输出 2 4 2 7 4 2" xfId="40506" xr:uid="{00000000-0005-0000-0000-00006A9E0000}"/>
    <cellStyle name="输出 2 4 2 7 5" xfId="40507" xr:uid="{00000000-0005-0000-0000-00006B9E0000}"/>
    <cellStyle name="输出 2 4 2 7 5 2" xfId="40508" xr:uid="{00000000-0005-0000-0000-00006C9E0000}"/>
    <cellStyle name="输出 2 4 2 7 6" xfId="40509" xr:uid="{00000000-0005-0000-0000-00006D9E0000}"/>
    <cellStyle name="输出 2 4 2 8" xfId="40510" xr:uid="{00000000-0005-0000-0000-00006E9E0000}"/>
    <cellStyle name="输出 2 4 2 8 2" xfId="17612" xr:uid="{00000000-0005-0000-0000-0000FC440000}"/>
    <cellStyle name="输出 2 4 2 8 2 2" xfId="17618" xr:uid="{00000000-0005-0000-0000-000002450000}"/>
    <cellStyle name="输出 2 4 2 8 3" xfId="17622" xr:uid="{00000000-0005-0000-0000-000006450000}"/>
    <cellStyle name="输出 2 4 2 8 3 2" xfId="21415" xr:uid="{00000000-0005-0000-0000-0000D7530000}"/>
    <cellStyle name="输出 2 4 2 8 4" xfId="31288" xr:uid="{00000000-0005-0000-0000-0000687A0000}"/>
    <cellStyle name="输出 2 4 2 8 4 2" xfId="19292" xr:uid="{00000000-0005-0000-0000-00008C4B0000}"/>
    <cellStyle name="输出 2 4 2 8 5" xfId="35722" xr:uid="{00000000-0005-0000-0000-0000BA8B0000}"/>
    <cellStyle name="输出 2 4 2 9" xfId="40511" xr:uid="{00000000-0005-0000-0000-00006F9E0000}"/>
    <cellStyle name="输出 2 4 2 9 2" xfId="17633" xr:uid="{00000000-0005-0000-0000-000011450000}"/>
    <cellStyle name="输出 2 4 20" xfId="26211" xr:uid="{00000000-0005-0000-0000-000093660000}"/>
    <cellStyle name="输出 2 4 20 2" xfId="27972" xr:uid="{00000000-0005-0000-0000-0000746D0000}"/>
    <cellStyle name="输出 2 4 21" xfId="27990" xr:uid="{00000000-0005-0000-0000-0000866D0000}"/>
    <cellStyle name="输出 2 4 21 2" xfId="27993" xr:uid="{00000000-0005-0000-0000-0000896D0000}"/>
    <cellStyle name="输出 2 4 22" xfId="26174" xr:uid="{00000000-0005-0000-0000-00006E660000}"/>
    <cellStyle name="输出 2 4 22 2" xfId="28011" xr:uid="{00000000-0005-0000-0000-00009B6D0000}"/>
    <cellStyle name="输出 2 4 23" xfId="28028" xr:uid="{00000000-0005-0000-0000-0000AC6D0000}"/>
    <cellStyle name="输出 2 4 23 2" xfId="28032" xr:uid="{00000000-0005-0000-0000-0000B06D0000}"/>
    <cellStyle name="输出 2 4 24" xfId="28054" xr:uid="{00000000-0005-0000-0000-0000C66D0000}"/>
    <cellStyle name="输出 2 4 25" xfId="28080" xr:uid="{00000000-0005-0000-0000-0000E06D0000}"/>
    <cellStyle name="输出 2 4 26" xfId="212" xr:uid="{00000000-0005-0000-0000-0000E6000000}"/>
    <cellStyle name="输出 2 4 27" xfId="13448" xr:uid="{00000000-0005-0000-0000-0000B8340000}"/>
    <cellStyle name="输出 2 4 3" xfId="39439" xr:uid="{00000000-0005-0000-0000-00003F9A0000}"/>
    <cellStyle name="输出 2 4 3 10" xfId="40512" xr:uid="{00000000-0005-0000-0000-0000709E0000}"/>
    <cellStyle name="输出 2 4 3 10 2" xfId="40513" xr:uid="{00000000-0005-0000-0000-0000719E0000}"/>
    <cellStyle name="输出 2 4 3 11" xfId="1362" xr:uid="{00000000-0005-0000-0000-000082050000}"/>
    <cellStyle name="输出 2 4 3 11 2" xfId="40515" xr:uid="{00000000-0005-0000-0000-0000739E0000}"/>
    <cellStyle name="输出 2 4 3 12" xfId="40517" xr:uid="{00000000-0005-0000-0000-0000759E0000}"/>
    <cellStyle name="输出 2 4 3 12 2" xfId="40518" xr:uid="{00000000-0005-0000-0000-0000769E0000}"/>
    <cellStyle name="输出 2 4 3 13" xfId="15604" xr:uid="{00000000-0005-0000-0000-0000243D0000}"/>
    <cellStyle name="输出 2 4 3 14" xfId="40520" xr:uid="{00000000-0005-0000-0000-0000789E0000}"/>
    <cellStyle name="输出 2 4 3 15" xfId="6403" xr:uid="{00000000-0005-0000-0000-000033190000}"/>
    <cellStyle name="输出 2 4 3 16" xfId="40522" xr:uid="{00000000-0005-0000-0000-00007A9E0000}"/>
    <cellStyle name="输出 2 4 3 2" xfId="30211" xr:uid="{00000000-0005-0000-0000-000033760000}"/>
    <cellStyle name="输出 2 4 3 2 2" xfId="30213" xr:uid="{00000000-0005-0000-0000-000035760000}"/>
    <cellStyle name="输出 2 4 3 2 2 2" xfId="40525" xr:uid="{00000000-0005-0000-0000-00007D9E0000}"/>
    <cellStyle name="输出 2 4 3 2 3" xfId="15393" xr:uid="{00000000-0005-0000-0000-0000513C0000}"/>
    <cellStyle name="输出 2 4 3 2 3 2" xfId="40527" xr:uid="{00000000-0005-0000-0000-00007F9E0000}"/>
    <cellStyle name="输出 2 4 3 2 4" xfId="40528" xr:uid="{00000000-0005-0000-0000-0000809E0000}"/>
    <cellStyle name="输出 2 4 3 2 4 2" xfId="40530" xr:uid="{00000000-0005-0000-0000-0000829E0000}"/>
    <cellStyle name="输出 2 4 3 2 5" xfId="40531" xr:uid="{00000000-0005-0000-0000-0000839E0000}"/>
    <cellStyle name="输出 2 4 3 2 5 2" xfId="40534" xr:uid="{00000000-0005-0000-0000-0000869E0000}"/>
    <cellStyle name="输出 2 4 3 2 6" xfId="17780" xr:uid="{00000000-0005-0000-0000-0000A4450000}"/>
    <cellStyle name="输出 2 4 3 2 7" xfId="16403" xr:uid="{00000000-0005-0000-0000-000043400000}"/>
    <cellStyle name="输出 2 4 3 2 8" xfId="19068" xr:uid="{00000000-0005-0000-0000-0000AC4A0000}"/>
    <cellStyle name="输出 2 4 3 2 9" xfId="13757" xr:uid="{00000000-0005-0000-0000-0000ED350000}"/>
    <cellStyle name="输出 2 4 3 3" xfId="22665" xr:uid="{00000000-0005-0000-0000-0000B9580000}"/>
    <cellStyle name="输出 2 4 3 3 2" xfId="40535" xr:uid="{00000000-0005-0000-0000-0000879E0000}"/>
    <cellStyle name="输出 2 4 3 3 2 2" xfId="40536" xr:uid="{00000000-0005-0000-0000-0000889E0000}"/>
    <cellStyle name="输出 2 4 3 3 3" xfId="40537" xr:uid="{00000000-0005-0000-0000-0000899E0000}"/>
    <cellStyle name="输出 2 4 3 3 3 2" xfId="40538" xr:uid="{00000000-0005-0000-0000-00008A9E0000}"/>
    <cellStyle name="输出 2 4 3 3 4" xfId="40539" xr:uid="{00000000-0005-0000-0000-00008B9E0000}"/>
    <cellStyle name="输出 2 4 3 3 4 2" xfId="40540" xr:uid="{00000000-0005-0000-0000-00008C9E0000}"/>
    <cellStyle name="输出 2 4 3 3 5" xfId="40541" xr:uid="{00000000-0005-0000-0000-00008D9E0000}"/>
    <cellStyle name="输出 2 4 3 3 5 2" xfId="40543" xr:uid="{00000000-0005-0000-0000-00008F9E0000}"/>
    <cellStyle name="输出 2 4 3 3 6" xfId="40544" xr:uid="{00000000-0005-0000-0000-0000909E0000}"/>
    <cellStyle name="输出 2 4 3 4" xfId="40545" xr:uid="{00000000-0005-0000-0000-0000919E0000}"/>
    <cellStyle name="输出 2 4 3 4 2" xfId="40546" xr:uid="{00000000-0005-0000-0000-0000929E0000}"/>
    <cellStyle name="输出 2 4 3 4 2 2" xfId="2769" xr:uid="{00000000-0005-0000-0000-0000010B0000}"/>
    <cellStyle name="输出 2 4 3 4 3" xfId="40547" xr:uid="{00000000-0005-0000-0000-0000939E0000}"/>
    <cellStyle name="输出 2 4 3 4 3 2" xfId="2783" xr:uid="{00000000-0005-0000-0000-00000F0B0000}"/>
    <cellStyle name="输出 2 4 3 4 4" xfId="40548" xr:uid="{00000000-0005-0000-0000-0000949E0000}"/>
    <cellStyle name="输出 2 4 3 4 4 2" xfId="38" xr:uid="{00000000-0005-0000-0000-00002A000000}"/>
    <cellStyle name="输出 2 4 3 4 5" xfId="40549" xr:uid="{00000000-0005-0000-0000-0000959E0000}"/>
    <cellStyle name="输出 2 4 3 4 5 2" xfId="11669" xr:uid="{00000000-0005-0000-0000-0000C52D0000}"/>
    <cellStyle name="输出 2 4 3 4 6" xfId="40551" xr:uid="{00000000-0005-0000-0000-0000979E0000}"/>
    <cellStyle name="输出 2 4 3 5" xfId="40552" xr:uid="{00000000-0005-0000-0000-0000989E0000}"/>
    <cellStyle name="输出 2 4 3 5 2" xfId="40553" xr:uid="{00000000-0005-0000-0000-0000999E0000}"/>
    <cellStyle name="输出 2 4 3 5 2 2" xfId="14674" xr:uid="{00000000-0005-0000-0000-000082390000}"/>
    <cellStyle name="输出 2 4 3 5 3" xfId="40554" xr:uid="{00000000-0005-0000-0000-00009A9E0000}"/>
    <cellStyle name="输出 2 4 3 5 3 2" xfId="14828" xr:uid="{00000000-0005-0000-0000-00001C3A0000}"/>
    <cellStyle name="输出 2 4 3 5 4" xfId="40555" xr:uid="{00000000-0005-0000-0000-00009B9E0000}"/>
    <cellStyle name="输出 2 4 3 5 4 2" xfId="14631" xr:uid="{00000000-0005-0000-0000-000057390000}"/>
    <cellStyle name="输出 2 4 3 5 5" xfId="40556" xr:uid="{00000000-0005-0000-0000-00009C9E0000}"/>
    <cellStyle name="输出 2 4 3 5 5 2" xfId="4967" xr:uid="{00000000-0005-0000-0000-000097130000}"/>
    <cellStyle name="输出 2 4 3 5 6" xfId="40558" xr:uid="{00000000-0005-0000-0000-00009E9E0000}"/>
    <cellStyle name="输出 2 4 3 6" xfId="24046" xr:uid="{00000000-0005-0000-0000-00001E5E0000}"/>
    <cellStyle name="输出 2 4 3 6 2" xfId="40559" xr:uid="{00000000-0005-0000-0000-00009F9E0000}"/>
    <cellStyle name="输出 2 4 3 6 2 2" xfId="16523" xr:uid="{00000000-0005-0000-0000-0000BB400000}"/>
    <cellStyle name="输出 2 4 3 6 3" xfId="40560" xr:uid="{00000000-0005-0000-0000-0000A09E0000}"/>
    <cellStyle name="输出 2 4 3 6 3 2" xfId="16679" xr:uid="{00000000-0005-0000-0000-000057410000}"/>
    <cellStyle name="输出 2 4 3 6 4" xfId="31310" xr:uid="{00000000-0005-0000-0000-00007E7A0000}"/>
    <cellStyle name="输出 2 4 3 6 4 2" xfId="16775" xr:uid="{00000000-0005-0000-0000-0000B7410000}"/>
    <cellStyle name="输出 2 4 3 6 5" xfId="40561" xr:uid="{00000000-0005-0000-0000-0000A19E0000}"/>
    <cellStyle name="输出 2 4 3 6 5 2" xfId="16927" xr:uid="{00000000-0005-0000-0000-00004F420000}"/>
    <cellStyle name="输出 2 4 3 6 6" xfId="40562" xr:uid="{00000000-0005-0000-0000-0000A29E0000}"/>
    <cellStyle name="输出 2 4 3 7" xfId="40564" xr:uid="{00000000-0005-0000-0000-0000A49E0000}"/>
    <cellStyle name="输出 2 4 3 7 2" xfId="40565" xr:uid="{00000000-0005-0000-0000-0000A59E0000}"/>
    <cellStyle name="输出 2 4 3 7 2 2" xfId="18231" xr:uid="{00000000-0005-0000-0000-000067470000}"/>
    <cellStyle name="输出 2 4 3 7 3" xfId="40566" xr:uid="{00000000-0005-0000-0000-0000A69E0000}"/>
    <cellStyle name="输出 2 4 3 7 3 2" xfId="18553" xr:uid="{00000000-0005-0000-0000-0000A9480000}"/>
    <cellStyle name="输出 2 4 3 7 4" xfId="31315" xr:uid="{00000000-0005-0000-0000-0000837A0000}"/>
    <cellStyle name="输出 2 4 3 7 4 2" xfId="18829" xr:uid="{00000000-0005-0000-0000-0000BD490000}"/>
    <cellStyle name="输出 2 4 3 7 5" xfId="40567" xr:uid="{00000000-0005-0000-0000-0000A79E0000}"/>
    <cellStyle name="输出 2 4 3 7 5 2" xfId="18964" xr:uid="{00000000-0005-0000-0000-0000444A0000}"/>
    <cellStyle name="输出 2 4 3 7 6" xfId="40568" xr:uid="{00000000-0005-0000-0000-0000A89E0000}"/>
    <cellStyle name="输出 2 4 3 8" xfId="40569" xr:uid="{00000000-0005-0000-0000-0000A99E0000}"/>
    <cellStyle name="输出 2 4 3 8 2" xfId="40570" xr:uid="{00000000-0005-0000-0000-0000AA9E0000}"/>
    <cellStyle name="输出 2 4 3 8 2 2" xfId="19848" xr:uid="{00000000-0005-0000-0000-0000B84D0000}"/>
    <cellStyle name="输出 2 4 3 8 3" xfId="38762" xr:uid="{00000000-0005-0000-0000-00009A970000}"/>
    <cellStyle name="输出 2 4 3 8 3 2" xfId="19933" xr:uid="{00000000-0005-0000-0000-00000D4E0000}"/>
    <cellStyle name="输出 2 4 3 8 4" xfId="31319" xr:uid="{00000000-0005-0000-0000-0000877A0000}"/>
    <cellStyle name="输出 2 4 3 8 4 2" xfId="19994" xr:uid="{00000000-0005-0000-0000-00004A4E0000}"/>
    <cellStyle name="输出 2 4 3 8 5" xfId="38764" xr:uid="{00000000-0005-0000-0000-00009C970000}"/>
    <cellStyle name="输出 2 4 3 9" xfId="40571" xr:uid="{00000000-0005-0000-0000-0000AB9E0000}"/>
    <cellStyle name="输出 2 4 3 9 2" xfId="40572" xr:uid="{00000000-0005-0000-0000-0000AC9E0000}"/>
    <cellStyle name="输出 2 4 4" xfId="40573" xr:uid="{00000000-0005-0000-0000-0000AD9E0000}"/>
    <cellStyle name="输出 2 4 4 10" xfId="40576" xr:uid="{00000000-0005-0000-0000-0000B09E0000}"/>
    <cellStyle name="输出 2 4 4 10 2" xfId="40578" xr:uid="{00000000-0005-0000-0000-0000B29E0000}"/>
    <cellStyle name="输出 2 4 4 11" xfId="32933" xr:uid="{00000000-0005-0000-0000-0000D5800000}"/>
    <cellStyle name="输出 2 4 4 11 2" xfId="40580" xr:uid="{00000000-0005-0000-0000-0000B49E0000}"/>
    <cellStyle name="输出 2 4 4 12" xfId="40581" xr:uid="{00000000-0005-0000-0000-0000B59E0000}"/>
    <cellStyle name="输出 2 4 4 12 2" xfId="40582" xr:uid="{00000000-0005-0000-0000-0000B69E0000}"/>
    <cellStyle name="输出 2 4 4 13" xfId="40583" xr:uid="{00000000-0005-0000-0000-0000B79E0000}"/>
    <cellStyle name="输出 2 4 4 14" xfId="40584" xr:uid="{00000000-0005-0000-0000-0000B89E0000}"/>
    <cellStyle name="输出 2 4 4 15" xfId="40586" xr:uid="{00000000-0005-0000-0000-0000BA9E0000}"/>
    <cellStyle name="输出 2 4 4 16" xfId="31933" xr:uid="{00000000-0005-0000-0000-0000ED7C0000}"/>
    <cellStyle name="输出 2 4 4 2" xfId="30217" xr:uid="{00000000-0005-0000-0000-000039760000}"/>
    <cellStyle name="输出 2 4 4 2 2" xfId="30219" xr:uid="{00000000-0005-0000-0000-00003B760000}"/>
    <cellStyle name="输出 2 4 4 2 2 2" xfId="40588" xr:uid="{00000000-0005-0000-0000-0000BC9E0000}"/>
    <cellStyle name="输出 2 4 4 2 3" xfId="21852" xr:uid="{00000000-0005-0000-0000-00008C550000}"/>
    <cellStyle name="输出 2 4 4 2 3 2" xfId="40589" xr:uid="{00000000-0005-0000-0000-0000BD9E0000}"/>
    <cellStyle name="输出 2 4 4 2 4" xfId="40590" xr:uid="{00000000-0005-0000-0000-0000BE9E0000}"/>
    <cellStyle name="输出 2 4 4 2 4 2" xfId="40591" xr:uid="{00000000-0005-0000-0000-0000BF9E0000}"/>
    <cellStyle name="输出 2 4 4 2 5" xfId="40592" xr:uid="{00000000-0005-0000-0000-0000C09E0000}"/>
    <cellStyle name="输出 2 4 4 2 5 2" xfId="40594" xr:uid="{00000000-0005-0000-0000-0000C29E0000}"/>
    <cellStyle name="输出 2 4 4 2 6" xfId="20014" xr:uid="{00000000-0005-0000-0000-00005E4E0000}"/>
    <cellStyle name="输出 2 4 4 2 7" xfId="40595" xr:uid="{00000000-0005-0000-0000-0000C39E0000}"/>
    <cellStyle name="输出 2 4 4 2 8" xfId="40596" xr:uid="{00000000-0005-0000-0000-0000C49E0000}"/>
    <cellStyle name="输出 2 4 4 2 9" xfId="35898" xr:uid="{00000000-0005-0000-0000-00006A8C0000}"/>
    <cellStyle name="输出 2 4 4 3" xfId="18755" xr:uid="{00000000-0005-0000-0000-000073490000}"/>
    <cellStyle name="输出 2 4 4 3 2" xfId="40597" xr:uid="{00000000-0005-0000-0000-0000C59E0000}"/>
    <cellStyle name="输出 2 4 4 3 2 2" xfId="38747" xr:uid="{00000000-0005-0000-0000-00008B970000}"/>
    <cellStyle name="输出 2 4 4 3 3" xfId="40598" xr:uid="{00000000-0005-0000-0000-0000C69E0000}"/>
    <cellStyle name="输出 2 4 4 3 3 2" xfId="40599" xr:uid="{00000000-0005-0000-0000-0000C79E0000}"/>
    <cellStyle name="输出 2 4 4 3 4" xfId="40600" xr:uid="{00000000-0005-0000-0000-0000C89E0000}"/>
    <cellStyle name="输出 2 4 4 3 4 2" xfId="40601" xr:uid="{00000000-0005-0000-0000-0000C99E0000}"/>
    <cellStyle name="输出 2 4 4 3 5" xfId="40602" xr:uid="{00000000-0005-0000-0000-0000CA9E0000}"/>
    <cellStyle name="输出 2 4 4 3 5 2" xfId="40604" xr:uid="{00000000-0005-0000-0000-0000CC9E0000}"/>
    <cellStyle name="输出 2 4 4 3 6" xfId="40606" xr:uid="{00000000-0005-0000-0000-0000CE9E0000}"/>
    <cellStyle name="输出 2 4 4 4" xfId="40607" xr:uid="{00000000-0005-0000-0000-0000CF9E0000}"/>
    <cellStyle name="输出 2 4 4 4 2" xfId="40608" xr:uid="{00000000-0005-0000-0000-0000D09E0000}"/>
    <cellStyle name="输出 2 4 4 4 2 2" xfId="38924" xr:uid="{00000000-0005-0000-0000-00003C980000}"/>
    <cellStyle name="输出 2 4 4 4 3" xfId="24760" xr:uid="{00000000-0005-0000-0000-0000E8600000}"/>
    <cellStyle name="输出 2 4 4 4 3 2" xfId="25396" xr:uid="{00000000-0005-0000-0000-000064630000}"/>
    <cellStyle name="输出 2 4 4 4 4" xfId="20037" xr:uid="{00000000-0005-0000-0000-0000754E0000}"/>
    <cellStyle name="输出 2 4 4 4 4 2" xfId="20041" xr:uid="{00000000-0005-0000-0000-0000794E0000}"/>
    <cellStyle name="输出 2 4 4 4 5" xfId="20047" xr:uid="{00000000-0005-0000-0000-00007F4E0000}"/>
    <cellStyle name="输出 2 4 4 4 5 2" xfId="20052" xr:uid="{00000000-0005-0000-0000-0000844E0000}"/>
    <cellStyle name="输出 2 4 4 4 6" xfId="20055" xr:uid="{00000000-0005-0000-0000-0000874E0000}"/>
    <cellStyle name="输出 2 4 4 5" xfId="40609" xr:uid="{00000000-0005-0000-0000-0000D19E0000}"/>
    <cellStyle name="输出 2 4 4 5 2" xfId="40610" xr:uid="{00000000-0005-0000-0000-0000D29E0000}"/>
    <cellStyle name="输出 2 4 4 5 2 2" xfId="40611" xr:uid="{00000000-0005-0000-0000-0000D39E0000}"/>
    <cellStyle name="输出 2 4 4 5 3" xfId="40612" xr:uid="{00000000-0005-0000-0000-0000D49E0000}"/>
    <cellStyle name="输出 2 4 4 5 3 2" xfId="12957" xr:uid="{00000000-0005-0000-0000-0000CD320000}"/>
    <cellStyle name="输出 2 4 4 5 4" xfId="40613" xr:uid="{00000000-0005-0000-0000-0000D59E0000}"/>
    <cellStyle name="输出 2 4 4 5 4 2" xfId="12987" xr:uid="{00000000-0005-0000-0000-0000EB320000}"/>
    <cellStyle name="输出 2 4 4 5 5" xfId="40614" xr:uid="{00000000-0005-0000-0000-0000D69E0000}"/>
    <cellStyle name="输出 2 4 4 5 5 2" xfId="13012" xr:uid="{00000000-0005-0000-0000-000004330000}"/>
    <cellStyle name="输出 2 4 4 5 6" xfId="40618" xr:uid="{00000000-0005-0000-0000-0000DA9E0000}"/>
    <cellStyle name="输出 2 4 4 6" xfId="28404" xr:uid="{00000000-0005-0000-0000-0000246F0000}"/>
    <cellStyle name="输出 2 4 4 6 2" xfId="40619" xr:uid="{00000000-0005-0000-0000-0000DB9E0000}"/>
    <cellStyle name="输出 2 4 4 6 2 2" xfId="40621" xr:uid="{00000000-0005-0000-0000-0000DD9E0000}"/>
    <cellStyle name="输出 2 4 4 6 3" xfId="40622" xr:uid="{00000000-0005-0000-0000-0000DE9E0000}"/>
    <cellStyle name="输出 2 4 4 6 3 2" xfId="40623" xr:uid="{00000000-0005-0000-0000-0000DF9E0000}"/>
    <cellStyle name="输出 2 4 4 6 4" xfId="40624" xr:uid="{00000000-0005-0000-0000-0000E09E0000}"/>
    <cellStyle name="输出 2 4 4 6 4 2" xfId="40625" xr:uid="{00000000-0005-0000-0000-0000E19E0000}"/>
    <cellStyle name="输出 2 4 4 6 5" xfId="40626" xr:uid="{00000000-0005-0000-0000-0000E29E0000}"/>
    <cellStyle name="输出 2 4 4 6 5 2" xfId="40628" xr:uid="{00000000-0005-0000-0000-0000E49E0000}"/>
    <cellStyle name="输出 2 4 4 6 6" xfId="40630" xr:uid="{00000000-0005-0000-0000-0000E69E0000}"/>
    <cellStyle name="输出 2 4 4 7" xfId="40631" xr:uid="{00000000-0005-0000-0000-0000E79E0000}"/>
    <cellStyle name="输出 2 4 4 7 2" xfId="40633" xr:uid="{00000000-0005-0000-0000-0000E99E0000}"/>
    <cellStyle name="输出 2 4 4 7 2 2" xfId="40635" xr:uid="{00000000-0005-0000-0000-0000EB9E0000}"/>
    <cellStyle name="输出 2 4 4 7 3" xfId="40636" xr:uid="{00000000-0005-0000-0000-0000EC9E0000}"/>
    <cellStyle name="输出 2 4 4 7 3 2" xfId="40637" xr:uid="{00000000-0005-0000-0000-0000ED9E0000}"/>
    <cellStyle name="输出 2 4 4 7 4" xfId="38972" xr:uid="{00000000-0005-0000-0000-00006C980000}"/>
    <cellStyle name="输出 2 4 4 7 4 2" xfId="40638" xr:uid="{00000000-0005-0000-0000-0000EE9E0000}"/>
    <cellStyle name="输出 2 4 4 7 5" xfId="40639" xr:uid="{00000000-0005-0000-0000-0000EF9E0000}"/>
    <cellStyle name="输出 2 4 4 7 5 2" xfId="40641" xr:uid="{00000000-0005-0000-0000-0000F19E0000}"/>
    <cellStyle name="输出 2 4 4 7 6" xfId="40642" xr:uid="{00000000-0005-0000-0000-0000F29E0000}"/>
    <cellStyle name="输出 2 4 4 8" xfId="40643" xr:uid="{00000000-0005-0000-0000-0000F39E0000}"/>
    <cellStyle name="输出 2 4 4 8 2" xfId="40645" xr:uid="{00000000-0005-0000-0000-0000F59E0000}"/>
    <cellStyle name="输出 2 4 4 8 2 2" xfId="40647" xr:uid="{00000000-0005-0000-0000-0000F79E0000}"/>
    <cellStyle name="输出 2 4 4 8 3" xfId="38779" xr:uid="{00000000-0005-0000-0000-0000AB970000}"/>
    <cellStyle name="输出 2 4 4 8 3 2" xfId="38781" xr:uid="{00000000-0005-0000-0000-0000AD970000}"/>
    <cellStyle name="输出 2 4 4 8 4" xfId="38783" xr:uid="{00000000-0005-0000-0000-0000AF970000}"/>
    <cellStyle name="输出 2 4 4 8 4 2" xfId="38786" xr:uid="{00000000-0005-0000-0000-0000B2970000}"/>
    <cellStyle name="输出 2 4 4 8 5" xfId="38788" xr:uid="{00000000-0005-0000-0000-0000B4970000}"/>
    <cellStyle name="输出 2 4 4 9" xfId="40648" xr:uid="{00000000-0005-0000-0000-0000F89E0000}"/>
    <cellStyle name="输出 2 4 4 9 2" xfId="40650" xr:uid="{00000000-0005-0000-0000-0000FA9E0000}"/>
    <cellStyle name="输出 2 4 5" xfId="40651" xr:uid="{00000000-0005-0000-0000-0000FB9E0000}"/>
    <cellStyle name="输出 2 4 5 10" xfId="40652" xr:uid="{00000000-0005-0000-0000-0000FC9E0000}"/>
    <cellStyle name="输出 2 4 5 10 2" xfId="40654" xr:uid="{00000000-0005-0000-0000-0000FE9E0000}"/>
    <cellStyle name="输出 2 4 5 11" xfId="40655" xr:uid="{00000000-0005-0000-0000-0000FF9E0000}"/>
    <cellStyle name="输出 2 4 5 11 2" xfId="40656" xr:uid="{00000000-0005-0000-0000-0000009F0000}"/>
    <cellStyle name="输出 2 4 5 12" xfId="40657" xr:uid="{00000000-0005-0000-0000-0000019F0000}"/>
    <cellStyle name="输出 2 4 5 12 2" xfId="40658" xr:uid="{00000000-0005-0000-0000-0000029F0000}"/>
    <cellStyle name="输出 2 4 5 13" xfId="40659" xr:uid="{00000000-0005-0000-0000-0000039F0000}"/>
    <cellStyle name="输出 2 4 5 14" xfId="39964" xr:uid="{00000000-0005-0000-0000-00004C9C0000}"/>
    <cellStyle name="输出 2 4 5 15" xfId="1053" xr:uid="{00000000-0005-0000-0000-00004D040000}"/>
    <cellStyle name="输出 2 4 5 16" xfId="39496" xr:uid="{00000000-0005-0000-0000-0000789A0000}"/>
    <cellStyle name="输出 2 4 5 2" xfId="27962" xr:uid="{00000000-0005-0000-0000-00006A6D0000}"/>
    <cellStyle name="输出 2 4 5 2 2" xfId="27965" xr:uid="{00000000-0005-0000-0000-00006D6D0000}"/>
    <cellStyle name="输出 2 4 5 2 2 2" xfId="40660" xr:uid="{00000000-0005-0000-0000-0000049F0000}"/>
    <cellStyle name="输出 2 4 5 2 3" xfId="40662" xr:uid="{00000000-0005-0000-0000-0000069F0000}"/>
    <cellStyle name="输出 2 4 5 2 3 2" xfId="40664" xr:uid="{00000000-0005-0000-0000-0000089F0000}"/>
    <cellStyle name="输出 2 4 5 2 4" xfId="40666" xr:uid="{00000000-0005-0000-0000-00000A9F0000}"/>
    <cellStyle name="输出 2 4 5 2 4 2" xfId="40668" xr:uid="{00000000-0005-0000-0000-00000C9F0000}"/>
    <cellStyle name="输出 2 4 5 2 5" xfId="40670" xr:uid="{00000000-0005-0000-0000-00000E9F0000}"/>
    <cellStyle name="输出 2 4 5 2 5 2" xfId="40673" xr:uid="{00000000-0005-0000-0000-0000119F0000}"/>
    <cellStyle name="输出 2 4 5 2 6" xfId="20106" xr:uid="{00000000-0005-0000-0000-0000BA4E0000}"/>
    <cellStyle name="输出 2 4 5 2 7" xfId="40675" xr:uid="{00000000-0005-0000-0000-0000139F0000}"/>
    <cellStyle name="输出 2 4 5 2 8" xfId="40677" xr:uid="{00000000-0005-0000-0000-0000159F0000}"/>
    <cellStyle name="输出 2 4 5 2 9" xfId="35904" xr:uid="{00000000-0005-0000-0000-0000708C0000}"/>
    <cellStyle name="输出 2 4 5 3" xfId="18767" xr:uid="{00000000-0005-0000-0000-00007F490000}"/>
    <cellStyle name="输出 2 4 5 3 2" xfId="40679" xr:uid="{00000000-0005-0000-0000-0000179F0000}"/>
    <cellStyle name="输出 2 4 5 3 2 2" xfId="40681" xr:uid="{00000000-0005-0000-0000-0000199F0000}"/>
    <cellStyle name="输出 2 4 5 3 3" xfId="40683" xr:uid="{00000000-0005-0000-0000-00001B9F0000}"/>
    <cellStyle name="输出 2 4 5 3 3 2" xfId="40685" xr:uid="{00000000-0005-0000-0000-00001D9F0000}"/>
    <cellStyle name="输出 2 4 5 3 4" xfId="40687" xr:uid="{00000000-0005-0000-0000-00001F9F0000}"/>
    <cellStyle name="输出 2 4 5 3 4 2" xfId="40689" xr:uid="{00000000-0005-0000-0000-0000219F0000}"/>
    <cellStyle name="输出 2 4 5 3 5" xfId="40691" xr:uid="{00000000-0005-0000-0000-0000239F0000}"/>
    <cellStyle name="输出 2 4 5 3 5 2" xfId="40694" xr:uid="{00000000-0005-0000-0000-0000269F0000}"/>
    <cellStyle name="输出 2 4 5 3 6" xfId="40696" xr:uid="{00000000-0005-0000-0000-0000289F0000}"/>
    <cellStyle name="输出 2 4 5 4" xfId="27967" xr:uid="{00000000-0005-0000-0000-00006F6D0000}"/>
    <cellStyle name="输出 2 4 5 4 2" xfId="40698" xr:uid="{00000000-0005-0000-0000-00002A9F0000}"/>
    <cellStyle name="输出 2 4 5 4 2 2" xfId="40700" xr:uid="{00000000-0005-0000-0000-00002C9F0000}"/>
    <cellStyle name="输出 2 4 5 4 3" xfId="40702" xr:uid="{00000000-0005-0000-0000-00002E9F0000}"/>
    <cellStyle name="输出 2 4 5 4 3 2" xfId="2029" xr:uid="{00000000-0005-0000-0000-00001D080000}"/>
    <cellStyle name="输出 2 4 5 4 4" xfId="40704" xr:uid="{00000000-0005-0000-0000-0000309F0000}"/>
    <cellStyle name="输出 2 4 5 4 4 2" xfId="40706" xr:uid="{00000000-0005-0000-0000-0000329F0000}"/>
    <cellStyle name="输出 2 4 5 4 5" xfId="40708" xr:uid="{00000000-0005-0000-0000-0000349F0000}"/>
    <cellStyle name="输出 2 4 5 4 5 2" xfId="40712" xr:uid="{00000000-0005-0000-0000-0000389F0000}"/>
    <cellStyle name="输出 2 4 5 4 6" xfId="40714" xr:uid="{00000000-0005-0000-0000-00003A9F0000}"/>
    <cellStyle name="输出 2 4 5 5" xfId="27969" xr:uid="{00000000-0005-0000-0000-0000716D0000}"/>
    <cellStyle name="输出 2 4 5 5 2" xfId="40715" xr:uid="{00000000-0005-0000-0000-00003B9F0000}"/>
    <cellStyle name="输出 2 4 5 5 2 2" xfId="14238" xr:uid="{00000000-0005-0000-0000-0000CE370000}"/>
    <cellStyle name="输出 2 4 5 5 3" xfId="40717" xr:uid="{00000000-0005-0000-0000-00003D9F0000}"/>
    <cellStyle name="输出 2 4 5 5 3 2" xfId="72" xr:uid="{00000000-0005-0000-0000-00004E000000}"/>
    <cellStyle name="输出 2 4 5 5 4" xfId="40719" xr:uid="{00000000-0005-0000-0000-00003F9F0000}"/>
    <cellStyle name="输出 2 4 5 5 4 2" xfId="32123" xr:uid="{00000000-0005-0000-0000-0000AB7D0000}"/>
    <cellStyle name="输出 2 4 5 5 5" xfId="40721" xr:uid="{00000000-0005-0000-0000-0000419F0000}"/>
    <cellStyle name="输出 2 4 5 5 5 2" xfId="32155" xr:uid="{00000000-0005-0000-0000-0000CB7D0000}"/>
    <cellStyle name="输出 2 4 5 5 6" xfId="40725" xr:uid="{00000000-0005-0000-0000-0000459F0000}"/>
    <cellStyle name="输出 2 4 5 6" xfId="21056" xr:uid="{00000000-0005-0000-0000-000070520000}"/>
    <cellStyle name="输出 2 4 5 6 2" xfId="40726" xr:uid="{00000000-0005-0000-0000-0000469F0000}"/>
    <cellStyle name="输出 2 4 5 6 2 2" xfId="14386" xr:uid="{00000000-0005-0000-0000-000062380000}"/>
    <cellStyle name="输出 2 4 5 6 3" xfId="40728" xr:uid="{00000000-0005-0000-0000-0000489F0000}"/>
    <cellStyle name="输出 2 4 5 6 3 2" xfId="40730" xr:uid="{00000000-0005-0000-0000-00004A9F0000}"/>
    <cellStyle name="输出 2 4 5 6 4" xfId="40732" xr:uid="{00000000-0005-0000-0000-00004C9F0000}"/>
    <cellStyle name="输出 2 4 5 6 4 2" xfId="40734" xr:uid="{00000000-0005-0000-0000-00004E9F0000}"/>
    <cellStyle name="输出 2 4 5 6 5" xfId="40736" xr:uid="{00000000-0005-0000-0000-0000509F0000}"/>
    <cellStyle name="输出 2 4 5 6 5 2" xfId="40739" xr:uid="{00000000-0005-0000-0000-0000539F0000}"/>
    <cellStyle name="输出 2 4 5 6 6" xfId="40227" xr:uid="{00000000-0005-0000-0000-0000539D0000}"/>
    <cellStyle name="输出 2 4 5 7" xfId="40740" xr:uid="{00000000-0005-0000-0000-0000549F0000}"/>
    <cellStyle name="输出 2 4 5 7 2" xfId="40742" xr:uid="{00000000-0005-0000-0000-0000569F0000}"/>
    <cellStyle name="输出 2 4 5 7 2 2" xfId="40745" xr:uid="{00000000-0005-0000-0000-0000599F0000}"/>
    <cellStyle name="输出 2 4 5 7 3" xfId="40747" xr:uid="{00000000-0005-0000-0000-00005B9F0000}"/>
    <cellStyle name="输出 2 4 5 7 3 2" xfId="40749" xr:uid="{00000000-0005-0000-0000-00005D9F0000}"/>
    <cellStyle name="输出 2 4 5 7 4" xfId="38979" xr:uid="{00000000-0005-0000-0000-000073980000}"/>
    <cellStyle name="输出 2 4 5 7 4 2" xfId="40751" xr:uid="{00000000-0005-0000-0000-00005F9F0000}"/>
    <cellStyle name="输出 2 4 5 7 5" xfId="40753" xr:uid="{00000000-0005-0000-0000-0000619F0000}"/>
    <cellStyle name="输出 2 4 5 7 5 2" xfId="40756" xr:uid="{00000000-0005-0000-0000-0000649F0000}"/>
    <cellStyle name="输出 2 4 5 7 6" xfId="40233" xr:uid="{00000000-0005-0000-0000-0000599D0000}"/>
    <cellStyle name="输出 2 4 5 8" xfId="40757" xr:uid="{00000000-0005-0000-0000-0000659F0000}"/>
    <cellStyle name="输出 2 4 5 8 2" xfId="40759" xr:uid="{00000000-0005-0000-0000-0000679F0000}"/>
    <cellStyle name="输出 2 4 5 8 2 2" xfId="40762" xr:uid="{00000000-0005-0000-0000-00006A9F0000}"/>
    <cellStyle name="输出 2 4 5 8 3" xfId="38799" xr:uid="{00000000-0005-0000-0000-0000BF970000}"/>
    <cellStyle name="输出 2 4 5 8 3 2" xfId="38802" xr:uid="{00000000-0005-0000-0000-0000C2970000}"/>
    <cellStyle name="输出 2 4 5 8 4" xfId="38805" xr:uid="{00000000-0005-0000-0000-0000C5970000}"/>
    <cellStyle name="输出 2 4 5 8 4 2" xfId="38809" xr:uid="{00000000-0005-0000-0000-0000C9970000}"/>
    <cellStyle name="输出 2 4 5 8 5" xfId="38812" xr:uid="{00000000-0005-0000-0000-0000CC970000}"/>
    <cellStyle name="输出 2 4 5 9" xfId="40764" xr:uid="{00000000-0005-0000-0000-00006C9F0000}"/>
    <cellStyle name="输出 2 4 5 9 2" xfId="40767" xr:uid="{00000000-0005-0000-0000-00006F9F0000}"/>
    <cellStyle name="输出 2 4 6" xfId="40770" xr:uid="{00000000-0005-0000-0000-0000729F0000}"/>
    <cellStyle name="输出 2 4 6 10" xfId="23102" xr:uid="{00000000-0005-0000-0000-00006E5A0000}"/>
    <cellStyle name="输出 2 4 6 10 2" xfId="40771" xr:uid="{00000000-0005-0000-0000-0000739F0000}"/>
    <cellStyle name="输出 2 4 6 11" xfId="40773" xr:uid="{00000000-0005-0000-0000-0000759F0000}"/>
    <cellStyle name="输出 2 4 6 11 2" xfId="40774" xr:uid="{00000000-0005-0000-0000-0000769F0000}"/>
    <cellStyle name="输出 2 4 6 12" xfId="40776" xr:uid="{00000000-0005-0000-0000-0000789F0000}"/>
    <cellStyle name="输出 2 4 6 12 2" xfId="40777" xr:uid="{00000000-0005-0000-0000-0000799F0000}"/>
    <cellStyle name="输出 2 4 6 13" xfId="21245" xr:uid="{00000000-0005-0000-0000-00002D530000}"/>
    <cellStyle name="输出 2 4 6 14" xfId="2942" xr:uid="{00000000-0005-0000-0000-0000AE0B0000}"/>
    <cellStyle name="输出 2 4 6 15" xfId="30772" xr:uid="{00000000-0005-0000-0000-000064780000}"/>
    <cellStyle name="输出 2 4 6 16" xfId="30775" xr:uid="{00000000-0005-0000-0000-000067780000}"/>
    <cellStyle name="输出 2 4 6 2" xfId="40779" xr:uid="{00000000-0005-0000-0000-00007B9F0000}"/>
    <cellStyle name="输出 2 4 6 2 2" xfId="40780" xr:uid="{00000000-0005-0000-0000-00007C9F0000}"/>
    <cellStyle name="输出 2 4 6 2 2 2" xfId="40781" xr:uid="{00000000-0005-0000-0000-00007D9F0000}"/>
    <cellStyle name="输出 2 4 6 2 3" xfId="40782" xr:uid="{00000000-0005-0000-0000-00007E9F0000}"/>
    <cellStyle name="输出 2 4 6 2 3 2" xfId="40783" xr:uid="{00000000-0005-0000-0000-00007F9F0000}"/>
    <cellStyle name="输出 2 4 6 2 4" xfId="40784" xr:uid="{00000000-0005-0000-0000-0000809F0000}"/>
    <cellStyle name="输出 2 4 6 2 4 2" xfId="40785" xr:uid="{00000000-0005-0000-0000-0000819F0000}"/>
    <cellStyle name="输出 2 4 6 2 5" xfId="40786" xr:uid="{00000000-0005-0000-0000-0000829F0000}"/>
    <cellStyle name="输出 2 4 6 2 5 2" xfId="40787" xr:uid="{00000000-0005-0000-0000-0000839F0000}"/>
    <cellStyle name="输出 2 4 6 2 6" xfId="40788" xr:uid="{00000000-0005-0000-0000-0000849F0000}"/>
    <cellStyle name="输出 2 4 6 2 7" xfId="40789" xr:uid="{00000000-0005-0000-0000-0000859F0000}"/>
    <cellStyle name="输出 2 4 6 2 8" xfId="40790" xr:uid="{00000000-0005-0000-0000-0000869F0000}"/>
    <cellStyle name="输出 2 4 6 2 9" xfId="40791" xr:uid="{00000000-0005-0000-0000-0000879F0000}"/>
    <cellStyle name="输出 2 4 6 3" xfId="18780" xr:uid="{00000000-0005-0000-0000-00008C490000}"/>
    <cellStyle name="输出 2 4 6 3 2" xfId="30786" xr:uid="{00000000-0005-0000-0000-000072780000}"/>
    <cellStyle name="输出 2 4 6 3 2 2" xfId="30790" xr:uid="{00000000-0005-0000-0000-000076780000}"/>
    <cellStyle name="输出 2 4 6 3 3" xfId="30794" xr:uid="{00000000-0005-0000-0000-00007A780000}"/>
    <cellStyle name="输出 2 4 6 3 3 2" xfId="30798" xr:uid="{00000000-0005-0000-0000-00007E780000}"/>
    <cellStyle name="输出 2 4 6 3 4" xfId="30802" xr:uid="{00000000-0005-0000-0000-000082780000}"/>
    <cellStyle name="输出 2 4 6 3 4 2" xfId="30806" xr:uid="{00000000-0005-0000-0000-000086780000}"/>
    <cellStyle name="输出 2 4 6 3 5" xfId="30810" xr:uid="{00000000-0005-0000-0000-00008A780000}"/>
    <cellStyle name="输出 2 4 6 3 5 2" xfId="30813" xr:uid="{00000000-0005-0000-0000-00008D780000}"/>
    <cellStyle name="输出 2 4 6 3 6" xfId="30816" xr:uid="{00000000-0005-0000-0000-000090780000}"/>
    <cellStyle name="输出 2 4 6 4" xfId="30825" xr:uid="{00000000-0005-0000-0000-000099780000}"/>
    <cellStyle name="输出 2 4 6 4 2" xfId="30828" xr:uid="{00000000-0005-0000-0000-00009C780000}"/>
    <cellStyle name="输出 2 4 6 4 2 2" xfId="30831" xr:uid="{00000000-0005-0000-0000-00009F780000}"/>
    <cellStyle name="输出 2 4 6 4 3" xfId="30834" xr:uid="{00000000-0005-0000-0000-0000A2780000}"/>
    <cellStyle name="输出 2 4 6 4 3 2" xfId="30837" xr:uid="{00000000-0005-0000-0000-0000A5780000}"/>
    <cellStyle name="输出 2 4 6 4 4" xfId="30840" xr:uid="{00000000-0005-0000-0000-0000A8780000}"/>
    <cellStyle name="输出 2 4 6 4 4 2" xfId="30842" xr:uid="{00000000-0005-0000-0000-0000AA780000}"/>
    <cellStyle name="输出 2 4 6 4 5" xfId="30844" xr:uid="{00000000-0005-0000-0000-0000AC780000}"/>
    <cellStyle name="输出 2 4 6 4 5 2" xfId="30846" xr:uid="{00000000-0005-0000-0000-0000AE780000}"/>
    <cellStyle name="输出 2 4 6 4 6" xfId="30848" xr:uid="{00000000-0005-0000-0000-0000B0780000}"/>
    <cellStyle name="输出 2 4 6 5" xfId="30851" xr:uid="{00000000-0005-0000-0000-0000B3780000}"/>
    <cellStyle name="输出 2 4 6 5 2" xfId="30853" xr:uid="{00000000-0005-0000-0000-0000B5780000}"/>
    <cellStyle name="输出 2 4 6 5 2 2" xfId="30855" xr:uid="{00000000-0005-0000-0000-0000B7780000}"/>
    <cellStyle name="输出 2 4 6 5 3" xfId="30857" xr:uid="{00000000-0005-0000-0000-0000B9780000}"/>
    <cellStyle name="输出 2 4 6 5 3 2" xfId="30859" xr:uid="{00000000-0005-0000-0000-0000BB780000}"/>
    <cellStyle name="输出 2 4 6 5 4" xfId="30861" xr:uid="{00000000-0005-0000-0000-0000BD780000}"/>
    <cellStyle name="输出 2 4 6 5 4 2" xfId="30863" xr:uid="{00000000-0005-0000-0000-0000BF780000}"/>
    <cellStyle name="输出 2 4 6 5 5" xfId="30866" xr:uid="{00000000-0005-0000-0000-0000C2780000}"/>
    <cellStyle name="输出 2 4 6 5 5 2" xfId="30868" xr:uid="{00000000-0005-0000-0000-0000C4780000}"/>
    <cellStyle name="输出 2 4 6 5 6" xfId="30870" xr:uid="{00000000-0005-0000-0000-0000C6780000}"/>
    <cellStyle name="输出 2 4 6 6" xfId="30873" xr:uid="{00000000-0005-0000-0000-0000C9780000}"/>
    <cellStyle name="输出 2 4 6 6 2" xfId="30875" xr:uid="{00000000-0005-0000-0000-0000CB780000}"/>
    <cellStyle name="输出 2 4 6 6 2 2" xfId="30877" xr:uid="{00000000-0005-0000-0000-0000CD780000}"/>
    <cellStyle name="输出 2 4 6 6 3" xfId="30879" xr:uid="{00000000-0005-0000-0000-0000CF780000}"/>
    <cellStyle name="输出 2 4 6 6 3 2" xfId="30881" xr:uid="{00000000-0005-0000-0000-0000D1780000}"/>
    <cellStyle name="输出 2 4 6 6 4" xfId="30883" xr:uid="{00000000-0005-0000-0000-0000D3780000}"/>
    <cellStyle name="输出 2 4 6 6 4 2" xfId="30885" xr:uid="{00000000-0005-0000-0000-0000D5780000}"/>
    <cellStyle name="输出 2 4 6 6 5" xfId="30888" xr:uid="{00000000-0005-0000-0000-0000D8780000}"/>
    <cellStyle name="输出 2 4 6 6 5 2" xfId="30890" xr:uid="{00000000-0005-0000-0000-0000DA780000}"/>
    <cellStyle name="输出 2 4 6 6 6" xfId="30893" xr:uid="{00000000-0005-0000-0000-0000DD780000}"/>
    <cellStyle name="输出 2 4 6 7" xfId="30899" xr:uid="{00000000-0005-0000-0000-0000E3780000}"/>
    <cellStyle name="输出 2 4 6 7 2" xfId="30902" xr:uid="{00000000-0005-0000-0000-0000E6780000}"/>
    <cellStyle name="输出 2 4 6 7 2 2" xfId="30904" xr:uid="{00000000-0005-0000-0000-0000E8780000}"/>
    <cellStyle name="输出 2 4 6 7 3" xfId="30906" xr:uid="{00000000-0005-0000-0000-0000EA780000}"/>
    <cellStyle name="输出 2 4 6 7 3 2" xfId="30908" xr:uid="{00000000-0005-0000-0000-0000EC780000}"/>
    <cellStyle name="输出 2 4 6 7 4" xfId="30911" xr:uid="{00000000-0005-0000-0000-0000EF780000}"/>
    <cellStyle name="输出 2 4 6 7 4 2" xfId="30913" xr:uid="{00000000-0005-0000-0000-0000F1780000}"/>
    <cellStyle name="输出 2 4 6 7 5" xfId="30916" xr:uid="{00000000-0005-0000-0000-0000F4780000}"/>
    <cellStyle name="输出 2 4 6 7 5 2" xfId="30918" xr:uid="{00000000-0005-0000-0000-0000F6780000}"/>
    <cellStyle name="输出 2 4 6 7 6" xfId="30921" xr:uid="{00000000-0005-0000-0000-0000F9780000}"/>
    <cellStyle name="输出 2 4 6 8" xfId="30924" xr:uid="{00000000-0005-0000-0000-0000FC780000}"/>
    <cellStyle name="输出 2 4 6 8 2" xfId="30927" xr:uid="{00000000-0005-0000-0000-0000FF780000}"/>
    <cellStyle name="输出 2 4 6 8 2 2" xfId="30930" xr:uid="{00000000-0005-0000-0000-000002790000}"/>
    <cellStyle name="输出 2 4 6 8 3" xfId="30934" xr:uid="{00000000-0005-0000-0000-000006790000}"/>
    <cellStyle name="输出 2 4 6 8 3 2" xfId="30939" xr:uid="{00000000-0005-0000-0000-00000B790000}"/>
    <cellStyle name="输出 2 4 6 8 4" xfId="30944" xr:uid="{00000000-0005-0000-0000-000010790000}"/>
    <cellStyle name="输出 2 4 6 8 4 2" xfId="30950" xr:uid="{00000000-0005-0000-0000-000016790000}"/>
    <cellStyle name="输出 2 4 6 8 5" xfId="30955" xr:uid="{00000000-0005-0000-0000-00001B790000}"/>
    <cellStyle name="输出 2 4 6 9" xfId="30967" xr:uid="{00000000-0005-0000-0000-000027790000}"/>
    <cellStyle name="输出 2 4 6 9 2" xfId="30970" xr:uid="{00000000-0005-0000-0000-00002A790000}"/>
    <cellStyle name="输出 2 4 7" xfId="40793" xr:uid="{00000000-0005-0000-0000-0000899F0000}"/>
    <cellStyle name="输出 2 4 7 10" xfId="40795" xr:uid="{00000000-0005-0000-0000-00008B9F0000}"/>
    <cellStyle name="输出 2 4 7 10 2" xfId="40796" xr:uid="{00000000-0005-0000-0000-00008C9F0000}"/>
    <cellStyle name="输出 2 4 7 11" xfId="13332" xr:uid="{00000000-0005-0000-0000-000044340000}"/>
    <cellStyle name="输出 2 4 7 11 2" xfId="40798" xr:uid="{00000000-0005-0000-0000-00008E9F0000}"/>
    <cellStyle name="输出 2 4 7 12" xfId="40800" xr:uid="{00000000-0005-0000-0000-0000909F0000}"/>
    <cellStyle name="输出 2 4 7 12 2" xfId="40802" xr:uid="{00000000-0005-0000-0000-0000929F0000}"/>
    <cellStyle name="输出 2 4 7 13" xfId="40804" xr:uid="{00000000-0005-0000-0000-0000949F0000}"/>
    <cellStyle name="输出 2 4 7 14" xfId="28781" xr:uid="{00000000-0005-0000-0000-00009D700000}"/>
    <cellStyle name="输出 2 4 7 15" xfId="30996" xr:uid="{00000000-0005-0000-0000-000044790000}"/>
    <cellStyle name="输出 2 4 7 16" xfId="31002" xr:uid="{00000000-0005-0000-0000-00004A790000}"/>
    <cellStyle name="输出 2 4 7 2" xfId="40805" xr:uid="{00000000-0005-0000-0000-0000959F0000}"/>
    <cellStyle name="输出 2 4 7 2 2" xfId="19328" xr:uid="{00000000-0005-0000-0000-0000B04B0000}"/>
    <cellStyle name="输出 2 4 7 2 2 2" xfId="19331" xr:uid="{00000000-0005-0000-0000-0000B34B0000}"/>
    <cellStyle name="输出 2 4 7 2 3" xfId="19333" xr:uid="{00000000-0005-0000-0000-0000B54B0000}"/>
    <cellStyle name="输出 2 4 7 2 3 2" xfId="40807" xr:uid="{00000000-0005-0000-0000-0000979F0000}"/>
    <cellStyle name="输出 2 4 7 2 4" xfId="17052" xr:uid="{00000000-0005-0000-0000-0000CC420000}"/>
    <cellStyle name="输出 2 4 7 2 4 2" xfId="40808" xr:uid="{00000000-0005-0000-0000-0000989F0000}"/>
    <cellStyle name="输出 2 4 7 2 5" xfId="12771" xr:uid="{00000000-0005-0000-0000-000013320000}"/>
    <cellStyle name="输出 2 4 7 2 5 2" xfId="40809" xr:uid="{00000000-0005-0000-0000-0000999F0000}"/>
    <cellStyle name="输出 2 4 7 2 6" xfId="19335" xr:uid="{00000000-0005-0000-0000-0000B74B0000}"/>
    <cellStyle name="输出 2 4 7 2 7" xfId="19736" xr:uid="{00000000-0005-0000-0000-0000484D0000}"/>
    <cellStyle name="输出 2 4 7 2 8" xfId="19741" xr:uid="{00000000-0005-0000-0000-00004D4D0000}"/>
    <cellStyle name="输出 2 4 7 2 9" xfId="13804" xr:uid="{00000000-0005-0000-0000-00001C360000}"/>
    <cellStyle name="输出 2 4 7 3" xfId="31011" xr:uid="{00000000-0005-0000-0000-000053790000}"/>
    <cellStyle name="输出 2 4 7 3 2" xfId="19347" xr:uid="{00000000-0005-0000-0000-0000C34B0000}"/>
    <cellStyle name="输出 2 4 7 3 2 2" xfId="19350" xr:uid="{00000000-0005-0000-0000-0000C64B0000}"/>
    <cellStyle name="输出 2 4 7 3 3" xfId="19354" xr:uid="{00000000-0005-0000-0000-0000CA4B0000}"/>
    <cellStyle name="输出 2 4 7 3 3 2" xfId="31013" xr:uid="{00000000-0005-0000-0000-000055790000}"/>
    <cellStyle name="输出 2 4 7 3 4" xfId="31015" xr:uid="{00000000-0005-0000-0000-000057790000}"/>
    <cellStyle name="输出 2 4 7 3 4 2" xfId="31017" xr:uid="{00000000-0005-0000-0000-000059790000}"/>
    <cellStyle name="输出 2 4 7 3 5" xfId="31019" xr:uid="{00000000-0005-0000-0000-00005B790000}"/>
    <cellStyle name="输出 2 4 7 3 5 2" xfId="31021" xr:uid="{00000000-0005-0000-0000-00005D790000}"/>
    <cellStyle name="输出 2 4 7 3 6" xfId="31023" xr:uid="{00000000-0005-0000-0000-00005F790000}"/>
    <cellStyle name="输出 2 4 7 4" xfId="31029" xr:uid="{00000000-0005-0000-0000-000065790000}"/>
    <cellStyle name="输出 2 4 7 4 2" xfId="19368" xr:uid="{00000000-0005-0000-0000-0000D84B0000}"/>
    <cellStyle name="输出 2 4 7 4 2 2" xfId="19371" xr:uid="{00000000-0005-0000-0000-0000DB4B0000}"/>
    <cellStyle name="输出 2 4 7 4 3" xfId="19377" xr:uid="{00000000-0005-0000-0000-0000E14B0000}"/>
    <cellStyle name="输出 2 4 7 4 3 2" xfId="31031" xr:uid="{00000000-0005-0000-0000-000067790000}"/>
    <cellStyle name="输出 2 4 7 4 4" xfId="31033" xr:uid="{00000000-0005-0000-0000-000069790000}"/>
    <cellStyle name="输出 2 4 7 4 4 2" xfId="31035" xr:uid="{00000000-0005-0000-0000-00006B790000}"/>
    <cellStyle name="输出 2 4 7 4 5" xfId="31037" xr:uid="{00000000-0005-0000-0000-00006D790000}"/>
    <cellStyle name="输出 2 4 7 4 5 2" xfId="31040" xr:uid="{00000000-0005-0000-0000-000070790000}"/>
    <cellStyle name="输出 2 4 7 4 6" xfId="31043" xr:uid="{00000000-0005-0000-0000-000073790000}"/>
    <cellStyle name="输出 2 4 7 5" xfId="31046" xr:uid="{00000000-0005-0000-0000-000076790000}"/>
    <cellStyle name="输出 2 4 7 5 2" xfId="17704" xr:uid="{00000000-0005-0000-0000-000058450000}"/>
    <cellStyle name="输出 2 4 7 5 2 2" xfId="13743" xr:uid="{00000000-0005-0000-0000-0000DF350000}"/>
    <cellStyle name="输出 2 4 7 5 3" xfId="17726" xr:uid="{00000000-0005-0000-0000-00006E450000}"/>
    <cellStyle name="输出 2 4 7 5 3 2" xfId="31048" xr:uid="{00000000-0005-0000-0000-000078790000}"/>
    <cellStyle name="输出 2 4 7 5 4" xfId="31050" xr:uid="{00000000-0005-0000-0000-00007A790000}"/>
    <cellStyle name="输出 2 4 7 5 4 2" xfId="31052" xr:uid="{00000000-0005-0000-0000-00007C790000}"/>
    <cellStyle name="输出 2 4 7 5 5" xfId="31055" xr:uid="{00000000-0005-0000-0000-00007F790000}"/>
    <cellStyle name="输出 2 4 7 5 5 2" xfId="31059" xr:uid="{00000000-0005-0000-0000-000083790000}"/>
    <cellStyle name="输出 2 4 7 5 6" xfId="31062" xr:uid="{00000000-0005-0000-0000-000086790000}"/>
    <cellStyle name="输出 2 4 7 6" xfId="31065" xr:uid="{00000000-0005-0000-0000-000089790000}"/>
    <cellStyle name="输出 2 4 7 6 2" xfId="17886" xr:uid="{00000000-0005-0000-0000-00000E460000}"/>
    <cellStyle name="输出 2 4 7 6 2 2" xfId="120" xr:uid="{00000000-0005-0000-0000-000082000000}"/>
    <cellStyle name="输出 2 4 7 6 3" xfId="17914" xr:uid="{00000000-0005-0000-0000-00002A460000}"/>
    <cellStyle name="输出 2 4 7 6 3 2" xfId="31067" xr:uid="{00000000-0005-0000-0000-00008B790000}"/>
    <cellStyle name="输出 2 4 7 6 4" xfId="31069" xr:uid="{00000000-0005-0000-0000-00008D790000}"/>
    <cellStyle name="输出 2 4 7 6 4 2" xfId="31071" xr:uid="{00000000-0005-0000-0000-00008F790000}"/>
    <cellStyle name="输出 2 4 7 6 5" xfId="31074" xr:uid="{00000000-0005-0000-0000-000092790000}"/>
    <cellStyle name="输出 2 4 7 6 5 2" xfId="31077" xr:uid="{00000000-0005-0000-0000-000095790000}"/>
    <cellStyle name="输出 2 4 7 6 6" xfId="31081" xr:uid="{00000000-0005-0000-0000-000099790000}"/>
    <cellStyle name="输出 2 4 7 7" xfId="31087" xr:uid="{00000000-0005-0000-0000-00009F790000}"/>
    <cellStyle name="输出 2 4 7 7 2" xfId="18087" xr:uid="{00000000-0005-0000-0000-0000D7460000}"/>
    <cellStyle name="输出 2 4 7 7 2 2" xfId="18097" xr:uid="{00000000-0005-0000-0000-0000E1460000}"/>
    <cellStyle name="输出 2 4 7 7 3" xfId="18132" xr:uid="{00000000-0005-0000-0000-000004470000}"/>
    <cellStyle name="输出 2 4 7 7 3 2" xfId="31089" xr:uid="{00000000-0005-0000-0000-0000A1790000}"/>
    <cellStyle name="输出 2 4 7 7 4" xfId="31092" xr:uid="{00000000-0005-0000-0000-0000A4790000}"/>
    <cellStyle name="输出 2 4 7 7 4 2" xfId="31094" xr:uid="{00000000-0005-0000-0000-0000A6790000}"/>
    <cellStyle name="输出 2 4 7 7 5" xfId="31097" xr:uid="{00000000-0005-0000-0000-0000A9790000}"/>
    <cellStyle name="输出 2 4 7 7 5 2" xfId="31100" xr:uid="{00000000-0005-0000-0000-0000AC790000}"/>
    <cellStyle name="输出 2 4 7 7 6" xfId="31103" xr:uid="{00000000-0005-0000-0000-0000AF790000}"/>
    <cellStyle name="输出 2 4 7 8" xfId="24977" xr:uid="{00000000-0005-0000-0000-0000C1610000}"/>
    <cellStyle name="输出 2 4 7 8 2" xfId="18362" xr:uid="{00000000-0005-0000-0000-0000EA470000}"/>
    <cellStyle name="输出 2 4 7 8 2 2" xfId="18369" xr:uid="{00000000-0005-0000-0000-0000F1470000}"/>
    <cellStyle name="输出 2 4 7 8 3" xfId="18422" xr:uid="{00000000-0005-0000-0000-000026480000}"/>
    <cellStyle name="输出 2 4 7 8 3 2" xfId="18428" xr:uid="{00000000-0005-0000-0000-00002C480000}"/>
    <cellStyle name="输出 2 4 7 8 4" xfId="31107" xr:uid="{00000000-0005-0000-0000-0000B3790000}"/>
    <cellStyle name="输出 2 4 7 8 4 2" xfId="18474" xr:uid="{00000000-0005-0000-0000-00005A480000}"/>
    <cellStyle name="输出 2 4 7 8 5" xfId="31111" xr:uid="{00000000-0005-0000-0000-0000B7790000}"/>
    <cellStyle name="输出 2 4 7 9" xfId="31118" xr:uid="{00000000-0005-0000-0000-0000BE790000}"/>
    <cellStyle name="输出 2 4 7 9 2" xfId="18690" xr:uid="{00000000-0005-0000-0000-000032490000}"/>
    <cellStyle name="输出 2 4 8" xfId="35400" xr:uid="{00000000-0005-0000-0000-0000788A0000}"/>
    <cellStyle name="输出 2 4 8 10" xfId="30659" xr:uid="{00000000-0005-0000-0000-0000F3770000}"/>
    <cellStyle name="输出 2 4 8 10 2" xfId="30662" xr:uid="{00000000-0005-0000-0000-0000F6770000}"/>
    <cellStyle name="输出 2 4 8 11" xfId="4133" xr:uid="{00000000-0005-0000-0000-000055100000}"/>
    <cellStyle name="输出 2 4 8 11 2" xfId="40810" xr:uid="{00000000-0005-0000-0000-00009A9F0000}"/>
    <cellStyle name="输出 2 4 8 12" xfId="30664" xr:uid="{00000000-0005-0000-0000-0000F8770000}"/>
    <cellStyle name="输出 2 4 8 12 2" xfId="40812" xr:uid="{00000000-0005-0000-0000-00009C9F0000}"/>
    <cellStyle name="输出 2 4 8 13" xfId="30666" xr:uid="{00000000-0005-0000-0000-0000FA770000}"/>
    <cellStyle name="输出 2 4 8 14" xfId="30672" xr:uid="{00000000-0005-0000-0000-000000780000}"/>
    <cellStyle name="输出 2 4 8 15" xfId="6821" xr:uid="{00000000-0005-0000-0000-0000D51A0000}"/>
    <cellStyle name="输出 2 4 8 16" xfId="31138" xr:uid="{00000000-0005-0000-0000-0000D2790000}"/>
    <cellStyle name="输出 2 4 8 2" xfId="40814" xr:uid="{00000000-0005-0000-0000-00009E9F0000}"/>
    <cellStyle name="输出 2 4 8 2 2" xfId="40816" xr:uid="{00000000-0005-0000-0000-0000A09F0000}"/>
    <cellStyle name="输出 2 4 8 2 2 2" xfId="34692" xr:uid="{00000000-0005-0000-0000-0000B4870000}"/>
    <cellStyle name="输出 2 4 8 2 3" xfId="40817" xr:uid="{00000000-0005-0000-0000-0000A19F0000}"/>
    <cellStyle name="输出 2 4 8 2 3 2" xfId="34708" xr:uid="{00000000-0005-0000-0000-0000C4870000}"/>
    <cellStyle name="输出 2 4 8 2 4" xfId="17075" xr:uid="{00000000-0005-0000-0000-0000E3420000}"/>
    <cellStyle name="输出 2 4 8 2 4 2" xfId="34723" xr:uid="{00000000-0005-0000-0000-0000D3870000}"/>
    <cellStyle name="输出 2 4 8 2 5" xfId="40818" xr:uid="{00000000-0005-0000-0000-0000A29F0000}"/>
    <cellStyle name="输出 2 4 8 2 5 2" xfId="40819" xr:uid="{00000000-0005-0000-0000-0000A39F0000}"/>
    <cellStyle name="输出 2 4 8 2 6" xfId="40820" xr:uid="{00000000-0005-0000-0000-0000A49F0000}"/>
    <cellStyle name="输出 2 4 8 2 7" xfId="20160" xr:uid="{00000000-0005-0000-0000-0000F04E0000}"/>
    <cellStyle name="输出 2 4 8 2 8" xfId="20165" xr:uid="{00000000-0005-0000-0000-0000F54E0000}"/>
    <cellStyle name="输出 2 4 8 2 9" xfId="13816" xr:uid="{00000000-0005-0000-0000-000028360000}"/>
    <cellStyle name="输出 2 4 8 3" xfId="31157" xr:uid="{00000000-0005-0000-0000-0000E5790000}"/>
    <cellStyle name="输出 2 4 8 3 2" xfId="31159" xr:uid="{00000000-0005-0000-0000-0000E7790000}"/>
    <cellStyle name="输出 2 4 8 3 2 2" xfId="31161" xr:uid="{00000000-0005-0000-0000-0000E9790000}"/>
    <cellStyle name="输出 2 4 8 3 3" xfId="31163" xr:uid="{00000000-0005-0000-0000-0000EB790000}"/>
    <cellStyle name="输出 2 4 8 3 3 2" xfId="31165" xr:uid="{00000000-0005-0000-0000-0000ED790000}"/>
    <cellStyle name="输出 2 4 8 3 4" xfId="31167" xr:uid="{00000000-0005-0000-0000-0000EF790000}"/>
    <cellStyle name="输出 2 4 8 3 4 2" xfId="31169" xr:uid="{00000000-0005-0000-0000-0000F1790000}"/>
    <cellStyle name="输出 2 4 8 3 5" xfId="31171" xr:uid="{00000000-0005-0000-0000-0000F3790000}"/>
    <cellStyle name="输出 2 4 8 3 5 2" xfId="31173" xr:uid="{00000000-0005-0000-0000-0000F5790000}"/>
    <cellStyle name="输出 2 4 8 3 6" xfId="31175" xr:uid="{00000000-0005-0000-0000-0000F7790000}"/>
    <cellStyle name="输出 2 4 8 4" xfId="31181" xr:uid="{00000000-0005-0000-0000-0000FD790000}"/>
    <cellStyle name="输出 2 4 8 4 2" xfId="31183" xr:uid="{00000000-0005-0000-0000-0000FF790000}"/>
    <cellStyle name="输出 2 4 8 4 2 2" xfId="31186" xr:uid="{00000000-0005-0000-0000-0000027A0000}"/>
    <cellStyle name="输出 2 4 8 4 3" xfId="31188" xr:uid="{00000000-0005-0000-0000-0000047A0000}"/>
    <cellStyle name="输出 2 4 8 4 3 2" xfId="31190" xr:uid="{00000000-0005-0000-0000-0000067A0000}"/>
    <cellStyle name="输出 2 4 8 4 4" xfId="31192" xr:uid="{00000000-0005-0000-0000-0000087A0000}"/>
    <cellStyle name="输出 2 4 8 4 4 2" xfId="31194" xr:uid="{00000000-0005-0000-0000-00000A7A0000}"/>
    <cellStyle name="输出 2 4 8 4 5" xfId="31196" xr:uid="{00000000-0005-0000-0000-00000C7A0000}"/>
    <cellStyle name="输出 2 4 8 4 5 2" xfId="31198" xr:uid="{00000000-0005-0000-0000-00000E7A0000}"/>
    <cellStyle name="输出 2 4 8 4 6" xfId="31200" xr:uid="{00000000-0005-0000-0000-0000107A0000}"/>
    <cellStyle name="输出 2 4 8 5" xfId="31203" xr:uid="{00000000-0005-0000-0000-0000137A0000}"/>
    <cellStyle name="输出 2 4 8 5 2" xfId="31205" xr:uid="{00000000-0005-0000-0000-0000157A0000}"/>
    <cellStyle name="输出 2 4 8 5 2 2" xfId="31208" xr:uid="{00000000-0005-0000-0000-0000187A0000}"/>
    <cellStyle name="输出 2 4 8 5 3" xfId="31210" xr:uid="{00000000-0005-0000-0000-00001A7A0000}"/>
    <cellStyle name="输出 2 4 8 5 3 2" xfId="31212" xr:uid="{00000000-0005-0000-0000-00001C7A0000}"/>
    <cellStyle name="输出 2 4 8 5 4" xfId="31214" xr:uid="{00000000-0005-0000-0000-00001E7A0000}"/>
    <cellStyle name="输出 2 4 8 5 4 2" xfId="31216" xr:uid="{00000000-0005-0000-0000-0000207A0000}"/>
    <cellStyle name="输出 2 4 8 5 5" xfId="31219" xr:uid="{00000000-0005-0000-0000-0000237A0000}"/>
    <cellStyle name="输出 2 4 8 5 5 2" xfId="19599" xr:uid="{00000000-0005-0000-0000-0000BF4C0000}"/>
    <cellStyle name="输出 2 4 8 5 6" xfId="31221" xr:uid="{00000000-0005-0000-0000-0000257A0000}"/>
    <cellStyle name="输出 2 4 8 6" xfId="31224" xr:uid="{00000000-0005-0000-0000-0000287A0000}"/>
    <cellStyle name="输出 2 4 8 6 2" xfId="31226" xr:uid="{00000000-0005-0000-0000-00002A7A0000}"/>
    <cellStyle name="输出 2 4 8 6 2 2" xfId="31230" xr:uid="{00000000-0005-0000-0000-00002E7A0000}"/>
    <cellStyle name="输出 2 4 8 6 3" xfId="31232" xr:uid="{00000000-0005-0000-0000-0000307A0000}"/>
    <cellStyle name="输出 2 4 8 6 3 2" xfId="31235" xr:uid="{00000000-0005-0000-0000-0000337A0000}"/>
    <cellStyle name="输出 2 4 8 6 4" xfId="31237" xr:uid="{00000000-0005-0000-0000-0000357A0000}"/>
    <cellStyle name="输出 2 4 8 6 4 2" xfId="31240" xr:uid="{00000000-0005-0000-0000-0000387A0000}"/>
    <cellStyle name="输出 2 4 8 6 5" xfId="31243" xr:uid="{00000000-0005-0000-0000-00003B7A0000}"/>
    <cellStyle name="输出 2 4 8 6 5 2" xfId="31246" xr:uid="{00000000-0005-0000-0000-00003E7A0000}"/>
    <cellStyle name="输出 2 4 8 6 6" xfId="31249" xr:uid="{00000000-0005-0000-0000-0000417A0000}"/>
    <cellStyle name="输出 2 4 8 7" xfId="31255" xr:uid="{00000000-0005-0000-0000-0000477A0000}"/>
    <cellStyle name="输出 2 4 8 7 2" xfId="31258" xr:uid="{00000000-0005-0000-0000-00004A7A0000}"/>
    <cellStyle name="输出 2 4 8 7 2 2" xfId="1163" xr:uid="{00000000-0005-0000-0000-0000BB040000}"/>
    <cellStyle name="输出 2 4 8 7 3" xfId="31260" xr:uid="{00000000-0005-0000-0000-00004C7A0000}"/>
    <cellStyle name="输出 2 4 8 7 3 2" xfId="31262" xr:uid="{00000000-0005-0000-0000-00004E7A0000}"/>
    <cellStyle name="输出 2 4 8 7 4" xfId="15678" xr:uid="{00000000-0005-0000-0000-00006E3D0000}"/>
    <cellStyle name="输出 2 4 8 7 4 2" xfId="31264" xr:uid="{00000000-0005-0000-0000-0000507A0000}"/>
    <cellStyle name="输出 2 4 8 7 5" xfId="31267" xr:uid="{00000000-0005-0000-0000-0000537A0000}"/>
    <cellStyle name="输出 2 4 8 7 5 2" xfId="31269" xr:uid="{00000000-0005-0000-0000-0000557A0000}"/>
    <cellStyle name="输出 2 4 8 7 6" xfId="31272" xr:uid="{00000000-0005-0000-0000-0000587A0000}"/>
    <cellStyle name="输出 2 4 8 8" xfId="24989" xr:uid="{00000000-0005-0000-0000-0000CD610000}"/>
    <cellStyle name="输出 2 4 8 8 2" xfId="31275" xr:uid="{00000000-0005-0000-0000-00005B7A0000}"/>
    <cellStyle name="输出 2 4 8 8 2 2" xfId="31278" xr:uid="{00000000-0005-0000-0000-00005E7A0000}"/>
    <cellStyle name="输出 2 4 8 8 3" xfId="31281" xr:uid="{00000000-0005-0000-0000-0000617A0000}"/>
    <cellStyle name="输出 2 4 8 8 3 2" xfId="31285" xr:uid="{00000000-0005-0000-0000-0000657A0000}"/>
    <cellStyle name="输出 2 4 8 8 4" xfId="15691" xr:uid="{00000000-0005-0000-0000-00007B3D0000}"/>
    <cellStyle name="输出 2 4 8 8 4 2" xfId="31291" xr:uid="{00000000-0005-0000-0000-00006B7A0000}"/>
    <cellStyle name="输出 2 4 8 8 5" xfId="31295" xr:uid="{00000000-0005-0000-0000-00006F7A0000}"/>
    <cellStyle name="输出 2 4 8 9" xfId="31305" xr:uid="{00000000-0005-0000-0000-0000797A0000}"/>
    <cellStyle name="输出 2 4 8 9 2" xfId="31308" xr:uid="{00000000-0005-0000-0000-00007C7A0000}"/>
    <cellStyle name="输出 2 4 9" xfId="40821" xr:uid="{00000000-0005-0000-0000-0000A59F0000}"/>
    <cellStyle name="输出 2 4 9 10" xfId="30726" xr:uid="{00000000-0005-0000-0000-000036780000}"/>
    <cellStyle name="输出 2 4 9 10 2" xfId="30729" xr:uid="{00000000-0005-0000-0000-000039780000}"/>
    <cellStyle name="输出 2 4 9 11" xfId="30734" xr:uid="{00000000-0005-0000-0000-00003E780000}"/>
    <cellStyle name="输出 2 4 9 11 2" xfId="40504" xr:uid="{00000000-0005-0000-0000-0000689E0000}"/>
    <cellStyle name="输出 2 4 9 12" xfId="40823" xr:uid="{00000000-0005-0000-0000-0000A79F0000}"/>
    <cellStyle name="输出 2 4 9 12 2" xfId="40563" xr:uid="{00000000-0005-0000-0000-0000A39E0000}"/>
    <cellStyle name="输出 2 4 9 13" xfId="40824" xr:uid="{00000000-0005-0000-0000-0000A89F0000}"/>
    <cellStyle name="输出 2 4 9 14" xfId="40825" xr:uid="{00000000-0005-0000-0000-0000A99F0000}"/>
    <cellStyle name="输出 2 4 9 15" xfId="31328" xr:uid="{00000000-0005-0000-0000-0000907A0000}"/>
    <cellStyle name="输出 2 4 9 16" xfId="31333" xr:uid="{00000000-0005-0000-0000-0000957A0000}"/>
    <cellStyle name="输出 2 4 9 2" xfId="40828" xr:uid="{00000000-0005-0000-0000-0000AC9F0000}"/>
    <cellStyle name="输出 2 4 9 2 2" xfId="37993" xr:uid="{00000000-0005-0000-0000-000099940000}"/>
    <cellStyle name="输出 2 4 9 2 2 2" xfId="35058" xr:uid="{00000000-0005-0000-0000-000022890000}"/>
    <cellStyle name="输出 2 4 9 2 3" xfId="38036" xr:uid="{00000000-0005-0000-0000-0000C4940000}"/>
    <cellStyle name="输出 2 4 9 2 3 2" xfId="35070" xr:uid="{00000000-0005-0000-0000-00002E890000}"/>
    <cellStyle name="输出 2 4 9 2 4" xfId="17107" xr:uid="{00000000-0005-0000-0000-000003430000}"/>
    <cellStyle name="输出 2 4 9 2 4 2" xfId="35081" xr:uid="{00000000-0005-0000-0000-000039890000}"/>
    <cellStyle name="输出 2 4 9 2 5" xfId="40830" xr:uid="{00000000-0005-0000-0000-0000AE9F0000}"/>
    <cellStyle name="输出 2 4 9 2 5 2" xfId="40831" xr:uid="{00000000-0005-0000-0000-0000AF9F0000}"/>
    <cellStyle name="输出 2 4 9 2 6" xfId="40832" xr:uid="{00000000-0005-0000-0000-0000B09F0000}"/>
    <cellStyle name="输出 2 4 9 2 7" xfId="27610" xr:uid="{00000000-0005-0000-0000-00000A6C0000}"/>
    <cellStyle name="输出 2 4 9 2 8" xfId="17978" xr:uid="{00000000-0005-0000-0000-00006A460000}"/>
    <cellStyle name="输出 2 4 9 2 9" xfId="40833" xr:uid="{00000000-0005-0000-0000-0000B19F0000}"/>
    <cellStyle name="输出 2 4 9 3" xfId="31347" xr:uid="{00000000-0005-0000-0000-0000A37A0000}"/>
    <cellStyle name="输出 2 4 9 3 2" xfId="31350" xr:uid="{00000000-0005-0000-0000-0000A67A0000}"/>
    <cellStyle name="输出 2 4 9 3 2 2" xfId="31353" xr:uid="{00000000-0005-0000-0000-0000A97A0000}"/>
    <cellStyle name="输出 2 4 9 3 3" xfId="31356" xr:uid="{00000000-0005-0000-0000-0000AC7A0000}"/>
    <cellStyle name="输出 2 4 9 3 3 2" xfId="31359" xr:uid="{00000000-0005-0000-0000-0000AF7A0000}"/>
    <cellStyle name="输出 2 4 9 3 4" xfId="31361" xr:uid="{00000000-0005-0000-0000-0000B17A0000}"/>
    <cellStyle name="输出 2 4 9 3 4 2" xfId="31363" xr:uid="{00000000-0005-0000-0000-0000B37A0000}"/>
    <cellStyle name="输出 2 4 9 3 5" xfId="31365" xr:uid="{00000000-0005-0000-0000-0000B57A0000}"/>
    <cellStyle name="输出 2 4 9 3 5 2" xfId="31367" xr:uid="{00000000-0005-0000-0000-0000B77A0000}"/>
    <cellStyle name="输出 2 4 9 3 6" xfId="31369" xr:uid="{00000000-0005-0000-0000-0000B97A0000}"/>
    <cellStyle name="输出 2 4 9 4" xfId="31374" xr:uid="{00000000-0005-0000-0000-0000BE7A0000}"/>
    <cellStyle name="输出 2 4 9 4 2" xfId="31377" xr:uid="{00000000-0005-0000-0000-0000C17A0000}"/>
    <cellStyle name="输出 2 4 9 4 2 2" xfId="31380" xr:uid="{00000000-0005-0000-0000-0000C47A0000}"/>
    <cellStyle name="输出 2 4 9 4 3" xfId="24817" xr:uid="{00000000-0005-0000-0000-000021610000}"/>
    <cellStyle name="输出 2 4 9 4 3 2" xfId="26185" xr:uid="{00000000-0005-0000-0000-000079660000}"/>
    <cellStyle name="输出 2 4 9 4 4" xfId="17118" xr:uid="{00000000-0005-0000-0000-00000E430000}"/>
    <cellStyle name="输出 2 4 9 4 4 2" xfId="26189" xr:uid="{00000000-0005-0000-0000-00007D660000}"/>
    <cellStyle name="输出 2 4 9 4 5" xfId="26193" xr:uid="{00000000-0005-0000-0000-000081660000}"/>
    <cellStyle name="输出 2 4 9 4 5 2" xfId="26197" xr:uid="{00000000-0005-0000-0000-000085660000}"/>
    <cellStyle name="输出 2 4 9 4 6" xfId="26201" xr:uid="{00000000-0005-0000-0000-000089660000}"/>
    <cellStyle name="输出 2 4 9 5" xfId="31382" xr:uid="{00000000-0005-0000-0000-0000C67A0000}"/>
    <cellStyle name="输出 2 4 9 5 2" xfId="31385" xr:uid="{00000000-0005-0000-0000-0000C97A0000}"/>
    <cellStyle name="输出 2 4 9 5 2 2" xfId="31388" xr:uid="{00000000-0005-0000-0000-0000CC7A0000}"/>
    <cellStyle name="输出 2 4 9 5 3" xfId="31391" xr:uid="{00000000-0005-0000-0000-0000CF7A0000}"/>
    <cellStyle name="输出 2 4 9 5 3 2" xfId="31394" xr:uid="{00000000-0005-0000-0000-0000D27A0000}"/>
    <cellStyle name="输出 2 4 9 5 4" xfId="31396" xr:uid="{00000000-0005-0000-0000-0000D47A0000}"/>
    <cellStyle name="输出 2 4 9 5 4 2" xfId="31398" xr:uid="{00000000-0005-0000-0000-0000D67A0000}"/>
    <cellStyle name="输出 2 4 9 5 5" xfId="31401" xr:uid="{00000000-0005-0000-0000-0000D97A0000}"/>
    <cellStyle name="输出 2 4 9 5 5 2" xfId="31403" xr:uid="{00000000-0005-0000-0000-0000DB7A0000}"/>
    <cellStyle name="输出 2 4 9 5 6" xfId="31405" xr:uid="{00000000-0005-0000-0000-0000DD7A0000}"/>
    <cellStyle name="输出 2 4 9 6" xfId="31409" xr:uid="{00000000-0005-0000-0000-0000E17A0000}"/>
    <cellStyle name="输出 2 4 9 6 2" xfId="31413" xr:uid="{00000000-0005-0000-0000-0000E57A0000}"/>
    <cellStyle name="输出 2 4 9 6 2 2" xfId="31416" xr:uid="{00000000-0005-0000-0000-0000E87A0000}"/>
    <cellStyle name="输出 2 4 9 6 3" xfId="31419" xr:uid="{00000000-0005-0000-0000-0000EB7A0000}"/>
    <cellStyle name="输出 2 4 9 6 3 2" xfId="31422" xr:uid="{00000000-0005-0000-0000-0000EE7A0000}"/>
    <cellStyle name="输出 2 4 9 6 4" xfId="31424" xr:uid="{00000000-0005-0000-0000-0000F07A0000}"/>
    <cellStyle name="输出 2 4 9 6 4 2" xfId="31426" xr:uid="{00000000-0005-0000-0000-0000F27A0000}"/>
    <cellStyle name="输出 2 4 9 6 5" xfId="31429" xr:uid="{00000000-0005-0000-0000-0000F57A0000}"/>
    <cellStyle name="输出 2 4 9 6 5 2" xfId="31431" xr:uid="{00000000-0005-0000-0000-0000F77A0000}"/>
    <cellStyle name="输出 2 4 9 6 6" xfId="31434" xr:uid="{00000000-0005-0000-0000-0000FA7A0000}"/>
    <cellStyle name="输出 2 4 9 7" xfId="31439" xr:uid="{00000000-0005-0000-0000-0000FF7A0000}"/>
    <cellStyle name="输出 2 4 9 7 2" xfId="31444" xr:uid="{00000000-0005-0000-0000-0000047B0000}"/>
    <cellStyle name="输出 2 4 9 7 2 2" xfId="31449" xr:uid="{00000000-0005-0000-0000-0000097B0000}"/>
    <cellStyle name="输出 2 4 9 7 3" xfId="31452" xr:uid="{00000000-0005-0000-0000-00000C7B0000}"/>
    <cellStyle name="输出 2 4 9 7 3 2" xfId="31455" xr:uid="{00000000-0005-0000-0000-00000F7B0000}"/>
    <cellStyle name="输出 2 4 9 7 4" xfId="31457" xr:uid="{00000000-0005-0000-0000-0000117B0000}"/>
    <cellStyle name="输出 2 4 9 7 4 2" xfId="31459" xr:uid="{00000000-0005-0000-0000-0000137B0000}"/>
    <cellStyle name="输出 2 4 9 7 5" xfId="31462" xr:uid="{00000000-0005-0000-0000-0000167B0000}"/>
    <cellStyle name="输出 2 4 9 7 5 2" xfId="31464" xr:uid="{00000000-0005-0000-0000-0000187B0000}"/>
    <cellStyle name="输出 2 4 9 7 6" xfId="31467" xr:uid="{00000000-0005-0000-0000-00001B7B0000}"/>
    <cellStyle name="输出 2 4 9 8" xfId="25000" xr:uid="{00000000-0005-0000-0000-0000D8610000}"/>
    <cellStyle name="输出 2 4 9 8 2" xfId="31472" xr:uid="{00000000-0005-0000-0000-0000207B0000}"/>
    <cellStyle name="输出 2 4 9 8 2 2" xfId="31473" xr:uid="{00000000-0005-0000-0000-0000217B0000}"/>
    <cellStyle name="输出 2 4 9 8 3" xfId="31480" xr:uid="{00000000-0005-0000-0000-0000287B0000}"/>
    <cellStyle name="输出 2 4 9 8 3 2" xfId="31482" xr:uid="{00000000-0005-0000-0000-00002A7B0000}"/>
    <cellStyle name="输出 2 4 9 8 4" xfId="31488" xr:uid="{00000000-0005-0000-0000-0000307B0000}"/>
    <cellStyle name="输出 2 4 9 8 4 2" xfId="31490" xr:uid="{00000000-0005-0000-0000-0000327B0000}"/>
    <cellStyle name="输出 2 4 9 8 5" xfId="31496" xr:uid="{00000000-0005-0000-0000-0000387B0000}"/>
    <cellStyle name="输出 2 4 9 9" xfId="31505" xr:uid="{00000000-0005-0000-0000-0000417B0000}"/>
    <cellStyle name="输出 2 4 9 9 2" xfId="31509" xr:uid="{00000000-0005-0000-0000-0000457B0000}"/>
    <cellStyle name="输出 2 5" xfId="40835" xr:uid="{00000000-0005-0000-0000-0000B39F0000}"/>
    <cellStyle name="输出 2 5 10" xfId="15746" xr:uid="{00000000-0005-0000-0000-0000B23D0000}"/>
    <cellStyle name="输出 2 5 10 10" xfId="5853" xr:uid="{00000000-0005-0000-0000-00000D170000}"/>
    <cellStyle name="输出 2 5 10 10 2" xfId="5869" xr:uid="{00000000-0005-0000-0000-00001D170000}"/>
    <cellStyle name="输出 2 5 10 11" xfId="5884" xr:uid="{00000000-0005-0000-0000-00002C170000}"/>
    <cellStyle name="输出 2 5 10 11 2" xfId="5899" xr:uid="{00000000-0005-0000-0000-00003B170000}"/>
    <cellStyle name="输出 2 5 10 12" xfId="5926" xr:uid="{00000000-0005-0000-0000-000056170000}"/>
    <cellStyle name="输出 2 5 10 12 2" xfId="5944" xr:uid="{00000000-0005-0000-0000-000068170000}"/>
    <cellStyle name="输出 2 5 10 13" xfId="5959" xr:uid="{00000000-0005-0000-0000-000077170000}"/>
    <cellStyle name="输出 2 5 10 14" xfId="10496" xr:uid="{00000000-0005-0000-0000-000030290000}"/>
    <cellStyle name="输出 2 5 10 15" xfId="1233" xr:uid="{00000000-0005-0000-0000-000001050000}"/>
    <cellStyle name="输出 2 5 10 16" xfId="10519" xr:uid="{00000000-0005-0000-0000-000047290000}"/>
    <cellStyle name="输出 2 5 10 2" xfId="20986" xr:uid="{00000000-0005-0000-0000-00002A520000}"/>
    <cellStyle name="输出 2 5 10 2 2" xfId="20089" xr:uid="{00000000-0005-0000-0000-0000A94E0000}"/>
    <cellStyle name="输出 2 5 10 2 2 2" xfId="40246" xr:uid="{00000000-0005-0000-0000-0000669D0000}"/>
    <cellStyle name="输出 2 5 10 2 3" xfId="39575" xr:uid="{00000000-0005-0000-0000-0000C79A0000}"/>
    <cellStyle name="输出 2 5 10 2 3 2" xfId="40254" xr:uid="{00000000-0005-0000-0000-00006E9D0000}"/>
    <cellStyle name="输出 2 5 10 2 4" xfId="24014" xr:uid="{00000000-0005-0000-0000-0000FE5D0000}"/>
    <cellStyle name="输出 2 5 10 2 4 2" xfId="40262" xr:uid="{00000000-0005-0000-0000-0000769D0000}"/>
    <cellStyle name="输出 2 5 10 2 5" xfId="30128" xr:uid="{00000000-0005-0000-0000-0000E0750000}"/>
    <cellStyle name="输出 2 5 10 2 5 2" xfId="1752" xr:uid="{00000000-0005-0000-0000-000008070000}"/>
    <cellStyle name="输出 2 5 10 2 6" xfId="40837" xr:uid="{00000000-0005-0000-0000-0000B59F0000}"/>
    <cellStyle name="输出 2 5 10 2 7" xfId="40838" xr:uid="{00000000-0005-0000-0000-0000B69F0000}"/>
    <cellStyle name="输出 2 5 10 2 8" xfId="40839" xr:uid="{00000000-0005-0000-0000-0000B79F0000}"/>
    <cellStyle name="输出 2 5 10 2 9" xfId="20073" xr:uid="{00000000-0005-0000-0000-0000994E0000}"/>
    <cellStyle name="输出 2 5 10 3" xfId="626" xr:uid="{00000000-0005-0000-0000-0000A2020000}"/>
    <cellStyle name="输出 2 5 10 3 2" xfId="3812" xr:uid="{00000000-0005-0000-0000-0000140F0000}"/>
    <cellStyle name="输出 2 5 10 3 2 2" xfId="33666" xr:uid="{00000000-0005-0000-0000-0000B2830000}"/>
    <cellStyle name="输出 2 5 10 3 3" xfId="33670" xr:uid="{00000000-0005-0000-0000-0000B6830000}"/>
    <cellStyle name="输出 2 5 10 3 3 2" xfId="33674" xr:uid="{00000000-0005-0000-0000-0000BA830000}"/>
    <cellStyle name="输出 2 5 10 3 4" xfId="24020" xr:uid="{00000000-0005-0000-0000-0000045E0000}"/>
    <cellStyle name="输出 2 5 10 3 4 2" xfId="33677" xr:uid="{00000000-0005-0000-0000-0000BD830000}"/>
    <cellStyle name="输出 2 5 10 3 5" xfId="30138" xr:uid="{00000000-0005-0000-0000-0000EA750000}"/>
    <cellStyle name="输出 2 5 10 3 5 2" xfId="40199" xr:uid="{00000000-0005-0000-0000-0000379D0000}"/>
    <cellStyle name="输出 2 5 10 3 6" xfId="33680" xr:uid="{00000000-0005-0000-0000-0000C0830000}"/>
    <cellStyle name="输出 2 5 10 4" xfId="3819" xr:uid="{00000000-0005-0000-0000-00001B0F0000}"/>
    <cellStyle name="输出 2 5 10 4 2" xfId="3825" xr:uid="{00000000-0005-0000-0000-0000210F0000}"/>
    <cellStyle name="输出 2 5 10 4 2 2" xfId="29656" xr:uid="{00000000-0005-0000-0000-000008740000}"/>
    <cellStyle name="输出 2 5 10 4 3" xfId="39580" xr:uid="{00000000-0005-0000-0000-0000CC9A0000}"/>
    <cellStyle name="输出 2 5 10 4 3 2" xfId="29675" xr:uid="{00000000-0005-0000-0000-00001B740000}"/>
    <cellStyle name="输出 2 5 10 4 4" xfId="40840" xr:uid="{00000000-0005-0000-0000-0000B89F0000}"/>
    <cellStyle name="输出 2 5 10 4 4 2" xfId="29687" xr:uid="{00000000-0005-0000-0000-000027740000}"/>
    <cellStyle name="输出 2 5 10 4 5" xfId="40207" xr:uid="{00000000-0005-0000-0000-00003F9D0000}"/>
    <cellStyle name="输出 2 5 10 4 5 2" xfId="29700" xr:uid="{00000000-0005-0000-0000-000034740000}"/>
    <cellStyle name="输出 2 5 10 4 6" xfId="22616" xr:uid="{00000000-0005-0000-0000-000088580000}"/>
    <cellStyle name="输出 2 5 10 5" xfId="2068" xr:uid="{00000000-0005-0000-0000-000044080000}"/>
    <cellStyle name="输出 2 5 10 5 2" xfId="3832" xr:uid="{00000000-0005-0000-0000-0000280F0000}"/>
    <cellStyle name="输出 2 5 10 5 2 2" xfId="29819" xr:uid="{00000000-0005-0000-0000-0000AB740000}"/>
    <cellStyle name="输出 2 5 10 5 3" xfId="39584" xr:uid="{00000000-0005-0000-0000-0000D09A0000}"/>
    <cellStyle name="输出 2 5 10 5 3 2" xfId="29839" xr:uid="{00000000-0005-0000-0000-0000BF740000}"/>
    <cellStyle name="输出 2 5 10 5 4" xfId="40841" xr:uid="{00000000-0005-0000-0000-0000B99F0000}"/>
    <cellStyle name="输出 2 5 10 5 4 2" xfId="29856" xr:uid="{00000000-0005-0000-0000-0000D0740000}"/>
    <cellStyle name="输出 2 5 10 5 5" xfId="40210" xr:uid="{00000000-0005-0000-0000-0000429D0000}"/>
    <cellStyle name="输出 2 5 10 5 5 2" xfId="1217" xr:uid="{00000000-0005-0000-0000-0000F1040000}"/>
    <cellStyle name="输出 2 5 10 5 6" xfId="22624" xr:uid="{00000000-0005-0000-0000-000090580000}"/>
    <cellStyle name="输出 2 5 10 6" xfId="3845" xr:uid="{00000000-0005-0000-0000-0000350F0000}"/>
    <cellStyle name="输出 2 5 10 6 2" xfId="3854" xr:uid="{00000000-0005-0000-0000-00003E0F0000}"/>
    <cellStyle name="输出 2 5 10 6 2 2" xfId="29912" xr:uid="{00000000-0005-0000-0000-000008750000}"/>
    <cellStyle name="输出 2 5 10 6 3" xfId="40843" xr:uid="{00000000-0005-0000-0000-0000BB9F0000}"/>
    <cellStyle name="输出 2 5 10 6 3 2" xfId="29937" xr:uid="{00000000-0005-0000-0000-000021750000}"/>
    <cellStyle name="输出 2 5 10 6 4" xfId="40844" xr:uid="{00000000-0005-0000-0000-0000BC9F0000}"/>
    <cellStyle name="输出 2 5 10 6 4 2" xfId="29960" xr:uid="{00000000-0005-0000-0000-000038750000}"/>
    <cellStyle name="输出 2 5 10 6 5" xfId="40214" xr:uid="{00000000-0005-0000-0000-0000469D0000}"/>
    <cellStyle name="输出 2 5 10 6 5 2" xfId="25966" xr:uid="{00000000-0005-0000-0000-00009E650000}"/>
    <cellStyle name="输出 2 5 10 6 6" xfId="22629" xr:uid="{00000000-0005-0000-0000-000095580000}"/>
    <cellStyle name="输出 2 5 10 7" xfId="3881" xr:uid="{00000000-0005-0000-0000-0000590F0000}"/>
    <cellStyle name="输出 2 5 10 7 2" xfId="40845" xr:uid="{00000000-0005-0000-0000-0000BD9F0000}"/>
    <cellStyle name="输出 2 5 10 7 2 2" xfId="30050" xr:uid="{00000000-0005-0000-0000-000092750000}"/>
    <cellStyle name="输出 2 5 10 7 3" xfId="40846" xr:uid="{00000000-0005-0000-0000-0000BE9F0000}"/>
    <cellStyle name="输出 2 5 10 7 3 2" xfId="30083" xr:uid="{00000000-0005-0000-0000-0000B3750000}"/>
    <cellStyle name="输出 2 5 10 7 4" xfId="40848" xr:uid="{00000000-0005-0000-0000-0000C09F0000}"/>
    <cellStyle name="输出 2 5 10 7 4 2" xfId="30111" xr:uid="{00000000-0005-0000-0000-0000CF750000}"/>
    <cellStyle name="输出 2 5 10 7 5" xfId="40216" xr:uid="{00000000-0005-0000-0000-0000489D0000}"/>
    <cellStyle name="输出 2 5 10 7 5 2" xfId="26101" xr:uid="{00000000-0005-0000-0000-000025660000}"/>
    <cellStyle name="输出 2 5 10 7 6" xfId="22643" xr:uid="{00000000-0005-0000-0000-0000A3580000}"/>
    <cellStyle name="输出 2 5 10 8" xfId="40849" xr:uid="{00000000-0005-0000-0000-0000C19F0000}"/>
    <cellStyle name="输出 2 5 10 8 2" xfId="10971" xr:uid="{00000000-0005-0000-0000-00000B2B0000}"/>
    <cellStyle name="输出 2 5 10 8 2 2" xfId="30186" xr:uid="{00000000-0005-0000-0000-00001A760000}"/>
    <cellStyle name="输出 2 5 10 8 3" xfId="10974" xr:uid="{00000000-0005-0000-0000-00000E2B0000}"/>
    <cellStyle name="输出 2 5 10 8 3 2" xfId="27197" xr:uid="{00000000-0005-0000-0000-00006D6A0000}"/>
    <cellStyle name="输出 2 5 10 8 4" xfId="10989" xr:uid="{00000000-0005-0000-0000-00001D2B0000}"/>
    <cellStyle name="输出 2 5 10 8 4 2" xfId="30204" xr:uid="{00000000-0005-0000-0000-00002C760000}"/>
    <cellStyle name="输出 2 5 10 8 5" xfId="40219" xr:uid="{00000000-0005-0000-0000-00004B9D0000}"/>
    <cellStyle name="输出 2 5 10 9" xfId="17326" xr:uid="{00000000-0005-0000-0000-0000DE430000}"/>
    <cellStyle name="输出 2 5 10 9 2" xfId="40851" xr:uid="{00000000-0005-0000-0000-0000C39F0000}"/>
    <cellStyle name="输出 2 5 11" xfId="20992" xr:uid="{00000000-0005-0000-0000-000030520000}"/>
    <cellStyle name="输出 2 5 11 10" xfId="14033" xr:uid="{00000000-0005-0000-0000-000001370000}"/>
    <cellStyle name="输出 2 5 11 10 2" xfId="14047" xr:uid="{00000000-0005-0000-0000-00000F370000}"/>
    <cellStyle name="输出 2 5 11 11" xfId="14082" xr:uid="{00000000-0005-0000-0000-000032370000}"/>
    <cellStyle name="输出 2 5 11 11 2" xfId="14095" xr:uid="{00000000-0005-0000-0000-00003F370000}"/>
    <cellStyle name="输出 2 5 11 12" xfId="10789" xr:uid="{00000000-0005-0000-0000-0000552A0000}"/>
    <cellStyle name="输出 2 5 11 12 2" xfId="1785" xr:uid="{00000000-0005-0000-0000-000029070000}"/>
    <cellStyle name="输出 2 5 11 13" xfId="10799" xr:uid="{00000000-0005-0000-0000-00005F2A0000}"/>
    <cellStyle name="输出 2 5 11 14" xfId="10815" xr:uid="{00000000-0005-0000-0000-00006F2A0000}"/>
    <cellStyle name="输出 2 5 11 15" xfId="10825" xr:uid="{00000000-0005-0000-0000-0000792A0000}"/>
    <cellStyle name="输出 2 5 11 16" xfId="10831" xr:uid="{00000000-0005-0000-0000-00007F2A0000}"/>
    <cellStyle name="输出 2 5 11 2" xfId="20996" xr:uid="{00000000-0005-0000-0000-000034520000}"/>
    <cellStyle name="输出 2 5 11 2 2" xfId="20154" xr:uid="{00000000-0005-0000-0000-0000EA4E0000}"/>
    <cellStyle name="输出 2 5 11 2 2 2" xfId="40605" xr:uid="{00000000-0005-0000-0000-0000CD9E0000}"/>
    <cellStyle name="输出 2 5 11 2 3" xfId="39589" xr:uid="{00000000-0005-0000-0000-0000D59A0000}"/>
    <cellStyle name="输出 2 5 11 2 3 2" xfId="20056" xr:uid="{00000000-0005-0000-0000-0000884E0000}"/>
    <cellStyle name="输出 2 5 11 2 4" xfId="40852" xr:uid="{00000000-0005-0000-0000-0000C49F0000}"/>
    <cellStyle name="输出 2 5 11 2 4 2" xfId="40617" xr:uid="{00000000-0005-0000-0000-0000D99E0000}"/>
    <cellStyle name="输出 2 5 11 2 5" xfId="30143" xr:uid="{00000000-0005-0000-0000-0000EF750000}"/>
    <cellStyle name="输出 2 5 11 2 5 2" xfId="40629" xr:uid="{00000000-0005-0000-0000-0000E59E0000}"/>
    <cellStyle name="输出 2 5 11 2 6" xfId="40853" xr:uid="{00000000-0005-0000-0000-0000C59F0000}"/>
    <cellStyle name="输出 2 5 11 3" xfId="3897" xr:uid="{00000000-0005-0000-0000-0000690F0000}"/>
    <cellStyle name="输出 2 5 11 3 2" xfId="3899" xr:uid="{00000000-0005-0000-0000-00006B0F0000}"/>
    <cellStyle name="输出 2 5 11 3 2 2" xfId="40695" xr:uid="{00000000-0005-0000-0000-0000279F0000}"/>
    <cellStyle name="输出 2 5 11 3 3" xfId="39593" xr:uid="{00000000-0005-0000-0000-0000D99A0000}"/>
    <cellStyle name="输出 2 5 11 3 3 2" xfId="40713" xr:uid="{00000000-0005-0000-0000-0000399F0000}"/>
    <cellStyle name="输出 2 5 11 3 4" xfId="40854" xr:uid="{00000000-0005-0000-0000-0000C69F0000}"/>
    <cellStyle name="输出 2 5 11 3 4 2" xfId="40724" xr:uid="{00000000-0005-0000-0000-0000449F0000}"/>
    <cellStyle name="输出 2 5 11 3 5" xfId="30153" xr:uid="{00000000-0005-0000-0000-0000F9750000}"/>
    <cellStyle name="输出 2 5 11 3 5 2" xfId="40226" xr:uid="{00000000-0005-0000-0000-0000529D0000}"/>
    <cellStyle name="输出 2 5 11 3 6" xfId="40230" xr:uid="{00000000-0005-0000-0000-0000569D0000}"/>
    <cellStyle name="输出 2 5 11 4" xfId="3902" xr:uid="{00000000-0005-0000-0000-00006E0F0000}"/>
    <cellStyle name="输出 2 5 11 4 2" xfId="3905" xr:uid="{00000000-0005-0000-0000-0000710F0000}"/>
    <cellStyle name="输出 2 5 11 4 2 2" xfId="30817" xr:uid="{00000000-0005-0000-0000-000091780000}"/>
    <cellStyle name="输出 2 5 11 4 3" xfId="39596" xr:uid="{00000000-0005-0000-0000-0000DC9A0000}"/>
    <cellStyle name="输出 2 5 11 4 3 2" xfId="30849" xr:uid="{00000000-0005-0000-0000-0000B1780000}"/>
    <cellStyle name="输出 2 5 11 4 4" xfId="40855" xr:uid="{00000000-0005-0000-0000-0000C79F0000}"/>
    <cellStyle name="输出 2 5 11 4 4 2" xfId="30871" xr:uid="{00000000-0005-0000-0000-0000C7780000}"/>
    <cellStyle name="输出 2 5 11 4 5" xfId="38667" xr:uid="{00000000-0005-0000-0000-00003B970000}"/>
    <cellStyle name="输出 2 5 11 4 5 2" xfId="30894" xr:uid="{00000000-0005-0000-0000-0000DE780000}"/>
    <cellStyle name="输出 2 5 11 4 6" xfId="22703" xr:uid="{00000000-0005-0000-0000-0000DF580000}"/>
    <cellStyle name="输出 2 5 11 5" xfId="3907" xr:uid="{00000000-0005-0000-0000-0000730F0000}"/>
    <cellStyle name="输出 2 5 11 5 2" xfId="2882" xr:uid="{00000000-0005-0000-0000-0000720B0000}"/>
    <cellStyle name="输出 2 5 11 5 2 2" xfId="31024" xr:uid="{00000000-0005-0000-0000-000060790000}"/>
    <cellStyle name="输出 2 5 11 5 3" xfId="40856" xr:uid="{00000000-0005-0000-0000-0000C89F0000}"/>
    <cellStyle name="输出 2 5 11 5 3 2" xfId="31044" xr:uid="{00000000-0005-0000-0000-000074790000}"/>
    <cellStyle name="输出 2 5 11 5 4" xfId="40858" xr:uid="{00000000-0005-0000-0000-0000CA9F0000}"/>
    <cellStyle name="输出 2 5 11 5 4 2" xfId="31063" xr:uid="{00000000-0005-0000-0000-000087790000}"/>
    <cellStyle name="输出 2 5 11 5 5" xfId="40248" xr:uid="{00000000-0005-0000-0000-0000689D0000}"/>
    <cellStyle name="输出 2 5 11 5 5 2" xfId="31082" xr:uid="{00000000-0005-0000-0000-00009A790000}"/>
    <cellStyle name="输出 2 5 11 5 6" xfId="22712" xr:uid="{00000000-0005-0000-0000-0000E8580000}"/>
    <cellStyle name="输出 2 5 11 6" xfId="3917" xr:uid="{00000000-0005-0000-0000-00007D0F0000}"/>
    <cellStyle name="输出 2 5 11 6 2" xfId="40860" xr:uid="{00000000-0005-0000-0000-0000CC9F0000}"/>
    <cellStyle name="输出 2 5 11 6 2 2" xfId="31176" xr:uid="{00000000-0005-0000-0000-0000F8790000}"/>
    <cellStyle name="输出 2 5 11 6 3" xfId="40861" xr:uid="{00000000-0005-0000-0000-0000CD9F0000}"/>
    <cellStyle name="输出 2 5 11 6 3 2" xfId="31201" xr:uid="{00000000-0005-0000-0000-0000117A0000}"/>
    <cellStyle name="输出 2 5 11 6 4" xfId="40862" xr:uid="{00000000-0005-0000-0000-0000CE9F0000}"/>
    <cellStyle name="输出 2 5 11 6 4 2" xfId="31222" xr:uid="{00000000-0005-0000-0000-0000267A0000}"/>
    <cellStyle name="输出 2 5 11 6 5" xfId="40256" xr:uid="{00000000-0005-0000-0000-0000709D0000}"/>
    <cellStyle name="输出 2 5 11 6 5 2" xfId="31250" xr:uid="{00000000-0005-0000-0000-0000427A0000}"/>
    <cellStyle name="输出 2 5 11 6 6" xfId="22718" xr:uid="{00000000-0005-0000-0000-0000EE580000}"/>
    <cellStyle name="输出 2 5 11 7" xfId="40863" xr:uid="{00000000-0005-0000-0000-0000CF9F0000}"/>
    <cellStyle name="输出 2 5 11 7 2" xfId="40864" xr:uid="{00000000-0005-0000-0000-0000D09F0000}"/>
    <cellStyle name="输出 2 5 11 7 2 2" xfId="31370" xr:uid="{00000000-0005-0000-0000-0000BA7A0000}"/>
    <cellStyle name="输出 2 5 11 7 3" xfId="40865" xr:uid="{00000000-0005-0000-0000-0000D19F0000}"/>
    <cellStyle name="输出 2 5 11 7 3 2" xfId="26202" xr:uid="{00000000-0005-0000-0000-00008A660000}"/>
    <cellStyle name="输出 2 5 11 7 4" xfId="40867" xr:uid="{00000000-0005-0000-0000-0000D39F0000}"/>
    <cellStyle name="输出 2 5 11 7 4 2" xfId="31406" xr:uid="{00000000-0005-0000-0000-0000DE7A0000}"/>
    <cellStyle name="输出 2 5 11 7 5" xfId="40264" xr:uid="{00000000-0005-0000-0000-0000789D0000}"/>
    <cellStyle name="输出 2 5 11 7 5 2" xfId="31435" xr:uid="{00000000-0005-0000-0000-0000FB7A0000}"/>
    <cellStyle name="输出 2 5 11 7 6" xfId="1684" xr:uid="{00000000-0005-0000-0000-0000C4060000}"/>
    <cellStyle name="输出 2 5 11 8" xfId="40868" xr:uid="{00000000-0005-0000-0000-0000D49F0000}"/>
    <cellStyle name="输出 2 5 11 8 2" xfId="11091" xr:uid="{00000000-0005-0000-0000-0000832B0000}"/>
    <cellStyle name="输出 2 5 11 8 2 2" xfId="31537" xr:uid="{00000000-0005-0000-0000-0000617B0000}"/>
    <cellStyle name="输出 2 5 11 8 3" xfId="11093" xr:uid="{00000000-0005-0000-0000-0000852B0000}"/>
    <cellStyle name="输出 2 5 11 8 3 2" xfId="28698" xr:uid="{00000000-0005-0000-0000-00004A700000}"/>
    <cellStyle name="输出 2 5 11 8 4" xfId="11106" xr:uid="{00000000-0005-0000-0000-0000922B0000}"/>
    <cellStyle name="输出 2 5 11 8 4 2" xfId="31554" xr:uid="{00000000-0005-0000-0000-0000727B0000}"/>
    <cellStyle name="输出 2 5 11 8 5" xfId="40266" xr:uid="{00000000-0005-0000-0000-00007A9D0000}"/>
    <cellStyle name="输出 2 5 11 9" xfId="17530" xr:uid="{00000000-0005-0000-0000-0000AA440000}"/>
    <cellStyle name="输出 2 5 11 9 2" xfId="40870" xr:uid="{00000000-0005-0000-0000-0000D69F0000}"/>
    <cellStyle name="输出 2 5 12" xfId="18884" xr:uid="{00000000-0005-0000-0000-0000F4490000}"/>
    <cellStyle name="输出 2 5 12 2" xfId="39000" xr:uid="{00000000-0005-0000-0000-000088980000}"/>
    <cellStyle name="输出 2 5 12 2 2" xfId="20213" xr:uid="{00000000-0005-0000-0000-0000254F0000}"/>
    <cellStyle name="输出 2 5 12 3" xfId="1819" xr:uid="{00000000-0005-0000-0000-00004B070000}"/>
    <cellStyle name="输出 2 5 12 3 2" xfId="20225" xr:uid="{00000000-0005-0000-0000-0000314F0000}"/>
    <cellStyle name="输出 2 5 12 4" xfId="9476" xr:uid="{00000000-0005-0000-0000-000034250000}"/>
    <cellStyle name="输出 2 5 12 4 2" xfId="40871" xr:uid="{00000000-0005-0000-0000-0000D79F0000}"/>
    <cellStyle name="输出 2 5 12 5" xfId="40872" xr:uid="{00000000-0005-0000-0000-0000D89F0000}"/>
    <cellStyle name="输出 2 5 12 5 2" xfId="40873" xr:uid="{00000000-0005-0000-0000-0000D99F0000}"/>
    <cellStyle name="输出 2 5 12 6" xfId="40874" xr:uid="{00000000-0005-0000-0000-0000DA9F0000}"/>
    <cellStyle name="输出 2 5 12 7" xfId="40875" xr:uid="{00000000-0005-0000-0000-0000DB9F0000}"/>
    <cellStyle name="输出 2 5 12 8" xfId="40876" xr:uid="{00000000-0005-0000-0000-0000DC9F0000}"/>
    <cellStyle name="输出 2 5 12 9" xfId="17549" xr:uid="{00000000-0005-0000-0000-0000BD440000}"/>
    <cellStyle name="输出 2 5 13" xfId="26306" xr:uid="{00000000-0005-0000-0000-0000F2660000}"/>
    <cellStyle name="输出 2 5 13 2" xfId="40878" xr:uid="{00000000-0005-0000-0000-0000DE9F0000}"/>
    <cellStyle name="输出 2 5 13 2 2" xfId="40879" xr:uid="{00000000-0005-0000-0000-0000DF9F0000}"/>
    <cellStyle name="输出 2 5 13 3" xfId="40880" xr:uid="{00000000-0005-0000-0000-0000E09F0000}"/>
    <cellStyle name="输出 2 5 13 3 2" xfId="40881" xr:uid="{00000000-0005-0000-0000-0000E19F0000}"/>
    <cellStyle name="输出 2 5 13 4" xfId="40882" xr:uid="{00000000-0005-0000-0000-0000E29F0000}"/>
    <cellStyle name="输出 2 5 13 4 2" xfId="40883" xr:uid="{00000000-0005-0000-0000-0000E39F0000}"/>
    <cellStyle name="输出 2 5 13 5" xfId="40884" xr:uid="{00000000-0005-0000-0000-0000E49F0000}"/>
    <cellStyle name="输出 2 5 13 5 2" xfId="40885" xr:uid="{00000000-0005-0000-0000-0000E59F0000}"/>
    <cellStyle name="输出 2 5 13 6" xfId="40886" xr:uid="{00000000-0005-0000-0000-0000E69F0000}"/>
    <cellStyle name="输出 2 5 14" xfId="26308" xr:uid="{00000000-0005-0000-0000-0000F4660000}"/>
    <cellStyle name="输出 2 5 14 2" xfId="40887" xr:uid="{00000000-0005-0000-0000-0000E79F0000}"/>
    <cellStyle name="输出 2 5 14 2 2" xfId="40888" xr:uid="{00000000-0005-0000-0000-0000E89F0000}"/>
    <cellStyle name="输出 2 5 14 3" xfId="40889" xr:uid="{00000000-0005-0000-0000-0000E99F0000}"/>
    <cellStyle name="输出 2 5 14 3 2" xfId="40890" xr:uid="{00000000-0005-0000-0000-0000EA9F0000}"/>
    <cellStyle name="输出 2 5 14 4" xfId="40891" xr:uid="{00000000-0005-0000-0000-0000EB9F0000}"/>
    <cellStyle name="输出 2 5 14 4 2" xfId="40892" xr:uid="{00000000-0005-0000-0000-0000EC9F0000}"/>
    <cellStyle name="输出 2 5 14 5" xfId="40893" xr:uid="{00000000-0005-0000-0000-0000ED9F0000}"/>
    <cellStyle name="输出 2 5 14 5 2" xfId="40894" xr:uid="{00000000-0005-0000-0000-0000EE9F0000}"/>
    <cellStyle name="输出 2 5 14 6" xfId="40895" xr:uid="{00000000-0005-0000-0000-0000EF9F0000}"/>
    <cellStyle name="输出 2 5 15" xfId="26313" xr:uid="{00000000-0005-0000-0000-0000F9660000}"/>
    <cellStyle name="输出 2 5 15 2" xfId="6150" xr:uid="{00000000-0005-0000-0000-000036180000}"/>
    <cellStyle name="输出 2 5 15 2 2" xfId="6162" xr:uid="{00000000-0005-0000-0000-000042180000}"/>
    <cellStyle name="输出 2 5 15 3" xfId="40896" xr:uid="{00000000-0005-0000-0000-0000F09F0000}"/>
    <cellStyle name="输出 2 5 15 3 2" xfId="40898" xr:uid="{00000000-0005-0000-0000-0000F29F0000}"/>
    <cellStyle name="输出 2 5 15 4" xfId="40899" xr:uid="{00000000-0005-0000-0000-0000F39F0000}"/>
    <cellStyle name="输出 2 5 15 4 2" xfId="40901" xr:uid="{00000000-0005-0000-0000-0000F59F0000}"/>
    <cellStyle name="输出 2 5 15 5" xfId="40902" xr:uid="{00000000-0005-0000-0000-0000F69F0000}"/>
    <cellStyle name="输出 2 5 15 5 2" xfId="40903" xr:uid="{00000000-0005-0000-0000-0000F79F0000}"/>
    <cellStyle name="输出 2 5 15 6" xfId="40524" xr:uid="{00000000-0005-0000-0000-00007C9E0000}"/>
    <cellStyle name="输出 2 5 16" xfId="19501" xr:uid="{00000000-0005-0000-0000-00005D4C0000}"/>
    <cellStyle name="输出 2 5 16 2" xfId="28158" xr:uid="{00000000-0005-0000-0000-00002E6E0000}"/>
    <cellStyle name="输出 2 5 16 2 2" xfId="36618" xr:uid="{00000000-0005-0000-0000-00003A8F0000}"/>
    <cellStyle name="输出 2 5 16 3" xfId="40905" xr:uid="{00000000-0005-0000-0000-0000F99F0000}"/>
    <cellStyle name="输出 2 5 16 3 2" xfId="40906" xr:uid="{00000000-0005-0000-0000-0000FA9F0000}"/>
    <cellStyle name="输出 2 5 16 4" xfId="40907" xr:uid="{00000000-0005-0000-0000-0000FB9F0000}"/>
    <cellStyle name="输出 2 5 16 4 2" xfId="40908" xr:uid="{00000000-0005-0000-0000-0000FC9F0000}"/>
    <cellStyle name="输出 2 5 16 5" xfId="40909" xr:uid="{00000000-0005-0000-0000-0000FD9F0000}"/>
    <cellStyle name="输出 2 5 16 5 2" xfId="40910" xr:uid="{00000000-0005-0000-0000-0000FE9F0000}"/>
    <cellStyle name="输出 2 5 16 6" xfId="40526" xr:uid="{00000000-0005-0000-0000-00007E9E0000}"/>
    <cellStyle name="输出 2 5 17" xfId="28161" xr:uid="{00000000-0005-0000-0000-0000316E0000}"/>
    <cellStyle name="输出 2 5 17 2" xfId="26977" xr:uid="{00000000-0005-0000-0000-000091690000}"/>
    <cellStyle name="输出 2 5 17 2 2" xfId="36653" xr:uid="{00000000-0005-0000-0000-00005D8F0000}"/>
    <cellStyle name="输出 2 5 17 3" xfId="40912" xr:uid="{00000000-0005-0000-0000-000000A00000}"/>
    <cellStyle name="输出 2 5 17 3 2" xfId="38266" xr:uid="{00000000-0005-0000-0000-0000AA950000}"/>
    <cellStyle name="输出 2 5 17 4" xfId="40913" xr:uid="{00000000-0005-0000-0000-000001A00000}"/>
    <cellStyle name="输出 2 5 17 4 2" xfId="40914" xr:uid="{00000000-0005-0000-0000-000002A00000}"/>
    <cellStyle name="输出 2 5 17 5" xfId="40915" xr:uid="{00000000-0005-0000-0000-000003A00000}"/>
    <cellStyle name="输出 2 5 17 5 2" xfId="40916" xr:uid="{00000000-0005-0000-0000-000004A00000}"/>
    <cellStyle name="输出 2 5 17 6" xfId="40529" xr:uid="{00000000-0005-0000-0000-0000819E0000}"/>
    <cellStyle name="输出 2 5 18" xfId="22864" xr:uid="{00000000-0005-0000-0000-000080590000}"/>
    <cellStyle name="输出 2 5 18 2" xfId="28164" xr:uid="{00000000-0005-0000-0000-0000346E0000}"/>
    <cellStyle name="输出 2 5 18 2 2" xfId="36708" xr:uid="{00000000-0005-0000-0000-0000948F0000}"/>
    <cellStyle name="输出 2 5 18 3" xfId="40917" xr:uid="{00000000-0005-0000-0000-000005A00000}"/>
    <cellStyle name="输出 2 5 18 3 2" xfId="40918" xr:uid="{00000000-0005-0000-0000-000006A00000}"/>
    <cellStyle name="输出 2 5 18 4" xfId="40919" xr:uid="{00000000-0005-0000-0000-000007A00000}"/>
    <cellStyle name="输出 2 5 18 4 2" xfId="40920" xr:uid="{00000000-0005-0000-0000-000008A00000}"/>
    <cellStyle name="输出 2 5 18 5" xfId="40921" xr:uid="{00000000-0005-0000-0000-000009A00000}"/>
    <cellStyle name="输出 2 5 18 5 2" xfId="40922" xr:uid="{00000000-0005-0000-0000-00000AA00000}"/>
    <cellStyle name="输出 2 5 18 6" xfId="40533" xr:uid="{00000000-0005-0000-0000-0000859E0000}"/>
    <cellStyle name="输出 2 5 19" xfId="16944" xr:uid="{00000000-0005-0000-0000-000060420000}"/>
    <cellStyle name="输出 2 5 19 2" xfId="8873" xr:uid="{00000000-0005-0000-0000-0000D9220000}"/>
    <cellStyle name="输出 2 5 19 2 2" xfId="8882" xr:uid="{00000000-0005-0000-0000-0000E2220000}"/>
    <cellStyle name="输出 2 5 19 3" xfId="8921" xr:uid="{00000000-0005-0000-0000-000009230000}"/>
    <cellStyle name="输出 2 5 19 3 2" xfId="8931" xr:uid="{00000000-0005-0000-0000-000013230000}"/>
    <cellStyle name="输出 2 5 19 4" xfId="4220" xr:uid="{00000000-0005-0000-0000-0000AC100000}"/>
    <cellStyle name="输出 2 5 19 4 2" xfId="8979" xr:uid="{00000000-0005-0000-0000-000043230000}"/>
    <cellStyle name="输出 2 5 19 5" xfId="9002" xr:uid="{00000000-0005-0000-0000-00005A230000}"/>
    <cellStyle name="输出 2 5 2" xfId="40923" xr:uid="{00000000-0005-0000-0000-00000BA00000}"/>
    <cellStyle name="输出 2 5 2 10" xfId="40924" xr:uid="{00000000-0005-0000-0000-00000CA00000}"/>
    <cellStyle name="输出 2 5 2 10 2" xfId="40925" xr:uid="{00000000-0005-0000-0000-00000DA00000}"/>
    <cellStyle name="输出 2 5 2 11" xfId="40926" xr:uid="{00000000-0005-0000-0000-00000EA00000}"/>
    <cellStyle name="输出 2 5 2 11 2" xfId="40927" xr:uid="{00000000-0005-0000-0000-00000FA00000}"/>
    <cellStyle name="输出 2 5 2 12" xfId="40928" xr:uid="{00000000-0005-0000-0000-000010A00000}"/>
    <cellStyle name="输出 2 5 2 12 2" xfId="40929" xr:uid="{00000000-0005-0000-0000-000011A00000}"/>
    <cellStyle name="输出 2 5 2 13" xfId="40930" xr:uid="{00000000-0005-0000-0000-000012A00000}"/>
    <cellStyle name="输出 2 5 2 14" xfId="21772" xr:uid="{00000000-0005-0000-0000-00003C550000}"/>
    <cellStyle name="输出 2 5 2 15" xfId="40931" xr:uid="{00000000-0005-0000-0000-000013A00000}"/>
    <cellStyle name="输出 2 5 2 16" xfId="40933" xr:uid="{00000000-0005-0000-0000-000015A00000}"/>
    <cellStyle name="输出 2 5 2 2" xfId="26326" xr:uid="{00000000-0005-0000-0000-000006670000}"/>
    <cellStyle name="输出 2 5 2 2 2" xfId="30268" xr:uid="{00000000-0005-0000-0000-00006C760000}"/>
    <cellStyle name="输出 2 5 2 2 2 2" xfId="35116" xr:uid="{00000000-0005-0000-0000-00005C890000}"/>
    <cellStyle name="输出 2 5 2 2 3" xfId="21938" xr:uid="{00000000-0005-0000-0000-0000E2550000}"/>
    <cellStyle name="输出 2 5 2 2 3 2" xfId="40935" xr:uid="{00000000-0005-0000-0000-000017A00000}"/>
    <cellStyle name="输出 2 5 2 2 4" xfId="39283" xr:uid="{00000000-0005-0000-0000-0000A3990000}"/>
    <cellStyle name="输出 2 5 2 2 4 2" xfId="39285" xr:uid="{00000000-0005-0000-0000-0000A5990000}"/>
    <cellStyle name="输出 2 5 2 2 5" xfId="39288" xr:uid="{00000000-0005-0000-0000-0000A8990000}"/>
    <cellStyle name="输出 2 5 2 2 5 2" xfId="39291" xr:uid="{00000000-0005-0000-0000-0000AB990000}"/>
    <cellStyle name="输出 2 5 2 2 6" xfId="20205" xr:uid="{00000000-0005-0000-0000-00001D4F0000}"/>
    <cellStyle name="输出 2 5 2 2 7" xfId="39294" xr:uid="{00000000-0005-0000-0000-0000AE990000}"/>
    <cellStyle name="输出 2 5 2 2 8" xfId="39296" xr:uid="{00000000-0005-0000-0000-0000B0990000}"/>
    <cellStyle name="输出 2 5 2 2 9" xfId="35916" xr:uid="{00000000-0005-0000-0000-00007C8C0000}"/>
    <cellStyle name="输出 2 5 2 3" xfId="26330" xr:uid="{00000000-0005-0000-0000-00000A670000}"/>
    <cellStyle name="输出 2 5 2 3 2" xfId="19225" xr:uid="{00000000-0005-0000-0000-0000494B0000}"/>
    <cellStyle name="输出 2 5 2 3 2 2" xfId="9152" xr:uid="{00000000-0005-0000-0000-0000F0230000}"/>
    <cellStyle name="输出 2 5 2 3 3" xfId="40937" xr:uid="{00000000-0005-0000-0000-000019A00000}"/>
    <cellStyle name="输出 2 5 2 3 3 2" xfId="12789" xr:uid="{00000000-0005-0000-0000-000025320000}"/>
    <cellStyle name="输出 2 5 2 3 4" xfId="39299" xr:uid="{00000000-0005-0000-0000-0000B3990000}"/>
    <cellStyle name="输出 2 5 2 3 4 2" xfId="12826" xr:uid="{00000000-0005-0000-0000-00004A320000}"/>
    <cellStyle name="输出 2 5 2 3 5" xfId="39301" xr:uid="{00000000-0005-0000-0000-0000B5990000}"/>
    <cellStyle name="输出 2 5 2 3 5 2" xfId="17745" xr:uid="{00000000-0005-0000-0000-000081450000}"/>
    <cellStyle name="输出 2 5 2 3 6" xfId="39304" xr:uid="{00000000-0005-0000-0000-0000B8990000}"/>
    <cellStyle name="输出 2 5 2 4" xfId="26332" xr:uid="{00000000-0005-0000-0000-00000C670000}"/>
    <cellStyle name="输出 2 5 2 4 2" xfId="40938" xr:uid="{00000000-0005-0000-0000-00001AA00000}"/>
    <cellStyle name="输出 2 5 2 4 2 2" xfId="17866" xr:uid="{00000000-0005-0000-0000-0000FA450000}"/>
    <cellStyle name="输出 2 5 2 4 3" xfId="40939" xr:uid="{00000000-0005-0000-0000-00001BA00000}"/>
    <cellStyle name="输出 2 5 2 4 3 2" xfId="17880" xr:uid="{00000000-0005-0000-0000-000008460000}"/>
    <cellStyle name="输出 2 5 2 4 4" xfId="39313" xr:uid="{00000000-0005-0000-0000-0000C1990000}"/>
    <cellStyle name="输出 2 5 2 4 4 2" xfId="17905" xr:uid="{00000000-0005-0000-0000-000021460000}"/>
    <cellStyle name="输出 2 5 2 4 5" xfId="39315" xr:uid="{00000000-0005-0000-0000-0000C3990000}"/>
    <cellStyle name="输出 2 5 2 4 5 2" xfId="17928" xr:uid="{00000000-0005-0000-0000-000038460000}"/>
    <cellStyle name="输出 2 5 2 4 6" xfId="39318" xr:uid="{00000000-0005-0000-0000-0000C6990000}"/>
    <cellStyle name="输出 2 5 2 5" xfId="40940" xr:uid="{00000000-0005-0000-0000-00001CA00000}"/>
    <cellStyle name="输出 2 5 2 5 2" xfId="40941" xr:uid="{00000000-0005-0000-0000-00001DA00000}"/>
    <cellStyle name="输出 2 5 2 5 2 2" xfId="18048" xr:uid="{00000000-0005-0000-0000-0000B0460000}"/>
    <cellStyle name="输出 2 5 2 5 3" xfId="40942" xr:uid="{00000000-0005-0000-0000-00001EA00000}"/>
    <cellStyle name="输出 2 5 2 5 3 2" xfId="18080" xr:uid="{00000000-0005-0000-0000-0000D0460000}"/>
    <cellStyle name="输出 2 5 2 5 4" xfId="39325" xr:uid="{00000000-0005-0000-0000-0000CD990000}"/>
    <cellStyle name="输出 2 5 2 5 4 2" xfId="18124" xr:uid="{00000000-0005-0000-0000-0000FC460000}"/>
    <cellStyle name="输出 2 5 2 5 5" xfId="39327" xr:uid="{00000000-0005-0000-0000-0000CF990000}"/>
    <cellStyle name="输出 2 5 2 5 5 2" xfId="18170" xr:uid="{00000000-0005-0000-0000-00002A470000}"/>
    <cellStyle name="输出 2 5 2 5 6" xfId="39330" xr:uid="{00000000-0005-0000-0000-0000D2990000}"/>
    <cellStyle name="输出 2 5 2 6" xfId="24070" xr:uid="{00000000-0005-0000-0000-0000365E0000}"/>
    <cellStyle name="输出 2 5 2 6 2" xfId="33626" xr:uid="{00000000-0005-0000-0000-00008A830000}"/>
    <cellStyle name="输出 2 5 2 6 2 2" xfId="18313" xr:uid="{00000000-0005-0000-0000-0000B9470000}"/>
    <cellStyle name="输出 2 5 2 6 3" xfId="40943" xr:uid="{00000000-0005-0000-0000-00001FA00000}"/>
    <cellStyle name="输出 2 5 2 6 3 2" xfId="18353" xr:uid="{00000000-0005-0000-0000-0000E1470000}"/>
    <cellStyle name="输出 2 5 2 6 4" xfId="31476" xr:uid="{00000000-0005-0000-0000-0000247B0000}"/>
    <cellStyle name="输出 2 5 2 6 4 2" xfId="18414" xr:uid="{00000000-0005-0000-0000-00001E480000}"/>
    <cellStyle name="输出 2 5 2 6 5" xfId="39334" xr:uid="{00000000-0005-0000-0000-0000D6990000}"/>
    <cellStyle name="输出 2 5 2 6 5 2" xfId="18465" xr:uid="{00000000-0005-0000-0000-000051480000}"/>
    <cellStyle name="输出 2 5 2 6 6" xfId="39336" xr:uid="{00000000-0005-0000-0000-0000D8990000}"/>
    <cellStyle name="输出 2 5 2 7" xfId="33628" xr:uid="{00000000-0005-0000-0000-00008C830000}"/>
    <cellStyle name="输出 2 5 2 7 2" xfId="33630" xr:uid="{00000000-0005-0000-0000-00008E830000}"/>
    <cellStyle name="输出 2 5 2 7 2 2" xfId="18625" xr:uid="{00000000-0005-0000-0000-0000F1480000}"/>
    <cellStyle name="输出 2 5 2 7 3" xfId="40944" xr:uid="{00000000-0005-0000-0000-000020A00000}"/>
    <cellStyle name="输出 2 5 2 7 3 2" xfId="18681" xr:uid="{00000000-0005-0000-0000-000029490000}"/>
    <cellStyle name="输出 2 5 2 7 4" xfId="31485" xr:uid="{00000000-0005-0000-0000-00002D7B0000}"/>
    <cellStyle name="输出 2 5 2 7 4 2" xfId="18741" xr:uid="{00000000-0005-0000-0000-000065490000}"/>
    <cellStyle name="输出 2 5 2 7 5" xfId="40945" xr:uid="{00000000-0005-0000-0000-000021A00000}"/>
    <cellStyle name="输出 2 5 2 7 5 2" xfId="18790" xr:uid="{00000000-0005-0000-0000-000096490000}"/>
    <cellStyle name="输出 2 5 2 7 6" xfId="40946" xr:uid="{00000000-0005-0000-0000-000022A00000}"/>
    <cellStyle name="输出 2 5 2 8" xfId="33634" xr:uid="{00000000-0005-0000-0000-000092830000}"/>
    <cellStyle name="输出 2 5 2 8 2" xfId="33637" xr:uid="{00000000-0005-0000-0000-000095830000}"/>
    <cellStyle name="输出 2 5 2 8 2 2" xfId="14056" xr:uid="{00000000-0005-0000-0000-000018370000}"/>
    <cellStyle name="输出 2 5 2 8 3" xfId="39045" xr:uid="{00000000-0005-0000-0000-0000B5980000}"/>
    <cellStyle name="输出 2 5 2 8 3 2" xfId="14109" xr:uid="{00000000-0005-0000-0000-00004D370000}"/>
    <cellStyle name="输出 2 5 2 8 4" xfId="31492" xr:uid="{00000000-0005-0000-0000-0000347B0000}"/>
    <cellStyle name="输出 2 5 2 8 4 2" xfId="1817" xr:uid="{00000000-0005-0000-0000-000049070000}"/>
    <cellStyle name="输出 2 5 2 8 5" xfId="40947" xr:uid="{00000000-0005-0000-0000-000023A00000}"/>
    <cellStyle name="输出 2 5 2 9" xfId="33640" xr:uid="{00000000-0005-0000-0000-000098830000}"/>
    <cellStyle name="输出 2 5 2 9 2" xfId="33643" xr:uid="{00000000-0005-0000-0000-00009B830000}"/>
    <cellStyle name="输出 2 5 20" xfId="26314" xr:uid="{00000000-0005-0000-0000-0000FA660000}"/>
    <cellStyle name="输出 2 5 20 2" xfId="6151" xr:uid="{00000000-0005-0000-0000-000037180000}"/>
    <cellStyle name="输出 2 5 21" xfId="19502" xr:uid="{00000000-0005-0000-0000-00005E4C0000}"/>
    <cellStyle name="输出 2 5 21 2" xfId="28159" xr:uid="{00000000-0005-0000-0000-00002F6E0000}"/>
    <cellStyle name="输出 2 5 22" xfId="28162" xr:uid="{00000000-0005-0000-0000-0000326E0000}"/>
    <cellStyle name="输出 2 5 22 2" xfId="26978" xr:uid="{00000000-0005-0000-0000-000092690000}"/>
    <cellStyle name="输出 2 5 23" xfId="22865" xr:uid="{00000000-0005-0000-0000-000081590000}"/>
    <cellStyle name="输出 2 5 23 2" xfId="28165" xr:uid="{00000000-0005-0000-0000-0000356E0000}"/>
    <cellStyle name="输出 2 5 24" xfId="16945" xr:uid="{00000000-0005-0000-0000-000061420000}"/>
    <cellStyle name="输出 2 5 25" xfId="40948" xr:uid="{00000000-0005-0000-0000-000024A00000}"/>
    <cellStyle name="输出 2 5 26" xfId="27174" xr:uid="{00000000-0005-0000-0000-0000566A0000}"/>
    <cellStyle name="输出 2 5 27" xfId="35804" xr:uid="{00000000-0005-0000-0000-00000C8C0000}"/>
    <cellStyle name="输出 2 5 3" xfId="39445" xr:uid="{00000000-0005-0000-0000-0000459A0000}"/>
    <cellStyle name="输出 2 5 3 10" xfId="40949" xr:uid="{00000000-0005-0000-0000-000025A00000}"/>
    <cellStyle name="输出 2 5 3 10 2" xfId="40950" xr:uid="{00000000-0005-0000-0000-000026A00000}"/>
    <cellStyle name="输出 2 5 3 11" xfId="40951" xr:uid="{00000000-0005-0000-0000-000027A00000}"/>
    <cellStyle name="输出 2 5 3 11 2" xfId="40952" xr:uid="{00000000-0005-0000-0000-000028A00000}"/>
    <cellStyle name="输出 2 5 3 12" xfId="40953" xr:uid="{00000000-0005-0000-0000-000029A00000}"/>
    <cellStyle name="输出 2 5 3 12 2" xfId="40954" xr:uid="{00000000-0005-0000-0000-00002AA00000}"/>
    <cellStyle name="输出 2 5 3 13" xfId="40711" xr:uid="{00000000-0005-0000-0000-0000379F0000}"/>
    <cellStyle name="输出 2 5 3 14" xfId="40955" xr:uid="{00000000-0005-0000-0000-00002BA00000}"/>
    <cellStyle name="输出 2 5 3 15" xfId="40957" xr:uid="{00000000-0005-0000-0000-00002DA00000}"/>
    <cellStyle name="输出 2 5 3 16" xfId="13717" xr:uid="{00000000-0005-0000-0000-0000C5350000}"/>
    <cellStyle name="输出 2 5 3 2" xfId="23650" xr:uid="{00000000-0005-0000-0000-0000925C0000}"/>
    <cellStyle name="输出 2 5 3 2 2" xfId="30272" xr:uid="{00000000-0005-0000-0000-000070760000}"/>
    <cellStyle name="输出 2 5 3 2 2 2" xfId="36979" xr:uid="{00000000-0005-0000-0000-0000A3900000}"/>
    <cellStyle name="输出 2 5 3 2 3" xfId="21959" xr:uid="{00000000-0005-0000-0000-0000F7550000}"/>
    <cellStyle name="输出 2 5 3 2 3 2" xfId="31329" xr:uid="{00000000-0005-0000-0000-0000917A0000}"/>
    <cellStyle name="输出 2 5 3 2 4" xfId="39366" xr:uid="{00000000-0005-0000-0000-0000F6990000}"/>
    <cellStyle name="输出 2 5 3 2 4 2" xfId="39368" xr:uid="{00000000-0005-0000-0000-0000F8990000}"/>
    <cellStyle name="输出 2 5 3 2 5" xfId="39371" xr:uid="{00000000-0005-0000-0000-0000FB990000}"/>
    <cellStyle name="输出 2 5 3 2 5 2" xfId="39374" xr:uid="{00000000-0005-0000-0000-0000FE990000}"/>
    <cellStyle name="输出 2 5 3 2 6" xfId="905" xr:uid="{00000000-0005-0000-0000-0000B9030000}"/>
    <cellStyle name="输出 2 5 3 2 7" xfId="916" xr:uid="{00000000-0005-0000-0000-0000C4030000}"/>
    <cellStyle name="输出 2 5 3 2 8" xfId="9387" xr:uid="{00000000-0005-0000-0000-0000DB240000}"/>
    <cellStyle name="输出 2 5 3 2 9" xfId="9401" xr:uid="{00000000-0005-0000-0000-0000E9240000}"/>
    <cellStyle name="输出 2 5 3 3" xfId="22674" xr:uid="{00000000-0005-0000-0000-0000C2580000}"/>
    <cellStyle name="输出 2 5 3 3 2" xfId="40959" xr:uid="{00000000-0005-0000-0000-00002FA00000}"/>
    <cellStyle name="输出 2 5 3 3 2 2" xfId="19511" xr:uid="{00000000-0005-0000-0000-0000674C0000}"/>
    <cellStyle name="输出 2 5 3 3 3" xfId="40960" xr:uid="{00000000-0005-0000-0000-000030A00000}"/>
    <cellStyle name="输出 2 5 3 3 3 2" xfId="19538" xr:uid="{00000000-0005-0000-0000-0000824C0000}"/>
    <cellStyle name="输出 2 5 3 3 4" xfId="39377" xr:uid="{00000000-0005-0000-0000-0000019A0000}"/>
    <cellStyle name="输出 2 5 3 3 4 2" xfId="19563" xr:uid="{00000000-0005-0000-0000-00009B4C0000}"/>
    <cellStyle name="输出 2 5 3 3 5" xfId="1305" xr:uid="{00000000-0005-0000-0000-000049050000}"/>
    <cellStyle name="输出 2 5 3 3 5 2" xfId="3278" xr:uid="{00000000-0005-0000-0000-0000FE0C0000}"/>
    <cellStyle name="输出 2 5 3 3 6" xfId="1312" xr:uid="{00000000-0005-0000-0000-000050050000}"/>
    <cellStyle name="输出 2 5 3 4" xfId="23652" xr:uid="{00000000-0005-0000-0000-0000945C0000}"/>
    <cellStyle name="输出 2 5 3 4 2" xfId="40962" xr:uid="{00000000-0005-0000-0000-000032A00000}"/>
    <cellStyle name="输出 2 5 3 4 2 2" xfId="19664" xr:uid="{00000000-0005-0000-0000-0000004D0000}"/>
    <cellStyle name="输出 2 5 3 4 3" xfId="40963" xr:uid="{00000000-0005-0000-0000-000033A00000}"/>
    <cellStyle name="输出 2 5 3 4 3 2" xfId="19679" xr:uid="{00000000-0005-0000-0000-00000F4D0000}"/>
    <cellStyle name="输出 2 5 3 4 4" xfId="39379" xr:uid="{00000000-0005-0000-0000-0000039A0000}"/>
    <cellStyle name="输出 2 5 3 4 4 2" xfId="19699" xr:uid="{00000000-0005-0000-0000-0000234D0000}"/>
    <cellStyle name="输出 2 5 3 4 5" xfId="2207" xr:uid="{00000000-0005-0000-0000-0000CF080000}"/>
    <cellStyle name="输出 2 5 3 4 5 2" xfId="2062" xr:uid="{00000000-0005-0000-0000-00003E080000}"/>
    <cellStyle name="输出 2 5 3 4 6" xfId="2215" xr:uid="{00000000-0005-0000-0000-0000D7080000}"/>
    <cellStyle name="输出 2 5 3 5" xfId="40965" xr:uid="{00000000-0005-0000-0000-000035A00000}"/>
    <cellStyle name="输出 2 5 3 5 2" xfId="40966" xr:uid="{00000000-0005-0000-0000-000036A00000}"/>
    <cellStyle name="输出 2 5 3 5 2 2" xfId="19793" xr:uid="{00000000-0005-0000-0000-0000814D0000}"/>
    <cellStyle name="输出 2 5 3 5 3" xfId="40967" xr:uid="{00000000-0005-0000-0000-000037A00000}"/>
    <cellStyle name="输出 2 5 3 5 3 2" xfId="19805" xr:uid="{00000000-0005-0000-0000-00008D4D0000}"/>
    <cellStyle name="输出 2 5 3 5 4" xfId="39382" xr:uid="{00000000-0005-0000-0000-0000069A0000}"/>
    <cellStyle name="输出 2 5 3 5 4 2" xfId="19817" xr:uid="{00000000-0005-0000-0000-0000994D0000}"/>
    <cellStyle name="输出 2 5 3 5 5" xfId="1566" xr:uid="{00000000-0005-0000-0000-00004E060000}"/>
    <cellStyle name="输出 2 5 3 5 5 2" xfId="455" xr:uid="{00000000-0005-0000-0000-0000F1010000}"/>
    <cellStyle name="输出 2 5 3 5 6" xfId="1574" xr:uid="{00000000-0005-0000-0000-000056060000}"/>
    <cellStyle name="输出 2 5 3 6" xfId="24080" xr:uid="{00000000-0005-0000-0000-0000405E0000}"/>
    <cellStyle name="输出 2 5 3 6 2" xfId="33644" xr:uid="{00000000-0005-0000-0000-00009C830000}"/>
    <cellStyle name="输出 2 5 3 6 2 2" xfId="19868" xr:uid="{00000000-0005-0000-0000-0000CC4D0000}"/>
    <cellStyle name="输出 2 5 3 6 3" xfId="40969" xr:uid="{00000000-0005-0000-0000-000039A00000}"/>
    <cellStyle name="输出 2 5 3 6 3 2" xfId="19887" xr:uid="{00000000-0005-0000-0000-0000DF4D0000}"/>
    <cellStyle name="输出 2 5 3 6 4" xfId="31512" xr:uid="{00000000-0005-0000-0000-0000487B0000}"/>
    <cellStyle name="输出 2 5 3 6 4 2" xfId="19909" xr:uid="{00000000-0005-0000-0000-0000F54D0000}"/>
    <cellStyle name="输出 2 5 3 6 5" xfId="1444" xr:uid="{00000000-0005-0000-0000-0000D4050000}"/>
    <cellStyle name="输出 2 5 3 6 5 2" xfId="1452" xr:uid="{00000000-0005-0000-0000-0000DC050000}"/>
    <cellStyle name="输出 2 5 3 6 6" xfId="1470" xr:uid="{00000000-0005-0000-0000-0000EE050000}"/>
    <cellStyle name="输出 2 5 3 7" xfId="33646" xr:uid="{00000000-0005-0000-0000-00009E830000}"/>
    <cellStyle name="输出 2 5 3 7 2" xfId="33648" xr:uid="{00000000-0005-0000-0000-0000A0830000}"/>
    <cellStyle name="输出 2 5 3 7 2 2" xfId="19951" xr:uid="{00000000-0005-0000-0000-00001F4E0000}"/>
    <cellStyle name="输出 2 5 3 7 3" xfId="40970" xr:uid="{00000000-0005-0000-0000-00003AA00000}"/>
    <cellStyle name="输出 2 5 3 7 3 2" xfId="19971" xr:uid="{00000000-0005-0000-0000-0000334E0000}"/>
    <cellStyle name="输出 2 5 3 7 4" xfId="20980" xr:uid="{00000000-0005-0000-0000-000024520000}"/>
    <cellStyle name="输出 2 5 3 7 4 2" xfId="19987" xr:uid="{00000000-0005-0000-0000-0000434E0000}"/>
    <cellStyle name="输出 2 5 3 7 5" xfId="3739" xr:uid="{00000000-0005-0000-0000-0000CB0E0000}"/>
    <cellStyle name="输出 2 5 3 7 5 2" xfId="3743" xr:uid="{00000000-0005-0000-0000-0000CF0E0000}"/>
    <cellStyle name="输出 2 5 3 7 6" xfId="3751" xr:uid="{00000000-0005-0000-0000-0000D70E0000}"/>
    <cellStyle name="输出 2 5 3 8" xfId="33650" xr:uid="{00000000-0005-0000-0000-0000A2830000}"/>
    <cellStyle name="输出 2 5 3 8 2" xfId="33652" xr:uid="{00000000-0005-0000-0000-0000A4830000}"/>
    <cellStyle name="输出 2 5 3 8 2 2" xfId="20069" xr:uid="{00000000-0005-0000-0000-0000954E0000}"/>
    <cellStyle name="输出 2 5 3 8 3" xfId="23637" xr:uid="{00000000-0005-0000-0000-0000855C0000}"/>
    <cellStyle name="输出 2 5 3 8 3 2" xfId="20079" xr:uid="{00000000-0005-0000-0000-00009F4E0000}"/>
    <cellStyle name="输出 2 5 3 8 4" xfId="20987" xr:uid="{00000000-0005-0000-0000-00002B520000}"/>
    <cellStyle name="输出 2 5 3 8 4 2" xfId="20090" xr:uid="{00000000-0005-0000-0000-0000AA4E0000}"/>
    <cellStyle name="输出 2 5 3 8 5" xfId="625" xr:uid="{00000000-0005-0000-0000-0000A1020000}"/>
    <cellStyle name="输出 2 5 3 9" xfId="33654" xr:uid="{00000000-0005-0000-0000-0000A6830000}"/>
    <cellStyle name="输出 2 5 3 9 2" xfId="33656" xr:uid="{00000000-0005-0000-0000-0000A8830000}"/>
    <cellStyle name="输出 2 5 4" xfId="37912" xr:uid="{00000000-0005-0000-0000-000048940000}"/>
    <cellStyle name="输出 2 5 4 10" xfId="40971" xr:uid="{00000000-0005-0000-0000-00003BA00000}"/>
    <cellStyle name="输出 2 5 4 10 2" xfId="40972" xr:uid="{00000000-0005-0000-0000-00003CA00000}"/>
    <cellStyle name="输出 2 5 4 11" xfId="19872" xr:uid="{00000000-0005-0000-0000-0000D04D0000}"/>
    <cellStyle name="输出 2 5 4 11 2" xfId="11725" xr:uid="{00000000-0005-0000-0000-0000FD2D0000}"/>
    <cellStyle name="输出 2 5 4 12" xfId="19874" xr:uid="{00000000-0005-0000-0000-0000D24D0000}"/>
    <cellStyle name="输出 2 5 4 12 2" xfId="19876" xr:uid="{00000000-0005-0000-0000-0000D44D0000}"/>
    <cellStyle name="输出 2 5 4 13" xfId="19878" xr:uid="{00000000-0005-0000-0000-0000D64D0000}"/>
    <cellStyle name="输出 2 5 4 14" xfId="19884" xr:uid="{00000000-0005-0000-0000-0000DC4D0000}"/>
    <cellStyle name="输出 2 5 4 15" xfId="19888" xr:uid="{00000000-0005-0000-0000-0000E04D0000}"/>
    <cellStyle name="输出 2 5 4 16" xfId="40973" xr:uid="{00000000-0005-0000-0000-00003DA00000}"/>
    <cellStyle name="输出 2 5 4 2" xfId="30274" xr:uid="{00000000-0005-0000-0000-000072760000}"/>
    <cellStyle name="输出 2 5 4 2 2" xfId="11239" xr:uid="{00000000-0005-0000-0000-0000172C0000}"/>
    <cellStyle name="输出 2 5 4 2 2 2" xfId="6982" xr:uid="{00000000-0005-0000-0000-0000761B0000}"/>
    <cellStyle name="输出 2 5 4 2 3" xfId="15436" xr:uid="{00000000-0005-0000-0000-00007C3C0000}"/>
    <cellStyle name="输出 2 5 4 2 3 2" xfId="7042" xr:uid="{00000000-0005-0000-0000-0000B21B0000}"/>
    <cellStyle name="输出 2 5 4 2 4" xfId="15606" xr:uid="{00000000-0005-0000-0000-0000263D0000}"/>
    <cellStyle name="输出 2 5 4 2 4 2" xfId="7126" xr:uid="{00000000-0005-0000-0000-0000061C0000}"/>
    <cellStyle name="输出 2 5 4 2 5" xfId="9293" xr:uid="{00000000-0005-0000-0000-00007D240000}"/>
    <cellStyle name="输出 2 5 4 2 5 2" xfId="7164" xr:uid="{00000000-0005-0000-0000-00002C1C0000}"/>
    <cellStyle name="输出 2 5 4 2 6" xfId="15878" xr:uid="{00000000-0005-0000-0000-0000363E0000}"/>
    <cellStyle name="输出 2 5 4 2 7" xfId="15898" xr:uid="{00000000-0005-0000-0000-00004A3E0000}"/>
    <cellStyle name="输出 2 5 4 2 8" xfId="15910" xr:uid="{00000000-0005-0000-0000-0000563E0000}"/>
    <cellStyle name="输出 2 5 4 2 9" xfId="13873" xr:uid="{00000000-0005-0000-0000-000061360000}"/>
    <cellStyle name="输出 2 5 4 3" xfId="18804" xr:uid="{00000000-0005-0000-0000-0000A4490000}"/>
    <cellStyle name="输出 2 5 4 3 2" xfId="11712" xr:uid="{00000000-0005-0000-0000-0000F02D0000}"/>
    <cellStyle name="输出 2 5 4 3 2 2" xfId="11717" xr:uid="{00000000-0005-0000-0000-0000F52D0000}"/>
    <cellStyle name="输出 2 5 4 3 3" xfId="40975" xr:uid="{00000000-0005-0000-0000-00003FA00000}"/>
    <cellStyle name="输出 2 5 4 3 3 2" xfId="20477" xr:uid="{00000000-0005-0000-0000-00002D500000}"/>
    <cellStyle name="输出 2 5 4 3 4" xfId="40976" xr:uid="{00000000-0005-0000-0000-000040A00000}"/>
    <cellStyle name="输出 2 5 4 3 4 2" xfId="20495" xr:uid="{00000000-0005-0000-0000-00003F500000}"/>
    <cellStyle name="输出 2 5 4 3 5" xfId="4027" xr:uid="{00000000-0005-0000-0000-0000EB0F0000}"/>
    <cellStyle name="输出 2 5 4 3 5 2" xfId="4035" xr:uid="{00000000-0005-0000-0000-0000F30F0000}"/>
    <cellStyle name="输出 2 5 4 3 6" xfId="4055" xr:uid="{00000000-0005-0000-0000-000007100000}"/>
    <cellStyle name="输出 2 5 4 4" xfId="40977" xr:uid="{00000000-0005-0000-0000-000041A00000}"/>
    <cellStyle name="输出 2 5 4 4 2" xfId="11816" xr:uid="{00000000-0005-0000-0000-0000582E0000}"/>
    <cellStyle name="输出 2 5 4 4 2 2" xfId="11818" xr:uid="{00000000-0005-0000-0000-00005A2E0000}"/>
    <cellStyle name="输出 2 5 4 4 3" xfId="40978" xr:uid="{00000000-0005-0000-0000-000042A00000}"/>
    <cellStyle name="输出 2 5 4 4 3 2" xfId="20633" xr:uid="{00000000-0005-0000-0000-0000C9500000}"/>
    <cellStyle name="输出 2 5 4 4 4" xfId="40979" xr:uid="{00000000-0005-0000-0000-000043A00000}"/>
    <cellStyle name="输出 2 5 4 4 4 2" xfId="20656" xr:uid="{00000000-0005-0000-0000-0000E0500000}"/>
    <cellStyle name="输出 2 5 4 4 5" xfId="4157" xr:uid="{00000000-0005-0000-0000-00006D100000}"/>
    <cellStyle name="输出 2 5 4 4 5 2" xfId="285" xr:uid="{00000000-0005-0000-0000-000039010000}"/>
    <cellStyle name="输出 2 5 4 4 6" xfId="4165" xr:uid="{00000000-0005-0000-0000-000075100000}"/>
    <cellStyle name="输出 2 5 4 5" xfId="40980" xr:uid="{00000000-0005-0000-0000-000044A00000}"/>
    <cellStyle name="输出 2 5 4 5 2" xfId="2248" xr:uid="{00000000-0005-0000-0000-0000F8080000}"/>
    <cellStyle name="输出 2 5 4 5 2 2" xfId="11967" xr:uid="{00000000-0005-0000-0000-0000EF2E0000}"/>
    <cellStyle name="输出 2 5 4 5 3" xfId="40981" xr:uid="{00000000-0005-0000-0000-000045A00000}"/>
    <cellStyle name="输出 2 5 4 5 3 2" xfId="20764" xr:uid="{00000000-0005-0000-0000-00004C510000}"/>
    <cellStyle name="输出 2 5 4 5 4" xfId="40982" xr:uid="{00000000-0005-0000-0000-000046A00000}"/>
    <cellStyle name="输出 2 5 4 5 4 2" xfId="20784" xr:uid="{00000000-0005-0000-0000-000060510000}"/>
    <cellStyle name="输出 2 5 4 5 5" xfId="4044" xr:uid="{00000000-0005-0000-0000-0000FC0F0000}"/>
    <cellStyle name="输出 2 5 4 5 5 2" xfId="781" xr:uid="{00000000-0005-0000-0000-00003D030000}"/>
    <cellStyle name="输出 2 5 4 5 6" xfId="4239" xr:uid="{00000000-0005-0000-0000-0000BF100000}"/>
    <cellStyle name="输出 2 5 4 6" xfId="28409" xr:uid="{00000000-0005-0000-0000-0000296F0000}"/>
    <cellStyle name="输出 2 5 4 6 2" xfId="5061" xr:uid="{00000000-0005-0000-0000-0000F5130000}"/>
    <cellStyle name="输出 2 5 4 6 2 2" xfId="12209" xr:uid="{00000000-0005-0000-0000-0000E12F0000}"/>
    <cellStyle name="输出 2 5 4 6 3" xfId="40983" xr:uid="{00000000-0005-0000-0000-000047A00000}"/>
    <cellStyle name="输出 2 5 4 6 3 2" xfId="20864" xr:uid="{00000000-0005-0000-0000-0000B0510000}"/>
    <cellStyle name="输出 2 5 4 6 4" xfId="40984" xr:uid="{00000000-0005-0000-0000-000048A00000}"/>
    <cellStyle name="输出 2 5 4 6 4 2" xfId="20888" xr:uid="{00000000-0005-0000-0000-0000C8510000}"/>
    <cellStyle name="输出 2 5 4 6 5" xfId="4069" xr:uid="{00000000-0005-0000-0000-000015100000}"/>
    <cellStyle name="输出 2 5 4 6 5 2" xfId="4251" xr:uid="{00000000-0005-0000-0000-0000CB100000}"/>
    <cellStyle name="输出 2 5 4 6 6" xfId="1855" xr:uid="{00000000-0005-0000-0000-00006F070000}"/>
    <cellStyle name="输出 2 5 4 7" xfId="33658" xr:uid="{00000000-0005-0000-0000-0000AA830000}"/>
    <cellStyle name="输出 2 5 4 7 2" xfId="5067" xr:uid="{00000000-0005-0000-0000-0000FB130000}"/>
    <cellStyle name="输出 2 5 4 7 2 2" xfId="3542" xr:uid="{00000000-0005-0000-0000-0000060E0000}"/>
    <cellStyle name="输出 2 5 4 7 3" xfId="17255" xr:uid="{00000000-0005-0000-0000-000097430000}"/>
    <cellStyle name="输出 2 5 4 7 3 2" xfId="3668" xr:uid="{00000000-0005-0000-0000-0000840E0000}"/>
    <cellStyle name="输出 2 5 4 7 4" xfId="17319" xr:uid="{00000000-0005-0000-0000-0000D7430000}"/>
    <cellStyle name="输出 2 5 4 7 4 2" xfId="1519" xr:uid="{00000000-0005-0000-0000-00001F060000}"/>
    <cellStyle name="输出 2 5 4 7 5" xfId="4099" xr:uid="{00000000-0005-0000-0000-000033100000}"/>
    <cellStyle name="输出 2 5 4 7 5 2" xfId="3772" xr:uid="{00000000-0005-0000-0000-0000EC0E0000}"/>
    <cellStyle name="输出 2 5 4 7 6" xfId="4281" xr:uid="{00000000-0005-0000-0000-0000E9100000}"/>
    <cellStyle name="输出 2 5 4 8" xfId="33660" xr:uid="{00000000-0005-0000-0000-0000AC830000}"/>
    <cellStyle name="输出 2 5 4 8 2" xfId="33662" xr:uid="{00000000-0005-0000-0000-0000AE830000}"/>
    <cellStyle name="输出 2 5 4 8 2 2" xfId="4203" xr:uid="{00000000-0005-0000-0000-00009B100000}"/>
    <cellStyle name="输出 2 5 4 8 3" xfId="39065" xr:uid="{00000000-0005-0000-0000-0000C9980000}"/>
    <cellStyle name="输出 2 5 4 8 3 2" xfId="3570" xr:uid="{00000000-0005-0000-0000-0000220E0000}"/>
    <cellStyle name="输出 2 5 4 8 4" xfId="39003" xr:uid="{00000000-0005-0000-0000-00008B980000}"/>
    <cellStyle name="输出 2 5 4 8 4 2" xfId="1947" xr:uid="{00000000-0005-0000-0000-0000CB070000}"/>
    <cellStyle name="输出 2 5 4 8 5" xfId="4118" xr:uid="{00000000-0005-0000-0000-000046100000}"/>
    <cellStyle name="输出 2 5 4 9" xfId="33664" xr:uid="{00000000-0005-0000-0000-0000B0830000}"/>
    <cellStyle name="输出 2 5 4 9 2" xfId="40985" xr:uid="{00000000-0005-0000-0000-000049A00000}"/>
    <cellStyle name="输出 2 5 5" xfId="40986" xr:uid="{00000000-0005-0000-0000-00004AA00000}"/>
    <cellStyle name="输出 2 5 5 10" xfId="40987" xr:uid="{00000000-0005-0000-0000-00004BA00000}"/>
    <cellStyle name="输出 2 5 5 10 2" xfId="40988" xr:uid="{00000000-0005-0000-0000-00004CA00000}"/>
    <cellStyle name="输出 2 5 5 11" xfId="40989" xr:uid="{00000000-0005-0000-0000-00004DA00000}"/>
    <cellStyle name="输出 2 5 5 11 2" xfId="40990" xr:uid="{00000000-0005-0000-0000-00004EA00000}"/>
    <cellStyle name="输出 2 5 5 12" xfId="40991" xr:uid="{00000000-0005-0000-0000-00004FA00000}"/>
    <cellStyle name="输出 2 5 5 12 2" xfId="40992" xr:uid="{00000000-0005-0000-0000-000050A00000}"/>
    <cellStyle name="输出 2 5 5 13" xfId="40993" xr:uid="{00000000-0005-0000-0000-000051A00000}"/>
    <cellStyle name="输出 2 5 5 14" xfId="40994" xr:uid="{00000000-0005-0000-0000-000052A00000}"/>
    <cellStyle name="输出 2 5 5 15" xfId="3720" xr:uid="{00000000-0005-0000-0000-0000B80E0000}"/>
    <cellStyle name="输出 2 5 5 16" xfId="40995" xr:uid="{00000000-0005-0000-0000-000053A00000}"/>
    <cellStyle name="输出 2 5 5 2" xfId="30279" xr:uid="{00000000-0005-0000-0000-000077760000}"/>
    <cellStyle name="输出 2 5 5 2 2" xfId="40996" xr:uid="{00000000-0005-0000-0000-000054A00000}"/>
    <cellStyle name="输出 2 5 5 2 2 2" xfId="40997" xr:uid="{00000000-0005-0000-0000-000055A00000}"/>
    <cellStyle name="输出 2 5 5 2 3" xfId="22528" xr:uid="{00000000-0005-0000-0000-000030580000}"/>
    <cellStyle name="输出 2 5 5 2 3 2" xfId="22543" xr:uid="{00000000-0005-0000-0000-00003F580000}"/>
    <cellStyle name="输出 2 5 5 2 4" xfId="21085" xr:uid="{00000000-0005-0000-0000-00008D520000}"/>
    <cellStyle name="输出 2 5 5 2 4 2" xfId="21089" xr:uid="{00000000-0005-0000-0000-000091520000}"/>
    <cellStyle name="输出 2 5 5 2 5" xfId="21095" xr:uid="{00000000-0005-0000-0000-000097520000}"/>
    <cellStyle name="输出 2 5 5 2 5 2" xfId="21099" xr:uid="{00000000-0005-0000-0000-00009B520000}"/>
    <cellStyle name="输出 2 5 5 2 6" xfId="20223" xr:uid="{00000000-0005-0000-0000-00002F4F0000}"/>
    <cellStyle name="输出 2 5 5 2 7" xfId="21107" xr:uid="{00000000-0005-0000-0000-0000A3520000}"/>
    <cellStyle name="输出 2 5 5 2 8" xfId="21117" xr:uid="{00000000-0005-0000-0000-0000AD520000}"/>
    <cellStyle name="输出 2 5 5 2 9" xfId="13889" xr:uid="{00000000-0005-0000-0000-000071360000}"/>
    <cellStyle name="输出 2 5 5 3" xfId="13833" xr:uid="{00000000-0005-0000-0000-000039360000}"/>
    <cellStyle name="输出 2 5 5 3 2" xfId="40998" xr:uid="{00000000-0005-0000-0000-000056A00000}"/>
    <cellStyle name="输出 2 5 5 3 2 2" xfId="221" xr:uid="{00000000-0005-0000-0000-0000F0000000}"/>
    <cellStyle name="输出 2 5 5 3 3" xfId="40999" xr:uid="{00000000-0005-0000-0000-000057A00000}"/>
    <cellStyle name="输出 2 5 5 3 3 2" xfId="21829" xr:uid="{00000000-0005-0000-0000-000075550000}"/>
    <cellStyle name="输出 2 5 5 3 4" xfId="41000" xr:uid="{00000000-0005-0000-0000-000058A00000}"/>
    <cellStyle name="输出 2 5 5 3 4 2" xfId="21137" xr:uid="{00000000-0005-0000-0000-0000C1520000}"/>
    <cellStyle name="输出 2 5 5 3 5" xfId="4435" xr:uid="{00000000-0005-0000-0000-000083110000}"/>
    <cellStyle name="输出 2 5 5 3 5 2" xfId="4440" xr:uid="{00000000-0005-0000-0000-000088110000}"/>
    <cellStyle name="输出 2 5 5 3 6" xfId="4449" xr:uid="{00000000-0005-0000-0000-000091110000}"/>
    <cellStyle name="输出 2 5 5 4" xfId="41001" xr:uid="{00000000-0005-0000-0000-000059A00000}"/>
    <cellStyle name="输出 2 5 5 4 2" xfId="12872" xr:uid="{00000000-0005-0000-0000-000078320000}"/>
    <cellStyle name="输出 2 5 5 4 2 2" xfId="12874" xr:uid="{00000000-0005-0000-0000-00007A320000}"/>
    <cellStyle name="输出 2 5 5 4 3" xfId="12877" xr:uid="{00000000-0005-0000-0000-00007D320000}"/>
    <cellStyle name="输出 2 5 5 4 3 2" xfId="21941" xr:uid="{00000000-0005-0000-0000-0000E5550000}"/>
    <cellStyle name="输出 2 5 5 4 4" xfId="12879" xr:uid="{00000000-0005-0000-0000-00007F320000}"/>
    <cellStyle name="输出 2 5 5 4 4 2" xfId="21144" xr:uid="{00000000-0005-0000-0000-0000C8520000}"/>
    <cellStyle name="输出 2 5 5 4 5" xfId="4514" xr:uid="{00000000-0005-0000-0000-0000D2110000}"/>
    <cellStyle name="输出 2 5 5 4 5 2" xfId="3943" xr:uid="{00000000-0005-0000-0000-0000970F0000}"/>
    <cellStyle name="输出 2 5 5 4 6" xfId="4520" xr:uid="{00000000-0005-0000-0000-0000D8110000}"/>
    <cellStyle name="输出 2 5 5 5" xfId="41003" xr:uid="{00000000-0005-0000-0000-00005BA00000}"/>
    <cellStyle name="输出 2 5 5 5 2" xfId="5090" xr:uid="{00000000-0005-0000-0000-000012140000}"/>
    <cellStyle name="输出 2 5 5 5 2 2" xfId="12899" xr:uid="{00000000-0005-0000-0000-000093320000}"/>
    <cellStyle name="输出 2 5 5 5 3" xfId="12902" xr:uid="{00000000-0005-0000-0000-000096320000}"/>
    <cellStyle name="输出 2 5 5 5 3 2" xfId="22079" xr:uid="{00000000-0005-0000-0000-00006F560000}"/>
    <cellStyle name="输出 2 5 5 5 4" xfId="41005" xr:uid="{00000000-0005-0000-0000-00005DA00000}"/>
    <cellStyle name="输出 2 5 5 5 4 2" xfId="21155" xr:uid="{00000000-0005-0000-0000-0000D3520000}"/>
    <cellStyle name="输出 2 5 5 5 5" xfId="281" xr:uid="{00000000-0005-0000-0000-000035010000}"/>
    <cellStyle name="输出 2 5 5 5 5 2" xfId="4541" xr:uid="{00000000-0005-0000-0000-0000ED110000}"/>
    <cellStyle name="输出 2 5 5 5 6" xfId="411" xr:uid="{00000000-0005-0000-0000-0000C2010000}"/>
    <cellStyle name="输出 2 5 5 6" xfId="28416" xr:uid="{00000000-0005-0000-0000-0000306F0000}"/>
    <cellStyle name="输出 2 5 5 6 2" xfId="5108" xr:uid="{00000000-0005-0000-0000-000024140000}"/>
    <cellStyle name="输出 2 5 5 6 2 2" xfId="12920" xr:uid="{00000000-0005-0000-0000-0000A8320000}"/>
    <cellStyle name="输出 2 5 5 6 3" xfId="12926" xr:uid="{00000000-0005-0000-0000-0000AE320000}"/>
    <cellStyle name="输出 2 5 5 6 3 2" xfId="22205" xr:uid="{00000000-0005-0000-0000-0000ED560000}"/>
    <cellStyle name="输出 2 5 5 6 4" xfId="41006" xr:uid="{00000000-0005-0000-0000-00005EA00000}"/>
    <cellStyle name="输出 2 5 5 6 4 2" xfId="21169" xr:uid="{00000000-0005-0000-0000-0000E1520000}"/>
    <cellStyle name="输出 2 5 5 6 5" xfId="4173" xr:uid="{00000000-0005-0000-0000-00007D100000}"/>
    <cellStyle name="输出 2 5 5 6 5 2" xfId="4590" xr:uid="{00000000-0005-0000-0000-00001E120000}"/>
    <cellStyle name="输出 2 5 5 6 6" xfId="4597" xr:uid="{00000000-0005-0000-0000-000025120000}"/>
    <cellStyle name="输出 2 5 5 7" xfId="41007" xr:uid="{00000000-0005-0000-0000-00005FA00000}"/>
    <cellStyle name="输出 2 5 5 7 2" xfId="5117" xr:uid="{00000000-0005-0000-0000-00002D140000}"/>
    <cellStyle name="输出 2 5 5 7 2 2" xfId="7410" xr:uid="{00000000-0005-0000-0000-0000221D0000}"/>
    <cellStyle name="输出 2 5 5 7 3" xfId="12935" xr:uid="{00000000-0005-0000-0000-0000B7320000}"/>
    <cellStyle name="输出 2 5 5 7 3 2" xfId="7469" xr:uid="{00000000-0005-0000-0000-00005D1D0000}"/>
    <cellStyle name="输出 2 5 5 7 4" xfId="39010" xr:uid="{00000000-0005-0000-0000-000092980000}"/>
    <cellStyle name="输出 2 5 5 7 4 2" xfId="7539" xr:uid="{00000000-0005-0000-0000-0000A31D0000}"/>
    <cellStyle name="输出 2 5 5 7 5" xfId="4187" xr:uid="{00000000-0005-0000-0000-00008B100000}"/>
    <cellStyle name="输出 2 5 5 7 5 2" xfId="4615" xr:uid="{00000000-0005-0000-0000-000037120000}"/>
    <cellStyle name="输出 2 5 5 7 6" xfId="4622" xr:uid="{00000000-0005-0000-0000-00003E120000}"/>
    <cellStyle name="输出 2 5 5 8" xfId="41009" xr:uid="{00000000-0005-0000-0000-000061A00000}"/>
    <cellStyle name="输出 2 5 5 8 2" xfId="5138" xr:uid="{00000000-0005-0000-0000-000042140000}"/>
    <cellStyle name="输出 2 5 5 8 2 2" xfId="7803" xr:uid="{00000000-0005-0000-0000-0000AB1E0000}"/>
    <cellStyle name="输出 2 5 5 8 3" xfId="12947" xr:uid="{00000000-0005-0000-0000-0000C3320000}"/>
    <cellStyle name="输出 2 5 5 8 3 2" xfId="7821" xr:uid="{00000000-0005-0000-0000-0000BD1E0000}"/>
    <cellStyle name="输出 2 5 5 8 4" xfId="39013" xr:uid="{00000000-0005-0000-0000-000095980000}"/>
    <cellStyle name="输出 2 5 5 8 4 2" xfId="7853" xr:uid="{00000000-0005-0000-0000-0000DD1E0000}"/>
    <cellStyle name="输出 2 5 5 8 5" xfId="4211" xr:uid="{00000000-0005-0000-0000-0000A3100000}"/>
    <cellStyle name="输出 2 5 5 9" xfId="41011" xr:uid="{00000000-0005-0000-0000-000063A00000}"/>
    <cellStyle name="输出 2 5 5 9 2" xfId="9557" xr:uid="{00000000-0005-0000-0000-000085250000}"/>
    <cellStyle name="输出 2 5 6" xfId="41014" xr:uid="{00000000-0005-0000-0000-000066A00000}"/>
    <cellStyle name="输出 2 5 6 10" xfId="6134" xr:uid="{00000000-0005-0000-0000-000026180000}"/>
    <cellStyle name="输出 2 5 6 10 2" xfId="10661" xr:uid="{00000000-0005-0000-0000-0000D5290000}"/>
    <cellStyle name="输出 2 5 6 11" xfId="7831" xr:uid="{00000000-0005-0000-0000-0000C71E0000}"/>
    <cellStyle name="输出 2 5 6 11 2" xfId="10679" xr:uid="{00000000-0005-0000-0000-0000E7290000}"/>
    <cellStyle name="输出 2 5 6 12" xfId="10685" xr:uid="{00000000-0005-0000-0000-0000ED290000}"/>
    <cellStyle name="输出 2 5 6 12 2" xfId="10699" xr:uid="{00000000-0005-0000-0000-0000FB290000}"/>
    <cellStyle name="输出 2 5 6 13" xfId="10705" xr:uid="{00000000-0005-0000-0000-0000012A0000}"/>
    <cellStyle name="输出 2 5 6 14" xfId="10714" xr:uid="{00000000-0005-0000-0000-00000A2A0000}"/>
    <cellStyle name="输出 2 5 6 15" xfId="32215" xr:uid="{00000000-0005-0000-0000-0000077E0000}"/>
    <cellStyle name="输出 2 5 6 16" xfId="32218" xr:uid="{00000000-0005-0000-0000-00000A7E0000}"/>
    <cellStyle name="输出 2 5 6 2" xfId="33845" xr:uid="{00000000-0005-0000-0000-000065840000}"/>
    <cellStyle name="输出 2 5 6 2 2" xfId="41015" xr:uid="{00000000-0005-0000-0000-000067A00000}"/>
    <cellStyle name="输出 2 5 6 2 2 2" xfId="41016" xr:uid="{00000000-0005-0000-0000-000068A00000}"/>
    <cellStyle name="输出 2 5 6 2 3" xfId="41017" xr:uid="{00000000-0005-0000-0000-000069A00000}"/>
    <cellStyle name="输出 2 5 6 2 3 2" xfId="41018" xr:uid="{00000000-0005-0000-0000-00006AA00000}"/>
    <cellStyle name="输出 2 5 6 2 4" xfId="41019" xr:uid="{00000000-0005-0000-0000-00006BA00000}"/>
    <cellStyle name="输出 2 5 6 2 4 2" xfId="41020" xr:uid="{00000000-0005-0000-0000-00006CA00000}"/>
    <cellStyle name="输出 2 5 6 2 5" xfId="41021" xr:uid="{00000000-0005-0000-0000-00006DA00000}"/>
    <cellStyle name="输出 2 5 6 2 5 2" xfId="41022" xr:uid="{00000000-0005-0000-0000-00006EA00000}"/>
    <cellStyle name="输出 2 5 6 2 6" xfId="41023" xr:uid="{00000000-0005-0000-0000-00006FA00000}"/>
    <cellStyle name="输出 2 5 6 2 7" xfId="41024" xr:uid="{00000000-0005-0000-0000-000070A00000}"/>
    <cellStyle name="输出 2 5 6 2 8" xfId="41025" xr:uid="{00000000-0005-0000-0000-000071A00000}"/>
    <cellStyle name="输出 2 5 6 2 9" xfId="41026" xr:uid="{00000000-0005-0000-0000-000072A00000}"/>
    <cellStyle name="输出 2 5 6 3" xfId="13846" xr:uid="{00000000-0005-0000-0000-000046360000}"/>
    <cellStyle name="输出 2 5 6 3 2" xfId="32225" xr:uid="{00000000-0005-0000-0000-0000117E0000}"/>
    <cellStyle name="输出 2 5 6 3 2 2" xfId="23014" xr:uid="{00000000-0005-0000-0000-0000165A0000}"/>
    <cellStyle name="输出 2 5 6 3 3" xfId="32228" xr:uid="{00000000-0005-0000-0000-0000147E0000}"/>
    <cellStyle name="输出 2 5 6 3 3 2" xfId="23025" xr:uid="{00000000-0005-0000-0000-0000215A0000}"/>
    <cellStyle name="输出 2 5 6 3 4" xfId="32231" xr:uid="{00000000-0005-0000-0000-0000177E0000}"/>
    <cellStyle name="输出 2 5 6 3 4 2" xfId="21231" xr:uid="{00000000-0005-0000-0000-00001F530000}"/>
    <cellStyle name="输出 2 5 6 3 5" xfId="339" xr:uid="{00000000-0005-0000-0000-000074010000}"/>
    <cellStyle name="输出 2 5 6 3 5 2" xfId="722" xr:uid="{00000000-0005-0000-0000-000002030000}"/>
    <cellStyle name="输出 2 5 6 3 6" xfId="272" xr:uid="{00000000-0005-0000-0000-00002B010000}"/>
    <cellStyle name="输出 2 5 6 4" xfId="32233" xr:uid="{00000000-0005-0000-0000-0000197E0000}"/>
    <cellStyle name="输出 2 5 6 4 2" xfId="2553" xr:uid="{00000000-0005-0000-0000-0000290A0000}"/>
    <cellStyle name="输出 2 5 6 4 2 2" xfId="2557" xr:uid="{00000000-0005-0000-0000-00002D0A0000}"/>
    <cellStyle name="输出 2 5 6 4 3" xfId="2645" xr:uid="{00000000-0005-0000-0000-0000850A0000}"/>
    <cellStyle name="输出 2 5 6 4 3 2" xfId="23089" xr:uid="{00000000-0005-0000-0000-0000615A0000}"/>
    <cellStyle name="输出 2 5 6 4 4" xfId="569" xr:uid="{00000000-0005-0000-0000-000069020000}"/>
    <cellStyle name="输出 2 5 6 4 4 2" xfId="21236" xr:uid="{00000000-0005-0000-0000-000024530000}"/>
    <cellStyle name="输出 2 5 6 4 5" xfId="764" xr:uid="{00000000-0005-0000-0000-00002C030000}"/>
    <cellStyle name="输出 2 5 6 4 5 2" xfId="2804" xr:uid="{00000000-0005-0000-0000-0000240B0000}"/>
    <cellStyle name="输出 2 5 6 4 6" xfId="4778" xr:uid="{00000000-0005-0000-0000-0000DA120000}"/>
    <cellStyle name="输出 2 5 6 5" xfId="32235" xr:uid="{00000000-0005-0000-0000-00001B7E0000}"/>
    <cellStyle name="输出 2 5 6 5 2" xfId="3166" xr:uid="{00000000-0005-0000-0000-00008E0C0000}"/>
    <cellStyle name="输出 2 5 6 5 2 2" xfId="3171" xr:uid="{00000000-0005-0000-0000-0000930C0000}"/>
    <cellStyle name="输出 2 5 6 5 3" xfId="2339" xr:uid="{00000000-0005-0000-0000-000053090000}"/>
    <cellStyle name="输出 2 5 6 5 3 2" xfId="23209" xr:uid="{00000000-0005-0000-0000-0000D95A0000}"/>
    <cellStyle name="输出 2 5 6 5 4" xfId="32237" xr:uid="{00000000-0005-0000-0000-00001D7E0000}"/>
    <cellStyle name="输出 2 5 6 5 4 2" xfId="21242" xr:uid="{00000000-0005-0000-0000-00002A530000}"/>
    <cellStyle name="输出 2 5 6 5 5" xfId="790" xr:uid="{00000000-0005-0000-0000-000046030000}"/>
    <cellStyle name="输出 2 5 6 5 5 2" xfId="3242" xr:uid="{00000000-0005-0000-0000-0000DA0C0000}"/>
    <cellStyle name="输出 2 5 6 5 6" xfId="4801" xr:uid="{00000000-0005-0000-0000-0000F1120000}"/>
    <cellStyle name="输出 2 5 6 6" xfId="32239" xr:uid="{00000000-0005-0000-0000-00001F7E0000}"/>
    <cellStyle name="输出 2 5 6 6 2" xfId="3296" xr:uid="{00000000-0005-0000-0000-0000100D0000}"/>
    <cellStyle name="输出 2 5 6 6 2 2" xfId="13032" xr:uid="{00000000-0005-0000-0000-000018330000}"/>
    <cellStyle name="输出 2 5 6 6 3" xfId="3309" xr:uid="{00000000-0005-0000-0000-00001D0D0000}"/>
    <cellStyle name="输出 2 5 6 6 3 2" xfId="23351" xr:uid="{00000000-0005-0000-0000-0000675B0000}"/>
    <cellStyle name="输出 2 5 6 6 4" xfId="32241" xr:uid="{00000000-0005-0000-0000-0000217E0000}"/>
    <cellStyle name="输出 2 5 6 6 4 2" xfId="21253" xr:uid="{00000000-0005-0000-0000-000035530000}"/>
    <cellStyle name="输出 2 5 6 6 5" xfId="827" xr:uid="{00000000-0005-0000-0000-00006B030000}"/>
    <cellStyle name="输出 2 5 6 6 5 2" xfId="2021" xr:uid="{00000000-0005-0000-0000-000015080000}"/>
    <cellStyle name="输出 2 5 6 6 6" xfId="4374" xr:uid="{00000000-0005-0000-0000-000046110000}"/>
    <cellStyle name="输出 2 5 6 7" xfId="32245" xr:uid="{00000000-0005-0000-0000-0000257E0000}"/>
    <cellStyle name="输出 2 5 6 7 2" xfId="3376" xr:uid="{00000000-0005-0000-0000-0000600D0000}"/>
    <cellStyle name="输出 2 5 6 7 2 2" xfId="9591" xr:uid="{00000000-0005-0000-0000-0000A7250000}"/>
    <cellStyle name="输出 2 5 6 7 3" xfId="13038" xr:uid="{00000000-0005-0000-0000-00001E330000}"/>
    <cellStyle name="输出 2 5 6 7 3 2" xfId="9630" xr:uid="{00000000-0005-0000-0000-0000CE250000}"/>
    <cellStyle name="输出 2 5 6 7 4" xfId="32248" xr:uid="{00000000-0005-0000-0000-0000287E0000}"/>
    <cellStyle name="输出 2 5 6 7 4 2" xfId="9688" xr:uid="{00000000-0005-0000-0000-000008260000}"/>
    <cellStyle name="输出 2 5 6 7 5" xfId="857" xr:uid="{00000000-0005-0000-0000-000089030000}"/>
    <cellStyle name="输出 2 5 6 7 5 2" xfId="364" xr:uid="{00000000-0005-0000-0000-00008F010000}"/>
    <cellStyle name="输出 2 5 6 7 6" xfId="4844" xr:uid="{00000000-0005-0000-0000-00001C130000}"/>
    <cellStyle name="输出 2 5 6 8" xfId="32251" xr:uid="{00000000-0005-0000-0000-00002B7E0000}"/>
    <cellStyle name="输出 2 5 6 8 2" xfId="3410" xr:uid="{00000000-0005-0000-0000-0000820D0000}"/>
    <cellStyle name="输出 2 5 6 8 2 2" xfId="9918" xr:uid="{00000000-0005-0000-0000-0000EE260000}"/>
    <cellStyle name="输出 2 5 6 8 3" xfId="13042" xr:uid="{00000000-0005-0000-0000-000022330000}"/>
    <cellStyle name="输出 2 5 6 8 3 2" xfId="9962" xr:uid="{00000000-0005-0000-0000-00001A270000}"/>
    <cellStyle name="输出 2 5 6 8 4" xfId="32255" xr:uid="{00000000-0005-0000-0000-00002F7E0000}"/>
    <cellStyle name="输出 2 5 6 8 4 2" xfId="10021" xr:uid="{00000000-0005-0000-0000-000055270000}"/>
    <cellStyle name="输出 2 5 6 8 5" xfId="896" xr:uid="{00000000-0005-0000-0000-0000B0030000}"/>
    <cellStyle name="输出 2 5 6 9" xfId="32259" xr:uid="{00000000-0005-0000-0000-0000337E0000}"/>
    <cellStyle name="输出 2 5 6 9 2" xfId="3446" xr:uid="{00000000-0005-0000-0000-0000A60D0000}"/>
    <cellStyle name="输出 2 5 7" xfId="41029" xr:uid="{00000000-0005-0000-0000-000075A00000}"/>
    <cellStyle name="输出 2 5 7 10" xfId="41031" xr:uid="{00000000-0005-0000-0000-000077A00000}"/>
    <cellStyle name="输出 2 5 7 10 2" xfId="41032" xr:uid="{00000000-0005-0000-0000-000078A00000}"/>
    <cellStyle name="输出 2 5 7 11" xfId="41033" xr:uid="{00000000-0005-0000-0000-000079A00000}"/>
    <cellStyle name="输出 2 5 7 11 2" xfId="41034" xr:uid="{00000000-0005-0000-0000-00007AA00000}"/>
    <cellStyle name="输出 2 5 7 12" xfId="41035" xr:uid="{00000000-0005-0000-0000-00007BA00000}"/>
    <cellStyle name="输出 2 5 7 12 2" xfId="41036" xr:uid="{00000000-0005-0000-0000-00007CA00000}"/>
    <cellStyle name="输出 2 5 7 13" xfId="41037" xr:uid="{00000000-0005-0000-0000-00007DA00000}"/>
    <cellStyle name="输出 2 5 7 14" xfId="41038" xr:uid="{00000000-0005-0000-0000-00007EA00000}"/>
    <cellStyle name="输出 2 5 7 15" xfId="32268" xr:uid="{00000000-0005-0000-0000-00003C7E0000}"/>
    <cellStyle name="输出 2 5 7 16" xfId="32274" xr:uid="{00000000-0005-0000-0000-0000427E0000}"/>
    <cellStyle name="输出 2 5 7 2" xfId="41040" xr:uid="{00000000-0005-0000-0000-000080A00000}"/>
    <cellStyle name="输出 2 5 7 2 2" xfId="41042" xr:uid="{00000000-0005-0000-0000-000082A00000}"/>
    <cellStyle name="输出 2 5 7 2 2 2" xfId="41044" xr:uid="{00000000-0005-0000-0000-000084A00000}"/>
    <cellStyle name="输出 2 5 7 2 3" xfId="41045" xr:uid="{00000000-0005-0000-0000-000085A00000}"/>
    <cellStyle name="输出 2 5 7 2 3 2" xfId="41046" xr:uid="{00000000-0005-0000-0000-000086A00000}"/>
    <cellStyle name="输出 2 5 7 2 4" xfId="39896" xr:uid="{00000000-0005-0000-0000-0000089C0000}"/>
    <cellStyle name="输出 2 5 7 2 4 2" xfId="41047" xr:uid="{00000000-0005-0000-0000-000087A00000}"/>
    <cellStyle name="输出 2 5 7 2 5" xfId="41048" xr:uid="{00000000-0005-0000-0000-000088A00000}"/>
    <cellStyle name="输出 2 5 7 2 5 2" xfId="41049" xr:uid="{00000000-0005-0000-0000-000089A00000}"/>
    <cellStyle name="输出 2 5 7 2 6" xfId="41050" xr:uid="{00000000-0005-0000-0000-00008AA00000}"/>
    <cellStyle name="输出 2 5 7 2 7" xfId="41051" xr:uid="{00000000-0005-0000-0000-00008BA00000}"/>
    <cellStyle name="输出 2 5 7 2 8" xfId="41052" xr:uid="{00000000-0005-0000-0000-00008CA00000}"/>
    <cellStyle name="输出 2 5 7 2 9" xfId="41054" xr:uid="{00000000-0005-0000-0000-00008EA00000}"/>
    <cellStyle name="输出 2 5 7 3" xfId="32285" xr:uid="{00000000-0005-0000-0000-00004D7E0000}"/>
    <cellStyle name="输出 2 5 7 3 2" xfId="32287" xr:uid="{00000000-0005-0000-0000-00004F7E0000}"/>
    <cellStyle name="输出 2 5 7 3 2 2" xfId="32289" xr:uid="{00000000-0005-0000-0000-0000517E0000}"/>
    <cellStyle name="输出 2 5 7 3 3" xfId="32291" xr:uid="{00000000-0005-0000-0000-0000537E0000}"/>
    <cellStyle name="输出 2 5 7 3 3 2" xfId="32293" xr:uid="{00000000-0005-0000-0000-0000557E0000}"/>
    <cellStyle name="输出 2 5 7 3 4" xfId="32295" xr:uid="{00000000-0005-0000-0000-0000577E0000}"/>
    <cellStyle name="输出 2 5 7 3 4 2" xfId="32297" xr:uid="{00000000-0005-0000-0000-0000597E0000}"/>
    <cellStyle name="输出 2 5 7 3 5" xfId="5003" xr:uid="{00000000-0005-0000-0000-0000BB130000}"/>
    <cellStyle name="输出 2 5 7 3 5 2" xfId="5006" xr:uid="{00000000-0005-0000-0000-0000BE130000}"/>
    <cellStyle name="输出 2 5 7 3 6" xfId="5012" xr:uid="{00000000-0005-0000-0000-0000C4130000}"/>
    <cellStyle name="输出 2 5 7 4" xfId="32299" xr:uid="{00000000-0005-0000-0000-00005B7E0000}"/>
    <cellStyle name="输出 2 5 7 4 2" xfId="13093" xr:uid="{00000000-0005-0000-0000-000055330000}"/>
    <cellStyle name="输出 2 5 7 4 2 2" xfId="13097" xr:uid="{00000000-0005-0000-0000-000059330000}"/>
    <cellStyle name="输出 2 5 7 4 3" xfId="13101" xr:uid="{00000000-0005-0000-0000-00005D330000}"/>
    <cellStyle name="输出 2 5 7 4 3 2" xfId="32302" xr:uid="{00000000-0005-0000-0000-00005E7E0000}"/>
    <cellStyle name="输出 2 5 7 4 4" xfId="2459" xr:uid="{00000000-0005-0000-0000-0000CB090000}"/>
    <cellStyle name="输出 2 5 7 4 4 2" xfId="32305" xr:uid="{00000000-0005-0000-0000-0000617E0000}"/>
    <cellStyle name="输出 2 5 7 4 5" xfId="5044" xr:uid="{00000000-0005-0000-0000-0000E4130000}"/>
    <cellStyle name="输出 2 5 7 4 5 2" xfId="3510" xr:uid="{00000000-0005-0000-0000-0000E60D0000}"/>
    <cellStyle name="输出 2 5 7 4 6" xfId="5049" xr:uid="{00000000-0005-0000-0000-0000E9130000}"/>
    <cellStyle name="输出 2 5 7 5" xfId="32307" xr:uid="{00000000-0005-0000-0000-0000637E0000}"/>
    <cellStyle name="输出 2 5 7 5 2" xfId="5164" xr:uid="{00000000-0005-0000-0000-00005C140000}"/>
    <cellStyle name="输出 2 5 7 5 2 2" xfId="11235" xr:uid="{00000000-0005-0000-0000-0000132C0000}"/>
    <cellStyle name="输出 2 5 7 5 3" xfId="13110" xr:uid="{00000000-0005-0000-0000-000066330000}"/>
    <cellStyle name="输出 2 5 7 5 3 2" xfId="27883" xr:uid="{00000000-0005-0000-0000-00001B6D0000}"/>
    <cellStyle name="输出 2 5 7 5 4" xfId="32309" xr:uid="{00000000-0005-0000-0000-0000657E0000}"/>
    <cellStyle name="输出 2 5 7 5 4 2" xfId="27894" xr:uid="{00000000-0005-0000-0000-0000266D0000}"/>
    <cellStyle name="输出 2 5 7 5 5" xfId="4246" xr:uid="{00000000-0005-0000-0000-0000C6100000}"/>
    <cellStyle name="输出 2 5 7 5 5 2" xfId="2243" xr:uid="{00000000-0005-0000-0000-0000F3080000}"/>
    <cellStyle name="输出 2 5 7 5 6" xfId="2282" xr:uid="{00000000-0005-0000-0000-00001A090000}"/>
    <cellStyle name="输出 2 5 7 6" xfId="32311" xr:uid="{00000000-0005-0000-0000-0000677E0000}"/>
    <cellStyle name="输出 2 5 7 6 2" xfId="5180" xr:uid="{00000000-0005-0000-0000-00006C140000}"/>
    <cellStyle name="输出 2 5 7 6 2 2" xfId="13119" xr:uid="{00000000-0005-0000-0000-00006F330000}"/>
    <cellStyle name="输出 2 5 7 6 3" xfId="13124" xr:uid="{00000000-0005-0000-0000-000074330000}"/>
    <cellStyle name="输出 2 5 7 6 3 2" xfId="28002" xr:uid="{00000000-0005-0000-0000-0000926D0000}"/>
    <cellStyle name="输出 2 5 7 6 4" xfId="32313" xr:uid="{00000000-0005-0000-0000-0000697E0000}"/>
    <cellStyle name="输出 2 5 7 6 4 2" xfId="28017" xr:uid="{00000000-0005-0000-0000-0000A16D0000}"/>
    <cellStyle name="输出 2 5 7 6 5" xfId="1876" xr:uid="{00000000-0005-0000-0000-000084070000}"/>
    <cellStyle name="输出 2 5 7 6 5 2" xfId="5096" xr:uid="{00000000-0005-0000-0000-000018140000}"/>
    <cellStyle name="输出 2 5 7 6 6" xfId="5101" xr:uid="{00000000-0005-0000-0000-00001D140000}"/>
    <cellStyle name="输出 2 5 7 7" xfId="32317" xr:uid="{00000000-0005-0000-0000-00006D7E0000}"/>
    <cellStyle name="输出 2 5 7 7 2" xfId="5188" xr:uid="{00000000-0005-0000-0000-000074140000}"/>
    <cellStyle name="输出 2 5 7 7 2 2" xfId="13134" xr:uid="{00000000-0005-0000-0000-00007E330000}"/>
    <cellStyle name="输出 2 5 7 7 3" xfId="13137" xr:uid="{00000000-0005-0000-0000-000081330000}"/>
    <cellStyle name="输出 2 5 7 7 3 2" xfId="32319" xr:uid="{00000000-0005-0000-0000-00006F7E0000}"/>
    <cellStyle name="输出 2 5 7 7 4" xfId="32322" xr:uid="{00000000-0005-0000-0000-0000727E0000}"/>
    <cellStyle name="输出 2 5 7 7 4 2" xfId="32324" xr:uid="{00000000-0005-0000-0000-0000747E0000}"/>
    <cellStyle name="输出 2 5 7 7 5" xfId="4255" xr:uid="{00000000-0005-0000-0000-0000CF100000}"/>
    <cellStyle name="输出 2 5 7 7 5 2" xfId="3158" xr:uid="{00000000-0005-0000-0000-0000860C0000}"/>
    <cellStyle name="输出 2 5 7 7 6" xfId="5154" xr:uid="{00000000-0005-0000-0000-000052140000}"/>
    <cellStyle name="输出 2 5 7 8" xfId="25029" xr:uid="{00000000-0005-0000-0000-0000F5610000}"/>
    <cellStyle name="输出 2 5 7 8 2" xfId="5202" xr:uid="{00000000-0005-0000-0000-000082140000}"/>
    <cellStyle name="输出 2 5 7 8 2 2" xfId="13148" xr:uid="{00000000-0005-0000-0000-00008C330000}"/>
    <cellStyle name="输出 2 5 7 8 3" xfId="13152" xr:uid="{00000000-0005-0000-0000-000090330000}"/>
    <cellStyle name="输出 2 5 7 8 3 2" xfId="32326" xr:uid="{00000000-0005-0000-0000-0000767E0000}"/>
    <cellStyle name="输出 2 5 7 8 4" xfId="32329" xr:uid="{00000000-0005-0000-0000-0000797E0000}"/>
    <cellStyle name="输出 2 5 7 8 4 2" xfId="32331" xr:uid="{00000000-0005-0000-0000-00007B7E0000}"/>
    <cellStyle name="输出 2 5 7 8 5" xfId="4267" xr:uid="{00000000-0005-0000-0000-0000DB100000}"/>
    <cellStyle name="输出 2 5 7 9" xfId="32335" xr:uid="{00000000-0005-0000-0000-00007F7E0000}"/>
    <cellStyle name="输出 2 5 7 9 2" xfId="9607" xr:uid="{00000000-0005-0000-0000-0000B7250000}"/>
    <cellStyle name="输出 2 5 8" xfId="35405" xr:uid="{00000000-0005-0000-0000-00007D8A0000}"/>
    <cellStyle name="输出 2 5 8 10" xfId="32146" xr:uid="{00000000-0005-0000-0000-0000C27D0000}"/>
    <cellStyle name="输出 2 5 8 10 2" xfId="32148" xr:uid="{00000000-0005-0000-0000-0000C47D0000}"/>
    <cellStyle name="输出 2 5 8 11" xfId="32151" xr:uid="{00000000-0005-0000-0000-0000C77D0000}"/>
    <cellStyle name="输出 2 5 8 11 2" xfId="41057" xr:uid="{00000000-0005-0000-0000-000091A00000}"/>
    <cellStyle name="输出 2 5 8 12" xfId="32153" xr:uid="{00000000-0005-0000-0000-0000C97D0000}"/>
    <cellStyle name="输出 2 5 8 12 2" xfId="41058" xr:uid="{00000000-0005-0000-0000-000092A00000}"/>
    <cellStyle name="输出 2 5 8 13" xfId="32156" xr:uid="{00000000-0005-0000-0000-0000CC7D0000}"/>
    <cellStyle name="输出 2 5 8 14" xfId="32160" xr:uid="{00000000-0005-0000-0000-0000D07D0000}"/>
    <cellStyle name="输出 2 5 8 15" xfId="32349" xr:uid="{00000000-0005-0000-0000-00008D7E0000}"/>
    <cellStyle name="输出 2 5 8 16" xfId="9874" xr:uid="{00000000-0005-0000-0000-0000C2260000}"/>
    <cellStyle name="输出 2 5 8 2" xfId="23692" xr:uid="{00000000-0005-0000-0000-0000BC5C0000}"/>
    <cellStyle name="输出 2 5 8 2 2" xfId="41059" xr:uid="{00000000-0005-0000-0000-000093A00000}"/>
    <cellStyle name="输出 2 5 8 2 2 2" xfId="14292" xr:uid="{00000000-0005-0000-0000-000004380000}"/>
    <cellStyle name="输出 2 5 8 2 3" xfId="41060" xr:uid="{00000000-0005-0000-0000-000094A00000}"/>
    <cellStyle name="输出 2 5 8 2 3 2" xfId="41061" xr:uid="{00000000-0005-0000-0000-000095A00000}"/>
    <cellStyle name="输出 2 5 8 2 4" xfId="2240" xr:uid="{00000000-0005-0000-0000-0000F0080000}"/>
    <cellStyle name="输出 2 5 8 2 4 2" xfId="41062" xr:uid="{00000000-0005-0000-0000-000096A00000}"/>
    <cellStyle name="输出 2 5 8 2 5" xfId="41063" xr:uid="{00000000-0005-0000-0000-000097A00000}"/>
    <cellStyle name="输出 2 5 8 2 5 2" xfId="41064" xr:uid="{00000000-0005-0000-0000-000098A00000}"/>
    <cellStyle name="输出 2 5 8 2 6" xfId="11515" xr:uid="{00000000-0005-0000-0000-00002B2D0000}"/>
    <cellStyle name="输出 2 5 8 2 7" xfId="3986" xr:uid="{00000000-0005-0000-0000-0000C20F0000}"/>
    <cellStyle name="输出 2 5 8 2 8" xfId="41065" xr:uid="{00000000-0005-0000-0000-000099A00000}"/>
    <cellStyle name="输出 2 5 8 2 9" xfId="41067" xr:uid="{00000000-0005-0000-0000-00009BA00000}"/>
    <cellStyle name="输出 2 5 8 3" xfId="23696" xr:uid="{00000000-0005-0000-0000-0000C05C0000}"/>
    <cellStyle name="输出 2 5 8 3 2" xfId="32355" xr:uid="{00000000-0005-0000-0000-0000937E0000}"/>
    <cellStyle name="输出 2 5 8 3 2 2" xfId="15269" xr:uid="{00000000-0005-0000-0000-0000D53B0000}"/>
    <cellStyle name="输出 2 5 8 3 3" xfId="32357" xr:uid="{00000000-0005-0000-0000-0000957E0000}"/>
    <cellStyle name="输出 2 5 8 3 3 2" xfId="32359" xr:uid="{00000000-0005-0000-0000-0000977E0000}"/>
    <cellStyle name="输出 2 5 8 3 4" xfId="32361" xr:uid="{00000000-0005-0000-0000-0000997E0000}"/>
    <cellStyle name="输出 2 5 8 3 4 2" xfId="32363" xr:uid="{00000000-0005-0000-0000-00009B7E0000}"/>
    <cellStyle name="输出 2 5 8 3 5" xfId="3660" xr:uid="{00000000-0005-0000-0000-00007C0E0000}"/>
    <cellStyle name="输出 2 5 8 3 5 2" xfId="3674" xr:uid="{00000000-0005-0000-0000-00008A0E0000}"/>
    <cellStyle name="输出 2 5 8 3 6" xfId="3680" xr:uid="{00000000-0005-0000-0000-0000900E0000}"/>
    <cellStyle name="输出 2 5 8 4" xfId="23699" xr:uid="{00000000-0005-0000-0000-0000C35C0000}"/>
    <cellStyle name="输出 2 5 8 4 2" xfId="13196" xr:uid="{00000000-0005-0000-0000-0000BC330000}"/>
    <cellStyle name="输出 2 5 8 4 2 2" xfId="13204" xr:uid="{00000000-0005-0000-0000-0000C4330000}"/>
    <cellStyle name="输出 2 5 8 4 3" xfId="13208" xr:uid="{00000000-0005-0000-0000-0000C8330000}"/>
    <cellStyle name="输出 2 5 8 4 3 2" xfId="32366" xr:uid="{00000000-0005-0000-0000-00009E7E0000}"/>
    <cellStyle name="输出 2 5 8 4 4" xfId="1492" xr:uid="{00000000-0005-0000-0000-000004060000}"/>
    <cellStyle name="输出 2 5 8 4 4 2" xfId="32369" xr:uid="{00000000-0005-0000-0000-0000A17E0000}"/>
    <cellStyle name="输出 2 5 8 4 5" xfId="1510" xr:uid="{00000000-0005-0000-0000-000016060000}"/>
    <cellStyle name="输出 2 5 8 4 5 2" xfId="3713" xr:uid="{00000000-0005-0000-0000-0000B10E0000}"/>
    <cellStyle name="输出 2 5 8 4 6" xfId="1527" xr:uid="{00000000-0005-0000-0000-000027060000}"/>
    <cellStyle name="输出 2 5 8 5" xfId="32371" xr:uid="{00000000-0005-0000-0000-0000A37E0000}"/>
    <cellStyle name="输出 2 5 8 5 2" xfId="3736" xr:uid="{00000000-0005-0000-0000-0000C80E0000}"/>
    <cellStyle name="输出 2 5 8 5 2 2" xfId="13219" xr:uid="{00000000-0005-0000-0000-0000D3330000}"/>
    <cellStyle name="输出 2 5 8 5 3" xfId="13222" xr:uid="{00000000-0005-0000-0000-0000D6330000}"/>
    <cellStyle name="输出 2 5 8 5 3 2" xfId="32374" xr:uid="{00000000-0005-0000-0000-0000A67E0000}"/>
    <cellStyle name="输出 2 5 8 5 4" xfId="32376" xr:uid="{00000000-0005-0000-0000-0000A87E0000}"/>
    <cellStyle name="输出 2 5 8 5 4 2" xfId="32378" xr:uid="{00000000-0005-0000-0000-0000AA7E0000}"/>
    <cellStyle name="输出 2 5 8 5 5" xfId="3765" xr:uid="{00000000-0005-0000-0000-0000E50E0000}"/>
    <cellStyle name="输出 2 5 8 5 5 2" xfId="3780" xr:uid="{00000000-0005-0000-0000-0000F40E0000}"/>
    <cellStyle name="输出 2 5 8 5 6" xfId="3788" xr:uid="{00000000-0005-0000-0000-0000FC0E0000}"/>
    <cellStyle name="输出 2 5 8 6" xfId="32380" xr:uid="{00000000-0005-0000-0000-0000AC7E0000}"/>
    <cellStyle name="输出 2 5 8 6 2" xfId="638" xr:uid="{00000000-0005-0000-0000-0000AE020000}"/>
    <cellStyle name="输出 2 5 8 6 2 2" xfId="13237" xr:uid="{00000000-0005-0000-0000-0000E5330000}"/>
    <cellStyle name="输出 2 5 8 6 3" xfId="13241" xr:uid="{00000000-0005-0000-0000-0000E9330000}"/>
    <cellStyle name="输出 2 5 8 6 3 2" xfId="32384" xr:uid="{00000000-0005-0000-0000-0000B07E0000}"/>
    <cellStyle name="输出 2 5 8 6 4" xfId="32386" xr:uid="{00000000-0005-0000-0000-0000B27E0000}"/>
    <cellStyle name="输出 2 5 8 6 4 2" xfId="32389" xr:uid="{00000000-0005-0000-0000-0000B57E0000}"/>
    <cellStyle name="输出 2 5 8 6 5" xfId="3837" xr:uid="{00000000-0005-0000-0000-00002D0F0000}"/>
    <cellStyle name="输出 2 5 8 6 5 2" xfId="3849" xr:uid="{00000000-0005-0000-0000-0000390F0000}"/>
    <cellStyle name="输出 2 5 8 6 6" xfId="3857" xr:uid="{00000000-0005-0000-0000-0000410F0000}"/>
    <cellStyle name="输出 2 5 8 7" xfId="32392" xr:uid="{00000000-0005-0000-0000-0000B87E0000}"/>
    <cellStyle name="输出 2 5 8 7 2" xfId="3891" xr:uid="{00000000-0005-0000-0000-0000630F0000}"/>
    <cellStyle name="输出 2 5 8 7 2 2" xfId="13253" xr:uid="{00000000-0005-0000-0000-0000F5330000}"/>
    <cellStyle name="输出 2 5 8 7 3" xfId="13258" xr:uid="{00000000-0005-0000-0000-0000FA330000}"/>
    <cellStyle name="输出 2 5 8 7 3 2" xfId="32394" xr:uid="{00000000-0005-0000-0000-0000BA7E0000}"/>
    <cellStyle name="输出 2 5 8 7 4" xfId="26389" xr:uid="{00000000-0005-0000-0000-000045670000}"/>
    <cellStyle name="输出 2 5 8 7 4 2" xfId="32397" xr:uid="{00000000-0005-0000-0000-0000BD7E0000}"/>
    <cellStyle name="输出 2 5 8 7 5" xfId="3910" xr:uid="{00000000-0005-0000-0000-0000760F0000}"/>
    <cellStyle name="输出 2 5 8 7 5 2" xfId="4921" xr:uid="{00000000-0005-0000-0000-000069130000}"/>
    <cellStyle name="输出 2 5 8 7 6" xfId="4939" xr:uid="{00000000-0005-0000-0000-00007B130000}"/>
    <cellStyle name="输出 2 5 8 8" xfId="25038" xr:uid="{00000000-0005-0000-0000-0000FE610000}"/>
    <cellStyle name="输出 2 5 8 8 2" xfId="9647" xr:uid="{00000000-0005-0000-0000-0000DF250000}"/>
    <cellStyle name="输出 2 5 8 8 2 2" xfId="13268" xr:uid="{00000000-0005-0000-0000-000004340000}"/>
    <cellStyle name="输出 2 5 8 8 3" xfId="13274" xr:uid="{00000000-0005-0000-0000-00000A340000}"/>
    <cellStyle name="输出 2 5 8 8 3 2" xfId="32399" xr:uid="{00000000-0005-0000-0000-0000BF7E0000}"/>
    <cellStyle name="输出 2 5 8 8 4" xfId="26393" xr:uid="{00000000-0005-0000-0000-000049670000}"/>
    <cellStyle name="输出 2 5 8 8 4 2" xfId="32401" xr:uid="{00000000-0005-0000-0000-0000C17E0000}"/>
    <cellStyle name="输出 2 5 8 8 5" xfId="1889" xr:uid="{00000000-0005-0000-0000-000091070000}"/>
    <cellStyle name="输出 2 5 8 9" xfId="32406" xr:uid="{00000000-0005-0000-0000-0000C67E0000}"/>
    <cellStyle name="输出 2 5 8 9 2" xfId="9659" xr:uid="{00000000-0005-0000-0000-0000EB250000}"/>
    <cellStyle name="输出 2 5 9" xfId="41070" xr:uid="{00000000-0005-0000-0000-00009EA00000}"/>
    <cellStyle name="输出 2 5 9 10" xfId="24752" xr:uid="{00000000-0005-0000-0000-0000E0600000}"/>
    <cellStyle name="输出 2 5 9 10 2" xfId="32206" xr:uid="{00000000-0005-0000-0000-0000FE7D0000}"/>
    <cellStyle name="输出 2 5 9 11" xfId="19956" xr:uid="{00000000-0005-0000-0000-0000244E0000}"/>
    <cellStyle name="输出 2 5 9 11 2" xfId="14629" xr:uid="{00000000-0005-0000-0000-000055390000}"/>
    <cellStyle name="输出 2 5 9 12" xfId="19958" xr:uid="{00000000-0005-0000-0000-0000264E0000}"/>
    <cellStyle name="输出 2 5 9 12 2" xfId="4969" xr:uid="{00000000-0005-0000-0000-000099130000}"/>
    <cellStyle name="输出 2 5 9 13" xfId="19960" xr:uid="{00000000-0005-0000-0000-0000284E0000}"/>
    <cellStyle name="输出 2 5 9 14" xfId="19966" xr:uid="{00000000-0005-0000-0000-00002E4E0000}"/>
    <cellStyle name="输出 2 5 9 15" xfId="19972" xr:uid="{00000000-0005-0000-0000-0000344E0000}"/>
    <cellStyle name="输出 2 5 9 16" xfId="32421" xr:uid="{00000000-0005-0000-0000-0000D57E0000}"/>
    <cellStyle name="输出 2 5 9 2" xfId="41072" xr:uid="{00000000-0005-0000-0000-0000A0A00000}"/>
    <cellStyle name="输出 2 5 9 2 2" xfId="27634" xr:uid="{00000000-0005-0000-0000-0000226C0000}"/>
    <cellStyle name="输出 2 5 9 2 2 2" xfId="22003" xr:uid="{00000000-0005-0000-0000-000023560000}"/>
    <cellStyle name="输出 2 5 9 2 3" xfId="27647" xr:uid="{00000000-0005-0000-0000-00002F6C0000}"/>
    <cellStyle name="输出 2 5 9 2 3 2" xfId="27650" xr:uid="{00000000-0005-0000-0000-0000326C0000}"/>
    <cellStyle name="输出 2 5 9 2 4" xfId="2504" xr:uid="{00000000-0005-0000-0000-0000F8090000}"/>
    <cellStyle name="输出 2 5 9 2 4 2" xfId="27669" xr:uid="{00000000-0005-0000-0000-0000456C0000}"/>
    <cellStyle name="输出 2 5 9 2 5" xfId="27692" xr:uid="{00000000-0005-0000-0000-00005C6C0000}"/>
    <cellStyle name="输出 2 5 9 2 5 2" xfId="27696" xr:uid="{00000000-0005-0000-0000-0000606C0000}"/>
    <cellStyle name="输出 2 5 9 2 6" xfId="27714" xr:uid="{00000000-0005-0000-0000-0000726C0000}"/>
    <cellStyle name="输出 2 5 9 2 7" xfId="27732" xr:uid="{00000000-0005-0000-0000-0000846C0000}"/>
    <cellStyle name="输出 2 5 9 2 8" xfId="18220" xr:uid="{00000000-0005-0000-0000-00005C470000}"/>
    <cellStyle name="输出 2 5 9 2 9" xfId="41074" xr:uid="{00000000-0005-0000-0000-0000A2A00000}"/>
    <cellStyle name="输出 2 5 9 3" xfId="32440" xr:uid="{00000000-0005-0000-0000-0000E87E0000}"/>
    <cellStyle name="输出 2 5 9 3 2" xfId="27772" xr:uid="{00000000-0005-0000-0000-0000AC6C0000}"/>
    <cellStyle name="输出 2 5 9 3 2 2" xfId="785" xr:uid="{00000000-0005-0000-0000-000041030000}"/>
    <cellStyle name="输出 2 5 9 3 3" xfId="27782" xr:uid="{00000000-0005-0000-0000-0000B66C0000}"/>
    <cellStyle name="输出 2 5 9 3 3 2" xfId="822" xr:uid="{00000000-0005-0000-0000-000066030000}"/>
    <cellStyle name="输出 2 5 9 3 4" xfId="2517" xr:uid="{00000000-0005-0000-0000-0000050A0000}"/>
    <cellStyle name="输出 2 5 9 3 4 2" xfId="27793" xr:uid="{00000000-0005-0000-0000-0000C16C0000}"/>
    <cellStyle name="输出 2 5 9 3 5" xfId="3565" xr:uid="{00000000-0005-0000-0000-00001D0E0000}"/>
    <cellStyle name="输出 2 5 9 3 5 2" xfId="889" xr:uid="{00000000-0005-0000-0000-0000A9030000}"/>
    <cellStyle name="输出 2 5 9 3 6" xfId="3576" xr:uid="{00000000-0005-0000-0000-0000280E0000}"/>
    <cellStyle name="输出 2 5 9 4" xfId="32442" xr:uid="{00000000-0005-0000-0000-0000EA7E0000}"/>
    <cellStyle name="输出 2 5 9 4 2" xfId="4061" xr:uid="{00000000-0005-0000-0000-00000D100000}"/>
    <cellStyle name="输出 2 5 9 4 2 2" xfId="4242" xr:uid="{00000000-0005-0000-0000-0000C2100000}"/>
    <cellStyle name="输出 2 5 9 4 3" xfId="1849" xr:uid="{00000000-0005-0000-0000-000069070000}"/>
    <cellStyle name="输出 2 5 9 4 3 2" xfId="1879" xr:uid="{00000000-0005-0000-0000-000087070000}"/>
    <cellStyle name="输出 2 5 9 4 4" xfId="1917" xr:uid="{00000000-0005-0000-0000-0000AD070000}"/>
    <cellStyle name="输出 2 5 9 4 4 2" xfId="29445" xr:uid="{00000000-0005-0000-0000-000035730000}"/>
    <cellStyle name="输出 2 5 9 4 5" xfId="1937" xr:uid="{00000000-0005-0000-0000-0000C1070000}"/>
    <cellStyle name="输出 2 5 9 4 5 2" xfId="4263" xr:uid="{00000000-0005-0000-0000-0000D7100000}"/>
    <cellStyle name="输出 2 5 9 4 6" xfId="1953" xr:uid="{00000000-0005-0000-0000-0000D1070000}"/>
    <cellStyle name="输出 2 5 9 5" xfId="32444" xr:uid="{00000000-0005-0000-0000-0000EC7E0000}"/>
    <cellStyle name="输出 2 5 9 5 2" xfId="4090" xr:uid="{00000000-0005-0000-0000-00002A100000}"/>
    <cellStyle name="输出 2 5 9 5 2 2" xfId="3769" xr:uid="{00000000-0005-0000-0000-0000E90E0000}"/>
    <cellStyle name="输出 2 5 9 5 3" xfId="4273" xr:uid="{00000000-0005-0000-0000-0000E1100000}"/>
    <cellStyle name="输出 2 5 9 5 3 2" xfId="32446" xr:uid="{00000000-0005-0000-0000-0000EE7E0000}"/>
    <cellStyle name="输出 2 5 9 5 4" xfId="32448" xr:uid="{00000000-0005-0000-0000-0000F07E0000}"/>
    <cellStyle name="输出 2 5 9 5 4 2" xfId="32450" xr:uid="{00000000-0005-0000-0000-0000F27E0000}"/>
    <cellStyle name="输出 2 5 9 5 5" xfId="4291" xr:uid="{00000000-0005-0000-0000-0000F3100000}"/>
    <cellStyle name="输出 2 5 9 5 5 2" xfId="1893" xr:uid="{00000000-0005-0000-0000-000095070000}"/>
    <cellStyle name="输出 2 5 9 5 6" xfId="4304" xr:uid="{00000000-0005-0000-0000-000000110000}"/>
    <cellStyle name="输出 2 5 9 6" xfId="32452" xr:uid="{00000000-0005-0000-0000-0000F47E0000}"/>
    <cellStyle name="输出 2 5 9 6 2" xfId="4110" xr:uid="{00000000-0005-0000-0000-00003E100000}"/>
    <cellStyle name="输出 2 5 9 6 2 2" xfId="4284" xr:uid="{00000000-0005-0000-0000-0000EC100000}"/>
    <cellStyle name="输出 2 5 9 6 3" xfId="5501" xr:uid="{00000000-0005-0000-0000-0000AD150000}"/>
    <cellStyle name="输出 2 5 9 6 3 2" xfId="32454" xr:uid="{00000000-0005-0000-0000-0000F67E0000}"/>
    <cellStyle name="输出 2 5 9 6 4" xfId="32456" xr:uid="{00000000-0005-0000-0000-0000F87E0000}"/>
    <cellStyle name="输出 2 5 9 6 4 2" xfId="32459" xr:uid="{00000000-0005-0000-0000-0000FB7E0000}"/>
    <cellStyle name="输出 2 5 9 6 5" xfId="5507" xr:uid="{00000000-0005-0000-0000-0000B3150000}"/>
    <cellStyle name="输出 2 5 9 6 5 2" xfId="3968" xr:uid="{00000000-0005-0000-0000-0000B00F0000}"/>
    <cellStyle name="输出 2 5 9 6 6" xfId="5515" xr:uid="{00000000-0005-0000-0000-0000BB150000}"/>
    <cellStyle name="输出 2 5 9 7" xfId="32462" xr:uid="{00000000-0005-0000-0000-0000FE7E0000}"/>
    <cellStyle name="输出 2 5 9 7 2" xfId="5741" xr:uid="{00000000-0005-0000-0000-00009D160000}"/>
    <cellStyle name="输出 2 5 9 7 2 2" xfId="5755" xr:uid="{00000000-0005-0000-0000-0000AB160000}"/>
    <cellStyle name="输出 2 5 9 7 3" xfId="5817" xr:uid="{00000000-0005-0000-0000-0000E9160000}"/>
    <cellStyle name="输出 2 5 9 7 3 2" xfId="32464" xr:uid="{00000000-0005-0000-0000-0000007F0000}"/>
    <cellStyle name="输出 2 5 9 7 4" xfId="32466" xr:uid="{00000000-0005-0000-0000-0000027F0000}"/>
    <cellStyle name="输出 2 5 9 7 4 2" xfId="32468" xr:uid="{00000000-0005-0000-0000-0000047F0000}"/>
    <cellStyle name="输出 2 5 9 7 5" xfId="5545" xr:uid="{00000000-0005-0000-0000-0000D9150000}"/>
    <cellStyle name="输出 2 5 9 7 5 2" xfId="5423" xr:uid="{00000000-0005-0000-0000-00005F150000}"/>
    <cellStyle name="输出 2 5 9 7 6" xfId="5553" xr:uid="{00000000-0005-0000-0000-0000E1150000}"/>
    <cellStyle name="输出 2 5 9 8" xfId="25045" xr:uid="{00000000-0005-0000-0000-000005620000}"/>
    <cellStyle name="输出 2 5 9 8 2" xfId="9706" xr:uid="{00000000-0005-0000-0000-00001A260000}"/>
    <cellStyle name="输出 2 5 9 8 2 2" xfId="6894" xr:uid="{00000000-0005-0000-0000-00001E1B0000}"/>
    <cellStyle name="输出 2 5 9 8 3" xfId="13345" xr:uid="{00000000-0005-0000-0000-000051340000}"/>
    <cellStyle name="输出 2 5 9 8 3 2" xfId="6963" xr:uid="{00000000-0005-0000-0000-0000631B0000}"/>
    <cellStyle name="输出 2 5 9 8 4" xfId="32470" xr:uid="{00000000-0005-0000-0000-0000067F0000}"/>
    <cellStyle name="输出 2 5 9 8 4 2" xfId="32472" xr:uid="{00000000-0005-0000-0000-0000087F0000}"/>
    <cellStyle name="输出 2 5 9 8 5" xfId="3964" xr:uid="{00000000-0005-0000-0000-0000AC0F0000}"/>
    <cellStyle name="输出 2 5 9 9" xfId="32475" xr:uid="{00000000-0005-0000-0000-00000B7F0000}"/>
    <cellStyle name="输出 2 5 9 9 2" xfId="9719" xr:uid="{00000000-0005-0000-0000-000027260000}"/>
    <cellStyle name="输出 2 6" xfId="41077" xr:uid="{00000000-0005-0000-0000-0000A5A00000}"/>
    <cellStyle name="输出 2 6 10" xfId="25854" xr:uid="{00000000-0005-0000-0000-00002E650000}"/>
    <cellStyle name="输出 2 6 10 10" xfId="41078" xr:uid="{00000000-0005-0000-0000-0000A6A00000}"/>
    <cellStyle name="输出 2 6 10 10 2" xfId="29915" xr:uid="{00000000-0005-0000-0000-00000B750000}"/>
    <cellStyle name="输出 2 6 10 11" xfId="41079" xr:uid="{00000000-0005-0000-0000-0000A7A00000}"/>
    <cellStyle name="输出 2 6 10 11 2" xfId="41080" xr:uid="{00000000-0005-0000-0000-0000A8A00000}"/>
    <cellStyle name="输出 2 6 10 12" xfId="9287" xr:uid="{00000000-0005-0000-0000-000077240000}"/>
    <cellStyle name="输出 2 6 10 12 2" xfId="41081" xr:uid="{00000000-0005-0000-0000-0000A9A00000}"/>
    <cellStyle name="输出 2 6 10 13" xfId="41082" xr:uid="{00000000-0005-0000-0000-0000AAA00000}"/>
    <cellStyle name="输出 2 6 10 14" xfId="41083" xr:uid="{00000000-0005-0000-0000-0000ABA00000}"/>
    <cellStyle name="输出 2 6 10 15" xfId="41084" xr:uid="{00000000-0005-0000-0000-0000ACA00000}"/>
    <cellStyle name="输出 2 6 10 16" xfId="41086" xr:uid="{00000000-0005-0000-0000-0000AEA00000}"/>
    <cellStyle name="输出 2 6 10 2" xfId="26394" xr:uid="{00000000-0005-0000-0000-00004A670000}"/>
    <cellStyle name="输出 2 6 10 2 2" xfId="32402" xr:uid="{00000000-0005-0000-0000-0000C27E0000}"/>
    <cellStyle name="输出 2 6 10 2 2 2" xfId="25253" xr:uid="{00000000-0005-0000-0000-0000D5620000}"/>
    <cellStyle name="输出 2 6 10 2 3" xfId="40145" xr:uid="{00000000-0005-0000-0000-0000019D0000}"/>
    <cellStyle name="输出 2 6 10 2 3 2" xfId="25275" xr:uid="{00000000-0005-0000-0000-0000EB620000}"/>
    <cellStyle name="输出 2 6 10 2 4" xfId="25317" xr:uid="{00000000-0005-0000-0000-000015630000}"/>
    <cellStyle name="输出 2 6 10 2 4 2" xfId="25291" xr:uid="{00000000-0005-0000-0000-0000FB620000}"/>
    <cellStyle name="输出 2 6 10 2 5" xfId="41087" xr:uid="{00000000-0005-0000-0000-0000AFA00000}"/>
    <cellStyle name="输出 2 6 10 2 5 2" xfId="41089" xr:uid="{00000000-0005-0000-0000-0000B1A00000}"/>
    <cellStyle name="输出 2 6 10 2 6" xfId="7516" xr:uid="{00000000-0005-0000-0000-00008C1D0000}"/>
    <cellStyle name="输出 2 6 10 2 7" xfId="41091" xr:uid="{00000000-0005-0000-0000-0000B3A00000}"/>
    <cellStyle name="输出 2 6 10 2 8" xfId="41093" xr:uid="{00000000-0005-0000-0000-0000B5A00000}"/>
    <cellStyle name="输出 2 6 10 2 9" xfId="36551" xr:uid="{00000000-0005-0000-0000-0000F78E0000}"/>
    <cellStyle name="输出 2 6 10 3" xfId="1890" xr:uid="{00000000-0005-0000-0000-000092070000}"/>
    <cellStyle name="输出 2 6 10 3 2" xfId="5356" xr:uid="{00000000-0005-0000-0000-00001C150000}"/>
    <cellStyle name="输出 2 6 10 3 2 2" xfId="25360" xr:uid="{00000000-0005-0000-0000-000040630000}"/>
    <cellStyle name="输出 2 6 10 3 3" xfId="40148" xr:uid="{00000000-0005-0000-0000-0000049D0000}"/>
    <cellStyle name="输出 2 6 10 3 3 2" xfId="25373" xr:uid="{00000000-0005-0000-0000-00004D630000}"/>
    <cellStyle name="输出 2 6 10 3 4" xfId="25320" xr:uid="{00000000-0005-0000-0000-000018630000}"/>
    <cellStyle name="输出 2 6 10 3 4 2" xfId="25384" xr:uid="{00000000-0005-0000-0000-000058630000}"/>
    <cellStyle name="输出 2 6 10 3 5" xfId="41095" xr:uid="{00000000-0005-0000-0000-0000B7A00000}"/>
    <cellStyle name="输出 2 6 10 3 5 2" xfId="41098" xr:uid="{00000000-0005-0000-0000-0000BAA00000}"/>
    <cellStyle name="输出 2 6 10 3 6" xfId="7527" xr:uid="{00000000-0005-0000-0000-0000971D0000}"/>
    <cellStyle name="输出 2 6 10 4" xfId="55" xr:uid="{00000000-0005-0000-0000-00003C000000}"/>
    <cellStyle name="输出 2 6 10 4 2" xfId="5358" xr:uid="{00000000-0005-0000-0000-00001E150000}"/>
    <cellStyle name="输出 2 6 10 4 2 2" xfId="25436" xr:uid="{00000000-0005-0000-0000-00008C630000}"/>
    <cellStyle name="输出 2 6 10 4 3" xfId="40151" xr:uid="{00000000-0005-0000-0000-0000079D0000}"/>
    <cellStyle name="输出 2 6 10 4 3 2" xfId="25447" xr:uid="{00000000-0005-0000-0000-000097630000}"/>
    <cellStyle name="输出 2 6 10 4 4" xfId="14445" xr:uid="{00000000-0005-0000-0000-00009D380000}"/>
    <cellStyle name="输出 2 6 10 4 4 2" xfId="11918" xr:uid="{00000000-0005-0000-0000-0000BE2E0000}"/>
    <cellStyle name="输出 2 6 10 4 5" xfId="41099" xr:uid="{00000000-0005-0000-0000-0000BBA00000}"/>
    <cellStyle name="输出 2 6 10 4 5 2" xfId="41102" xr:uid="{00000000-0005-0000-0000-0000BEA00000}"/>
    <cellStyle name="输出 2 6 10 4 6" xfId="41103" xr:uid="{00000000-0005-0000-0000-0000BFA00000}"/>
    <cellStyle name="输出 2 6 10 5" xfId="1908" xr:uid="{00000000-0005-0000-0000-0000A4070000}"/>
    <cellStyle name="输出 2 6 10 5 2" xfId="5361" xr:uid="{00000000-0005-0000-0000-000021150000}"/>
    <cellStyle name="输出 2 6 10 5 2 2" xfId="25494" xr:uid="{00000000-0005-0000-0000-0000C6630000}"/>
    <cellStyle name="输出 2 6 10 5 3" xfId="38593" xr:uid="{00000000-0005-0000-0000-0000F1960000}"/>
    <cellStyle name="输出 2 6 10 5 3 2" xfId="25505" xr:uid="{00000000-0005-0000-0000-0000D1630000}"/>
    <cellStyle name="输出 2 6 10 5 4" xfId="14449" xr:uid="{00000000-0005-0000-0000-0000A1380000}"/>
    <cellStyle name="输出 2 6 10 5 4 2" xfId="12165" xr:uid="{00000000-0005-0000-0000-0000B52F0000}"/>
    <cellStyle name="输出 2 6 10 5 5" xfId="38596" xr:uid="{00000000-0005-0000-0000-0000F4960000}"/>
    <cellStyle name="输出 2 6 10 5 5 2" xfId="41104" xr:uid="{00000000-0005-0000-0000-0000C0A00000}"/>
    <cellStyle name="输出 2 6 10 5 6" xfId="41105" xr:uid="{00000000-0005-0000-0000-0000C1A00000}"/>
    <cellStyle name="输出 2 6 10 6" xfId="728" xr:uid="{00000000-0005-0000-0000-000008030000}"/>
    <cellStyle name="输出 2 6 10 6 2" xfId="5374" xr:uid="{00000000-0005-0000-0000-00002E150000}"/>
    <cellStyle name="输出 2 6 10 6 2 2" xfId="25561" xr:uid="{00000000-0005-0000-0000-000009640000}"/>
    <cellStyle name="输出 2 6 10 6 3" xfId="41106" xr:uid="{00000000-0005-0000-0000-0000C2A00000}"/>
    <cellStyle name="输出 2 6 10 6 3 2" xfId="25574" xr:uid="{00000000-0005-0000-0000-000016640000}"/>
    <cellStyle name="输出 2 6 10 6 4" xfId="14455" xr:uid="{00000000-0005-0000-0000-0000A7380000}"/>
    <cellStyle name="输出 2 6 10 6 4 2" xfId="25581" xr:uid="{00000000-0005-0000-0000-00001D640000}"/>
    <cellStyle name="输出 2 6 10 6 5" xfId="41107" xr:uid="{00000000-0005-0000-0000-0000C3A00000}"/>
    <cellStyle name="输出 2 6 10 6 5 2" xfId="41110" xr:uid="{00000000-0005-0000-0000-0000C6A00000}"/>
    <cellStyle name="输出 2 6 10 6 6" xfId="41111" xr:uid="{00000000-0005-0000-0000-0000C7A00000}"/>
    <cellStyle name="输出 2 6 10 7" xfId="553" xr:uid="{00000000-0005-0000-0000-000059020000}"/>
    <cellStyle name="输出 2 6 10 7 2" xfId="41112" xr:uid="{00000000-0005-0000-0000-0000C8A00000}"/>
    <cellStyle name="输出 2 6 10 7 2 2" xfId="25647" xr:uid="{00000000-0005-0000-0000-00005F640000}"/>
    <cellStyle name="输出 2 6 10 7 3" xfId="41113" xr:uid="{00000000-0005-0000-0000-0000C9A00000}"/>
    <cellStyle name="输出 2 6 10 7 3 2" xfId="25657" xr:uid="{00000000-0005-0000-0000-000069640000}"/>
    <cellStyle name="输出 2 6 10 7 4" xfId="41115" xr:uid="{00000000-0005-0000-0000-0000CBA00000}"/>
    <cellStyle name="输出 2 6 10 7 4 2" xfId="25667" xr:uid="{00000000-0005-0000-0000-000073640000}"/>
    <cellStyle name="输出 2 6 10 7 5" xfId="41116" xr:uid="{00000000-0005-0000-0000-0000CCA00000}"/>
    <cellStyle name="输出 2 6 10 7 5 2" xfId="41117" xr:uid="{00000000-0005-0000-0000-0000CDA00000}"/>
    <cellStyle name="输出 2 6 10 7 6" xfId="41118" xr:uid="{00000000-0005-0000-0000-0000CEA00000}"/>
    <cellStyle name="输出 2 6 10 8" xfId="19342" xr:uid="{00000000-0005-0000-0000-0000BE4B0000}"/>
    <cellStyle name="输出 2 6 10 8 2" xfId="41119" xr:uid="{00000000-0005-0000-0000-0000CFA00000}"/>
    <cellStyle name="输出 2 6 10 8 2 2" xfId="25709" xr:uid="{00000000-0005-0000-0000-00009D640000}"/>
    <cellStyle name="输出 2 6 10 8 3" xfId="41120" xr:uid="{00000000-0005-0000-0000-0000D0A00000}"/>
    <cellStyle name="输出 2 6 10 8 3 2" xfId="25718" xr:uid="{00000000-0005-0000-0000-0000A6640000}"/>
    <cellStyle name="输出 2 6 10 8 4" xfId="41122" xr:uid="{00000000-0005-0000-0000-0000D2A00000}"/>
    <cellStyle name="输出 2 6 10 8 4 2" xfId="25728" xr:uid="{00000000-0005-0000-0000-0000B0640000}"/>
    <cellStyle name="输出 2 6 10 8 5" xfId="41123" xr:uid="{00000000-0005-0000-0000-0000D3A00000}"/>
    <cellStyle name="输出 2 6 10 9" xfId="41124" xr:uid="{00000000-0005-0000-0000-0000D4A00000}"/>
    <cellStyle name="输出 2 6 10 9 2" xfId="41125" xr:uid="{00000000-0005-0000-0000-0000D5A00000}"/>
    <cellStyle name="输出 2 6 11" xfId="26398" xr:uid="{00000000-0005-0000-0000-00004E670000}"/>
    <cellStyle name="输出 2 6 11 10" xfId="17906" xr:uid="{00000000-0005-0000-0000-000022460000}"/>
    <cellStyle name="输出 2 6 11 10 2" xfId="30410" xr:uid="{00000000-0005-0000-0000-0000FA760000}"/>
    <cellStyle name="输出 2 6 11 11" xfId="41126" xr:uid="{00000000-0005-0000-0000-0000D6A00000}"/>
    <cellStyle name="输出 2 6 11 11 2" xfId="41127" xr:uid="{00000000-0005-0000-0000-0000D7A00000}"/>
    <cellStyle name="输出 2 6 11 12" xfId="41129" xr:uid="{00000000-0005-0000-0000-0000D9A00000}"/>
    <cellStyle name="输出 2 6 11 12 2" xfId="41130" xr:uid="{00000000-0005-0000-0000-0000DAA00000}"/>
    <cellStyle name="输出 2 6 11 13" xfId="29905" xr:uid="{00000000-0005-0000-0000-000001750000}"/>
    <cellStyle name="输出 2 6 11 14" xfId="41132" xr:uid="{00000000-0005-0000-0000-0000DCA00000}"/>
    <cellStyle name="输出 2 6 11 15" xfId="41133" xr:uid="{00000000-0005-0000-0000-0000DDA00000}"/>
    <cellStyle name="输出 2 6 11 16" xfId="38131" xr:uid="{00000000-0005-0000-0000-000023950000}"/>
    <cellStyle name="输出 2 6 11 2" xfId="26403" xr:uid="{00000000-0005-0000-0000-000053670000}"/>
    <cellStyle name="输出 2 6 11 2 2" xfId="32411" xr:uid="{00000000-0005-0000-0000-0000CB7E0000}"/>
    <cellStyle name="输出 2 6 11 2 2 2" xfId="21468" xr:uid="{00000000-0005-0000-0000-00000C540000}"/>
    <cellStyle name="输出 2 6 11 2 3" xfId="40156" xr:uid="{00000000-0005-0000-0000-00000C9D0000}"/>
    <cellStyle name="输出 2 6 11 2 3 2" xfId="21498" xr:uid="{00000000-0005-0000-0000-00002A540000}"/>
    <cellStyle name="输出 2 6 11 2 4" xfId="41134" xr:uid="{00000000-0005-0000-0000-0000DEA00000}"/>
    <cellStyle name="输出 2 6 11 2 4 2" xfId="26042" xr:uid="{00000000-0005-0000-0000-0000EA650000}"/>
    <cellStyle name="输出 2 6 11 2 5" xfId="35095" xr:uid="{00000000-0005-0000-0000-000047890000}"/>
    <cellStyle name="输出 2 6 11 2 5 2" xfId="41135" xr:uid="{00000000-0005-0000-0000-0000DFA00000}"/>
    <cellStyle name="输出 2 6 11 2 6" xfId="7574" xr:uid="{00000000-0005-0000-0000-0000C61D0000}"/>
    <cellStyle name="输出 2 6 11 3" xfId="5382" xr:uid="{00000000-0005-0000-0000-000036150000}"/>
    <cellStyle name="输出 2 6 11 3 2" xfId="5389" xr:uid="{00000000-0005-0000-0000-00003D150000}"/>
    <cellStyle name="输出 2 6 11 3 2 2" xfId="21614" xr:uid="{00000000-0005-0000-0000-00009E540000}"/>
    <cellStyle name="输出 2 6 11 3 3" xfId="40159" xr:uid="{00000000-0005-0000-0000-00000F9D0000}"/>
    <cellStyle name="输出 2 6 11 3 3 2" xfId="21636" xr:uid="{00000000-0005-0000-0000-0000B4540000}"/>
    <cellStyle name="输出 2 6 11 3 4" xfId="41138" xr:uid="{00000000-0005-0000-0000-0000E2A00000}"/>
    <cellStyle name="输出 2 6 11 3 4 2" xfId="26165" xr:uid="{00000000-0005-0000-0000-000065660000}"/>
    <cellStyle name="输出 2 6 11 3 5" xfId="41139" xr:uid="{00000000-0005-0000-0000-0000E3A00000}"/>
    <cellStyle name="输出 2 6 11 3 5 2" xfId="41142" xr:uid="{00000000-0005-0000-0000-0000E6A00000}"/>
    <cellStyle name="输出 2 6 11 3 6" xfId="7588" xr:uid="{00000000-0005-0000-0000-0000D41D0000}"/>
    <cellStyle name="输出 2 6 11 4" xfId="5397" xr:uid="{00000000-0005-0000-0000-000045150000}"/>
    <cellStyle name="输出 2 6 11 4 2" xfId="3315" xr:uid="{00000000-0005-0000-0000-0000230D0000}"/>
    <cellStyle name="输出 2 6 11 4 2 2" xfId="26274" xr:uid="{00000000-0005-0000-0000-0000D2660000}"/>
    <cellStyle name="输出 2 6 11 4 3" xfId="40162" xr:uid="{00000000-0005-0000-0000-0000129D0000}"/>
    <cellStyle name="输出 2 6 11 4 3 2" xfId="26290" xr:uid="{00000000-0005-0000-0000-0000E2660000}"/>
    <cellStyle name="输出 2 6 11 4 4" xfId="41143" xr:uid="{00000000-0005-0000-0000-0000E7A00000}"/>
    <cellStyle name="输出 2 6 11 4 4 2" xfId="20415" xr:uid="{00000000-0005-0000-0000-0000EF4F0000}"/>
    <cellStyle name="输出 2 6 11 4 5" xfId="41145" xr:uid="{00000000-0005-0000-0000-0000E9A00000}"/>
    <cellStyle name="输出 2 6 11 4 5 2" xfId="41148" xr:uid="{00000000-0005-0000-0000-0000ECA00000}"/>
    <cellStyle name="输出 2 6 11 4 6" xfId="41149" xr:uid="{00000000-0005-0000-0000-0000EDA00000}"/>
    <cellStyle name="输出 2 6 11 5" xfId="5407" xr:uid="{00000000-0005-0000-0000-00004F150000}"/>
    <cellStyle name="输出 2 6 11 5 2" xfId="5410" xr:uid="{00000000-0005-0000-0000-000052150000}"/>
    <cellStyle name="输出 2 6 11 5 2 2" xfId="26360" xr:uid="{00000000-0005-0000-0000-000028670000}"/>
    <cellStyle name="输出 2 6 11 5 3" xfId="41150" xr:uid="{00000000-0005-0000-0000-0000EEA00000}"/>
    <cellStyle name="输出 2 6 11 5 3 2" xfId="26374" xr:uid="{00000000-0005-0000-0000-000036670000}"/>
    <cellStyle name="输出 2 6 11 5 4" xfId="41151" xr:uid="{00000000-0005-0000-0000-0000EFA00000}"/>
    <cellStyle name="输出 2 6 11 5 4 2" xfId="21011" xr:uid="{00000000-0005-0000-0000-000043520000}"/>
    <cellStyle name="输出 2 6 11 5 5" xfId="41152" xr:uid="{00000000-0005-0000-0000-0000F0A00000}"/>
    <cellStyle name="输出 2 6 11 5 5 2" xfId="41154" xr:uid="{00000000-0005-0000-0000-0000F2A00000}"/>
    <cellStyle name="输出 2 6 11 5 6" xfId="41155" xr:uid="{00000000-0005-0000-0000-0000F3A00000}"/>
    <cellStyle name="输出 2 6 11 6" xfId="747" xr:uid="{00000000-0005-0000-0000-00001B030000}"/>
    <cellStyle name="输出 2 6 11 6 2" xfId="41156" xr:uid="{00000000-0005-0000-0000-0000F4A00000}"/>
    <cellStyle name="输出 2 6 11 6 2 2" xfId="26445" xr:uid="{00000000-0005-0000-0000-00007D670000}"/>
    <cellStyle name="输出 2 6 11 6 3" xfId="41157" xr:uid="{00000000-0005-0000-0000-0000F5A00000}"/>
    <cellStyle name="输出 2 6 11 6 3 2" xfId="26466" xr:uid="{00000000-0005-0000-0000-000092670000}"/>
    <cellStyle name="输出 2 6 11 6 4" xfId="41158" xr:uid="{00000000-0005-0000-0000-0000F6A00000}"/>
    <cellStyle name="输出 2 6 11 6 4 2" xfId="26479" xr:uid="{00000000-0005-0000-0000-00009F670000}"/>
    <cellStyle name="输出 2 6 11 6 5" xfId="41159" xr:uid="{00000000-0005-0000-0000-0000F7A00000}"/>
    <cellStyle name="输出 2 6 11 6 5 2" xfId="41160" xr:uid="{00000000-0005-0000-0000-0000F8A00000}"/>
    <cellStyle name="输出 2 6 11 6 6" xfId="41161" xr:uid="{00000000-0005-0000-0000-0000F9A00000}"/>
    <cellStyle name="输出 2 6 11 7" xfId="605" xr:uid="{00000000-0005-0000-0000-00008D020000}"/>
    <cellStyle name="输出 2 6 11 7 2" xfId="41162" xr:uid="{00000000-0005-0000-0000-0000FAA00000}"/>
    <cellStyle name="输出 2 6 11 7 2 2" xfId="26688" xr:uid="{00000000-0005-0000-0000-000070680000}"/>
    <cellStyle name="输出 2 6 11 7 3" xfId="41163" xr:uid="{00000000-0005-0000-0000-0000FBA00000}"/>
    <cellStyle name="输出 2 6 11 7 3 2" xfId="26706" xr:uid="{00000000-0005-0000-0000-000082680000}"/>
    <cellStyle name="输出 2 6 11 7 4" xfId="41165" xr:uid="{00000000-0005-0000-0000-0000FDA00000}"/>
    <cellStyle name="输出 2 6 11 7 4 2" xfId="26719" xr:uid="{00000000-0005-0000-0000-00008F680000}"/>
    <cellStyle name="输出 2 6 11 7 5" xfId="35112" xr:uid="{00000000-0005-0000-0000-000058890000}"/>
    <cellStyle name="输出 2 6 11 7 5 2" xfId="41166" xr:uid="{00000000-0005-0000-0000-0000FEA00000}"/>
    <cellStyle name="输出 2 6 11 7 6" xfId="35114" xr:uid="{00000000-0005-0000-0000-00005A890000}"/>
    <cellStyle name="输出 2 6 11 8" xfId="19364" xr:uid="{00000000-0005-0000-0000-0000D44B0000}"/>
    <cellStyle name="输出 2 6 11 8 2" xfId="41167" xr:uid="{00000000-0005-0000-0000-0000FFA00000}"/>
    <cellStyle name="输出 2 6 11 8 2 2" xfId="142" xr:uid="{00000000-0005-0000-0000-00009A000000}"/>
    <cellStyle name="输出 2 6 11 8 3" xfId="41169" xr:uid="{00000000-0005-0000-0000-000001A10000}"/>
    <cellStyle name="输出 2 6 11 8 3 2" xfId="26854" xr:uid="{00000000-0005-0000-0000-000016690000}"/>
    <cellStyle name="输出 2 6 11 8 4" xfId="41171" xr:uid="{00000000-0005-0000-0000-000003A10000}"/>
    <cellStyle name="输出 2 6 11 8 4 2" xfId="26866" xr:uid="{00000000-0005-0000-0000-000022690000}"/>
    <cellStyle name="输出 2 6 11 8 5" xfId="41172" xr:uid="{00000000-0005-0000-0000-000004A10000}"/>
    <cellStyle name="输出 2 6 11 9" xfId="41173" xr:uid="{00000000-0005-0000-0000-000005A10000}"/>
    <cellStyle name="输出 2 6 11 9 2" xfId="34312" xr:uid="{00000000-0005-0000-0000-000038860000}"/>
    <cellStyle name="输出 2 6 12" xfId="1841" xr:uid="{00000000-0005-0000-0000-000061070000}"/>
    <cellStyle name="输出 2 6 12 2" xfId="41175" xr:uid="{00000000-0005-0000-0000-000007A10000}"/>
    <cellStyle name="输出 2 6 12 2 2" xfId="41176" xr:uid="{00000000-0005-0000-0000-000008A10000}"/>
    <cellStyle name="输出 2 6 12 3" xfId="4454" xr:uid="{00000000-0005-0000-0000-000096110000}"/>
    <cellStyle name="输出 2 6 12 3 2" xfId="41177" xr:uid="{00000000-0005-0000-0000-000009A10000}"/>
    <cellStyle name="输出 2 6 12 4" xfId="41178" xr:uid="{00000000-0005-0000-0000-00000AA10000}"/>
    <cellStyle name="输出 2 6 12 4 2" xfId="41180" xr:uid="{00000000-0005-0000-0000-00000CA10000}"/>
    <cellStyle name="输出 2 6 12 5" xfId="14525" xr:uid="{00000000-0005-0000-0000-0000ED380000}"/>
    <cellStyle name="输出 2 6 12 5 2" xfId="17638" xr:uid="{00000000-0005-0000-0000-000016450000}"/>
    <cellStyle name="输出 2 6 12 6" xfId="17654" xr:uid="{00000000-0005-0000-0000-000026450000}"/>
    <cellStyle name="输出 2 6 12 7" xfId="17669" xr:uid="{00000000-0005-0000-0000-000035450000}"/>
    <cellStyle name="输出 2 6 12 8" xfId="17687" xr:uid="{00000000-0005-0000-0000-000047450000}"/>
    <cellStyle name="输出 2 6 12 9" xfId="17701" xr:uid="{00000000-0005-0000-0000-000055450000}"/>
    <cellStyle name="输出 2 6 13" xfId="21408" xr:uid="{00000000-0005-0000-0000-0000D0530000}"/>
    <cellStyle name="输出 2 6 13 2" xfId="21412" xr:uid="{00000000-0005-0000-0000-0000D4530000}"/>
    <cellStyle name="输出 2 6 13 2 2" xfId="41183" xr:uid="{00000000-0005-0000-0000-00000FA10000}"/>
    <cellStyle name="输出 2 6 13 3" xfId="41184" xr:uid="{00000000-0005-0000-0000-000010A10000}"/>
    <cellStyle name="输出 2 6 13 3 2" xfId="41185" xr:uid="{00000000-0005-0000-0000-000011A10000}"/>
    <cellStyle name="输出 2 6 13 4" xfId="41186" xr:uid="{00000000-0005-0000-0000-000012A10000}"/>
    <cellStyle name="输出 2 6 13 4 2" xfId="41188" xr:uid="{00000000-0005-0000-0000-000014A10000}"/>
    <cellStyle name="输出 2 6 13 5" xfId="14534" xr:uid="{00000000-0005-0000-0000-0000F6380000}"/>
    <cellStyle name="输出 2 6 13 5 2" xfId="17809" xr:uid="{00000000-0005-0000-0000-0000C1450000}"/>
    <cellStyle name="输出 2 6 13 6" xfId="17823" xr:uid="{00000000-0005-0000-0000-0000CF450000}"/>
    <cellStyle name="输出 2 6 14" xfId="21418" xr:uid="{00000000-0005-0000-0000-0000DA530000}"/>
    <cellStyle name="输出 2 6 14 2" xfId="21421" xr:uid="{00000000-0005-0000-0000-0000DD530000}"/>
    <cellStyle name="输出 2 6 14 2 2" xfId="41189" xr:uid="{00000000-0005-0000-0000-000015A10000}"/>
    <cellStyle name="输出 2 6 14 3" xfId="41190" xr:uid="{00000000-0005-0000-0000-000016A10000}"/>
    <cellStyle name="输出 2 6 14 3 2" xfId="41191" xr:uid="{00000000-0005-0000-0000-000017A10000}"/>
    <cellStyle name="输出 2 6 14 4" xfId="41192" xr:uid="{00000000-0005-0000-0000-000018A10000}"/>
    <cellStyle name="输出 2 6 14 4 2" xfId="41194" xr:uid="{00000000-0005-0000-0000-00001AA10000}"/>
    <cellStyle name="输出 2 6 14 5" xfId="14546" xr:uid="{00000000-0005-0000-0000-000002390000}"/>
    <cellStyle name="输出 2 6 14 5 2" xfId="17969" xr:uid="{00000000-0005-0000-0000-000061460000}"/>
    <cellStyle name="输出 2 6 14 6" xfId="17984" xr:uid="{00000000-0005-0000-0000-000070460000}"/>
    <cellStyle name="输出 2 6 15" xfId="21425" xr:uid="{00000000-0005-0000-0000-0000E1530000}"/>
    <cellStyle name="输出 2 6 15 2" xfId="19084" xr:uid="{00000000-0005-0000-0000-0000BC4A0000}"/>
    <cellStyle name="输出 2 6 15 2 2" xfId="41195" xr:uid="{00000000-0005-0000-0000-00001BA10000}"/>
    <cellStyle name="输出 2 6 15 3" xfId="41196" xr:uid="{00000000-0005-0000-0000-00001CA10000}"/>
    <cellStyle name="输出 2 6 15 3 2" xfId="41197" xr:uid="{00000000-0005-0000-0000-00001DA10000}"/>
    <cellStyle name="输出 2 6 15 4" xfId="41198" xr:uid="{00000000-0005-0000-0000-00001EA10000}"/>
    <cellStyle name="输出 2 6 15 4 2" xfId="41200" xr:uid="{00000000-0005-0000-0000-000020A10000}"/>
    <cellStyle name="输出 2 6 15 5" xfId="1" xr:uid="{00000000-0005-0000-0000-000001000000}"/>
    <cellStyle name="输出 2 6 15 5 2" xfId="18210" xr:uid="{00000000-0005-0000-0000-000052470000}"/>
    <cellStyle name="输出 2 6 15 6" xfId="18232" xr:uid="{00000000-0005-0000-0000-000068470000}"/>
    <cellStyle name="输出 2 6 16" xfId="21434" xr:uid="{00000000-0005-0000-0000-0000EA530000}"/>
    <cellStyle name="输出 2 6 16 2" xfId="21440" xr:uid="{00000000-0005-0000-0000-0000F0530000}"/>
    <cellStyle name="输出 2 6 16 2 2" xfId="27083" xr:uid="{00000000-0005-0000-0000-0000FB690000}"/>
    <cellStyle name="输出 2 6 16 3" xfId="41201" xr:uid="{00000000-0005-0000-0000-000021A10000}"/>
    <cellStyle name="输出 2 6 16 3 2" xfId="27133" xr:uid="{00000000-0005-0000-0000-00002D6A0000}"/>
    <cellStyle name="输出 2 6 16 4" xfId="41202" xr:uid="{00000000-0005-0000-0000-000022A10000}"/>
    <cellStyle name="输出 2 6 16 4 2" xfId="27143" xr:uid="{00000000-0005-0000-0000-0000376A0000}"/>
    <cellStyle name="输出 2 6 16 5" xfId="18520" xr:uid="{00000000-0005-0000-0000-000088480000}"/>
    <cellStyle name="输出 2 6 16 5 2" xfId="18523" xr:uid="{00000000-0005-0000-0000-00008B480000}"/>
    <cellStyle name="输出 2 6 16 6" xfId="18554" xr:uid="{00000000-0005-0000-0000-0000AA480000}"/>
    <cellStyle name="输出 2 6 17" xfId="21448" xr:uid="{00000000-0005-0000-0000-0000F8530000}"/>
    <cellStyle name="输出 2 6 17 2" xfId="41204" xr:uid="{00000000-0005-0000-0000-000024A10000}"/>
    <cellStyle name="输出 2 6 17 2 2" xfId="41205" xr:uid="{00000000-0005-0000-0000-000025A10000}"/>
    <cellStyle name="输出 2 6 17 3" xfId="41206" xr:uid="{00000000-0005-0000-0000-000026A10000}"/>
    <cellStyle name="输出 2 6 17 3 2" xfId="41207" xr:uid="{00000000-0005-0000-0000-000027A10000}"/>
    <cellStyle name="输出 2 6 17 4" xfId="41208" xr:uid="{00000000-0005-0000-0000-000028A10000}"/>
    <cellStyle name="输出 2 6 17 4 2" xfId="41209" xr:uid="{00000000-0005-0000-0000-000029A10000}"/>
    <cellStyle name="输出 2 6 17 5" xfId="4662" xr:uid="{00000000-0005-0000-0000-000066120000}"/>
    <cellStyle name="输出 2 6 17 5 2" xfId="18825" xr:uid="{00000000-0005-0000-0000-0000B9490000}"/>
    <cellStyle name="输出 2 6 17 6" xfId="18830" xr:uid="{00000000-0005-0000-0000-0000BE490000}"/>
    <cellStyle name="输出 2 6 18" xfId="41211" xr:uid="{00000000-0005-0000-0000-00002BA10000}"/>
    <cellStyle name="输出 2 6 18 2" xfId="41213" xr:uid="{00000000-0005-0000-0000-00002DA10000}"/>
    <cellStyle name="输出 2 6 18 2 2" xfId="41214" xr:uid="{00000000-0005-0000-0000-00002EA10000}"/>
    <cellStyle name="输出 2 6 18 3" xfId="41215" xr:uid="{00000000-0005-0000-0000-00002FA10000}"/>
    <cellStyle name="输出 2 6 18 3 2" xfId="41216" xr:uid="{00000000-0005-0000-0000-000030A10000}"/>
    <cellStyle name="输出 2 6 18 4" xfId="41217" xr:uid="{00000000-0005-0000-0000-000031A10000}"/>
    <cellStyle name="输出 2 6 18 4 2" xfId="41218" xr:uid="{00000000-0005-0000-0000-000032A10000}"/>
    <cellStyle name="输出 2 6 18 5" xfId="8652" xr:uid="{00000000-0005-0000-0000-0000FC210000}"/>
    <cellStyle name="输出 2 6 18 5 2" xfId="18942" xr:uid="{00000000-0005-0000-0000-00002E4A0000}"/>
    <cellStyle name="输出 2 6 18 6" xfId="18965" xr:uid="{00000000-0005-0000-0000-0000454A0000}"/>
    <cellStyle name="输出 2 6 19" xfId="15527" xr:uid="{00000000-0005-0000-0000-0000D73C0000}"/>
    <cellStyle name="输出 2 6 19 2" xfId="41219" xr:uid="{00000000-0005-0000-0000-000033A10000}"/>
    <cellStyle name="输出 2 6 19 2 2" xfId="41220" xr:uid="{00000000-0005-0000-0000-000034A10000}"/>
    <cellStyle name="输出 2 6 19 3" xfId="41221" xr:uid="{00000000-0005-0000-0000-000035A10000}"/>
    <cellStyle name="输出 2 6 19 3 2" xfId="41222" xr:uid="{00000000-0005-0000-0000-000036A10000}"/>
    <cellStyle name="输出 2 6 19 4" xfId="41223" xr:uid="{00000000-0005-0000-0000-000037A10000}"/>
    <cellStyle name="输出 2 6 19 4 2" xfId="41224" xr:uid="{00000000-0005-0000-0000-000038A10000}"/>
    <cellStyle name="输出 2 6 19 5" xfId="8661" xr:uid="{00000000-0005-0000-0000-000005220000}"/>
    <cellStyle name="输出 2 6 2" xfId="41225" xr:uid="{00000000-0005-0000-0000-000039A10000}"/>
    <cellStyle name="输出 2 6 2 10" xfId="41226" xr:uid="{00000000-0005-0000-0000-00003AA10000}"/>
    <cellStyle name="输出 2 6 2 10 2" xfId="41227" xr:uid="{00000000-0005-0000-0000-00003BA10000}"/>
    <cellStyle name="输出 2 6 2 11" xfId="41228" xr:uid="{00000000-0005-0000-0000-00003CA10000}"/>
    <cellStyle name="输出 2 6 2 11 2" xfId="41229" xr:uid="{00000000-0005-0000-0000-00003DA10000}"/>
    <cellStyle name="输出 2 6 2 12" xfId="41230" xr:uid="{00000000-0005-0000-0000-00003EA10000}"/>
    <cellStyle name="输出 2 6 2 12 2" xfId="41231" xr:uid="{00000000-0005-0000-0000-00003FA10000}"/>
    <cellStyle name="输出 2 6 2 13" xfId="11826" xr:uid="{00000000-0005-0000-0000-0000622E0000}"/>
    <cellStyle name="输出 2 6 2 14" xfId="11828" xr:uid="{00000000-0005-0000-0000-0000642E0000}"/>
    <cellStyle name="输出 2 6 2 15" xfId="11841" xr:uid="{00000000-0005-0000-0000-0000712E0000}"/>
    <cellStyle name="输出 2 6 2 16" xfId="11851" xr:uid="{00000000-0005-0000-0000-00007B2E0000}"/>
    <cellStyle name="输出 2 6 2 2" xfId="26412" xr:uid="{00000000-0005-0000-0000-00005C670000}"/>
    <cellStyle name="输出 2 6 2 2 2" xfId="30350" xr:uid="{00000000-0005-0000-0000-0000BE760000}"/>
    <cellStyle name="输出 2 6 2 2 2 2" xfId="34566" xr:uid="{00000000-0005-0000-0000-000036870000}"/>
    <cellStyle name="输出 2 6 2 2 3" xfId="22077" xr:uid="{00000000-0005-0000-0000-00006D560000}"/>
    <cellStyle name="输出 2 6 2 2 3 2" xfId="34591" xr:uid="{00000000-0005-0000-0000-00004F870000}"/>
    <cellStyle name="输出 2 6 2 2 4" xfId="34616" xr:uid="{00000000-0005-0000-0000-000068870000}"/>
    <cellStyle name="输出 2 6 2 2 4 2" xfId="34620" xr:uid="{00000000-0005-0000-0000-00006C870000}"/>
    <cellStyle name="输出 2 6 2 2 5" xfId="34637" xr:uid="{00000000-0005-0000-0000-00007D870000}"/>
    <cellStyle name="输出 2 6 2 2 5 2" xfId="34642" xr:uid="{00000000-0005-0000-0000-000082870000}"/>
    <cellStyle name="输出 2 6 2 2 6" xfId="34646" xr:uid="{00000000-0005-0000-0000-000086870000}"/>
    <cellStyle name="输出 2 6 2 2 7" xfId="34652" xr:uid="{00000000-0005-0000-0000-00008C870000}"/>
    <cellStyle name="输出 2 6 2 2 8" xfId="34656" xr:uid="{00000000-0005-0000-0000-000090870000}"/>
    <cellStyle name="输出 2 6 2 2 9" xfId="35961" xr:uid="{00000000-0005-0000-0000-0000A98C0000}"/>
    <cellStyle name="输出 2 6 2 3" xfId="26416" xr:uid="{00000000-0005-0000-0000-000060670000}"/>
    <cellStyle name="输出 2 6 2 3 2" xfId="20273" xr:uid="{00000000-0005-0000-0000-0000614F0000}"/>
    <cellStyle name="输出 2 6 2 3 2 2" xfId="34685" xr:uid="{00000000-0005-0000-0000-0000AD870000}"/>
    <cellStyle name="输出 2 6 2 3 3" xfId="34695" xr:uid="{00000000-0005-0000-0000-0000B7870000}"/>
    <cellStyle name="输出 2 6 2 3 3 2" xfId="34697" xr:uid="{00000000-0005-0000-0000-0000B9870000}"/>
    <cellStyle name="输出 2 6 2 3 4" xfId="34712" xr:uid="{00000000-0005-0000-0000-0000C8870000}"/>
    <cellStyle name="输出 2 6 2 3 4 2" xfId="34714" xr:uid="{00000000-0005-0000-0000-0000CA870000}"/>
    <cellStyle name="输出 2 6 2 3 5" xfId="34725" xr:uid="{00000000-0005-0000-0000-0000D5870000}"/>
    <cellStyle name="输出 2 6 2 3 5 2" xfId="41232" xr:uid="{00000000-0005-0000-0000-000040A10000}"/>
    <cellStyle name="输出 2 6 2 3 6" xfId="34728" xr:uid="{00000000-0005-0000-0000-0000D8870000}"/>
    <cellStyle name="输出 2 6 2 4" xfId="26418" xr:uid="{00000000-0005-0000-0000-000062670000}"/>
    <cellStyle name="输出 2 6 2 4 2" xfId="34736" xr:uid="{00000000-0005-0000-0000-0000E0870000}"/>
    <cellStyle name="输出 2 6 2 4 2 2" xfId="15946" xr:uid="{00000000-0005-0000-0000-00007A3E0000}"/>
    <cellStyle name="输出 2 6 2 4 3" xfId="34738" xr:uid="{00000000-0005-0000-0000-0000E2870000}"/>
    <cellStyle name="输出 2 6 2 4 3 2" xfId="15970" xr:uid="{00000000-0005-0000-0000-0000923E0000}"/>
    <cellStyle name="输出 2 6 2 4 4" xfId="34740" xr:uid="{00000000-0005-0000-0000-0000E4870000}"/>
    <cellStyle name="输出 2 6 2 4 4 2" xfId="16008" xr:uid="{00000000-0005-0000-0000-0000B83E0000}"/>
    <cellStyle name="输出 2 6 2 4 5" xfId="34742" xr:uid="{00000000-0005-0000-0000-0000E6870000}"/>
    <cellStyle name="输出 2 6 2 4 5 2" xfId="16046" xr:uid="{00000000-0005-0000-0000-0000DE3E0000}"/>
    <cellStyle name="输出 2 6 2 4 6" xfId="41233" xr:uid="{00000000-0005-0000-0000-000041A10000}"/>
    <cellStyle name="输出 2 6 2 5" xfId="41234" xr:uid="{00000000-0005-0000-0000-000042A10000}"/>
    <cellStyle name="输出 2 6 2 5 2" xfId="24653" xr:uid="{00000000-0005-0000-0000-00007D600000}"/>
    <cellStyle name="输出 2 6 2 5 2 2" xfId="31951" xr:uid="{00000000-0005-0000-0000-0000FF7C0000}"/>
    <cellStyle name="输出 2 6 2 5 3" xfId="41235" xr:uid="{00000000-0005-0000-0000-000043A10000}"/>
    <cellStyle name="输出 2 6 2 5 3 2" xfId="31967" xr:uid="{00000000-0005-0000-0000-00000F7D0000}"/>
    <cellStyle name="输出 2 6 2 5 4" xfId="41236" xr:uid="{00000000-0005-0000-0000-000044A10000}"/>
    <cellStyle name="输出 2 6 2 5 4 2" xfId="31981" xr:uid="{00000000-0005-0000-0000-00001D7D0000}"/>
    <cellStyle name="输出 2 6 2 5 5" xfId="41237" xr:uid="{00000000-0005-0000-0000-000045A10000}"/>
    <cellStyle name="输出 2 6 2 5 5 2" xfId="31996" xr:uid="{00000000-0005-0000-0000-00002C7D0000}"/>
    <cellStyle name="输出 2 6 2 5 6" xfId="41239" xr:uid="{00000000-0005-0000-0000-000047A10000}"/>
    <cellStyle name="输出 2 6 2 6" xfId="24103" xr:uid="{00000000-0005-0000-0000-0000575E0000}"/>
    <cellStyle name="输出 2 6 2 6 2" xfId="33720" xr:uid="{00000000-0005-0000-0000-0000E8830000}"/>
    <cellStyle name="输出 2 6 2 6 2 2" xfId="32047" xr:uid="{00000000-0005-0000-0000-00005F7D0000}"/>
    <cellStyle name="输出 2 6 2 6 3" xfId="41240" xr:uid="{00000000-0005-0000-0000-000048A10000}"/>
    <cellStyle name="输出 2 6 2 6 3 2" xfId="32062" xr:uid="{00000000-0005-0000-0000-00006E7D0000}"/>
    <cellStyle name="输出 2 6 2 6 4" xfId="31578" xr:uid="{00000000-0005-0000-0000-00008A7B0000}"/>
    <cellStyle name="输出 2 6 2 6 4 2" xfId="32077" xr:uid="{00000000-0005-0000-0000-00007D7D0000}"/>
    <cellStyle name="输出 2 6 2 6 5" xfId="22216" xr:uid="{00000000-0005-0000-0000-0000F8560000}"/>
    <cellStyle name="输出 2 6 2 6 5 2" xfId="32091" xr:uid="{00000000-0005-0000-0000-00008B7D0000}"/>
    <cellStyle name="输出 2 6 2 6 6" xfId="41241" xr:uid="{00000000-0005-0000-0000-000049A10000}"/>
    <cellStyle name="输出 2 6 2 7" xfId="33722" xr:uid="{00000000-0005-0000-0000-0000EA830000}"/>
    <cellStyle name="输出 2 6 2 7 2" xfId="33724" xr:uid="{00000000-0005-0000-0000-0000EC830000}"/>
    <cellStyle name="输出 2 6 2 7 2 2" xfId="41242" xr:uid="{00000000-0005-0000-0000-00004AA10000}"/>
    <cellStyle name="输出 2 6 2 7 3" xfId="41245" xr:uid="{00000000-0005-0000-0000-00004DA10000}"/>
    <cellStyle name="输出 2 6 2 7 3 2" xfId="41248" xr:uid="{00000000-0005-0000-0000-000050A10000}"/>
    <cellStyle name="输出 2 6 2 7 4" xfId="31587" xr:uid="{00000000-0005-0000-0000-0000937B0000}"/>
    <cellStyle name="输出 2 6 2 7 4 2" xfId="41251" xr:uid="{00000000-0005-0000-0000-000053A10000}"/>
    <cellStyle name="输出 2 6 2 7 5" xfId="22235" xr:uid="{00000000-0005-0000-0000-00000B570000}"/>
    <cellStyle name="输出 2 6 2 7 5 2" xfId="41254" xr:uid="{00000000-0005-0000-0000-000056A10000}"/>
    <cellStyle name="输出 2 6 2 7 6" xfId="41257" xr:uid="{00000000-0005-0000-0000-000059A10000}"/>
    <cellStyle name="输出 2 6 2 8" xfId="33728" xr:uid="{00000000-0005-0000-0000-0000F0830000}"/>
    <cellStyle name="输出 2 6 2 8 2" xfId="33730" xr:uid="{00000000-0005-0000-0000-0000F2830000}"/>
    <cellStyle name="输出 2 6 2 8 2 2" xfId="41260" xr:uid="{00000000-0005-0000-0000-00005CA10000}"/>
    <cellStyle name="输出 2 6 2 8 3" xfId="39113" xr:uid="{00000000-0005-0000-0000-0000F9980000}"/>
    <cellStyle name="输出 2 6 2 8 3 2" xfId="41261" xr:uid="{00000000-0005-0000-0000-00005DA10000}"/>
    <cellStyle name="输出 2 6 2 8 4" xfId="31594" xr:uid="{00000000-0005-0000-0000-00009A7B0000}"/>
    <cellStyle name="输出 2 6 2 8 4 2" xfId="41262" xr:uid="{00000000-0005-0000-0000-00005EA10000}"/>
    <cellStyle name="输出 2 6 2 8 5" xfId="22249" xr:uid="{00000000-0005-0000-0000-000019570000}"/>
    <cellStyle name="输出 2 6 2 9" xfId="33732" xr:uid="{00000000-0005-0000-0000-0000F4830000}"/>
    <cellStyle name="输出 2 6 2 9 2" xfId="33734" xr:uid="{00000000-0005-0000-0000-0000F6830000}"/>
    <cellStyle name="输出 2 6 20" xfId="21426" xr:uid="{00000000-0005-0000-0000-0000E2530000}"/>
    <cellStyle name="输出 2 6 20 2" xfId="19085" xr:uid="{00000000-0005-0000-0000-0000BD4A0000}"/>
    <cellStyle name="输出 2 6 21" xfId="21435" xr:uid="{00000000-0005-0000-0000-0000EB530000}"/>
    <cellStyle name="输出 2 6 21 2" xfId="21441" xr:uid="{00000000-0005-0000-0000-0000F1530000}"/>
    <cellStyle name="输出 2 6 22" xfId="21449" xr:uid="{00000000-0005-0000-0000-0000F9530000}"/>
    <cellStyle name="输出 2 6 22 2" xfId="41203" xr:uid="{00000000-0005-0000-0000-000023A10000}"/>
    <cellStyle name="输出 2 6 23" xfId="41210" xr:uid="{00000000-0005-0000-0000-00002AA10000}"/>
    <cellStyle name="输出 2 6 23 2" xfId="41212" xr:uid="{00000000-0005-0000-0000-00002CA10000}"/>
    <cellStyle name="输出 2 6 24" xfId="15526" xr:uid="{00000000-0005-0000-0000-0000D63C0000}"/>
    <cellStyle name="输出 2 6 25" xfId="41263" xr:uid="{00000000-0005-0000-0000-00005FA10000}"/>
    <cellStyle name="输出 2 6 26" xfId="18650" xr:uid="{00000000-0005-0000-0000-00000A490000}"/>
    <cellStyle name="输出 2 6 27" xfId="35867" xr:uid="{00000000-0005-0000-0000-00004B8C0000}"/>
    <cellStyle name="输出 2 6 3" xfId="19244" xr:uid="{00000000-0005-0000-0000-00005C4B0000}"/>
    <cellStyle name="输出 2 6 3 10" xfId="41264" xr:uid="{00000000-0005-0000-0000-000060A10000}"/>
    <cellStyle name="输出 2 6 3 10 2" xfId="41265" xr:uid="{00000000-0005-0000-0000-000061A10000}"/>
    <cellStyle name="输出 2 6 3 11" xfId="41266" xr:uid="{00000000-0005-0000-0000-000062A10000}"/>
    <cellStyle name="输出 2 6 3 11 2" xfId="41267" xr:uid="{00000000-0005-0000-0000-000063A10000}"/>
    <cellStyle name="输出 2 6 3 12" xfId="41268" xr:uid="{00000000-0005-0000-0000-000064A10000}"/>
    <cellStyle name="输出 2 6 3 12 2" xfId="41269" xr:uid="{00000000-0005-0000-0000-000065A10000}"/>
    <cellStyle name="输出 2 6 3 13" xfId="11978" xr:uid="{00000000-0005-0000-0000-0000FA2E0000}"/>
    <cellStyle name="输出 2 6 3 14" xfId="11984" xr:uid="{00000000-0005-0000-0000-0000002F0000}"/>
    <cellStyle name="输出 2 6 3 15" xfId="11987" xr:uid="{00000000-0005-0000-0000-0000032F0000}"/>
    <cellStyle name="输出 2 6 3 16" xfId="10077" xr:uid="{00000000-0005-0000-0000-00008D270000}"/>
    <cellStyle name="输出 2 6 3 2" xfId="30357" xr:uid="{00000000-0005-0000-0000-0000C5760000}"/>
    <cellStyle name="输出 2 6 3 2 2" xfId="30361" xr:uid="{00000000-0005-0000-0000-0000C9760000}"/>
    <cellStyle name="输出 2 6 3 2 2 2" xfId="35004" xr:uid="{00000000-0005-0000-0000-0000EC880000}"/>
    <cellStyle name="输出 2 6 3 2 3" xfId="22107" xr:uid="{00000000-0005-0000-0000-00008B560000}"/>
    <cellStyle name="输出 2 6 3 2 3 2" xfId="35011" xr:uid="{00000000-0005-0000-0000-0000F3880000}"/>
    <cellStyle name="输出 2 6 3 2 4" xfId="35018" xr:uid="{00000000-0005-0000-0000-0000FA880000}"/>
    <cellStyle name="输出 2 6 3 2 4 2" xfId="35020" xr:uid="{00000000-0005-0000-0000-0000FC880000}"/>
    <cellStyle name="输出 2 6 3 2 5" xfId="35025" xr:uid="{00000000-0005-0000-0000-000001890000}"/>
    <cellStyle name="输出 2 6 3 2 5 2" xfId="35028" xr:uid="{00000000-0005-0000-0000-000004890000}"/>
    <cellStyle name="输出 2 6 3 2 6" xfId="12222" xr:uid="{00000000-0005-0000-0000-0000EE2F0000}"/>
    <cellStyle name="输出 2 6 3 2 7" xfId="5234" xr:uid="{00000000-0005-0000-0000-0000A2140000}"/>
    <cellStyle name="输出 2 6 3 2 8" xfId="35032" xr:uid="{00000000-0005-0000-0000-000008890000}"/>
    <cellStyle name="输出 2 6 3 2 9" xfId="35970" xr:uid="{00000000-0005-0000-0000-0000B28C0000}"/>
    <cellStyle name="输出 2 6 3 3" xfId="22683" xr:uid="{00000000-0005-0000-0000-0000CB580000}"/>
    <cellStyle name="输出 2 6 3 3 2" xfId="35051" xr:uid="{00000000-0005-0000-0000-00001B890000}"/>
    <cellStyle name="输出 2 6 3 3 2 2" xfId="35053" xr:uid="{00000000-0005-0000-0000-00001D890000}"/>
    <cellStyle name="输出 2 6 3 3 3" xfId="35063" xr:uid="{00000000-0005-0000-0000-000027890000}"/>
    <cellStyle name="输出 2 6 3 3 3 2" xfId="35065" xr:uid="{00000000-0005-0000-0000-000029890000}"/>
    <cellStyle name="输出 2 6 3 3 4" xfId="35075" xr:uid="{00000000-0005-0000-0000-000033890000}"/>
    <cellStyle name="输出 2 6 3 3 4 2" xfId="35077" xr:uid="{00000000-0005-0000-0000-000035890000}"/>
    <cellStyle name="输出 2 6 3 3 5" xfId="7321" xr:uid="{00000000-0005-0000-0000-0000C91C0000}"/>
    <cellStyle name="输出 2 6 3 3 5 2" xfId="7327" xr:uid="{00000000-0005-0000-0000-0000CF1C0000}"/>
    <cellStyle name="输出 2 6 3 3 6" xfId="7339" xr:uid="{00000000-0005-0000-0000-0000DB1C0000}"/>
    <cellStyle name="输出 2 6 3 4" xfId="1497" xr:uid="{00000000-0005-0000-0000-000009060000}"/>
    <cellStyle name="输出 2 6 3 4 2" xfId="13188" xr:uid="{00000000-0005-0000-0000-0000B4330000}"/>
    <cellStyle name="输出 2 6 3 4 2 2" xfId="22874" xr:uid="{00000000-0005-0000-0000-00008A590000}"/>
    <cellStyle name="输出 2 6 3 4 3" xfId="35085" xr:uid="{00000000-0005-0000-0000-00003D890000}"/>
    <cellStyle name="输出 2 6 3 4 3 2" xfId="22914" xr:uid="{00000000-0005-0000-0000-0000B2590000}"/>
    <cellStyle name="输出 2 6 3 4 4" xfId="35087" xr:uid="{00000000-0005-0000-0000-00003F890000}"/>
    <cellStyle name="输出 2 6 3 4 4 2" xfId="22317" xr:uid="{00000000-0005-0000-0000-00005D570000}"/>
    <cellStyle name="输出 2 6 3 4 5" xfId="7391" xr:uid="{00000000-0005-0000-0000-00000F1D0000}"/>
    <cellStyle name="输出 2 6 3 4 5 2" xfId="7394" xr:uid="{00000000-0005-0000-0000-0000121D0000}"/>
    <cellStyle name="输出 2 6 3 4 6" xfId="7407" xr:uid="{00000000-0005-0000-0000-00001F1D0000}"/>
    <cellStyle name="输出 2 6 3 5" xfId="1512" xr:uid="{00000000-0005-0000-0000-000018060000}"/>
    <cellStyle name="输出 2 6 3 5 2" xfId="3716" xr:uid="{00000000-0005-0000-0000-0000B40E0000}"/>
    <cellStyle name="输出 2 6 3 5 2 2" xfId="41270" xr:uid="{00000000-0005-0000-0000-000066A10000}"/>
    <cellStyle name="输出 2 6 3 5 3" xfId="41271" xr:uid="{00000000-0005-0000-0000-000067A10000}"/>
    <cellStyle name="输出 2 6 3 5 3 2" xfId="41272" xr:uid="{00000000-0005-0000-0000-000068A10000}"/>
    <cellStyle name="输出 2 6 3 5 4" xfId="41273" xr:uid="{00000000-0005-0000-0000-000069A10000}"/>
    <cellStyle name="输出 2 6 3 5 4 2" xfId="41274" xr:uid="{00000000-0005-0000-0000-00006AA10000}"/>
    <cellStyle name="输出 2 6 3 5 5" xfId="7429" xr:uid="{00000000-0005-0000-0000-0000351D0000}"/>
    <cellStyle name="输出 2 6 3 5 5 2" xfId="7433" xr:uid="{00000000-0005-0000-0000-0000391D0000}"/>
    <cellStyle name="输出 2 6 3 5 6" xfId="7446" xr:uid="{00000000-0005-0000-0000-0000461D0000}"/>
    <cellStyle name="输出 2 6 3 6" xfId="1533" xr:uid="{00000000-0005-0000-0000-00002D060000}"/>
    <cellStyle name="输出 2 6 3 6 2" xfId="5291" xr:uid="{00000000-0005-0000-0000-0000DB140000}"/>
    <cellStyle name="输出 2 6 3 6 2 2" xfId="41275" xr:uid="{00000000-0005-0000-0000-00006BA10000}"/>
    <cellStyle name="输出 2 6 3 6 3" xfId="41276" xr:uid="{00000000-0005-0000-0000-00006CA10000}"/>
    <cellStyle name="输出 2 6 3 6 3 2" xfId="41277" xr:uid="{00000000-0005-0000-0000-00006DA10000}"/>
    <cellStyle name="输出 2 6 3 6 4" xfId="31607" xr:uid="{00000000-0005-0000-0000-0000A77B0000}"/>
    <cellStyle name="输出 2 6 3 6 4 2" xfId="41278" xr:uid="{00000000-0005-0000-0000-00006EA10000}"/>
    <cellStyle name="输出 2 6 3 6 5" xfId="7494" xr:uid="{00000000-0005-0000-0000-0000761D0000}"/>
    <cellStyle name="输出 2 6 3 6 5 2" xfId="7499" xr:uid="{00000000-0005-0000-0000-00007B1D0000}"/>
    <cellStyle name="输出 2 6 3 6 6" xfId="7507" xr:uid="{00000000-0005-0000-0000-0000831D0000}"/>
    <cellStyle name="输出 2 6 3 7" xfId="5309" xr:uid="{00000000-0005-0000-0000-0000ED140000}"/>
    <cellStyle name="输出 2 6 3 7 2" xfId="33737" xr:uid="{00000000-0005-0000-0000-0000F9830000}"/>
    <cellStyle name="输出 2 6 3 7 2 2" xfId="41279" xr:uid="{00000000-0005-0000-0000-00006FA10000}"/>
    <cellStyle name="输出 2 6 3 7 3" xfId="41280" xr:uid="{00000000-0005-0000-0000-000070A10000}"/>
    <cellStyle name="输出 2 6 3 7 3 2" xfId="41281" xr:uid="{00000000-0005-0000-0000-000071A10000}"/>
    <cellStyle name="输出 2 6 3 7 4" xfId="22346" xr:uid="{00000000-0005-0000-0000-00007A570000}"/>
    <cellStyle name="输出 2 6 3 7 4 2" xfId="41282" xr:uid="{00000000-0005-0000-0000-000072A10000}"/>
    <cellStyle name="输出 2 6 3 7 5" xfId="7557" xr:uid="{00000000-0005-0000-0000-0000B51D0000}"/>
    <cellStyle name="输出 2 6 3 7 5 2" xfId="7562" xr:uid="{00000000-0005-0000-0000-0000BA1D0000}"/>
    <cellStyle name="输出 2 6 3 7 6" xfId="7570" xr:uid="{00000000-0005-0000-0000-0000C21D0000}"/>
    <cellStyle name="输出 2 6 3 8" xfId="18" xr:uid="{00000000-0005-0000-0000-000014000000}"/>
    <cellStyle name="输出 2 6 3 8 2" xfId="33739" xr:uid="{00000000-0005-0000-0000-0000FB830000}"/>
    <cellStyle name="输出 2 6 3 8 2 2" xfId="41283" xr:uid="{00000000-0005-0000-0000-000073A10000}"/>
    <cellStyle name="输出 2 6 3 8 3" xfId="39125" xr:uid="{00000000-0005-0000-0000-000005990000}"/>
    <cellStyle name="输出 2 6 3 8 3 2" xfId="41284" xr:uid="{00000000-0005-0000-0000-000074A10000}"/>
    <cellStyle name="输出 2 6 3 8 4" xfId="22355" xr:uid="{00000000-0005-0000-0000-000083570000}"/>
    <cellStyle name="输出 2 6 3 8 4 2" xfId="41285" xr:uid="{00000000-0005-0000-0000-000075A10000}"/>
    <cellStyle name="输出 2 6 3 8 5" xfId="7611" xr:uid="{00000000-0005-0000-0000-0000EB1D0000}"/>
    <cellStyle name="输出 2 6 3 9" xfId="614" xr:uid="{00000000-0005-0000-0000-000096020000}"/>
    <cellStyle name="输出 2 6 3 9 2" xfId="33741" xr:uid="{00000000-0005-0000-0000-0000FD830000}"/>
    <cellStyle name="输出 2 6 4" xfId="36938" xr:uid="{00000000-0005-0000-0000-00007A900000}"/>
    <cellStyle name="输出 2 6 4 10" xfId="17723" xr:uid="{00000000-0005-0000-0000-00006B450000}"/>
    <cellStyle name="输出 2 6 4 10 2" xfId="17731" xr:uid="{00000000-0005-0000-0000-000073450000}"/>
    <cellStyle name="输出 2 6 4 11" xfId="17749" xr:uid="{00000000-0005-0000-0000-000085450000}"/>
    <cellStyle name="输出 2 6 4 11 2" xfId="17755" xr:uid="{00000000-0005-0000-0000-00008B450000}"/>
    <cellStyle name="输出 2 6 4 12" xfId="13200" xr:uid="{00000000-0005-0000-0000-0000C0330000}"/>
    <cellStyle name="输出 2 6 4 12 2" xfId="17772" xr:uid="{00000000-0005-0000-0000-00009C450000}"/>
    <cellStyle name="输出 2 6 4 13" xfId="12212" xr:uid="{00000000-0005-0000-0000-0000E42F0000}"/>
    <cellStyle name="输出 2 6 4 14" xfId="12217" xr:uid="{00000000-0005-0000-0000-0000E92F0000}"/>
    <cellStyle name="输出 2 6 4 15" xfId="12226" xr:uid="{00000000-0005-0000-0000-0000F22F0000}"/>
    <cellStyle name="输出 2 6 4 16" xfId="12220" xr:uid="{00000000-0005-0000-0000-0000EC2F0000}"/>
    <cellStyle name="输出 2 6 4 2" xfId="30364" xr:uid="{00000000-0005-0000-0000-0000CC760000}"/>
    <cellStyle name="输出 2 6 4 2 2" xfId="13944" xr:uid="{00000000-0005-0000-0000-0000A8360000}"/>
    <cellStyle name="输出 2 6 4 2 2 2" xfId="5033" xr:uid="{00000000-0005-0000-0000-0000D9130000}"/>
    <cellStyle name="输出 2 6 4 2 3" xfId="13950" xr:uid="{00000000-0005-0000-0000-0000AE360000}"/>
    <cellStyle name="输出 2 6 4 2 3 2" xfId="5058" xr:uid="{00000000-0005-0000-0000-0000F2130000}"/>
    <cellStyle name="输出 2 6 4 2 4" xfId="17311" xr:uid="{00000000-0005-0000-0000-0000CF430000}"/>
    <cellStyle name="输出 2 6 4 2 4 2" xfId="5088" xr:uid="{00000000-0005-0000-0000-000010140000}"/>
    <cellStyle name="输出 2 6 4 2 5" xfId="35391" xr:uid="{00000000-0005-0000-0000-00006F8A0000}"/>
    <cellStyle name="输出 2 6 4 2 5 2" xfId="35394" xr:uid="{00000000-0005-0000-0000-0000728A0000}"/>
    <cellStyle name="输出 2 6 4 2 6" xfId="35398" xr:uid="{00000000-0005-0000-0000-0000768A0000}"/>
    <cellStyle name="输出 2 6 4 2 7" xfId="35403" xr:uid="{00000000-0005-0000-0000-00007B8A0000}"/>
    <cellStyle name="输出 2 6 4 2 8" xfId="35408" xr:uid="{00000000-0005-0000-0000-0000808A0000}"/>
    <cellStyle name="输出 2 6 4 2 9" xfId="35977" xr:uid="{00000000-0005-0000-0000-0000B98C0000}"/>
    <cellStyle name="输出 2 6 4 3" xfId="22687" xr:uid="{00000000-0005-0000-0000-0000CF580000}"/>
    <cellStyle name="输出 2 6 4 3 2" xfId="13968" xr:uid="{00000000-0005-0000-0000-0000C0360000}"/>
    <cellStyle name="输出 2 6 4 3 2 2" xfId="5287" xr:uid="{00000000-0005-0000-0000-0000D7140000}"/>
    <cellStyle name="输出 2 6 4 3 3" xfId="17636" xr:uid="{00000000-0005-0000-0000-000014450000}"/>
    <cellStyle name="输出 2 6 4 3 3 2" xfId="35445" xr:uid="{00000000-0005-0000-0000-0000A58A0000}"/>
    <cellStyle name="输出 2 6 4 3 4" xfId="16477" xr:uid="{00000000-0005-0000-0000-00008D400000}"/>
    <cellStyle name="输出 2 6 4 3 4 2" xfId="35460" xr:uid="{00000000-0005-0000-0000-0000B48A0000}"/>
    <cellStyle name="输出 2 6 4 3 5" xfId="7785" xr:uid="{00000000-0005-0000-0000-0000991E0000}"/>
    <cellStyle name="输出 2 6 4 3 5 2" xfId="317" xr:uid="{00000000-0005-0000-0000-00005C010000}"/>
    <cellStyle name="输出 2 6 4 3 6" xfId="7332" xr:uid="{00000000-0005-0000-0000-0000D41C0000}"/>
    <cellStyle name="输出 2 6 4 4" xfId="41286" xr:uid="{00000000-0005-0000-0000-000076A10000}"/>
    <cellStyle name="输出 2 6 4 4 2" xfId="34758" xr:uid="{00000000-0005-0000-0000-0000F6870000}"/>
    <cellStyle name="输出 2 6 4 4 2 2" xfId="35471" xr:uid="{00000000-0005-0000-0000-0000BF8A0000}"/>
    <cellStyle name="输出 2 6 4 4 3" xfId="34761" xr:uid="{00000000-0005-0000-0000-0000F9870000}"/>
    <cellStyle name="输出 2 6 4 4 3 2" xfId="35473" xr:uid="{00000000-0005-0000-0000-0000C18A0000}"/>
    <cellStyle name="输出 2 6 4 4 4" xfId="35475" xr:uid="{00000000-0005-0000-0000-0000C38A0000}"/>
    <cellStyle name="输出 2 6 4 4 4 2" xfId="35477" xr:uid="{00000000-0005-0000-0000-0000C58A0000}"/>
    <cellStyle name="输出 2 6 4 4 5" xfId="7799" xr:uid="{00000000-0005-0000-0000-0000A71E0000}"/>
    <cellStyle name="输出 2 6 4 4 5 2" xfId="5538" xr:uid="{00000000-0005-0000-0000-0000D2150000}"/>
    <cellStyle name="输出 2 6 4 4 6" xfId="7348" xr:uid="{00000000-0005-0000-0000-0000E41C0000}"/>
    <cellStyle name="输出 2 6 4 5" xfId="41287" xr:uid="{00000000-0005-0000-0000-000077A10000}"/>
    <cellStyle name="输出 2 6 4 5 2" xfId="41288" xr:uid="{00000000-0005-0000-0000-000078A10000}"/>
    <cellStyle name="输出 2 6 4 5 2 2" xfId="41289" xr:uid="{00000000-0005-0000-0000-000079A10000}"/>
    <cellStyle name="输出 2 6 4 5 3" xfId="41290" xr:uid="{00000000-0005-0000-0000-00007AA10000}"/>
    <cellStyle name="输出 2 6 4 5 3 2" xfId="41291" xr:uid="{00000000-0005-0000-0000-00007BA10000}"/>
    <cellStyle name="输出 2 6 4 5 4" xfId="41292" xr:uid="{00000000-0005-0000-0000-00007CA10000}"/>
    <cellStyle name="输出 2 6 4 5 4 2" xfId="41293" xr:uid="{00000000-0005-0000-0000-00007DA10000}"/>
    <cellStyle name="输出 2 6 4 5 5" xfId="7817" xr:uid="{00000000-0005-0000-0000-0000B91E0000}"/>
    <cellStyle name="输出 2 6 4 5 5 2" xfId="5967" xr:uid="{00000000-0005-0000-0000-00007F170000}"/>
    <cellStyle name="输出 2 6 4 5 6" xfId="7354" xr:uid="{00000000-0005-0000-0000-0000EA1C0000}"/>
    <cellStyle name="输出 2 6 4 6" xfId="28427" xr:uid="{00000000-0005-0000-0000-00003B6F0000}"/>
    <cellStyle name="输出 2 6 4 6 2" xfId="33744" xr:uid="{00000000-0005-0000-0000-000000840000}"/>
    <cellStyle name="输出 2 6 4 6 2 2" xfId="41294" xr:uid="{00000000-0005-0000-0000-00007EA10000}"/>
    <cellStyle name="输出 2 6 4 6 3" xfId="41295" xr:uid="{00000000-0005-0000-0000-00007FA10000}"/>
    <cellStyle name="输出 2 6 4 6 3 2" xfId="41296" xr:uid="{00000000-0005-0000-0000-000080A10000}"/>
    <cellStyle name="输出 2 6 4 6 4" xfId="41297" xr:uid="{00000000-0005-0000-0000-000081A10000}"/>
    <cellStyle name="输出 2 6 4 6 4 2" xfId="16173" xr:uid="{00000000-0005-0000-0000-00005D3F0000}"/>
    <cellStyle name="输出 2 6 4 6 5" xfId="7839" xr:uid="{00000000-0005-0000-0000-0000CF1E0000}"/>
    <cellStyle name="输出 2 6 4 6 5 2" xfId="6325" xr:uid="{00000000-0005-0000-0000-0000E5180000}"/>
    <cellStyle name="输出 2 6 4 6 6" xfId="7362" xr:uid="{00000000-0005-0000-0000-0000F21C0000}"/>
    <cellStyle name="输出 2 6 4 7" xfId="33746" xr:uid="{00000000-0005-0000-0000-000002840000}"/>
    <cellStyle name="输出 2 6 4 7 2" xfId="33748" xr:uid="{00000000-0005-0000-0000-000004840000}"/>
    <cellStyle name="输出 2 6 4 7 2 2" xfId="41298" xr:uid="{00000000-0005-0000-0000-000082A10000}"/>
    <cellStyle name="输出 2 6 4 7 3" xfId="41299" xr:uid="{00000000-0005-0000-0000-000083A10000}"/>
    <cellStyle name="输出 2 6 4 7 3 2" xfId="41300" xr:uid="{00000000-0005-0000-0000-000084A10000}"/>
    <cellStyle name="输出 2 6 4 7 4" xfId="40395" xr:uid="{00000000-0005-0000-0000-0000FB9D0000}"/>
    <cellStyle name="输出 2 6 4 7 4 2" xfId="16893" xr:uid="{00000000-0005-0000-0000-00002D420000}"/>
    <cellStyle name="输出 2 6 4 7 5" xfId="7857" xr:uid="{00000000-0005-0000-0000-0000E11E0000}"/>
    <cellStyle name="输出 2 6 4 7 5 2" xfId="6700" xr:uid="{00000000-0005-0000-0000-00005C1A0000}"/>
    <cellStyle name="输出 2 6 4 7 6" xfId="7860" xr:uid="{00000000-0005-0000-0000-0000E41E0000}"/>
    <cellStyle name="输出 2 6 4 8" xfId="33750" xr:uid="{00000000-0005-0000-0000-000006840000}"/>
    <cellStyle name="输出 2 6 4 8 2" xfId="17793" xr:uid="{00000000-0005-0000-0000-0000B1450000}"/>
    <cellStyle name="输出 2 6 4 8 2 2" xfId="17795" xr:uid="{00000000-0005-0000-0000-0000B3450000}"/>
    <cellStyle name="输出 2 6 4 8 3" xfId="17801" xr:uid="{00000000-0005-0000-0000-0000B9450000}"/>
    <cellStyle name="输出 2 6 4 8 3 2" xfId="41301" xr:uid="{00000000-0005-0000-0000-000085A10000}"/>
    <cellStyle name="输出 2 6 4 8 4" xfId="17807" xr:uid="{00000000-0005-0000-0000-0000BF450000}"/>
    <cellStyle name="输出 2 6 4 8 4 2" xfId="41302" xr:uid="{00000000-0005-0000-0000-000086A10000}"/>
    <cellStyle name="输出 2 6 4 8 5" xfId="7874" xr:uid="{00000000-0005-0000-0000-0000F21E0000}"/>
    <cellStyle name="输出 2 6 4 9" xfId="33752" xr:uid="{00000000-0005-0000-0000-000008840000}"/>
    <cellStyle name="输出 2 6 4 9 2" xfId="35091" xr:uid="{00000000-0005-0000-0000-000043890000}"/>
    <cellStyle name="输出 2 6 5" xfId="41303" xr:uid="{00000000-0005-0000-0000-000087A10000}"/>
    <cellStyle name="输出 2 6 5 10" xfId="1245" xr:uid="{00000000-0005-0000-0000-00000D050000}"/>
    <cellStyle name="输出 2 6 5 10 2" xfId="18894" xr:uid="{00000000-0005-0000-0000-0000FE490000}"/>
    <cellStyle name="输出 2 6 5 11" xfId="15664" xr:uid="{00000000-0005-0000-0000-0000603D0000}"/>
    <cellStyle name="输出 2 6 5 11 2" xfId="18920" xr:uid="{00000000-0005-0000-0000-0000184A0000}"/>
    <cellStyle name="输出 2 6 5 12" xfId="5315" xr:uid="{00000000-0005-0000-0000-0000F3140000}"/>
    <cellStyle name="输出 2 6 5 12 2" xfId="18939" xr:uid="{00000000-0005-0000-0000-00002B4A0000}"/>
    <cellStyle name="输出 2 6 5 13" xfId="18860" xr:uid="{00000000-0005-0000-0000-0000DC490000}"/>
    <cellStyle name="输出 2 6 5 14" xfId="41304" xr:uid="{00000000-0005-0000-0000-000088A10000}"/>
    <cellStyle name="输出 2 6 5 15" xfId="41305" xr:uid="{00000000-0005-0000-0000-000089A10000}"/>
    <cellStyle name="输出 2 6 5 16" xfId="35557" xr:uid="{00000000-0005-0000-0000-0000158B0000}"/>
    <cellStyle name="输出 2 6 5 2" xfId="30368" xr:uid="{00000000-0005-0000-0000-0000D0760000}"/>
    <cellStyle name="输出 2 6 5 2 2" xfId="17483" xr:uid="{00000000-0005-0000-0000-00007B440000}"/>
    <cellStyle name="输出 2 6 5 2 2 2" xfId="8525" xr:uid="{00000000-0005-0000-0000-00007D210000}"/>
    <cellStyle name="输出 2 6 5 2 3" xfId="17489" xr:uid="{00000000-0005-0000-0000-000081440000}"/>
    <cellStyle name="输出 2 6 5 2 3 2" xfId="8574" xr:uid="{00000000-0005-0000-0000-0000AE210000}"/>
    <cellStyle name="输出 2 6 5 2 4" xfId="8492" xr:uid="{00000000-0005-0000-0000-00005C210000}"/>
    <cellStyle name="输出 2 6 5 2 4 2" xfId="22447" xr:uid="{00000000-0005-0000-0000-0000DF570000}"/>
    <cellStyle name="输出 2 6 5 2 5" xfId="35668" xr:uid="{00000000-0005-0000-0000-0000848B0000}"/>
    <cellStyle name="输出 2 6 5 2 5 2" xfId="35671" xr:uid="{00000000-0005-0000-0000-0000878B0000}"/>
    <cellStyle name="输出 2 6 5 2 6" xfId="35673" xr:uid="{00000000-0005-0000-0000-0000898B0000}"/>
    <cellStyle name="输出 2 6 5 2 7" xfId="35676" xr:uid="{00000000-0005-0000-0000-00008C8B0000}"/>
    <cellStyle name="输出 2 6 5 2 8" xfId="12970" xr:uid="{00000000-0005-0000-0000-0000DA320000}"/>
    <cellStyle name="输出 2 6 5 2 9" xfId="35983" xr:uid="{00000000-0005-0000-0000-0000BF8C0000}"/>
    <cellStyle name="输出 2 6 5 3" xfId="22693" xr:uid="{00000000-0005-0000-0000-0000D5580000}"/>
    <cellStyle name="输出 2 6 5 3 2" xfId="18819" xr:uid="{00000000-0005-0000-0000-0000B3490000}"/>
    <cellStyle name="输出 2 6 5 3 2 2" xfId="8736" xr:uid="{00000000-0005-0000-0000-000050220000}"/>
    <cellStyle name="输出 2 6 5 3 3" xfId="18823" xr:uid="{00000000-0005-0000-0000-0000B7490000}"/>
    <cellStyle name="输出 2 6 5 3 3 2" xfId="35700" xr:uid="{00000000-0005-0000-0000-0000A48B0000}"/>
    <cellStyle name="输出 2 6 5 3 4" xfId="8498" xr:uid="{00000000-0005-0000-0000-000062210000}"/>
    <cellStyle name="输出 2 6 5 3 4 2" xfId="35708" xr:uid="{00000000-0005-0000-0000-0000AC8B0000}"/>
    <cellStyle name="输出 2 6 5 3 5" xfId="6170" xr:uid="{00000000-0005-0000-0000-00004A180000}"/>
    <cellStyle name="输出 2 6 5 3 5 2" xfId="2321" xr:uid="{00000000-0005-0000-0000-000041090000}"/>
    <cellStyle name="输出 2 6 5 3 6" xfId="7404" xr:uid="{00000000-0005-0000-0000-00001C1D0000}"/>
    <cellStyle name="输出 2 6 5 4" xfId="41306" xr:uid="{00000000-0005-0000-0000-00008AA10000}"/>
    <cellStyle name="输出 2 6 5 4 2" xfId="11044" xr:uid="{00000000-0005-0000-0000-0000542B0000}"/>
    <cellStyle name="输出 2 6 5 4 2 2" xfId="6584" xr:uid="{00000000-0005-0000-0000-0000E8190000}"/>
    <cellStyle name="输出 2 6 5 4 3" xfId="11050" xr:uid="{00000000-0005-0000-0000-00005A2B0000}"/>
    <cellStyle name="输出 2 6 5 4 3 2" xfId="35715" xr:uid="{00000000-0005-0000-0000-0000B38B0000}"/>
    <cellStyle name="输出 2 6 5 4 4" xfId="11056" xr:uid="{00000000-0005-0000-0000-0000602B0000}"/>
    <cellStyle name="输出 2 6 5 4 4 2" xfId="35717" xr:uid="{00000000-0005-0000-0000-0000B58B0000}"/>
    <cellStyle name="输出 2 6 5 4 5" xfId="6190" xr:uid="{00000000-0005-0000-0000-00005E180000}"/>
    <cellStyle name="输出 2 6 5 4 5 2" xfId="7024" xr:uid="{00000000-0005-0000-0000-0000A01B0000}"/>
    <cellStyle name="输出 2 6 5 4 6" xfId="7091" xr:uid="{00000000-0005-0000-0000-0000E31B0000}"/>
    <cellStyle name="输出 2 6 5 5" xfId="41307" xr:uid="{00000000-0005-0000-0000-00008BA10000}"/>
    <cellStyle name="输出 2 6 5 5 2" xfId="14181" xr:uid="{00000000-0005-0000-0000-000095370000}"/>
    <cellStyle name="输出 2 6 5 5 2 2" xfId="9220" xr:uid="{00000000-0005-0000-0000-000034240000}"/>
    <cellStyle name="输出 2 6 5 5 3" xfId="14183" xr:uid="{00000000-0005-0000-0000-000097370000}"/>
    <cellStyle name="输出 2 6 5 5 3 2" xfId="41308" xr:uid="{00000000-0005-0000-0000-00008CA10000}"/>
    <cellStyle name="输出 2 6 5 5 4" xfId="41309" xr:uid="{00000000-0005-0000-0000-00008DA10000}"/>
    <cellStyle name="输出 2 6 5 5 4 2" xfId="41310" xr:uid="{00000000-0005-0000-0000-00008EA10000}"/>
    <cellStyle name="输出 2 6 5 5 5" xfId="3949" xr:uid="{00000000-0005-0000-0000-00009D0F0000}"/>
    <cellStyle name="输出 2 6 5 5 5 2" xfId="4012" xr:uid="{00000000-0005-0000-0000-0000DC0F0000}"/>
    <cellStyle name="输出 2 6 5 5 6" xfId="4365" xr:uid="{00000000-0005-0000-0000-00003D110000}"/>
    <cellStyle name="输出 2 6 5 6" xfId="28430" xr:uid="{00000000-0005-0000-0000-00003E6F0000}"/>
    <cellStyle name="输出 2 6 5 6 2" xfId="14197" xr:uid="{00000000-0005-0000-0000-0000A5370000}"/>
    <cellStyle name="输出 2 6 5 6 2 2" xfId="14199" xr:uid="{00000000-0005-0000-0000-0000A7370000}"/>
    <cellStyle name="输出 2 6 5 6 3" xfId="14201" xr:uid="{00000000-0005-0000-0000-0000A9370000}"/>
    <cellStyle name="输出 2 6 5 6 3 2" xfId="41311" xr:uid="{00000000-0005-0000-0000-00008FA10000}"/>
    <cellStyle name="输出 2 6 5 6 4" xfId="41312" xr:uid="{00000000-0005-0000-0000-000090A10000}"/>
    <cellStyle name="输出 2 6 5 6 4 2" xfId="7309" xr:uid="{00000000-0005-0000-0000-0000BD1C0000}"/>
    <cellStyle name="输出 2 6 5 6 5" xfId="1638" xr:uid="{00000000-0005-0000-0000-000096060000}"/>
    <cellStyle name="输出 2 6 5 6 5 2" xfId="7779" xr:uid="{00000000-0005-0000-0000-0000931E0000}"/>
    <cellStyle name="输出 2 6 5 6 6" xfId="1650" xr:uid="{00000000-0005-0000-0000-0000A2060000}"/>
    <cellStyle name="输出 2 6 5 7" xfId="41313" xr:uid="{00000000-0005-0000-0000-000091A10000}"/>
    <cellStyle name="输出 2 6 5 7 2" xfId="14225" xr:uid="{00000000-0005-0000-0000-0000C1370000}"/>
    <cellStyle name="输出 2 6 5 7 2 2" xfId="14228" xr:uid="{00000000-0005-0000-0000-0000C4370000}"/>
    <cellStyle name="输出 2 6 5 7 3" xfId="14230" xr:uid="{00000000-0005-0000-0000-0000C6370000}"/>
    <cellStyle name="输出 2 6 5 7 3 2" xfId="41315" xr:uid="{00000000-0005-0000-0000-000093A10000}"/>
    <cellStyle name="输出 2 6 5 7 4" xfId="40405" xr:uid="{00000000-0005-0000-0000-0000059E0000}"/>
    <cellStyle name="输出 2 6 5 7 4 2" xfId="9552" xr:uid="{00000000-0005-0000-0000-000080250000}"/>
    <cellStyle name="输出 2 6 5 7 5" xfId="8041" xr:uid="{00000000-0005-0000-0000-0000991F0000}"/>
    <cellStyle name="输出 2 6 5 7 5 2" xfId="11" xr:uid="{00000000-0005-0000-0000-00000D000000}"/>
    <cellStyle name="输出 2 6 5 7 6" xfId="8046" xr:uid="{00000000-0005-0000-0000-00009E1F0000}"/>
    <cellStyle name="输出 2 6 5 8" xfId="41316" xr:uid="{00000000-0005-0000-0000-000094A10000}"/>
    <cellStyle name="输出 2 6 5 8 2" xfId="5333" xr:uid="{00000000-0005-0000-0000-000005150000}"/>
    <cellStyle name="输出 2 6 5 8 2 2" xfId="14255" xr:uid="{00000000-0005-0000-0000-0000DF370000}"/>
    <cellStyle name="输出 2 6 5 8 3" xfId="14258" xr:uid="{00000000-0005-0000-0000-0000E2370000}"/>
    <cellStyle name="输出 2 6 5 8 3 2" xfId="38878" xr:uid="{00000000-0005-0000-0000-00000E980000}"/>
    <cellStyle name="输出 2 6 5 8 4" xfId="11527" xr:uid="{00000000-0005-0000-0000-0000372D0000}"/>
    <cellStyle name="输出 2 6 5 8 4 2" xfId="38880" xr:uid="{00000000-0005-0000-0000-000010980000}"/>
    <cellStyle name="输出 2 6 5 8 5" xfId="8075" xr:uid="{00000000-0005-0000-0000-0000BB1F0000}"/>
    <cellStyle name="输出 2 6 5 9" xfId="41318" xr:uid="{00000000-0005-0000-0000-000096A10000}"/>
    <cellStyle name="输出 2 6 5 9 2" xfId="533" xr:uid="{00000000-0005-0000-0000-000044020000}"/>
    <cellStyle name="输出 2 6 6" xfId="41321" xr:uid="{00000000-0005-0000-0000-000099A10000}"/>
    <cellStyle name="输出 2 6 6 10" xfId="12606" xr:uid="{00000000-0005-0000-0000-00006E310000}"/>
    <cellStyle name="输出 2 6 6 10 2" xfId="12616" xr:uid="{00000000-0005-0000-0000-000078310000}"/>
    <cellStyle name="输出 2 6 6 11" xfId="12628" xr:uid="{00000000-0005-0000-0000-000084310000}"/>
    <cellStyle name="输出 2 6 6 11 2" xfId="12638" xr:uid="{00000000-0005-0000-0000-00008E310000}"/>
    <cellStyle name="输出 2 6 6 12" xfId="12651" xr:uid="{00000000-0005-0000-0000-00009B310000}"/>
    <cellStyle name="输出 2 6 6 12 2" xfId="15545" xr:uid="{00000000-0005-0000-0000-0000E93C0000}"/>
    <cellStyle name="输出 2 6 6 13" xfId="15553" xr:uid="{00000000-0005-0000-0000-0000F13C0000}"/>
    <cellStyle name="输出 2 6 6 14" xfId="8317" xr:uid="{00000000-0005-0000-0000-0000AD200000}"/>
    <cellStyle name="输出 2 6 6 15" xfId="19897" xr:uid="{00000000-0005-0000-0000-0000E94D0000}"/>
    <cellStyle name="输出 2 6 6 16" xfId="32954" xr:uid="{00000000-0005-0000-0000-0000EA800000}"/>
    <cellStyle name="输出 2 6 6 2" xfId="34009" xr:uid="{00000000-0005-0000-0000-000009850000}"/>
    <cellStyle name="输出 2 6 6 2 2" xfId="36021" xr:uid="{00000000-0005-0000-0000-0000E58C0000}"/>
    <cellStyle name="输出 2 6 6 2 2 2" xfId="36023" xr:uid="{00000000-0005-0000-0000-0000E78C0000}"/>
    <cellStyle name="输出 2 6 6 2 3" xfId="36036" xr:uid="{00000000-0005-0000-0000-0000F48C0000}"/>
    <cellStyle name="输出 2 6 6 2 3 2" xfId="36038" xr:uid="{00000000-0005-0000-0000-0000F68C0000}"/>
    <cellStyle name="输出 2 6 6 2 4" xfId="36050" xr:uid="{00000000-0005-0000-0000-0000028D0000}"/>
    <cellStyle name="输出 2 6 6 2 4 2" xfId="36052" xr:uid="{00000000-0005-0000-0000-0000048D0000}"/>
    <cellStyle name="输出 2 6 6 2 5" xfId="36058" xr:uid="{00000000-0005-0000-0000-00000A8D0000}"/>
    <cellStyle name="输出 2 6 6 2 5 2" xfId="36060" xr:uid="{00000000-0005-0000-0000-00000C8D0000}"/>
    <cellStyle name="输出 2 6 6 2 6" xfId="36062" xr:uid="{00000000-0005-0000-0000-00000E8D0000}"/>
    <cellStyle name="输出 2 6 6 2 7" xfId="36067" xr:uid="{00000000-0005-0000-0000-0000138D0000}"/>
    <cellStyle name="输出 2 6 6 2 8" xfId="13001" xr:uid="{00000000-0005-0000-0000-0000F9320000}"/>
    <cellStyle name="输出 2 6 6 2 9" xfId="41322" xr:uid="{00000000-0005-0000-0000-00009AA10000}"/>
    <cellStyle name="输出 2 6 6 3" xfId="32970" xr:uid="{00000000-0005-0000-0000-0000FA800000}"/>
    <cellStyle name="输出 2 6 6 3 2" xfId="32973" xr:uid="{00000000-0005-0000-0000-0000FD800000}"/>
    <cellStyle name="输出 2 6 6 3 2 2" xfId="32976" xr:uid="{00000000-0005-0000-0000-000000810000}"/>
    <cellStyle name="输出 2 6 6 3 3" xfId="32980" xr:uid="{00000000-0005-0000-0000-000004810000}"/>
    <cellStyle name="输出 2 6 6 3 3 2" xfId="32984" xr:uid="{00000000-0005-0000-0000-000008810000}"/>
    <cellStyle name="输出 2 6 6 3 4" xfId="32989" xr:uid="{00000000-0005-0000-0000-00000D810000}"/>
    <cellStyle name="输出 2 6 6 3 4 2" xfId="32993" xr:uid="{00000000-0005-0000-0000-000011810000}"/>
    <cellStyle name="输出 2 6 6 3 5" xfId="8162" xr:uid="{00000000-0005-0000-0000-000012200000}"/>
    <cellStyle name="输出 2 6 6 3 5 2" xfId="6889" xr:uid="{00000000-0005-0000-0000-0000191B0000}"/>
    <cellStyle name="输出 2 6 6 3 6" xfId="7441" xr:uid="{00000000-0005-0000-0000-0000411D0000}"/>
    <cellStyle name="输出 2 6 6 4" xfId="32997" xr:uid="{00000000-0005-0000-0000-000015810000}"/>
    <cellStyle name="输出 2 6 6 4 2" xfId="2884" xr:uid="{00000000-0005-0000-0000-0000740B0000}"/>
    <cellStyle name="输出 2 6 6 4 2 2" xfId="11082" xr:uid="{00000000-0005-0000-0000-00007A2B0000}"/>
    <cellStyle name="输出 2 6 6 4 3" xfId="2889" xr:uid="{00000000-0005-0000-0000-0000790B0000}"/>
    <cellStyle name="输出 2 6 6 4 3 2" xfId="32999" xr:uid="{00000000-0005-0000-0000-000017810000}"/>
    <cellStyle name="输出 2 6 6 4 4" xfId="2927" xr:uid="{00000000-0005-0000-0000-00009F0B0000}"/>
    <cellStyle name="输出 2 6 6 4 4 2" xfId="33002" xr:uid="{00000000-0005-0000-0000-00001A810000}"/>
    <cellStyle name="输出 2 6 6 4 5" xfId="8211" xr:uid="{00000000-0005-0000-0000-000043200000}"/>
    <cellStyle name="输出 2 6 6 4 5 2" xfId="8219" xr:uid="{00000000-0005-0000-0000-00004B200000}"/>
    <cellStyle name="输出 2 6 6 4 6" xfId="7457" xr:uid="{00000000-0005-0000-0000-0000511D0000}"/>
    <cellStyle name="输出 2 6 6 5" xfId="33005" xr:uid="{00000000-0005-0000-0000-00001D810000}"/>
    <cellStyle name="输出 2 6 6 5 2" xfId="14333" xr:uid="{00000000-0005-0000-0000-00002D380000}"/>
    <cellStyle name="输出 2 6 6 5 2 2" xfId="11283" xr:uid="{00000000-0005-0000-0000-0000432C0000}"/>
    <cellStyle name="输出 2 6 6 5 3" xfId="14337" xr:uid="{00000000-0005-0000-0000-000031380000}"/>
    <cellStyle name="输出 2 6 6 5 3 2" xfId="11325" xr:uid="{00000000-0005-0000-0000-00006D2C0000}"/>
    <cellStyle name="输出 2 6 6 5 4" xfId="33007" xr:uid="{00000000-0005-0000-0000-00001F810000}"/>
    <cellStyle name="输出 2 6 6 5 4 2" xfId="33009" xr:uid="{00000000-0005-0000-0000-000021810000}"/>
    <cellStyle name="输出 2 6 6 5 5" xfId="8260" xr:uid="{00000000-0005-0000-0000-000074200000}"/>
    <cellStyle name="输出 2 6 6 5 5 2" xfId="8266" xr:uid="{00000000-0005-0000-0000-00007A200000}"/>
    <cellStyle name="输出 2 6 6 5 6" xfId="7467" xr:uid="{00000000-0005-0000-0000-00005B1D0000}"/>
    <cellStyle name="输出 2 6 6 6" xfId="33011" xr:uid="{00000000-0005-0000-0000-000023810000}"/>
    <cellStyle name="输出 2 6 6 6 2" xfId="14349" xr:uid="{00000000-0005-0000-0000-00003D380000}"/>
    <cellStyle name="输出 2 6 6 6 2 2" xfId="14358" xr:uid="{00000000-0005-0000-0000-000046380000}"/>
    <cellStyle name="输出 2 6 6 6 3" xfId="14361" xr:uid="{00000000-0005-0000-0000-000049380000}"/>
    <cellStyle name="输出 2 6 6 6 3 2" xfId="33013" xr:uid="{00000000-0005-0000-0000-000025810000}"/>
    <cellStyle name="输出 2 6 6 6 4" xfId="33015" xr:uid="{00000000-0005-0000-0000-000027810000}"/>
    <cellStyle name="输出 2 6 6 6 4 2" xfId="33017" xr:uid="{00000000-0005-0000-0000-000029810000}"/>
    <cellStyle name="输出 2 6 6 6 5" xfId="8310" xr:uid="{00000000-0005-0000-0000-0000A6200000}"/>
    <cellStyle name="输出 2 6 6 6 5 2" xfId="8323" xr:uid="{00000000-0005-0000-0000-0000B3200000}"/>
    <cellStyle name="输出 2 6 6 6 6" xfId="7478" xr:uid="{00000000-0005-0000-0000-0000661D0000}"/>
    <cellStyle name="输出 2 6 6 7" xfId="33019" xr:uid="{00000000-0005-0000-0000-00002B810000}"/>
    <cellStyle name="输出 2 6 6 7 2" xfId="14378" xr:uid="{00000000-0005-0000-0000-00005A380000}"/>
    <cellStyle name="输出 2 6 6 7 2 2" xfId="1868" xr:uid="{00000000-0005-0000-0000-00007C070000}"/>
    <cellStyle name="输出 2 6 6 7 3" xfId="14382" xr:uid="{00000000-0005-0000-0000-00005E380000}"/>
    <cellStyle name="输出 2 6 6 7 3 2" xfId="33022" xr:uid="{00000000-0005-0000-0000-00002E810000}"/>
    <cellStyle name="输出 2 6 6 7 4" xfId="33024" xr:uid="{00000000-0005-0000-0000-000030810000}"/>
    <cellStyle name="输出 2 6 6 7 4 2" xfId="33027" xr:uid="{00000000-0005-0000-0000-000033810000}"/>
    <cellStyle name="输出 2 6 6 7 5" xfId="4549" xr:uid="{00000000-0005-0000-0000-0000F5110000}"/>
    <cellStyle name="输出 2 6 6 7 5 2" xfId="8359" xr:uid="{00000000-0005-0000-0000-0000D7200000}"/>
    <cellStyle name="输出 2 6 6 7 6" xfId="8370" xr:uid="{00000000-0005-0000-0000-0000E2200000}"/>
    <cellStyle name="输出 2 6 6 8" xfId="28532" xr:uid="{00000000-0005-0000-0000-0000A46F0000}"/>
    <cellStyle name="输出 2 6 6 8 2" xfId="5353" xr:uid="{00000000-0005-0000-0000-000019150000}"/>
    <cellStyle name="输出 2 6 6 8 2 2" xfId="14405" xr:uid="{00000000-0005-0000-0000-000075380000}"/>
    <cellStyle name="输出 2 6 6 8 3" xfId="14410" xr:uid="{00000000-0005-0000-0000-00007A380000}"/>
    <cellStyle name="输出 2 6 6 8 3 2" xfId="33029" xr:uid="{00000000-0005-0000-0000-000035810000}"/>
    <cellStyle name="输出 2 6 6 8 4" xfId="33033" xr:uid="{00000000-0005-0000-0000-000039810000}"/>
    <cellStyle name="输出 2 6 6 8 4 2" xfId="33037" xr:uid="{00000000-0005-0000-0000-00003D810000}"/>
    <cellStyle name="输出 2 6 6 8 5" xfId="4575" xr:uid="{00000000-0005-0000-0000-00000F120000}"/>
    <cellStyle name="输出 2 6 6 9" xfId="33040" xr:uid="{00000000-0005-0000-0000-000040810000}"/>
    <cellStyle name="输出 2 6 6 9 2" xfId="9893" xr:uid="{00000000-0005-0000-0000-0000D5260000}"/>
    <cellStyle name="输出 2 6 7" xfId="36439" xr:uid="{00000000-0005-0000-0000-0000878E0000}"/>
    <cellStyle name="输出 2 6 7 10" xfId="41324" xr:uid="{00000000-0005-0000-0000-00009CA10000}"/>
    <cellStyle name="输出 2 6 7 10 2" xfId="41325" xr:uid="{00000000-0005-0000-0000-00009DA10000}"/>
    <cellStyle name="输出 2 6 7 11" xfId="41327" xr:uid="{00000000-0005-0000-0000-00009FA10000}"/>
    <cellStyle name="输出 2 6 7 11 2" xfId="41328" xr:uid="{00000000-0005-0000-0000-0000A0A10000}"/>
    <cellStyle name="输出 2 6 7 12" xfId="41330" xr:uid="{00000000-0005-0000-0000-0000A2A10000}"/>
    <cellStyle name="输出 2 6 7 12 2" xfId="41331" xr:uid="{00000000-0005-0000-0000-0000A3A10000}"/>
    <cellStyle name="输出 2 6 7 13" xfId="41333" xr:uid="{00000000-0005-0000-0000-0000A5A10000}"/>
    <cellStyle name="输出 2 6 7 14" xfId="41334" xr:uid="{00000000-0005-0000-0000-0000A6A10000}"/>
    <cellStyle name="输出 2 6 7 15" xfId="33052" xr:uid="{00000000-0005-0000-0000-00004C810000}"/>
    <cellStyle name="输出 2 6 7 16" xfId="12018" xr:uid="{00000000-0005-0000-0000-0000222F0000}"/>
    <cellStyle name="输出 2 6 7 2" xfId="41336" xr:uid="{00000000-0005-0000-0000-0000A8A10000}"/>
    <cellStyle name="输出 2 6 7 2 2" xfId="36386" xr:uid="{00000000-0005-0000-0000-0000528E0000}"/>
    <cellStyle name="输出 2 6 7 2 2 2" xfId="36388" xr:uid="{00000000-0005-0000-0000-0000548E0000}"/>
    <cellStyle name="输出 2 6 7 2 3" xfId="36398" xr:uid="{00000000-0005-0000-0000-00005E8E0000}"/>
    <cellStyle name="输出 2 6 7 2 3 2" xfId="36400" xr:uid="{00000000-0005-0000-0000-0000608E0000}"/>
    <cellStyle name="输出 2 6 7 2 4" xfId="36411" xr:uid="{00000000-0005-0000-0000-00006B8E0000}"/>
    <cellStyle name="输出 2 6 7 2 4 2" xfId="36414" xr:uid="{00000000-0005-0000-0000-00006E8E0000}"/>
    <cellStyle name="输出 2 6 7 2 5" xfId="36422" xr:uid="{00000000-0005-0000-0000-0000768E0000}"/>
    <cellStyle name="输出 2 6 7 2 5 2" xfId="36424" xr:uid="{00000000-0005-0000-0000-0000788E0000}"/>
    <cellStyle name="输出 2 6 7 2 6" xfId="36426" xr:uid="{00000000-0005-0000-0000-00007A8E0000}"/>
    <cellStyle name="输出 2 6 7 2 7" xfId="36431" xr:uid="{00000000-0005-0000-0000-00007F8E0000}"/>
    <cellStyle name="输出 2 6 7 2 8" xfId="36434" xr:uid="{00000000-0005-0000-0000-0000828E0000}"/>
    <cellStyle name="输出 2 6 7 2 9" xfId="41338" xr:uid="{00000000-0005-0000-0000-0000AAA10000}"/>
    <cellStyle name="输出 2 6 7 3" xfId="33076" xr:uid="{00000000-0005-0000-0000-000064810000}"/>
    <cellStyle name="输出 2 6 7 3 2" xfId="33078" xr:uid="{00000000-0005-0000-0000-000066810000}"/>
    <cellStyle name="输出 2 6 7 3 2 2" xfId="33081" xr:uid="{00000000-0005-0000-0000-000069810000}"/>
    <cellStyle name="输出 2 6 7 3 3" xfId="33085" xr:uid="{00000000-0005-0000-0000-00006D810000}"/>
    <cellStyle name="输出 2 6 7 3 3 2" xfId="33088" xr:uid="{00000000-0005-0000-0000-000070810000}"/>
    <cellStyle name="输出 2 6 7 3 4" xfId="33092" xr:uid="{00000000-0005-0000-0000-000074810000}"/>
    <cellStyle name="输出 2 6 7 3 4 2" xfId="33095" xr:uid="{00000000-0005-0000-0000-000077810000}"/>
    <cellStyle name="输出 2 6 7 3 5" xfId="8509" xr:uid="{00000000-0005-0000-0000-00006D210000}"/>
    <cellStyle name="输出 2 6 7 3 5 2" xfId="6438" xr:uid="{00000000-0005-0000-0000-000056190000}"/>
    <cellStyle name="输出 2 6 7 3 6" xfId="7503" xr:uid="{00000000-0005-0000-0000-00007F1D0000}"/>
    <cellStyle name="输出 2 6 7 4" xfId="33099" xr:uid="{00000000-0005-0000-0000-00007B810000}"/>
    <cellStyle name="输出 2 6 7 4 2" xfId="13068" xr:uid="{00000000-0005-0000-0000-00003C330000}"/>
    <cellStyle name="输出 2 6 7 4 2 2" xfId="11574" xr:uid="{00000000-0005-0000-0000-0000662D0000}"/>
    <cellStyle name="输出 2 6 7 4 3" xfId="13179" xr:uid="{00000000-0005-0000-0000-0000AB330000}"/>
    <cellStyle name="输出 2 6 7 4 3 2" xfId="33101" xr:uid="{00000000-0005-0000-0000-00007D810000}"/>
    <cellStyle name="输出 2 6 7 4 4" xfId="131" xr:uid="{00000000-0005-0000-0000-00008D000000}"/>
    <cellStyle name="输出 2 6 7 4 4 2" xfId="33106" xr:uid="{00000000-0005-0000-0000-000082810000}"/>
    <cellStyle name="输出 2 6 7 4 5" xfId="8532" xr:uid="{00000000-0005-0000-0000-000084210000}"/>
    <cellStyle name="输出 2 6 7 4 5 2" xfId="8542" xr:uid="{00000000-0005-0000-0000-00008E210000}"/>
    <cellStyle name="输出 2 6 7 4 6" xfId="7513" xr:uid="{00000000-0005-0000-0000-0000891D0000}"/>
    <cellStyle name="输出 2 6 7 5" xfId="33111" xr:uid="{00000000-0005-0000-0000-000087810000}"/>
    <cellStyle name="输出 2 6 7 5 2" xfId="14462" xr:uid="{00000000-0005-0000-0000-0000AE380000}"/>
    <cellStyle name="输出 2 6 7 5 2 2" xfId="14467" xr:uid="{00000000-0005-0000-0000-0000B3380000}"/>
    <cellStyle name="输出 2 6 7 5 3" xfId="14482" xr:uid="{00000000-0005-0000-0000-0000C2380000}"/>
    <cellStyle name="输出 2 6 7 5 3 2" xfId="32741" xr:uid="{00000000-0005-0000-0000-000015800000}"/>
    <cellStyle name="输出 2 6 7 5 4" xfId="33113" xr:uid="{00000000-0005-0000-0000-000089810000}"/>
    <cellStyle name="输出 2 6 7 5 4 2" xfId="32756" xr:uid="{00000000-0005-0000-0000-000024800000}"/>
    <cellStyle name="输出 2 6 7 5 5" xfId="8583" xr:uid="{00000000-0005-0000-0000-0000B7210000}"/>
    <cellStyle name="输出 2 6 7 5 5 2" xfId="3865" xr:uid="{00000000-0005-0000-0000-0000490F0000}"/>
    <cellStyle name="输出 2 6 7 5 6" xfId="7531" xr:uid="{00000000-0005-0000-0000-00009B1D0000}"/>
    <cellStyle name="输出 2 6 7 6" xfId="33115" xr:uid="{00000000-0005-0000-0000-00008B810000}"/>
    <cellStyle name="输出 2 6 7 6 2" xfId="14500" xr:uid="{00000000-0005-0000-0000-0000D4380000}"/>
    <cellStyle name="输出 2 6 7 6 2 2" xfId="14506" xr:uid="{00000000-0005-0000-0000-0000DA380000}"/>
    <cellStyle name="输出 2 6 7 6 3" xfId="14514" xr:uid="{00000000-0005-0000-0000-0000E2380000}"/>
    <cellStyle name="输出 2 6 7 6 3 2" xfId="32832" xr:uid="{00000000-0005-0000-0000-000070800000}"/>
    <cellStyle name="输出 2 6 7 6 4" xfId="33117" xr:uid="{00000000-0005-0000-0000-00008D810000}"/>
    <cellStyle name="输出 2 6 7 6 4 2" xfId="32845" xr:uid="{00000000-0005-0000-0000-00007D800000}"/>
    <cellStyle name="输出 2 6 7 6 5" xfId="8604" xr:uid="{00000000-0005-0000-0000-0000CC210000}"/>
    <cellStyle name="输出 2 6 7 6 5 2" xfId="4333" xr:uid="{00000000-0005-0000-0000-00001D110000}"/>
    <cellStyle name="输出 2 6 7 6 6" xfId="7546" xr:uid="{00000000-0005-0000-0000-0000AA1D0000}"/>
    <cellStyle name="输出 2 6 7 7" xfId="33119" xr:uid="{00000000-0005-0000-0000-00008F810000}"/>
    <cellStyle name="输出 2 6 7 7 2" xfId="14540" xr:uid="{00000000-0005-0000-0000-0000FC380000}"/>
    <cellStyle name="输出 2 6 7 7 2 2" xfId="14548" xr:uid="{00000000-0005-0000-0000-000004390000}"/>
    <cellStyle name="输出 2 6 7 7 3" xfId="14554" xr:uid="{00000000-0005-0000-0000-00000A390000}"/>
    <cellStyle name="输出 2 6 7 7 3 2" xfId="33122" xr:uid="{00000000-0005-0000-0000-000092810000}"/>
    <cellStyle name="输出 2 6 7 7 4" xfId="33124" xr:uid="{00000000-0005-0000-0000-000094810000}"/>
    <cellStyle name="输出 2 6 7 7 4 2" xfId="33127" xr:uid="{00000000-0005-0000-0000-000097810000}"/>
    <cellStyle name="输出 2 6 7 7 5" xfId="8639" xr:uid="{00000000-0005-0000-0000-0000EF210000}"/>
    <cellStyle name="输出 2 6 7 7 5 2" xfId="4659" xr:uid="{00000000-0005-0000-0000-000063120000}"/>
    <cellStyle name="输出 2 6 7 7 6" xfId="8644" xr:uid="{00000000-0005-0000-0000-0000F4210000}"/>
    <cellStyle name="输出 2 6 7 8" xfId="25067" xr:uid="{00000000-0005-0000-0000-00001B620000}"/>
    <cellStyle name="输出 2 6 7 8 2" xfId="5368" xr:uid="{00000000-0005-0000-0000-000028150000}"/>
    <cellStyle name="输出 2 6 7 8 2 2" xfId="14572" xr:uid="{00000000-0005-0000-0000-00001C390000}"/>
    <cellStyle name="输出 2 6 7 8 3" xfId="14578" xr:uid="{00000000-0005-0000-0000-000022390000}"/>
    <cellStyle name="输出 2 6 7 8 3 2" xfId="33129" xr:uid="{00000000-0005-0000-0000-000099810000}"/>
    <cellStyle name="输出 2 6 7 8 4" xfId="33131" xr:uid="{00000000-0005-0000-0000-00009B810000}"/>
    <cellStyle name="输出 2 6 7 8 4 2" xfId="33134" xr:uid="{00000000-0005-0000-0000-00009E810000}"/>
    <cellStyle name="输出 2 6 7 8 5" xfId="5664" xr:uid="{00000000-0005-0000-0000-000050160000}"/>
    <cellStyle name="输出 2 6 7 9" xfId="33136" xr:uid="{00000000-0005-0000-0000-0000A0810000}"/>
    <cellStyle name="输出 2 6 7 9 2" xfId="9935" xr:uid="{00000000-0005-0000-0000-0000FF260000}"/>
    <cellStyle name="输出 2 6 8" xfId="35410" xr:uid="{00000000-0005-0000-0000-0000828A0000}"/>
    <cellStyle name="输出 2 6 8 10" xfId="32898" xr:uid="{00000000-0005-0000-0000-0000B2800000}"/>
    <cellStyle name="输出 2 6 8 10 2" xfId="32900" xr:uid="{00000000-0005-0000-0000-0000B4800000}"/>
    <cellStyle name="输出 2 6 8 11" xfId="32903" xr:uid="{00000000-0005-0000-0000-0000B7800000}"/>
    <cellStyle name="输出 2 6 8 11 2" xfId="41340" xr:uid="{00000000-0005-0000-0000-0000ACA10000}"/>
    <cellStyle name="输出 2 6 8 12" xfId="32905" xr:uid="{00000000-0005-0000-0000-0000B9800000}"/>
    <cellStyle name="输出 2 6 8 12 2" xfId="41341" xr:uid="{00000000-0005-0000-0000-0000ADA10000}"/>
    <cellStyle name="输出 2 6 8 13" xfId="32908" xr:uid="{00000000-0005-0000-0000-0000BC800000}"/>
    <cellStyle name="输出 2 6 8 14" xfId="32911" xr:uid="{00000000-0005-0000-0000-0000BF800000}"/>
    <cellStyle name="输出 2 6 8 15" xfId="33149" xr:uid="{00000000-0005-0000-0000-0000AD810000}"/>
    <cellStyle name="输出 2 6 8 16" xfId="124" xr:uid="{00000000-0005-0000-0000-000086000000}"/>
    <cellStyle name="输出 2 6 8 2" xfId="41342" xr:uid="{00000000-0005-0000-0000-0000AEA10000}"/>
    <cellStyle name="输出 2 6 8 2 2" xfId="36807" xr:uid="{00000000-0005-0000-0000-0000F78F0000}"/>
    <cellStyle name="输出 2 6 8 2 2 2" xfId="36809" xr:uid="{00000000-0005-0000-0000-0000F98F0000}"/>
    <cellStyle name="输出 2 6 8 2 3" xfId="36825" xr:uid="{00000000-0005-0000-0000-000009900000}"/>
    <cellStyle name="输出 2 6 8 2 3 2" xfId="36827" xr:uid="{00000000-0005-0000-0000-00000B900000}"/>
    <cellStyle name="输出 2 6 8 2 4" xfId="198" xr:uid="{00000000-0005-0000-0000-0000D6000000}"/>
    <cellStyle name="输出 2 6 8 2 4 2" xfId="29537" xr:uid="{00000000-0005-0000-0000-000091730000}"/>
    <cellStyle name="输出 2 6 8 2 5" xfId="36834" xr:uid="{00000000-0005-0000-0000-000012900000}"/>
    <cellStyle name="输出 2 6 8 2 5 2" xfId="36836" xr:uid="{00000000-0005-0000-0000-000014900000}"/>
    <cellStyle name="输出 2 6 8 2 6" xfId="36838" xr:uid="{00000000-0005-0000-0000-000016900000}"/>
    <cellStyle name="输出 2 6 8 2 7" xfId="5458" xr:uid="{00000000-0005-0000-0000-000082150000}"/>
    <cellStyle name="输出 2 6 8 2 8" xfId="36842" xr:uid="{00000000-0005-0000-0000-00001A900000}"/>
    <cellStyle name="输出 2 6 8 2 9" xfId="41344" xr:uid="{00000000-0005-0000-0000-0000B0A10000}"/>
    <cellStyle name="输出 2 6 8 3" xfId="33161" xr:uid="{00000000-0005-0000-0000-0000B9810000}"/>
    <cellStyle name="输出 2 6 8 3 2" xfId="33163" xr:uid="{00000000-0005-0000-0000-0000BB810000}"/>
    <cellStyle name="输出 2 6 8 3 2 2" xfId="33166" xr:uid="{00000000-0005-0000-0000-0000BE810000}"/>
    <cellStyle name="输出 2 6 8 3 3" xfId="33169" xr:uid="{00000000-0005-0000-0000-0000C1810000}"/>
    <cellStyle name="输出 2 6 8 3 3 2" xfId="33172" xr:uid="{00000000-0005-0000-0000-0000C4810000}"/>
    <cellStyle name="输出 2 6 8 3 4" xfId="33175" xr:uid="{00000000-0005-0000-0000-0000C7810000}"/>
    <cellStyle name="输出 2 6 8 3 4 2" xfId="33178" xr:uid="{00000000-0005-0000-0000-0000CA810000}"/>
    <cellStyle name="输出 2 6 8 3 5" xfId="8720" xr:uid="{00000000-0005-0000-0000-000040220000}"/>
    <cellStyle name="输出 2 6 8 3 5 2" xfId="1688" xr:uid="{00000000-0005-0000-0000-0000C8060000}"/>
    <cellStyle name="输出 2 6 8 3 6" xfId="7566" xr:uid="{00000000-0005-0000-0000-0000BE1D0000}"/>
    <cellStyle name="输出 2 6 8 4" xfId="13320" xr:uid="{00000000-0005-0000-0000-000038340000}"/>
    <cellStyle name="输出 2 6 8 4 2" xfId="13323" xr:uid="{00000000-0005-0000-0000-00003B340000}"/>
    <cellStyle name="输出 2 6 8 4 2 2" xfId="12356" xr:uid="{00000000-0005-0000-0000-000074300000}"/>
    <cellStyle name="输出 2 6 8 4 3" xfId="14669" xr:uid="{00000000-0005-0000-0000-00007D390000}"/>
    <cellStyle name="输出 2 6 8 4 3 2" xfId="33181" xr:uid="{00000000-0005-0000-0000-0000CD810000}"/>
    <cellStyle name="输出 2 6 8 4 4" xfId="3059" xr:uid="{00000000-0005-0000-0000-0000230C0000}"/>
    <cellStyle name="输出 2 6 8 4 4 2" xfId="33185" xr:uid="{00000000-0005-0000-0000-0000D1810000}"/>
    <cellStyle name="输出 2 6 8 4 5" xfId="8743" xr:uid="{00000000-0005-0000-0000-000057220000}"/>
    <cellStyle name="输出 2 6 8 4 5 2" xfId="8754" xr:uid="{00000000-0005-0000-0000-000062220000}"/>
    <cellStyle name="输出 2 6 8 4 6" xfId="7580" xr:uid="{00000000-0005-0000-0000-0000CC1D0000}"/>
    <cellStyle name="输出 2 6 8 5" xfId="5378" xr:uid="{00000000-0005-0000-0000-000032150000}"/>
    <cellStyle name="输出 2 6 8 5 2" xfId="5387" xr:uid="{00000000-0005-0000-0000-00003B150000}"/>
    <cellStyle name="输出 2 6 8 5 2 2" xfId="14685" xr:uid="{00000000-0005-0000-0000-00008D390000}"/>
    <cellStyle name="输出 2 6 8 5 3" xfId="14688" xr:uid="{00000000-0005-0000-0000-000090390000}"/>
    <cellStyle name="输出 2 6 8 5 3 2" xfId="33189" xr:uid="{00000000-0005-0000-0000-0000D5810000}"/>
    <cellStyle name="输出 2 6 8 5 4" xfId="33192" xr:uid="{00000000-0005-0000-0000-0000D8810000}"/>
    <cellStyle name="输出 2 6 8 5 4 2" xfId="33194" xr:uid="{00000000-0005-0000-0000-0000DA810000}"/>
    <cellStyle name="输出 2 6 8 5 5" xfId="8763" xr:uid="{00000000-0005-0000-0000-00006B220000}"/>
    <cellStyle name="输出 2 6 8 5 5 2" xfId="7676" xr:uid="{00000000-0005-0000-0000-00002C1E0000}"/>
    <cellStyle name="输出 2 6 8 5 6" xfId="7592" xr:uid="{00000000-0005-0000-0000-0000D81D0000}"/>
    <cellStyle name="输出 2 6 8 6" xfId="5393" xr:uid="{00000000-0005-0000-0000-000041150000}"/>
    <cellStyle name="输出 2 6 8 6 2" xfId="3319" xr:uid="{00000000-0005-0000-0000-0000270D0000}"/>
    <cellStyle name="输出 2 6 8 6 2 2" xfId="3333" xr:uid="{00000000-0005-0000-0000-0000350D0000}"/>
    <cellStyle name="输出 2 6 8 6 3" xfId="2681" xr:uid="{00000000-0005-0000-0000-0000A90A0000}"/>
    <cellStyle name="输出 2 6 8 6 3 2" xfId="33196" xr:uid="{00000000-0005-0000-0000-0000DC810000}"/>
    <cellStyle name="输出 2 6 8 6 4" xfId="33199" xr:uid="{00000000-0005-0000-0000-0000DF810000}"/>
    <cellStyle name="输出 2 6 8 6 4 2" xfId="33201" xr:uid="{00000000-0005-0000-0000-0000E1810000}"/>
    <cellStyle name="输出 2 6 8 6 5" xfId="3458" xr:uid="{00000000-0005-0000-0000-0000B20D0000}"/>
    <cellStyle name="输出 2 6 8 6 5 2" xfId="3465" xr:uid="{00000000-0005-0000-0000-0000B90D0000}"/>
    <cellStyle name="输出 2 6 8 6 6" xfId="3482" xr:uid="{00000000-0005-0000-0000-0000CA0D0000}"/>
    <cellStyle name="输出 2 6 8 7" xfId="5405" xr:uid="{00000000-0005-0000-0000-00004D150000}"/>
    <cellStyle name="输出 2 6 8 7 2" xfId="14698" xr:uid="{00000000-0005-0000-0000-00009A390000}"/>
    <cellStyle name="输出 2 6 8 7 2 2" xfId="14704" xr:uid="{00000000-0005-0000-0000-0000A0390000}"/>
    <cellStyle name="输出 2 6 8 7 3" xfId="14708" xr:uid="{00000000-0005-0000-0000-0000A4390000}"/>
    <cellStyle name="输出 2 6 8 7 3 2" xfId="33203" xr:uid="{00000000-0005-0000-0000-0000E3810000}"/>
    <cellStyle name="输出 2 6 8 7 4" xfId="33205" xr:uid="{00000000-0005-0000-0000-0000E5810000}"/>
    <cellStyle name="输出 2 6 8 7 4 2" xfId="33208" xr:uid="{00000000-0005-0000-0000-0000E8810000}"/>
    <cellStyle name="输出 2 6 8 7 5" xfId="8783" xr:uid="{00000000-0005-0000-0000-00007F220000}"/>
    <cellStyle name="输出 2 6 8 7 5 2" xfId="8114" xr:uid="{00000000-0005-0000-0000-0000E21F0000}"/>
    <cellStyle name="输出 2 6 8 7 6" xfId="236" xr:uid="{00000000-0005-0000-0000-000001010000}"/>
    <cellStyle name="输出 2 6 8 8" xfId="754" xr:uid="{00000000-0005-0000-0000-000022030000}"/>
    <cellStyle name="输出 2 6 8 8 2" xfId="9977" xr:uid="{00000000-0005-0000-0000-000029270000}"/>
    <cellStyle name="输出 2 6 8 8 2 2" xfId="14721" xr:uid="{00000000-0005-0000-0000-0000B1390000}"/>
    <cellStyle name="输出 2 6 8 8 3" xfId="14725" xr:uid="{00000000-0005-0000-0000-0000B5390000}"/>
    <cellStyle name="输出 2 6 8 8 3 2" xfId="33210" xr:uid="{00000000-0005-0000-0000-0000EA810000}"/>
    <cellStyle name="输出 2 6 8 8 4" xfId="33212" xr:uid="{00000000-0005-0000-0000-0000EC810000}"/>
    <cellStyle name="输出 2 6 8 8 4 2" xfId="33215" xr:uid="{00000000-0005-0000-0000-0000EF810000}"/>
    <cellStyle name="输出 2 6 8 8 5" xfId="5765" xr:uid="{00000000-0005-0000-0000-0000B5160000}"/>
    <cellStyle name="输出 2 6 8 9" xfId="598" xr:uid="{00000000-0005-0000-0000-000086020000}"/>
    <cellStyle name="输出 2 6 8 9 2" xfId="9988" xr:uid="{00000000-0005-0000-0000-000034270000}"/>
    <cellStyle name="输出 2 6 9" xfId="41346" xr:uid="{00000000-0005-0000-0000-0000B2A10000}"/>
    <cellStyle name="输出 2 6 9 10" xfId="19570" xr:uid="{00000000-0005-0000-0000-0000A24C0000}"/>
    <cellStyle name="输出 2 6 9 10 2" xfId="19576" xr:uid="{00000000-0005-0000-0000-0000A84C0000}"/>
    <cellStyle name="输出 2 6 9 11" xfId="19589" xr:uid="{00000000-0005-0000-0000-0000B54C0000}"/>
    <cellStyle name="输出 2 6 9 11 2" xfId="19594" xr:uid="{00000000-0005-0000-0000-0000BA4C0000}"/>
    <cellStyle name="输出 2 6 9 12" xfId="13214" xr:uid="{00000000-0005-0000-0000-0000CE330000}"/>
    <cellStyle name="输出 2 6 9 12 2" xfId="19602" xr:uid="{00000000-0005-0000-0000-0000C24C0000}"/>
    <cellStyle name="输出 2 6 9 13" xfId="41348" xr:uid="{00000000-0005-0000-0000-0000B4A10000}"/>
    <cellStyle name="输出 2 6 9 14" xfId="41349" xr:uid="{00000000-0005-0000-0000-0000B5A10000}"/>
    <cellStyle name="输出 2 6 9 15" xfId="33225" xr:uid="{00000000-0005-0000-0000-0000F9810000}"/>
    <cellStyle name="输出 2 6 9 16" xfId="33228" xr:uid="{00000000-0005-0000-0000-0000FC810000}"/>
    <cellStyle name="输出 2 6 9 2" xfId="41351" xr:uid="{00000000-0005-0000-0000-0000B7A10000}"/>
    <cellStyle name="输出 2 6 9 2 2" xfId="37277" xr:uid="{00000000-0005-0000-0000-0000CD910000}"/>
    <cellStyle name="输出 2 6 9 2 2 2" xfId="37279" xr:uid="{00000000-0005-0000-0000-0000CF910000}"/>
    <cellStyle name="输出 2 6 9 2 3" xfId="37297" xr:uid="{00000000-0005-0000-0000-0000E1910000}"/>
    <cellStyle name="输出 2 6 9 2 3 2" xfId="37299" xr:uid="{00000000-0005-0000-0000-0000E3910000}"/>
    <cellStyle name="输出 2 6 9 2 4" xfId="3111" xr:uid="{00000000-0005-0000-0000-0000570C0000}"/>
    <cellStyle name="输出 2 6 9 2 4 2" xfId="37311" xr:uid="{00000000-0005-0000-0000-0000EF910000}"/>
    <cellStyle name="输出 2 6 9 2 5" xfId="37318" xr:uid="{00000000-0005-0000-0000-0000F6910000}"/>
    <cellStyle name="输出 2 6 9 2 5 2" xfId="37320" xr:uid="{00000000-0005-0000-0000-0000F8910000}"/>
    <cellStyle name="输出 2 6 9 2 6" xfId="37322" xr:uid="{00000000-0005-0000-0000-0000FA910000}"/>
    <cellStyle name="输出 2 6 9 2 7" xfId="37326" xr:uid="{00000000-0005-0000-0000-0000FE910000}"/>
    <cellStyle name="输出 2 6 9 2 8" xfId="18538" xr:uid="{00000000-0005-0000-0000-00009A480000}"/>
    <cellStyle name="输出 2 6 9 2 9" xfId="41353" xr:uid="{00000000-0005-0000-0000-0000B9A10000}"/>
    <cellStyle name="输出 2 6 9 3" xfId="33235" xr:uid="{00000000-0005-0000-0000-000003820000}"/>
    <cellStyle name="输出 2 6 9 3 2" xfId="19405" xr:uid="{00000000-0005-0000-0000-0000FD4B0000}"/>
    <cellStyle name="输出 2 6 9 3 2 2" xfId="19410" xr:uid="{00000000-0005-0000-0000-0000024C0000}"/>
    <cellStyle name="输出 2 6 9 3 3" xfId="19414" xr:uid="{00000000-0005-0000-0000-0000064C0000}"/>
    <cellStyle name="输出 2 6 9 3 3 2" xfId="33237" xr:uid="{00000000-0005-0000-0000-000005820000}"/>
    <cellStyle name="输出 2 6 9 3 4" xfId="3122" xr:uid="{00000000-0005-0000-0000-0000620C0000}"/>
    <cellStyle name="输出 2 6 9 3 4 2" xfId="26302" xr:uid="{00000000-0005-0000-0000-0000EE660000}"/>
    <cellStyle name="输出 2 6 9 3 5" xfId="8876" xr:uid="{00000000-0005-0000-0000-0000DC220000}"/>
    <cellStyle name="输出 2 6 9 3 5 2" xfId="8891" xr:uid="{00000000-0005-0000-0000-0000EB220000}"/>
    <cellStyle name="输出 2 6 9 3 6" xfId="7628" xr:uid="{00000000-0005-0000-0000-0000FC1D0000}"/>
    <cellStyle name="输出 2 6 9 4" xfId="33241" xr:uid="{00000000-0005-0000-0000-000009820000}"/>
    <cellStyle name="输出 2 6 9 4 2" xfId="14816" xr:uid="{00000000-0005-0000-0000-0000103A0000}"/>
    <cellStyle name="输出 2 6 9 4 2 2" xfId="14820" xr:uid="{00000000-0005-0000-0000-0000143A0000}"/>
    <cellStyle name="输出 2 6 9 4 3" xfId="14824" xr:uid="{00000000-0005-0000-0000-0000183A0000}"/>
    <cellStyle name="输出 2 6 9 4 3 2" xfId="33243" xr:uid="{00000000-0005-0000-0000-00000B820000}"/>
    <cellStyle name="输出 2 6 9 4 4" xfId="3134" xr:uid="{00000000-0005-0000-0000-00006E0C0000}"/>
    <cellStyle name="输出 2 6 9 4 4 2" xfId="29246" xr:uid="{00000000-0005-0000-0000-00006E720000}"/>
    <cellStyle name="输出 2 6 9 4 5" xfId="8923" xr:uid="{00000000-0005-0000-0000-00000B230000}"/>
    <cellStyle name="输出 2 6 9 4 5 2" xfId="4726" xr:uid="{00000000-0005-0000-0000-0000A6120000}"/>
    <cellStyle name="输出 2 6 9 4 6" xfId="7646" xr:uid="{00000000-0005-0000-0000-00000E1E0000}"/>
    <cellStyle name="输出 2 6 9 5" xfId="23508" xr:uid="{00000000-0005-0000-0000-0000045C0000}"/>
    <cellStyle name="输出 2 6 9 5 2" xfId="14842" xr:uid="{00000000-0005-0000-0000-00002A3A0000}"/>
    <cellStyle name="输出 2 6 9 5 2 2" xfId="14845" xr:uid="{00000000-0005-0000-0000-00002D3A0000}"/>
    <cellStyle name="输出 2 6 9 5 3" xfId="14848" xr:uid="{00000000-0005-0000-0000-0000303A0000}"/>
    <cellStyle name="输出 2 6 9 5 3 2" xfId="33246" xr:uid="{00000000-0005-0000-0000-00000E820000}"/>
    <cellStyle name="输出 2 6 9 5 4" xfId="33248" xr:uid="{00000000-0005-0000-0000-000010820000}"/>
    <cellStyle name="输出 2 6 9 5 4 2" xfId="33250" xr:uid="{00000000-0005-0000-0000-000012820000}"/>
    <cellStyle name="输出 2 6 9 5 5" xfId="8972" xr:uid="{00000000-0005-0000-0000-00003C230000}"/>
    <cellStyle name="输出 2 6 9 5 5 2" xfId="2463" xr:uid="{00000000-0005-0000-0000-0000CF090000}"/>
    <cellStyle name="输出 2 6 9 5 6" xfId="7662" xr:uid="{00000000-0005-0000-0000-00001E1E0000}"/>
    <cellStyle name="输出 2 6 9 6" xfId="33252" xr:uid="{00000000-0005-0000-0000-000014820000}"/>
    <cellStyle name="输出 2 6 9 6 2" xfId="11848" xr:uid="{00000000-0005-0000-0000-0000782E0000}"/>
    <cellStyle name="输出 2 6 9 6 2 2" xfId="14853" xr:uid="{00000000-0005-0000-0000-0000353A0000}"/>
    <cellStyle name="输出 2 6 9 6 3" xfId="11855" xr:uid="{00000000-0005-0000-0000-00007F2E0000}"/>
    <cellStyle name="输出 2 6 9 6 3 2" xfId="33255" xr:uid="{00000000-0005-0000-0000-000017820000}"/>
    <cellStyle name="输出 2 6 9 6 4" xfId="33257" xr:uid="{00000000-0005-0000-0000-000019820000}"/>
    <cellStyle name="输出 2 6 9 6 4 2" xfId="33259" xr:uid="{00000000-0005-0000-0000-00001B820000}"/>
    <cellStyle name="输出 2 6 9 6 5" xfId="9006" xr:uid="{00000000-0005-0000-0000-00005E230000}"/>
    <cellStyle name="输出 2 6 9 6 5 2" xfId="2968" xr:uid="{00000000-0005-0000-0000-0000C80B0000}"/>
    <cellStyle name="输出 2 6 9 6 6" xfId="7671" xr:uid="{00000000-0005-0000-0000-0000271E0000}"/>
    <cellStyle name="输出 2 6 9 7" xfId="33261" xr:uid="{00000000-0005-0000-0000-00001D820000}"/>
    <cellStyle name="输出 2 6 9 7 2" xfId="14864" xr:uid="{00000000-0005-0000-0000-0000403A0000}"/>
    <cellStyle name="输出 2 6 9 7 2 2" xfId="14870" xr:uid="{00000000-0005-0000-0000-0000463A0000}"/>
    <cellStyle name="输出 2 6 9 7 3" xfId="14874" xr:uid="{00000000-0005-0000-0000-00004A3A0000}"/>
    <cellStyle name="输出 2 6 9 7 3 2" xfId="33264" xr:uid="{00000000-0005-0000-0000-000020820000}"/>
    <cellStyle name="输出 2 6 9 7 4" xfId="33266" xr:uid="{00000000-0005-0000-0000-000022820000}"/>
    <cellStyle name="输出 2 6 9 7 4 2" xfId="33268" xr:uid="{00000000-0005-0000-0000-000024820000}"/>
    <cellStyle name="输出 2 6 9 7 5" xfId="9037" xr:uid="{00000000-0005-0000-0000-00007D230000}"/>
    <cellStyle name="输出 2 6 9 7 5 2" xfId="9046" xr:uid="{00000000-0005-0000-0000-000086230000}"/>
    <cellStyle name="输出 2 6 9 7 6" xfId="9055" xr:uid="{00000000-0005-0000-0000-00008F230000}"/>
    <cellStyle name="输出 2 6 9 8" xfId="25084" xr:uid="{00000000-0005-0000-0000-00002C620000}"/>
    <cellStyle name="输出 2 6 9 8 2" xfId="10038" xr:uid="{00000000-0005-0000-0000-000066270000}"/>
    <cellStyle name="输出 2 6 9 8 2 2" xfId="14894" xr:uid="{00000000-0005-0000-0000-00005E3A0000}"/>
    <cellStyle name="输出 2 6 9 8 3" xfId="14899" xr:uid="{00000000-0005-0000-0000-0000633A0000}"/>
    <cellStyle name="输出 2 6 9 8 3 2" xfId="33270" xr:uid="{00000000-0005-0000-0000-000026820000}"/>
    <cellStyle name="输出 2 6 9 8 4" xfId="19612" xr:uid="{00000000-0005-0000-0000-0000CC4C0000}"/>
    <cellStyle name="输出 2 6 9 8 4 2" xfId="29803" xr:uid="{00000000-0005-0000-0000-00009B740000}"/>
    <cellStyle name="输出 2 6 9 8 5" xfId="5848" xr:uid="{00000000-0005-0000-0000-000008170000}"/>
    <cellStyle name="输出 2 6 9 9" xfId="33273" xr:uid="{00000000-0005-0000-0000-000029820000}"/>
    <cellStyle name="输出 2 6 9 9 2" xfId="10052" xr:uid="{00000000-0005-0000-0000-000074270000}"/>
    <cellStyle name="输出 2 7" xfId="41355" xr:uid="{00000000-0005-0000-0000-0000BBA10000}"/>
    <cellStyle name="输出 2 7 10" xfId="26500" xr:uid="{00000000-0005-0000-0000-0000B4670000}"/>
    <cellStyle name="输出 2 7 10 10" xfId="41356" xr:uid="{00000000-0005-0000-0000-0000BCA10000}"/>
    <cellStyle name="输出 2 7 10 10 2" xfId="14207" xr:uid="{00000000-0005-0000-0000-0000AF370000}"/>
    <cellStyle name="输出 2 7 10 11" xfId="41359" xr:uid="{00000000-0005-0000-0000-0000BFA10000}"/>
    <cellStyle name="输出 2 7 10 11 2" xfId="4718" xr:uid="{00000000-0005-0000-0000-00009E120000}"/>
    <cellStyle name="输出 2 7 10 12" xfId="11424" xr:uid="{00000000-0005-0000-0000-0000D02C0000}"/>
    <cellStyle name="输出 2 7 10 12 2" xfId="14517" xr:uid="{00000000-0005-0000-0000-0000E5380000}"/>
    <cellStyle name="输出 2 7 10 13" xfId="41362" xr:uid="{00000000-0005-0000-0000-0000C2A10000}"/>
    <cellStyle name="输出 2 7 10 14" xfId="41364" xr:uid="{00000000-0005-0000-0000-0000C4A10000}"/>
    <cellStyle name="输出 2 7 10 15" xfId="41366" xr:uid="{00000000-0005-0000-0000-0000C6A10000}"/>
    <cellStyle name="输出 2 7 10 16" xfId="41369" xr:uid="{00000000-0005-0000-0000-0000C9A10000}"/>
    <cellStyle name="输出 2 7 10 2" xfId="26504" xr:uid="{00000000-0005-0000-0000-0000B8670000}"/>
    <cellStyle name="输出 2 7 10 2 2" xfId="32690" xr:uid="{00000000-0005-0000-0000-0000E27F0000}"/>
    <cellStyle name="输出 2 7 10 2 2 2" xfId="34936" xr:uid="{00000000-0005-0000-0000-0000A8880000}"/>
    <cellStyle name="输出 2 7 10 2 3" xfId="28037" xr:uid="{00000000-0005-0000-0000-0000B56D0000}"/>
    <cellStyle name="输出 2 7 10 2 3 2" xfId="34938" xr:uid="{00000000-0005-0000-0000-0000AA880000}"/>
    <cellStyle name="输出 2 7 10 2 4" xfId="26065" xr:uid="{00000000-0005-0000-0000-000001660000}"/>
    <cellStyle name="输出 2 7 10 2 4 2" xfId="39925" xr:uid="{00000000-0005-0000-0000-0000259C0000}"/>
    <cellStyle name="输出 2 7 10 2 5" xfId="34500" xr:uid="{00000000-0005-0000-0000-0000F4860000}"/>
    <cellStyle name="输出 2 7 10 2 5 2" xfId="39937" xr:uid="{00000000-0005-0000-0000-0000319C0000}"/>
    <cellStyle name="输出 2 7 10 2 6" xfId="1093" xr:uid="{00000000-0005-0000-0000-000075040000}"/>
    <cellStyle name="输出 2 7 10 2 7" xfId="2149" xr:uid="{00000000-0005-0000-0000-000095080000}"/>
    <cellStyle name="输出 2 7 10 2 8" xfId="2176" xr:uid="{00000000-0005-0000-0000-0000B0080000}"/>
    <cellStyle name="输出 2 7 10 2 9" xfId="2186" xr:uid="{00000000-0005-0000-0000-0000BA080000}"/>
    <cellStyle name="输出 2 7 10 3" xfId="32693" xr:uid="{00000000-0005-0000-0000-0000E57F0000}"/>
    <cellStyle name="输出 2 7 10 3 2" xfId="32696" xr:uid="{00000000-0005-0000-0000-0000E87F0000}"/>
    <cellStyle name="输出 2 7 10 3 2 2" xfId="41371" xr:uid="{00000000-0005-0000-0000-0000CBA10000}"/>
    <cellStyle name="输出 2 7 10 3 3" xfId="28041" xr:uid="{00000000-0005-0000-0000-0000B96D0000}"/>
    <cellStyle name="输出 2 7 10 3 3 2" xfId="41373" xr:uid="{00000000-0005-0000-0000-0000CDA10000}"/>
    <cellStyle name="输出 2 7 10 3 4" xfId="26070" xr:uid="{00000000-0005-0000-0000-000006660000}"/>
    <cellStyle name="输出 2 7 10 3 4 2" xfId="39980" xr:uid="{00000000-0005-0000-0000-00005C9C0000}"/>
    <cellStyle name="输出 2 7 10 3 5" xfId="40006" xr:uid="{00000000-0005-0000-0000-0000769C0000}"/>
    <cellStyle name="输出 2 7 10 3 5 2" xfId="40010" xr:uid="{00000000-0005-0000-0000-00007A9C0000}"/>
    <cellStyle name="输出 2 7 10 3 6" xfId="1115" xr:uid="{00000000-0005-0000-0000-00008B040000}"/>
    <cellStyle name="输出 2 7 10 4" xfId="32700" xr:uid="{00000000-0005-0000-0000-0000EC7F0000}"/>
    <cellStyle name="输出 2 7 10 4 2" xfId="41375" xr:uid="{00000000-0005-0000-0000-0000CFA10000}"/>
    <cellStyle name="输出 2 7 10 4 2 2" xfId="37609" xr:uid="{00000000-0005-0000-0000-000019930000}"/>
    <cellStyle name="输出 2 7 10 4 3" xfId="28044" xr:uid="{00000000-0005-0000-0000-0000BC6D0000}"/>
    <cellStyle name="输出 2 7 10 4 3 2" xfId="41377" xr:uid="{00000000-0005-0000-0000-0000D1A10000}"/>
    <cellStyle name="输出 2 7 10 4 4" xfId="15197" xr:uid="{00000000-0005-0000-0000-00008D3B0000}"/>
    <cellStyle name="输出 2 7 10 4 4 2" xfId="40067" xr:uid="{00000000-0005-0000-0000-0000B39C0000}"/>
    <cellStyle name="输出 2 7 10 4 5" xfId="40069" xr:uid="{00000000-0005-0000-0000-0000B59C0000}"/>
    <cellStyle name="输出 2 7 10 4 5 2" xfId="40072" xr:uid="{00000000-0005-0000-0000-0000B89C0000}"/>
    <cellStyle name="输出 2 7 10 4 6" xfId="1144" xr:uid="{00000000-0005-0000-0000-0000A8040000}"/>
    <cellStyle name="输出 2 7 10 5" xfId="41378" xr:uid="{00000000-0005-0000-0000-0000D2A10000}"/>
    <cellStyle name="输出 2 7 10 5 2" xfId="41380" xr:uid="{00000000-0005-0000-0000-0000D4A10000}"/>
    <cellStyle name="输出 2 7 10 5 2 2" xfId="37972" xr:uid="{00000000-0005-0000-0000-000084940000}"/>
    <cellStyle name="输出 2 7 10 5 3" xfId="28049" xr:uid="{00000000-0005-0000-0000-0000C16D0000}"/>
    <cellStyle name="输出 2 7 10 5 3 2" xfId="41382" xr:uid="{00000000-0005-0000-0000-0000D6A10000}"/>
    <cellStyle name="输出 2 7 10 5 4" xfId="15204" xr:uid="{00000000-0005-0000-0000-0000943B0000}"/>
    <cellStyle name="输出 2 7 10 5 4 2" xfId="40077" xr:uid="{00000000-0005-0000-0000-0000BD9C0000}"/>
    <cellStyle name="输出 2 7 10 5 5" xfId="40079" xr:uid="{00000000-0005-0000-0000-0000BF9C0000}"/>
    <cellStyle name="输出 2 7 10 5 5 2" xfId="40082" xr:uid="{00000000-0005-0000-0000-0000C29C0000}"/>
    <cellStyle name="输出 2 7 10 5 6" xfId="40084" xr:uid="{00000000-0005-0000-0000-0000C49C0000}"/>
    <cellStyle name="输出 2 7 10 6" xfId="41383" xr:uid="{00000000-0005-0000-0000-0000D7A10000}"/>
    <cellStyle name="输出 2 7 10 6 2" xfId="41385" xr:uid="{00000000-0005-0000-0000-0000D9A10000}"/>
    <cellStyle name="输出 2 7 10 6 2 2" xfId="41387" xr:uid="{00000000-0005-0000-0000-0000DBA10000}"/>
    <cellStyle name="输出 2 7 10 6 3" xfId="41388" xr:uid="{00000000-0005-0000-0000-0000DCA10000}"/>
    <cellStyle name="输出 2 7 10 6 3 2" xfId="41389" xr:uid="{00000000-0005-0000-0000-0000DDA10000}"/>
    <cellStyle name="输出 2 7 10 6 4" xfId="15211" xr:uid="{00000000-0005-0000-0000-00009B3B0000}"/>
    <cellStyle name="输出 2 7 10 6 4 2" xfId="40089" xr:uid="{00000000-0005-0000-0000-0000C99C0000}"/>
    <cellStyle name="输出 2 7 10 6 5" xfId="40091" xr:uid="{00000000-0005-0000-0000-0000CB9C0000}"/>
    <cellStyle name="输出 2 7 10 6 5 2" xfId="40094" xr:uid="{00000000-0005-0000-0000-0000CE9C0000}"/>
    <cellStyle name="输出 2 7 10 6 6" xfId="40096" xr:uid="{00000000-0005-0000-0000-0000D09C0000}"/>
    <cellStyle name="输出 2 7 10 7" xfId="7927" xr:uid="{00000000-0005-0000-0000-0000271F0000}"/>
    <cellStyle name="输出 2 7 10 7 2" xfId="41390" xr:uid="{00000000-0005-0000-0000-0000DEA10000}"/>
    <cellStyle name="输出 2 7 10 7 2 2" xfId="41391" xr:uid="{00000000-0005-0000-0000-0000DFA10000}"/>
    <cellStyle name="输出 2 7 10 7 3" xfId="41392" xr:uid="{00000000-0005-0000-0000-0000E0A10000}"/>
    <cellStyle name="输出 2 7 10 7 3 2" xfId="41393" xr:uid="{00000000-0005-0000-0000-0000E1A10000}"/>
    <cellStyle name="输出 2 7 10 7 4" xfId="40102" xr:uid="{00000000-0005-0000-0000-0000D69C0000}"/>
    <cellStyle name="输出 2 7 10 7 4 2" xfId="40106" xr:uid="{00000000-0005-0000-0000-0000DA9C0000}"/>
    <cellStyle name="输出 2 7 10 7 5" xfId="40108" xr:uid="{00000000-0005-0000-0000-0000DC9C0000}"/>
    <cellStyle name="输出 2 7 10 7 5 2" xfId="40111" xr:uid="{00000000-0005-0000-0000-0000DF9C0000}"/>
    <cellStyle name="输出 2 7 10 7 6" xfId="40113" xr:uid="{00000000-0005-0000-0000-0000E19C0000}"/>
    <cellStyle name="输出 2 7 10 8" xfId="19729" xr:uid="{00000000-0005-0000-0000-0000414D0000}"/>
    <cellStyle name="输出 2 7 10 8 2" xfId="41394" xr:uid="{00000000-0005-0000-0000-0000E2A10000}"/>
    <cellStyle name="输出 2 7 10 8 2 2" xfId="41395" xr:uid="{00000000-0005-0000-0000-0000E3A10000}"/>
    <cellStyle name="输出 2 7 10 8 3" xfId="41397" xr:uid="{00000000-0005-0000-0000-0000E5A10000}"/>
    <cellStyle name="输出 2 7 10 8 3 2" xfId="41398" xr:uid="{00000000-0005-0000-0000-0000E6A10000}"/>
    <cellStyle name="输出 2 7 10 8 4" xfId="40120" xr:uid="{00000000-0005-0000-0000-0000E89C0000}"/>
    <cellStyle name="输出 2 7 10 8 4 2" xfId="40123" xr:uid="{00000000-0005-0000-0000-0000EB9C0000}"/>
    <cellStyle name="输出 2 7 10 8 5" xfId="40126" xr:uid="{00000000-0005-0000-0000-0000EE9C0000}"/>
    <cellStyle name="输出 2 7 10 9" xfId="1459" xr:uid="{00000000-0005-0000-0000-0000E3050000}"/>
    <cellStyle name="输出 2 7 10 9 2" xfId="11103" xr:uid="{00000000-0005-0000-0000-00008F2B0000}"/>
    <cellStyle name="输出 2 7 11" xfId="26507" xr:uid="{00000000-0005-0000-0000-0000BB670000}"/>
    <cellStyle name="输出 2 7 11 10" xfId="19701" xr:uid="{00000000-0005-0000-0000-0000254D0000}"/>
    <cellStyle name="输出 2 7 11 10 2" xfId="21820" xr:uid="{00000000-0005-0000-0000-00006C550000}"/>
    <cellStyle name="输出 2 7 11 11" xfId="39538" xr:uid="{00000000-0005-0000-0000-0000A29A0000}"/>
    <cellStyle name="输出 2 7 11 11 2" xfId="21921" xr:uid="{00000000-0005-0000-0000-0000D1550000}"/>
    <cellStyle name="输出 2 7 11 12" xfId="41400" xr:uid="{00000000-0005-0000-0000-0000E8A10000}"/>
    <cellStyle name="输出 2 7 11 12 2" xfId="22055" xr:uid="{00000000-0005-0000-0000-000057560000}"/>
    <cellStyle name="输出 2 7 11 13" xfId="30042" xr:uid="{00000000-0005-0000-0000-00008A750000}"/>
    <cellStyle name="输出 2 7 11 14" xfId="41402" xr:uid="{00000000-0005-0000-0000-0000EAA10000}"/>
    <cellStyle name="输出 2 7 11 15" xfId="41404" xr:uid="{00000000-0005-0000-0000-0000ECA10000}"/>
    <cellStyle name="输出 2 7 11 16" xfId="38195" xr:uid="{00000000-0005-0000-0000-000063950000}"/>
    <cellStyle name="输出 2 7 11 2" xfId="26512" xr:uid="{00000000-0005-0000-0000-0000C0670000}"/>
    <cellStyle name="输出 2 7 11 2 2" xfId="32714" xr:uid="{00000000-0005-0000-0000-0000FA7F0000}"/>
    <cellStyle name="输出 2 7 11 2 2 2" xfId="27469" xr:uid="{00000000-0005-0000-0000-00007D6B0000}"/>
    <cellStyle name="输出 2 7 11 2 3" xfId="28063" xr:uid="{00000000-0005-0000-0000-0000CF6D0000}"/>
    <cellStyle name="输出 2 7 11 2 3 2" xfId="27482" xr:uid="{00000000-0005-0000-0000-00008A6B0000}"/>
    <cellStyle name="输出 2 7 11 2 4" xfId="34978" xr:uid="{00000000-0005-0000-0000-0000D2880000}"/>
    <cellStyle name="输出 2 7 11 2 4 2" xfId="27496" xr:uid="{00000000-0005-0000-0000-0000986B0000}"/>
    <cellStyle name="输出 2 7 11 2 5" xfId="41406" xr:uid="{00000000-0005-0000-0000-0000EEA10000}"/>
    <cellStyle name="输出 2 7 11 2 5 2" xfId="27510" xr:uid="{00000000-0005-0000-0000-0000A66B0000}"/>
    <cellStyle name="输出 2 7 11 2 6" xfId="41408" xr:uid="{00000000-0005-0000-0000-0000F0A10000}"/>
    <cellStyle name="输出 2 7 11 3" xfId="32719" xr:uid="{00000000-0005-0000-0000-0000FF7F0000}"/>
    <cellStyle name="输出 2 7 11 3 2" xfId="41410" xr:uid="{00000000-0005-0000-0000-0000F2A10000}"/>
    <cellStyle name="输出 2 7 11 3 2 2" xfId="27555" xr:uid="{00000000-0005-0000-0000-0000D36B0000}"/>
    <cellStyle name="输出 2 7 11 3 3" xfId="28071" xr:uid="{00000000-0005-0000-0000-0000D76D0000}"/>
    <cellStyle name="输出 2 7 11 3 3 2" xfId="27563" xr:uid="{00000000-0005-0000-0000-0000DB6B0000}"/>
    <cellStyle name="输出 2 7 11 3 4" xfId="41412" xr:uid="{00000000-0005-0000-0000-0000F4A10000}"/>
    <cellStyle name="输出 2 7 11 3 4 2" xfId="27576" xr:uid="{00000000-0005-0000-0000-0000E86B0000}"/>
    <cellStyle name="输出 2 7 11 3 5" xfId="41413" xr:uid="{00000000-0005-0000-0000-0000F5A10000}"/>
    <cellStyle name="输出 2 7 11 3 5 2" xfId="27591" xr:uid="{00000000-0005-0000-0000-0000F76B0000}"/>
    <cellStyle name="输出 2 7 11 3 6" xfId="41416" xr:uid="{00000000-0005-0000-0000-0000F8A10000}"/>
    <cellStyle name="输出 2 7 11 4" xfId="38457" xr:uid="{00000000-0005-0000-0000-000069960000}"/>
    <cellStyle name="输出 2 7 11 4 2" xfId="41417" xr:uid="{00000000-0005-0000-0000-0000F9A10000}"/>
    <cellStyle name="输出 2 7 11 4 2 2" xfId="27638" xr:uid="{00000000-0005-0000-0000-0000266C0000}"/>
    <cellStyle name="输出 2 7 11 4 3" xfId="28074" xr:uid="{00000000-0005-0000-0000-0000DA6D0000}"/>
    <cellStyle name="输出 2 7 11 4 3 2" xfId="27657" xr:uid="{00000000-0005-0000-0000-0000396C0000}"/>
    <cellStyle name="输出 2 7 11 4 4" xfId="41419" xr:uid="{00000000-0005-0000-0000-0000FBA10000}"/>
    <cellStyle name="输出 2 7 11 4 4 2" xfId="27677" xr:uid="{00000000-0005-0000-0000-00004D6C0000}"/>
    <cellStyle name="输出 2 7 11 4 5" xfId="41420" xr:uid="{00000000-0005-0000-0000-0000FCA10000}"/>
    <cellStyle name="输出 2 7 11 4 5 2" xfId="27704" xr:uid="{00000000-0005-0000-0000-0000686C0000}"/>
    <cellStyle name="输出 2 7 11 4 6" xfId="41422" xr:uid="{00000000-0005-0000-0000-0000FEA10000}"/>
    <cellStyle name="输出 2 7 11 5" xfId="41423" xr:uid="{00000000-0005-0000-0000-0000FFA10000}"/>
    <cellStyle name="输出 2 7 11 5 2" xfId="41425" xr:uid="{00000000-0005-0000-0000-000001A20000}"/>
    <cellStyle name="输出 2 7 11 5 2 2" xfId="27774" xr:uid="{00000000-0005-0000-0000-0000AE6C0000}"/>
    <cellStyle name="输出 2 7 11 5 3" xfId="28078" xr:uid="{00000000-0005-0000-0000-0000DE6D0000}"/>
    <cellStyle name="输出 2 7 11 5 3 2" xfId="4378" xr:uid="{00000000-0005-0000-0000-00004A110000}"/>
    <cellStyle name="输出 2 7 11 5 4" xfId="41427" xr:uid="{00000000-0005-0000-0000-000003A20000}"/>
    <cellStyle name="输出 2 7 11 5 4 2" xfId="27797" xr:uid="{00000000-0005-0000-0000-0000C56C0000}"/>
    <cellStyle name="输出 2 7 11 5 5" xfId="41428" xr:uid="{00000000-0005-0000-0000-000004A20000}"/>
    <cellStyle name="输出 2 7 11 5 5 2" xfId="4852" xr:uid="{00000000-0005-0000-0000-000024130000}"/>
    <cellStyle name="输出 2 7 11 5 6" xfId="41430" xr:uid="{00000000-0005-0000-0000-000006A20000}"/>
    <cellStyle name="输出 2 7 11 6" xfId="41431" xr:uid="{00000000-0005-0000-0000-000007A20000}"/>
    <cellStyle name="输出 2 7 11 6 2" xfId="41433" xr:uid="{00000000-0005-0000-0000-000009A20000}"/>
    <cellStyle name="输出 2 7 11 6 2 2" xfId="41435" xr:uid="{00000000-0005-0000-0000-00000BA20000}"/>
    <cellStyle name="输出 2 7 11 6 3" xfId="41436" xr:uid="{00000000-0005-0000-0000-00000CA20000}"/>
    <cellStyle name="输出 2 7 11 6 3 2" xfId="5104" xr:uid="{00000000-0005-0000-0000-000020140000}"/>
    <cellStyle name="输出 2 7 11 6 4" xfId="41437" xr:uid="{00000000-0005-0000-0000-00000DA20000}"/>
    <cellStyle name="输出 2 7 11 6 4 2" xfId="29456" xr:uid="{00000000-0005-0000-0000-000040730000}"/>
    <cellStyle name="输出 2 7 11 6 5" xfId="41438" xr:uid="{00000000-0005-0000-0000-00000EA20000}"/>
    <cellStyle name="输出 2 7 11 6 5 2" xfId="29500" xr:uid="{00000000-0005-0000-0000-00006C730000}"/>
    <cellStyle name="输出 2 7 11 6 6" xfId="41439" xr:uid="{00000000-0005-0000-0000-00000FA20000}"/>
    <cellStyle name="输出 2 7 11 7" xfId="41440" xr:uid="{00000000-0005-0000-0000-000010A20000}"/>
    <cellStyle name="输出 2 7 11 7 2" xfId="41442" xr:uid="{00000000-0005-0000-0000-000012A20000}"/>
    <cellStyle name="输出 2 7 11 7 2 2" xfId="41443" xr:uid="{00000000-0005-0000-0000-000013A20000}"/>
    <cellStyle name="输出 2 7 11 7 3" xfId="41444" xr:uid="{00000000-0005-0000-0000-000014A20000}"/>
    <cellStyle name="输出 2 7 11 7 3 2" xfId="41445" xr:uid="{00000000-0005-0000-0000-000015A20000}"/>
    <cellStyle name="输出 2 7 11 7 4" xfId="41446" xr:uid="{00000000-0005-0000-0000-000016A20000}"/>
    <cellStyle name="输出 2 7 11 7 4 2" xfId="41447" xr:uid="{00000000-0005-0000-0000-000017A20000}"/>
    <cellStyle name="输出 2 7 11 7 5" xfId="41448" xr:uid="{00000000-0005-0000-0000-000018A20000}"/>
    <cellStyle name="输出 2 7 11 7 5 2" xfId="41449" xr:uid="{00000000-0005-0000-0000-000019A20000}"/>
    <cellStyle name="输出 2 7 11 7 6" xfId="41043" xr:uid="{00000000-0005-0000-0000-000083A00000}"/>
    <cellStyle name="输出 2 7 11 8" xfId="41450" xr:uid="{00000000-0005-0000-0000-00001AA20000}"/>
    <cellStyle name="输出 2 7 11 8 2" xfId="41451" xr:uid="{00000000-0005-0000-0000-00001BA20000}"/>
    <cellStyle name="输出 2 7 11 8 2 2" xfId="41453" xr:uid="{00000000-0005-0000-0000-00001DA20000}"/>
    <cellStyle name="输出 2 7 11 8 3" xfId="41454" xr:uid="{00000000-0005-0000-0000-00001EA20000}"/>
    <cellStyle name="输出 2 7 11 8 3 2" xfId="41456" xr:uid="{00000000-0005-0000-0000-000020A20000}"/>
    <cellStyle name="输出 2 7 11 8 4" xfId="41457" xr:uid="{00000000-0005-0000-0000-000021A20000}"/>
    <cellStyle name="输出 2 7 11 8 4 2" xfId="38723" xr:uid="{00000000-0005-0000-0000-000073970000}"/>
    <cellStyle name="输出 2 7 11 8 5" xfId="41459" xr:uid="{00000000-0005-0000-0000-000023A20000}"/>
    <cellStyle name="输出 2 7 11 9" xfId="11184" xr:uid="{00000000-0005-0000-0000-0000E02B0000}"/>
    <cellStyle name="输出 2 7 11 9 2" xfId="41461" xr:uid="{00000000-0005-0000-0000-000025A20000}"/>
    <cellStyle name="输出 2 7 12" xfId="15286" xr:uid="{00000000-0005-0000-0000-0000E63B0000}"/>
    <cellStyle name="输出 2 7 12 2" xfId="15290" xr:uid="{00000000-0005-0000-0000-0000EA3B0000}"/>
    <cellStyle name="输出 2 7 12 2 2" xfId="35022" xr:uid="{00000000-0005-0000-0000-0000FE880000}"/>
    <cellStyle name="输出 2 7 12 3" xfId="41462" xr:uid="{00000000-0005-0000-0000-000026A20000}"/>
    <cellStyle name="输出 2 7 12 3 2" xfId="41464" xr:uid="{00000000-0005-0000-0000-000028A20000}"/>
    <cellStyle name="输出 2 7 12 4" xfId="38463" xr:uid="{00000000-0005-0000-0000-00006F960000}"/>
    <cellStyle name="输出 2 7 12 4 2" xfId="41466" xr:uid="{00000000-0005-0000-0000-00002AA20000}"/>
    <cellStyle name="输出 2 7 12 5" xfId="41468" xr:uid="{00000000-0005-0000-0000-00002CA20000}"/>
    <cellStyle name="输出 2 7 12 5 2" xfId="41470" xr:uid="{00000000-0005-0000-0000-00002EA20000}"/>
    <cellStyle name="输出 2 7 12 6" xfId="41472" xr:uid="{00000000-0005-0000-0000-000030A20000}"/>
    <cellStyle name="输出 2 7 12 7" xfId="41474" xr:uid="{00000000-0005-0000-0000-000032A20000}"/>
    <cellStyle name="输出 2 7 12 8" xfId="41476" xr:uid="{00000000-0005-0000-0000-000034A20000}"/>
    <cellStyle name="输出 2 7 12 9" xfId="41477" xr:uid="{00000000-0005-0000-0000-000035A20000}"/>
    <cellStyle name="输出 2 7 13" xfId="15293" xr:uid="{00000000-0005-0000-0000-0000ED3B0000}"/>
    <cellStyle name="输出 2 7 13 2" xfId="15298" xr:uid="{00000000-0005-0000-0000-0000F23B0000}"/>
    <cellStyle name="输出 2 7 13 2 2" xfId="35079" xr:uid="{00000000-0005-0000-0000-000037890000}"/>
    <cellStyle name="输出 2 7 13 3" xfId="41478" xr:uid="{00000000-0005-0000-0000-000036A20000}"/>
    <cellStyle name="输出 2 7 13 3 2" xfId="41481" xr:uid="{00000000-0005-0000-0000-000039A20000}"/>
    <cellStyle name="输出 2 7 13 4" xfId="41483" xr:uid="{00000000-0005-0000-0000-00003BA20000}"/>
    <cellStyle name="输出 2 7 13 4 2" xfId="41485" xr:uid="{00000000-0005-0000-0000-00003DA20000}"/>
    <cellStyle name="输出 2 7 13 5" xfId="41487" xr:uid="{00000000-0005-0000-0000-00003FA20000}"/>
    <cellStyle name="输出 2 7 13 5 2" xfId="41489" xr:uid="{00000000-0005-0000-0000-000041A20000}"/>
    <cellStyle name="输出 2 7 13 6" xfId="41491" xr:uid="{00000000-0005-0000-0000-000043A20000}"/>
    <cellStyle name="输出 2 7 14" xfId="15301" xr:uid="{00000000-0005-0000-0000-0000F53B0000}"/>
    <cellStyle name="输出 2 7 14 2" xfId="15308" xr:uid="{00000000-0005-0000-0000-0000FC3B0000}"/>
    <cellStyle name="输出 2 7 14 2 2" xfId="22947" xr:uid="{00000000-0005-0000-0000-0000D3590000}"/>
    <cellStyle name="输出 2 7 14 3" xfId="41493" xr:uid="{00000000-0005-0000-0000-000045A20000}"/>
    <cellStyle name="输出 2 7 14 3 2" xfId="22966" xr:uid="{00000000-0005-0000-0000-0000E6590000}"/>
    <cellStyle name="输出 2 7 14 4" xfId="39241" xr:uid="{00000000-0005-0000-0000-000079990000}"/>
    <cellStyle name="输出 2 7 14 4 2" xfId="39243" xr:uid="{00000000-0005-0000-0000-00007B990000}"/>
    <cellStyle name="输出 2 7 14 5" xfId="39245" xr:uid="{00000000-0005-0000-0000-00007D990000}"/>
    <cellStyle name="输出 2 7 14 5 2" xfId="39247" xr:uid="{00000000-0005-0000-0000-00007F990000}"/>
    <cellStyle name="输出 2 7 14 6" xfId="39249" xr:uid="{00000000-0005-0000-0000-000081990000}"/>
    <cellStyle name="输出 2 7 15" xfId="12102" xr:uid="{00000000-0005-0000-0000-0000762F0000}"/>
    <cellStyle name="输出 2 7 15 2" xfId="15311" xr:uid="{00000000-0005-0000-0000-0000FF3B0000}"/>
    <cellStyle name="输出 2 7 15 2 2" xfId="33578" xr:uid="{00000000-0005-0000-0000-00005A830000}"/>
    <cellStyle name="输出 2 7 15 3" xfId="33580" xr:uid="{00000000-0005-0000-0000-00005C830000}"/>
    <cellStyle name="输出 2 7 15 3 2" xfId="33583" xr:uid="{00000000-0005-0000-0000-00005F830000}"/>
    <cellStyle name="输出 2 7 15 4" xfId="33585" xr:uid="{00000000-0005-0000-0000-000061830000}"/>
    <cellStyle name="输出 2 7 15 4 2" xfId="41496" xr:uid="{00000000-0005-0000-0000-000048A20000}"/>
    <cellStyle name="输出 2 7 15 5" xfId="33587" xr:uid="{00000000-0005-0000-0000-000063830000}"/>
    <cellStyle name="输出 2 7 15 5 2" xfId="41497" xr:uid="{00000000-0005-0000-0000-000049A20000}"/>
    <cellStyle name="输出 2 7 15 6" xfId="33589" xr:uid="{00000000-0005-0000-0000-000065830000}"/>
    <cellStyle name="输出 2 7 16" xfId="15316" xr:uid="{00000000-0005-0000-0000-0000043C0000}"/>
    <cellStyle name="输出 2 7 16 2" xfId="33425" xr:uid="{00000000-0005-0000-0000-0000C1820000}"/>
    <cellStyle name="输出 2 7 16 2 2" xfId="33596" xr:uid="{00000000-0005-0000-0000-00006C830000}"/>
    <cellStyle name="输出 2 7 16 3" xfId="33598" xr:uid="{00000000-0005-0000-0000-00006E830000}"/>
    <cellStyle name="输出 2 7 16 3 2" xfId="33601" xr:uid="{00000000-0005-0000-0000-000071830000}"/>
    <cellStyle name="输出 2 7 16 4" xfId="33603" xr:uid="{00000000-0005-0000-0000-000073830000}"/>
    <cellStyle name="输出 2 7 16 4 2" xfId="41498" xr:uid="{00000000-0005-0000-0000-00004AA20000}"/>
    <cellStyle name="输出 2 7 16 5" xfId="41499" xr:uid="{00000000-0005-0000-0000-00004BA20000}"/>
    <cellStyle name="输出 2 7 16 5 2" xfId="41500" xr:uid="{00000000-0005-0000-0000-00004CA20000}"/>
    <cellStyle name="输出 2 7 16 6" xfId="6309" xr:uid="{00000000-0005-0000-0000-0000D5180000}"/>
    <cellStyle name="输出 2 7 17" xfId="33430" xr:uid="{00000000-0005-0000-0000-0000C6820000}"/>
    <cellStyle name="输出 2 7 17 2" xfId="33433" xr:uid="{00000000-0005-0000-0000-0000C9820000}"/>
    <cellStyle name="输出 2 7 17 2 2" xfId="33607" xr:uid="{00000000-0005-0000-0000-000077830000}"/>
    <cellStyle name="输出 2 7 17 3" xfId="33609" xr:uid="{00000000-0005-0000-0000-000079830000}"/>
    <cellStyle name="输出 2 7 17 3 2" xfId="33611" xr:uid="{00000000-0005-0000-0000-00007B830000}"/>
    <cellStyle name="输出 2 7 17 4" xfId="33613" xr:uid="{00000000-0005-0000-0000-00007D830000}"/>
    <cellStyle name="输出 2 7 17 4 2" xfId="41501" xr:uid="{00000000-0005-0000-0000-00004DA20000}"/>
    <cellStyle name="输出 2 7 17 5" xfId="41502" xr:uid="{00000000-0005-0000-0000-00004EA20000}"/>
    <cellStyle name="输出 2 7 17 5 2" xfId="41503" xr:uid="{00000000-0005-0000-0000-00004FA20000}"/>
    <cellStyle name="输出 2 7 17 6" xfId="5483" xr:uid="{00000000-0005-0000-0000-00009B150000}"/>
    <cellStyle name="输出 2 7 18" xfId="33437" xr:uid="{00000000-0005-0000-0000-0000CD820000}"/>
    <cellStyle name="输出 2 7 18 2" xfId="33440" xr:uid="{00000000-0005-0000-0000-0000D0820000}"/>
    <cellStyle name="输出 2 7 18 2 2" xfId="33618" xr:uid="{00000000-0005-0000-0000-000082830000}"/>
    <cellStyle name="输出 2 7 18 3" xfId="33620" xr:uid="{00000000-0005-0000-0000-000084830000}"/>
    <cellStyle name="输出 2 7 18 3 2" xfId="33622" xr:uid="{00000000-0005-0000-0000-000086830000}"/>
    <cellStyle name="输出 2 7 18 4" xfId="33624" xr:uid="{00000000-0005-0000-0000-000088830000}"/>
    <cellStyle name="输出 2 7 18 4 2" xfId="41504" xr:uid="{00000000-0005-0000-0000-000050A20000}"/>
    <cellStyle name="输出 2 7 18 5" xfId="41505" xr:uid="{00000000-0005-0000-0000-000051A20000}"/>
    <cellStyle name="输出 2 7 18 5 2" xfId="41507" xr:uid="{00000000-0005-0000-0000-000053A20000}"/>
    <cellStyle name="输出 2 7 18 6" xfId="6337" xr:uid="{00000000-0005-0000-0000-0000F1180000}"/>
    <cellStyle name="输出 2 7 19" xfId="33444" xr:uid="{00000000-0005-0000-0000-0000D4820000}"/>
    <cellStyle name="输出 2 7 19 2" xfId="33632" xr:uid="{00000000-0005-0000-0000-000090830000}"/>
    <cellStyle name="输出 2 7 19 2 2" xfId="33635" xr:uid="{00000000-0005-0000-0000-000093830000}"/>
    <cellStyle name="输出 2 7 19 3" xfId="33638" xr:uid="{00000000-0005-0000-0000-000096830000}"/>
    <cellStyle name="输出 2 7 19 3 2" xfId="33641" xr:uid="{00000000-0005-0000-0000-000099830000}"/>
    <cellStyle name="输出 2 7 19 4" xfId="16828" xr:uid="{00000000-0005-0000-0000-0000EC410000}"/>
    <cellStyle name="输出 2 7 19 4 2" xfId="39342" xr:uid="{00000000-0005-0000-0000-0000DE990000}"/>
    <cellStyle name="输出 2 7 19 5" xfId="300" xr:uid="{00000000-0005-0000-0000-00004B010000}"/>
    <cellStyle name="输出 2 7 2" xfId="41509" xr:uid="{00000000-0005-0000-0000-000055A20000}"/>
    <cellStyle name="输出 2 7 2 10" xfId="41510" xr:uid="{00000000-0005-0000-0000-000056A20000}"/>
    <cellStyle name="输出 2 7 2 10 2" xfId="41511" xr:uid="{00000000-0005-0000-0000-000057A20000}"/>
    <cellStyle name="输出 2 7 2 11" xfId="28290" xr:uid="{00000000-0005-0000-0000-0000B26E0000}"/>
    <cellStyle name="输出 2 7 2 11 2" xfId="2550" xr:uid="{00000000-0005-0000-0000-0000260A0000}"/>
    <cellStyle name="输出 2 7 2 12" xfId="28292" xr:uid="{00000000-0005-0000-0000-0000B46E0000}"/>
    <cellStyle name="输出 2 7 2 12 2" xfId="28294" xr:uid="{00000000-0005-0000-0000-0000B66E0000}"/>
    <cellStyle name="输出 2 7 2 13" xfId="12427" xr:uid="{00000000-0005-0000-0000-0000BB300000}"/>
    <cellStyle name="输出 2 7 2 14" xfId="21992" xr:uid="{00000000-0005-0000-0000-000018560000}"/>
    <cellStyle name="输出 2 7 2 15" xfId="17335" xr:uid="{00000000-0005-0000-0000-0000E7430000}"/>
    <cellStyle name="输出 2 7 2 16" xfId="41512" xr:uid="{00000000-0005-0000-0000-000058A20000}"/>
    <cellStyle name="输出 2 7 2 2" xfId="26563" xr:uid="{00000000-0005-0000-0000-0000F3670000}"/>
    <cellStyle name="输出 2 7 2 2 2" xfId="30469" xr:uid="{00000000-0005-0000-0000-000035770000}"/>
    <cellStyle name="输出 2 7 2 2 2 2" xfId="41513" xr:uid="{00000000-0005-0000-0000-000059A20000}"/>
    <cellStyle name="输出 2 7 2 2 3" xfId="22201" xr:uid="{00000000-0005-0000-0000-0000E9560000}"/>
    <cellStyle name="输出 2 7 2 2 3 2" xfId="41515" xr:uid="{00000000-0005-0000-0000-00005BA20000}"/>
    <cellStyle name="输出 2 7 2 2 4" xfId="41518" xr:uid="{00000000-0005-0000-0000-00005EA20000}"/>
    <cellStyle name="输出 2 7 2 2 4 2" xfId="41519" xr:uid="{00000000-0005-0000-0000-00005FA20000}"/>
    <cellStyle name="输出 2 7 2 2 5" xfId="41521" xr:uid="{00000000-0005-0000-0000-000061A20000}"/>
    <cellStyle name="输出 2 7 2 2 5 2" xfId="41523" xr:uid="{00000000-0005-0000-0000-000063A20000}"/>
    <cellStyle name="输出 2 7 2 2 6" xfId="41524" xr:uid="{00000000-0005-0000-0000-000064A20000}"/>
    <cellStyle name="输出 2 7 2 2 7" xfId="41525" xr:uid="{00000000-0005-0000-0000-000065A20000}"/>
    <cellStyle name="输出 2 7 2 2 8" xfId="41526" xr:uid="{00000000-0005-0000-0000-000066A20000}"/>
    <cellStyle name="输出 2 7 2 2 9" xfId="36013" xr:uid="{00000000-0005-0000-0000-0000DD8C0000}"/>
    <cellStyle name="输出 2 7 2 3" xfId="26567" xr:uid="{00000000-0005-0000-0000-0000F7670000}"/>
    <cellStyle name="输出 2 7 2 3 2" xfId="21517" xr:uid="{00000000-0005-0000-0000-00003D540000}"/>
    <cellStyle name="输出 2 7 2 3 2 2" xfId="14232" xr:uid="{00000000-0005-0000-0000-0000C8370000}"/>
    <cellStyle name="输出 2 7 2 3 3" xfId="41527" xr:uid="{00000000-0005-0000-0000-000067A20000}"/>
    <cellStyle name="输出 2 7 2 3 3 2" xfId="41528" xr:uid="{00000000-0005-0000-0000-000068A20000}"/>
    <cellStyle name="输出 2 7 2 3 4" xfId="41531" xr:uid="{00000000-0005-0000-0000-00006BA20000}"/>
    <cellStyle name="输出 2 7 2 3 4 2" xfId="41532" xr:uid="{00000000-0005-0000-0000-00006CA20000}"/>
    <cellStyle name="输出 2 7 2 3 5" xfId="41534" xr:uid="{00000000-0005-0000-0000-00006EA20000}"/>
    <cellStyle name="输出 2 7 2 3 5 2" xfId="41536" xr:uid="{00000000-0005-0000-0000-000070A20000}"/>
    <cellStyle name="输出 2 7 2 3 6" xfId="41537" xr:uid="{00000000-0005-0000-0000-000071A20000}"/>
    <cellStyle name="输出 2 7 2 4" xfId="26570" xr:uid="{00000000-0005-0000-0000-0000FA670000}"/>
    <cellStyle name="输出 2 7 2 4 2" xfId="41538" xr:uid="{00000000-0005-0000-0000-000072A20000}"/>
    <cellStyle name="输出 2 7 2 4 2 2" xfId="15248" xr:uid="{00000000-0005-0000-0000-0000C03B0000}"/>
    <cellStyle name="输出 2 7 2 4 3" xfId="41539" xr:uid="{00000000-0005-0000-0000-000073A20000}"/>
    <cellStyle name="输出 2 7 2 4 3 2" xfId="41540" xr:uid="{00000000-0005-0000-0000-000074A20000}"/>
    <cellStyle name="输出 2 7 2 4 4" xfId="41542" xr:uid="{00000000-0005-0000-0000-000076A20000}"/>
    <cellStyle name="输出 2 7 2 4 4 2" xfId="41543" xr:uid="{00000000-0005-0000-0000-000077A20000}"/>
    <cellStyle name="输出 2 7 2 4 5" xfId="41545" xr:uid="{00000000-0005-0000-0000-000079A20000}"/>
    <cellStyle name="输出 2 7 2 4 5 2" xfId="41547" xr:uid="{00000000-0005-0000-0000-00007BA20000}"/>
    <cellStyle name="输出 2 7 2 4 6" xfId="41548" xr:uid="{00000000-0005-0000-0000-00007CA20000}"/>
    <cellStyle name="输出 2 7 2 5" xfId="41549" xr:uid="{00000000-0005-0000-0000-00007DA20000}"/>
    <cellStyle name="输出 2 7 2 5 2" xfId="41550" xr:uid="{00000000-0005-0000-0000-00007EA20000}"/>
    <cellStyle name="输出 2 7 2 5 2 2" xfId="41551" xr:uid="{00000000-0005-0000-0000-00007FA20000}"/>
    <cellStyle name="输出 2 7 2 5 3" xfId="41553" xr:uid="{00000000-0005-0000-0000-000081A20000}"/>
    <cellStyle name="输出 2 7 2 5 3 2" xfId="41554" xr:uid="{00000000-0005-0000-0000-000082A20000}"/>
    <cellStyle name="输出 2 7 2 5 4" xfId="41556" xr:uid="{00000000-0005-0000-0000-000084A20000}"/>
    <cellStyle name="输出 2 7 2 5 4 2" xfId="41557" xr:uid="{00000000-0005-0000-0000-000085A20000}"/>
    <cellStyle name="输出 2 7 2 5 5" xfId="41559" xr:uid="{00000000-0005-0000-0000-000087A20000}"/>
    <cellStyle name="输出 2 7 2 5 5 2" xfId="41561" xr:uid="{00000000-0005-0000-0000-000089A20000}"/>
    <cellStyle name="输出 2 7 2 5 6" xfId="41562" xr:uid="{00000000-0005-0000-0000-00008AA20000}"/>
    <cellStyle name="输出 2 7 2 6" xfId="24136" xr:uid="{00000000-0005-0000-0000-0000785E0000}"/>
    <cellStyle name="输出 2 7 2 6 2" xfId="41563" xr:uid="{00000000-0005-0000-0000-00008BA20000}"/>
    <cellStyle name="输出 2 7 2 6 2 2" xfId="41564" xr:uid="{00000000-0005-0000-0000-00008CA20000}"/>
    <cellStyle name="输出 2 7 2 6 3" xfId="41566" xr:uid="{00000000-0005-0000-0000-00008EA20000}"/>
    <cellStyle name="输出 2 7 2 6 3 2" xfId="41567" xr:uid="{00000000-0005-0000-0000-00008FA20000}"/>
    <cellStyle name="输出 2 7 2 6 4" xfId="31670" xr:uid="{00000000-0005-0000-0000-0000E67B0000}"/>
    <cellStyle name="输出 2 7 2 6 4 2" xfId="41570" xr:uid="{00000000-0005-0000-0000-000092A20000}"/>
    <cellStyle name="输出 2 7 2 6 5" xfId="23114" xr:uid="{00000000-0005-0000-0000-00007A5A0000}"/>
    <cellStyle name="输出 2 7 2 6 5 2" xfId="41572" xr:uid="{00000000-0005-0000-0000-000094A20000}"/>
    <cellStyle name="输出 2 7 2 6 6" xfId="41573" xr:uid="{00000000-0005-0000-0000-000095A20000}"/>
    <cellStyle name="输出 2 7 2 7" xfId="41574" xr:uid="{00000000-0005-0000-0000-000096A20000}"/>
    <cellStyle name="输出 2 7 2 7 2" xfId="41575" xr:uid="{00000000-0005-0000-0000-000097A20000}"/>
    <cellStyle name="输出 2 7 2 7 2 2" xfId="41576" xr:uid="{00000000-0005-0000-0000-000098A20000}"/>
    <cellStyle name="输出 2 7 2 7 3" xfId="41578" xr:uid="{00000000-0005-0000-0000-00009AA20000}"/>
    <cellStyle name="输出 2 7 2 7 3 2" xfId="41579" xr:uid="{00000000-0005-0000-0000-00009BA20000}"/>
    <cellStyle name="输出 2 7 2 7 4" xfId="31675" xr:uid="{00000000-0005-0000-0000-0000EB7B0000}"/>
    <cellStyle name="输出 2 7 2 7 4 2" xfId="41582" xr:uid="{00000000-0005-0000-0000-00009EA20000}"/>
    <cellStyle name="输出 2 7 2 7 5" xfId="23117" xr:uid="{00000000-0005-0000-0000-00007D5A0000}"/>
    <cellStyle name="输出 2 7 2 7 5 2" xfId="41584" xr:uid="{00000000-0005-0000-0000-0000A0A20000}"/>
    <cellStyle name="输出 2 7 2 7 6" xfId="41585" xr:uid="{00000000-0005-0000-0000-0000A1A20000}"/>
    <cellStyle name="输出 2 7 2 8" xfId="41586" xr:uid="{00000000-0005-0000-0000-0000A2A20000}"/>
    <cellStyle name="输出 2 7 2 8 2" xfId="41587" xr:uid="{00000000-0005-0000-0000-0000A3A20000}"/>
    <cellStyle name="输出 2 7 2 8 2 2" xfId="3625" xr:uid="{00000000-0005-0000-0000-0000590E0000}"/>
    <cellStyle name="输出 2 7 2 8 3" xfId="39175" xr:uid="{00000000-0005-0000-0000-000037990000}"/>
    <cellStyle name="输出 2 7 2 8 3 2" xfId="41588" xr:uid="{00000000-0005-0000-0000-0000A4A20000}"/>
    <cellStyle name="输出 2 7 2 8 4" xfId="31680" xr:uid="{00000000-0005-0000-0000-0000F07B0000}"/>
    <cellStyle name="输出 2 7 2 8 4 2" xfId="34158" xr:uid="{00000000-0005-0000-0000-00009E850000}"/>
    <cellStyle name="输出 2 7 2 8 5" xfId="3979" xr:uid="{00000000-0005-0000-0000-0000BB0F0000}"/>
    <cellStyle name="输出 2 7 2 9" xfId="41589" xr:uid="{00000000-0005-0000-0000-0000A5A20000}"/>
    <cellStyle name="输出 2 7 2 9 2" xfId="41590" xr:uid="{00000000-0005-0000-0000-0000A6A20000}"/>
    <cellStyle name="输出 2 7 20" xfId="12101" xr:uid="{00000000-0005-0000-0000-0000752F0000}"/>
    <cellStyle name="输出 2 7 20 2" xfId="15310" xr:uid="{00000000-0005-0000-0000-0000FE3B0000}"/>
    <cellStyle name="输出 2 7 21" xfId="15315" xr:uid="{00000000-0005-0000-0000-0000033C0000}"/>
    <cellStyle name="输出 2 7 21 2" xfId="33424" xr:uid="{00000000-0005-0000-0000-0000C0820000}"/>
    <cellStyle name="输出 2 7 22" xfId="33429" xr:uid="{00000000-0005-0000-0000-0000C5820000}"/>
    <cellStyle name="输出 2 7 22 2" xfId="33432" xr:uid="{00000000-0005-0000-0000-0000C8820000}"/>
    <cellStyle name="输出 2 7 23" xfId="33436" xr:uid="{00000000-0005-0000-0000-0000CC820000}"/>
    <cellStyle name="输出 2 7 23 2" xfId="33439" xr:uid="{00000000-0005-0000-0000-0000CF820000}"/>
    <cellStyle name="输出 2 7 24" xfId="33443" xr:uid="{00000000-0005-0000-0000-0000D3820000}"/>
    <cellStyle name="输出 2 7 25" xfId="41591" xr:uid="{00000000-0005-0000-0000-0000A7A20000}"/>
    <cellStyle name="输出 2 7 26" xfId="27350" xr:uid="{00000000-0005-0000-0000-0000066B0000}"/>
    <cellStyle name="输出 2 7 27" xfId="24561" xr:uid="{00000000-0005-0000-0000-000021600000}"/>
    <cellStyle name="输出 2 7 3" xfId="19247" xr:uid="{00000000-0005-0000-0000-00005F4B0000}"/>
    <cellStyle name="输出 2 7 3 10" xfId="20253" xr:uid="{00000000-0005-0000-0000-00004D4F0000}"/>
    <cellStyle name="输出 2 7 3 10 2" xfId="10953" xr:uid="{00000000-0005-0000-0000-0000F92A0000}"/>
    <cellStyle name="输出 2 7 3 11" xfId="20261" xr:uid="{00000000-0005-0000-0000-0000554F0000}"/>
    <cellStyle name="输出 2 7 3 11 2" xfId="17433" xr:uid="{00000000-0005-0000-0000-000049440000}"/>
    <cellStyle name="输出 2 7 3 12" xfId="20265" xr:uid="{00000000-0005-0000-0000-0000594F0000}"/>
    <cellStyle name="输出 2 7 3 12 2" xfId="17464" xr:uid="{00000000-0005-0000-0000-000068440000}"/>
    <cellStyle name="输出 2 7 3 13" xfId="11144" xr:uid="{00000000-0005-0000-0000-0000B82B0000}"/>
    <cellStyle name="输出 2 7 3 14" xfId="27640" xr:uid="{00000000-0005-0000-0000-0000286C0000}"/>
    <cellStyle name="输出 2 7 3 15" xfId="41593" xr:uid="{00000000-0005-0000-0000-0000A9A20000}"/>
    <cellStyle name="输出 2 7 3 16" xfId="37359" xr:uid="{00000000-0005-0000-0000-00001F920000}"/>
    <cellStyle name="输出 2 7 3 2" xfId="30477" xr:uid="{00000000-0005-0000-0000-00003D770000}"/>
    <cellStyle name="输出 2 7 3 2 2" xfId="30481" xr:uid="{00000000-0005-0000-0000-000041770000}"/>
    <cellStyle name="输出 2 7 3 2 2 2" xfId="41594" xr:uid="{00000000-0005-0000-0000-0000AAA20000}"/>
    <cellStyle name="输出 2 7 3 2 3" xfId="41596" xr:uid="{00000000-0005-0000-0000-0000ACA20000}"/>
    <cellStyle name="输出 2 7 3 2 3 2" xfId="41597" xr:uid="{00000000-0005-0000-0000-0000ADA20000}"/>
    <cellStyle name="输出 2 7 3 2 4" xfId="41600" xr:uid="{00000000-0005-0000-0000-0000B0A20000}"/>
    <cellStyle name="输出 2 7 3 2 4 2" xfId="41601" xr:uid="{00000000-0005-0000-0000-0000B1A20000}"/>
    <cellStyle name="输出 2 7 3 2 5" xfId="41603" xr:uid="{00000000-0005-0000-0000-0000B3A20000}"/>
    <cellStyle name="输出 2 7 3 2 5 2" xfId="41605" xr:uid="{00000000-0005-0000-0000-0000B5A20000}"/>
    <cellStyle name="输出 2 7 3 2 6" xfId="41606" xr:uid="{00000000-0005-0000-0000-0000B6A20000}"/>
    <cellStyle name="输出 2 7 3 2 7" xfId="41607" xr:uid="{00000000-0005-0000-0000-0000B7A20000}"/>
    <cellStyle name="输出 2 7 3 2 8" xfId="41608" xr:uid="{00000000-0005-0000-0000-0000B8A20000}"/>
    <cellStyle name="输出 2 7 3 2 9" xfId="41609" xr:uid="{00000000-0005-0000-0000-0000B9A20000}"/>
    <cellStyle name="输出 2 7 3 3" xfId="41610" xr:uid="{00000000-0005-0000-0000-0000BAA20000}"/>
    <cellStyle name="输出 2 7 3 3 2" xfId="41611" xr:uid="{00000000-0005-0000-0000-0000BBA20000}"/>
    <cellStyle name="输出 2 7 3 3 2 2" xfId="21996" xr:uid="{00000000-0005-0000-0000-00001C560000}"/>
    <cellStyle name="输出 2 7 3 3 3" xfId="41612" xr:uid="{00000000-0005-0000-0000-0000BCA20000}"/>
    <cellStyle name="输出 2 7 3 3 3 2" xfId="41613" xr:uid="{00000000-0005-0000-0000-0000BDA20000}"/>
    <cellStyle name="输出 2 7 3 3 4" xfId="41616" xr:uid="{00000000-0005-0000-0000-0000C0A20000}"/>
    <cellStyle name="输出 2 7 3 3 4 2" xfId="41617" xr:uid="{00000000-0005-0000-0000-0000C1A20000}"/>
    <cellStyle name="输出 2 7 3 3 5" xfId="5128" xr:uid="{00000000-0005-0000-0000-000038140000}"/>
    <cellStyle name="输出 2 7 3 3 5 2" xfId="5142" xr:uid="{00000000-0005-0000-0000-000046140000}"/>
    <cellStyle name="输出 2 7 3 3 6" xfId="1071" xr:uid="{00000000-0005-0000-0000-00005F040000}"/>
    <cellStyle name="输出 2 7 3 4" xfId="41619" xr:uid="{00000000-0005-0000-0000-0000C3A20000}"/>
    <cellStyle name="输出 2 7 3 4 2" xfId="41620" xr:uid="{00000000-0005-0000-0000-0000C4A20000}"/>
    <cellStyle name="输出 2 7 3 4 2 2" xfId="3164" xr:uid="{00000000-0005-0000-0000-00008C0C0000}"/>
    <cellStyle name="输出 2 7 3 4 3" xfId="41621" xr:uid="{00000000-0005-0000-0000-0000C5A20000}"/>
    <cellStyle name="输出 2 7 3 4 3 2" xfId="41622" xr:uid="{00000000-0005-0000-0000-0000C6A20000}"/>
    <cellStyle name="输出 2 7 3 4 4" xfId="41624" xr:uid="{00000000-0005-0000-0000-0000C8A20000}"/>
    <cellStyle name="输出 2 7 3 4 4 2" xfId="41625" xr:uid="{00000000-0005-0000-0000-0000C9A20000}"/>
    <cellStyle name="输出 2 7 3 4 5" xfId="5159" xr:uid="{00000000-0005-0000-0000-000057140000}"/>
    <cellStyle name="输出 2 7 3 4 5 2" xfId="3406" xr:uid="{00000000-0005-0000-0000-00007E0D0000}"/>
    <cellStyle name="输出 2 7 3 4 6" xfId="1104" xr:uid="{00000000-0005-0000-0000-000080040000}"/>
    <cellStyle name="输出 2 7 3 5" xfId="41627" xr:uid="{00000000-0005-0000-0000-0000CBA20000}"/>
    <cellStyle name="输出 2 7 3 5 2" xfId="41628" xr:uid="{00000000-0005-0000-0000-0000CCA20000}"/>
    <cellStyle name="输出 2 7 3 5 2 2" xfId="41629" xr:uid="{00000000-0005-0000-0000-0000CDA20000}"/>
    <cellStyle name="输出 2 7 3 5 3" xfId="41631" xr:uid="{00000000-0005-0000-0000-0000CFA20000}"/>
    <cellStyle name="输出 2 7 3 5 3 2" xfId="41632" xr:uid="{00000000-0005-0000-0000-0000D0A20000}"/>
    <cellStyle name="输出 2 7 3 5 4" xfId="41634" xr:uid="{00000000-0005-0000-0000-0000D2A20000}"/>
    <cellStyle name="输出 2 7 3 5 4 2" xfId="41635" xr:uid="{00000000-0005-0000-0000-0000D3A20000}"/>
    <cellStyle name="输出 2 7 3 5 5" xfId="5193" xr:uid="{00000000-0005-0000-0000-000079140000}"/>
    <cellStyle name="输出 2 7 3 5 5 2" xfId="5205" xr:uid="{00000000-0005-0000-0000-000085140000}"/>
    <cellStyle name="输出 2 7 3 5 6" xfId="1128" xr:uid="{00000000-0005-0000-0000-000098040000}"/>
    <cellStyle name="输出 2 7 3 6" xfId="41637" xr:uid="{00000000-0005-0000-0000-0000D5A20000}"/>
    <cellStyle name="输出 2 7 3 6 2" xfId="41639" xr:uid="{00000000-0005-0000-0000-0000D7A20000}"/>
    <cellStyle name="输出 2 7 3 6 2 2" xfId="41640" xr:uid="{00000000-0005-0000-0000-0000D8A20000}"/>
    <cellStyle name="输出 2 7 3 6 3" xfId="41642" xr:uid="{00000000-0005-0000-0000-0000DAA20000}"/>
    <cellStyle name="输出 2 7 3 6 3 2" xfId="41643" xr:uid="{00000000-0005-0000-0000-0000DBA20000}"/>
    <cellStyle name="输出 2 7 3 6 4" xfId="31691" xr:uid="{00000000-0005-0000-0000-0000FB7B0000}"/>
    <cellStyle name="输出 2 7 3 6 4 2" xfId="41645" xr:uid="{00000000-0005-0000-0000-0000DDA20000}"/>
    <cellStyle name="输出 2 7 3 6 5" xfId="3934" xr:uid="{00000000-0005-0000-0000-00008E0F0000}"/>
    <cellStyle name="输出 2 7 3 6 5 2" xfId="9645" xr:uid="{00000000-0005-0000-0000-0000DD250000}"/>
    <cellStyle name="输出 2 7 3 6 6" xfId="9655" xr:uid="{00000000-0005-0000-0000-0000E7250000}"/>
    <cellStyle name="输出 2 7 3 7" xfId="41647" xr:uid="{00000000-0005-0000-0000-0000DFA20000}"/>
    <cellStyle name="输出 2 7 3 7 2" xfId="41648" xr:uid="{00000000-0005-0000-0000-0000E0A20000}"/>
    <cellStyle name="输出 2 7 3 7 2 2" xfId="37820" xr:uid="{00000000-0005-0000-0000-0000EC930000}"/>
    <cellStyle name="输出 2 7 3 7 3" xfId="41650" xr:uid="{00000000-0005-0000-0000-0000E2A20000}"/>
    <cellStyle name="输出 2 7 3 7 3 2" xfId="37915" xr:uid="{00000000-0005-0000-0000-00004B940000}"/>
    <cellStyle name="输出 2 7 3 7 4" xfId="31696" xr:uid="{00000000-0005-0000-0000-0000007C0000}"/>
    <cellStyle name="输出 2 7 3 7 4 2" xfId="37964" xr:uid="{00000000-0005-0000-0000-00007C940000}"/>
    <cellStyle name="输出 2 7 3 7 5" xfId="9700" xr:uid="{00000000-0005-0000-0000-000014260000}"/>
    <cellStyle name="输出 2 7 3 7 5 2" xfId="9704" xr:uid="{00000000-0005-0000-0000-000018260000}"/>
    <cellStyle name="输出 2 7 3 7 6" xfId="9714" xr:uid="{00000000-0005-0000-0000-000022260000}"/>
    <cellStyle name="输出 2 7 3 8" xfId="41652" xr:uid="{00000000-0005-0000-0000-0000E4A20000}"/>
    <cellStyle name="输出 2 7 3 8 2" xfId="41653" xr:uid="{00000000-0005-0000-0000-0000E5A20000}"/>
    <cellStyle name="输出 2 7 3 8 2 2" xfId="4190" xr:uid="{00000000-0005-0000-0000-00008E100000}"/>
    <cellStyle name="输出 2 7 3 8 3" xfId="39191" xr:uid="{00000000-0005-0000-0000-000047990000}"/>
    <cellStyle name="输出 2 7 3 8 3 2" xfId="38495" xr:uid="{00000000-0005-0000-0000-00008F960000}"/>
    <cellStyle name="输出 2 7 3 8 4" xfId="31702" xr:uid="{00000000-0005-0000-0000-0000067C0000}"/>
    <cellStyle name="输出 2 7 3 8 4 2" xfId="38537" xr:uid="{00000000-0005-0000-0000-0000B9960000}"/>
    <cellStyle name="输出 2 7 3 8 5" xfId="9749" xr:uid="{00000000-0005-0000-0000-000045260000}"/>
    <cellStyle name="输出 2 7 3 9" xfId="41654" xr:uid="{00000000-0005-0000-0000-0000E6A20000}"/>
    <cellStyle name="输出 2 7 3 9 2" xfId="41655" xr:uid="{00000000-0005-0000-0000-0000E7A20000}"/>
    <cellStyle name="输出 2 7 4" xfId="36943" xr:uid="{00000000-0005-0000-0000-00007F900000}"/>
    <cellStyle name="输出 2 7 4 10" xfId="41656" xr:uid="{00000000-0005-0000-0000-0000E8A20000}"/>
    <cellStyle name="输出 2 7 4 10 2" xfId="41658" xr:uid="{00000000-0005-0000-0000-0000EAA20000}"/>
    <cellStyle name="输出 2 7 4 11" xfId="41659" xr:uid="{00000000-0005-0000-0000-0000EBA20000}"/>
    <cellStyle name="输出 2 7 4 11 2" xfId="41660" xr:uid="{00000000-0005-0000-0000-0000ECA20000}"/>
    <cellStyle name="输出 2 7 4 12" xfId="41661" xr:uid="{00000000-0005-0000-0000-0000EDA20000}"/>
    <cellStyle name="输出 2 7 4 12 2" xfId="41662" xr:uid="{00000000-0005-0000-0000-0000EEA20000}"/>
    <cellStyle name="输出 2 7 4 13" xfId="36694" xr:uid="{00000000-0005-0000-0000-0000868F0000}"/>
    <cellStyle name="输出 2 7 4 14" xfId="35277" xr:uid="{00000000-0005-0000-0000-0000FD890000}"/>
    <cellStyle name="输出 2 7 4 15" xfId="36698" xr:uid="{00000000-0005-0000-0000-00008A8F0000}"/>
    <cellStyle name="输出 2 7 4 16" xfId="36701" xr:uid="{00000000-0005-0000-0000-00008D8F0000}"/>
    <cellStyle name="输出 2 7 4 2" xfId="41663" xr:uid="{00000000-0005-0000-0000-0000EFA20000}"/>
    <cellStyle name="输出 2 7 4 2 2" xfId="41664" xr:uid="{00000000-0005-0000-0000-0000F0A20000}"/>
    <cellStyle name="输出 2 7 4 2 2 2" xfId="41665" xr:uid="{00000000-0005-0000-0000-0000F1A20000}"/>
    <cellStyle name="输出 2 7 4 2 3" xfId="41667" xr:uid="{00000000-0005-0000-0000-0000F3A20000}"/>
    <cellStyle name="输出 2 7 4 2 3 2" xfId="41668" xr:uid="{00000000-0005-0000-0000-0000F4A20000}"/>
    <cellStyle name="输出 2 7 4 2 4" xfId="41671" xr:uid="{00000000-0005-0000-0000-0000F7A20000}"/>
    <cellStyle name="输出 2 7 4 2 4 2" xfId="41672" xr:uid="{00000000-0005-0000-0000-0000F8A20000}"/>
    <cellStyle name="输出 2 7 4 2 5" xfId="649" xr:uid="{00000000-0005-0000-0000-0000B9020000}"/>
    <cellStyle name="输出 2 7 4 2 5 2" xfId="41674" xr:uid="{00000000-0005-0000-0000-0000FAA20000}"/>
    <cellStyle name="输出 2 7 4 2 6" xfId="575" xr:uid="{00000000-0005-0000-0000-00006F020000}"/>
    <cellStyle name="输出 2 7 4 2 7" xfId="41675" xr:uid="{00000000-0005-0000-0000-0000FBA20000}"/>
    <cellStyle name="输出 2 7 4 2 8" xfId="41676" xr:uid="{00000000-0005-0000-0000-0000FCA20000}"/>
    <cellStyle name="输出 2 7 4 2 9" xfId="41677" xr:uid="{00000000-0005-0000-0000-0000FDA20000}"/>
    <cellStyle name="输出 2 7 4 3" xfId="41678" xr:uid="{00000000-0005-0000-0000-0000FEA20000}"/>
    <cellStyle name="输出 2 7 4 3 2" xfId="41679" xr:uid="{00000000-0005-0000-0000-0000FFA20000}"/>
    <cellStyle name="输出 2 7 4 3 2 2" xfId="41680" xr:uid="{00000000-0005-0000-0000-000000A30000}"/>
    <cellStyle name="输出 2 7 4 3 3" xfId="41682" xr:uid="{00000000-0005-0000-0000-000002A30000}"/>
    <cellStyle name="输出 2 7 4 3 3 2" xfId="41683" xr:uid="{00000000-0005-0000-0000-000003A30000}"/>
    <cellStyle name="输出 2 7 4 3 4" xfId="41686" xr:uid="{00000000-0005-0000-0000-000006A30000}"/>
    <cellStyle name="输出 2 7 4 3 4 2" xfId="41687" xr:uid="{00000000-0005-0000-0000-000007A30000}"/>
    <cellStyle name="输出 2 7 4 3 5" xfId="661" xr:uid="{00000000-0005-0000-0000-0000C5020000}"/>
    <cellStyle name="输出 2 7 4 3 5 2" xfId="5325" xr:uid="{00000000-0005-0000-0000-0000FD140000}"/>
    <cellStyle name="输出 2 7 4 3 6" xfId="311" xr:uid="{00000000-0005-0000-0000-000056010000}"/>
    <cellStyle name="输出 2 7 4 4" xfId="41689" xr:uid="{00000000-0005-0000-0000-000009A30000}"/>
    <cellStyle name="输出 2 7 4 4 2" xfId="41690" xr:uid="{00000000-0005-0000-0000-00000AA30000}"/>
    <cellStyle name="输出 2 7 4 4 2 2" xfId="41691" xr:uid="{00000000-0005-0000-0000-00000BA30000}"/>
    <cellStyle name="输出 2 7 4 4 3" xfId="41693" xr:uid="{00000000-0005-0000-0000-00000DA30000}"/>
    <cellStyle name="输出 2 7 4 4 3 2" xfId="41694" xr:uid="{00000000-0005-0000-0000-00000EA30000}"/>
    <cellStyle name="输出 2 7 4 4 4" xfId="41696" xr:uid="{00000000-0005-0000-0000-000010A30000}"/>
    <cellStyle name="输出 2 7 4 4 4 2" xfId="41697" xr:uid="{00000000-0005-0000-0000-000011A30000}"/>
    <cellStyle name="输出 2 7 4 4 5" xfId="676" xr:uid="{00000000-0005-0000-0000-0000D4020000}"/>
    <cellStyle name="输出 2 7 4 4 5 2" xfId="5346" xr:uid="{00000000-0005-0000-0000-000012150000}"/>
    <cellStyle name="输出 2 7 4 4 6" xfId="702" xr:uid="{00000000-0005-0000-0000-0000EE020000}"/>
    <cellStyle name="输出 2 7 4 5" xfId="41699" xr:uid="{00000000-0005-0000-0000-000013A30000}"/>
    <cellStyle name="输出 2 7 4 5 2" xfId="41700" xr:uid="{00000000-0005-0000-0000-000014A30000}"/>
    <cellStyle name="输出 2 7 4 5 2 2" xfId="41701" xr:uid="{00000000-0005-0000-0000-000015A30000}"/>
    <cellStyle name="输出 2 7 4 5 3" xfId="50" xr:uid="{00000000-0005-0000-0000-000037000000}"/>
    <cellStyle name="输出 2 7 4 5 3 2" xfId="41703" xr:uid="{00000000-0005-0000-0000-000017A30000}"/>
    <cellStyle name="输出 2 7 4 5 4" xfId="41705" xr:uid="{00000000-0005-0000-0000-000019A30000}"/>
    <cellStyle name="输出 2 7 4 5 4 2" xfId="41706" xr:uid="{00000000-0005-0000-0000-00001AA30000}"/>
    <cellStyle name="输出 2 7 4 5 5" xfId="732" xr:uid="{00000000-0005-0000-0000-00000C030000}"/>
    <cellStyle name="输出 2 7 4 5 5 2" xfId="5371" xr:uid="{00000000-0005-0000-0000-00002B150000}"/>
    <cellStyle name="输出 2 7 4 5 6" xfId="545" xr:uid="{00000000-0005-0000-0000-000051020000}"/>
    <cellStyle name="输出 2 7 4 6" xfId="41708" xr:uid="{00000000-0005-0000-0000-00001CA30000}"/>
    <cellStyle name="输出 2 7 4 6 2" xfId="41709" xr:uid="{00000000-0005-0000-0000-00001DA30000}"/>
    <cellStyle name="输出 2 7 4 6 2 2" xfId="41710" xr:uid="{00000000-0005-0000-0000-00001EA30000}"/>
    <cellStyle name="输出 2 7 4 6 3" xfId="41712" xr:uid="{00000000-0005-0000-0000-000020A30000}"/>
    <cellStyle name="输出 2 7 4 6 3 2" xfId="41713" xr:uid="{00000000-0005-0000-0000-000021A30000}"/>
    <cellStyle name="输出 2 7 4 6 4" xfId="41715" xr:uid="{00000000-0005-0000-0000-000023A30000}"/>
    <cellStyle name="输出 2 7 4 6 4 2" xfId="41716" xr:uid="{00000000-0005-0000-0000-000024A30000}"/>
    <cellStyle name="输出 2 7 4 6 5" xfId="751" xr:uid="{00000000-0005-0000-0000-00001F030000}"/>
    <cellStyle name="输出 2 7 4 6 5 2" xfId="9985" xr:uid="{00000000-0005-0000-0000-000031270000}"/>
    <cellStyle name="输出 2 7 4 6 6" xfId="600" xr:uid="{00000000-0005-0000-0000-000088020000}"/>
    <cellStyle name="输出 2 7 4 7" xfId="41718" xr:uid="{00000000-0005-0000-0000-000026A30000}"/>
    <cellStyle name="输出 2 7 4 7 2" xfId="41719" xr:uid="{00000000-0005-0000-0000-000027A30000}"/>
    <cellStyle name="输出 2 7 4 7 2 2" xfId="41720" xr:uid="{00000000-0005-0000-0000-000028A30000}"/>
    <cellStyle name="输出 2 7 4 7 3" xfId="41722" xr:uid="{00000000-0005-0000-0000-00002AA30000}"/>
    <cellStyle name="输出 2 7 4 7 3 2" xfId="41723" xr:uid="{00000000-0005-0000-0000-00002BA30000}"/>
    <cellStyle name="输出 2 7 4 7 4" xfId="41725" xr:uid="{00000000-0005-0000-0000-00002DA30000}"/>
    <cellStyle name="输出 2 7 4 7 4 2" xfId="41726" xr:uid="{00000000-0005-0000-0000-00002EA30000}"/>
    <cellStyle name="输出 2 7 4 7 5" xfId="10035" xr:uid="{00000000-0005-0000-0000-000063270000}"/>
    <cellStyle name="输出 2 7 4 7 5 2" xfId="10047" xr:uid="{00000000-0005-0000-0000-00006F270000}"/>
    <cellStyle name="输出 2 7 4 7 6" xfId="10050" xr:uid="{00000000-0005-0000-0000-000072270000}"/>
    <cellStyle name="输出 2 7 4 8" xfId="41728" xr:uid="{00000000-0005-0000-0000-000030A30000}"/>
    <cellStyle name="输出 2 7 4 8 2" xfId="41729" xr:uid="{00000000-0005-0000-0000-000031A30000}"/>
    <cellStyle name="输出 2 7 4 8 2 2" xfId="41730" xr:uid="{00000000-0005-0000-0000-000032A30000}"/>
    <cellStyle name="输出 2 7 4 8 3" xfId="39199" xr:uid="{00000000-0005-0000-0000-00004F990000}"/>
    <cellStyle name="输出 2 7 4 8 3 2" xfId="41732" xr:uid="{00000000-0005-0000-0000-000034A30000}"/>
    <cellStyle name="输出 2 7 4 8 4" xfId="41734" xr:uid="{00000000-0005-0000-0000-000036A30000}"/>
    <cellStyle name="输出 2 7 4 8 4 2" xfId="41735" xr:uid="{00000000-0005-0000-0000-000037A30000}"/>
    <cellStyle name="输出 2 7 4 8 5" xfId="10095" xr:uid="{00000000-0005-0000-0000-00009F270000}"/>
    <cellStyle name="输出 2 7 4 9" xfId="41737" xr:uid="{00000000-0005-0000-0000-000039A30000}"/>
    <cellStyle name="输出 2 7 4 9 2" xfId="41738" xr:uid="{00000000-0005-0000-0000-00003AA30000}"/>
    <cellStyle name="输出 2 7 5" xfId="41739" xr:uid="{00000000-0005-0000-0000-00003BA30000}"/>
    <cellStyle name="输出 2 7 5 10" xfId="41740" xr:uid="{00000000-0005-0000-0000-00003CA30000}"/>
    <cellStyle name="输出 2 7 5 10 2" xfId="41742" xr:uid="{00000000-0005-0000-0000-00003EA30000}"/>
    <cellStyle name="输出 2 7 5 11" xfId="41743" xr:uid="{00000000-0005-0000-0000-00003FA30000}"/>
    <cellStyle name="输出 2 7 5 11 2" xfId="41744" xr:uid="{00000000-0005-0000-0000-000040A30000}"/>
    <cellStyle name="输出 2 7 5 12" xfId="41745" xr:uid="{00000000-0005-0000-0000-000041A30000}"/>
    <cellStyle name="输出 2 7 5 12 2" xfId="41746" xr:uid="{00000000-0005-0000-0000-000042A30000}"/>
    <cellStyle name="输出 2 7 5 13" xfId="36720" xr:uid="{00000000-0005-0000-0000-0000A08F0000}"/>
    <cellStyle name="输出 2 7 5 14" xfId="41747" xr:uid="{00000000-0005-0000-0000-000043A30000}"/>
    <cellStyle name="输出 2 7 5 15" xfId="41748" xr:uid="{00000000-0005-0000-0000-000044A30000}"/>
    <cellStyle name="输出 2 7 5 16" xfId="41749" xr:uid="{00000000-0005-0000-0000-000045A30000}"/>
    <cellStyle name="输出 2 7 5 2" xfId="41750" xr:uid="{00000000-0005-0000-0000-000046A30000}"/>
    <cellStyle name="输出 2 7 5 2 2" xfId="41751" xr:uid="{00000000-0005-0000-0000-000047A30000}"/>
    <cellStyle name="输出 2 7 5 2 2 2" xfId="41752" xr:uid="{00000000-0005-0000-0000-000048A30000}"/>
    <cellStyle name="输出 2 7 5 2 3" xfId="41753" xr:uid="{00000000-0005-0000-0000-000049A30000}"/>
    <cellStyle name="输出 2 7 5 2 3 2" xfId="41754" xr:uid="{00000000-0005-0000-0000-00004AA30000}"/>
    <cellStyle name="输出 2 7 5 2 4" xfId="41755" xr:uid="{00000000-0005-0000-0000-00004BA30000}"/>
    <cellStyle name="输出 2 7 5 2 4 2" xfId="41756" xr:uid="{00000000-0005-0000-0000-00004CA30000}"/>
    <cellStyle name="输出 2 7 5 2 5" xfId="41757" xr:uid="{00000000-0005-0000-0000-00004DA30000}"/>
    <cellStyle name="输出 2 7 5 2 5 2" xfId="41759" xr:uid="{00000000-0005-0000-0000-00004FA30000}"/>
    <cellStyle name="输出 2 7 5 2 6" xfId="41760" xr:uid="{00000000-0005-0000-0000-000050A30000}"/>
    <cellStyle name="输出 2 7 5 2 7" xfId="41761" xr:uid="{00000000-0005-0000-0000-000051A30000}"/>
    <cellStyle name="输出 2 7 5 2 8" xfId="41762" xr:uid="{00000000-0005-0000-0000-000052A30000}"/>
    <cellStyle name="输出 2 7 5 2 9" xfId="41763" xr:uid="{00000000-0005-0000-0000-000053A30000}"/>
    <cellStyle name="输出 2 7 5 3" xfId="41764" xr:uid="{00000000-0005-0000-0000-000054A30000}"/>
    <cellStyle name="输出 2 7 5 3 2" xfId="41765" xr:uid="{00000000-0005-0000-0000-000055A30000}"/>
    <cellStyle name="输出 2 7 5 3 2 2" xfId="41766" xr:uid="{00000000-0005-0000-0000-000056A30000}"/>
    <cellStyle name="输出 2 7 5 3 3" xfId="41767" xr:uid="{00000000-0005-0000-0000-000057A30000}"/>
    <cellStyle name="输出 2 7 5 3 3 2" xfId="41768" xr:uid="{00000000-0005-0000-0000-000058A30000}"/>
    <cellStyle name="输出 2 7 5 3 4" xfId="41770" xr:uid="{00000000-0005-0000-0000-00005AA30000}"/>
    <cellStyle name="输出 2 7 5 3 4 2" xfId="41771" xr:uid="{00000000-0005-0000-0000-00005BA30000}"/>
    <cellStyle name="输出 2 7 5 3 5" xfId="5525" xr:uid="{00000000-0005-0000-0000-0000C5150000}"/>
    <cellStyle name="输出 2 7 5 3 5 2" xfId="2661" xr:uid="{00000000-0005-0000-0000-0000950A0000}"/>
    <cellStyle name="输出 2 7 5 3 6" xfId="5529" xr:uid="{00000000-0005-0000-0000-0000C9150000}"/>
    <cellStyle name="输出 2 7 5 4" xfId="41772" xr:uid="{00000000-0005-0000-0000-00005CA30000}"/>
    <cellStyle name="输出 2 7 5 4 2" xfId="16075" xr:uid="{00000000-0005-0000-0000-0000FB3E0000}"/>
    <cellStyle name="输出 2 7 5 4 2 2" xfId="16081" xr:uid="{00000000-0005-0000-0000-0000013F0000}"/>
    <cellStyle name="输出 2 7 5 4 3" xfId="16083" xr:uid="{00000000-0005-0000-0000-0000033F0000}"/>
    <cellStyle name="输出 2 7 5 4 3 2" xfId="41773" xr:uid="{00000000-0005-0000-0000-00005DA30000}"/>
    <cellStyle name="输出 2 7 5 4 4" xfId="16085" xr:uid="{00000000-0005-0000-0000-0000053F0000}"/>
    <cellStyle name="输出 2 7 5 4 4 2" xfId="41774" xr:uid="{00000000-0005-0000-0000-00005EA30000}"/>
    <cellStyle name="输出 2 7 5 4 5" xfId="5568" xr:uid="{00000000-0005-0000-0000-0000F0150000}"/>
    <cellStyle name="输出 2 7 5 4 5 2" xfId="2755" xr:uid="{00000000-0005-0000-0000-0000F30A0000}"/>
    <cellStyle name="输出 2 7 5 4 6" xfId="5575" xr:uid="{00000000-0005-0000-0000-0000F7150000}"/>
    <cellStyle name="输出 2 7 5 5" xfId="41775" xr:uid="{00000000-0005-0000-0000-00005FA30000}"/>
    <cellStyle name="输出 2 7 5 5 2" xfId="16103" xr:uid="{00000000-0005-0000-0000-0000173F0000}"/>
    <cellStyle name="输出 2 7 5 5 2 2" xfId="16108" xr:uid="{00000000-0005-0000-0000-00001C3F0000}"/>
    <cellStyle name="输出 2 7 5 5 3" xfId="16110" xr:uid="{00000000-0005-0000-0000-00001E3F0000}"/>
    <cellStyle name="输出 2 7 5 5 3 2" xfId="41776" xr:uid="{00000000-0005-0000-0000-000060A30000}"/>
    <cellStyle name="输出 2 7 5 5 4" xfId="41777" xr:uid="{00000000-0005-0000-0000-000061A30000}"/>
    <cellStyle name="输出 2 7 5 5 4 2" xfId="41778" xr:uid="{00000000-0005-0000-0000-000062A30000}"/>
    <cellStyle name="输出 2 7 5 5 5" xfId="2810" xr:uid="{00000000-0005-0000-0000-00002A0B0000}"/>
    <cellStyle name="输出 2 7 5 5 5 2" xfId="5296" xr:uid="{00000000-0005-0000-0000-0000E0140000}"/>
    <cellStyle name="输出 2 7 5 5 6" xfId="4002" xr:uid="{00000000-0005-0000-0000-0000D20F0000}"/>
    <cellStyle name="输出 2 7 5 6" xfId="41779" xr:uid="{00000000-0005-0000-0000-000063A30000}"/>
    <cellStyle name="输出 2 7 5 6 2" xfId="16118" xr:uid="{00000000-0005-0000-0000-0000263F0000}"/>
    <cellStyle name="输出 2 7 5 6 2 2" xfId="16123" xr:uid="{00000000-0005-0000-0000-00002B3F0000}"/>
    <cellStyle name="输出 2 7 5 6 3" xfId="16125" xr:uid="{00000000-0005-0000-0000-00002D3F0000}"/>
    <cellStyle name="输出 2 7 5 6 3 2" xfId="41780" xr:uid="{00000000-0005-0000-0000-000064A30000}"/>
    <cellStyle name="输出 2 7 5 6 4" xfId="41781" xr:uid="{00000000-0005-0000-0000-000065A30000}"/>
    <cellStyle name="输出 2 7 5 6 4 2" xfId="1668" xr:uid="{00000000-0005-0000-0000-0000B4060000}"/>
    <cellStyle name="输出 2 7 5 6 5" xfId="5595" xr:uid="{00000000-0005-0000-0000-00000B160000}"/>
    <cellStyle name="输出 2 7 5 6 5 2" xfId="10290" xr:uid="{00000000-0005-0000-0000-000062280000}"/>
    <cellStyle name="输出 2 7 5 6 6" xfId="7806" xr:uid="{00000000-0005-0000-0000-0000AE1E0000}"/>
    <cellStyle name="输出 2 7 5 7" xfId="41782" xr:uid="{00000000-0005-0000-0000-000066A30000}"/>
    <cellStyle name="输出 2 7 5 7 2" xfId="16136" xr:uid="{00000000-0005-0000-0000-0000383F0000}"/>
    <cellStyle name="输出 2 7 5 7 2 2" xfId="12422" xr:uid="{00000000-0005-0000-0000-0000B6300000}"/>
    <cellStyle name="输出 2 7 5 7 3" xfId="16138" xr:uid="{00000000-0005-0000-0000-00003A3F0000}"/>
    <cellStyle name="输出 2 7 5 7 3 2" xfId="41783" xr:uid="{00000000-0005-0000-0000-000067A30000}"/>
    <cellStyle name="输出 2 7 5 7 4" xfId="41784" xr:uid="{00000000-0005-0000-0000-000068A30000}"/>
    <cellStyle name="输出 2 7 5 7 4 2" xfId="5248" xr:uid="{00000000-0005-0000-0000-0000B0140000}"/>
    <cellStyle name="输出 2 7 5 7 5" xfId="10336" xr:uid="{00000000-0005-0000-0000-000090280000}"/>
    <cellStyle name="输出 2 7 5 7 5 2" xfId="10346" xr:uid="{00000000-0005-0000-0000-00009A280000}"/>
    <cellStyle name="输出 2 7 5 7 6" xfId="10350" xr:uid="{00000000-0005-0000-0000-00009E280000}"/>
    <cellStyle name="输出 2 7 5 8" xfId="41785" xr:uid="{00000000-0005-0000-0000-000069A30000}"/>
    <cellStyle name="输出 2 7 5 8 2" xfId="2655" xr:uid="{00000000-0005-0000-0000-00008F0A0000}"/>
    <cellStyle name="输出 2 7 5 8 2 2" xfId="12248" xr:uid="{00000000-0005-0000-0000-000008300000}"/>
    <cellStyle name="输出 2 7 5 8 3" xfId="12253" xr:uid="{00000000-0005-0000-0000-00000D300000}"/>
    <cellStyle name="输出 2 7 5 8 3 2" xfId="41786" xr:uid="{00000000-0005-0000-0000-00006AA30000}"/>
    <cellStyle name="输出 2 7 5 8 4" xfId="41787" xr:uid="{00000000-0005-0000-0000-00006BA30000}"/>
    <cellStyle name="输出 2 7 5 8 4 2" xfId="41788" xr:uid="{00000000-0005-0000-0000-00006CA30000}"/>
    <cellStyle name="输出 2 7 5 8 5" xfId="10392" xr:uid="{00000000-0005-0000-0000-0000C8280000}"/>
    <cellStyle name="输出 2 7 5 9" xfId="41789" xr:uid="{00000000-0005-0000-0000-00006DA30000}"/>
    <cellStyle name="输出 2 7 5 9 2" xfId="10180" xr:uid="{00000000-0005-0000-0000-0000F4270000}"/>
    <cellStyle name="输出 2 7 6" xfId="41791" xr:uid="{00000000-0005-0000-0000-00006FA30000}"/>
    <cellStyle name="输出 2 7 6 10" xfId="41792" xr:uid="{00000000-0005-0000-0000-000070A30000}"/>
    <cellStyle name="输出 2 7 6 10 2" xfId="27333" xr:uid="{00000000-0005-0000-0000-0000F56A0000}"/>
    <cellStyle name="输出 2 7 6 11" xfId="41793" xr:uid="{00000000-0005-0000-0000-000071A30000}"/>
    <cellStyle name="输出 2 7 6 11 2" xfId="30004" xr:uid="{00000000-0005-0000-0000-000064750000}"/>
    <cellStyle name="输出 2 7 6 12" xfId="41796" xr:uid="{00000000-0005-0000-0000-000074A30000}"/>
    <cellStyle name="输出 2 7 6 12 2" xfId="31323" xr:uid="{00000000-0005-0000-0000-00008B7A0000}"/>
    <cellStyle name="输出 2 7 6 13" xfId="39681" xr:uid="{00000000-0005-0000-0000-0000319B0000}"/>
    <cellStyle name="输出 2 7 6 14" xfId="24715" xr:uid="{00000000-0005-0000-0000-0000BB600000}"/>
    <cellStyle name="输出 2 7 6 15" xfId="41797" xr:uid="{00000000-0005-0000-0000-000075A30000}"/>
    <cellStyle name="输出 2 7 6 16" xfId="26352" xr:uid="{00000000-0005-0000-0000-000020670000}"/>
    <cellStyle name="输出 2 7 6 2" xfId="41798" xr:uid="{00000000-0005-0000-0000-000076A30000}"/>
    <cellStyle name="输出 2 7 6 2 2" xfId="41799" xr:uid="{00000000-0005-0000-0000-000077A30000}"/>
    <cellStyle name="输出 2 7 6 2 2 2" xfId="41800" xr:uid="{00000000-0005-0000-0000-000078A30000}"/>
    <cellStyle name="输出 2 7 6 2 3" xfId="41802" xr:uid="{00000000-0005-0000-0000-00007AA30000}"/>
    <cellStyle name="输出 2 7 6 2 3 2" xfId="41803" xr:uid="{00000000-0005-0000-0000-00007BA30000}"/>
    <cellStyle name="输出 2 7 6 2 4" xfId="41805" xr:uid="{00000000-0005-0000-0000-00007DA30000}"/>
    <cellStyle name="输出 2 7 6 2 4 2" xfId="41806" xr:uid="{00000000-0005-0000-0000-00007EA30000}"/>
    <cellStyle name="输出 2 7 6 2 5" xfId="41807" xr:uid="{00000000-0005-0000-0000-00007FA30000}"/>
    <cellStyle name="输出 2 7 6 2 5 2" xfId="41809" xr:uid="{00000000-0005-0000-0000-000081A30000}"/>
    <cellStyle name="输出 2 7 6 2 6" xfId="41811" xr:uid="{00000000-0005-0000-0000-000083A30000}"/>
    <cellStyle name="输出 2 7 6 2 7" xfId="41813" xr:uid="{00000000-0005-0000-0000-000085A30000}"/>
    <cellStyle name="输出 2 7 6 2 8" xfId="41815" xr:uid="{00000000-0005-0000-0000-000087A30000}"/>
    <cellStyle name="输出 2 7 6 2 9" xfId="41817" xr:uid="{00000000-0005-0000-0000-000089A30000}"/>
    <cellStyle name="输出 2 7 6 3" xfId="41820" xr:uid="{00000000-0005-0000-0000-00008CA30000}"/>
    <cellStyle name="输出 2 7 6 3 2" xfId="5820" xr:uid="{00000000-0005-0000-0000-0000EC160000}"/>
    <cellStyle name="输出 2 7 6 3 2 2" xfId="5835" xr:uid="{00000000-0005-0000-0000-0000FB160000}"/>
    <cellStyle name="输出 2 7 6 3 3" xfId="5849" xr:uid="{00000000-0005-0000-0000-000009170000}"/>
    <cellStyle name="输出 2 7 6 3 3 2" xfId="5864" xr:uid="{00000000-0005-0000-0000-000018170000}"/>
    <cellStyle name="输出 2 7 6 3 4" xfId="5880" xr:uid="{00000000-0005-0000-0000-000028170000}"/>
    <cellStyle name="输出 2 7 6 3 4 2" xfId="5894" xr:uid="{00000000-0005-0000-0000-000036170000}"/>
    <cellStyle name="输出 2 7 6 3 5" xfId="5921" xr:uid="{00000000-0005-0000-0000-000051170000}"/>
    <cellStyle name="输出 2 7 6 3 5 2" xfId="5939" xr:uid="{00000000-0005-0000-0000-000063170000}"/>
    <cellStyle name="输出 2 7 6 3 6" xfId="5955" xr:uid="{00000000-0005-0000-0000-000073170000}"/>
    <cellStyle name="输出 2 7 6 4" xfId="41821" xr:uid="{00000000-0005-0000-0000-00008DA30000}"/>
    <cellStyle name="输出 2 7 6 4 2" xfId="5982" xr:uid="{00000000-0005-0000-0000-00008E170000}"/>
    <cellStyle name="输出 2 7 6 4 2 2" xfId="16200" xr:uid="{00000000-0005-0000-0000-0000783F0000}"/>
    <cellStyle name="输出 2 7 6 4 3" xfId="5997" xr:uid="{00000000-0005-0000-0000-00009D170000}"/>
    <cellStyle name="输出 2 7 6 4 3 2" xfId="41822" xr:uid="{00000000-0005-0000-0000-00008EA30000}"/>
    <cellStyle name="输出 2 7 6 4 4" xfId="16203" xr:uid="{00000000-0005-0000-0000-00007B3F0000}"/>
    <cellStyle name="输出 2 7 6 4 4 2" xfId="41823" xr:uid="{00000000-0005-0000-0000-00008FA30000}"/>
    <cellStyle name="输出 2 7 6 4 5" xfId="6027" xr:uid="{00000000-0005-0000-0000-0000BB170000}"/>
    <cellStyle name="输出 2 7 6 4 5 2" xfId="6044" xr:uid="{00000000-0005-0000-0000-0000CC170000}"/>
    <cellStyle name="输出 2 7 6 4 6" xfId="6060" xr:uid="{00000000-0005-0000-0000-0000DC170000}"/>
    <cellStyle name="输出 2 7 6 5" xfId="41824" xr:uid="{00000000-0005-0000-0000-000090A30000}"/>
    <cellStyle name="输出 2 7 6 5 2" xfId="16078" xr:uid="{00000000-0005-0000-0000-0000FE3E0000}"/>
    <cellStyle name="输出 2 7 6 5 2 2" xfId="16227" xr:uid="{00000000-0005-0000-0000-0000933F0000}"/>
    <cellStyle name="输出 2 7 6 5 3" xfId="16230" xr:uid="{00000000-0005-0000-0000-0000963F0000}"/>
    <cellStyle name="输出 2 7 6 5 3 2" xfId="41825" xr:uid="{00000000-0005-0000-0000-000091A30000}"/>
    <cellStyle name="输出 2 7 6 5 4" xfId="41826" xr:uid="{00000000-0005-0000-0000-000092A30000}"/>
    <cellStyle name="输出 2 7 6 5 4 2" xfId="41827" xr:uid="{00000000-0005-0000-0000-000093A30000}"/>
    <cellStyle name="输出 2 7 6 5 5" xfId="3223" xr:uid="{00000000-0005-0000-0000-0000C70C0000}"/>
    <cellStyle name="输出 2 7 6 5 5 2" xfId="6085" xr:uid="{00000000-0005-0000-0000-0000F5170000}"/>
    <cellStyle name="输出 2 7 6 5 6" xfId="5470" xr:uid="{00000000-0005-0000-0000-00008E150000}"/>
    <cellStyle name="输出 2 7 6 6" xfId="41828" xr:uid="{00000000-0005-0000-0000-000094A30000}"/>
    <cellStyle name="输出 2 7 6 6 2" xfId="16246" xr:uid="{00000000-0005-0000-0000-0000A63F0000}"/>
    <cellStyle name="输出 2 7 6 6 2 2" xfId="16257" xr:uid="{00000000-0005-0000-0000-0000B13F0000}"/>
    <cellStyle name="输出 2 7 6 6 3" xfId="16260" xr:uid="{00000000-0005-0000-0000-0000B43F0000}"/>
    <cellStyle name="输出 2 7 6 6 3 2" xfId="41829" xr:uid="{00000000-0005-0000-0000-000095A30000}"/>
    <cellStyle name="输出 2 7 6 6 4" xfId="41830" xr:uid="{00000000-0005-0000-0000-000096A30000}"/>
    <cellStyle name="输出 2 7 6 6 4 2" xfId="41831" xr:uid="{00000000-0005-0000-0000-000097A30000}"/>
    <cellStyle name="输出 2 7 6 6 5" xfId="6131" xr:uid="{00000000-0005-0000-0000-000023180000}"/>
    <cellStyle name="输出 2 7 6 6 5 2" xfId="10666" xr:uid="{00000000-0005-0000-0000-0000DA290000}"/>
    <cellStyle name="输出 2 7 6 6 6" xfId="7826" xr:uid="{00000000-0005-0000-0000-0000C21E0000}"/>
    <cellStyle name="输出 2 7 6 7" xfId="41832" xr:uid="{00000000-0005-0000-0000-000098A30000}"/>
    <cellStyle name="输出 2 7 6 7 2" xfId="16279" xr:uid="{00000000-0005-0000-0000-0000C73F0000}"/>
    <cellStyle name="输出 2 7 6 7 2 2" xfId="13690" xr:uid="{00000000-0005-0000-0000-0000AA350000}"/>
    <cellStyle name="输出 2 7 6 7 3" xfId="16283" xr:uid="{00000000-0005-0000-0000-0000CB3F0000}"/>
    <cellStyle name="输出 2 7 6 7 3 2" xfId="41833" xr:uid="{00000000-0005-0000-0000-000099A30000}"/>
    <cellStyle name="输出 2 7 6 7 4" xfId="41834" xr:uid="{00000000-0005-0000-0000-00009AA30000}"/>
    <cellStyle name="输出 2 7 6 7 4 2" xfId="41835" xr:uid="{00000000-0005-0000-0000-00009BA30000}"/>
    <cellStyle name="输出 2 7 6 7 5" xfId="10720" xr:uid="{00000000-0005-0000-0000-0000102A0000}"/>
    <cellStyle name="输出 2 7 6 7 5 2" xfId="10738" xr:uid="{00000000-0005-0000-0000-0000222A0000}"/>
    <cellStyle name="输出 2 7 6 7 6" xfId="10746" xr:uid="{00000000-0005-0000-0000-00002A2A0000}"/>
    <cellStyle name="输出 2 7 6 8" xfId="41836" xr:uid="{00000000-0005-0000-0000-00009CA30000}"/>
    <cellStyle name="输出 2 7 6 8 2" xfId="2751" xr:uid="{00000000-0005-0000-0000-0000EF0A0000}"/>
    <cellStyle name="输出 2 7 6 8 2 2" xfId="14021" xr:uid="{00000000-0005-0000-0000-0000F5360000}"/>
    <cellStyle name="输出 2 7 6 8 3" xfId="14039" xr:uid="{00000000-0005-0000-0000-000007370000}"/>
    <cellStyle name="输出 2 7 6 8 3 2" xfId="14052" xr:uid="{00000000-0005-0000-0000-000014370000}"/>
    <cellStyle name="输出 2 7 6 8 4" xfId="14087" xr:uid="{00000000-0005-0000-0000-000037370000}"/>
    <cellStyle name="输出 2 7 6 8 4 2" xfId="14100" xr:uid="{00000000-0005-0000-0000-000044370000}"/>
    <cellStyle name="输出 2 7 6 8 5" xfId="10794" xr:uid="{00000000-0005-0000-0000-00005A2A0000}"/>
    <cellStyle name="输出 2 7 6 9" xfId="41837" xr:uid="{00000000-0005-0000-0000-00009DA30000}"/>
    <cellStyle name="输出 2 7 6 9 2" xfId="10241" xr:uid="{00000000-0005-0000-0000-000031280000}"/>
    <cellStyle name="输出 2 7 7" xfId="15222" xr:uid="{00000000-0005-0000-0000-0000A63B0000}"/>
    <cellStyle name="输出 2 7 7 10" xfId="41839" xr:uid="{00000000-0005-0000-0000-00009FA30000}"/>
    <cellStyle name="输出 2 7 7 10 2" xfId="41840" xr:uid="{00000000-0005-0000-0000-0000A0A30000}"/>
    <cellStyle name="输出 2 7 7 11" xfId="41841" xr:uid="{00000000-0005-0000-0000-0000A1A30000}"/>
    <cellStyle name="输出 2 7 7 11 2" xfId="28363" xr:uid="{00000000-0005-0000-0000-0000FB6E0000}"/>
    <cellStyle name="输出 2 7 7 12" xfId="41842" xr:uid="{00000000-0005-0000-0000-0000A2A30000}"/>
    <cellStyle name="输出 2 7 7 12 2" xfId="28367" xr:uid="{00000000-0005-0000-0000-0000FF6E0000}"/>
    <cellStyle name="输出 2 7 7 13" xfId="41843" xr:uid="{00000000-0005-0000-0000-0000A3A30000}"/>
    <cellStyle name="输出 2 7 7 14" xfId="41844" xr:uid="{00000000-0005-0000-0000-0000A4A30000}"/>
    <cellStyle name="输出 2 7 7 15" xfId="41845" xr:uid="{00000000-0005-0000-0000-0000A5A30000}"/>
    <cellStyle name="输出 2 7 7 16" xfId="41846" xr:uid="{00000000-0005-0000-0000-0000A6A30000}"/>
    <cellStyle name="输出 2 7 7 2" xfId="15226" xr:uid="{00000000-0005-0000-0000-0000AA3B0000}"/>
    <cellStyle name="输出 2 7 7 2 2" xfId="41847" xr:uid="{00000000-0005-0000-0000-0000A7A30000}"/>
    <cellStyle name="输出 2 7 7 2 2 2" xfId="41848" xr:uid="{00000000-0005-0000-0000-0000A8A30000}"/>
    <cellStyle name="输出 2 7 7 2 3" xfId="41849" xr:uid="{00000000-0005-0000-0000-0000A9A30000}"/>
    <cellStyle name="输出 2 7 7 2 3 2" xfId="41850" xr:uid="{00000000-0005-0000-0000-0000AAA30000}"/>
    <cellStyle name="输出 2 7 7 2 4" xfId="39920" xr:uid="{00000000-0005-0000-0000-0000209C0000}"/>
    <cellStyle name="输出 2 7 7 2 4 2" xfId="41851" xr:uid="{00000000-0005-0000-0000-0000ABA30000}"/>
    <cellStyle name="输出 2 7 7 2 5" xfId="41852" xr:uid="{00000000-0005-0000-0000-0000ACA30000}"/>
    <cellStyle name="输出 2 7 7 2 5 2" xfId="41853" xr:uid="{00000000-0005-0000-0000-0000ADA30000}"/>
    <cellStyle name="输出 2 7 7 2 6" xfId="41854" xr:uid="{00000000-0005-0000-0000-0000AEA30000}"/>
    <cellStyle name="输出 2 7 7 2 7" xfId="41855" xr:uid="{00000000-0005-0000-0000-0000AFA30000}"/>
    <cellStyle name="输出 2 7 7 2 8" xfId="41856" xr:uid="{00000000-0005-0000-0000-0000B0A30000}"/>
    <cellStyle name="输出 2 7 7 2 9" xfId="41857" xr:uid="{00000000-0005-0000-0000-0000B1A30000}"/>
    <cellStyle name="输出 2 7 7 3" xfId="41859" xr:uid="{00000000-0005-0000-0000-0000B3A30000}"/>
    <cellStyle name="输出 2 7 7 3 2" xfId="16095" xr:uid="{00000000-0005-0000-0000-00000F3F0000}"/>
    <cellStyle name="输出 2 7 7 3 2 2" xfId="19452" xr:uid="{00000000-0005-0000-0000-00002C4C0000}"/>
    <cellStyle name="输出 2 7 7 3 3" xfId="20369" xr:uid="{00000000-0005-0000-0000-0000C14F0000}"/>
    <cellStyle name="输出 2 7 7 3 3 2" xfId="19489" xr:uid="{00000000-0005-0000-0000-0000514C0000}"/>
    <cellStyle name="输出 2 7 7 3 4" xfId="20381" xr:uid="{00000000-0005-0000-0000-0000CD4F0000}"/>
    <cellStyle name="输出 2 7 7 3 4 2" xfId="19525" xr:uid="{00000000-0005-0000-0000-0000754C0000}"/>
    <cellStyle name="输出 2 7 7 3 5" xfId="6288" xr:uid="{00000000-0005-0000-0000-0000C0180000}"/>
    <cellStyle name="输出 2 7 7 3 5 2" xfId="6302" xr:uid="{00000000-0005-0000-0000-0000CE180000}"/>
    <cellStyle name="输出 2 7 7 3 6" xfId="6315" xr:uid="{00000000-0005-0000-0000-0000DB180000}"/>
    <cellStyle name="输出 2 7 7 4" xfId="41860" xr:uid="{00000000-0005-0000-0000-0000B4A30000}"/>
    <cellStyle name="输出 2 7 7 4 2" xfId="16100" xr:uid="{00000000-0005-0000-0000-0000143F0000}"/>
    <cellStyle name="输出 2 7 7 4 2 2" xfId="16340" xr:uid="{00000000-0005-0000-0000-000004400000}"/>
    <cellStyle name="输出 2 7 7 4 3" xfId="16343" xr:uid="{00000000-0005-0000-0000-000007400000}"/>
    <cellStyle name="输出 2 7 7 4 3 2" xfId="41861" xr:uid="{00000000-0005-0000-0000-0000B5A30000}"/>
    <cellStyle name="输出 2 7 7 4 4" xfId="16346" xr:uid="{00000000-0005-0000-0000-00000A400000}"/>
    <cellStyle name="输出 2 7 7 4 4 2" xfId="41862" xr:uid="{00000000-0005-0000-0000-0000B6A30000}"/>
    <cellStyle name="输出 2 7 7 4 5" xfId="6362" xr:uid="{00000000-0005-0000-0000-00000A190000}"/>
    <cellStyle name="输出 2 7 7 4 5 2" xfId="2371" xr:uid="{00000000-0005-0000-0000-000073090000}"/>
    <cellStyle name="输出 2 7 7 4 6" xfId="2359" xr:uid="{00000000-0005-0000-0000-000067090000}"/>
    <cellStyle name="输出 2 7 7 5" xfId="41863" xr:uid="{00000000-0005-0000-0000-0000B7A30000}"/>
    <cellStyle name="输出 2 7 7 5 2" xfId="16106" xr:uid="{00000000-0005-0000-0000-00001A3F0000}"/>
    <cellStyle name="输出 2 7 7 5 2 2" xfId="16363" xr:uid="{00000000-0005-0000-0000-00001B400000}"/>
    <cellStyle name="输出 2 7 7 5 3" xfId="16366" xr:uid="{00000000-0005-0000-0000-00001E400000}"/>
    <cellStyle name="输出 2 7 7 5 3 2" xfId="41864" xr:uid="{00000000-0005-0000-0000-0000B8A30000}"/>
    <cellStyle name="输出 2 7 7 5 4" xfId="41865" xr:uid="{00000000-0005-0000-0000-0000B9A30000}"/>
    <cellStyle name="输出 2 7 7 5 4 2" xfId="41866" xr:uid="{00000000-0005-0000-0000-0000BAA30000}"/>
    <cellStyle name="输出 2 7 7 5 5" xfId="6376" xr:uid="{00000000-0005-0000-0000-000018190000}"/>
    <cellStyle name="输出 2 7 7 5 5 2" xfId="6387" xr:uid="{00000000-0005-0000-0000-000023190000}"/>
    <cellStyle name="输出 2 7 7 5 6" xfId="6398" xr:uid="{00000000-0005-0000-0000-00002E190000}"/>
    <cellStyle name="输出 2 7 7 6" xfId="41867" xr:uid="{00000000-0005-0000-0000-0000BBA30000}"/>
    <cellStyle name="输出 2 7 7 6 2" xfId="16386" xr:uid="{00000000-0005-0000-0000-000032400000}"/>
    <cellStyle name="输出 2 7 7 6 2 2" xfId="10467" xr:uid="{00000000-0005-0000-0000-000013290000}"/>
    <cellStyle name="输出 2 7 7 6 3" xfId="16389" xr:uid="{00000000-0005-0000-0000-000035400000}"/>
    <cellStyle name="输出 2 7 7 6 3 2" xfId="41868" xr:uid="{00000000-0005-0000-0000-0000BCA30000}"/>
    <cellStyle name="输出 2 7 7 6 4" xfId="41869" xr:uid="{00000000-0005-0000-0000-0000BDA30000}"/>
    <cellStyle name="输出 2 7 7 6 4 2" xfId="41870" xr:uid="{00000000-0005-0000-0000-0000BEA30000}"/>
    <cellStyle name="输出 2 7 7 6 5" xfId="6439" xr:uid="{00000000-0005-0000-0000-000057190000}"/>
    <cellStyle name="输出 2 7 7 6 5 2" xfId="6445" xr:uid="{00000000-0005-0000-0000-00005D190000}"/>
    <cellStyle name="输出 2 7 7 6 6" xfId="6453" xr:uid="{00000000-0005-0000-0000-000065190000}"/>
    <cellStyle name="输出 2 7 7 7" xfId="41871" xr:uid="{00000000-0005-0000-0000-0000BFA30000}"/>
    <cellStyle name="输出 2 7 7 7 2" xfId="16409" xr:uid="{00000000-0005-0000-0000-000049400000}"/>
    <cellStyle name="输出 2 7 7 7 2 2" xfId="15457" xr:uid="{00000000-0005-0000-0000-0000913C0000}"/>
    <cellStyle name="输出 2 7 7 7 3" xfId="16412" xr:uid="{00000000-0005-0000-0000-00004C400000}"/>
    <cellStyle name="输出 2 7 7 7 3 2" xfId="41872" xr:uid="{00000000-0005-0000-0000-0000C0A30000}"/>
    <cellStyle name="输出 2 7 7 7 4" xfId="41873" xr:uid="{00000000-0005-0000-0000-0000C1A30000}"/>
    <cellStyle name="输出 2 7 7 7 4 2" xfId="41874" xr:uid="{00000000-0005-0000-0000-0000C2A30000}"/>
    <cellStyle name="输出 2 7 7 7 5" xfId="4390" xr:uid="{00000000-0005-0000-0000-000056110000}"/>
    <cellStyle name="输出 2 7 7 7 5 2" xfId="6477" xr:uid="{00000000-0005-0000-0000-00007D190000}"/>
    <cellStyle name="输出 2 7 7 7 6" xfId="92" xr:uid="{00000000-0005-0000-0000-000063000000}"/>
    <cellStyle name="输出 2 7 7 8" xfId="25100" xr:uid="{00000000-0005-0000-0000-00003C620000}"/>
    <cellStyle name="输出 2 7 7 8 2" xfId="5301" xr:uid="{00000000-0005-0000-0000-0000E5140000}"/>
    <cellStyle name="输出 2 7 7 8 2 2" xfId="16434" xr:uid="{00000000-0005-0000-0000-000062400000}"/>
    <cellStyle name="输出 2 7 7 8 3" xfId="16440" xr:uid="{00000000-0005-0000-0000-000068400000}"/>
    <cellStyle name="输出 2 7 7 8 3 2" xfId="21709" xr:uid="{00000000-0005-0000-0000-0000FD540000}"/>
    <cellStyle name="输出 2 7 7 8 4" xfId="21727" xr:uid="{00000000-0005-0000-0000-00000F550000}"/>
    <cellStyle name="输出 2 7 7 8 4 2" xfId="21732" xr:uid="{00000000-0005-0000-0000-000014550000}"/>
    <cellStyle name="输出 2 7 7 8 5" xfId="6511" xr:uid="{00000000-0005-0000-0000-00009F190000}"/>
    <cellStyle name="输出 2 7 7 9" xfId="41875" xr:uid="{00000000-0005-0000-0000-0000C3A30000}"/>
    <cellStyle name="输出 2 7 7 9 2" xfId="10251" xr:uid="{00000000-0005-0000-0000-00003B280000}"/>
    <cellStyle name="输出 2 7 8" xfId="15230" xr:uid="{00000000-0005-0000-0000-0000AE3B0000}"/>
    <cellStyle name="输出 2 7 8 10" xfId="24116" xr:uid="{00000000-0005-0000-0000-0000645E0000}"/>
    <cellStyle name="输出 2 7 8 10 2" xfId="41877" xr:uid="{00000000-0005-0000-0000-0000C5A30000}"/>
    <cellStyle name="输出 2 7 8 11" xfId="41878" xr:uid="{00000000-0005-0000-0000-0000C6A30000}"/>
    <cellStyle name="输出 2 7 8 11 2" xfId="24135" xr:uid="{00000000-0005-0000-0000-0000775E0000}"/>
    <cellStyle name="输出 2 7 8 12" xfId="41880" xr:uid="{00000000-0005-0000-0000-0000C8A30000}"/>
    <cellStyle name="输出 2 7 8 12 2" xfId="41638" xr:uid="{00000000-0005-0000-0000-0000D6A20000}"/>
    <cellStyle name="输出 2 7 8 13" xfId="41881" xr:uid="{00000000-0005-0000-0000-0000C9A30000}"/>
    <cellStyle name="输出 2 7 8 14" xfId="41882" xr:uid="{00000000-0005-0000-0000-0000CAA30000}"/>
    <cellStyle name="输出 2 7 8 15" xfId="41883" xr:uid="{00000000-0005-0000-0000-0000CBA30000}"/>
    <cellStyle name="输出 2 7 8 16" xfId="33918" xr:uid="{00000000-0005-0000-0000-0000AE840000}"/>
    <cellStyle name="输出 2 7 8 2" xfId="15234" xr:uid="{00000000-0005-0000-0000-0000B23B0000}"/>
    <cellStyle name="输出 2 7 8 2 2" xfId="13366" xr:uid="{00000000-0005-0000-0000-000066340000}"/>
    <cellStyle name="输出 2 7 8 2 2 2" xfId="6909" xr:uid="{00000000-0005-0000-0000-00002D1B0000}"/>
    <cellStyle name="输出 2 7 8 2 3" xfId="13483" xr:uid="{00000000-0005-0000-0000-0000DB340000}"/>
    <cellStyle name="输出 2 7 8 2 3 2" xfId="6975" xr:uid="{00000000-0005-0000-0000-00006F1B0000}"/>
    <cellStyle name="输出 2 7 8 2 4" xfId="13486" xr:uid="{00000000-0005-0000-0000-0000DE340000}"/>
    <cellStyle name="输出 2 7 8 2 4 2" xfId="7032" xr:uid="{00000000-0005-0000-0000-0000A81B0000}"/>
    <cellStyle name="输出 2 7 8 2 5" xfId="6622" xr:uid="{00000000-0005-0000-0000-00000E1A0000}"/>
    <cellStyle name="输出 2 7 8 2 5 2" xfId="6629" xr:uid="{00000000-0005-0000-0000-0000151A0000}"/>
    <cellStyle name="输出 2 7 8 2 6" xfId="6633" xr:uid="{00000000-0005-0000-0000-0000191A0000}"/>
    <cellStyle name="输出 2 7 8 2 7" xfId="6645" xr:uid="{00000000-0005-0000-0000-0000251A0000}"/>
    <cellStyle name="输出 2 7 8 2 8" xfId="41884" xr:uid="{00000000-0005-0000-0000-0000CCA30000}"/>
    <cellStyle name="输出 2 7 8 2 9" xfId="41885" xr:uid="{00000000-0005-0000-0000-0000CDA30000}"/>
    <cellStyle name="输出 2 7 8 3" xfId="41887" xr:uid="{00000000-0005-0000-0000-0000CFA30000}"/>
    <cellStyle name="输出 2 7 8 3 2" xfId="13533" xr:uid="{00000000-0005-0000-0000-00000D350000}"/>
    <cellStyle name="输出 2 7 8 3 2 2" xfId="13536" xr:uid="{00000000-0005-0000-0000-000010350000}"/>
    <cellStyle name="输出 2 7 8 3 3" xfId="13545" xr:uid="{00000000-0005-0000-0000-000019350000}"/>
    <cellStyle name="输出 2 7 8 3 3 2" xfId="13549" xr:uid="{00000000-0005-0000-0000-00001D350000}"/>
    <cellStyle name="输出 2 7 8 3 4" xfId="13583" xr:uid="{00000000-0005-0000-0000-00003F350000}"/>
    <cellStyle name="输出 2 7 8 3 4 2" xfId="13588" xr:uid="{00000000-0005-0000-0000-000044350000}"/>
    <cellStyle name="输出 2 7 8 3 5" xfId="6677" xr:uid="{00000000-0005-0000-0000-0000451A0000}"/>
    <cellStyle name="输出 2 7 8 3 5 2" xfId="4493" xr:uid="{00000000-0005-0000-0000-0000BD110000}"/>
    <cellStyle name="输出 2 7 8 3 6" xfId="6688" xr:uid="{00000000-0005-0000-0000-0000501A0000}"/>
    <cellStyle name="输出 2 7 8 4" xfId="41888" xr:uid="{00000000-0005-0000-0000-0000D0A30000}"/>
    <cellStyle name="输出 2 7 8 4 2" xfId="16115" xr:uid="{00000000-0005-0000-0000-0000233F0000}"/>
    <cellStyle name="输出 2 7 8 4 2 2" xfId="16511" xr:uid="{00000000-0005-0000-0000-0000AF400000}"/>
    <cellStyle name="输出 2 7 8 4 3" xfId="16514" xr:uid="{00000000-0005-0000-0000-0000B2400000}"/>
    <cellStyle name="输出 2 7 8 4 3 2" xfId="41889" xr:uid="{00000000-0005-0000-0000-0000D1A30000}"/>
    <cellStyle name="输出 2 7 8 4 4" xfId="16518" xr:uid="{00000000-0005-0000-0000-0000B6400000}"/>
    <cellStyle name="输出 2 7 8 4 4 2" xfId="41890" xr:uid="{00000000-0005-0000-0000-0000D2A30000}"/>
    <cellStyle name="输出 2 7 8 4 5" xfId="6736" xr:uid="{00000000-0005-0000-0000-0000801A0000}"/>
    <cellStyle name="输出 2 7 8 4 5 2" xfId="6179" xr:uid="{00000000-0005-0000-0000-000053180000}"/>
    <cellStyle name="输出 2 7 8 4 6" xfId="6741" xr:uid="{00000000-0005-0000-0000-0000851A0000}"/>
    <cellStyle name="输出 2 7 8 5" xfId="41891" xr:uid="{00000000-0005-0000-0000-0000D3A30000}"/>
    <cellStyle name="输出 2 7 8 5 2" xfId="16121" xr:uid="{00000000-0005-0000-0000-0000293F0000}"/>
    <cellStyle name="输出 2 7 8 5 2 2" xfId="16547" xr:uid="{00000000-0005-0000-0000-0000D3400000}"/>
    <cellStyle name="输出 2 7 8 5 3" xfId="16550" xr:uid="{00000000-0005-0000-0000-0000D6400000}"/>
    <cellStyle name="输出 2 7 8 5 3 2" xfId="41892" xr:uid="{00000000-0005-0000-0000-0000D4A30000}"/>
    <cellStyle name="输出 2 7 8 5 4" xfId="41893" xr:uid="{00000000-0005-0000-0000-0000D5A30000}"/>
    <cellStyle name="输出 2 7 8 5 4 2" xfId="41894" xr:uid="{00000000-0005-0000-0000-0000D6A30000}"/>
    <cellStyle name="输出 2 7 8 5 5" xfId="6795" xr:uid="{00000000-0005-0000-0000-0000BB1A0000}"/>
    <cellStyle name="输出 2 7 8 5 5 2" xfId="6803" xr:uid="{00000000-0005-0000-0000-0000C31A0000}"/>
    <cellStyle name="输出 2 7 8 5 6" xfId="6812" xr:uid="{00000000-0005-0000-0000-0000CC1A0000}"/>
    <cellStyle name="输出 2 7 8 6" xfId="41895" xr:uid="{00000000-0005-0000-0000-0000D7A30000}"/>
    <cellStyle name="输出 2 7 8 6 2" xfId="16574" xr:uid="{00000000-0005-0000-0000-0000EE400000}"/>
    <cellStyle name="输出 2 7 8 6 2 2" xfId="16582" xr:uid="{00000000-0005-0000-0000-0000F6400000}"/>
    <cellStyle name="输出 2 7 8 6 3" xfId="16586" xr:uid="{00000000-0005-0000-0000-0000FA400000}"/>
    <cellStyle name="输出 2 7 8 6 3 2" xfId="41896" xr:uid="{00000000-0005-0000-0000-0000D8A30000}"/>
    <cellStyle name="输出 2 7 8 6 4" xfId="41897" xr:uid="{00000000-0005-0000-0000-0000D9A30000}"/>
    <cellStyle name="输出 2 7 8 6 4 2" xfId="41898" xr:uid="{00000000-0005-0000-0000-0000DAA30000}"/>
    <cellStyle name="输出 2 7 8 6 5" xfId="6839" xr:uid="{00000000-0005-0000-0000-0000E71A0000}"/>
    <cellStyle name="输出 2 7 8 6 5 2" xfId="6850" xr:uid="{00000000-0005-0000-0000-0000F21A0000}"/>
    <cellStyle name="输出 2 7 8 6 6" xfId="6855" xr:uid="{00000000-0005-0000-0000-0000F71A0000}"/>
    <cellStyle name="输出 2 7 8 7" xfId="41899" xr:uid="{00000000-0005-0000-0000-0000DBA30000}"/>
    <cellStyle name="输出 2 7 8 7 2" xfId="1672" xr:uid="{00000000-0005-0000-0000-0000B8060000}"/>
    <cellStyle name="输出 2 7 8 7 2 2" xfId="1324" xr:uid="{00000000-0005-0000-0000-00005C050000}"/>
    <cellStyle name="输出 2 7 8 7 3" xfId="1693" xr:uid="{00000000-0005-0000-0000-0000CD060000}"/>
    <cellStyle name="输出 2 7 8 7 3 2" xfId="41900" xr:uid="{00000000-0005-0000-0000-0000DCA30000}"/>
    <cellStyle name="输出 2 7 8 7 4" xfId="41901" xr:uid="{00000000-0005-0000-0000-0000DDA30000}"/>
    <cellStyle name="输出 2 7 8 7 4 2" xfId="41902" xr:uid="{00000000-0005-0000-0000-0000DEA30000}"/>
    <cellStyle name="输出 2 7 8 7 5" xfId="1732" xr:uid="{00000000-0005-0000-0000-0000F4060000}"/>
    <cellStyle name="输出 2 7 8 7 5 2" xfId="1484" xr:uid="{00000000-0005-0000-0000-0000FC050000}"/>
    <cellStyle name="输出 2 7 8 7 6" xfId="1760" xr:uid="{00000000-0005-0000-0000-000010070000}"/>
    <cellStyle name="输出 2 7 8 8" xfId="25107" xr:uid="{00000000-0005-0000-0000-000043620000}"/>
    <cellStyle name="输出 2 7 8 8 2" xfId="10285" xr:uid="{00000000-0005-0000-0000-00005D280000}"/>
    <cellStyle name="输出 2 7 8 8 2 2" xfId="4074" xr:uid="{00000000-0005-0000-0000-00001A100000}"/>
    <cellStyle name="输出 2 7 8 8 3" xfId="16608" xr:uid="{00000000-0005-0000-0000-000010410000}"/>
    <cellStyle name="输出 2 7 8 8 3 2" xfId="41904" xr:uid="{00000000-0005-0000-0000-0000E0A30000}"/>
    <cellStyle name="输出 2 7 8 8 4" xfId="41905" xr:uid="{00000000-0005-0000-0000-0000E1A30000}"/>
    <cellStyle name="输出 2 7 8 8 4 2" xfId="41906" xr:uid="{00000000-0005-0000-0000-0000E2A30000}"/>
    <cellStyle name="输出 2 7 8 8 5" xfId="1989" xr:uid="{00000000-0005-0000-0000-0000F5070000}"/>
    <cellStyle name="输出 2 7 8 9" xfId="41908" xr:uid="{00000000-0005-0000-0000-0000E4A30000}"/>
    <cellStyle name="输出 2 7 8 9 2" xfId="10295" xr:uid="{00000000-0005-0000-0000-000067280000}"/>
    <cellStyle name="输出 2 7 9" xfId="15241" xr:uid="{00000000-0005-0000-0000-0000B93B0000}"/>
    <cellStyle name="输出 2 7 9 10" xfId="41909" xr:uid="{00000000-0005-0000-0000-0000E5A30000}"/>
    <cellStyle name="输出 2 7 9 10 2" xfId="41910" xr:uid="{00000000-0005-0000-0000-0000E6A30000}"/>
    <cellStyle name="输出 2 7 9 11" xfId="41911" xr:uid="{00000000-0005-0000-0000-0000E7A30000}"/>
    <cellStyle name="输出 2 7 9 11 2" xfId="41912" xr:uid="{00000000-0005-0000-0000-0000E8A30000}"/>
    <cellStyle name="输出 2 7 9 12" xfId="41913" xr:uid="{00000000-0005-0000-0000-0000E9A30000}"/>
    <cellStyle name="输出 2 7 9 12 2" xfId="41914" xr:uid="{00000000-0005-0000-0000-0000EAA30000}"/>
    <cellStyle name="输出 2 7 9 13" xfId="36764" xr:uid="{00000000-0005-0000-0000-0000CC8F0000}"/>
    <cellStyle name="输出 2 7 9 14" xfId="36767" xr:uid="{00000000-0005-0000-0000-0000CF8F0000}"/>
    <cellStyle name="输出 2 7 9 15" xfId="12438" xr:uid="{00000000-0005-0000-0000-0000C6300000}"/>
    <cellStyle name="输出 2 7 9 16" xfId="12459" xr:uid="{00000000-0005-0000-0000-0000DB300000}"/>
    <cellStyle name="输出 2 7 9 2" xfId="15245" xr:uid="{00000000-0005-0000-0000-0000BD3B0000}"/>
    <cellStyle name="输出 2 7 9 2 2" xfId="671" xr:uid="{00000000-0005-0000-0000-0000CF020000}"/>
    <cellStyle name="输出 2 7 9 2 2 2" xfId="15118" xr:uid="{00000000-0005-0000-0000-00003E3B0000}"/>
    <cellStyle name="输出 2 7 9 2 3" xfId="690" xr:uid="{00000000-0005-0000-0000-0000E2020000}"/>
    <cellStyle name="输出 2 7 9 2 3 2" xfId="15135" xr:uid="{00000000-0005-0000-0000-00004F3B0000}"/>
    <cellStyle name="输出 2 7 9 2 4" xfId="4983" xr:uid="{00000000-0005-0000-0000-0000A7130000}"/>
    <cellStyle name="输出 2 7 9 2 4 2" xfId="15159" xr:uid="{00000000-0005-0000-0000-0000673B0000}"/>
    <cellStyle name="输出 2 7 9 2 5" xfId="4990" xr:uid="{00000000-0005-0000-0000-0000AE130000}"/>
    <cellStyle name="输出 2 7 9 2 5 2" xfId="15177" xr:uid="{00000000-0005-0000-0000-0000793B0000}"/>
    <cellStyle name="输出 2 7 9 2 6" xfId="15193" xr:uid="{00000000-0005-0000-0000-0000893B0000}"/>
    <cellStyle name="输出 2 7 9 2 7" xfId="15215" xr:uid="{00000000-0005-0000-0000-00009F3B0000}"/>
    <cellStyle name="输出 2 7 9 2 8" xfId="2266" xr:uid="{00000000-0005-0000-0000-00000A090000}"/>
    <cellStyle name="输出 2 7 9 2 9" xfId="41915" xr:uid="{00000000-0005-0000-0000-0000EBA30000}"/>
    <cellStyle name="输出 2 7 9 3" xfId="41917" xr:uid="{00000000-0005-0000-0000-0000EDA30000}"/>
    <cellStyle name="输出 2 7 9 3 2" xfId="711" xr:uid="{00000000-0005-0000-0000-0000F7020000}"/>
    <cellStyle name="输出 2 7 9 3 2 2" xfId="15324" xr:uid="{00000000-0005-0000-0000-00000C3C0000}"/>
    <cellStyle name="输出 2 7 9 3 3" xfId="555" xr:uid="{00000000-0005-0000-0000-00005B020000}"/>
    <cellStyle name="输出 2 7 9 3 3 2" xfId="15342" xr:uid="{00000000-0005-0000-0000-00001E3C0000}"/>
    <cellStyle name="输出 2 7 9 3 4" xfId="15349" xr:uid="{00000000-0005-0000-0000-0000253C0000}"/>
    <cellStyle name="输出 2 7 9 3 4 2" xfId="15352" xr:uid="{00000000-0005-0000-0000-0000283C0000}"/>
    <cellStyle name="输出 2 7 9 3 5" xfId="6919" xr:uid="{00000000-0005-0000-0000-0000371B0000}"/>
    <cellStyle name="输出 2 7 9 3 5 2" xfId="11066" xr:uid="{00000000-0005-0000-0000-00006A2B0000}"/>
    <cellStyle name="输出 2 7 9 3 6" xfId="7875" xr:uid="{00000000-0005-0000-0000-0000F31E0000}"/>
    <cellStyle name="输出 2 7 9 4" xfId="41918" xr:uid="{00000000-0005-0000-0000-0000EEA30000}"/>
    <cellStyle name="输出 2 7 9 4 2" xfId="16132" xr:uid="{00000000-0005-0000-0000-0000343F0000}"/>
    <cellStyle name="输出 2 7 9 4 2 2" xfId="16668" xr:uid="{00000000-0005-0000-0000-00004C410000}"/>
    <cellStyle name="输出 2 7 9 4 3" xfId="16671" xr:uid="{00000000-0005-0000-0000-00004F410000}"/>
    <cellStyle name="输出 2 7 9 4 3 2" xfId="41919" xr:uid="{00000000-0005-0000-0000-0000EFA30000}"/>
    <cellStyle name="输出 2 7 9 4 4" xfId="16674" xr:uid="{00000000-0005-0000-0000-000052410000}"/>
    <cellStyle name="输出 2 7 9 4 4 2" xfId="41920" xr:uid="{00000000-0005-0000-0000-0000F0A30000}"/>
    <cellStyle name="输出 2 7 9 4 5" xfId="6936" xr:uid="{00000000-0005-0000-0000-0000481B0000}"/>
    <cellStyle name="输出 2 7 9 4 5 2" xfId="11110" xr:uid="{00000000-0005-0000-0000-0000962B0000}"/>
    <cellStyle name="输出 2 7 9 4 6" xfId="7896" xr:uid="{00000000-0005-0000-0000-0000081F0000}"/>
    <cellStyle name="输出 2 7 9 5" xfId="23522" xr:uid="{00000000-0005-0000-0000-0000125C0000}"/>
    <cellStyle name="输出 2 7 9 5 2" xfId="12420" xr:uid="{00000000-0005-0000-0000-0000B4300000}"/>
    <cellStyle name="输出 2 7 9 5 2 2" xfId="12426" xr:uid="{00000000-0005-0000-0000-0000BA300000}"/>
    <cellStyle name="输出 2 7 9 5 3" xfId="12433" xr:uid="{00000000-0005-0000-0000-0000C1300000}"/>
    <cellStyle name="输出 2 7 9 5 3 2" xfId="41921" xr:uid="{00000000-0005-0000-0000-0000F1A30000}"/>
    <cellStyle name="输出 2 7 9 5 4" xfId="41922" xr:uid="{00000000-0005-0000-0000-0000F2A30000}"/>
    <cellStyle name="输出 2 7 9 5 4 2" xfId="41923" xr:uid="{00000000-0005-0000-0000-0000F3A30000}"/>
    <cellStyle name="输出 2 7 9 5 5" xfId="11128" xr:uid="{00000000-0005-0000-0000-0000A82B0000}"/>
    <cellStyle name="输出 2 7 9 5 5 2" xfId="11135" xr:uid="{00000000-0005-0000-0000-0000AF2B0000}"/>
    <cellStyle name="输出 2 7 9 5 6" xfId="7919" xr:uid="{00000000-0005-0000-0000-00001F1F0000}"/>
    <cellStyle name="输出 2 7 9 6" xfId="41924" xr:uid="{00000000-0005-0000-0000-0000F4A30000}"/>
    <cellStyle name="输出 2 7 9 6 2" xfId="14780" xr:uid="{00000000-0005-0000-0000-0000EC390000}"/>
    <cellStyle name="输出 2 7 9 6 2 2" xfId="14788" xr:uid="{00000000-0005-0000-0000-0000F4390000}"/>
    <cellStyle name="输出 2 7 9 6 3" xfId="14795" xr:uid="{00000000-0005-0000-0000-0000FB390000}"/>
    <cellStyle name="输出 2 7 9 6 3 2" xfId="41925" xr:uid="{00000000-0005-0000-0000-0000F5A30000}"/>
    <cellStyle name="输出 2 7 9 6 4" xfId="41926" xr:uid="{00000000-0005-0000-0000-0000F6A30000}"/>
    <cellStyle name="输出 2 7 9 6 4 2" xfId="41927" xr:uid="{00000000-0005-0000-0000-0000F7A30000}"/>
    <cellStyle name="输出 2 7 9 6 5" xfId="11156" xr:uid="{00000000-0005-0000-0000-0000C42B0000}"/>
    <cellStyle name="输出 2 7 9 6 5 2" xfId="11161" xr:uid="{00000000-0005-0000-0000-0000C92B0000}"/>
    <cellStyle name="输出 2 7 9 6 6" xfId="7929" xr:uid="{00000000-0005-0000-0000-0000291F0000}"/>
    <cellStyle name="输出 2 7 9 7" xfId="41928" xr:uid="{00000000-0005-0000-0000-0000F8A30000}"/>
    <cellStyle name="输出 2 7 9 7 2" xfId="5252" xr:uid="{00000000-0005-0000-0000-0000B4140000}"/>
    <cellStyle name="输出 2 7 9 7 2 2" xfId="5634" xr:uid="{00000000-0005-0000-0000-000032160000}"/>
    <cellStyle name="输出 2 7 9 7 3" xfId="3014" xr:uid="{00000000-0005-0000-0000-0000F60B0000}"/>
    <cellStyle name="输出 2 7 9 7 3 2" xfId="41929" xr:uid="{00000000-0005-0000-0000-0000F9A30000}"/>
    <cellStyle name="输出 2 7 9 7 4" xfId="41930" xr:uid="{00000000-0005-0000-0000-0000FAA30000}"/>
    <cellStyle name="输出 2 7 9 7 4 2" xfId="41931" xr:uid="{00000000-0005-0000-0000-0000FBA30000}"/>
    <cellStyle name="输出 2 7 9 7 5" xfId="3043" xr:uid="{00000000-0005-0000-0000-0000130C0000}"/>
    <cellStyle name="输出 2 7 9 7 5 2" xfId="7521" xr:uid="{00000000-0005-0000-0000-0000911D0000}"/>
    <cellStyle name="输出 2 7 9 7 6" xfId="11196" xr:uid="{00000000-0005-0000-0000-0000EC2B0000}"/>
    <cellStyle name="输出 2 7 9 8" xfId="25112" xr:uid="{00000000-0005-0000-0000-000048620000}"/>
    <cellStyle name="输出 2 7 9 8 2" xfId="10341" xr:uid="{00000000-0005-0000-0000-000095280000}"/>
    <cellStyle name="输出 2 7 9 8 2 2" xfId="5713" xr:uid="{00000000-0005-0000-0000-000081160000}"/>
    <cellStyle name="输出 2 7 9 8 3" xfId="16708" xr:uid="{00000000-0005-0000-0000-000074410000}"/>
    <cellStyle name="输出 2 7 9 8 3 2" xfId="41932" xr:uid="{00000000-0005-0000-0000-0000FCA30000}"/>
    <cellStyle name="输出 2 7 9 8 4" xfId="41934" xr:uid="{00000000-0005-0000-0000-0000FEA30000}"/>
    <cellStyle name="输出 2 7 9 8 4 2" xfId="41935" xr:uid="{00000000-0005-0000-0000-0000FFA30000}"/>
    <cellStyle name="输出 2 7 9 8 5" xfId="11206" xr:uid="{00000000-0005-0000-0000-0000F62B0000}"/>
    <cellStyle name="输出 2 7 9 9" xfId="41937" xr:uid="{00000000-0005-0000-0000-000001A40000}"/>
    <cellStyle name="输出 2 7 9 9 2" xfId="10354" xr:uid="{00000000-0005-0000-0000-0000A2280000}"/>
    <cellStyle name="输出 2 8" xfId="13585" xr:uid="{00000000-0005-0000-0000-000041350000}"/>
    <cellStyle name="输出 2 8 10" xfId="26729" xr:uid="{00000000-0005-0000-0000-000099680000}"/>
    <cellStyle name="输出 2 8 10 10" xfId="11763" xr:uid="{00000000-0005-0000-0000-0000232E0000}"/>
    <cellStyle name="输出 2 8 10 10 2" xfId="11765" xr:uid="{00000000-0005-0000-0000-0000252E0000}"/>
    <cellStyle name="输出 2 8 10 11" xfId="11768" xr:uid="{00000000-0005-0000-0000-0000282E0000}"/>
    <cellStyle name="输出 2 8 10 11 2" xfId="11771" xr:uid="{00000000-0005-0000-0000-00002B2E0000}"/>
    <cellStyle name="输出 2 8 10 12" xfId="11774" xr:uid="{00000000-0005-0000-0000-00002E2E0000}"/>
    <cellStyle name="输出 2 8 10 12 2" xfId="11781" xr:uid="{00000000-0005-0000-0000-0000352E0000}"/>
    <cellStyle name="输出 2 8 10 13" xfId="3872" xr:uid="{00000000-0005-0000-0000-0000500F0000}"/>
    <cellStyle name="输出 2 8 10 14" xfId="11786" xr:uid="{00000000-0005-0000-0000-00003A2E0000}"/>
    <cellStyle name="输出 2 8 10 15" xfId="41938" xr:uid="{00000000-0005-0000-0000-000002A40000}"/>
    <cellStyle name="输出 2 8 10 16" xfId="41940" xr:uid="{00000000-0005-0000-0000-000004A40000}"/>
    <cellStyle name="输出 2 8 10 2" xfId="26736" xr:uid="{00000000-0005-0000-0000-0000A0680000}"/>
    <cellStyle name="输出 2 8 10 2 2" xfId="41941" xr:uid="{00000000-0005-0000-0000-000005A40000}"/>
    <cellStyle name="输出 2 8 10 2 2 2" xfId="41942" xr:uid="{00000000-0005-0000-0000-000006A40000}"/>
    <cellStyle name="输出 2 8 10 2 3" xfId="41943" xr:uid="{00000000-0005-0000-0000-000007A40000}"/>
    <cellStyle name="输出 2 8 10 2 3 2" xfId="41944" xr:uid="{00000000-0005-0000-0000-000008A40000}"/>
    <cellStyle name="输出 2 8 10 2 4" xfId="41945" xr:uid="{00000000-0005-0000-0000-000009A40000}"/>
    <cellStyle name="输出 2 8 10 2 4 2" xfId="41946" xr:uid="{00000000-0005-0000-0000-00000AA40000}"/>
    <cellStyle name="输出 2 8 10 2 5" xfId="41947" xr:uid="{00000000-0005-0000-0000-00000BA40000}"/>
    <cellStyle name="输出 2 8 10 2 5 2" xfId="41948" xr:uid="{00000000-0005-0000-0000-00000CA40000}"/>
    <cellStyle name="输出 2 8 10 2 6" xfId="41949" xr:uid="{00000000-0005-0000-0000-00000DA40000}"/>
    <cellStyle name="输出 2 8 10 2 7" xfId="41950" xr:uid="{00000000-0005-0000-0000-00000EA40000}"/>
    <cellStyle name="输出 2 8 10 2 8" xfId="39851" xr:uid="{00000000-0005-0000-0000-0000DB9B0000}"/>
    <cellStyle name="输出 2 8 10 2 9" xfId="41951" xr:uid="{00000000-0005-0000-0000-00000FA40000}"/>
    <cellStyle name="输出 2 8 10 3" xfId="34612" xr:uid="{00000000-0005-0000-0000-000064870000}"/>
    <cellStyle name="输出 2 8 10 3 2" xfId="41952" xr:uid="{00000000-0005-0000-0000-000010A40000}"/>
    <cellStyle name="输出 2 8 10 3 2 2" xfId="41955" xr:uid="{00000000-0005-0000-0000-000013A40000}"/>
    <cellStyle name="输出 2 8 10 3 3" xfId="41957" xr:uid="{00000000-0005-0000-0000-000015A40000}"/>
    <cellStyle name="输出 2 8 10 3 3 2" xfId="41959" xr:uid="{00000000-0005-0000-0000-000017A40000}"/>
    <cellStyle name="输出 2 8 10 3 4" xfId="41961" xr:uid="{00000000-0005-0000-0000-000019A40000}"/>
    <cellStyle name="输出 2 8 10 3 4 2" xfId="41963" xr:uid="{00000000-0005-0000-0000-00001BA40000}"/>
    <cellStyle name="输出 2 8 10 3 5" xfId="41965" xr:uid="{00000000-0005-0000-0000-00001DA40000}"/>
    <cellStyle name="输出 2 8 10 3 5 2" xfId="41967" xr:uid="{00000000-0005-0000-0000-00001FA40000}"/>
    <cellStyle name="输出 2 8 10 3 6" xfId="41969" xr:uid="{00000000-0005-0000-0000-000021A40000}"/>
    <cellStyle name="输出 2 8 10 4" xfId="41970" xr:uid="{00000000-0005-0000-0000-000022A40000}"/>
    <cellStyle name="输出 2 8 10 4 2" xfId="41971" xr:uid="{00000000-0005-0000-0000-000023A40000}"/>
    <cellStyle name="输出 2 8 10 4 2 2" xfId="41973" xr:uid="{00000000-0005-0000-0000-000025A40000}"/>
    <cellStyle name="输出 2 8 10 4 3" xfId="41975" xr:uid="{00000000-0005-0000-0000-000027A40000}"/>
    <cellStyle name="输出 2 8 10 4 3 2" xfId="41977" xr:uid="{00000000-0005-0000-0000-000029A40000}"/>
    <cellStyle name="输出 2 8 10 4 4" xfId="41980" xr:uid="{00000000-0005-0000-0000-00002CA40000}"/>
    <cellStyle name="输出 2 8 10 4 4 2" xfId="41982" xr:uid="{00000000-0005-0000-0000-00002EA40000}"/>
    <cellStyle name="输出 2 8 10 4 5" xfId="41984" xr:uid="{00000000-0005-0000-0000-000030A40000}"/>
    <cellStyle name="输出 2 8 10 4 5 2" xfId="41987" xr:uid="{00000000-0005-0000-0000-000033A40000}"/>
    <cellStyle name="输出 2 8 10 4 6" xfId="41989" xr:uid="{00000000-0005-0000-0000-000035A40000}"/>
    <cellStyle name="输出 2 8 10 5" xfId="41990" xr:uid="{00000000-0005-0000-0000-000036A40000}"/>
    <cellStyle name="输出 2 8 10 5 2" xfId="41991" xr:uid="{00000000-0005-0000-0000-000037A40000}"/>
    <cellStyle name="输出 2 8 10 5 2 2" xfId="41993" xr:uid="{00000000-0005-0000-0000-000039A40000}"/>
    <cellStyle name="输出 2 8 10 5 3" xfId="41994" xr:uid="{00000000-0005-0000-0000-00003AA40000}"/>
    <cellStyle name="输出 2 8 10 5 3 2" xfId="41996" xr:uid="{00000000-0005-0000-0000-00003CA40000}"/>
    <cellStyle name="输出 2 8 10 5 4" xfId="41997" xr:uid="{00000000-0005-0000-0000-00003DA40000}"/>
    <cellStyle name="输出 2 8 10 5 4 2" xfId="42000" xr:uid="{00000000-0005-0000-0000-000040A40000}"/>
    <cellStyle name="输出 2 8 10 5 5" xfId="42001" xr:uid="{00000000-0005-0000-0000-000041A40000}"/>
    <cellStyle name="输出 2 8 10 5 5 2" xfId="42004" xr:uid="{00000000-0005-0000-0000-000044A40000}"/>
    <cellStyle name="输出 2 8 10 5 6" xfId="42005" xr:uid="{00000000-0005-0000-0000-000045A40000}"/>
    <cellStyle name="输出 2 8 10 6" xfId="42007" xr:uid="{00000000-0005-0000-0000-000047A40000}"/>
    <cellStyle name="输出 2 8 10 6 2" xfId="42008" xr:uid="{00000000-0005-0000-0000-000048A40000}"/>
    <cellStyle name="输出 2 8 10 6 2 2" xfId="42010" xr:uid="{00000000-0005-0000-0000-00004AA40000}"/>
    <cellStyle name="输出 2 8 10 6 3" xfId="42011" xr:uid="{00000000-0005-0000-0000-00004BA40000}"/>
    <cellStyle name="输出 2 8 10 6 3 2" xfId="42012" xr:uid="{00000000-0005-0000-0000-00004CA40000}"/>
    <cellStyle name="输出 2 8 10 6 4" xfId="42013" xr:uid="{00000000-0005-0000-0000-00004DA40000}"/>
    <cellStyle name="输出 2 8 10 6 4 2" xfId="42015" xr:uid="{00000000-0005-0000-0000-00004FA40000}"/>
    <cellStyle name="输出 2 8 10 6 5" xfId="42016" xr:uid="{00000000-0005-0000-0000-000050A40000}"/>
    <cellStyle name="输出 2 8 10 6 5 2" xfId="42018" xr:uid="{00000000-0005-0000-0000-000052A40000}"/>
    <cellStyle name="输出 2 8 10 6 6" xfId="42019" xr:uid="{00000000-0005-0000-0000-000053A40000}"/>
    <cellStyle name="输出 2 8 10 7" xfId="36879" xr:uid="{00000000-0005-0000-0000-00003F900000}"/>
    <cellStyle name="输出 2 8 10 7 2" xfId="42020" xr:uid="{00000000-0005-0000-0000-000054A40000}"/>
    <cellStyle name="输出 2 8 10 7 2 2" xfId="42022" xr:uid="{00000000-0005-0000-0000-000056A40000}"/>
    <cellStyle name="输出 2 8 10 7 3" xfId="41801" xr:uid="{00000000-0005-0000-0000-000079A30000}"/>
    <cellStyle name="输出 2 8 10 7 3 2" xfId="42023" xr:uid="{00000000-0005-0000-0000-000057A40000}"/>
    <cellStyle name="输出 2 8 10 7 4" xfId="42024" xr:uid="{00000000-0005-0000-0000-000058A40000}"/>
    <cellStyle name="输出 2 8 10 7 4 2" xfId="42026" xr:uid="{00000000-0005-0000-0000-00005AA40000}"/>
    <cellStyle name="输出 2 8 10 7 5" xfId="42027" xr:uid="{00000000-0005-0000-0000-00005BA40000}"/>
    <cellStyle name="输出 2 8 10 7 5 2" xfId="7377" xr:uid="{00000000-0005-0000-0000-0000011D0000}"/>
    <cellStyle name="输出 2 8 10 7 6" xfId="42029" xr:uid="{00000000-0005-0000-0000-00005DA40000}"/>
    <cellStyle name="输出 2 8 10 8" xfId="9928" xr:uid="{00000000-0005-0000-0000-0000F8260000}"/>
    <cellStyle name="输出 2 8 10 8 2" xfId="42030" xr:uid="{00000000-0005-0000-0000-00005EA40000}"/>
    <cellStyle name="输出 2 8 10 8 2 2" xfId="42032" xr:uid="{00000000-0005-0000-0000-000060A40000}"/>
    <cellStyle name="输出 2 8 10 8 3" xfId="41804" xr:uid="{00000000-0005-0000-0000-00007CA30000}"/>
    <cellStyle name="输出 2 8 10 8 3 2" xfId="42033" xr:uid="{00000000-0005-0000-0000-000061A40000}"/>
    <cellStyle name="输出 2 8 10 8 4" xfId="42034" xr:uid="{00000000-0005-0000-0000-000062A40000}"/>
    <cellStyle name="输出 2 8 10 8 4 2" xfId="42036" xr:uid="{00000000-0005-0000-0000-000064A40000}"/>
    <cellStyle name="输出 2 8 10 8 5" xfId="20924" xr:uid="{00000000-0005-0000-0000-0000EC510000}"/>
    <cellStyle name="输出 2 8 10 9" xfId="42037" xr:uid="{00000000-0005-0000-0000-000065A40000}"/>
    <cellStyle name="输出 2 8 10 9 2" xfId="42038" xr:uid="{00000000-0005-0000-0000-000066A40000}"/>
    <cellStyle name="输出 2 8 11" xfId="42040" xr:uid="{00000000-0005-0000-0000-000068A40000}"/>
    <cellStyle name="输出 2 8 11 10" xfId="20653" xr:uid="{00000000-0005-0000-0000-0000DD500000}"/>
    <cellStyle name="输出 2 8 11 10 2" xfId="42041" xr:uid="{00000000-0005-0000-0000-000069A40000}"/>
    <cellStyle name="输出 2 8 11 11" xfId="42042" xr:uid="{00000000-0005-0000-0000-00006AA40000}"/>
    <cellStyle name="输出 2 8 11 11 2" xfId="1631" xr:uid="{00000000-0005-0000-0000-00008F060000}"/>
    <cellStyle name="输出 2 8 11 12" xfId="42043" xr:uid="{00000000-0005-0000-0000-00006BA40000}"/>
    <cellStyle name="输出 2 8 11 12 2" xfId="42044" xr:uid="{00000000-0005-0000-0000-00006CA40000}"/>
    <cellStyle name="输出 2 8 11 13" xfId="42045" xr:uid="{00000000-0005-0000-0000-00006DA40000}"/>
    <cellStyle name="输出 2 8 11 14" xfId="42047" xr:uid="{00000000-0005-0000-0000-00006FA40000}"/>
    <cellStyle name="输出 2 8 11 15" xfId="42048" xr:uid="{00000000-0005-0000-0000-000070A40000}"/>
    <cellStyle name="输出 2 8 11 16" xfId="42050" xr:uid="{00000000-0005-0000-0000-000072A40000}"/>
    <cellStyle name="输出 2 8 11 2" xfId="42051" xr:uid="{00000000-0005-0000-0000-000073A40000}"/>
    <cellStyle name="输出 2 8 11 2 2" xfId="42052" xr:uid="{00000000-0005-0000-0000-000074A40000}"/>
    <cellStyle name="输出 2 8 11 2 2 2" xfId="42053" xr:uid="{00000000-0005-0000-0000-000075A40000}"/>
    <cellStyle name="输出 2 8 11 2 3" xfId="8885" xr:uid="{00000000-0005-0000-0000-0000E5220000}"/>
    <cellStyle name="输出 2 8 11 2 3 2" xfId="8890" xr:uid="{00000000-0005-0000-0000-0000EA220000}"/>
    <cellStyle name="输出 2 8 11 2 4" xfId="7617" xr:uid="{00000000-0005-0000-0000-0000F11D0000}"/>
    <cellStyle name="输出 2 8 11 2 4 2" xfId="8835" xr:uid="{00000000-0005-0000-0000-0000B3220000}"/>
    <cellStyle name="输出 2 8 11 2 5" xfId="6117" xr:uid="{00000000-0005-0000-0000-000015180000}"/>
    <cellStyle name="输出 2 8 11 2 5 2" xfId="8902" xr:uid="{00000000-0005-0000-0000-0000F6220000}"/>
    <cellStyle name="输出 2 8 11 2 6" xfId="8905" xr:uid="{00000000-0005-0000-0000-0000F9220000}"/>
    <cellStyle name="输出 2 8 11 3" xfId="42054" xr:uid="{00000000-0005-0000-0000-000076A40000}"/>
    <cellStyle name="输出 2 8 11 3 2" xfId="42055" xr:uid="{00000000-0005-0000-0000-000077A40000}"/>
    <cellStyle name="输出 2 8 11 3 2 2" xfId="42057" xr:uid="{00000000-0005-0000-0000-000079A40000}"/>
    <cellStyle name="输出 2 8 11 3 3" xfId="8934" xr:uid="{00000000-0005-0000-0000-000016230000}"/>
    <cellStyle name="输出 2 8 11 3 3 2" xfId="4719" xr:uid="{00000000-0005-0000-0000-00009F120000}"/>
    <cellStyle name="输出 2 8 11 3 4" xfId="7636" xr:uid="{00000000-0005-0000-0000-0000041E0000}"/>
    <cellStyle name="输出 2 8 11 3 4 2" xfId="8940" xr:uid="{00000000-0005-0000-0000-00001C230000}"/>
    <cellStyle name="输出 2 8 11 3 5" xfId="8948" xr:uid="{00000000-0005-0000-0000-000024230000}"/>
    <cellStyle name="输出 2 8 11 3 5 2" xfId="8955" xr:uid="{00000000-0005-0000-0000-00002B230000}"/>
    <cellStyle name="输出 2 8 11 3 6" xfId="8960" xr:uid="{00000000-0005-0000-0000-000030230000}"/>
    <cellStyle name="输出 2 8 11 4" xfId="42058" xr:uid="{00000000-0005-0000-0000-00007AA40000}"/>
    <cellStyle name="输出 2 8 11 4 2" xfId="42059" xr:uid="{00000000-0005-0000-0000-00007BA40000}"/>
    <cellStyle name="输出 2 8 11 4 2 2" xfId="42060" xr:uid="{00000000-0005-0000-0000-00007CA40000}"/>
    <cellStyle name="输出 2 8 11 4 3" xfId="8982" xr:uid="{00000000-0005-0000-0000-000046230000}"/>
    <cellStyle name="输出 2 8 11 4 3 2" xfId="2471" xr:uid="{00000000-0005-0000-0000-0000D7090000}"/>
    <cellStyle name="输出 2 8 11 4 4" xfId="7655" xr:uid="{00000000-0005-0000-0000-0000171E0000}"/>
    <cellStyle name="输出 2 8 11 4 4 2" xfId="1770" xr:uid="{00000000-0005-0000-0000-00001A070000}"/>
    <cellStyle name="输出 2 8 11 4 5" xfId="8986" xr:uid="{00000000-0005-0000-0000-00004A230000}"/>
    <cellStyle name="输出 2 8 11 4 5 2" xfId="2529" xr:uid="{00000000-0005-0000-0000-0000110A0000}"/>
    <cellStyle name="输出 2 8 11 4 6" xfId="8993" xr:uid="{00000000-0005-0000-0000-000051230000}"/>
    <cellStyle name="输出 2 8 11 5" xfId="42061" xr:uid="{00000000-0005-0000-0000-00007DA40000}"/>
    <cellStyle name="输出 2 8 11 5 2" xfId="42062" xr:uid="{00000000-0005-0000-0000-00007EA40000}"/>
    <cellStyle name="输出 2 8 11 5 2 2" xfId="34212" xr:uid="{00000000-0005-0000-0000-0000D4850000}"/>
    <cellStyle name="输出 2 8 11 5 3" xfId="9005" xr:uid="{00000000-0005-0000-0000-00005D230000}"/>
    <cellStyle name="输出 2 8 11 5 3 2" xfId="2977" xr:uid="{00000000-0005-0000-0000-0000D10B0000}"/>
    <cellStyle name="输出 2 8 11 5 4" xfId="7664" xr:uid="{00000000-0005-0000-0000-0000201E0000}"/>
    <cellStyle name="输出 2 8 11 5 4 2" xfId="3073" xr:uid="{00000000-0005-0000-0000-0000310C0000}"/>
    <cellStyle name="输出 2 8 11 5 5" xfId="9013" xr:uid="{00000000-0005-0000-0000-000065230000}"/>
    <cellStyle name="输出 2 8 11 5 5 2" xfId="3144" xr:uid="{00000000-0005-0000-0000-0000780C0000}"/>
    <cellStyle name="输出 2 8 11 5 6" xfId="9023" xr:uid="{00000000-0005-0000-0000-00006F230000}"/>
    <cellStyle name="输出 2 8 11 6" xfId="42063" xr:uid="{00000000-0005-0000-0000-00007FA40000}"/>
    <cellStyle name="输出 2 8 11 6 2" xfId="42064" xr:uid="{00000000-0005-0000-0000-000080A40000}"/>
    <cellStyle name="输出 2 8 11 6 2 2" xfId="42065" xr:uid="{00000000-0005-0000-0000-000081A40000}"/>
    <cellStyle name="输出 2 8 11 6 3" xfId="9036" xr:uid="{00000000-0005-0000-0000-00007C230000}"/>
    <cellStyle name="输出 2 8 11 6 3 2" xfId="9045" xr:uid="{00000000-0005-0000-0000-000085230000}"/>
    <cellStyle name="输出 2 8 11 6 4" xfId="9053" xr:uid="{00000000-0005-0000-0000-00008D230000}"/>
    <cellStyle name="输出 2 8 11 6 4 2" xfId="9062" xr:uid="{00000000-0005-0000-0000-000096230000}"/>
    <cellStyle name="输出 2 8 11 6 5" xfId="9071" xr:uid="{00000000-0005-0000-0000-00009F230000}"/>
    <cellStyle name="输出 2 8 11 6 5 2" xfId="9077" xr:uid="{00000000-0005-0000-0000-0000A5230000}"/>
    <cellStyle name="输出 2 8 11 6 6" xfId="9085" xr:uid="{00000000-0005-0000-0000-0000AD230000}"/>
    <cellStyle name="输出 2 8 11 7" xfId="36883" xr:uid="{00000000-0005-0000-0000-000043900000}"/>
    <cellStyle name="输出 2 8 11 7 2" xfId="42066" xr:uid="{00000000-0005-0000-0000-000082A40000}"/>
    <cellStyle name="输出 2 8 11 7 2 2" xfId="42067" xr:uid="{00000000-0005-0000-0000-000083A40000}"/>
    <cellStyle name="输出 2 8 11 7 3" xfId="5834" xr:uid="{00000000-0005-0000-0000-0000FA160000}"/>
    <cellStyle name="输出 2 8 11 7 3 2" xfId="9099" xr:uid="{00000000-0005-0000-0000-0000BB230000}"/>
    <cellStyle name="输出 2 8 11 7 4" xfId="9105" xr:uid="{00000000-0005-0000-0000-0000C1230000}"/>
    <cellStyle name="输出 2 8 11 7 4 2" xfId="9118" xr:uid="{00000000-0005-0000-0000-0000CE230000}"/>
    <cellStyle name="输出 2 8 11 7 5" xfId="9129" xr:uid="{00000000-0005-0000-0000-0000D9230000}"/>
    <cellStyle name="输出 2 8 11 7 5 2" xfId="9139" xr:uid="{00000000-0005-0000-0000-0000E3230000}"/>
    <cellStyle name="输出 2 8 11 7 6" xfId="9150" xr:uid="{00000000-0005-0000-0000-0000EE230000}"/>
    <cellStyle name="输出 2 8 11 8" xfId="42068" xr:uid="{00000000-0005-0000-0000-000084A40000}"/>
    <cellStyle name="输出 2 8 11 8 2" xfId="42069" xr:uid="{00000000-0005-0000-0000-000085A40000}"/>
    <cellStyle name="输出 2 8 11 8 2 2" xfId="42070" xr:uid="{00000000-0005-0000-0000-000086A40000}"/>
    <cellStyle name="输出 2 8 11 8 3" xfId="5863" xr:uid="{00000000-0005-0000-0000-000017170000}"/>
    <cellStyle name="输出 2 8 11 8 3 2" xfId="8157" xr:uid="{00000000-0005-0000-0000-00000D200000}"/>
    <cellStyle name="输出 2 8 11 8 4" xfId="9156" xr:uid="{00000000-0005-0000-0000-0000F4230000}"/>
    <cellStyle name="输出 2 8 11 8 4 2" xfId="2869" xr:uid="{00000000-0005-0000-0000-0000650B0000}"/>
    <cellStyle name="输出 2 8 11 8 5" xfId="9165" xr:uid="{00000000-0005-0000-0000-0000FD230000}"/>
    <cellStyle name="输出 2 8 11 9" xfId="42071" xr:uid="{00000000-0005-0000-0000-000087A40000}"/>
    <cellStyle name="输出 2 8 11 9 2" xfId="42073" xr:uid="{00000000-0005-0000-0000-000089A40000}"/>
    <cellStyle name="输出 2 8 12" xfId="6250" xr:uid="{00000000-0005-0000-0000-00009A180000}"/>
    <cellStyle name="输出 2 8 12 2" xfId="15419" xr:uid="{00000000-0005-0000-0000-00006B3C0000}"/>
    <cellStyle name="输出 2 8 12 2 2" xfId="29549" xr:uid="{00000000-0005-0000-0000-00009D730000}"/>
    <cellStyle name="输出 2 8 12 3" xfId="42074" xr:uid="{00000000-0005-0000-0000-00008AA40000}"/>
    <cellStyle name="输出 2 8 12 3 2" xfId="42075" xr:uid="{00000000-0005-0000-0000-00008BA40000}"/>
    <cellStyle name="输出 2 8 12 4" xfId="42077" xr:uid="{00000000-0005-0000-0000-00008DA40000}"/>
    <cellStyle name="输出 2 8 12 4 2" xfId="42078" xr:uid="{00000000-0005-0000-0000-00008EA40000}"/>
    <cellStyle name="输出 2 8 12 5" xfId="42079" xr:uid="{00000000-0005-0000-0000-00008FA40000}"/>
    <cellStyle name="输出 2 8 12 5 2" xfId="42080" xr:uid="{00000000-0005-0000-0000-000090A40000}"/>
    <cellStyle name="输出 2 8 12 6" xfId="42081" xr:uid="{00000000-0005-0000-0000-000091A40000}"/>
    <cellStyle name="输出 2 8 12 7" xfId="36886" xr:uid="{00000000-0005-0000-0000-000046900000}"/>
    <cellStyle name="输出 2 8 12 8" xfId="42083" xr:uid="{00000000-0005-0000-0000-000093A40000}"/>
    <cellStyle name="输出 2 8 12 9" xfId="42084" xr:uid="{00000000-0005-0000-0000-000094A40000}"/>
    <cellStyle name="输出 2 8 13" xfId="4444" xr:uid="{00000000-0005-0000-0000-00008C110000}"/>
    <cellStyle name="输出 2 8 13 2" xfId="15422" xr:uid="{00000000-0005-0000-0000-00006E3C0000}"/>
    <cellStyle name="输出 2 8 13 2 2" xfId="42086" xr:uid="{00000000-0005-0000-0000-000096A40000}"/>
    <cellStyle name="输出 2 8 13 3" xfId="42087" xr:uid="{00000000-0005-0000-0000-000097A40000}"/>
    <cellStyle name="输出 2 8 13 3 2" xfId="42088" xr:uid="{00000000-0005-0000-0000-000098A40000}"/>
    <cellStyle name="输出 2 8 13 4" xfId="42090" xr:uid="{00000000-0005-0000-0000-00009AA40000}"/>
    <cellStyle name="输出 2 8 13 4 2" xfId="42091" xr:uid="{00000000-0005-0000-0000-00009BA40000}"/>
    <cellStyle name="输出 2 8 13 5" xfId="42092" xr:uid="{00000000-0005-0000-0000-00009CA40000}"/>
    <cellStyle name="输出 2 8 13 5 2" xfId="42093" xr:uid="{00000000-0005-0000-0000-00009DA40000}"/>
    <cellStyle name="输出 2 8 13 6" xfId="42094" xr:uid="{00000000-0005-0000-0000-00009EA40000}"/>
    <cellStyle name="输出 2 8 14" xfId="15427" xr:uid="{00000000-0005-0000-0000-0000733C0000}"/>
    <cellStyle name="输出 2 8 14 2" xfId="15430" xr:uid="{00000000-0005-0000-0000-0000763C0000}"/>
    <cellStyle name="输出 2 8 14 2 2" xfId="42096" xr:uid="{00000000-0005-0000-0000-0000A0A40000}"/>
    <cellStyle name="输出 2 8 14 3" xfId="42097" xr:uid="{00000000-0005-0000-0000-0000A1A40000}"/>
    <cellStyle name="输出 2 8 14 3 2" xfId="42098" xr:uid="{00000000-0005-0000-0000-0000A2A40000}"/>
    <cellStyle name="输出 2 8 14 4" xfId="42100" xr:uid="{00000000-0005-0000-0000-0000A4A40000}"/>
    <cellStyle name="输出 2 8 14 4 2" xfId="42101" xr:uid="{00000000-0005-0000-0000-0000A5A40000}"/>
    <cellStyle name="输出 2 8 14 5" xfId="42102" xr:uid="{00000000-0005-0000-0000-0000A6A40000}"/>
    <cellStyle name="输出 2 8 14 5 2" xfId="42103" xr:uid="{00000000-0005-0000-0000-0000A7A40000}"/>
    <cellStyle name="输出 2 8 14 6" xfId="42104" xr:uid="{00000000-0005-0000-0000-0000A8A40000}"/>
    <cellStyle name="输出 2 8 15" xfId="15434" xr:uid="{00000000-0005-0000-0000-00007A3C0000}"/>
    <cellStyle name="输出 2 8 15 2" xfId="42106" xr:uid="{00000000-0005-0000-0000-0000AAA40000}"/>
    <cellStyle name="输出 2 8 15 2 2" xfId="42109" xr:uid="{00000000-0005-0000-0000-0000ADA40000}"/>
    <cellStyle name="输出 2 8 15 3" xfId="42110" xr:uid="{00000000-0005-0000-0000-0000AEA40000}"/>
    <cellStyle name="输出 2 8 15 3 2" xfId="42112" xr:uid="{00000000-0005-0000-0000-0000B0A40000}"/>
    <cellStyle name="输出 2 8 15 4" xfId="42115" xr:uid="{00000000-0005-0000-0000-0000B3A40000}"/>
    <cellStyle name="输出 2 8 15 4 2" xfId="42116" xr:uid="{00000000-0005-0000-0000-0000B4A40000}"/>
    <cellStyle name="输出 2 8 15 5" xfId="41372" xr:uid="{00000000-0005-0000-0000-0000CCA10000}"/>
    <cellStyle name="输出 2 8 15 5 2" xfId="42118" xr:uid="{00000000-0005-0000-0000-0000B6A40000}"/>
    <cellStyle name="输出 2 8 15 6" xfId="42120" xr:uid="{00000000-0005-0000-0000-0000B8A40000}"/>
    <cellStyle name="输出 2 8 16" xfId="42122" xr:uid="{00000000-0005-0000-0000-0000BAA40000}"/>
    <cellStyle name="输出 2 8 16 2" xfId="42124" xr:uid="{00000000-0005-0000-0000-0000BCA40000}"/>
    <cellStyle name="输出 2 8 16 2 2" xfId="42126" xr:uid="{00000000-0005-0000-0000-0000BEA40000}"/>
    <cellStyle name="输出 2 8 16 3" xfId="42127" xr:uid="{00000000-0005-0000-0000-0000BFA40000}"/>
    <cellStyle name="输出 2 8 16 3 2" xfId="42128" xr:uid="{00000000-0005-0000-0000-0000C0A40000}"/>
    <cellStyle name="输出 2 8 16 4" xfId="42129" xr:uid="{00000000-0005-0000-0000-0000C1A40000}"/>
    <cellStyle name="输出 2 8 16 4 2" xfId="42130" xr:uid="{00000000-0005-0000-0000-0000C2A40000}"/>
    <cellStyle name="输出 2 8 16 5" xfId="41374" xr:uid="{00000000-0005-0000-0000-0000CEA10000}"/>
    <cellStyle name="输出 2 8 16 5 2" xfId="42131" xr:uid="{00000000-0005-0000-0000-0000C3A40000}"/>
    <cellStyle name="输出 2 8 16 6" xfId="42132" xr:uid="{00000000-0005-0000-0000-0000C4A40000}"/>
    <cellStyle name="输出 2 8 17" xfId="42133" xr:uid="{00000000-0005-0000-0000-0000C5A40000}"/>
    <cellStyle name="输出 2 8 17 2" xfId="42135" xr:uid="{00000000-0005-0000-0000-0000C7A40000}"/>
    <cellStyle name="输出 2 8 17 2 2" xfId="42137" xr:uid="{00000000-0005-0000-0000-0000C9A40000}"/>
    <cellStyle name="输出 2 8 17 3" xfId="42138" xr:uid="{00000000-0005-0000-0000-0000CAA40000}"/>
    <cellStyle name="输出 2 8 17 3 2" xfId="42139" xr:uid="{00000000-0005-0000-0000-0000CBA40000}"/>
    <cellStyle name="输出 2 8 17 4" xfId="42140" xr:uid="{00000000-0005-0000-0000-0000CCA40000}"/>
    <cellStyle name="输出 2 8 17 4 2" xfId="42141" xr:uid="{00000000-0005-0000-0000-0000CDA40000}"/>
    <cellStyle name="输出 2 8 17 5" xfId="39981" xr:uid="{00000000-0005-0000-0000-00005D9C0000}"/>
    <cellStyle name="输出 2 8 17 5 2" xfId="42142" xr:uid="{00000000-0005-0000-0000-0000CEA40000}"/>
    <cellStyle name="输出 2 8 17 6" xfId="42143" xr:uid="{00000000-0005-0000-0000-0000CFA40000}"/>
    <cellStyle name="输出 2 8 18" xfId="42144" xr:uid="{00000000-0005-0000-0000-0000D0A40000}"/>
    <cellStyle name="输出 2 8 18 2" xfId="42146" xr:uid="{00000000-0005-0000-0000-0000D2A40000}"/>
    <cellStyle name="输出 2 8 18 2 2" xfId="42148" xr:uid="{00000000-0005-0000-0000-0000D4A40000}"/>
    <cellStyle name="输出 2 8 18 3" xfId="42149" xr:uid="{00000000-0005-0000-0000-0000D5A40000}"/>
    <cellStyle name="输出 2 8 18 3 2" xfId="42150" xr:uid="{00000000-0005-0000-0000-0000D6A40000}"/>
    <cellStyle name="输出 2 8 18 4" xfId="42151" xr:uid="{00000000-0005-0000-0000-0000D7A40000}"/>
    <cellStyle name="输出 2 8 18 4 2" xfId="42152" xr:uid="{00000000-0005-0000-0000-0000D8A40000}"/>
    <cellStyle name="输出 2 8 18 5" xfId="40011" xr:uid="{00000000-0005-0000-0000-00007B9C0000}"/>
    <cellStyle name="输出 2 8 18 5 2" xfId="42153" xr:uid="{00000000-0005-0000-0000-0000D9A40000}"/>
    <cellStyle name="输出 2 8 18 6" xfId="42154" xr:uid="{00000000-0005-0000-0000-0000DAA40000}"/>
    <cellStyle name="输出 2 8 19" xfId="42155" xr:uid="{00000000-0005-0000-0000-0000DBA40000}"/>
    <cellStyle name="输出 2 8 19 2" xfId="42157" xr:uid="{00000000-0005-0000-0000-0000DDA40000}"/>
    <cellStyle name="输出 2 8 19 2 2" xfId="42158" xr:uid="{00000000-0005-0000-0000-0000DEA40000}"/>
    <cellStyle name="输出 2 8 19 3" xfId="42159" xr:uid="{00000000-0005-0000-0000-0000DFA40000}"/>
    <cellStyle name="输出 2 8 19 3 2" xfId="42160" xr:uid="{00000000-0005-0000-0000-0000E0A40000}"/>
    <cellStyle name="输出 2 8 19 4" xfId="42161" xr:uid="{00000000-0005-0000-0000-0000E1A40000}"/>
    <cellStyle name="输出 2 8 19 4 2" xfId="42162" xr:uid="{00000000-0005-0000-0000-0000E2A40000}"/>
    <cellStyle name="输出 2 8 19 5" xfId="1280" xr:uid="{00000000-0005-0000-0000-000030050000}"/>
    <cellStyle name="输出 2 8 2" xfId="42163" xr:uid="{00000000-0005-0000-0000-0000E3A40000}"/>
    <cellStyle name="输出 2 8 2 10" xfId="42164" xr:uid="{00000000-0005-0000-0000-0000E4A40000}"/>
    <cellStyle name="输出 2 8 2 10 2" xfId="6830" xr:uid="{00000000-0005-0000-0000-0000DE1A0000}"/>
    <cellStyle name="输出 2 8 2 11" xfId="42165" xr:uid="{00000000-0005-0000-0000-0000E5A40000}"/>
    <cellStyle name="输出 2 8 2 11 2" xfId="6879" xr:uid="{00000000-0005-0000-0000-00000F1B0000}"/>
    <cellStyle name="输出 2 8 2 12" xfId="42166" xr:uid="{00000000-0005-0000-0000-0000E6A40000}"/>
    <cellStyle name="输出 2 8 2 12 2" xfId="8174" xr:uid="{00000000-0005-0000-0000-00001E200000}"/>
    <cellStyle name="输出 2 8 2 13" xfId="42167" xr:uid="{00000000-0005-0000-0000-0000E7A40000}"/>
    <cellStyle name="输出 2 8 2 14" xfId="42168" xr:uid="{00000000-0005-0000-0000-0000E8A40000}"/>
    <cellStyle name="输出 2 8 2 15" xfId="42170" xr:uid="{00000000-0005-0000-0000-0000EAA40000}"/>
    <cellStyle name="输出 2 8 2 16" xfId="42172" xr:uid="{00000000-0005-0000-0000-0000ECA40000}"/>
    <cellStyle name="输出 2 8 2 2" xfId="42174" xr:uid="{00000000-0005-0000-0000-0000EEA40000}"/>
    <cellStyle name="输出 2 8 2 2 2" xfId="42175" xr:uid="{00000000-0005-0000-0000-0000EFA40000}"/>
    <cellStyle name="输出 2 8 2 2 2 2" xfId="33785" xr:uid="{00000000-0005-0000-0000-000029840000}"/>
    <cellStyle name="输出 2 8 2 2 3" xfId="42176" xr:uid="{00000000-0005-0000-0000-0000F0A40000}"/>
    <cellStyle name="输出 2 8 2 2 3 2" xfId="33801" xr:uid="{00000000-0005-0000-0000-000039840000}"/>
    <cellStyle name="输出 2 8 2 2 4" xfId="42177" xr:uid="{00000000-0005-0000-0000-0000F1A40000}"/>
    <cellStyle name="输出 2 8 2 2 4 2" xfId="33818" xr:uid="{00000000-0005-0000-0000-00004A840000}"/>
    <cellStyle name="输出 2 8 2 2 5" xfId="42178" xr:uid="{00000000-0005-0000-0000-0000F2A40000}"/>
    <cellStyle name="输出 2 8 2 2 5 2" xfId="33837" xr:uid="{00000000-0005-0000-0000-00005D840000}"/>
    <cellStyle name="输出 2 8 2 2 6" xfId="36535" xr:uid="{00000000-0005-0000-0000-0000E78E0000}"/>
    <cellStyle name="输出 2 8 2 2 7" xfId="42180" xr:uid="{00000000-0005-0000-0000-0000F4A40000}"/>
    <cellStyle name="输出 2 8 2 2 8" xfId="42181" xr:uid="{00000000-0005-0000-0000-0000F5A40000}"/>
    <cellStyle name="输出 2 8 2 2 9" xfId="42182" xr:uid="{00000000-0005-0000-0000-0000F6A40000}"/>
    <cellStyle name="输出 2 8 2 3" xfId="42183" xr:uid="{00000000-0005-0000-0000-0000F7A40000}"/>
    <cellStyle name="输出 2 8 2 3 2" xfId="22610" xr:uid="{00000000-0005-0000-0000-000082580000}"/>
    <cellStyle name="输出 2 8 2 3 2 2" xfId="42184" xr:uid="{00000000-0005-0000-0000-0000F8A40000}"/>
    <cellStyle name="输出 2 8 2 3 3" xfId="42185" xr:uid="{00000000-0005-0000-0000-0000F9A40000}"/>
    <cellStyle name="输出 2 8 2 3 3 2" xfId="42186" xr:uid="{00000000-0005-0000-0000-0000FAA40000}"/>
    <cellStyle name="输出 2 8 2 3 4" xfId="42187" xr:uid="{00000000-0005-0000-0000-0000FBA40000}"/>
    <cellStyle name="输出 2 8 2 3 4 2" xfId="29479" xr:uid="{00000000-0005-0000-0000-000057730000}"/>
    <cellStyle name="输出 2 8 2 3 5" xfId="42188" xr:uid="{00000000-0005-0000-0000-0000FCA40000}"/>
    <cellStyle name="输出 2 8 2 3 5 2" xfId="42190" xr:uid="{00000000-0005-0000-0000-0000FEA40000}"/>
    <cellStyle name="输出 2 8 2 3 6" xfId="36541" xr:uid="{00000000-0005-0000-0000-0000ED8E0000}"/>
    <cellStyle name="输出 2 8 2 4" xfId="42192" xr:uid="{00000000-0005-0000-0000-000000A50000}"/>
    <cellStyle name="输出 2 8 2 4 2" xfId="38270" xr:uid="{00000000-0005-0000-0000-0000AE950000}"/>
    <cellStyle name="输出 2 8 2 4 2 2" xfId="42193" xr:uid="{00000000-0005-0000-0000-000001A50000}"/>
    <cellStyle name="输出 2 8 2 4 3" xfId="42194" xr:uid="{00000000-0005-0000-0000-000002A50000}"/>
    <cellStyle name="输出 2 8 2 4 3 2" xfId="42195" xr:uid="{00000000-0005-0000-0000-000003A50000}"/>
    <cellStyle name="输出 2 8 2 4 4" xfId="42196" xr:uid="{00000000-0005-0000-0000-000004A50000}"/>
    <cellStyle name="输出 2 8 2 4 4 2" xfId="42197" xr:uid="{00000000-0005-0000-0000-000005A50000}"/>
    <cellStyle name="输出 2 8 2 4 5" xfId="42198" xr:uid="{00000000-0005-0000-0000-000006A50000}"/>
    <cellStyle name="输出 2 8 2 4 5 2" xfId="42200" xr:uid="{00000000-0005-0000-0000-000008A50000}"/>
    <cellStyle name="输出 2 8 2 4 6" xfId="36546" xr:uid="{00000000-0005-0000-0000-0000F28E0000}"/>
    <cellStyle name="输出 2 8 2 5" xfId="42202" xr:uid="{00000000-0005-0000-0000-00000AA50000}"/>
    <cellStyle name="输出 2 8 2 5 2" xfId="42203" xr:uid="{00000000-0005-0000-0000-00000BA50000}"/>
    <cellStyle name="输出 2 8 2 5 2 2" xfId="42204" xr:uid="{00000000-0005-0000-0000-00000CA50000}"/>
    <cellStyle name="输出 2 8 2 5 3" xfId="42205" xr:uid="{00000000-0005-0000-0000-00000DA50000}"/>
    <cellStyle name="输出 2 8 2 5 3 2" xfId="42206" xr:uid="{00000000-0005-0000-0000-00000EA50000}"/>
    <cellStyle name="输出 2 8 2 5 4" xfId="42207" xr:uid="{00000000-0005-0000-0000-00000FA50000}"/>
    <cellStyle name="输出 2 8 2 5 4 2" xfId="42208" xr:uid="{00000000-0005-0000-0000-000010A50000}"/>
    <cellStyle name="输出 2 8 2 5 5" xfId="42209" xr:uid="{00000000-0005-0000-0000-000011A50000}"/>
    <cellStyle name="输出 2 8 2 5 5 2" xfId="42211" xr:uid="{00000000-0005-0000-0000-000013A50000}"/>
    <cellStyle name="输出 2 8 2 5 6" xfId="42213" xr:uid="{00000000-0005-0000-0000-000015A50000}"/>
    <cellStyle name="输出 2 8 2 6" xfId="42215" xr:uid="{00000000-0005-0000-0000-000017A50000}"/>
    <cellStyle name="输出 2 8 2 6 2" xfId="42216" xr:uid="{00000000-0005-0000-0000-000018A50000}"/>
    <cellStyle name="输出 2 8 2 6 2 2" xfId="42218" xr:uid="{00000000-0005-0000-0000-00001AA50000}"/>
    <cellStyle name="输出 2 8 2 6 3" xfId="42220" xr:uid="{00000000-0005-0000-0000-00001CA50000}"/>
    <cellStyle name="输出 2 8 2 6 3 2" xfId="42221" xr:uid="{00000000-0005-0000-0000-00001DA50000}"/>
    <cellStyle name="输出 2 8 2 6 4" xfId="20391" xr:uid="{00000000-0005-0000-0000-0000D74F0000}"/>
    <cellStyle name="输出 2 8 2 6 4 2" xfId="42223" xr:uid="{00000000-0005-0000-0000-00001FA50000}"/>
    <cellStyle name="输出 2 8 2 6 5" xfId="23251" xr:uid="{00000000-0005-0000-0000-0000035B0000}"/>
    <cellStyle name="输出 2 8 2 6 5 2" xfId="42225" xr:uid="{00000000-0005-0000-0000-000021A50000}"/>
    <cellStyle name="输出 2 8 2 6 6" xfId="42229" xr:uid="{00000000-0005-0000-0000-000025A50000}"/>
    <cellStyle name="输出 2 8 2 7" xfId="42231" xr:uid="{00000000-0005-0000-0000-000027A50000}"/>
    <cellStyle name="输出 2 8 2 7 2" xfId="42232" xr:uid="{00000000-0005-0000-0000-000028A50000}"/>
    <cellStyle name="输出 2 8 2 7 2 2" xfId="42233" xr:uid="{00000000-0005-0000-0000-000029A50000}"/>
    <cellStyle name="输出 2 8 2 7 3" xfId="42234" xr:uid="{00000000-0005-0000-0000-00002AA50000}"/>
    <cellStyle name="输出 2 8 2 7 3 2" xfId="42235" xr:uid="{00000000-0005-0000-0000-00002BA50000}"/>
    <cellStyle name="输出 2 8 2 7 4" xfId="31769" xr:uid="{00000000-0005-0000-0000-0000497C0000}"/>
    <cellStyle name="输出 2 8 2 7 4 2" xfId="42236" xr:uid="{00000000-0005-0000-0000-00002CA50000}"/>
    <cellStyle name="输出 2 8 2 7 5" xfId="23254" xr:uid="{00000000-0005-0000-0000-0000065B0000}"/>
    <cellStyle name="输出 2 8 2 7 5 2" xfId="42237" xr:uid="{00000000-0005-0000-0000-00002DA50000}"/>
    <cellStyle name="输出 2 8 2 7 6" xfId="42238" xr:uid="{00000000-0005-0000-0000-00002EA50000}"/>
    <cellStyle name="输出 2 8 2 8" xfId="42239" xr:uid="{00000000-0005-0000-0000-00002FA50000}"/>
    <cellStyle name="输出 2 8 2 8 2" xfId="42240" xr:uid="{00000000-0005-0000-0000-000030A50000}"/>
    <cellStyle name="输出 2 8 2 8 2 2" xfId="42241" xr:uid="{00000000-0005-0000-0000-000031A50000}"/>
    <cellStyle name="输出 2 8 2 8 3" xfId="39264" xr:uid="{00000000-0005-0000-0000-000090990000}"/>
    <cellStyle name="输出 2 8 2 8 3 2" xfId="42242" xr:uid="{00000000-0005-0000-0000-000032A50000}"/>
    <cellStyle name="输出 2 8 2 8 4" xfId="31772" xr:uid="{00000000-0005-0000-0000-00004C7C0000}"/>
    <cellStyle name="输出 2 8 2 8 4 2" xfId="42243" xr:uid="{00000000-0005-0000-0000-000033A50000}"/>
    <cellStyle name="输出 2 8 2 8 5" xfId="23259" xr:uid="{00000000-0005-0000-0000-00000B5B0000}"/>
    <cellStyle name="输出 2 8 2 9" xfId="42244" xr:uid="{00000000-0005-0000-0000-000034A50000}"/>
    <cellStyle name="输出 2 8 2 9 2" xfId="38336" xr:uid="{00000000-0005-0000-0000-0000F0950000}"/>
    <cellStyle name="输出 2 8 20" xfId="15435" xr:uid="{00000000-0005-0000-0000-00007B3C0000}"/>
    <cellStyle name="输出 2 8 20 2" xfId="42107" xr:uid="{00000000-0005-0000-0000-0000ABA40000}"/>
    <cellStyle name="输出 2 8 21" xfId="42123" xr:uid="{00000000-0005-0000-0000-0000BBA40000}"/>
    <cellStyle name="输出 2 8 21 2" xfId="42125" xr:uid="{00000000-0005-0000-0000-0000BDA40000}"/>
    <cellStyle name="输出 2 8 22" xfId="42134" xr:uid="{00000000-0005-0000-0000-0000C6A40000}"/>
    <cellStyle name="输出 2 8 22 2" xfId="42136" xr:uid="{00000000-0005-0000-0000-0000C8A40000}"/>
    <cellStyle name="输出 2 8 23" xfId="42145" xr:uid="{00000000-0005-0000-0000-0000D1A40000}"/>
    <cellStyle name="输出 2 8 23 2" xfId="42147" xr:uid="{00000000-0005-0000-0000-0000D3A40000}"/>
    <cellStyle name="输出 2 8 24" xfId="42156" xr:uid="{00000000-0005-0000-0000-0000DCA40000}"/>
    <cellStyle name="输出 2 8 25" xfId="42245" xr:uid="{00000000-0005-0000-0000-000035A50000}"/>
    <cellStyle name="输出 2 8 26" xfId="42246" xr:uid="{00000000-0005-0000-0000-000036A50000}"/>
    <cellStyle name="输出 2 8 27" xfId="35946" xr:uid="{00000000-0005-0000-0000-00009A8C0000}"/>
    <cellStyle name="输出 2 8 3" xfId="19252" xr:uid="{00000000-0005-0000-0000-0000644B0000}"/>
    <cellStyle name="输出 2 8 3 10" xfId="42247" xr:uid="{00000000-0005-0000-0000-000037A50000}"/>
    <cellStyle name="输出 2 8 3 10 2" xfId="42248" xr:uid="{00000000-0005-0000-0000-000038A50000}"/>
    <cellStyle name="输出 2 8 3 11" xfId="4565" xr:uid="{00000000-0005-0000-0000-000005120000}"/>
    <cellStyle name="输出 2 8 3 11 2" xfId="42249" xr:uid="{00000000-0005-0000-0000-000039A50000}"/>
    <cellStyle name="输出 2 8 3 12" xfId="42250" xr:uid="{00000000-0005-0000-0000-00003AA50000}"/>
    <cellStyle name="输出 2 8 3 12 2" xfId="42251" xr:uid="{00000000-0005-0000-0000-00003BA50000}"/>
    <cellStyle name="输出 2 8 3 13" xfId="42252" xr:uid="{00000000-0005-0000-0000-00003CA50000}"/>
    <cellStyle name="输出 2 8 3 14" xfId="42253" xr:uid="{00000000-0005-0000-0000-00003DA50000}"/>
    <cellStyle name="输出 2 8 3 15" xfId="42254" xr:uid="{00000000-0005-0000-0000-00003EA50000}"/>
    <cellStyle name="输出 2 8 3 16" xfId="42255" xr:uid="{00000000-0005-0000-0000-00003FA50000}"/>
    <cellStyle name="输出 2 8 3 2" xfId="42256" xr:uid="{00000000-0005-0000-0000-000040A50000}"/>
    <cellStyle name="输出 2 8 3 2 2" xfId="42257" xr:uid="{00000000-0005-0000-0000-000041A50000}"/>
    <cellStyle name="输出 2 8 3 2 2 2" xfId="42258" xr:uid="{00000000-0005-0000-0000-000042A50000}"/>
    <cellStyle name="输出 2 8 3 2 3" xfId="42259" xr:uid="{00000000-0005-0000-0000-000043A50000}"/>
    <cellStyle name="输出 2 8 3 2 3 2" xfId="42260" xr:uid="{00000000-0005-0000-0000-000044A50000}"/>
    <cellStyle name="输出 2 8 3 2 4" xfId="42261" xr:uid="{00000000-0005-0000-0000-000045A50000}"/>
    <cellStyle name="输出 2 8 3 2 4 2" xfId="42262" xr:uid="{00000000-0005-0000-0000-000046A50000}"/>
    <cellStyle name="输出 2 8 3 2 5" xfId="42263" xr:uid="{00000000-0005-0000-0000-000047A50000}"/>
    <cellStyle name="输出 2 8 3 2 5 2" xfId="42265" xr:uid="{00000000-0005-0000-0000-000049A50000}"/>
    <cellStyle name="输出 2 8 3 2 6" xfId="36554" xr:uid="{00000000-0005-0000-0000-0000FA8E0000}"/>
    <cellStyle name="输出 2 8 3 2 7" xfId="42267" xr:uid="{00000000-0005-0000-0000-00004BA50000}"/>
    <cellStyle name="输出 2 8 3 2 8" xfId="42268" xr:uid="{00000000-0005-0000-0000-00004CA50000}"/>
    <cellStyle name="输出 2 8 3 2 9" xfId="42269" xr:uid="{00000000-0005-0000-0000-00004DA50000}"/>
    <cellStyle name="输出 2 8 3 3" xfId="42270" xr:uid="{00000000-0005-0000-0000-00004EA50000}"/>
    <cellStyle name="输出 2 8 3 3 2" xfId="42271" xr:uid="{00000000-0005-0000-0000-00004FA50000}"/>
    <cellStyle name="输出 2 8 3 3 2 2" xfId="42272" xr:uid="{00000000-0005-0000-0000-000050A50000}"/>
    <cellStyle name="输出 2 8 3 3 3" xfId="42273" xr:uid="{00000000-0005-0000-0000-000051A50000}"/>
    <cellStyle name="输出 2 8 3 3 3 2" xfId="42274" xr:uid="{00000000-0005-0000-0000-000052A50000}"/>
    <cellStyle name="输出 2 8 3 3 4" xfId="42275" xr:uid="{00000000-0005-0000-0000-000053A50000}"/>
    <cellStyle name="输出 2 8 3 3 4 2" xfId="42276" xr:uid="{00000000-0005-0000-0000-000054A50000}"/>
    <cellStyle name="输出 2 8 3 3 5" xfId="8622" xr:uid="{00000000-0005-0000-0000-0000DE210000}"/>
    <cellStyle name="输出 2 8 3 3 5 2" xfId="42277" xr:uid="{00000000-0005-0000-0000-000055A50000}"/>
    <cellStyle name="输出 2 8 3 3 6" xfId="36557" xr:uid="{00000000-0005-0000-0000-0000FD8E0000}"/>
    <cellStyle name="输出 2 8 3 4" xfId="42279" xr:uid="{00000000-0005-0000-0000-000057A50000}"/>
    <cellStyle name="输出 2 8 3 4 2" xfId="38600" xr:uid="{00000000-0005-0000-0000-0000F8960000}"/>
    <cellStyle name="输出 2 8 3 4 2 2" xfId="42280" xr:uid="{00000000-0005-0000-0000-000058A50000}"/>
    <cellStyle name="输出 2 8 3 4 3" xfId="42281" xr:uid="{00000000-0005-0000-0000-000059A50000}"/>
    <cellStyle name="输出 2 8 3 4 3 2" xfId="42282" xr:uid="{00000000-0005-0000-0000-00005AA50000}"/>
    <cellStyle name="输出 2 8 3 4 4" xfId="42283" xr:uid="{00000000-0005-0000-0000-00005BA50000}"/>
    <cellStyle name="输出 2 8 3 4 4 2" xfId="42284" xr:uid="{00000000-0005-0000-0000-00005CA50000}"/>
    <cellStyle name="输出 2 8 3 4 5" xfId="8665" xr:uid="{00000000-0005-0000-0000-000009220000}"/>
    <cellStyle name="输出 2 8 3 4 5 2" xfId="42285" xr:uid="{00000000-0005-0000-0000-00005DA50000}"/>
    <cellStyle name="输出 2 8 3 4 6" xfId="36560" xr:uid="{00000000-0005-0000-0000-0000008F0000}"/>
    <cellStyle name="输出 2 8 3 5" xfId="42287" xr:uid="{00000000-0005-0000-0000-00005FA50000}"/>
    <cellStyle name="输出 2 8 3 5 2" xfId="42288" xr:uid="{00000000-0005-0000-0000-000060A50000}"/>
    <cellStyle name="输出 2 8 3 5 2 2" xfId="42289" xr:uid="{00000000-0005-0000-0000-000061A50000}"/>
    <cellStyle name="输出 2 8 3 5 3" xfId="42290" xr:uid="{00000000-0005-0000-0000-000062A50000}"/>
    <cellStyle name="输出 2 8 3 5 3 2" xfId="42291" xr:uid="{00000000-0005-0000-0000-000063A50000}"/>
    <cellStyle name="输出 2 8 3 5 4" xfId="42292" xr:uid="{00000000-0005-0000-0000-000064A50000}"/>
    <cellStyle name="输出 2 8 3 5 4 2" xfId="42293" xr:uid="{00000000-0005-0000-0000-000065A50000}"/>
    <cellStyle name="输出 2 8 3 5 5" xfId="8694" xr:uid="{00000000-0005-0000-0000-000026220000}"/>
    <cellStyle name="输出 2 8 3 5 5 2" xfId="42294" xr:uid="{00000000-0005-0000-0000-000066A50000}"/>
    <cellStyle name="输出 2 8 3 5 6" xfId="42296" xr:uid="{00000000-0005-0000-0000-000068A50000}"/>
    <cellStyle name="输出 2 8 3 6" xfId="42297" xr:uid="{00000000-0005-0000-0000-000069A50000}"/>
    <cellStyle name="输出 2 8 3 6 2" xfId="42298" xr:uid="{00000000-0005-0000-0000-00006AA50000}"/>
    <cellStyle name="输出 2 8 3 6 2 2" xfId="42300" xr:uid="{00000000-0005-0000-0000-00006CA50000}"/>
    <cellStyle name="输出 2 8 3 6 3" xfId="42301" xr:uid="{00000000-0005-0000-0000-00006DA50000}"/>
    <cellStyle name="输出 2 8 3 6 3 2" xfId="42302" xr:uid="{00000000-0005-0000-0000-00006EA50000}"/>
    <cellStyle name="输出 2 8 3 6 4" xfId="31779" xr:uid="{00000000-0005-0000-0000-0000537C0000}"/>
    <cellStyle name="输出 2 8 3 6 4 2" xfId="42303" xr:uid="{00000000-0005-0000-0000-00006FA50000}"/>
    <cellStyle name="输出 2 8 3 6 5" xfId="1193" xr:uid="{00000000-0005-0000-0000-0000D9040000}"/>
    <cellStyle name="输出 2 8 3 6 5 2" xfId="42304" xr:uid="{00000000-0005-0000-0000-000070A50000}"/>
    <cellStyle name="输出 2 8 3 6 6" xfId="42306" xr:uid="{00000000-0005-0000-0000-000072A50000}"/>
    <cellStyle name="输出 2 8 3 7" xfId="42307" xr:uid="{00000000-0005-0000-0000-000073A50000}"/>
    <cellStyle name="输出 2 8 3 7 2" xfId="42308" xr:uid="{00000000-0005-0000-0000-000074A50000}"/>
    <cellStyle name="输出 2 8 3 7 2 2" xfId="42309" xr:uid="{00000000-0005-0000-0000-000075A50000}"/>
    <cellStyle name="输出 2 8 3 7 3" xfId="42310" xr:uid="{00000000-0005-0000-0000-000076A50000}"/>
    <cellStyle name="输出 2 8 3 7 3 2" xfId="42311" xr:uid="{00000000-0005-0000-0000-000077A50000}"/>
    <cellStyle name="输出 2 8 3 7 4" xfId="31783" xr:uid="{00000000-0005-0000-0000-0000577C0000}"/>
    <cellStyle name="输出 2 8 3 7 4 2" xfId="42312" xr:uid="{00000000-0005-0000-0000-000078A50000}"/>
    <cellStyle name="输出 2 8 3 7 5" xfId="23264" xr:uid="{00000000-0005-0000-0000-0000105B0000}"/>
    <cellStyle name="输出 2 8 3 7 5 2" xfId="42313" xr:uid="{00000000-0005-0000-0000-000079A50000}"/>
    <cellStyle name="输出 2 8 3 7 6" xfId="42315" xr:uid="{00000000-0005-0000-0000-00007BA50000}"/>
    <cellStyle name="输出 2 8 3 8" xfId="42316" xr:uid="{00000000-0005-0000-0000-00007CA50000}"/>
    <cellStyle name="输出 2 8 3 8 2" xfId="42317" xr:uid="{00000000-0005-0000-0000-00007DA50000}"/>
    <cellStyle name="输出 2 8 3 8 2 2" xfId="42318" xr:uid="{00000000-0005-0000-0000-00007EA50000}"/>
    <cellStyle name="输出 2 8 3 8 3" xfId="39276" xr:uid="{00000000-0005-0000-0000-00009C990000}"/>
    <cellStyle name="输出 2 8 3 8 3 2" xfId="42319" xr:uid="{00000000-0005-0000-0000-00007FA50000}"/>
    <cellStyle name="输出 2 8 3 8 4" xfId="31786" xr:uid="{00000000-0005-0000-0000-00005A7C0000}"/>
    <cellStyle name="输出 2 8 3 8 4 2" xfId="42320" xr:uid="{00000000-0005-0000-0000-000080A50000}"/>
    <cellStyle name="输出 2 8 3 8 5" xfId="21507" xr:uid="{00000000-0005-0000-0000-000033540000}"/>
    <cellStyle name="输出 2 8 3 9" xfId="42321" xr:uid="{00000000-0005-0000-0000-000081A50000}"/>
    <cellStyle name="输出 2 8 3 9 2" xfId="38666" xr:uid="{00000000-0005-0000-0000-00003A970000}"/>
    <cellStyle name="输出 2 8 4" xfId="36946" xr:uid="{00000000-0005-0000-0000-000082900000}"/>
    <cellStyle name="输出 2 8 4 10" xfId="42322" xr:uid="{00000000-0005-0000-0000-000082A50000}"/>
    <cellStyle name="输出 2 8 4 10 2" xfId="42323" xr:uid="{00000000-0005-0000-0000-000083A50000}"/>
    <cellStyle name="输出 2 8 4 11" xfId="42324" xr:uid="{00000000-0005-0000-0000-000084A50000}"/>
    <cellStyle name="输出 2 8 4 11 2" xfId="42325" xr:uid="{00000000-0005-0000-0000-000085A50000}"/>
    <cellStyle name="输出 2 8 4 12" xfId="42326" xr:uid="{00000000-0005-0000-0000-000086A50000}"/>
    <cellStyle name="输出 2 8 4 12 2" xfId="32183" xr:uid="{00000000-0005-0000-0000-0000E77D0000}"/>
    <cellStyle name="输出 2 8 4 13" xfId="33190" xr:uid="{00000000-0005-0000-0000-0000D6810000}"/>
    <cellStyle name="输出 2 8 4 14" xfId="42328" xr:uid="{00000000-0005-0000-0000-000088A50000}"/>
    <cellStyle name="输出 2 8 4 15" xfId="42330" xr:uid="{00000000-0005-0000-0000-00008AA50000}"/>
    <cellStyle name="输出 2 8 4 16" xfId="42331" xr:uid="{00000000-0005-0000-0000-00008BA50000}"/>
    <cellStyle name="输出 2 8 4 2" xfId="42332" xr:uid="{00000000-0005-0000-0000-00008CA50000}"/>
    <cellStyle name="输出 2 8 4 2 2" xfId="42333" xr:uid="{00000000-0005-0000-0000-00008DA50000}"/>
    <cellStyle name="输出 2 8 4 2 2 2" xfId="42334" xr:uid="{00000000-0005-0000-0000-00008EA50000}"/>
    <cellStyle name="输出 2 8 4 2 3" xfId="42335" xr:uid="{00000000-0005-0000-0000-00008FA50000}"/>
    <cellStyle name="输出 2 8 4 2 3 2" xfId="42336" xr:uid="{00000000-0005-0000-0000-000090A50000}"/>
    <cellStyle name="输出 2 8 4 2 4" xfId="42337" xr:uid="{00000000-0005-0000-0000-000091A50000}"/>
    <cellStyle name="输出 2 8 4 2 4 2" xfId="42338" xr:uid="{00000000-0005-0000-0000-000092A50000}"/>
    <cellStyle name="输出 2 8 4 2 5" xfId="42339" xr:uid="{00000000-0005-0000-0000-000093A50000}"/>
    <cellStyle name="输出 2 8 4 2 5 2" xfId="42341" xr:uid="{00000000-0005-0000-0000-000095A50000}"/>
    <cellStyle name="输出 2 8 4 2 6" xfId="23743" xr:uid="{00000000-0005-0000-0000-0000EF5C0000}"/>
    <cellStyle name="输出 2 8 4 2 7" xfId="23747" xr:uid="{00000000-0005-0000-0000-0000F35C0000}"/>
    <cellStyle name="输出 2 8 4 2 8" xfId="13146" xr:uid="{00000000-0005-0000-0000-00008A330000}"/>
    <cellStyle name="输出 2 8 4 2 9" xfId="23751" xr:uid="{00000000-0005-0000-0000-0000F75C0000}"/>
    <cellStyle name="输出 2 8 4 3" xfId="42342" xr:uid="{00000000-0005-0000-0000-000096A50000}"/>
    <cellStyle name="输出 2 8 4 3 2" xfId="42343" xr:uid="{00000000-0005-0000-0000-000097A50000}"/>
    <cellStyle name="输出 2 8 4 3 2 2" xfId="42344" xr:uid="{00000000-0005-0000-0000-000098A50000}"/>
    <cellStyle name="输出 2 8 4 3 3" xfId="42345" xr:uid="{00000000-0005-0000-0000-000099A50000}"/>
    <cellStyle name="输出 2 8 4 3 3 2" xfId="42346" xr:uid="{00000000-0005-0000-0000-00009AA50000}"/>
    <cellStyle name="输出 2 8 4 3 4" xfId="42347" xr:uid="{00000000-0005-0000-0000-00009BA50000}"/>
    <cellStyle name="输出 2 8 4 3 4 2" xfId="42348" xr:uid="{00000000-0005-0000-0000-00009CA50000}"/>
    <cellStyle name="输出 2 8 4 3 5" xfId="3517" xr:uid="{00000000-0005-0000-0000-0000ED0D0000}"/>
    <cellStyle name="输出 2 8 4 3 5 2" xfId="34155" xr:uid="{00000000-0005-0000-0000-00009B850000}"/>
    <cellStyle name="输出 2 8 4 3 6" xfId="36565" xr:uid="{00000000-0005-0000-0000-0000058F0000}"/>
    <cellStyle name="输出 2 8 4 4" xfId="42349" xr:uid="{00000000-0005-0000-0000-00009DA50000}"/>
    <cellStyle name="输出 2 8 4 4 2" xfId="42350" xr:uid="{00000000-0005-0000-0000-00009EA50000}"/>
    <cellStyle name="输出 2 8 4 4 2 2" xfId="42351" xr:uid="{00000000-0005-0000-0000-00009FA50000}"/>
    <cellStyle name="输出 2 8 4 4 3" xfId="42352" xr:uid="{00000000-0005-0000-0000-0000A0A50000}"/>
    <cellStyle name="输出 2 8 4 4 3 2" xfId="42353" xr:uid="{00000000-0005-0000-0000-0000A1A50000}"/>
    <cellStyle name="输出 2 8 4 4 4" xfId="42354" xr:uid="{00000000-0005-0000-0000-0000A2A50000}"/>
    <cellStyle name="输出 2 8 4 4 4 2" xfId="42355" xr:uid="{00000000-0005-0000-0000-0000A3A50000}"/>
    <cellStyle name="输出 2 8 4 4 5" xfId="110" xr:uid="{00000000-0005-0000-0000-000077000000}"/>
    <cellStyle name="输出 2 8 4 4 5 2" xfId="34173" xr:uid="{00000000-0005-0000-0000-0000AD850000}"/>
    <cellStyle name="输出 2 8 4 4 6" xfId="42356" xr:uid="{00000000-0005-0000-0000-0000A4A50000}"/>
    <cellStyle name="输出 2 8 4 5" xfId="42357" xr:uid="{00000000-0005-0000-0000-0000A5A50000}"/>
    <cellStyle name="输出 2 8 4 5 2" xfId="42358" xr:uid="{00000000-0005-0000-0000-0000A6A50000}"/>
    <cellStyle name="输出 2 8 4 5 2 2" xfId="42359" xr:uid="{00000000-0005-0000-0000-0000A7A50000}"/>
    <cellStyle name="输出 2 8 4 5 3" xfId="42360" xr:uid="{00000000-0005-0000-0000-0000A8A50000}"/>
    <cellStyle name="输出 2 8 4 5 3 2" xfId="42361" xr:uid="{00000000-0005-0000-0000-0000A9A50000}"/>
    <cellStyle name="输出 2 8 4 5 4" xfId="42362" xr:uid="{00000000-0005-0000-0000-0000AAA50000}"/>
    <cellStyle name="输出 2 8 4 5 4 2" xfId="42363" xr:uid="{00000000-0005-0000-0000-0000ABA50000}"/>
    <cellStyle name="输出 2 8 4 5 5" xfId="8796" xr:uid="{00000000-0005-0000-0000-00008C220000}"/>
    <cellStyle name="输出 2 8 4 5 5 2" xfId="25971" xr:uid="{00000000-0005-0000-0000-0000A3650000}"/>
    <cellStyle name="输出 2 8 4 5 6" xfId="42364" xr:uid="{00000000-0005-0000-0000-0000ACA50000}"/>
    <cellStyle name="输出 2 8 4 6" xfId="42365" xr:uid="{00000000-0005-0000-0000-0000ADA50000}"/>
    <cellStyle name="输出 2 8 4 6 2" xfId="42366" xr:uid="{00000000-0005-0000-0000-0000AEA50000}"/>
    <cellStyle name="输出 2 8 4 6 2 2" xfId="42368" xr:uid="{00000000-0005-0000-0000-0000B0A50000}"/>
    <cellStyle name="输出 2 8 4 6 3" xfId="35117" xr:uid="{00000000-0005-0000-0000-00005D890000}"/>
    <cellStyle name="输出 2 8 4 6 3 2" xfId="42369" xr:uid="{00000000-0005-0000-0000-0000B1A50000}"/>
    <cellStyle name="输出 2 8 4 6 4" xfId="42371" xr:uid="{00000000-0005-0000-0000-0000B3A50000}"/>
    <cellStyle name="输出 2 8 4 6 4 2" xfId="42372" xr:uid="{00000000-0005-0000-0000-0000B4A50000}"/>
    <cellStyle name="输出 2 8 4 6 5" xfId="8815" xr:uid="{00000000-0005-0000-0000-00009F220000}"/>
    <cellStyle name="输出 2 8 4 6 5 2" xfId="32949" xr:uid="{00000000-0005-0000-0000-0000E5800000}"/>
    <cellStyle name="输出 2 8 4 6 6" xfId="42373" xr:uid="{00000000-0005-0000-0000-0000B5A50000}"/>
    <cellStyle name="输出 2 8 4 7" xfId="42374" xr:uid="{00000000-0005-0000-0000-0000B6A50000}"/>
    <cellStyle name="输出 2 8 4 7 2" xfId="42375" xr:uid="{00000000-0005-0000-0000-0000B7A50000}"/>
    <cellStyle name="输出 2 8 4 7 2 2" xfId="42376" xr:uid="{00000000-0005-0000-0000-0000B8A50000}"/>
    <cellStyle name="输出 2 8 4 7 3" xfId="40936" xr:uid="{00000000-0005-0000-0000-000018A00000}"/>
    <cellStyle name="输出 2 8 4 7 3 2" xfId="42377" xr:uid="{00000000-0005-0000-0000-0000B9A50000}"/>
    <cellStyle name="输出 2 8 4 7 4" xfId="42378" xr:uid="{00000000-0005-0000-0000-0000BAA50000}"/>
    <cellStyle name="输出 2 8 4 7 4 2" xfId="42379" xr:uid="{00000000-0005-0000-0000-0000BBA50000}"/>
    <cellStyle name="输出 2 8 4 7 5" xfId="38235" xr:uid="{00000000-0005-0000-0000-00008B950000}"/>
    <cellStyle name="输出 2 8 4 7 5 2" xfId="34200" xr:uid="{00000000-0005-0000-0000-0000C8850000}"/>
    <cellStyle name="输出 2 8 4 7 6" xfId="42380" xr:uid="{00000000-0005-0000-0000-0000BCA50000}"/>
    <cellStyle name="输出 2 8 4 8" xfId="42381" xr:uid="{00000000-0005-0000-0000-0000BDA50000}"/>
    <cellStyle name="输出 2 8 4 8 2" xfId="42382" xr:uid="{00000000-0005-0000-0000-0000BEA50000}"/>
    <cellStyle name="输出 2 8 4 8 2 2" xfId="42383" xr:uid="{00000000-0005-0000-0000-0000BFA50000}"/>
    <cellStyle name="输出 2 8 4 8 3" xfId="39287" xr:uid="{00000000-0005-0000-0000-0000A7990000}"/>
    <cellStyle name="输出 2 8 4 8 3 2" xfId="42385" xr:uid="{00000000-0005-0000-0000-0000C1A50000}"/>
    <cellStyle name="输出 2 8 4 8 4" xfId="42387" xr:uid="{00000000-0005-0000-0000-0000C3A50000}"/>
    <cellStyle name="输出 2 8 4 8 4 2" xfId="42388" xr:uid="{00000000-0005-0000-0000-0000C4A50000}"/>
    <cellStyle name="输出 2 8 4 8 5" xfId="38238" xr:uid="{00000000-0005-0000-0000-00008E950000}"/>
    <cellStyle name="输出 2 8 4 9" xfId="42390" xr:uid="{00000000-0005-0000-0000-0000C6A50000}"/>
    <cellStyle name="输出 2 8 4 9 2" xfId="42391" xr:uid="{00000000-0005-0000-0000-0000C7A50000}"/>
    <cellStyle name="输出 2 8 5" xfId="42392" xr:uid="{00000000-0005-0000-0000-0000C8A50000}"/>
    <cellStyle name="输出 2 8 5 10" xfId="42393" xr:uid="{00000000-0005-0000-0000-0000C9A50000}"/>
    <cellStyle name="输出 2 8 5 10 2" xfId="42394" xr:uid="{00000000-0005-0000-0000-0000CAA50000}"/>
    <cellStyle name="输出 2 8 5 11" xfId="42395" xr:uid="{00000000-0005-0000-0000-0000CBA50000}"/>
    <cellStyle name="输出 2 8 5 11 2" xfId="42396" xr:uid="{00000000-0005-0000-0000-0000CCA50000}"/>
    <cellStyle name="输出 2 8 5 12" xfId="42397" xr:uid="{00000000-0005-0000-0000-0000CDA50000}"/>
    <cellStyle name="输出 2 8 5 12 2" xfId="42398" xr:uid="{00000000-0005-0000-0000-0000CEA50000}"/>
    <cellStyle name="输出 2 8 5 13" xfId="8776" xr:uid="{00000000-0005-0000-0000-000078220000}"/>
    <cellStyle name="输出 2 8 5 14" xfId="42399" xr:uid="{00000000-0005-0000-0000-0000CFA50000}"/>
    <cellStyle name="输出 2 8 5 15" xfId="42401" xr:uid="{00000000-0005-0000-0000-0000D1A50000}"/>
    <cellStyle name="输出 2 8 5 16" xfId="42403" xr:uid="{00000000-0005-0000-0000-0000D3A50000}"/>
    <cellStyle name="输出 2 8 5 2" xfId="42406" xr:uid="{00000000-0005-0000-0000-0000D6A50000}"/>
    <cellStyle name="输出 2 8 5 2 2" xfId="42407" xr:uid="{00000000-0005-0000-0000-0000D7A50000}"/>
    <cellStyle name="输出 2 8 5 2 2 2" xfId="39901" xr:uid="{00000000-0005-0000-0000-00000D9C0000}"/>
    <cellStyle name="输出 2 8 5 2 3" xfId="7658" xr:uid="{00000000-0005-0000-0000-00001A1E0000}"/>
    <cellStyle name="输出 2 8 5 2 3 2" xfId="42408" xr:uid="{00000000-0005-0000-0000-0000D8A50000}"/>
    <cellStyle name="输出 2 8 5 2 4" xfId="42409" xr:uid="{00000000-0005-0000-0000-0000D9A50000}"/>
    <cellStyle name="输出 2 8 5 2 4 2" xfId="42410" xr:uid="{00000000-0005-0000-0000-0000DAA50000}"/>
    <cellStyle name="输出 2 8 5 2 5" xfId="42412" xr:uid="{00000000-0005-0000-0000-0000DCA50000}"/>
    <cellStyle name="输出 2 8 5 2 5 2" xfId="42414" xr:uid="{00000000-0005-0000-0000-0000DEA50000}"/>
    <cellStyle name="输出 2 8 5 2 6" xfId="42415" xr:uid="{00000000-0005-0000-0000-0000DFA50000}"/>
    <cellStyle name="输出 2 8 5 2 7" xfId="42416" xr:uid="{00000000-0005-0000-0000-0000E0A50000}"/>
    <cellStyle name="输出 2 8 5 2 8" xfId="42417" xr:uid="{00000000-0005-0000-0000-0000E1A50000}"/>
    <cellStyle name="输出 2 8 5 2 9" xfId="42418" xr:uid="{00000000-0005-0000-0000-0000E2A50000}"/>
    <cellStyle name="输出 2 8 5 3" xfId="42419" xr:uid="{00000000-0005-0000-0000-0000E3A50000}"/>
    <cellStyle name="输出 2 8 5 3 2" xfId="42420" xr:uid="{00000000-0005-0000-0000-0000E4A50000}"/>
    <cellStyle name="输出 2 8 5 3 2 2" xfId="39908" xr:uid="{00000000-0005-0000-0000-0000149C0000}"/>
    <cellStyle name="输出 2 8 5 3 3" xfId="42421" xr:uid="{00000000-0005-0000-0000-0000E5A50000}"/>
    <cellStyle name="输出 2 8 5 3 3 2" xfId="42422" xr:uid="{00000000-0005-0000-0000-0000E6A50000}"/>
    <cellStyle name="输出 2 8 5 3 4" xfId="42423" xr:uid="{00000000-0005-0000-0000-0000E7A50000}"/>
    <cellStyle name="输出 2 8 5 3 4 2" xfId="42424" xr:uid="{00000000-0005-0000-0000-0000E8A50000}"/>
    <cellStyle name="输出 2 8 5 3 5" xfId="9018" xr:uid="{00000000-0005-0000-0000-00006A230000}"/>
    <cellStyle name="输出 2 8 5 3 5 2" xfId="42425" xr:uid="{00000000-0005-0000-0000-0000E9A50000}"/>
    <cellStyle name="输出 2 8 5 3 6" xfId="42426" xr:uid="{00000000-0005-0000-0000-0000EAA50000}"/>
    <cellStyle name="输出 2 8 5 4" xfId="42427" xr:uid="{00000000-0005-0000-0000-0000EBA50000}"/>
    <cellStyle name="输出 2 8 5 4 2" xfId="9032" xr:uid="{00000000-0005-0000-0000-000078230000}"/>
    <cellStyle name="输出 2 8 5 4 2 2" xfId="9042" xr:uid="{00000000-0005-0000-0000-000082230000}"/>
    <cellStyle name="输出 2 8 5 4 3" xfId="9050" xr:uid="{00000000-0005-0000-0000-00008A230000}"/>
    <cellStyle name="输出 2 8 5 4 3 2" xfId="42428" xr:uid="{00000000-0005-0000-0000-0000ECA50000}"/>
    <cellStyle name="输出 2 8 5 4 4" xfId="9068" xr:uid="{00000000-0005-0000-0000-00009C230000}"/>
    <cellStyle name="输出 2 8 5 4 4 2" xfId="42429" xr:uid="{00000000-0005-0000-0000-0000EDA50000}"/>
    <cellStyle name="输出 2 8 5 4 5" xfId="9081" xr:uid="{00000000-0005-0000-0000-0000A9230000}"/>
    <cellStyle name="输出 2 8 5 4 5 2" xfId="42430" xr:uid="{00000000-0005-0000-0000-0000EEA50000}"/>
    <cellStyle name="输出 2 8 5 4 6" xfId="7101" xr:uid="{00000000-0005-0000-0000-0000ED1B0000}"/>
    <cellStyle name="输出 2 8 5 5" xfId="42431" xr:uid="{00000000-0005-0000-0000-0000EFA50000}"/>
    <cellStyle name="输出 2 8 5 5 2" xfId="5840" xr:uid="{00000000-0005-0000-0000-000000170000}"/>
    <cellStyle name="输出 2 8 5 5 2 2" xfId="9097" xr:uid="{00000000-0005-0000-0000-0000B9230000}"/>
    <cellStyle name="输出 2 8 5 5 3" xfId="9103" xr:uid="{00000000-0005-0000-0000-0000BF230000}"/>
    <cellStyle name="输出 2 8 5 5 3 2" xfId="42432" xr:uid="{00000000-0005-0000-0000-0000F0A50000}"/>
    <cellStyle name="输出 2 8 5 5 4" xfId="42433" xr:uid="{00000000-0005-0000-0000-0000F1A50000}"/>
    <cellStyle name="输出 2 8 5 5 4 2" xfId="26967" xr:uid="{00000000-0005-0000-0000-000087690000}"/>
    <cellStyle name="输出 2 8 5 5 5" xfId="9144" xr:uid="{00000000-0005-0000-0000-0000E8230000}"/>
    <cellStyle name="输出 2 8 5 5 5 2" xfId="42434" xr:uid="{00000000-0005-0000-0000-0000F2A50000}"/>
    <cellStyle name="输出 2 8 5 5 6" xfId="42435" xr:uid="{00000000-0005-0000-0000-0000F3A50000}"/>
    <cellStyle name="输出 2 8 5 6" xfId="42436" xr:uid="{00000000-0005-0000-0000-0000F4A50000}"/>
    <cellStyle name="输出 2 8 5 6 2" xfId="5871" xr:uid="{00000000-0005-0000-0000-00001F170000}"/>
    <cellStyle name="输出 2 8 5 6 2 2" xfId="8155" xr:uid="{00000000-0005-0000-0000-00000B200000}"/>
    <cellStyle name="输出 2 8 5 6 3" xfId="9154" xr:uid="{00000000-0005-0000-0000-0000F2230000}"/>
    <cellStyle name="输出 2 8 5 6 3 2" xfId="2865" xr:uid="{00000000-0005-0000-0000-0000610B0000}"/>
    <cellStyle name="输出 2 8 5 6 4" xfId="42437" xr:uid="{00000000-0005-0000-0000-0000F5A50000}"/>
    <cellStyle name="输出 2 8 5 6 4 2" xfId="9171" xr:uid="{00000000-0005-0000-0000-000003240000}"/>
    <cellStyle name="输出 2 8 5 6 5" xfId="9184" xr:uid="{00000000-0005-0000-0000-000010240000}"/>
    <cellStyle name="输出 2 8 5 6 5 2" xfId="12775" xr:uid="{00000000-0005-0000-0000-000017320000}"/>
    <cellStyle name="输出 2 8 5 6 6" xfId="42438" xr:uid="{00000000-0005-0000-0000-0000F6A50000}"/>
    <cellStyle name="输出 2 8 5 7" xfId="42439" xr:uid="{00000000-0005-0000-0000-0000F7A50000}"/>
    <cellStyle name="输出 2 8 5 7 2" xfId="5900" xr:uid="{00000000-0005-0000-0000-00003C170000}"/>
    <cellStyle name="输出 2 8 5 7 2 2" xfId="12785" xr:uid="{00000000-0005-0000-0000-000021320000}"/>
    <cellStyle name="输出 2 8 5 7 3" xfId="12791" xr:uid="{00000000-0005-0000-0000-000027320000}"/>
    <cellStyle name="输出 2 8 5 7 3 2" xfId="12802" xr:uid="{00000000-0005-0000-0000-000032320000}"/>
    <cellStyle name="输出 2 8 5 7 4" xfId="34126" xr:uid="{00000000-0005-0000-0000-00007E850000}"/>
    <cellStyle name="输出 2 8 5 7 4 2" xfId="10225" xr:uid="{00000000-0005-0000-0000-000021280000}"/>
    <cellStyle name="输出 2 8 5 7 5" xfId="37386" xr:uid="{00000000-0005-0000-0000-00003A920000}"/>
    <cellStyle name="输出 2 8 5 7 5 2" xfId="9534" xr:uid="{00000000-0005-0000-0000-00006E250000}"/>
    <cellStyle name="输出 2 8 5 7 6" xfId="42440" xr:uid="{00000000-0005-0000-0000-0000F8A50000}"/>
    <cellStyle name="输出 2 8 5 8" xfId="42441" xr:uid="{00000000-0005-0000-0000-0000F9A50000}"/>
    <cellStyle name="输出 2 8 5 8 2" xfId="5947" xr:uid="{00000000-0005-0000-0000-00006B170000}"/>
    <cellStyle name="输出 2 8 5 8 2 2" xfId="12821" xr:uid="{00000000-0005-0000-0000-000045320000}"/>
    <cellStyle name="输出 2 8 5 8 3" xfId="12829" xr:uid="{00000000-0005-0000-0000-00004D320000}"/>
    <cellStyle name="输出 2 8 5 8 3 2" xfId="42442" xr:uid="{00000000-0005-0000-0000-0000FAA50000}"/>
    <cellStyle name="输出 2 8 5 8 4" xfId="42443" xr:uid="{00000000-0005-0000-0000-0000FBA50000}"/>
    <cellStyle name="输出 2 8 5 8 4 2" xfId="42444" xr:uid="{00000000-0005-0000-0000-0000FCA50000}"/>
    <cellStyle name="输出 2 8 5 8 5" xfId="38243" xr:uid="{00000000-0005-0000-0000-000093950000}"/>
    <cellStyle name="输出 2 8 5 9" xfId="42445" xr:uid="{00000000-0005-0000-0000-0000FDA50000}"/>
    <cellStyle name="输出 2 8 5 9 2" xfId="10486" xr:uid="{00000000-0005-0000-0000-000026290000}"/>
    <cellStyle name="输出 2 8 6" xfId="42446" xr:uid="{00000000-0005-0000-0000-0000FEA50000}"/>
    <cellStyle name="输出 2 8 6 10" xfId="42447" xr:uid="{00000000-0005-0000-0000-0000FFA50000}"/>
    <cellStyle name="输出 2 8 6 10 2" xfId="42448" xr:uid="{00000000-0005-0000-0000-000000A60000}"/>
    <cellStyle name="输出 2 8 6 11" xfId="42449" xr:uid="{00000000-0005-0000-0000-000001A60000}"/>
    <cellStyle name="输出 2 8 6 11 2" xfId="42451" xr:uid="{00000000-0005-0000-0000-000003A60000}"/>
    <cellStyle name="输出 2 8 6 12" xfId="42452" xr:uid="{00000000-0005-0000-0000-000004A60000}"/>
    <cellStyle name="输出 2 8 6 12 2" xfId="42453" xr:uid="{00000000-0005-0000-0000-000005A60000}"/>
    <cellStyle name="输出 2 8 6 13" xfId="42454" xr:uid="{00000000-0005-0000-0000-000006A60000}"/>
    <cellStyle name="输出 2 8 6 14" xfId="42455" xr:uid="{00000000-0005-0000-0000-000007A60000}"/>
    <cellStyle name="输出 2 8 6 15" xfId="42457" xr:uid="{00000000-0005-0000-0000-000009A60000}"/>
    <cellStyle name="输出 2 8 6 16" xfId="27385" xr:uid="{00000000-0005-0000-0000-0000296B0000}"/>
    <cellStyle name="输出 2 8 6 2" xfId="42459" xr:uid="{00000000-0005-0000-0000-00000BA60000}"/>
    <cellStyle name="输出 2 8 6 2 2" xfId="42460" xr:uid="{00000000-0005-0000-0000-00000CA60000}"/>
    <cellStyle name="输出 2 8 6 2 2 2" xfId="40357" xr:uid="{00000000-0005-0000-0000-0000D59D0000}"/>
    <cellStyle name="输出 2 8 6 2 3" xfId="42461" xr:uid="{00000000-0005-0000-0000-00000DA60000}"/>
    <cellStyle name="输出 2 8 6 2 3 2" xfId="42462" xr:uid="{00000000-0005-0000-0000-00000EA60000}"/>
    <cellStyle name="输出 2 8 6 2 4" xfId="42463" xr:uid="{00000000-0005-0000-0000-00000FA60000}"/>
    <cellStyle name="输出 2 8 6 2 4 2" xfId="42464" xr:uid="{00000000-0005-0000-0000-000010A60000}"/>
    <cellStyle name="输出 2 8 6 2 5" xfId="42466" xr:uid="{00000000-0005-0000-0000-000012A60000}"/>
    <cellStyle name="输出 2 8 6 2 5 2" xfId="42467" xr:uid="{00000000-0005-0000-0000-000013A60000}"/>
    <cellStyle name="输出 2 8 6 2 6" xfId="42468" xr:uid="{00000000-0005-0000-0000-000014A60000}"/>
    <cellStyle name="输出 2 8 6 2 7" xfId="42469" xr:uid="{00000000-0005-0000-0000-000015A60000}"/>
    <cellStyle name="输出 2 8 6 2 8" xfId="42470" xr:uid="{00000000-0005-0000-0000-000016A60000}"/>
    <cellStyle name="输出 2 8 6 2 9" xfId="42471" xr:uid="{00000000-0005-0000-0000-000017A60000}"/>
    <cellStyle name="输出 2 8 6 3" xfId="42473" xr:uid="{00000000-0005-0000-0000-000019A60000}"/>
    <cellStyle name="输出 2 8 6 3 2" xfId="42474" xr:uid="{00000000-0005-0000-0000-00001AA60000}"/>
    <cellStyle name="输出 2 8 6 3 2 2" xfId="40371" xr:uid="{00000000-0005-0000-0000-0000E39D0000}"/>
    <cellStyle name="输出 2 8 6 3 3" xfId="42475" xr:uid="{00000000-0005-0000-0000-00001BA60000}"/>
    <cellStyle name="输出 2 8 6 3 3 2" xfId="42476" xr:uid="{00000000-0005-0000-0000-00001CA60000}"/>
    <cellStyle name="输出 2 8 6 3 4" xfId="42477" xr:uid="{00000000-0005-0000-0000-00001DA60000}"/>
    <cellStyle name="输出 2 8 6 3 4 2" xfId="42478" xr:uid="{00000000-0005-0000-0000-00001EA60000}"/>
    <cellStyle name="输出 2 8 6 3 5" xfId="9289" xr:uid="{00000000-0005-0000-0000-000079240000}"/>
    <cellStyle name="输出 2 8 6 3 5 2" xfId="42479" xr:uid="{00000000-0005-0000-0000-00001FA60000}"/>
    <cellStyle name="输出 2 8 6 3 6" xfId="42480" xr:uid="{00000000-0005-0000-0000-000020A60000}"/>
    <cellStyle name="输出 2 8 6 4" xfId="42481" xr:uid="{00000000-0005-0000-0000-000021A60000}"/>
    <cellStyle name="输出 2 8 6 4 2" xfId="323" xr:uid="{00000000-0005-0000-0000-000063010000}"/>
    <cellStyle name="输出 2 8 6 4 2 2" xfId="7297" xr:uid="{00000000-0005-0000-0000-0000B11C0000}"/>
    <cellStyle name="输出 2 8 6 4 3" xfId="17814" xr:uid="{00000000-0005-0000-0000-0000C6450000}"/>
    <cellStyle name="输出 2 8 6 4 3 2" xfId="42482" xr:uid="{00000000-0005-0000-0000-000022A60000}"/>
    <cellStyle name="输出 2 8 6 4 4" xfId="17816" xr:uid="{00000000-0005-0000-0000-0000C8450000}"/>
    <cellStyle name="输出 2 8 6 4 4 2" xfId="42483" xr:uid="{00000000-0005-0000-0000-000023A60000}"/>
    <cellStyle name="输出 2 8 6 4 5" xfId="9312" xr:uid="{00000000-0005-0000-0000-000090240000}"/>
    <cellStyle name="输出 2 8 6 4 5 2" xfId="42484" xr:uid="{00000000-0005-0000-0000-000024A60000}"/>
    <cellStyle name="输出 2 8 6 4 6" xfId="17820" xr:uid="{00000000-0005-0000-0000-0000CC450000}"/>
    <cellStyle name="输出 2 8 6 5" xfId="42485" xr:uid="{00000000-0005-0000-0000-000025A60000}"/>
    <cellStyle name="输出 2 8 6 5 2" xfId="16194" xr:uid="{00000000-0005-0000-0000-0000723F0000}"/>
    <cellStyle name="输出 2 8 6 5 2 2" xfId="17837" xr:uid="{00000000-0005-0000-0000-0000DD450000}"/>
    <cellStyle name="输出 2 8 6 5 3" xfId="17839" xr:uid="{00000000-0005-0000-0000-0000DF450000}"/>
    <cellStyle name="输出 2 8 6 5 3 2" xfId="42487" xr:uid="{00000000-0005-0000-0000-000027A60000}"/>
    <cellStyle name="输出 2 8 6 5 4" xfId="42489" xr:uid="{00000000-0005-0000-0000-000029A60000}"/>
    <cellStyle name="输出 2 8 6 5 4 2" xfId="27841" xr:uid="{00000000-0005-0000-0000-0000F16C0000}"/>
    <cellStyle name="输出 2 8 6 5 5" xfId="9335" xr:uid="{00000000-0005-0000-0000-0000A7240000}"/>
    <cellStyle name="输出 2 8 6 5 5 2" xfId="42490" xr:uid="{00000000-0005-0000-0000-00002AA60000}"/>
    <cellStyle name="输出 2 8 6 5 6" xfId="42491" xr:uid="{00000000-0005-0000-0000-00002BA60000}"/>
    <cellStyle name="输出 2 8 6 6" xfId="42492" xr:uid="{00000000-0005-0000-0000-00002CA60000}"/>
    <cellStyle name="输出 2 8 6 6 2" xfId="17860" xr:uid="{00000000-0005-0000-0000-0000F4450000}"/>
    <cellStyle name="输出 2 8 6 6 2 2" xfId="17862" xr:uid="{00000000-0005-0000-0000-0000F6450000}"/>
    <cellStyle name="输出 2 8 6 6 3" xfId="17864" xr:uid="{00000000-0005-0000-0000-0000F8450000}"/>
    <cellStyle name="输出 2 8 6 6 3 2" xfId="42493" xr:uid="{00000000-0005-0000-0000-00002DA60000}"/>
    <cellStyle name="输出 2 8 6 6 4" xfId="42494" xr:uid="{00000000-0005-0000-0000-00002EA60000}"/>
    <cellStyle name="输出 2 8 6 6 4 2" xfId="42495" xr:uid="{00000000-0005-0000-0000-00002FA60000}"/>
    <cellStyle name="输出 2 8 6 6 5" xfId="9363" xr:uid="{00000000-0005-0000-0000-0000C3240000}"/>
    <cellStyle name="输出 2 8 6 6 5 2" xfId="42497" xr:uid="{00000000-0005-0000-0000-000031A60000}"/>
    <cellStyle name="输出 2 8 6 6 6" xfId="29894" xr:uid="{00000000-0005-0000-0000-0000F6740000}"/>
    <cellStyle name="输出 2 8 6 7" xfId="42498" xr:uid="{00000000-0005-0000-0000-000032A60000}"/>
    <cellStyle name="输出 2 8 6 7 2" xfId="17876" xr:uid="{00000000-0005-0000-0000-000004460000}"/>
    <cellStyle name="输出 2 8 6 7 2 2" xfId="13077" xr:uid="{00000000-0005-0000-0000-000045330000}"/>
    <cellStyle name="输出 2 8 6 7 3" xfId="17878" xr:uid="{00000000-0005-0000-0000-000006460000}"/>
    <cellStyle name="输出 2 8 6 7 3 2" xfId="42499" xr:uid="{00000000-0005-0000-0000-000033A60000}"/>
    <cellStyle name="输出 2 8 6 7 4" xfId="42500" xr:uid="{00000000-0005-0000-0000-000034A60000}"/>
    <cellStyle name="输出 2 8 6 7 4 2" xfId="42501" xr:uid="{00000000-0005-0000-0000-000035A60000}"/>
    <cellStyle name="输出 2 8 6 7 5" xfId="42503" xr:uid="{00000000-0005-0000-0000-000037A60000}"/>
    <cellStyle name="输出 2 8 6 7 5 2" xfId="42504" xr:uid="{00000000-0005-0000-0000-000038A60000}"/>
    <cellStyle name="输出 2 8 6 7 6" xfId="29897" xr:uid="{00000000-0005-0000-0000-0000F9740000}"/>
    <cellStyle name="输出 2 8 6 8" xfId="42505" xr:uid="{00000000-0005-0000-0000-000039A60000}"/>
    <cellStyle name="输出 2 8 6 8 2" xfId="6051" xr:uid="{00000000-0005-0000-0000-0000D3170000}"/>
    <cellStyle name="输出 2 8 6 8 2 2" xfId="13507" xr:uid="{00000000-0005-0000-0000-0000F3340000}"/>
    <cellStyle name="输出 2 8 6 8 3" xfId="17902" xr:uid="{00000000-0005-0000-0000-00001E460000}"/>
    <cellStyle name="输出 2 8 6 8 3 2" xfId="42506" xr:uid="{00000000-0005-0000-0000-00003AA60000}"/>
    <cellStyle name="输出 2 8 6 8 4" xfId="42507" xr:uid="{00000000-0005-0000-0000-00003BA60000}"/>
    <cellStyle name="输出 2 8 6 8 4 2" xfId="42508" xr:uid="{00000000-0005-0000-0000-00003CA60000}"/>
    <cellStyle name="输出 2 8 6 8 5" xfId="42509" xr:uid="{00000000-0005-0000-0000-00003DA60000}"/>
    <cellStyle name="输出 2 8 6 9" xfId="42510" xr:uid="{00000000-0005-0000-0000-00003EA60000}"/>
    <cellStyle name="输出 2 8 6 9 2" xfId="10554" xr:uid="{00000000-0005-0000-0000-00006A290000}"/>
    <cellStyle name="输出 2 8 7" xfId="42511" xr:uid="{00000000-0005-0000-0000-00003FA60000}"/>
    <cellStyle name="输出 2 8 7 10" xfId="42513" xr:uid="{00000000-0005-0000-0000-000041A60000}"/>
    <cellStyle name="输出 2 8 7 10 2" xfId="42514" xr:uid="{00000000-0005-0000-0000-000042A60000}"/>
    <cellStyle name="输出 2 8 7 11" xfId="42515" xr:uid="{00000000-0005-0000-0000-000043A60000}"/>
    <cellStyle name="输出 2 8 7 11 2" xfId="42516" xr:uid="{00000000-0005-0000-0000-000044A60000}"/>
    <cellStyle name="输出 2 8 7 12" xfId="42517" xr:uid="{00000000-0005-0000-0000-000045A60000}"/>
    <cellStyle name="输出 2 8 7 12 2" xfId="42518" xr:uid="{00000000-0005-0000-0000-000046A60000}"/>
    <cellStyle name="输出 2 8 7 13" xfId="42519" xr:uid="{00000000-0005-0000-0000-000047A60000}"/>
    <cellStyle name="输出 2 8 7 14" xfId="42520" xr:uid="{00000000-0005-0000-0000-000048A60000}"/>
    <cellStyle name="输出 2 8 7 15" xfId="42522" xr:uid="{00000000-0005-0000-0000-00004AA60000}"/>
    <cellStyle name="输出 2 8 7 16" xfId="42524" xr:uid="{00000000-0005-0000-0000-00004CA60000}"/>
    <cellStyle name="输出 2 8 7 2" xfId="42526" xr:uid="{00000000-0005-0000-0000-00004EA60000}"/>
    <cellStyle name="输出 2 8 7 2 2" xfId="42528" xr:uid="{00000000-0005-0000-0000-000050A60000}"/>
    <cellStyle name="输出 2 8 7 2 2 2" xfId="19739" xr:uid="{00000000-0005-0000-0000-00004B4D0000}"/>
    <cellStyle name="输出 2 8 7 2 3" xfId="42529" xr:uid="{00000000-0005-0000-0000-000051A60000}"/>
    <cellStyle name="输出 2 8 7 2 3 2" xfId="42530" xr:uid="{00000000-0005-0000-0000-000052A60000}"/>
    <cellStyle name="输出 2 8 7 2 4" xfId="42531" xr:uid="{00000000-0005-0000-0000-000053A60000}"/>
    <cellStyle name="输出 2 8 7 2 4 2" xfId="42532" xr:uid="{00000000-0005-0000-0000-000054A60000}"/>
    <cellStyle name="输出 2 8 7 2 5" xfId="42533" xr:uid="{00000000-0005-0000-0000-000055A60000}"/>
    <cellStyle name="输出 2 8 7 2 5 2" xfId="42534" xr:uid="{00000000-0005-0000-0000-000056A60000}"/>
    <cellStyle name="输出 2 8 7 2 6" xfId="42535" xr:uid="{00000000-0005-0000-0000-000057A60000}"/>
    <cellStyle name="输出 2 8 7 2 7" xfId="42536" xr:uid="{00000000-0005-0000-0000-000058A60000}"/>
    <cellStyle name="输出 2 8 7 2 8" xfId="42537" xr:uid="{00000000-0005-0000-0000-000059A60000}"/>
    <cellStyle name="输出 2 8 7 2 9" xfId="42538" xr:uid="{00000000-0005-0000-0000-00005AA60000}"/>
    <cellStyle name="输出 2 8 7 3" xfId="42540" xr:uid="{00000000-0005-0000-0000-00005CA60000}"/>
    <cellStyle name="输出 2 8 7 3 2" xfId="42541" xr:uid="{00000000-0005-0000-0000-00005DA60000}"/>
    <cellStyle name="输出 2 8 7 3 2 2" xfId="20163" xr:uid="{00000000-0005-0000-0000-0000F34E0000}"/>
    <cellStyle name="输出 2 8 7 3 3" xfId="42542" xr:uid="{00000000-0005-0000-0000-00005EA60000}"/>
    <cellStyle name="输出 2 8 7 3 3 2" xfId="42543" xr:uid="{00000000-0005-0000-0000-00005FA60000}"/>
    <cellStyle name="输出 2 8 7 3 4" xfId="42544" xr:uid="{00000000-0005-0000-0000-000060A60000}"/>
    <cellStyle name="输出 2 8 7 3 4 2" xfId="42545" xr:uid="{00000000-0005-0000-0000-000061A60000}"/>
    <cellStyle name="输出 2 8 7 3 5" xfId="11609" xr:uid="{00000000-0005-0000-0000-0000892D0000}"/>
    <cellStyle name="输出 2 8 7 3 5 2" xfId="42546" xr:uid="{00000000-0005-0000-0000-000062A60000}"/>
    <cellStyle name="输出 2 8 7 3 6" xfId="42547" xr:uid="{00000000-0005-0000-0000-000063A60000}"/>
    <cellStyle name="输出 2 8 7 4" xfId="42549" xr:uid="{00000000-0005-0000-0000-000065A60000}"/>
    <cellStyle name="输出 2 8 7 4 2" xfId="16220" xr:uid="{00000000-0005-0000-0000-00008C3F0000}"/>
    <cellStyle name="输出 2 8 7 4 2 2" xfId="17976" xr:uid="{00000000-0005-0000-0000-000068460000}"/>
    <cellStyle name="输出 2 8 7 4 3" xfId="17979" xr:uid="{00000000-0005-0000-0000-00006B460000}"/>
    <cellStyle name="输出 2 8 7 4 3 2" xfId="42550" xr:uid="{00000000-0005-0000-0000-000066A60000}"/>
    <cellStyle name="输出 2 8 7 4 4" xfId="17981" xr:uid="{00000000-0005-0000-0000-00006D460000}"/>
    <cellStyle name="输出 2 8 7 4 4 2" xfId="26205" xr:uid="{00000000-0005-0000-0000-00008D660000}"/>
    <cellStyle name="输出 2 8 7 4 5" xfId="11615" xr:uid="{00000000-0005-0000-0000-00008F2D0000}"/>
    <cellStyle name="输出 2 8 7 4 5 2" xfId="42551" xr:uid="{00000000-0005-0000-0000-000067A60000}"/>
    <cellStyle name="输出 2 8 7 4 6" xfId="6154" xr:uid="{00000000-0005-0000-0000-00003A180000}"/>
    <cellStyle name="输出 2 8 7 5" xfId="42552" xr:uid="{00000000-0005-0000-0000-000068A60000}"/>
    <cellStyle name="输出 2 8 7 5 2" xfId="16223" xr:uid="{00000000-0005-0000-0000-00008F3F0000}"/>
    <cellStyle name="输出 2 8 7 5 2 2" xfId="17999" xr:uid="{00000000-0005-0000-0000-00007F460000}"/>
    <cellStyle name="输出 2 8 7 5 3" xfId="18001" xr:uid="{00000000-0005-0000-0000-000081460000}"/>
    <cellStyle name="输出 2 8 7 5 3 2" xfId="42554" xr:uid="{00000000-0005-0000-0000-00006AA60000}"/>
    <cellStyle name="输出 2 8 7 5 4" xfId="42556" xr:uid="{00000000-0005-0000-0000-00006CA60000}"/>
    <cellStyle name="输出 2 8 7 5 4 2" xfId="28700" xr:uid="{00000000-0005-0000-0000-00004C700000}"/>
    <cellStyle name="输出 2 8 7 5 5" xfId="11630" xr:uid="{00000000-0005-0000-0000-00009E2D0000}"/>
    <cellStyle name="输出 2 8 7 5 5 2" xfId="42557" xr:uid="{00000000-0005-0000-0000-00006DA60000}"/>
    <cellStyle name="输出 2 8 7 5 6" xfId="42558" xr:uid="{00000000-0005-0000-0000-00006EA60000}"/>
    <cellStyle name="输出 2 8 7 6" xfId="42560" xr:uid="{00000000-0005-0000-0000-000070A60000}"/>
    <cellStyle name="输出 2 8 7 6 2" xfId="18034" xr:uid="{00000000-0005-0000-0000-0000A2460000}"/>
    <cellStyle name="输出 2 8 7 6 2 2" xfId="18039" xr:uid="{00000000-0005-0000-0000-0000A7460000}"/>
    <cellStyle name="输出 2 8 7 6 3" xfId="18045" xr:uid="{00000000-0005-0000-0000-0000AD460000}"/>
    <cellStyle name="输出 2 8 7 6 3 2" xfId="26969" xr:uid="{00000000-0005-0000-0000-000089690000}"/>
    <cellStyle name="输出 2 8 7 6 4" xfId="26972" xr:uid="{00000000-0005-0000-0000-00008C690000}"/>
    <cellStyle name="输出 2 8 7 6 4 2" xfId="26974" xr:uid="{00000000-0005-0000-0000-00008E690000}"/>
    <cellStyle name="输出 2 8 7 6 5" xfId="11634" xr:uid="{00000000-0005-0000-0000-0000A22D0000}"/>
    <cellStyle name="输出 2 8 7 6 5 2" xfId="42561" xr:uid="{00000000-0005-0000-0000-000071A60000}"/>
    <cellStyle name="输出 2 8 7 6 6" xfId="26979" xr:uid="{00000000-0005-0000-0000-000093690000}"/>
    <cellStyle name="输出 2 8 7 7" xfId="42562" xr:uid="{00000000-0005-0000-0000-000072A60000}"/>
    <cellStyle name="输出 2 8 7 7 2" xfId="18068" xr:uid="{00000000-0005-0000-0000-0000C4460000}"/>
    <cellStyle name="输出 2 8 7 7 2 2" xfId="18073" xr:uid="{00000000-0005-0000-0000-0000C9460000}"/>
    <cellStyle name="输出 2 8 7 7 3" xfId="18077" xr:uid="{00000000-0005-0000-0000-0000CD460000}"/>
    <cellStyle name="输出 2 8 7 7 3 2" xfId="26988" xr:uid="{00000000-0005-0000-0000-00009C690000}"/>
    <cellStyle name="输出 2 8 7 7 4" xfId="26991" xr:uid="{00000000-0005-0000-0000-00009F690000}"/>
    <cellStyle name="输出 2 8 7 7 4 2" xfId="26993" xr:uid="{00000000-0005-0000-0000-0000A1690000}"/>
    <cellStyle name="输出 2 8 7 7 5" xfId="26995" xr:uid="{00000000-0005-0000-0000-0000A3690000}"/>
    <cellStyle name="输出 2 8 7 7 5 2" xfId="42563" xr:uid="{00000000-0005-0000-0000-000073A60000}"/>
    <cellStyle name="输出 2 8 7 7 6" xfId="29923" xr:uid="{00000000-0005-0000-0000-000013750000}"/>
    <cellStyle name="输出 2 8 7 8" xfId="25134" xr:uid="{00000000-0005-0000-0000-00005E620000}"/>
    <cellStyle name="输出 2 8 7 8 2" xfId="6093" xr:uid="{00000000-0005-0000-0000-0000FD170000}"/>
    <cellStyle name="输出 2 8 7 8 2 2" xfId="18116" xr:uid="{00000000-0005-0000-0000-0000F4460000}"/>
    <cellStyle name="输出 2 8 7 8 3" xfId="18120" xr:uid="{00000000-0005-0000-0000-0000F8460000}"/>
    <cellStyle name="输出 2 8 7 8 3 2" xfId="26997" xr:uid="{00000000-0005-0000-0000-0000A5690000}"/>
    <cellStyle name="输出 2 8 7 8 4" xfId="27001" xr:uid="{00000000-0005-0000-0000-0000A9690000}"/>
    <cellStyle name="输出 2 8 7 8 4 2" xfId="27003" xr:uid="{00000000-0005-0000-0000-0000AB690000}"/>
    <cellStyle name="输出 2 8 7 8 5" xfId="12403" xr:uid="{00000000-0005-0000-0000-0000A3300000}"/>
    <cellStyle name="输出 2 8 7 9" xfId="42564" xr:uid="{00000000-0005-0000-0000-000074A60000}"/>
    <cellStyle name="输出 2 8 7 9 2" xfId="10611" xr:uid="{00000000-0005-0000-0000-0000A3290000}"/>
    <cellStyle name="输出 2 8 8" xfId="42565" xr:uid="{00000000-0005-0000-0000-000075A60000}"/>
    <cellStyle name="输出 2 8 8 10" xfId="42567" xr:uid="{00000000-0005-0000-0000-000077A60000}"/>
    <cellStyle name="输出 2 8 8 10 2" xfId="42568" xr:uid="{00000000-0005-0000-0000-000078A60000}"/>
    <cellStyle name="输出 2 8 8 11" xfId="5668" xr:uid="{00000000-0005-0000-0000-000054160000}"/>
    <cellStyle name="输出 2 8 8 11 2" xfId="42569" xr:uid="{00000000-0005-0000-0000-000079A60000}"/>
    <cellStyle name="输出 2 8 8 12" xfId="42570" xr:uid="{00000000-0005-0000-0000-00007AA60000}"/>
    <cellStyle name="输出 2 8 8 12 2" xfId="42571" xr:uid="{00000000-0005-0000-0000-00007BA60000}"/>
    <cellStyle name="输出 2 8 8 13" xfId="42572" xr:uid="{00000000-0005-0000-0000-00007CA60000}"/>
    <cellStyle name="输出 2 8 8 14" xfId="42573" xr:uid="{00000000-0005-0000-0000-00007DA60000}"/>
    <cellStyle name="输出 2 8 8 15" xfId="42574" xr:uid="{00000000-0005-0000-0000-00007EA60000}"/>
    <cellStyle name="输出 2 8 8 16" xfId="42575" xr:uid="{00000000-0005-0000-0000-00007FA60000}"/>
    <cellStyle name="输出 2 8 8 2" xfId="42576" xr:uid="{00000000-0005-0000-0000-000080A60000}"/>
    <cellStyle name="输出 2 8 8 2 2" xfId="42578" xr:uid="{00000000-0005-0000-0000-000082A60000}"/>
    <cellStyle name="输出 2 8 8 2 2 2" xfId="41053" xr:uid="{00000000-0005-0000-0000-00008DA00000}"/>
    <cellStyle name="输出 2 8 8 2 3" xfId="42579" xr:uid="{00000000-0005-0000-0000-000083A60000}"/>
    <cellStyle name="输出 2 8 8 2 3 2" xfId="5022" xr:uid="{00000000-0005-0000-0000-0000CE130000}"/>
    <cellStyle name="输出 2 8 8 2 4" xfId="42580" xr:uid="{00000000-0005-0000-0000-000084A60000}"/>
    <cellStyle name="输出 2 8 8 2 4 2" xfId="5051" xr:uid="{00000000-0005-0000-0000-0000EB130000}"/>
    <cellStyle name="输出 2 8 8 2 5" xfId="42581" xr:uid="{00000000-0005-0000-0000-000085A60000}"/>
    <cellStyle name="输出 2 8 8 2 5 2" xfId="5071" xr:uid="{00000000-0005-0000-0000-0000FF130000}"/>
    <cellStyle name="输出 2 8 8 2 6" xfId="42582" xr:uid="{00000000-0005-0000-0000-000086A60000}"/>
    <cellStyle name="输出 2 8 8 2 7" xfId="42583" xr:uid="{00000000-0005-0000-0000-000087A60000}"/>
    <cellStyle name="输出 2 8 8 2 8" xfId="42585" xr:uid="{00000000-0005-0000-0000-000089A60000}"/>
    <cellStyle name="输出 2 8 8 2 9" xfId="42586" xr:uid="{00000000-0005-0000-0000-00008AA60000}"/>
    <cellStyle name="输出 2 8 8 3" xfId="42588" xr:uid="{00000000-0005-0000-0000-00008CA60000}"/>
    <cellStyle name="输出 2 8 8 3 2" xfId="42589" xr:uid="{00000000-0005-0000-0000-00008DA60000}"/>
    <cellStyle name="输出 2 8 8 3 2 2" xfId="41066" xr:uid="{00000000-0005-0000-0000-00009AA00000}"/>
    <cellStyle name="输出 2 8 8 3 3" xfId="42590" xr:uid="{00000000-0005-0000-0000-00008EA60000}"/>
    <cellStyle name="输出 2 8 8 3 3 2" xfId="5275" xr:uid="{00000000-0005-0000-0000-0000CB140000}"/>
    <cellStyle name="输出 2 8 8 3 4" xfId="42591" xr:uid="{00000000-0005-0000-0000-00008FA60000}"/>
    <cellStyle name="输出 2 8 8 3 4 2" xfId="14" xr:uid="{00000000-0005-0000-0000-000010000000}"/>
    <cellStyle name="输出 2 8 8 3 5" xfId="383" xr:uid="{00000000-0005-0000-0000-0000A4010000}"/>
    <cellStyle name="输出 2 8 8 3 5 2" xfId="656" xr:uid="{00000000-0005-0000-0000-0000C0020000}"/>
    <cellStyle name="输出 2 8 8 3 6" xfId="42592" xr:uid="{00000000-0005-0000-0000-000090A60000}"/>
    <cellStyle name="输出 2 8 8 4" xfId="42593" xr:uid="{00000000-0005-0000-0000-000091A60000}"/>
    <cellStyle name="输出 2 8 8 4 2" xfId="16242" xr:uid="{00000000-0005-0000-0000-0000A23F0000}"/>
    <cellStyle name="输出 2 8 8 4 2 2" xfId="18218" xr:uid="{00000000-0005-0000-0000-00005A470000}"/>
    <cellStyle name="输出 2 8 8 4 3" xfId="18221" xr:uid="{00000000-0005-0000-0000-00005D470000}"/>
    <cellStyle name="输出 2 8 8 4 3 2" xfId="1689" xr:uid="{00000000-0005-0000-0000-0000C9060000}"/>
    <cellStyle name="输出 2 8 8 4 4" xfId="18223" xr:uid="{00000000-0005-0000-0000-00005F470000}"/>
    <cellStyle name="输出 2 8 8 4 4 2" xfId="1267" xr:uid="{00000000-0005-0000-0000-000023050000}"/>
    <cellStyle name="输出 2 8 8 4 5" xfId="11647" xr:uid="{00000000-0005-0000-0000-0000AF2D0000}"/>
    <cellStyle name="输出 2 8 8 4 5 2" xfId="5494" xr:uid="{00000000-0005-0000-0000-0000A6150000}"/>
    <cellStyle name="输出 2 8 8 4 6" xfId="18228" xr:uid="{00000000-0005-0000-0000-000064470000}"/>
    <cellStyle name="输出 2 8 8 5" xfId="42594" xr:uid="{00000000-0005-0000-0000-000092A60000}"/>
    <cellStyle name="输出 2 8 8 5 2" xfId="16251" xr:uid="{00000000-0005-0000-0000-0000AB3F0000}"/>
    <cellStyle name="输出 2 8 8 5 2 2" xfId="18262" xr:uid="{00000000-0005-0000-0000-000086470000}"/>
    <cellStyle name="输出 2 8 8 5 3" xfId="18266" xr:uid="{00000000-0005-0000-0000-00008A470000}"/>
    <cellStyle name="输出 2 8 8 5 3 2" xfId="3006" xr:uid="{00000000-0005-0000-0000-0000EE0B0000}"/>
    <cellStyle name="输出 2 8 8 5 4" xfId="42596" xr:uid="{00000000-0005-0000-0000-000094A60000}"/>
    <cellStyle name="输出 2 8 8 5 4 2" xfId="5716" xr:uid="{00000000-0005-0000-0000-000084160000}"/>
    <cellStyle name="输出 2 8 8 5 5" xfId="11665" xr:uid="{00000000-0005-0000-0000-0000C12D0000}"/>
    <cellStyle name="输出 2 8 8 5 5 2" xfId="5803" xr:uid="{00000000-0005-0000-0000-0000DB160000}"/>
    <cellStyle name="输出 2 8 8 5 6" xfId="42597" xr:uid="{00000000-0005-0000-0000-000095A60000}"/>
    <cellStyle name="输出 2 8 8 6" xfId="42598" xr:uid="{00000000-0005-0000-0000-000096A60000}"/>
    <cellStyle name="输出 2 8 8 6 2" xfId="18299" xr:uid="{00000000-0005-0000-0000-0000AB470000}"/>
    <cellStyle name="输出 2 8 8 6 2 2" xfId="18307" xr:uid="{00000000-0005-0000-0000-0000B3470000}"/>
    <cellStyle name="输出 2 8 8 6 3" xfId="18310" xr:uid="{00000000-0005-0000-0000-0000B6470000}"/>
    <cellStyle name="输出 2 8 8 6 3 2" xfId="27049" xr:uid="{00000000-0005-0000-0000-0000D9690000}"/>
    <cellStyle name="输出 2 8 8 6 4" xfId="27052" xr:uid="{00000000-0005-0000-0000-0000DC690000}"/>
    <cellStyle name="输出 2 8 8 6 4 2" xfId="27054" xr:uid="{00000000-0005-0000-0000-0000DE690000}"/>
    <cellStyle name="输出 2 8 8 6 5" xfId="6260" xr:uid="{00000000-0005-0000-0000-0000A4180000}"/>
    <cellStyle name="输出 2 8 8 6 5 2" xfId="42599" xr:uid="{00000000-0005-0000-0000-000097A60000}"/>
    <cellStyle name="输出 2 8 8 6 6" xfId="29942" xr:uid="{00000000-0005-0000-0000-000026750000}"/>
    <cellStyle name="输出 2 8 8 7" xfId="42600" xr:uid="{00000000-0005-0000-0000-000098A60000}"/>
    <cellStyle name="输出 2 8 8 7 2" xfId="18340" xr:uid="{00000000-0005-0000-0000-0000D4470000}"/>
    <cellStyle name="输出 2 8 8 7 2 2" xfId="18347" xr:uid="{00000000-0005-0000-0000-0000DB470000}"/>
    <cellStyle name="输出 2 8 8 7 3" xfId="18350" xr:uid="{00000000-0005-0000-0000-0000DE470000}"/>
    <cellStyle name="输出 2 8 8 7 3 2" xfId="27059" xr:uid="{00000000-0005-0000-0000-0000E3690000}"/>
    <cellStyle name="输出 2 8 8 7 4" xfId="27062" xr:uid="{00000000-0005-0000-0000-0000E6690000}"/>
    <cellStyle name="输出 2 8 8 7 4 2" xfId="27064" xr:uid="{00000000-0005-0000-0000-0000E8690000}"/>
    <cellStyle name="输出 2 8 8 7 5" xfId="27066" xr:uid="{00000000-0005-0000-0000-0000EA690000}"/>
    <cellStyle name="输出 2 8 8 7 5 2" xfId="42601" xr:uid="{00000000-0005-0000-0000-000099A60000}"/>
    <cellStyle name="输出 2 8 8 7 6" xfId="29945" xr:uid="{00000000-0005-0000-0000-000029750000}"/>
    <cellStyle name="输出 2 8 8 8" xfId="25142" xr:uid="{00000000-0005-0000-0000-000066620000}"/>
    <cellStyle name="输出 2 8 8 8 2" xfId="10656" xr:uid="{00000000-0005-0000-0000-0000D0290000}"/>
    <cellStyle name="输出 2 8 8 8 2 2" xfId="18406" xr:uid="{00000000-0005-0000-0000-000016480000}"/>
    <cellStyle name="输出 2 8 8 8 3" xfId="18410" xr:uid="{00000000-0005-0000-0000-00001A480000}"/>
    <cellStyle name="输出 2 8 8 8 3 2" xfId="27068" xr:uid="{00000000-0005-0000-0000-0000EC690000}"/>
    <cellStyle name="输出 2 8 8 8 4" xfId="27071" xr:uid="{00000000-0005-0000-0000-0000EF690000}"/>
    <cellStyle name="输出 2 8 8 8 4 2" xfId="27073" xr:uid="{00000000-0005-0000-0000-0000F1690000}"/>
    <cellStyle name="输出 2 8 8 8 5" xfId="20229" xr:uid="{00000000-0005-0000-0000-0000354F0000}"/>
    <cellStyle name="输出 2 8 8 9" xfId="42603" xr:uid="{00000000-0005-0000-0000-00009BA60000}"/>
    <cellStyle name="输出 2 8 8 9 2" xfId="10673" xr:uid="{00000000-0005-0000-0000-0000E1290000}"/>
    <cellStyle name="输出 2 8 9" xfId="42604" xr:uid="{00000000-0005-0000-0000-00009CA60000}"/>
    <cellStyle name="输出 2 8 9 10" xfId="42606" xr:uid="{00000000-0005-0000-0000-00009EA60000}"/>
    <cellStyle name="输出 2 8 9 10 2" xfId="42607" xr:uid="{00000000-0005-0000-0000-00009FA60000}"/>
    <cellStyle name="输出 2 8 9 11" xfId="42608" xr:uid="{00000000-0005-0000-0000-0000A0A60000}"/>
    <cellStyle name="输出 2 8 9 11 2" xfId="42609" xr:uid="{00000000-0005-0000-0000-0000A1A60000}"/>
    <cellStyle name="输出 2 8 9 12" xfId="42610" xr:uid="{00000000-0005-0000-0000-0000A2A60000}"/>
    <cellStyle name="输出 2 8 9 12 2" xfId="42612" xr:uid="{00000000-0005-0000-0000-0000A4A60000}"/>
    <cellStyle name="输出 2 8 9 13" xfId="33197" xr:uid="{00000000-0005-0000-0000-0000DD810000}"/>
    <cellStyle name="输出 2 8 9 14" xfId="42613" xr:uid="{00000000-0005-0000-0000-0000A5A60000}"/>
    <cellStyle name="输出 2 8 9 15" xfId="42616" xr:uid="{00000000-0005-0000-0000-0000A8A60000}"/>
    <cellStyle name="输出 2 8 9 16" xfId="42617" xr:uid="{00000000-0005-0000-0000-0000A9A60000}"/>
    <cellStyle name="输出 2 8 9 2" xfId="42618" xr:uid="{00000000-0005-0000-0000-0000AAA60000}"/>
    <cellStyle name="输出 2 8 9 2 2" xfId="42620" xr:uid="{00000000-0005-0000-0000-0000ACA60000}"/>
    <cellStyle name="输出 2 8 9 2 2 2" xfId="36436" xr:uid="{00000000-0005-0000-0000-0000848E0000}"/>
    <cellStyle name="输出 2 8 9 2 3" xfId="42621" xr:uid="{00000000-0005-0000-0000-0000ADA60000}"/>
    <cellStyle name="输出 2 8 9 2 3 2" xfId="8518" xr:uid="{00000000-0005-0000-0000-000076210000}"/>
    <cellStyle name="输出 2 8 9 2 4" xfId="26961" xr:uid="{00000000-0005-0000-0000-000081690000}"/>
    <cellStyle name="输出 2 8 9 2 4 2" xfId="8571" xr:uid="{00000000-0005-0000-0000-0000AB210000}"/>
    <cellStyle name="输出 2 8 9 2 5" xfId="42622" xr:uid="{00000000-0005-0000-0000-0000AEA60000}"/>
    <cellStyle name="输出 2 8 9 2 5 2" xfId="8590" xr:uid="{00000000-0005-0000-0000-0000BE210000}"/>
    <cellStyle name="输出 2 8 9 2 6" xfId="21315" xr:uid="{00000000-0005-0000-0000-000073530000}"/>
    <cellStyle name="输出 2 8 9 2 7" xfId="24836" xr:uid="{00000000-0005-0000-0000-000034610000}"/>
    <cellStyle name="输出 2 8 9 2 8" xfId="18953" xr:uid="{00000000-0005-0000-0000-0000394A0000}"/>
    <cellStyle name="输出 2 8 9 2 9" xfId="11549" xr:uid="{00000000-0005-0000-0000-00004D2D0000}"/>
    <cellStyle name="输出 2 8 9 3" xfId="42623" xr:uid="{00000000-0005-0000-0000-0000AFA60000}"/>
    <cellStyle name="输出 2 8 9 3 2" xfId="42624" xr:uid="{00000000-0005-0000-0000-0000B0A60000}"/>
    <cellStyle name="输出 2 8 9 3 2 2" xfId="36844" xr:uid="{00000000-0005-0000-0000-00001C900000}"/>
    <cellStyle name="输出 2 8 9 3 3" xfId="42625" xr:uid="{00000000-0005-0000-0000-0000B1A60000}"/>
    <cellStyle name="输出 2 8 9 3 3 2" xfId="8732" xr:uid="{00000000-0005-0000-0000-00004C220000}"/>
    <cellStyle name="输出 2 8 9 3 4" xfId="42626" xr:uid="{00000000-0005-0000-0000-0000B2A60000}"/>
    <cellStyle name="输出 2 8 9 3 4 2" xfId="8761" xr:uid="{00000000-0005-0000-0000-000069220000}"/>
    <cellStyle name="输出 2 8 9 3 5" xfId="11685" xr:uid="{00000000-0005-0000-0000-0000D52D0000}"/>
    <cellStyle name="输出 2 8 9 3 5 2" xfId="8773" xr:uid="{00000000-0005-0000-0000-000075220000}"/>
    <cellStyle name="输出 2 8 9 3 6" xfId="42627" xr:uid="{00000000-0005-0000-0000-0000B3A60000}"/>
    <cellStyle name="输出 2 8 9 4" xfId="42628" xr:uid="{00000000-0005-0000-0000-0000B4A60000}"/>
    <cellStyle name="输出 2 8 9 4 2" xfId="16275" xr:uid="{00000000-0005-0000-0000-0000C33F0000}"/>
    <cellStyle name="输出 2 8 9 4 2 2" xfId="18535" xr:uid="{00000000-0005-0000-0000-000097480000}"/>
    <cellStyle name="输出 2 8 9 4 3" xfId="18539" xr:uid="{00000000-0005-0000-0000-00009B480000}"/>
    <cellStyle name="输出 2 8 9 4 3 2" xfId="8908" xr:uid="{00000000-0005-0000-0000-0000FC220000}"/>
    <cellStyle name="输出 2 8 9 4 4" xfId="18541" xr:uid="{00000000-0005-0000-0000-00009D480000}"/>
    <cellStyle name="输出 2 8 9 4 4 2" xfId="8962" xr:uid="{00000000-0005-0000-0000-000032230000}"/>
    <cellStyle name="输出 2 8 9 4 5" xfId="11691" xr:uid="{00000000-0005-0000-0000-0000DB2D0000}"/>
    <cellStyle name="输出 2 8 9 4 5 2" xfId="8995" xr:uid="{00000000-0005-0000-0000-000053230000}"/>
    <cellStyle name="输出 2 8 9 4 6" xfId="18548" xr:uid="{00000000-0005-0000-0000-0000A4480000}"/>
    <cellStyle name="输出 2 8 9 5" xfId="23529" xr:uid="{00000000-0005-0000-0000-0000195C0000}"/>
    <cellStyle name="输出 2 8 9 5 2" xfId="13684" xr:uid="{00000000-0005-0000-0000-0000A4350000}"/>
    <cellStyle name="输出 2 8 9 5 2 2" xfId="13692" xr:uid="{00000000-0005-0000-0000-0000AC350000}"/>
    <cellStyle name="输出 2 8 9 5 3" xfId="13698" xr:uid="{00000000-0005-0000-0000-0000B2350000}"/>
    <cellStyle name="输出 2 8 9 5 3 2" xfId="9210" xr:uid="{00000000-0005-0000-0000-00002A240000}"/>
    <cellStyle name="输出 2 8 9 5 4" xfId="42629" xr:uid="{00000000-0005-0000-0000-0000B5A60000}"/>
    <cellStyle name="输出 2 8 9 5 4 2" xfId="9244" xr:uid="{00000000-0005-0000-0000-00004C240000}"/>
    <cellStyle name="输出 2 8 9 5 5" xfId="11702" xr:uid="{00000000-0005-0000-0000-0000E62D0000}"/>
    <cellStyle name="输出 2 8 9 5 5 2" xfId="2309" xr:uid="{00000000-0005-0000-0000-000035090000}"/>
    <cellStyle name="输出 2 8 9 5 6" xfId="13710" xr:uid="{00000000-0005-0000-0000-0000BE350000}"/>
    <cellStyle name="输出 2 8 9 6" xfId="42630" xr:uid="{00000000-0005-0000-0000-0000B6A60000}"/>
    <cellStyle name="输出 2 8 9 6 2" xfId="18609" xr:uid="{00000000-0005-0000-0000-0000E1480000}"/>
    <cellStyle name="输出 2 8 9 6 2 2" xfId="18617" xr:uid="{00000000-0005-0000-0000-0000E9480000}"/>
    <cellStyle name="输出 2 8 9 6 3" xfId="18623" xr:uid="{00000000-0005-0000-0000-0000EF480000}"/>
    <cellStyle name="输出 2 8 9 6 3 2" xfId="42631" xr:uid="{00000000-0005-0000-0000-0000B7A60000}"/>
    <cellStyle name="输出 2 8 9 6 4" xfId="42633" xr:uid="{00000000-0005-0000-0000-0000B9A60000}"/>
    <cellStyle name="输出 2 8 9 6 4 2" xfId="42634" xr:uid="{00000000-0005-0000-0000-0000BAA60000}"/>
    <cellStyle name="输出 2 8 9 6 5" xfId="42636" xr:uid="{00000000-0005-0000-0000-0000BCA60000}"/>
    <cellStyle name="输出 2 8 9 6 5 2" xfId="39657" xr:uid="{00000000-0005-0000-0000-0000199B0000}"/>
    <cellStyle name="输出 2 8 9 6 6" xfId="25936" xr:uid="{00000000-0005-0000-0000-000080650000}"/>
    <cellStyle name="输出 2 8 9 7" xfId="42638" xr:uid="{00000000-0005-0000-0000-0000BEA60000}"/>
    <cellStyle name="输出 2 8 9 7 2" xfId="18666" xr:uid="{00000000-0005-0000-0000-00001A490000}"/>
    <cellStyle name="输出 2 8 9 7 2 2" xfId="18673" xr:uid="{00000000-0005-0000-0000-000021490000}"/>
    <cellStyle name="输出 2 8 9 7 3" xfId="18679" xr:uid="{00000000-0005-0000-0000-000027490000}"/>
    <cellStyle name="输出 2 8 9 7 3 2" xfId="42640" xr:uid="{00000000-0005-0000-0000-0000C0A60000}"/>
    <cellStyle name="输出 2 8 9 7 4" xfId="42641" xr:uid="{00000000-0005-0000-0000-0000C1A60000}"/>
    <cellStyle name="输出 2 8 9 7 4 2" xfId="42642" xr:uid="{00000000-0005-0000-0000-0000C2A60000}"/>
    <cellStyle name="输出 2 8 9 7 5" xfId="42643" xr:uid="{00000000-0005-0000-0000-0000C3A60000}"/>
    <cellStyle name="输出 2 8 9 7 5 2" xfId="27349" xr:uid="{00000000-0005-0000-0000-0000056B0000}"/>
    <cellStyle name="输出 2 8 9 7 6" xfId="25944" xr:uid="{00000000-0005-0000-0000-000088650000}"/>
    <cellStyle name="输出 2 8 9 8" xfId="25150" xr:uid="{00000000-0005-0000-0000-00006E620000}"/>
    <cellStyle name="输出 2 8 9 8 2" xfId="10728" xr:uid="{00000000-0005-0000-0000-0000182A0000}"/>
    <cellStyle name="输出 2 8 9 8 2 2" xfId="18733" xr:uid="{00000000-0005-0000-0000-00005D490000}"/>
    <cellStyle name="输出 2 8 9 8 3" xfId="18739" xr:uid="{00000000-0005-0000-0000-000063490000}"/>
    <cellStyle name="输出 2 8 9 8 3 2" xfId="42645" xr:uid="{00000000-0005-0000-0000-0000C5A60000}"/>
    <cellStyle name="输出 2 8 9 8 4" xfId="42646" xr:uid="{00000000-0005-0000-0000-0000C6A60000}"/>
    <cellStyle name="输出 2 8 9 8 4 2" xfId="42647" xr:uid="{00000000-0005-0000-0000-0000C7A60000}"/>
    <cellStyle name="输出 2 8 9 8 5" xfId="42648" xr:uid="{00000000-0005-0000-0000-0000C8A60000}"/>
    <cellStyle name="输出 2 8 9 9" xfId="42650" xr:uid="{00000000-0005-0000-0000-0000CAA60000}"/>
    <cellStyle name="输出 2 8 9 9 2" xfId="10751" xr:uid="{00000000-0005-0000-0000-00002F2A0000}"/>
    <cellStyle name="输出 2 9" xfId="42651" xr:uid="{00000000-0005-0000-0000-0000CBA60000}"/>
    <cellStyle name="输出 2 9 10" xfId="17152" xr:uid="{00000000-0005-0000-0000-000030430000}"/>
    <cellStyle name="输出 2 9 10 10" xfId="42652" xr:uid="{00000000-0005-0000-0000-0000CCA60000}"/>
    <cellStyle name="输出 2 9 10 10 2" xfId="42653" xr:uid="{00000000-0005-0000-0000-0000CDA60000}"/>
    <cellStyle name="输出 2 9 10 11" xfId="42654" xr:uid="{00000000-0005-0000-0000-0000CEA60000}"/>
    <cellStyle name="输出 2 9 10 11 2" xfId="42655" xr:uid="{00000000-0005-0000-0000-0000CFA60000}"/>
    <cellStyle name="输出 2 9 10 12" xfId="42656" xr:uid="{00000000-0005-0000-0000-0000D0A60000}"/>
    <cellStyle name="输出 2 9 10 12 2" xfId="42657" xr:uid="{00000000-0005-0000-0000-0000D1A60000}"/>
    <cellStyle name="输出 2 9 10 13" xfId="41978" xr:uid="{00000000-0005-0000-0000-00002AA40000}"/>
    <cellStyle name="输出 2 9 10 14" xfId="42658" xr:uid="{00000000-0005-0000-0000-0000D2A60000}"/>
    <cellStyle name="输出 2 9 10 15" xfId="42660" xr:uid="{00000000-0005-0000-0000-0000D4A60000}"/>
    <cellStyle name="输出 2 9 10 16" xfId="42663" xr:uid="{00000000-0005-0000-0000-0000D7A60000}"/>
    <cellStyle name="输出 2 9 10 2" xfId="28683" xr:uid="{00000000-0005-0000-0000-00003B700000}"/>
    <cellStyle name="输出 2 9 10 2 2" xfId="42665" xr:uid="{00000000-0005-0000-0000-0000D9A60000}"/>
    <cellStyle name="输出 2 9 10 2 2 2" xfId="42666" xr:uid="{00000000-0005-0000-0000-0000DAA60000}"/>
    <cellStyle name="输出 2 9 10 2 3" xfId="42667" xr:uid="{00000000-0005-0000-0000-0000DBA60000}"/>
    <cellStyle name="输出 2 9 10 2 3 2" xfId="42668" xr:uid="{00000000-0005-0000-0000-0000DCA60000}"/>
    <cellStyle name="输出 2 9 10 2 4" xfId="42669" xr:uid="{00000000-0005-0000-0000-0000DDA60000}"/>
    <cellStyle name="输出 2 9 10 2 4 2" xfId="42670" xr:uid="{00000000-0005-0000-0000-0000DEA60000}"/>
    <cellStyle name="输出 2 9 10 2 5" xfId="42671" xr:uid="{00000000-0005-0000-0000-0000DFA60000}"/>
    <cellStyle name="输出 2 9 10 2 5 2" xfId="42672" xr:uid="{00000000-0005-0000-0000-0000E0A60000}"/>
    <cellStyle name="输出 2 9 10 2 6" xfId="42673" xr:uid="{00000000-0005-0000-0000-0000E1A60000}"/>
    <cellStyle name="输出 2 9 10 2 7" xfId="42674" xr:uid="{00000000-0005-0000-0000-0000E2A60000}"/>
    <cellStyle name="输出 2 9 10 2 8" xfId="42675" xr:uid="{00000000-0005-0000-0000-0000E3A60000}"/>
    <cellStyle name="输出 2 9 10 2 9" xfId="42676" xr:uid="{00000000-0005-0000-0000-0000E4A60000}"/>
    <cellStyle name="输出 2 9 10 3" xfId="22996" xr:uid="{00000000-0005-0000-0000-0000045A0000}"/>
    <cellStyle name="输出 2 9 10 3 2" xfId="42677" xr:uid="{00000000-0005-0000-0000-0000E5A60000}"/>
    <cellStyle name="输出 2 9 10 3 2 2" xfId="42678" xr:uid="{00000000-0005-0000-0000-0000E6A60000}"/>
    <cellStyle name="输出 2 9 10 3 3" xfId="42679" xr:uid="{00000000-0005-0000-0000-0000E7A60000}"/>
    <cellStyle name="输出 2 9 10 3 3 2" xfId="3823" xr:uid="{00000000-0005-0000-0000-00001F0F0000}"/>
    <cellStyle name="输出 2 9 10 3 4" xfId="42680" xr:uid="{00000000-0005-0000-0000-0000E8A60000}"/>
    <cellStyle name="输出 2 9 10 3 4 2" xfId="42681" xr:uid="{00000000-0005-0000-0000-0000E9A60000}"/>
    <cellStyle name="输出 2 9 10 3 5" xfId="42682" xr:uid="{00000000-0005-0000-0000-0000EAA60000}"/>
    <cellStyle name="输出 2 9 10 3 5 2" xfId="42683" xr:uid="{00000000-0005-0000-0000-0000EBA60000}"/>
    <cellStyle name="输出 2 9 10 3 6" xfId="42684" xr:uid="{00000000-0005-0000-0000-0000ECA60000}"/>
    <cellStyle name="输出 2 9 10 4" xfId="42685" xr:uid="{00000000-0005-0000-0000-0000EDA60000}"/>
    <cellStyle name="输出 2 9 10 4 2" xfId="42686" xr:uid="{00000000-0005-0000-0000-0000EEA60000}"/>
    <cellStyle name="输出 2 9 10 4 2 2" xfId="42687" xr:uid="{00000000-0005-0000-0000-0000EFA60000}"/>
    <cellStyle name="输出 2 9 10 4 3" xfId="42688" xr:uid="{00000000-0005-0000-0000-0000F0A60000}"/>
    <cellStyle name="输出 2 9 10 4 3 2" xfId="42689" xr:uid="{00000000-0005-0000-0000-0000F1A60000}"/>
    <cellStyle name="输出 2 9 10 4 4" xfId="42690" xr:uid="{00000000-0005-0000-0000-0000F2A60000}"/>
    <cellStyle name="输出 2 9 10 4 4 2" xfId="42691" xr:uid="{00000000-0005-0000-0000-0000F3A60000}"/>
    <cellStyle name="输出 2 9 10 4 5" xfId="42692" xr:uid="{00000000-0005-0000-0000-0000F4A60000}"/>
    <cellStyle name="输出 2 9 10 4 5 2" xfId="42694" xr:uid="{00000000-0005-0000-0000-0000F6A60000}"/>
    <cellStyle name="输出 2 9 10 4 6" xfId="42695" xr:uid="{00000000-0005-0000-0000-0000F7A60000}"/>
    <cellStyle name="输出 2 9 10 5" xfId="42696" xr:uid="{00000000-0005-0000-0000-0000F8A60000}"/>
    <cellStyle name="输出 2 9 10 5 2" xfId="42697" xr:uid="{00000000-0005-0000-0000-0000F9A60000}"/>
    <cellStyle name="输出 2 9 10 5 2 2" xfId="4616" xr:uid="{00000000-0005-0000-0000-000038120000}"/>
    <cellStyle name="输出 2 9 10 5 3" xfId="18940" xr:uid="{00000000-0005-0000-0000-00002C4A0000}"/>
    <cellStyle name="输出 2 9 10 5 3 2" xfId="4636" xr:uid="{00000000-0005-0000-0000-00004C120000}"/>
    <cellStyle name="输出 2 9 10 5 4" xfId="976" xr:uid="{00000000-0005-0000-0000-000000040000}"/>
    <cellStyle name="输出 2 9 10 5 4 2" xfId="4671" xr:uid="{00000000-0005-0000-0000-00006F120000}"/>
    <cellStyle name="输出 2 9 10 5 5" xfId="18944" xr:uid="{00000000-0005-0000-0000-0000304A0000}"/>
    <cellStyle name="输出 2 9 10 5 5 2" xfId="18949" xr:uid="{00000000-0005-0000-0000-0000354A0000}"/>
    <cellStyle name="输出 2 9 10 5 6" xfId="16293" xr:uid="{00000000-0005-0000-0000-0000D53F0000}"/>
    <cellStyle name="输出 2 9 10 6" xfId="21100" xr:uid="{00000000-0005-0000-0000-00009C520000}"/>
    <cellStyle name="输出 2 9 10 6 2" xfId="22726" xr:uid="{00000000-0005-0000-0000-0000F6580000}"/>
    <cellStyle name="输出 2 9 10 6 2 2" xfId="42698" xr:uid="{00000000-0005-0000-0000-0000FAA60000}"/>
    <cellStyle name="输出 2 9 10 6 3" xfId="18967" xr:uid="{00000000-0005-0000-0000-0000474A0000}"/>
    <cellStyle name="输出 2 9 10 6 3 2" xfId="4856" xr:uid="{00000000-0005-0000-0000-000028130000}"/>
    <cellStyle name="输出 2 9 10 6 4" xfId="18970" xr:uid="{00000000-0005-0000-0000-00004A4A0000}"/>
    <cellStyle name="输出 2 9 10 6 4 2" xfId="4894" xr:uid="{00000000-0005-0000-0000-00004E130000}"/>
    <cellStyle name="输出 2 9 10 6 5" xfId="18973" xr:uid="{00000000-0005-0000-0000-00004D4A0000}"/>
    <cellStyle name="输出 2 9 10 6 5 2" xfId="13980" xr:uid="{00000000-0005-0000-0000-0000CC360000}"/>
    <cellStyle name="输出 2 9 10 6 6" xfId="16296" xr:uid="{00000000-0005-0000-0000-0000D83F0000}"/>
    <cellStyle name="输出 2 9 10 7" xfId="22731" xr:uid="{00000000-0005-0000-0000-0000FB580000}"/>
    <cellStyle name="输出 2 9 10 7 2" xfId="22735" xr:uid="{00000000-0005-0000-0000-0000FF580000}"/>
    <cellStyle name="输出 2 9 10 7 2 2" xfId="42700" xr:uid="{00000000-0005-0000-0000-0000FCA60000}"/>
    <cellStyle name="输出 2 9 10 7 3" xfId="18977" xr:uid="{00000000-0005-0000-0000-0000514A0000}"/>
    <cellStyle name="输出 2 9 10 7 3 2" xfId="5173" xr:uid="{00000000-0005-0000-0000-000065140000}"/>
    <cellStyle name="输出 2 9 10 7 4" xfId="18981" xr:uid="{00000000-0005-0000-0000-0000554A0000}"/>
    <cellStyle name="输出 2 9 10 7 4 2" xfId="3803" xr:uid="{00000000-0005-0000-0000-00000B0F0000}"/>
    <cellStyle name="输出 2 9 10 7 5" xfId="18985" xr:uid="{00000000-0005-0000-0000-0000594A0000}"/>
    <cellStyle name="输出 2 9 10 7 5 2" xfId="18989" xr:uid="{00000000-0005-0000-0000-00005D4A0000}"/>
    <cellStyle name="输出 2 9 10 7 6" xfId="18994" xr:uid="{00000000-0005-0000-0000-0000624A0000}"/>
    <cellStyle name="输出 2 9 10 8" xfId="22740" xr:uid="{00000000-0005-0000-0000-000004590000}"/>
    <cellStyle name="输出 2 9 10 8 2" xfId="11525" xr:uid="{00000000-0005-0000-0000-0000352D0000}"/>
    <cellStyle name="输出 2 9 10 8 2 2" xfId="42703" xr:uid="{00000000-0005-0000-0000-0000FFA60000}"/>
    <cellStyle name="输出 2 9 10 8 3" xfId="19001" xr:uid="{00000000-0005-0000-0000-0000694A0000}"/>
    <cellStyle name="输出 2 9 10 8 3 2" xfId="57" xr:uid="{00000000-0005-0000-0000-00003E000000}"/>
    <cellStyle name="输出 2 9 10 8 4" xfId="19005" xr:uid="{00000000-0005-0000-0000-00006D4A0000}"/>
    <cellStyle name="输出 2 9 10 8 4 2" xfId="5398" xr:uid="{00000000-0005-0000-0000-000046150000}"/>
    <cellStyle name="输出 2 9 10 8 5" xfId="19007" xr:uid="{00000000-0005-0000-0000-00006F4A0000}"/>
    <cellStyle name="输出 2 9 10 9" xfId="22743" xr:uid="{00000000-0005-0000-0000-000007590000}"/>
    <cellStyle name="输出 2 9 10 9 2" xfId="22747" xr:uid="{00000000-0005-0000-0000-00000B590000}"/>
    <cellStyle name="输出 2 9 11" xfId="28688" xr:uid="{00000000-0005-0000-0000-000040700000}"/>
    <cellStyle name="输出 2 9 11 10" xfId="42705" xr:uid="{00000000-0005-0000-0000-000001A70000}"/>
    <cellStyle name="输出 2 9 11 10 2" xfId="40961" xr:uid="{00000000-0005-0000-0000-000031A00000}"/>
    <cellStyle name="输出 2 9 11 11" xfId="42706" xr:uid="{00000000-0005-0000-0000-000002A70000}"/>
    <cellStyle name="输出 2 9 11 11 2" xfId="40964" xr:uid="{00000000-0005-0000-0000-000034A00000}"/>
    <cellStyle name="输出 2 9 11 12" xfId="42707" xr:uid="{00000000-0005-0000-0000-000003A70000}"/>
    <cellStyle name="输出 2 9 11 12 2" xfId="40968" xr:uid="{00000000-0005-0000-0000-000038A00000}"/>
    <cellStyle name="输出 2 9 11 13" xfId="42708" xr:uid="{00000000-0005-0000-0000-000004A70000}"/>
    <cellStyle name="输出 2 9 11 14" xfId="42709" xr:uid="{00000000-0005-0000-0000-000005A70000}"/>
    <cellStyle name="输出 2 9 11 15" xfId="251" xr:uid="{00000000-0005-0000-0000-000014010000}"/>
    <cellStyle name="输出 2 9 11 16" xfId="39056" xr:uid="{00000000-0005-0000-0000-0000C0980000}"/>
    <cellStyle name="输出 2 9 11 2" xfId="28693" xr:uid="{00000000-0005-0000-0000-000045700000}"/>
    <cellStyle name="输出 2 9 11 2 2" xfId="42710" xr:uid="{00000000-0005-0000-0000-000006A70000}"/>
    <cellStyle name="输出 2 9 11 2 2 2" xfId="42711" xr:uid="{00000000-0005-0000-0000-000007A70000}"/>
    <cellStyle name="输出 2 9 11 2 3" xfId="42712" xr:uid="{00000000-0005-0000-0000-000008A70000}"/>
    <cellStyle name="输出 2 9 11 2 3 2" xfId="42713" xr:uid="{00000000-0005-0000-0000-000009A70000}"/>
    <cellStyle name="输出 2 9 11 2 4" xfId="42714" xr:uid="{00000000-0005-0000-0000-00000AA70000}"/>
    <cellStyle name="输出 2 9 11 2 4 2" xfId="42715" xr:uid="{00000000-0005-0000-0000-00000BA70000}"/>
    <cellStyle name="输出 2 9 11 2 5" xfId="42716" xr:uid="{00000000-0005-0000-0000-00000CA70000}"/>
    <cellStyle name="输出 2 9 11 2 5 2" xfId="42717" xr:uid="{00000000-0005-0000-0000-00000DA70000}"/>
    <cellStyle name="输出 2 9 11 2 6" xfId="42719" xr:uid="{00000000-0005-0000-0000-00000FA70000}"/>
    <cellStyle name="输出 2 9 11 3" xfId="22999" xr:uid="{00000000-0005-0000-0000-0000075A0000}"/>
    <cellStyle name="输出 2 9 11 3 2" xfId="42720" xr:uid="{00000000-0005-0000-0000-000010A70000}"/>
    <cellStyle name="输出 2 9 11 3 2 2" xfId="42721" xr:uid="{00000000-0005-0000-0000-000011A70000}"/>
    <cellStyle name="输出 2 9 11 3 3" xfId="42722" xr:uid="{00000000-0005-0000-0000-000012A70000}"/>
    <cellStyle name="输出 2 9 11 3 3 2" xfId="7630" xr:uid="{00000000-0005-0000-0000-0000FE1D0000}"/>
    <cellStyle name="输出 2 9 11 3 4" xfId="42723" xr:uid="{00000000-0005-0000-0000-000013A70000}"/>
    <cellStyle name="输出 2 9 11 3 4 2" xfId="42724" xr:uid="{00000000-0005-0000-0000-000014A70000}"/>
    <cellStyle name="输出 2 9 11 3 5" xfId="42725" xr:uid="{00000000-0005-0000-0000-000015A70000}"/>
    <cellStyle name="输出 2 9 11 3 5 2" xfId="42726" xr:uid="{00000000-0005-0000-0000-000016A70000}"/>
    <cellStyle name="输出 2 9 11 3 6" xfId="42727" xr:uid="{00000000-0005-0000-0000-000017A70000}"/>
    <cellStyle name="输出 2 9 11 4" xfId="42728" xr:uid="{00000000-0005-0000-0000-000018A70000}"/>
    <cellStyle name="输出 2 9 11 4 2" xfId="42729" xr:uid="{00000000-0005-0000-0000-000019A70000}"/>
    <cellStyle name="输出 2 9 11 4 2 2" xfId="42730" xr:uid="{00000000-0005-0000-0000-00001AA70000}"/>
    <cellStyle name="输出 2 9 11 4 3" xfId="42731" xr:uid="{00000000-0005-0000-0000-00001BA70000}"/>
    <cellStyle name="输出 2 9 11 4 3 2" xfId="7891" xr:uid="{00000000-0005-0000-0000-0000031F0000}"/>
    <cellStyle name="输出 2 9 11 4 4" xfId="42732" xr:uid="{00000000-0005-0000-0000-00001CA70000}"/>
    <cellStyle name="输出 2 9 11 4 4 2" xfId="25" xr:uid="{00000000-0005-0000-0000-00001D000000}"/>
    <cellStyle name="输出 2 9 11 4 5" xfId="42733" xr:uid="{00000000-0005-0000-0000-00001DA70000}"/>
    <cellStyle name="输出 2 9 11 4 5 2" xfId="23661" xr:uid="{00000000-0005-0000-0000-00009D5C0000}"/>
    <cellStyle name="输出 2 9 11 4 6" xfId="42735" xr:uid="{00000000-0005-0000-0000-00001FA70000}"/>
    <cellStyle name="输出 2 9 11 5" xfId="42736" xr:uid="{00000000-0005-0000-0000-000020A70000}"/>
    <cellStyle name="输出 2 9 11 5 2" xfId="19839" xr:uid="{00000000-0005-0000-0000-0000AF4D0000}"/>
    <cellStyle name="输出 2 9 11 5 2 2" xfId="42737" xr:uid="{00000000-0005-0000-0000-000021A70000}"/>
    <cellStyle name="输出 2 9 11 5 3" xfId="19071" xr:uid="{00000000-0005-0000-0000-0000AF4A0000}"/>
    <cellStyle name="输出 2 9 11 5 3 2" xfId="8084" xr:uid="{00000000-0005-0000-0000-0000C41F0000}"/>
    <cellStyle name="输出 2 9 11 5 4" xfId="8800" xr:uid="{00000000-0005-0000-0000-000090220000}"/>
    <cellStyle name="输出 2 9 11 5 4 2" xfId="8124" xr:uid="{00000000-0005-0000-0000-0000EC1F0000}"/>
    <cellStyle name="输出 2 9 11 5 5" xfId="19075" xr:uid="{00000000-0005-0000-0000-0000B34A0000}"/>
    <cellStyle name="输出 2 9 11 5 5 2" xfId="11884" xr:uid="{00000000-0005-0000-0000-00009C2E0000}"/>
    <cellStyle name="输出 2 9 11 5 6" xfId="16317" xr:uid="{00000000-0005-0000-0000-0000ED3F0000}"/>
    <cellStyle name="输出 2 9 11 6" xfId="21108" xr:uid="{00000000-0005-0000-0000-0000A4520000}"/>
    <cellStyle name="输出 2 9 11 6 2" xfId="22756" xr:uid="{00000000-0005-0000-0000-000014590000}"/>
    <cellStyle name="输出 2 9 11 6 2 2" xfId="42738" xr:uid="{00000000-0005-0000-0000-000022A70000}"/>
    <cellStyle name="输出 2 9 11 6 3" xfId="19089" xr:uid="{00000000-0005-0000-0000-0000C14A0000}"/>
    <cellStyle name="输出 2 9 11 6 3 2" xfId="8427" xr:uid="{00000000-0005-0000-0000-00001B210000}"/>
    <cellStyle name="输出 2 9 11 6 4" xfId="19092" xr:uid="{00000000-0005-0000-0000-0000C44A0000}"/>
    <cellStyle name="输出 2 9 11 6 4 2" xfId="8473" xr:uid="{00000000-0005-0000-0000-000049210000}"/>
    <cellStyle name="输出 2 9 11 6 5" xfId="19095" xr:uid="{00000000-0005-0000-0000-0000C74A0000}"/>
    <cellStyle name="输出 2 9 11 6 5 2" xfId="19097" xr:uid="{00000000-0005-0000-0000-0000C94A0000}"/>
    <cellStyle name="输出 2 9 11 6 6" xfId="19099" xr:uid="{00000000-0005-0000-0000-0000CB4A0000}"/>
    <cellStyle name="输出 2 9 11 7" xfId="22762" xr:uid="{00000000-0005-0000-0000-00001A590000}"/>
    <cellStyle name="输出 2 9 11 7 2" xfId="22767" xr:uid="{00000000-0005-0000-0000-00001F590000}"/>
    <cellStyle name="输出 2 9 11 7 2 2" xfId="42739" xr:uid="{00000000-0005-0000-0000-000023A70000}"/>
    <cellStyle name="输出 2 9 11 7 3" xfId="19106" xr:uid="{00000000-0005-0000-0000-0000D24A0000}"/>
    <cellStyle name="输出 2 9 11 7 3 2" xfId="8677" xr:uid="{00000000-0005-0000-0000-000015220000}"/>
    <cellStyle name="输出 2 9 11 7 4" xfId="19111" xr:uid="{00000000-0005-0000-0000-0000D74A0000}"/>
    <cellStyle name="输出 2 9 11 7 4 2" xfId="8703" xr:uid="{00000000-0005-0000-0000-00002F220000}"/>
    <cellStyle name="输出 2 9 11 7 5" xfId="19114" xr:uid="{00000000-0005-0000-0000-0000DA4A0000}"/>
    <cellStyle name="输出 2 9 11 7 5 2" xfId="19118" xr:uid="{00000000-0005-0000-0000-0000DE4A0000}"/>
    <cellStyle name="输出 2 9 11 7 6" xfId="19122" xr:uid="{00000000-0005-0000-0000-0000E24A0000}"/>
    <cellStyle name="输出 2 9 11 8" xfId="22774" xr:uid="{00000000-0005-0000-0000-000026590000}"/>
    <cellStyle name="输出 2 9 11 8 2" xfId="22779" xr:uid="{00000000-0005-0000-0000-00002B590000}"/>
    <cellStyle name="输出 2 9 11 8 2 2" xfId="42741" xr:uid="{00000000-0005-0000-0000-000025A70000}"/>
    <cellStyle name="输出 2 9 11 8 3" xfId="19128" xr:uid="{00000000-0005-0000-0000-0000E84A0000}"/>
    <cellStyle name="输出 2 9 11 8 3 2" xfId="8787" xr:uid="{00000000-0005-0000-0000-000083220000}"/>
    <cellStyle name="输出 2 9 11 8 4" xfId="19133" xr:uid="{00000000-0005-0000-0000-0000ED4A0000}"/>
    <cellStyle name="输出 2 9 11 8 4 2" xfId="8804" xr:uid="{00000000-0005-0000-0000-000094220000}"/>
    <cellStyle name="输出 2 9 11 8 5" xfId="19135" xr:uid="{00000000-0005-0000-0000-0000EF4A0000}"/>
    <cellStyle name="输出 2 9 11 9" xfId="22786" xr:uid="{00000000-0005-0000-0000-000032590000}"/>
    <cellStyle name="输出 2 9 11 9 2" xfId="22791" xr:uid="{00000000-0005-0000-0000-000037590000}"/>
    <cellStyle name="输出 2 9 12" xfId="28695" xr:uid="{00000000-0005-0000-0000-000047700000}"/>
    <cellStyle name="输出 2 9 12 2" xfId="42743" xr:uid="{00000000-0005-0000-0000-000027A70000}"/>
    <cellStyle name="输出 2 9 12 2 2" xfId="42744" xr:uid="{00000000-0005-0000-0000-000028A70000}"/>
    <cellStyle name="输出 2 9 12 3" xfId="42745" xr:uid="{00000000-0005-0000-0000-000029A70000}"/>
    <cellStyle name="输出 2 9 12 3 2" xfId="42746" xr:uid="{00000000-0005-0000-0000-00002AA70000}"/>
    <cellStyle name="输出 2 9 12 4" xfId="10943" xr:uid="{00000000-0005-0000-0000-0000EF2A0000}"/>
    <cellStyle name="输出 2 9 12 4 2" xfId="42747" xr:uid="{00000000-0005-0000-0000-00002BA70000}"/>
    <cellStyle name="输出 2 9 12 5" xfId="42748" xr:uid="{00000000-0005-0000-0000-00002CA70000}"/>
    <cellStyle name="输出 2 9 12 5 2" xfId="42749" xr:uid="{00000000-0005-0000-0000-00002DA70000}"/>
    <cellStyle name="输出 2 9 12 6" xfId="22800" xr:uid="{00000000-0005-0000-0000-000040590000}"/>
    <cellStyle name="输出 2 9 12 7" xfId="22809" xr:uid="{00000000-0005-0000-0000-000049590000}"/>
    <cellStyle name="输出 2 9 12 8" xfId="22820" xr:uid="{00000000-0005-0000-0000-000054590000}"/>
    <cellStyle name="输出 2 9 12 9" xfId="22833" xr:uid="{00000000-0005-0000-0000-000061590000}"/>
    <cellStyle name="输出 2 9 13" xfId="42750" xr:uid="{00000000-0005-0000-0000-00002EA70000}"/>
    <cellStyle name="输出 2 9 13 2" xfId="42751" xr:uid="{00000000-0005-0000-0000-00002FA70000}"/>
    <cellStyle name="输出 2 9 13 2 2" xfId="42752" xr:uid="{00000000-0005-0000-0000-000030A70000}"/>
    <cellStyle name="输出 2 9 13 3" xfId="42753" xr:uid="{00000000-0005-0000-0000-000031A70000}"/>
    <cellStyle name="输出 2 9 13 3 2" xfId="42754" xr:uid="{00000000-0005-0000-0000-000032A70000}"/>
    <cellStyle name="输出 2 9 13 4" xfId="13232" xr:uid="{00000000-0005-0000-0000-0000E0330000}"/>
    <cellStyle name="输出 2 9 13 4 2" xfId="42755" xr:uid="{00000000-0005-0000-0000-000033A70000}"/>
    <cellStyle name="输出 2 9 13 5" xfId="42756" xr:uid="{00000000-0005-0000-0000-000034A70000}"/>
    <cellStyle name="输出 2 9 13 5 2" xfId="42757" xr:uid="{00000000-0005-0000-0000-000035A70000}"/>
    <cellStyle name="输出 2 9 13 6" xfId="22848" xr:uid="{00000000-0005-0000-0000-000070590000}"/>
    <cellStyle name="输出 2 9 14" xfId="42758" xr:uid="{00000000-0005-0000-0000-000036A70000}"/>
    <cellStyle name="输出 2 9 14 2" xfId="42759" xr:uid="{00000000-0005-0000-0000-000037A70000}"/>
    <cellStyle name="输出 2 9 14 2 2" xfId="42760" xr:uid="{00000000-0005-0000-0000-000038A70000}"/>
    <cellStyle name="输出 2 9 14 3" xfId="42761" xr:uid="{00000000-0005-0000-0000-000039A70000}"/>
    <cellStyle name="输出 2 9 14 3 2" xfId="42762" xr:uid="{00000000-0005-0000-0000-00003AA70000}"/>
    <cellStyle name="输出 2 9 14 4" xfId="13236" xr:uid="{00000000-0005-0000-0000-0000E4330000}"/>
    <cellStyle name="输出 2 9 14 4 2" xfId="42763" xr:uid="{00000000-0005-0000-0000-00003BA70000}"/>
    <cellStyle name="输出 2 9 14 5" xfId="42764" xr:uid="{00000000-0005-0000-0000-00003CA70000}"/>
    <cellStyle name="输出 2 9 14 5 2" xfId="42765" xr:uid="{00000000-0005-0000-0000-00003DA70000}"/>
    <cellStyle name="输出 2 9 14 6" xfId="22891" xr:uid="{00000000-0005-0000-0000-00009B590000}"/>
    <cellStyle name="输出 2 9 15" xfId="24211" xr:uid="{00000000-0005-0000-0000-0000C35E0000}"/>
    <cellStyle name="输出 2 9 15 2" xfId="42766" xr:uid="{00000000-0005-0000-0000-00003EA70000}"/>
    <cellStyle name="输出 2 9 15 2 2" xfId="42768" xr:uid="{00000000-0005-0000-0000-000040A70000}"/>
    <cellStyle name="输出 2 9 15 3" xfId="42769" xr:uid="{00000000-0005-0000-0000-000041A70000}"/>
    <cellStyle name="输出 2 9 15 3 2" xfId="42771" xr:uid="{00000000-0005-0000-0000-000043A70000}"/>
    <cellStyle name="输出 2 9 15 4" xfId="13239" xr:uid="{00000000-0005-0000-0000-0000E7330000}"/>
    <cellStyle name="输出 2 9 15 4 2" xfId="42772" xr:uid="{00000000-0005-0000-0000-000044A70000}"/>
    <cellStyle name="输出 2 9 15 5" xfId="41396" xr:uid="{00000000-0005-0000-0000-0000E4A10000}"/>
    <cellStyle name="输出 2 9 15 5 2" xfId="42773" xr:uid="{00000000-0005-0000-0000-000045A70000}"/>
    <cellStyle name="输出 2 9 15 6" xfId="22931" xr:uid="{00000000-0005-0000-0000-0000C3590000}"/>
    <cellStyle name="输出 2 9 16" xfId="42774" xr:uid="{00000000-0005-0000-0000-000046A70000}"/>
    <cellStyle name="输出 2 9 16 2" xfId="42777" xr:uid="{00000000-0005-0000-0000-000049A70000}"/>
    <cellStyle name="输出 2 9 16 2 2" xfId="42779" xr:uid="{00000000-0005-0000-0000-00004BA70000}"/>
    <cellStyle name="输出 2 9 16 3" xfId="42780" xr:uid="{00000000-0005-0000-0000-00004CA70000}"/>
    <cellStyle name="输出 2 9 16 3 2" xfId="42782" xr:uid="{00000000-0005-0000-0000-00004EA70000}"/>
    <cellStyle name="输出 2 9 16 4" xfId="32383" xr:uid="{00000000-0005-0000-0000-0000AF7E0000}"/>
    <cellStyle name="输出 2 9 16 4 2" xfId="42783" xr:uid="{00000000-0005-0000-0000-00004FA70000}"/>
    <cellStyle name="输出 2 9 16 5" xfId="41399" xr:uid="{00000000-0005-0000-0000-0000E7A10000}"/>
    <cellStyle name="输出 2 9 16 5 2" xfId="20819" xr:uid="{00000000-0005-0000-0000-000083510000}"/>
    <cellStyle name="输出 2 9 16 6" xfId="42784" xr:uid="{00000000-0005-0000-0000-000050A70000}"/>
    <cellStyle name="输出 2 9 17" xfId="42785" xr:uid="{00000000-0005-0000-0000-000051A70000}"/>
    <cellStyle name="输出 2 9 17 2" xfId="42787" xr:uid="{00000000-0005-0000-0000-000053A70000}"/>
    <cellStyle name="输出 2 9 17 2 2" xfId="42789" xr:uid="{00000000-0005-0000-0000-000055A70000}"/>
    <cellStyle name="输出 2 9 17 3" xfId="42790" xr:uid="{00000000-0005-0000-0000-000056A70000}"/>
    <cellStyle name="输出 2 9 17 3 2" xfId="39660" xr:uid="{00000000-0005-0000-0000-00001C9B0000}"/>
    <cellStyle name="输出 2 9 17 4" xfId="32388" xr:uid="{00000000-0005-0000-0000-0000B47E0000}"/>
    <cellStyle name="输出 2 9 17 4 2" xfId="42792" xr:uid="{00000000-0005-0000-0000-000058A70000}"/>
    <cellStyle name="输出 2 9 17 5" xfId="40124" xr:uid="{00000000-0005-0000-0000-0000EC9C0000}"/>
    <cellStyle name="输出 2 9 17 5 2" xfId="42793" xr:uid="{00000000-0005-0000-0000-000059A70000}"/>
    <cellStyle name="输出 2 9 17 6" xfId="42794" xr:uid="{00000000-0005-0000-0000-00005AA70000}"/>
    <cellStyle name="输出 2 9 18" xfId="42795" xr:uid="{00000000-0005-0000-0000-00005BA70000}"/>
    <cellStyle name="输出 2 9 18 2" xfId="42797" xr:uid="{00000000-0005-0000-0000-00005DA70000}"/>
    <cellStyle name="输出 2 9 18 2 2" xfId="42799" xr:uid="{00000000-0005-0000-0000-00005FA70000}"/>
    <cellStyle name="输出 2 9 18 3" xfId="42800" xr:uid="{00000000-0005-0000-0000-000060A70000}"/>
    <cellStyle name="输出 2 9 18 3 2" xfId="28983" xr:uid="{00000000-0005-0000-0000-000067710000}"/>
    <cellStyle name="输出 2 9 18 4" xfId="3851" xr:uid="{00000000-0005-0000-0000-00003B0F0000}"/>
    <cellStyle name="输出 2 9 18 4 2" xfId="42802" xr:uid="{00000000-0005-0000-0000-000062A70000}"/>
    <cellStyle name="输出 2 9 18 5" xfId="42803" xr:uid="{00000000-0005-0000-0000-000063A70000}"/>
    <cellStyle name="输出 2 9 18 5 2" xfId="42804" xr:uid="{00000000-0005-0000-0000-000064A70000}"/>
    <cellStyle name="输出 2 9 18 6" xfId="42805" xr:uid="{00000000-0005-0000-0000-000065A70000}"/>
    <cellStyle name="输出 2 9 19" xfId="42806" xr:uid="{00000000-0005-0000-0000-000066A70000}"/>
    <cellStyle name="输出 2 9 19 2" xfId="42808" xr:uid="{00000000-0005-0000-0000-000068A70000}"/>
    <cellStyle name="输出 2 9 19 2 2" xfId="42809" xr:uid="{00000000-0005-0000-0000-000069A70000}"/>
    <cellStyle name="输出 2 9 19 3" xfId="42810" xr:uid="{00000000-0005-0000-0000-00006AA70000}"/>
    <cellStyle name="输出 2 9 19 3 2" xfId="42811" xr:uid="{00000000-0005-0000-0000-00006BA70000}"/>
    <cellStyle name="输出 2 9 19 4" xfId="1578" xr:uid="{00000000-0005-0000-0000-00005A060000}"/>
    <cellStyle name="输出 2 9 19 4 2" xfId="42812" xr:uid="{00000000-0005-0000-0000-00006CA70000}"/>
    <cellStyle name="输出 2 9 19 5" xfId="42813" xr:uid="{00000000-0005-0000-0000-00006DA70000}"/>
    <cellStyle name="输出 2 9 2" xfId="42814" xr:uid="{00000000-0005-0000-0000-00006EA70000}"/>
    <cellStyle name="输出 2 9 2 10" xfId="42815" xr:uid="{00000000-0005-0000-0000-00006FA70000}"/>
    <cellStyle name="输出 2 9 2 10 2" xfId="38657" xr:uid="{00000000-0005-0000-0000-000031970000}"/>
    <cellStyle name="输出 2 9 2 11" xfId="42816" xr:uid="{00000000-0005-0000-0000-000070A70000}"/>
    <cellStyle name="输出 2 9 2 11 2" xfId="42817" xr:uid="{00000000-0005-0000-0000-000071A70000}"/>
    <cellStyle name="输出 2 9 2 12" xfId="42819" xr:uid="{00000000-0005-0000-0000-000073A70000}"/>
    <cellStyle name="输出 2 9 2 12 2" xfId="42821" xr:uid="{00000000-0005-0000-0000-000075A70000}"/>
    <cellStyle name="输出 2 9 2 13" xfId="42823" xr:uid="{00000000-0005-0000-0000-000077A70000}"/>
    <cellStyle name="输出 2 9 2 14" xfId="42824" xr:uid="{00000000-0005-0000-0000-000078A70000}"/>
    <cellStyle name="输出 2 9 2 15" xfId="42825" xr:uid="{00000000-0005-0000-0000-000079A70000}"/>
    <cellStyle name="输出 2 9 2 16" xfId="42826" xr:uid="{00000000-0005-0000-0000-00007AA70000}"/>
    <cellStyle name="输出 2 9 2 2" xfId="28738" xr:uid="{00000000-0005-0000-0000-000072700000}"/>
    <cellStyle name="输出 2 9 2 2 2" xfId="42827" xr:uid="{00000000-0005-0000-0000-00007BA70000}"/>
    <cellStyle name="输出 2 9 2 2 2 2" xfId="33492" xr:uid="{00000000-0005-0000-0000-000004830000}"/>
    <cellStyle name="输出 2 9 2 2 3" xfId="42828" xr:uid="{00000000-0005-0000-0000-00007CA70000}"/>
    <cellStyle name="输出 2 9 2 2 3 2" xfId="42829" xr:uid="{00000000-0005-0000-0000-00007DA70000}"/>
    <cellStyle name="输出 2 9 2 2 4" xfId="42830" xr:uid="{00000000-0005-0000-0000-00007EA70000}"/>
    <cellStyle name="输出 2 9 2 2 4 2" xfId="42831" xr:uid="{00000000-0005-0000-0000-00007FA70000}"/>
    <cellStyle name="输出 2 9 2 2 5" xfId="42832" xr:uid="{00000000-0005-0000-0000-000080A70000}"/>
    <cellStyle name="输出 2 9 2 2 5 2" xfId="42833" xr:uid="{00000000-0005-0000-0000-000081A70000}"/>
    <cellStyle name="输出 2 9 2 2 6" xfId="36587" xr:uid="{00000000-0005-0000-0000-00001B8F0000}"/>
    <cellStyle name="输出 2 9 2 2 7" xfId="42834" xr:uid="{00000000-0005-0000-0000-000082A70000}"/>
    <cellStyle name="输出 2 9 2 2 8" xfId="42835" xr:uid="{00000000-0005-0000-0000-000083A70000}"/>
    <cellStyle name="输出 2 9 2 2 9" xfId="42836" xr:uid="{00000000-0005-0000-0000-000084A70000}"/>
    <cellStyle name="输出 2 9 2 3" xfId="42837" xr:uid="{00000000-0005-0000-0000-000085A70000}"/>
    <cellStyle name="输出 2 9 2 3 2" xfId="42838" xr:uid="{00000000-0005-0000-0000-000086A70000}"/>
    <cellStyle name="输出 2 9 2 3 2 2" xfId="42839" xr:uid="{00000000-0005-0000-0000-000087A70000}"/>
    <cellStyle name="输出 2 9 2 3 3" xfId="42840" xr:uid="{00000000-0005-0000-0000-000088A70000}"/>
    <cellStyle name="输出 2 9 2 3 3 2" xfId="42841" xr:uid="{00000000-0005-0000-0000-000089A70000}"/>
    <cellStyle name="输出 2 9 2 3 4" xfId="42842" xr:uid="{00000000-0005-0000-0000-00008AA70000}"/>
    <cellStyle name="输出 2 9 2 3 4 2" xfId="42843" xr:uid="{00000000-0005-0000-0000-00008BA70000}"/>
    <cellStyle name="输出 2 9 2 3 5" xfId="42844" xr:uid="{00000000-0005-0000-0000-00008CA70000}"/>
    <cellStyle name="输出 2 9 2 3 5 2" xfId="42845" xr:uid="{00000000-0005-0000-0000-00008DA70000}"/>
    <cellStyle name="输出 2 9 2 3 6" xfId="36593" xr:uid="{00000000-0005-0000-0000-0000218F0000}"/>
    <cellStyle name="输出 2 9 2 4" xfId="42846" xr:uid="{00000000-0005-0000-0000-00008EA70000}"/>
    <cellStyle name="输出 2 9 2 4 2" xfId="42847" xr:uid="{00000000-0005-0000-0000-00008FA70000}"/>
    <cellStyle name="输出 2 9 2 4 2 2" xfId="42848" xr:uid="{00000000-0005-0000-0000-000090A70000}"/>
    <cellStyle name="输出 2 9 2 4 3" xfId="42849" xr:uid="{00000000-0005-0000-0000-000091A70000}"/>
    <cellStyle name="输出 2 9 2 4 3 2" xfId="42850" xr:uid="{00000000-0005-0000-0000-000092A70000}"/>
    <cellStyle name="输出 2 9 2 4 4" xfId="42851" xr:uid="{00000000-0005-0000-0000-000093A70000}"/>
    <cellStyle name="输出 2 9 2 4 4 2" xfId="40836" xr:uid="{00000000-0005-0000-0000-0000B49F0000}"/>
    <cellStyle name="输出 2 9 2 4 5" xfId="42852" xr:uid="{00000000-0005-0000-0000-000094A70000}"/>
    <cellStyle name="输出 2 9 2 4 5 2" xfId="42853" xr:uid="{00000000-0005-0000-0000-000095A70000}"/>
    <cellStyle name="输出 2 9 2 4 6" xfId="36598" xr:uid="{00000000-0005-0000-0000-0000268F0000}"/>
    <cellStyle name="输出 2 9 2 5" xfId="42854" xr:uid="{00000000-0005-0000-0000-000096A70000}"/>
    <cellStyle name="输出 2 9 2 5 2" xfId="42855" xr:uid="{00000000-0005-0000-0000-000097A70000}"/>
    <cellStyle name="输出 2 9 2 5 2 2" xfId="42856" xr:uid="{00000000-0005-0000-0000-000098A70000}"/>
    <cellStyle name="输出 2 9 2 5 3" xfId="42857" xr:uid="{00000000-0005-0000-0000-000099A70000}"/>
    <cellStyle name="输出 2 9 2 5 3 2" xfId="42858" xr:uid="{00000000-0005-0000-0000-00009AA70000}"/>
    <cellStyle name="输出 2 9 2 5 4" xfId="42859" xr:uid="{00000000-0005-0000-0000-00009BA70000}"/>
    <cellStyle name="输出 2 9 2 5 4 2" xfId="42860" xr:uid="{00000000-0005-0000-0000-00009CA70000}"/>
    <cellStyle name="输出 2 9 2 5 5" xfId="42862" xr:uid="{00000000-0005-0000-0000-00009EA70000}"/>
    <cellStyle name="输出 2 9 2 5 5 2" xfId="42863" xr:uid="{00000000-0005-0000-0000-00009FA70000}"/>
    <cellStyle name="输出 2 9 2 5 6" xfId="42864" xr:uid="{00000000-0005-0000-0000-0000A0A70000}"/>
    <cellStyle name="输出 2 9 2 6" xfId="42866" xr:uid="{00000000-0005-0000-0000-0000A2A70000}"/>
    <cellStyle name="输出 2 9 2 6 2" xfId="42867" xr:uid="{00000000-0005-0000-0000-0000A3A70000}"/>
    <cellStyle name="输出 2 9 2 6 2 2" xfId="33924" xr:uid="{00000000-0005-0000-0000-0000B4840000}"/>
    <cellStyle name="输出 2 9 2 6 3" xfId="42869" xr:uid="{00000000-0005-0000-0000-0000A5A70000}"/>
    <cellStyle name="输出 2 9 2 6 3 2" xfId="42870" xr:uid="{00000000-0005-0000-0000-0000A6A70000}"/>
    <cellStyle name="输出 2 9 2 6 4" xfId="31904" xr:uid="{00000000-0005-0000-0000-0000D07C0000}"/>
    <cellStyle name="输出 2 9 2 6 4 2" xfId="42871" xr:uid="{00000000-0005-0000-0000-0000A7A70000}"/>
    <cellStyle name="输出 2 9 2 6 5" xfId="23368" xr:uid="{00000000-0005-0000-0000-0000785B0000}"/>
    <cellStyle name="输出 2 9 2 6 5 2" xfId="42872" xr:uid="{00000000-0005-0000-0000-0000A8A70000}"/>
    <cellStyle name="输出 2 9 2 6 6" xfId="42873" xr:uid="{00000000-0005-0000-0000-0000A9A70000}"/>
    <cellStyle name="输出 2 9 2 7" xfId="42874" xr:uid="{00000000-0005-0000-0000-0000AAA70000}"/>
    <cellStyle name="输出 2 9 2 7 2" xfId="42875" xr:uid="{00000000-0005-0000-0000-0000ABA70000}"/>
    <cellStyle name="输出 2 9 2 7 2 2" xfId="34068" xr:uid="{00000000-0005-0000-0000-000044850000}"/>
    <cellStyle name="输出 2 9 2 7 3" xfId="42876" xr:uid="{00000000-0005-0000-0000-0000ACA70000}"/>
    <cellStyle name="输出 2 9 2 7 3 2" xfId="26645" xr:uid="{00000000-0005-0000-0000-000045680000}"/>
    <cellStyle name="输出 2 9 2 7 4" xfId="31908" xr:uid="{00000000-0005-0000-0000-0000D47C0000}"/>
    <cellStyle name="输出 2 9 2 7 4 2" xfId="42877" xr:uid="{00000000-0005-0000-0000-0000ADA70000}"/>
    <cellStyle name="输出 2 9 2 7 5" xfId="23370" xr:uid="{00000000-0005-0000-0000-00007A5B0000}"/>
    <cellStyle name="输出 2 9 2 7 5 2" xfId="42879" xr:uid="{00000000-0005-0000-0000-0000AFA70000}"/>
    <cellStyle name="输出 2 9 2 7 6" xfId="42881" xr:uid="{00000000-0005-0000-0000-0000B1A70000}"/>
    <cellStyle name="输出 2 9 2 8" xfId="42882" xr:uid="{00000000-0005-0000-0000-0000B2A70000}"/>
    <cellStyle name="输出 2 9 2 8 2" xfId="42883" xr:uid="{00000000-0005-0000-0000-0000B3A70000}"/>
    <cellStyle name="输出 2 9 2 8 2 2" xfId="42884" xr:uid="{00000000-0005-0000-0000-0000B4A70000}"/>
    <cellStyle name="输出 2 9 2 8 3" xfId="39354" xr:uid="{00000000-0005-0000-0000-0000EA990000}"/>
    <cellStyle name="输出 2 9 2 8 3 2" xfId="33879" xr:uid="{00000000-0005-0000-0000-000087840000}"/>
    <cellStyle name="输出 2 9 2 8 4" xfId="31910" xr:uid="{00000000-0005-0000-0000-0000D67C0000}"/>
    <cellStyle name="输出 2 9 2 8 4 2" xfId="42886" xr:uid="{00000000-0005-0000-0000-0000B6A70000}"/>
    <cellStyle name="输出 2 9 2 8 5" xfId="23373" xr:uid="{00000000-0005-0000-0000-00007D5B0000}"/>
    <cellStyle name="输出 2 9 2 9" xfId="42888" xr:uid="{00000000-0005-0000-0000-0000B8A70000}"/>
    <cellStyle name="输出 2 9 2 9 2" xfId="42889" xr:uid="{00000000-0005-0000-0000-0000B9A70000}"/>
    <cellStyle name="输出 2 9 20" xfId="24210" xr:uid="{00000000-0005-0000-0000-0000C25E0000}"/>
    <cellStyle name="输出 2 9 20 2" xfId="42767" xr:uid="{00000000-0005-0000-0000-00003FA70000}"/>
    <cellStyle name="输出 2 9 21" xfId="42775" xr:uid="{00000000-0005-0000-0000-000047A70000}"/>
    <cellStyle name="输出 2 9 21 2" xfId="42778" xr:uid="{00000000-0005-0000-0000-00004AA70000}"/>
    <cellStyle name="输出 2 9 22" xfId="42786" xr:uid="{00000000-0005-0000-0000-000052A70000}"/>
    <cellStyle name="输出 2 9 22 2" xfId="42788" xr:uid="{00000000-0005-0000-0000-000054A70000}"/>
    <cellStyle name="输出 2 9 23" xfId="42796" xr:uid="{00000000-0005-0000-0000-00005CA70000}"/>
    <cellStyle name="输出 2 9 23 2" xfId="42798" xr:uid="{00000000-0005-0000-0000-00005EA70000}"/>
    <cellStyle name="输出 2 9 24" xfId="42807" xr:uid="{00000000-0005-0000-0000-000067A70000}"/>
    <cellStyle name="输出 2 9 25" xfId="42890" xr:uid="{00000000-0005-0000-0000-0000BAA70000}"/>
    <cellStyle name="输出 2 9 26" xfId="6639" xr:uid="{00000000-0005-0000-0000-00001F1A0000}"/>
    <cellStyle name="输出 2 9 27" xfId="35994" xr:uid="{00000000-0005-0000-0000-0000CA8C0000}"/>
    <cellStyle name="输出 2 9 3" xfId="19255" xr:uid="{00000000-0005-0000-0000-0000674B0000}"/>
    <cellStyle name="输出 2 9 3 10" xfId="42891" xr:uid="{00000000-0005-0000-0000-0000BBA70000}"/>
    <cellStyle name="输出 2 9 3 10 2" xfId="35862" xr:uid="{00000000-0005-0000-0000-0000468C0000}"/>
    <cellStyle name="输出 2 9 3 11" xfId="5435" xr:uid="{00000000-0005-0000-0000-00006B150000}"/>
    <cellStyle name="输出 2 9 3 11 2" xfId="42892" xr:uid="{00000000-0005-0000-0000-0000BCA70000}"/>
    <cellStyle name="输出 2 9 3 12" xfId="42893" xr:uid="{00000000-0005-0000-0000-0000BDA70000}"/>
    <cellStyle name="输出 2 9 3 12 2" xfId="42894" xr:uid="{00000000-0005-0000-0000-0000BEA70000}"/>
    <cellStyle name="输出 2 9 3 13" xfId="42895" xr:uid="{00000000-0005-0000-0000-0000BFA70000}"/>
    <cellStyle name="输出 2 9 3 14" xfId="42896" xr:uid="{00000000-0005-0000-0000-0000C0A70000}"/>
    <cellStyle name="输出 2 9 3 15" xfId="42897" xr:uid="{00000000-0005-0000-0000-0000C1A70000}"/>
    <cellStyle name="输出 2 9 3 16" xfId="42898" xr:uid="{00000000-0005-0000-0000-0000C2A70000}"/>
    <cellStyle name="输出 2 9 3 2" xfId="34304" xr:uid="{00000000-0005-0000-0000-000030860000}"/>
    <cellStyle name="输出 2 9 3 2 2" xfId="40521" xr:uid="{00000000-0005-0000-0000-0000799E0000}"/>
    <cellStyle name="输出 2 9 3 2 2 2" xfId="42899" xr:uid="{00000000-0005-0000-0000-0000C3A70000}"/>
    <cellStyle name="输出 2 9 3 2 3" xfId="6402" xr:uid="{00000000-0005-0000-0000-000032190000}"/>
    <cellStyle name="输出 2 9 3 2 3 2" xfId="42900" xr:uid="{00000000-0005-0000-0000-0000C4A70000}"/>
    <cellStyle name="输出 2 9 3 2 4" xfId="40523" xr:uid="{00000000-0005-0000-0000-00007B9E0000}"/>
    <cellStyle name="输出 2 9 3 2 4 2" xfId="42901" xr:uid="{00000000-0005-0000-0000-0000C5A70000}"/>
    <cellStyle name="输出 2 9 3 2 5" xfId="42902" xr:uid="{00000000-0005-0000-0000-0000C6A70000}"/>
    <cellStyle name="输出 2 9 3 2 5 2" xfId="42903" xr:uid="{00000000-0005-0000-0000-0000C7A70000}"/>
    <cellStyle name="输出 2 9 3 2 6" xfId="36605" xr:uid="{00000000-0005-0000-0000-00002D8F0000}"/>
    <cellStyle name="输出 2 9 3 2 7" xfId="42904" xr:uid="{00000000-0005-0000-0000-0000C8A70000}"/>
    <cellStyle name="输出 2 9 3 2 8" xfId="42905" xr:uid="{00000000-0005-0000-0000-0000C9A70000}"/>
    <cellStyle name="输出 2 9 3 2 9" xfId="42906" xr:uid="{00000000-0005-0000-0000-0000CAA70000}"/>
    <cellStyle name="输出 2 9 3 3" xfId="42907" xr:uid="{00000000-0005-0000-0000-0000CBA70000}"/>
    <cellStyle name="输出 2 9 3 3 2" xfId="42908" xr:uid="{00000000-0005-0000-0000-0000CCA70000}"/>
    <cellStyle name="输出 2 9 3 3 2 2" xfId="42909" xr:uid="{00000000-0005-0000-0000-0000CDA70000}"/>
    <cellStyle name="输出 2 9 3 3 3" xfId="42910" xr:uid="{00000000-0005-0000-0000-0000CEA70000}"/>
    <cellStyle name="输出 2 9 3 3 3 2" xfId="42911" xr:uid="{00000000-0005-0000-0000-0000CFA70000}"/>
    <cellStyle name="输出 2 9 3 3 4" xfId="42912" xr:uid="{00000000-0005-0000-0000-0000D0A70000}"/>
    <cellStyle name="输出 2 9 3 3 4 2" xfId="42913" xr:uid="{00000000-0005-0000-0000-0000D1A70000}"/>
    <cellStyle name="输出 2 9 3 3 5" xfId="3616" xr:uid="{00000000-0005-0000-0000-0000500E0000}"/>
    <cellStyle name="输出 2 9 3 3 5 2" xfId="42914" xr:uid="{00000000-0005-0000-0000-0000D2A70000}"/>
    <cellStyle name="输出 2 9 3 3 6" xfId="36608" xr:uid="{00000000-0005-0000-0000-0000308F0000}"/>
    <cellStyle name="输出 2 9 3 4" xfId="42915" xr:uid="{00000000-0005-0000-0000-0000D3A70000}"/>
    <cellStyle name="输出 2 9 3 4 2" xfId="42916" xr:uid="{00000000-0005-0000-0000-0000D4A70000}"/>
    <cellStyle name="输出 2 9 3 4 2 2" xfId="42917" xr:uid="{00000000-0005-0000-0000-0000D5A70000}"/>
    <cellStyle name="输出 2 9 3 4 3" xfId="42918" xr:uid="{00000000-0005-0000-0000-0000D6A70000}"/>
    <cellStyle name="输出 2 9 3 4 3 2" xfId="42919" xr:uid="{00000000-0005-0000-0000-0000D7A70000}"/>
    <cellStyle name="输出 2 9 3 4 4" xfId="42920" xr:uid="{00000000-0005-0000-0000-0000D8A70000}"/>
    <cellStyle name="输出 2 9 3 4 4 2" xfId="42921" xr:uid="{00000000-0005-0000-0000-0000D9A70000}"/>
    <cellStyle name="输出 2 9 3 4 5" xfId="3629" xr:uid="{00000000-0005-0000-0000-00005D0E0000}"/>
    <cellStyle name="输出 2 9 3 4 5 2" xfId="42922" xr:uid="{00000000-0005-0000-0000-0000DAA70000}"/>
    <cellStyle name="输出 2 9 3 4 6" xfId="36611" xr:uid="{00000000-0005-0000-0000-0000338F0000}"/>
    <cellStyle name="输出 2 9 3 5" xfId="42923" xr:uid="{00000000-0005-0000-0000-0000DBA70000}"/>
    <cellStyle name="输出 2 9 3 5 2" xfId="42924" xr:uid="{00000000-0005-0000-0000-0000DCA70000}"/>
    <cellStyle name="输出 2 9 3 5 2 2" xfId="42925" xr:uid="{00000000-0005-0000-0000-0000DDA70000}"/>
    <cellStyle name="输出 2 9 3 5 3" xfId="42926" xr:uid="{00000000-0005-0000-0000-0000DEA70000}"/>
    <cellStyle name="输出 2 9 3 5 3 2" xfId="42927" xr:uid="{00000000-0005-0000-0000-0000DFA70000}"/>
    <cellStyle name="输出 2 9 3 5 4" xfId="42928" xr:uid="{00000000-0005-0000-0000-0000E0A70000}"/>
    <cellStyle name="输出 2 9 3 5 4 2" xfId="42929" xr:uid="{00000000-0005-0000-0000-0000E1A70000}"/>
    <cellStyle name="输出 2 9 3 5 5" xfId="3596" xr:uid="{00000000-0005-0000-0000-00003C0E0000}"/>
    <cellStyle name="输出 2 9 3 5 5 2" xfId="42930" xr:uid="{00000000-0005-0000-0000-0000E2A70000}"/>
    <cellStyle name="输出 2 9 3 5 6" xfId="42931" xr:uid="{00000000-0005-0000-0000-0000E3A70000}"/>
    <cellStyle name="输出 2 9 3 6" xfId="42932" xr:uid="{00000000-0005-0000-0000-0000E4A70000}"/>
    <cellStyle name="输出 2 9 3 6 2" xfId="42933" xr:uid="{00000000-0005-0000-0000-0000E5A70000}"/>
    <cellStyle name="输出 2 9 3 6 2 2" xfId="42935" xr:uid="{00000000-0005-0000-0000-0000E7A70000}"/>
    <cellStyle name="输出 2 9 3 6 3" xfId="42936" xr:uid="{00000000-0005-0000-0000-0000E8A70000}"/>
    <cellStyle name="输出 2 9 3 6 3 2" xfId="42937" xr:uid="{00000000-0005-0000-0000-0000E9A70000}"/>
    <cellStyle name="输出 2 9 3 6 4" xfId="31927" xr:uid="{00000000-0005-0000-0000-0000E77C0000}"/>
    <cellStyle name="输出 2 9 3 6 4 2" xfId="42938" xr:uid="{00000000-0005-0000-0000-0000EAA70000}"/>
    <cellStyle name="输出 2 9 3 6 5" xfId="2852" xr:uid="{00000000-0005-0000-0000-0000540B0000}"/>
    <cellStyle name="输出 2 9 3 6 5 2" xfId="42939" xr:uid="{00000000-0005-0000-0000-0000EBA70000}"/>
    <cellStyle name="输出 2 9 3 6 6" xfId="42940" xr:uid="{00000000-0005-0000-0000-0000ECA70000}"/>
    <cellStyle name="输出 2 9 3 7" xfId="42941" xr:uid="{00000000-0005-0000-0000-0000EDA70000}"/>
    <cellStyle name="输出 2 9 3 7 2" xfId="40585" xr:uid="{00000000-0005-0000-0000-0000B99E0000}"/>
    <cellStyle name="输出 2 9 3 7 2 2" xfId="42942" xr:uid="{00000000-0005-0000-0000-0000EEA70000}"/>
    <cellStyle name="输出 2 9 3 7 3" xfId="40587" xr:uid="{00000000-0005-0000-0000-0000BB9E0000}"/>
    <cellStyle name="输出 2 9 3 7 3 2" xfId="42943" xr:uid="{00000000-0005-0000-0000-0000EFA70000}"/>
    <cellStyle name="输出 2 9 3 7 4" xfId="31931" xr:uid="{00000000-0005-0000-0000-0000EB7C0000}"/>
    <cellStyle name="输出 2 9 3 7 4 2" xfId="42944" xr:uid="{00000000-0005-0000-0000-0000F0A70000}"/>
    <cellStyle name="输出 2 9 3 7 5" xfId="23378" xr:uid="{00000000-0005-0000-0000-0000825B0000}"/>
    <cellStyle name="输出 2 9 3 7 5 2" xfId="42945" xr:uid="{00000000-0005-0000-0000-0000F1A70000}"/>
    <cellStyle name="输出 2 9 3 7 6" xfId="42947" xr:uid="{00000000-0005-0000-0000-0000F3A70000}"/>
    <cellStyle name="输出 2 9 3 8" xfId="42948" xr:uid="{00000000-0005-0000-0000-0000F4A70000}"/>
    <cellStyle name="输出 2 9 3 8 2" xfId="42949" xr:uid="{00000000-0005-0000-0000-0000F5A70000}"/>
    <cellStyle name="输出 2 9 3 8 2 2" xfId="42950" xr:uid="{00000000-0005-0000-0000-0000F6A70000}"/>
    <cellStyle name="输出 2 9 3 8 3" xfId="39363" xr:uid="{00000000-0005-0000-0000-0000F3990000}"/>
    <cellStyle name="输出 2 9 3 8 3 2" xfId="42951" xr:uid="{00000000-0005-0000-0000-0000F7A70000}"/>
    <cellStyle name="输出 2 9 3 8 4" xfId="31934" xr:uid="{00000000-0005-0000-0000-0000EE7C0000}"/>
    <cellStyle name="输出 2 9 3 8 4 2" xfId="42952" xr:uid="{00000000-0005-0000-0000-0000F8A70000}"/>
    <cellStyle name="输出 2 9 3 8 5" xfId="22591" xr:uid="{00000000-0005-0000-0000-00006F580000}"/>
    <cellStyle name="输出 2 9 3 9" xfId="42953" xr:uid="{00000000-0005-0000-0000-0000F9A70000}"/>
    <cellStyle name="输出 2 9 3 9 2" xfId="42954" xr:uid="{00000000-0005-0000-0000-0000FAA70000}"/>
    <cellStyle name="输出 2 9 4" xfId="36948" xr:uid="{00000000-0005-0000-0000-000084900000}"/>
    <cellStyle name="输出 2 9 4 10" xfId="22844" xr:uid="{00000000-0005-0000-0000-00006C590000}"/>
    <cellStyle name="输出 2 9 4 10 2" xfId="42955" xr:uid="{00000000-0005-0000-0000-0000FBA70000}"/>
    <cellStyle name="输出 2 9 4 11" xfId="42958" xr:uid="{00000000-0005-0000-0000-0000FEA70000}"/>
    <cellStyle name="输出 2 9 4 11 2" xfId="42960" xr:uid="{00000000-0005-0000-0000-000000A80000}"/>
    <cellStyle name="输出 2 9 4 12" xfId="42962" xr:uid="{00000000-0005-0000-0000-000002A80000}"/>
    <cellStyle name="输出 2 9 4 12 2" xfId="42963" xr:uid="{00000000-0005-0000-0000-000003A80000}"/>
    <cellStyle name="输出 2 9 4 13" xfId="42965" xr:uid="{00000000-0005-0000-0000-000005A80000}"/>
    <cellStyle name="输出 2 9 4 14" xfId="42966" xr:uid="{00000000-0005-0000-0000-000006A80000}"/>
    <cellStyle name="输出 2 9 4 15" xfId="42967" xr:uid="{00000000-0005-0000-0000-000007A80000}"/>
    <cellStyle name="输出 2 9 4 16" xfId="42968" xr:uid="{00000000-0005-0000-0000-000008A80000}"/>
    <cellStyle name="输出 2 9 4 2" xfId="42969" xr:uid="{00000000-0005-0000-0000-000009A80000}"/>
    <cellStyle name="输出 2 9 4 2 2" xfId="30671" xr:uid="{00000000-0005-0000-0000-0000FF770000}"/>
    <cellStyle name="输出 2 9 4 2 2 2" xfId="42971" xr:uid="{00000000-0005-0000-0000-00000BA80000}"/>
    <cellStyle name="输出 2 9 4 2 3" xfId="6820" xr:uid="{00000000-0005-0000-0000-0000D41A0000}"/>
    <cellStyle name="输出 2 9 4 2 3 2" xfId="42972" xr:uid="{00000000-0005-0000-0000-00000CA80000}"/>
    <cellStyle name="输出 2 9 4 2 4" xfId="31137" xr:uid="{00000000-0005-0000-0000-0000D1790000}"/>
    <cellStyle name="输出 2 9 4 2 4 2" xfId="42973" xr:uid="{00000000-0005-0000-0000-00000DA80000}"/>
    <cellStyle name="输出 2 9 4 2 5" xfId="42974" xr:uid="{00000000-0005-0000-0000-00000EA80000}"/>
    <cellStyle name="输出 2 9 4 2 5 2" xfId="42975" xr:uid="{00000000-0005-0000-0000-00000FA80000}"/>
    <cellStyle name="输出 2 9 4 2 6" xfId="31147" xr:uid="{00000000-0005-0000-0000-0000DB790000}"/>
    <cellStyle name="输出 2 9 4 2 7" xfId="42976" xr:uid="{00000000-0005-0000-0000-000010A80000}"/>
    <cellStyle name="输出 2 9 4 2 8" xfId="42977" xr:uid="{00000000-0005-0000-0000-000011A80000}"/>
    <cellStyle name="输出 2 9 4 2 9" xfId="42978" xr:uid="{00000000-0005-0000-0000-000012A80000}"/>
    <cellStyle name="输出 2 9 4 3" xfId="42979" xr:uid="{00000000-0005-0000-0000-000013A80000}"/>
    <cellStyle name="输出 2 9 4 3 2" xfId="42980" xr:uid="{00000000-0005-0000-0000-000014A80000}"/>
    <cellStyle name="输出 2 9 4 3 2 2" xfId="42981" xr:uid="{00000000-0005-0000-0000-000015A80000}"/>
    <cellStyle name="输出 2 9 4 3 3" xfId="42982" xr:uid="{00000000-0005-0000-0000-000016A80000}"/>
    <cellStyle name="输出 2 9 4 3 3 2" xfId="27239" xr:uid="{00000000-0005-0000-0000-0000976A0000}"/>
    <cellStyle name="输出 2 9 4 3 4" xfId="42983" xr:uid="{00000000-0005-0000-0000-000017A80000}"/>
    <cellStyle name="输出 2 9 4 3 4 2" xfId="27271" xr:uid="{00000000-0005-0000-0000-0000B76A0000}"/>
    <cellStyle name="输出 2 9 4 3 5" xfId="1588" xr:uid="{00000000-0005-0000-0000-000064060000}"/>
    <cellStyle name="输出 2 9 4 3 5 2" xfId="6875" xr:uid="{00000000-0005-0000-0000-00000B1B0000}"/>
    <cellStyle name="输出 2 9 4 3 6" xfId="36621" xr:uid="{00000000-0005-0000-0000-00003D8F0000}"/>
    <cellStyle name="输出 2 9 4 4" xfId="42984" xr:uid="{00000000-0005-0000-0000-000018A80000}"/>
    <cellStyle name="输出 2 9 4 4 2" xfId="42985" xr:uid="{00000000-0005-0000-0000-000019A80000}"/>
    <cellStyle name="输出 2 9 4 4 2 2" xfId="42986" xr:uid="{00000000-0005-0000-0000-00001AA80000}"/>
    <cellStyle name="输出 2 9 4 4 3" xfId="42987" xr:uid="{00000000-0005-0000-0000-00001BA80000}"/>
    <cellStyle name="输出 2 9 4 4 3 2" xfId="17034" xr:uid="{00000000-0005-0000-0000-0000BA420000}"/>
    <cellStyle name="输出 2 9 4 4 4" xfId="42988" xr:uid="{00000000-0005-0000-0000-00001CA80000}"/>
    <cellStyle name="输出 2 9 4 4 4 2" xfId="17038" xr:uid="{00000000-0005-0000-0000-0000BE420000}"/>
    <cellStyle name="输出 2 9 4 4 5" xfId="3655" xr:uid="{00000000-0005-0000-0000-0000770E0000}"/>
    <cellStyle name="输出 2 9 4 4 5 2" xfId="28319" xr:uid="{00000000-0005-0000-0000-0000CF6E0000}"/>
    <cellStyle name="输出 2 9 4 4 6" xfId="42989" xr:uid="{00000000-0005-0000-0000-00001DA80000}"/>
    <cellStyle name="输出 2 9 4 5" xfId="42990" xr:uid="{00000000-0005-0000-0000-00001EA80000}"/>
    <cellStyle name="输出 2 9 4 5 2" xfId="42991" xr:uid="{00000000-0005-0000-0000-00001FA80000}"/>
    <cellStyle name="输出 2 9 4 5 2 2" xfId="42992" xr:uid="{00000000-0005-0000-0000-000020A80000}"/>
    <cellStyle name="输出 2 9 4 5 3" xfId="42993" xr:uid="{00000000-0005-0000-0000-000021A80000}"/>
    <cellStyle name="输出 2 9 4 5 3 2" xfId="28446" xr:uid="{00000000-0005-0000-0000-00004E6F0000}"/>
    <cellStyle name="输出 2 9 4 5 4" xfId="42994" xr:uid="{00000000-0005-0000-0000-000022A80000}"/>
    <cellStyle name="输出 2 9 4 5 4 2" xfId="24862" xr:uid="{00000000-0005-0000-0000-00004E610000}"/>
    <cellStyle name="输出 2 9 4 5 5" xfId="11001" xr:uid="{00000000-0005-0000-0000-0000292B0000}"/>
    <cellStyle name="输出 2 9 4 5 5 2" xfId="24925" xr:uid="{00000000-0005-0000-0000-00008D610000}"/>
    <cellStyle name="输出 2 9 4 5 6" xfId="42995" xr:uid="{00000000-0005-0000-0000-000023A80000}"/>
    <cellStyle name="输出 2 9 4 6" xfId="42996" xr:uid="{00000000-0005-0000-0000-000024A80000}"/>
    <cellStyle name="输出 2 9 4 6 2" xfId="42998" xr:uid="{00000000-0005-0000-0000-000026A80000}"/>
    <cellStyle name="输出 2 9 4 6 2 2" xfId="43001" xr:uid="{00000000-0005-0000-0000-000029A80000}"/>
    <cellStyle name="输出 2 9 4 6 3" xfId="36980" xr:uid="{00000000-0005-0000-0000-0000A4900000}"/>
    <cellStyle name="输出 2 9 4 6 3 2" xfId="29701" xr:uid="{00000000-0005-0000-0000-000035740000}"/>
    <cellStyle name="输出 2 9 4 6 4" xfId="43002" xr:uid="{00000000-0005-0000-0000-00002AA80000}"/>
    <cellStyle name="输出 2 9 4 6 4 2" xfId="29859" xr:uid="{00000000-0005-0000-0000-0000D3740000}"/>
    <cellStyle name="输出 2 9 4 6 5" xfId="11016" xr:uid="{00000000-0005-0000-0000-0000382B0000}"/>
    <cellStyle name="输出 2 9 4 6 5 2" xfId="29968" xr:uid="{00000000-0005-0000-0000-000040750000}"/>
    <cellStyle name="输出 2 9 4 6 6" xfId="43003" xr:uid="{00000000-0005-0000-0000-00002BA80000}"/>
    <cellStyle name="输出 2 9 4 7" xfId="43004" xr:uid="{00000000-0005-0000-0000-00002CA80000}"/>
    <cellStyle name="输出 2 9 4 7 2" xfId="40826" xr:uid="{00000000-0005-0000-0000-0000AA9F0000}"/>
    <cellStyle name="输出 2 9 4 7 2 2" xfId="43006" xr:uid="{00000000-0005-0000-0000-00002EA80000}"/>
    <cellStyle name="输出 2 9 4 7 3" xfId="31327" xr:uid="{00000000-0005-0000-0000-00008F7A0000}"/>
    <cellStyle name="输出 2 9 4 7 3 2" xfId="30895" xr:uid="{00000000-0005-0000-0000-0000DF780000}"/>
    <cellStyle name="输出 2 9 4 7 4" xfId="31332" xr:uid="{00000000-0005-0000-0000-0000947A0000}"/>
    <cellStyle name="输出 2 9 4 7 4 2" xfId="31083" xr:uid="{00000000-0005-0000-0000-00009B790000}"/>
    <cellStyle name="输出 2 9 4 7 5" xfId="43007" xr:uid="{00000000-0005-0000-0000-00002FA80000}"/>
    <cellStyle name="输出 2 9 4 7 5 2" xfId="31251" xr:uid="{00000000-0005-0000-0000-0000437A0000}"/>
    <cellStyle name="输出 2 9 4 7 6" xfId="43008" xr:uid="{00000000-0005-0000-0000-000030A80000}"/>
    <cellStyle name="输出 2 9 4 8" xfId="43009" xr:uid="{00000000-0005-0000-0000-000031A80000}"/>
    <cellStyle name="输出 2 9 4 8 2" xfId="43011" xr:uid="{00000000-0005-0000-0000-000033A80000}"/>
    <cellStyle name="输出 2 9 4 8 2 2" xfId="43013" xr:uid="{00000000-0005-0000-0000-000035A80000}"/>
    <cellStyle name="输出 2 9 4 8 3" xfId="39370" xr:uid="{00000000-0005-0000-0000-0000FA990000}"/>
    <cellStyle name="输出 2 9 4 8 3 2" xfId="32242" xr:uid="{00000000-0005-0000-0000-0000227E0000}"/>
    <cellStyle name="输出 2 9 4 8 4" xfId="43014" xr:uid="{00000000-0005-0000-0000-000036A80000}"/>
    <cellStyle name="输出 2 9 4 8 4 2" xfId="32314" xr:uid="{00000000-0005-0000-0000-00006A7E0000}"/>
    <cellStyle name="输出 2 9 4 8 5" xfId="43015" xr:uid="{00000000-0005-0000-0000-000037A80000}"/>
    <cellStyle name="输出 2 9 4 9" xfId="43016" xr:uid="{00000000-0005-0000-0000-000038A80000}"/>
    <cellStyle name="输出 2 9 4 9 2" xfId="43018" xr:uid="{00000000-0005-0000-0000-00003AA80000}"/>
    <cellStyle name="输出 2 9 5" xfId="43019" xr:uid="{00000000-0005-0000-0000-00003BA80000}"/>
    <cellStyle name="输出 2 9 5 10" xfId="43020" xr:uid="{00000000-0005-0000-0000-00003CA80000}"/>
    <cellStyle name="输出 2 9 5 10 2" xfId="43022" xr:uid="{00000000-0005-0000-0000-00003EA80000}"/>
    <cellStyle name="输出 2 9 5 11" xfId="43023" xr:uid="{00000000-0005-0000-0000-00003FA80000}"/>
    <cellStyle name="输出 2 9 5 11 2" xfId="43024" xr:uid="{00000000-0005-0000-0000-000040A80000}"/>
    <cellStyle name="输出 2 9 5 12" xfId="43025" xr:uid="{00000000-0005-0000-0000-000041A80000}"/>
    <cellStyle name="输出 2 9 5 12 2" xfId="43026" xr:uid="{00000000-0005-0000-0000-000042A80000}"/>
    <cellStyle name="输出 2 9 5 13" xfId="43027" xr:uid="{00000000-0005-0000-0000-000043A80000}"/>
    <cellStyle name="输出 2 9 5 14" xfId="40050" xr:uid="{00000000-0005-0000-0000-0000A29C0000}"/>
    <cellStyle name="输出 2 9 5 15" xfId="43028" xr:uid="{00000000-0005-0000-0000-000044A80000}"/>
    <cellStyle name="输出 2 9 5 16" xfId="43029" xr:uid="{00000000-0005-0000-0000-000045A80000}"/>
    <cellStyle name="输出 2 9 5 2" xfId="43030" xr:uid="{00000000-0005-0000-0000-000046A80000}"/>
    <cellStyle name="输出 2 9 5 2 2" xfId="43032" xr:uid="{00000000-0005-0000-0000-000048A80000}"/>
    <cellStyle name="输出 2 9 5 2 2 2" xfId="43033" xr:uid="{00000000-0005-0000-0000-000049A80000}"/>
    <cellStyle name="输出 2 9 5 2 3" xfId="43034" xr:uid="{00000000-0005-0000-0000-00004AA80000}"/>
    <cellStyle name="输出 2 9 5 2 3 2" xfId="43035" xr:uid="{00000000-0005-0000-0000-00004BA80000}"/>
    <cellStyle name="输出 2 9 5 2 4" xfId="43036" xr:uid="{00000000-0005-0000-0000-00004CA80000}"/>
    <cellStyle name="输出 2 9 5 2 4 2" xfId="31803" xr:uid="{00000000-0005-0000-0000-00006B7C0000}"/>
    <cellStyle name="输出 2 9 5 2 5" xfId="43037" xr:uid="{00000000-0005-0000-0000-00004DA80000}"/>
    <cellStyle name="输出 2 9 5 2 5 2" xfId="31810" xr:uid="{00000000-0005-0000-0000-0000727C0000}"/>
    <cellStyle name="输出 2 9 5 2 6" xfId="43038" xr:uid="{00000000-0005-0000-0000-00004EA80000}"/>
    <cellStyle name="输出 2 9 5 2 7" xfId="43039" xr:uid="{00000000-0005-0000-0000-00004FA80000}"/>
    <cellStyle name="输出 2 9 5 2 8" xfId="43040" xr:uid="{00000000-0005-0000-0000-000050A80000}"/>
    <cellStyle name="输出 2 9 5 2 9" xfId="43041" xr:uid="{00000000-0005-0000-0000-000051A80000}"/>
    <cellStyle name="输出 2 9 5 3" xfId="43042" xr:uid="{00000000-0005-0000-0000-000052A80000}"/>
    <cellStyle name="输出 2 9 5 3 2" xfId="43043" xr:uid="{00000000-0005-0000-0000-000053A80000}"/>
    <cellStyle name="输出 2 9 5 3 2 2" xfId="37417" xr:uid="{00000000-0005-0000-0000-000059920000}"/>
    <cellStyle name="输出 2 9 5 3 3" xfId="43044" xr:uid="{00000000-0005-0000-0000-000054A80000}"/>
    <cellStyle name="输出 2 9 5 3 3 2" xfId="43045" xr:uid="{00000000-0005-0000-0000-000055A80000}"/>
    <cellStyle name="输出 2 9 5 3 4" xfId="43046" xr:uid="{00000000-0005-0000-0000-000056A80000}"/>
    <cellStyle name="输出 2 9 5 3 4 2" xfId="36950" xr:uid="{00000000-0005-0000-0000-000086900000}"/>
    <cellStyle name="输出 2 9 5 3 5" xfId="11187" xr:uid="{00000000-0005-0000-0000-0000E32B0000}"/>
    <cellStyle name="输出 2 9 5 3 5 2" xfId="37002" xr:uid="{00000000-0005-0000-0000-0000BA900000}"/>
    <cellStyle name="输出 2 9 5 3 6" xfId="43047" xr:uid="{00000000-0005-0000-0000-000057A80000}"/>
    <cellStyle name="输出 2 9 5 4" xfId="43048" xr:uid="{00000000-0005-0000-0000-000058A80000}"/>
    <cellStyle name="输出 2 9 5 4 2" xfId="19427" xr:uid="{00000000-0005-0000-0000-0000134C0000}"/>
    <cellStyle name="输出 2 9 5 4 2 2" xfId="19430" xr:uid="{00000000-0005-0000-0000-0000164C0000}"/>
    <cellStyle name="输出 2 9 5 4 3" xfId="19434" xr:uid="{00000000-0005-0000-0000-00001A4C0000}"/>
    <cellStyle name="输出 2 9 5 4 3 2" xfId="43049" xr:uid="{00000000-0005-0000-0000-000059A80000}"/>
    <cellStyle name="输出 2 9 5 4 4" xfId="19438" xr:uid="{00000000-0005-0000-0000-00001E4C0000}"/>
    <cellStyle name="输出 2 9 5 4 4 2" xfId="43050" xr:uid="{00000000-0005-0000-0000-00005AA80000}"/>
    <cellStyle name="输出 2 9 5 4 5" xfId="11202" xr:uid="{00000000-0005-0000-0000-0000F22B0000}"/>
    <cellStyle name="输出 2 9 5 4 5 2" xfId="43051" xr:uid="{00000000-0005-0000-0000-00005BA80000}"/>
    <cellStyle name="输出 2 9 5 4 6" xfId="19442" xr:uid="{00000000-0005-0000-0000-0000224C0000}"/>
    <cellStyle name="输出 2 9 5 5" xfId="43052" xr:uid="{00000000-0005-0000-0000-00005CA80000}"/>
    <cellStyle name="输出 2 9 5 5 2" xfId="19456" xr:uid="{00000000-0005-0000-0000-0000304C0000}"/>
    <cellStyle name="输出 2 9 5 5 2 2" xfId="19459" xr:uid="{00000000-0005-0000-0000-0000334C0000}"/>
    <cellStyle name="输出 2 9 5 5 3" xfId="19464" xr:uid="{00000000-0005-0000-0000-0000384C0000}"/>
    <cellStyle name="输出 2 9 5 5 3 2" xfId="43053" xr:uid="{00000000-0005-0000-0000-00005DA80000}"/>
    <cellStyle name="输出 2 9 5 5 4" xfId="43054" xr:uid="{00000000-0005-0000-0000-00005EA80000}"/>
    <cellStyle name="输出 2 9 5 5 4 2" xfId="43055" xr:uid="{00000000-0005-0000-0000-00005FA80000}"/>
    <cellStyle name="输出 2 9 5 5 5" xfId="11217" xr:uid="{00000000-0005-0000-0000-0000012C0000}"/>
    <cellStyle name="输出 2 9 5 5 5 2" xfId="43056" xr:uid="{00000000-0005-0000-0000-000060A80000}"/>
    <cellStyle name="输出 2 9 5 5 6" xfId="43057" xr:uid="{00000000-0005-0000-0000-000061A80000}"/>
    <cellStyle name="输出 2 9 5 6" xfId="43058" xr:uid="{00000000-0005-0000-0000-000062A80000}"/>
    <cellStyle name="输出 2 9 5 6 2" xfId="19495" xr:uid="{00000000-0005-0000-0000-0000574C0000}"/>
    <cellStyle name="输出 2 9 5 6 2 2" xfId="19498" xr:uid="{00000000-0005-0000-0000-00005A4C0000}"/>
    <cellStyle name="输出 2 9 5 6 3" xfId="19509" xr:uid="{00000000-0005-0000-0000-0000654C0000}"/>
    <cellStyle name="输出 2 9 5 6 3 2" xfId="21288" xr:uid="{00000000-0005-0000-0000-000058530000}"/>
    <cellStyle name="输出 2 9 5 6 4" xfId="43059" xr:uid="{00000000-0005-0000-0000-000063A80000}"/>
    <cellStyle name="输出 2 9 5 6 4 2" xfId="21326" xr:uid="{00000000-0005-0000-0000-00007E530000}"/>
    <cellStyle name="输出 2 9 5 6 5" xfId="11231" xr:uid="{00000000-0005-0000-0000-00000F2C0000}"/>
    <cellStyle name="输出 2 9 5 6 5 2" xfId="21350" xr:uid="{00000000-0005-0000-0000-000096530000}"/>
    <cellStyle name="输出 2 9 5 6 6" xfId="43061" xr:uid="{00000000-0005-0000-0000-000065A80000}"/>
    <cellStyle name="输出 2 9 5 7" xfId="43063" xr:uid="{00000000-0005-0000-0000-000067A80000}"/>
    <cellStyle name="输出 2 9 5 7 2" xfId="19529" xr:uid="{00000000-0005-0000-0000-0000794C0000}"/>
    <cellStyle name="输出 2 9 5 7 2 2" xfId="19532" xr:uid="{00000000-0005-0000-0000-00007C4C0000}"/>
    <cellStyle name="输出 2 9 5 7 3" xfId="19536" xr:uid="{00000000-0005-0000-0000-0000804C0000}"/>
    <cellStyle name="输出 2 9 5 7 3 2" xfId="21528" xr:uid="{00000000-0005-0000-0000-000048540000}"/>
    <cellStyle name="输出 2 9 5 7 4" xfId="43064" xr:uid="{00000000-0005-0000-0000-000068A80000}"/>
    <cellStyle name="输出 2 9 5 7 4 2" xfId="8445" xr:uid="{00000000-0005-0000-0000-00002D210000}"/>
    <cellStyle name="输出 2 9 5 7 5" xfId="23919" xr:uid="{00000000-0005-0000-0000-00009F5D0000}"/>
    <cellStyle name="输出 2 9 5 7 5 2" xfId="21542" xr:uid="{00000000-0005-0000-0000-000056540000}"/>
    <cellStyle name="输出 2 9 5 7 6" xfId="43065" xr:uid="{00000000-0005-0000-0000-000069A80000}"/>
    <cellStyle name="输出 2 9 5 8" xfId="43066" xr:uid="{00000000-0005-0000-0000-00006AA80000}"/>
    <cellStyle name="输出 2 9 5 8 2" xfId="6300" xr:uid="{00000000-0005-0000-0000-0000CC180000}"/>
    <cellStyle name="输出 2 9 5 8 2 2" xfId="19552" xr:uid="{00000000-0005-0000-0000-0000904C0000}"/>
    <cellStyle name="输出 2 9 5 8 3" xfId="19560" xr:uid="{00000000-0005-0000-0000-0000984C0000}"/>
    <cellStyle name="输出 2 9 5 8 3 2" xfId="43067" xr:uid="{00000000-0005-0000-0000-00006BA80000}"/>
    <cellStyle name="输出 2 9 5 8 4" xfId="43068" xr:uid="{00000000-0005-0000-0000-00006CA80000}"/>
    <cellStyle name="输出 2 9 5 8 4 2" xfId="43069" xr:uid="{00000000-0005-0000-0000-00006DA80000}"/>
    <cellStyle name="输出 2 9 5 8 5" xfId="23921" xr:uid="{00000000-0005-0000-0000-0000A15D0000}"/>
    <cellStyle name="输出 2 9 5 9" xfId="43070" xr:uid="{00000000-0005-0000-0000-00006EA80000}"/>
    <cellStyle name="输出 2 9 5 9 2" xfId="5484" xr:uid="{00000000-0005-0000-0000-00009C150000}"/>
    <cellStyle name="输出 2 9 6" xfId="43071" xr:uid="{00000000-0005-0000-0000-00006FA80000}"/>
    <cellStyle name="输出 2 9 6 10" xfId="43072" xr:uid="{00000000-0005-0000-0000-000070A80000}"/>
    <cellStyle name="输出 2 9 6 10 2" xfId="43073" xr:uid="{00000000-0005-0000-0000-000071A80000}"/>
    <cellStyle name="输出 2 9 6 11" xfId="43074" xr:uid="{00000000-0005-0000-0000-000072A80000}"/>
    <cellStyle name="输出 2 9 6 11 2" xfId="43075" xr:uid="{00000000-0005-0000-0000-000073A80000}"/>
    <cellStyle name="输出 2 9 6 12" xfId="43076" xr:uid="{00000000-0005-0000-0000-000074A80000}"/>
    <cellStyle name="输出 2 9 6 12 2" xfId="43077" xr:uid="{00000000-0005-0000-0000-000075A80000}"/>
    <cellStyle name="输出 2 9 6 13" xfId="43078" xr:uid="{00000000-0005-0000-0000-000076A80000}"/>
    <cellStyle name="输出 2 9 6 14" xfId="43080" xr:uid="{00000000-0005-0000-0000-000078A80000}"/>
    <cellStyle name="输出 2 9 6 15" xfId="43082" xr:uid="{00000000-0005-0000-0000-00007AA80000}"/>
    <cellStyle name="输出 2 9 6 16" xfId="43083" xr:uid="{00000000-0005-0000-0000-00007BA80000}"/>
    <cellStyle name="输出 2 9 6 2" xfId="43084" xr:uid="{00000000-0005-0000-0000-00007CA80000}"/>
    <cellStyle name="输出 2 9 6 2 2" xfId="43085" xr:uid="{00000000-0005-0000-0000-00007DA80000}"/>
    <cellStyle name="输出 2 9 6 2 2 2" xfId="43086" xr:uid="{00000000-0005-0000-0000-00007EA80000}"/>
    <cellStyle name="输出 2 9 6 2 3" xfId="43088" xr:uid="{00000000-0005-0000-0000-000080A80000}"/>
    <cellStyle name="输出 2 9 6 2 3 2" xfId="11349" xr:uid="{00000000-0005-0000-0000-0000852C0000}"/>
    <cellStyle name="输出 2 9 6 2 4" xfId="43089" xr:uid="{00000000-0005-0000-0000-000081A80000}"/>
    <cellStyle name="输出 2 9 6 2 4 2" xfId="11368" xr:uid="{00000000-0005-0000-0000-0000982C0000}"/>
    <cellStyle name="输出 2 9 6 2 5" xfId="43090" xr:uid="{00000000-0005-0000-0000-000082A80000}"/>
    <cellStyle name="输出 2 9 6 2 5 2" xfId="8821" xr:uid="{00000000-0005-0000-0000-0000A5220000}"/>
    <cellStyle name="输出 2 9 6 2 6" xfId="43091" xr:uid="{00000000-0005-0000-0000-000083A80000}"/>
    <cellStyle name="输出 2 9 6 2 7" xfId="43092" xr:uid="{00000000-0005-0000-0000-000084A80000}"/>
    <cellStyle name="输出 2 9 6 2 8" xfId="43093" xr:uid="{00000000-0005-0000-0000-000085A80000}"/>
    <cellStyle name="输出 2 9 6 2 9" xfId="43094" xr:uid="{00000000-0005-0000-0000-000086A80000}"/>
    <cellStyle name="输出 2 9 6 3" xfId="43096" xr:uid="{00000000-0005-0000-0000-000088A80000}"/>
    <cellStyle name="输出 2 9 6 3 2" xfId="43097" xr:uid="{00000000-0005-0000-0000-000089A80000}"/>
    <cellStyle name="输出 2 9 6 3 2 2" xfId="38074" xr:uid="{00000000-0005-0000-0000-0000EA940000}"/>
    <cellStyle name="输出 2 9 6 3 3" xfId="43098" xr:uid="{00000000-0005-0000-0000-00008AA80000}"/>
    <cellStyle name="输出 2 9 6 3 3 2" xfId="14211" xr:uid="{00000000-0005-0000-0000-0000B3370000}"/>
    <cellStyle name="输出 2 9 6 3 4" xfId="43099" xr:uid="{00000000-0005-0000-0000-00008BA80000}"/>
    <cellStyle name="输出 2 9 6 3 4 2" xfId="4714" xr:uid="{00000000-0005-0000-0000-00009A120000}"/>
    <cellStyle name="输出 2 9 6 3 5" xfId="11428" xr:uid="{00000000-0005-0000-0000-0000D42C0000}"/>
    <cellStyle name="输出 2 9 6 3 5 2" xfId="14520" xr:uid="{00000000-0005-0000-0000-0000E8380000}"/>
    <cellStyle name="输出 2 9 6 3 6" xfId="43100" xr:uid="{00000000-0005-0000-0000-00008CA80000}"/>
    <cellStyle name="输出 2 9 6 4" xfId="43101" xr:uid="{00000000-0005-0000-0000-00008DA80000}"/>
    <cellStyle name="输出 2 9 6 4 2" xfId="16335" xr:uid="{00000000-0005-0000-0000-0000FF3F0000}"/>
    <cellStyle name="输出 2 9 6 4 2 2" xfId="19622" xr:uid="{00000000-0005-0000-0000-0000D64C0000}"/>
    <cellStyle name="输出 2 9 6 4 3" xfId="19624" xr:uid="{00000000-0005-0000-0000-0000D84C0000}"/>
    <cellStyle name="输出 2 9 6 4 3 2" xfId="15237" xr:uid="{00000000-0005-0000-0000-0000B53B0000}"/>
    <cellStyle name="输出 2 9 6 4 4" xfId="19626" xr:uid="{00000000-0005-0000-0000-0000DA4C0000}"/>
    <cellStyle name="输出 2 9 6 4 4 2" xfId="16262" xr:uid="{00000000-0005-0000-0000-0000B63F0000}"/>
    <cellStyle name="输出 2 9 6 4 5" xfId="11454" xr:uid="{00000000-0005-0000-0000-0000EE2C0000}"/>
    <cellStyle name="输出 2 9 6 4 5 2" xfId="16392" xr:uid="{00000000-0005-0000-0000-000038400000}"/>
    <cellStyle name="输出 2 9 6 4 6" xfId="19628" xr:uid="{00000000-0005-0000-0000-0000DC4C0000}"/>
    <cellStyle name="输出 2 9 6 5" xfId="43102" xr:uid="{00000000-0005-0000-0000-00008EA80000}"/>
    <cellStyle name="输出 2 9 6 5 2" xfId="16338" xr:uid="{00000000-0005-0000-0000-000002400000}"/>
    <cellStyle name="输出 2 9 6 5 2 2" xfId="19361" xr:uid="{00000000-0005-0000-0000-0000D14B0000}"/>
    <cellStyle name="输出 2 9 6 5 3" xfId="19635" xr:uid="{00000000-0005-0000-0000-0000E34C0000}"/>
    <cellStyle name="输出 2 9 6 5 3 2" xfId="17684" xr:uid="{00000000-0005-0000-0000-000044450000}"/>
    <cellStyle name="输出 2 9 6 5 4" xfId="43104" xr:uid="{00000000-0005-0000-0000-000090A80000}"/>
    <cellStyle name="输出 2 9 6 5 4 2" xfId="17867" xr:uid="{00000000-0005-0000-0000-0000FB450000}"/>
    <cellStyle name="输出 2 9 6 5 5" xfId="11471" xr:uid="{00000000-0005-0000-0000-0000FF2C0000}"/>
    <cellStyle name="输出 2 9 6 5 5 2" xfId="18049" xr:uid="{00000000-0005-0000-0000-0000B1460000}"/>
    <cellStyle name="输出 2 9 6 5 6" xfId="43105" xr:uid="{00000000-0005-0000-0000-000091A80000}"/>
    <cellStyle name="输出 2 9 6 6" xfId="43106" xr:uid="{00000000-0005-0000-0000-000092A80000}"/>
    <cellStyle name="输出 2 9 6 6 2" xfId="19657" xr:uid="{00000000-0005-0000-0000-0000F94C0000}"/>
    <cellStyle name="输出 2 9 6 6 2 2" xfId="19659" xr:uid="{00000000-0005-0000-0000-0000FB4C0000}"/>
    <cellStyle name="输出 2 9 6 6 3" xfId="19662" xr:uid="{00000000-0005-0000-0000-0000FE4C0000}"/>
    <cellStyle name="输出 2 9 6 6 3 2" xfId="19512" xr:uid="{00000000-0005-0000-0000-0000684C0000}"/>
    <cellStyle name="输出 2 9 6 6 4" xfId="43107" xr:uid="{00000000-0005-0000-0000-000093A80000}"/>
    <cellStyle name="输出 2 9 6 6 4 2" xfId="19666" xr:uid="{00000000-0005-0000-0000-0000024D0000}"/>
    <cellStyle name="输出 2 9 6 6 5" xfId="11491" xr:uid="{00000000-0005-0000-0000-0000132D0000}"/>
    <cellStyle name="输出 2 9 6 6 5 2" xfId="19795" xr:uid="{00000000-0005-0000-0000-0000834D0000}"/>
    <cellStyle name="输出 2 9 6 6 6" xfId="30028" xr:uid="{00000000-0005-0000-0000-00007C750000}"/>
    <cellStyle name="输出 2 9 6 7" xfId="31515" xr:uid="{00000000-0005-0000-0000-00004B7B0000}"/>
    <cellStyle name="输出 2 9 6 7 2" xfId="19673" xr:uid="{00000000-0005-0000-0000-0000094D0000}"/>
    <cellStyle name="输出 2 9 6 7 2 2" xfId="19675" xr:uid="{00000000-0005-0000-0000-00000B4D0000}"/>
    <cellStyle name="输出 2 9 6 7 3" xfId="19677" xr:uid="{00000000-0005-0000-0000-00000D4D0000}"/>
    <cellStyle name="输出 2 9 6 7 3 2" xfId="20460" xr:uid="{00000000-0005-0000-0000-00001C500000}"/>
    <cellStyle name="输出 2 9 6 7 4" xfId="43109" xr:uid="{00000000-0005-0000-0000-000095A80000}"/>
    <cellStyle name="输出 2 9 6 7 4 2" xfId="20611" xr:uid="{00000000-0005-0000-0000-0000B3500000}"/>
    <cellStyle name="输出 2 9 6 7 5" xfId="43110" xr:uid="{00000000-0005-0000-0000-000096A80000}"/>
    <cellStyle name="输出 2 9 6 7 5 2" xfId="20752" xr:uid="{00000000-0005-0000-0000-000040510000}"/>
    <cellStyle name="输出 2 9 6 7 6" xfId="30032" xr:uid="{00000000-0005-0000-0000-000080750000}"/>
    <cellStyle name="输出 2 9 6 8" xfId="43111" xr:uid="{00000000-0005-0000-0000-000097A80000}"/>
    <cellStyle name="输出 2 9 6 8 2" xfId="2366" xr:uid="{00000000-0005-0000-0000-00006E090000}"/>
    <cellStyle name="输出 2 9 6 8 2 2" xfId="19691" xr:uid="{00000000-0005-0000-0000-00001B4D0000}"/>
    <cellStyle name="输出 2 9 6 8 3" xfId="19696" xr:uid="{00000000-0005-0000-0000-0000204D0000}"/>
    <cellStyle name="输出 2 9 6 8 3 2" xfId="21817" xr:uid="{00000000-0005-0000-0000-000069550000}"/>
    <cellStyle name="输出 2 9 6 8 4" xfId="43112" xr:uid="{00000000-0005-0000-0000-000098A80000}"/>
    <cellStyle name="输出 2 9 6 8 4 2" xfId="21918" xr:uid="{00000000-0005-0000-0000-0000CE550000}"/>
    <cellStyle name="输出 2 9 6 8 5" xfId="43113" xr:uid="{00000000-0005-0000-0000-000099A80000}"/>
    <cellStyle name="输出 2 9 6 9" xfId="43114" xr:uid="{00000000-0005-0000-0000-00009AA80000}"/>
    <cellStyle name="输出 2 9 6 9 2" xfId="2037" xr:uid="{00000000-0005-0000-0000-000025080000}"/>
    <cellStyle name="输出 2 9 7" xfId="43115" xr:uid="{00000000-0005-0000-0000-00009BA80000}"/>
    <cellStyle name="输出 2 9 7 10" xfId="43117" xr:uid="{00000000-0005-0000-0000-00009DA80000}"/>
    <cellStyle name="输出 2 9 7 10 2" xfId="43118" xr:uid="{00000000-0005-0000-0000-00009EA80000}"/>
    <cellStyle name="输出 2 9 7 11" xfId="43120" xr:uid="{00000000-0005-0000-0000-0000A0A80000}"/>
    <cellStyle name="输出 2 9 7 11 2" xfId="43121" xr:uid="{00000000-0005-0000-0000-0000A1A80000}"/>
    <cellStyle name="输出 2 9 7 12" xfId="43123" xr:uid="{00000000-0005-0000-0000-0000A3A80000}"/>
    <cellStyle name="输出 2 9 7 12 2" xfId="43125" xr:uid="{00000000-0005-0000-0000-0000A5A80000}"/>
    <cellStyle name="输出 2 9 7 13" xfId="43127" xr:uid="{00000000-0005-0000-0000-0000A7A80000}"/>
    <cellStyle name="输出 2 9 7 14" xfId="43128" xr:uid="{00000000-0005-0000-0000-0000A8A80000}"/>
    <cellStyle name="输出 2 9 7 15" xfId="43129" xr:uid="{00000000-0005-0000-0000-0000A9A80000}"/>
    <cellStyle name="输出 2 9 7 16" xfId="43130" xr:uid="{00000000-0005-0000-0000-0000AAA80000}"/>
    <cellStyle name="输出 2 9 7 2" xfId="43131" xr:uid="{00000000-0005-0000-0000-0000ABA80000}"/>
    <cellStyle name="输出 2 9 7 2 2" xfId="43133" xr:uid="{00000000-0005-0000-0000-0000ADA80000}"/>
    <cellStyle name="输出 2 9 7 2 2 2" xfId="43134" xr:uid="{00000000-0005-0000-0000-0000AEA80000}"/>
    <cellStyle name="输出 2 9 7 2 3" xfId="43135" xr:uid="{00000000-0005-0000-0000-0000AFA80000}"/>
    <cellStyle name="输出 2 9 7 2 3 2" xfId="43136" xr:uid="{00000000-0005-0000-0000-0000B0A80000}"/>
    <cellStyle name="输出 2 9 7 2 4" xfId="43137" xr:uid="{00000000-0005-0000-0000-0000B1A80000}"/>
    <cellStyle name="输出 2 9 7 2 4 2" xfId="43138" xr:uid="{00000000-0005-0000-0000-0000B2A80000}"/>
    <cellStyle name="输出 2 9 7 2 5" xfId="43139" xr:uid="{00000000-0005-0000-0000-0000B3A80000}"/>
    <cellStyle name="输出 2 9 7 2 5 2" xfId="43140" xr:uid="{00000000-0005-0000-0000-0000B4A80000}"/>
    <cellStyle name="输出 2 9 7 2 6" xfId="43141" xr:uid="{00000000-0005-0000-0000-0000B5A80000}"/>
    <cellStyle name="输出 2 9 7 2 7" xfId="43142" xr:uid="{00000000-0005-0000-0000-0000B6A80000}"/>
    <cellStyle name="输出 2 9 7 2 8" xfId="43143" xr:uid="{00000000-0005-0000-0000-0000B7A80000}"/>
    <cellStyle name="输出 2 9 7 2 9" xfId="43144" xr:uid="{00000000-0005-0000-0000-0000B8A80000}"/>
    <cellStyle name="输出 2 9 7 3" xfId="43146" xr:uid="{00000000-0005-0000-0000-0000BAA80000}"/>
    <cellStyle name="输出 2 9 7 3 2" xfId="43147" xr:uid="{00000000-0005-0000-0000-0000BBA80000}"/>
    <cellStyle name="输出 2 9 7 3 2 2" xfId="43148" xr:uid="{00000000-0005-0000-0000-0000BCA80000}"/>
    <cellStyle name="输出 2 9 7 3 3" xfId="43149" xr:uid="{00000000-0005-0000-0000-0000BDA80000}"/>
    <cellStyle name="输出 2 9 7 3 3 2" xfId="43150" xr:uid="{00000000-0005-0000-0000-0000BEA80000}"/>
    <cellStyle name="输出 2 9 7 3 4" xfId="43151" xr:uid="{00000000-0005-0000-0000-0000BFA80000}"/>
    <cellStyle name="输出 2 9 7 3 4 2" xfId="43152" xr:uid="{00000000-0005-0000-0000-0000C0A80000}"/>
    <cellStyle name="输出 2 9 7 3 5" xfId="11766" xr:uid="{00000000-0005-0000-0000-0000262E0000}"/>
    <cellStyle name="输出 2 9 7 3 5 2" xfId="43153" xr:uid="{00000000-0005-0000-0000-0000C1A80000}"/>
    <cellStyle name="输出 2 9 7 3 6" xfId="43154" xr:uid="{00000000-0005-0000-0000-0000C2A80000}"/>
    <cellStyle name="输出 2 9 7 4" xfId="43156" xr:uid="{00000000-0005-0000-0000-0000C4A80000}"/>
    <cellStyle name="输出 2 9 7 4 2" xfId="16358" xr:uid="{00000000-0005-0000-0000-000016400000}"/>
    <cellStyle name="输出 2 9 7 4 2 2" xfId="1249" xr:uid="{00000000-0005-0000-0000-000011050000}"/>
    <cellStyle name="输出 2 9 7 4 3" xfId="19759" xr:uid="{00000000-0005-0000-0000-00005F4D0000}"/>
    <cellStyle name="输出 2 9 7 4 3 2" xfId="43157" xr:uid="{00000000-0005-0000-0000-0000C5A80000}"/>
    <cellStyle name="输出 2 9 7 4 4" xfId="19761" xr:uid="{00000000-0005-0000-0000-0000614D0000}"/>
    <cellStyle name="输出 2 9 7 4 4 2" xfId="43158" xr:uid="{00000000-0005-0000-0000-0000C6A80000}"/>
    <cellStyle name="输出 2 9 7 4 5" xfId="11772" xr:uid="{00000000-0005-0000-0000-00002C2E0000}"/>
    <cellStyle name="输出 2 9 7 4 5 2" xfId="43159" xr:uid="{00000000-0005-0000-0000-0000C7A80000}"/>
    <cellStyle name="输出 2 9 7 4 6" xfId="19764" xr:uid="{00000000-0005-0000-0000-0000644D0000}"/>
    <cellStyle name="输出 2 9 7 5" xfId="43160" xr:uid="{00000000-0005-0000-0000-0000C8A80000}"/>
    <cellStyle name="输出 2 9 7 5 2" xfId="16361" xr:uid="{00000000-0005-0000-0000-000019400000}"/>
    <cellStyle name="输出 2 9 7 5 2 2" xfId="12694" xr:uid="{00000000-0005-0000-0000-0000C6310000}"/>
    <cellStyle name="输出 2 9 7 5 3" xfId="19772" xr:uid="{00000000-0005-0000-0000-00006C4D0000}"/>
    <cellStyle name="输出 2 9 7 5 3 2" xfId="43162" xr:uid="{00000000-0005-0000-0000-0000CAA80000}"/>
    <cellStyle name="输出 2 9 7 5 4" xfId="43163" xr:uid="{00000000-0005-0000-0000-0000CBA80000}"/>
    <cellStyle name="输出 2 9 7 5 4 2" xfId="43164" xr:uid="{00000000-0005-0000-0000-0000CCA80000}"/>
    <cellStyle name="输出 2 9 7 5 5" xfId="11782" xr:uid="{00000000-0005-0000-0000-0000362E0000}"/>
    <cellStyle name="输出 2 9 7 5 5 2" xfId="43165" xr:uid="{00000000-0005-0000-0000-0000CDA80000}"/>
    <cellStyle name="输出 2 9 7 5 6" xfId="43166" xr:uid="{00000000-0005-0000-0000-0000CEA80000}"/>
    <cellStyle name="输出 2 9 7 6" xfId="43168" xr:uid="{00000000-0005-0000-0000-0000D0A80000}"/>
    <cellStyle name="输出 2 9 7 6 2" xfId="19789" xr:uid="{00000000-0005-0000-0000-00007D4D0000}"/>
    <cellStyle name="输出 2 9 7 6 2 2" xfId="12734" xr:uid="{00000000-0005-0000-0000-0000EE310000}"/>
    <cellStyle name="输出 2 9 7 6 3" xfId="19791" xr:uid="{00000000-0005-0000-0000-00007F4D0000}"/>
    <cellStyle name="输出 2 9 7 6 3 2" xfId="43169" xr:uid="{00000000-0005-0000-0000-0000D1A80000}"/>
    <cellStyle name="输出 2 9 7 6 4" xfId="43170" xr:uid="{00000000-0005-0000-0000-0000D2A80000}"/>
    <cellStyle name="输出 2 9 7 6 4 2" xfId="43171" xr:uid="{00000000-0005-0000-0000-0000D3A80000}"/>
    <cellStyle name="输出 2 9 7 6 5" xfId="11784" xr:uid="{00000000-0005-0000-0000-0000382E0000}"/>
    <cellStyle name="输出 2 9 7 6 5 2" xfId="43172" xr:uid="{00000000-0005-0000-0000-0000D4A80000}"/>
    <cellStyle name="输出 2 9 7 6 6" xfId="30060" xr:uid="{00000000-0005-0000-0000-00009C750000}"/>
    <cellStyle name="输出 2 9 7 7" xfId="31518" xr:uid="{00000000-0005-0000-0000-00004E7B0000}"/>
    <cellStyle name="输出 2 9 7 7 2" xfId="19801" xr:uid="{00000000-0005-0000-0000-0000894D0000}"/>
    <cellStyle name="输出 2 9 7 7 2 2" xfId="2009" xr:uid="{00000000-0005-0000-0000-000009080000}"/>
    <cellStyle name="输出 2 9 7 7 3" xfId="19803" xr:uid="{00000000-0005-0000-0000-00008B4D0000}"/>
    <cellStyle name="输出 2 9 7 7 3 2" xfId="43173" xr:uid="{00000000-0005-0000-0000-0000D5A80000}"/>
    <cellStyle name="输出 2 9 7 7 4" xfId="43174" xr:uid="{00000000-0005-0000-0000-0000D6A80000}"/>
    <cellStyle name="输出 2 9 7 7 4 2" xfId="43175" xr:uid="{00000000-0005-0000-0000-0000D7A80000}"/>
    <cellStyle name="输出 2 9 7 7 5" xfId="43176" xr:uid="{00000000-0005-0000-0000-0000D8A80000}"/>
    <cellStyle name="输出 2 9 7 7 5 2" xfId="43177" xr:uid="{00000000-0005-0000-0000-0000D9A80000}"/>
    <cellStyle name="输出 2 9 7 7 6" xfId="30064" xr:uid="{00000000-0005-0000-0000-0000A0750000}"/>
    <cellStyle name="输出 2 9 7 8" xfId="43178" xr:uid="{00000000-0005-0000-0000-0000DAA80000}"/>
    <cellStyle name="输出 2 9 7 8 2" xfId="6392" xr:uid="{00000000-0005-0000-0000-000028190000}"/>
    <cellStyle name="输出 2 9 7 8 2 2" xfId="6765" xr:uid="{00000000-0005-0000-0000-00009D1A0000}"/>
    <cellStyle name="输出 2 9 7 8 3" xfId="19814" xr:uid="{00000000-0005-0000-0000-0000964D0000}"/>
    <cellStyle name="输出 2 9 7 8 3 2" xfId="43179" xr:uid="{00000000-0005-0000-0000-0000DBA80000}"/>
    <cellStyle name="输出 2 9 7 8 4" xfId="43180" xr:uid="{00000000-0005-0000-0000-0000DCA80000}"/>
    <cellStyle name="输出 2 9 7 8 4 2" xfId="43181" xr:uid="{00000000-0005-0000-0000-0000DDA80000}"/>
    <cellStyle name="输出 2 9 7 8 5" xfId="43182" xr:uid="{00000000-0005-0000-0000-0000DEA80000}"/>
    <cellStyle name="输出 2 9 7 9" xfId="43183" xr:uid="{00000000-0005-0000-0000-0000DFA80000}"/>
    <cellStyle name="输出 2 9 7 9 2" xfId="6417" xr:uid="{00000000-0005-0000-0000-000041190000}"/>
    <cellStyle name="输出 2 9 8" xfId="43184" xr:uid="{00000000-0005-0000-0000-0000E0A80000}"/>
    <cellStyle name="输出 2 9 8 10" xfId="43186" xr:uid="{00000000-0005-0000-0000-0000E2A80000}"/>
    <cellStyle name="输出 2 9 8 10 2" xfId="43187" xr:uid="{00000000-0005-0000-0000-0000E3A80000}"/>
    <cellStyle name="输出 2 9 8 11" xfId="43188" xr:uid="{00000000-0005-0000-0000-0000E4A80000}"/>
    <cellStyle name="输出 2 9 8 11 2" xfId="43189" xr:uid="{00000000-0005-0000-0000-0000E5A80000}"/>
    <cellStyle name="输出 2 9 8 12" xfId="43190" xr:uid="{00000000-0005-0000-0000-0000E6A80000}"/>
    <cellStyle name="输出 2 9 8 12 2" xfId="43191" xr:uid="{00000000-0005-0000-0000-0000E7A80000}"/>
    <cellStyle name="输出 2 9 8 13" xfId="43192" xr:uid="{00000000-0005-0000-0000-0000E8A80000}"/>
    <cellStyle name="输出 2 9 8 14" xfId="43193" xr:uid="{00000000-0005-0000-0000-0000E9A80000}"/>
    <cellStyle name="输出 2 9 8 15" xfId="43194" xr:uid="{00000000-0005-0000-0000-0000EAA80000}"/>
    <cellStyle name="输出 2 9 8 16" xfId="43195" xr:uid="{00000000-0005-0000-0000-0000EBA80000}"/>
    <cellStyle name="输出 2 9 8 2" xfId="43196" xr:uid="{00000000-0005-0000-0000-0000ECA80000}"/>
    <cellStyle name="输出 2 9 8 2 2" xfId="40956" xr:uid="{00000000-0005-0000-0000-00002CA00000}"/>
    <cellStyle name="输出 2 9 8 2 2 2" xfId="43198" xr:uid="{00000000-0005-0000-0000-0000EEA80000}"/>
    <cellStyle name="输出 2 9 8 2 3" xfId="40958" xr:uid="{00000000-0005-0000-0000-00002EA00000}"/>
    <cellStyle name="输出 2 9 8 2 3 2" xfId="43199" xr:uid="{00000000-0005-0000-0000-0000EFA80000}"/>
    <cellStyle name="输出 2 9 8 2 4" xfId="13720" xr:uid="{00000000-0005-0000-0000-0000C8350000}"/>
    <cellStyle name="输出 2 9 8 2 4 2" xfId="40932" xr:uid="{00000000-0005-0000-0000-000014A00000}"/>
    <cellStyle name="输出 2 9 8 2 5" xfId="20565" xr:uid="{00000000-0005-0000-0000-000085500000}"/>
    <cellStyle name="输出 2 9 8 2 5 2" xfId="23666" xr:uid="{00000000-0005-0000-0000-0000A25C0000}"/>
    <cellStyle name="输出 2 9 8 2 6" xfId="21521" xr:uid="{00000000-0005-0000-0000-000041540000}"/>
    <cellStyle name="输出 2 9 8 2 7" xfId="23669" xr:uid="{00000000-0005-0000-0000-0000A55C0000}"/>
    <cellStyle name="输出 2 9 8 2 8" xfId="23671" xr:uid="{00000000-0005-0000-0000-0000A75C0000}"/>
    <cellStyle name="输出 2 9 8 2 9" xfId="23675" xr:uid="{00000000-0005-0000-0000-0000AB5C0000}"/>
    <cellStyle name="输出 2 9 8 3" xfId="43200" xr:uid="{00000000-0005-0000-0000-0000F0A80000}"/>
    <cellStyle name="输出 2 9 8 3 2" xfId="43201" xr:uid="{00000000-0005-0000-0000-0000F1A80000}"/>
    <cellStyle name="输出 2 9 8 3 2 2" xfId="43202" xr:uid="{00000000-0005-0000-0000-0000F2A80000}"/>
    <cellStyle name="输出 2 9 8 3 3" xfId="43203" xr:uid="{00000000-0005-0000-0000-0000F3A80000}"/>
    <cellStyle name="输出 2 9 8 3 3 2" xfId="43204" xr:uid="{00000000-0005-0000-0000-0000F4A80000}"/>
    <cellStyle name="输出 2 9 8 3 4" xfId="13726" xr:uid="{00000000-0005-0000-0000-0000CE350000}"/>
    <cellStyle name="输出 2 9 8 3 4 2" xfId="32267" xr:uid="{00000000-0005-0000-0000-00003B7E0000}"/>
    <cellStyle name="输出 2 9 8 3 5" xfId="11792" xr:uid="{00000000-0005-0000-0000-0000402E0000}"/>
    <cellStyle name="输出 2 9 8 3 5 2" xfId="14223" xr:uid="{00000000-0005-0000-0000-0000BF370000}"/>
    <cellStyle name="输出 2 9 8 3 6" xfId="21524" xr:uid="{00000000-0005-0000-0000-000044540000}"/>
    <cellStyle name="输出 2 9 8 4" xfId="43205" xr:uid="{00000000-0005-0000-0000-0000F5A80000}"/>
    <cellStyle name="输出 2 9 8 4 2" xfId="16381" xr:uid="{00000000-0005-0000-0000-00002D400000}"/>
    <cellStyle name="输出 2 9 8 4 2 2" xfId="2861" xr:uid="{00000000-0005-0000-0000-00005D0B0000}"/>
    <cellStyle name="输出 2 9 8 4 3" xfId="17950" xr:uid="{00000000-0005-0000-0000-00004E460000}"/>
    <cellStyle name="输出 2 9 8 4 3 2" xfId="43206" xr:uid="{00000000-0005-0000-0000-0000F6A80000}"/>
    <cellStyle name="输出 2 9 8 4 4" xfId="13733" xr:uid="{00000000-0005-0000-0000-0000D5350000}"/>
    <cellStyle name="输出 2 9 8 4 4 2" xfId="43207" xr:uid="{00000000-0005-0000-0000-0000F7A80000}"/>
    <cellStyle name="输出 2 9 8 4 5" xfId="11801" xr:uid="{00000000-0005-0000-0000-0000492E0000}"/>
    <cellStyle name="输出 2 9 8 4 5 2" xfId="14372" xr:uid="{00000000-0005-0000-0000-000054380000}"/>
    <cellStyle name="输出 2 9 8 4 6" xfId="17952" xr:uid="{00000000-0005-0000-0000-000050460000}"/>
    <cellStyle name="输出 2 9 8 5" xfId="43208" xr:uid="{00000000-0005-0000-0000-0000F8A80000}"/>
    <cellStyle name="输出 2 9 8 5 2" xfId="10462" xr:uid="{00000000-0005-0000-0000-00000E290000}"/>
    <cellStyle name="输出 2 9 8 5 2 2" xfId="10473" xr:uid="{00000000-0005-0000-0000-000019290000}"/>
    <cellStyle name="输出 2 9 8 5 3" xfId="10478" xr:uid="{00000000-0005-0000-0000-00001E290000}"/>
    <cellStyle name="输出 2 9 8 5 3 2" xfId="43210" xr:uid="{00000000-0005-0000-0000-0000FAA80000}"/>
    <cellStyle name="输出 2 9 8 5 4" xfId="10482" xr:uid="{00000000-0005-0000-0000-000022290000}"/>
    <cellStyle name="输出 2 9 8 5 4 2" xfId="43211" xr:uid="{00000000-0005-0000-0000-0000FBA80000}"/>
    <cellStyle name="输出 2 9 8 5 5" xfId="4922" xr:uid="{00000000-0005-0000-0000-00006A130000}"/>
    <cellStyle name="输出 2 9 8 5 5 2" xfId="14533" xr:uid="{00000000-0005-0000-0000-0000F5380000}"/>
    <cellStyle name="输出 2 9 8 5 6" xfId="8389" xr:uid="{00000000-0005-0000-0000-0000F5200000}"/>
    <cellStyle name="输出 2 9 8 6" xfId="43212" xr:uid="{00000000-0005-0000-0000-0000FCA80000}"/>
    <cellStyle name="输出 2 9 8 6 2" xfId="19864" xr:uid="{00000000-0005-0000-0000-0000C84D0000}"/>
    <cellStyle name="输出 2 9 8 6 2 2" xfId="14665" xr:uid="{00000000-0005-0000-0000-000079390000}"/>
    <cellStyle name="输出 2 9 8 6 3" xfId="19866" xr:uid="{00000000-0005-0000-0000-0000CA4D0000}"/>
    <cellStyle name="输出 2 9 8 6 3 2" xfId="43213" xr:uid="{00000000-0005-0000-0000-0000FDA80000}"/>
    <cellStyle name="输出 2 9 8 6 4" xfId="43214" xr:uid="{00000000-0005-0000-0000-0000FEA80000}"/>
    <cellStyle name="输出 2 9 8 6 4 2" xfId="43215" xr:uid="{00000000-0005-0000-0000-0000FFA80000}"/>
    <cellStyle name="输出 2 9 8 6 5" xfId="4953" xr:uid="{00000000-0005-0000-0000-000089130000}"/>
    <cellStyle name="输出 2 9 8 6 5 2" xfId="43216" xr:uid="{00000000-0005-0000-0000-000000A90000}"/>
    <cellStyle name="输出 2 9 8 6 6" xfId="30088" xr:uid="{00000000-0005-0000-0000-0000B8750000}"/>
    <cellStyle name="输出 2 9 8 7" xfId="31521" xr:uid="{00000000-0005-0000-0000-0000517B0000}"/>
    <cellStyle name="输出 2 9 8 7 2" xfId="19882" xr:uid="{00000000-0005-0000-0000-0000DA4D0000}"/>
    <cellStyle name="输出 2 9 8 7 2 2" xfId="14810" xr:uid="{00000000-0005-0000-0000-00000A3A0000}"/>
    <cellStyle name="输出 2 9 8 7 3" xfId="19885" xr:uid="{00000000-0005-0000-0000-0000DD4D0000}"/>
    <cellStyle name="输出 2 9 8 7 3 2" xfId="43217" xr:uid="{00000000-0005-0000-0000-000001A90000}"/>
    <cellStyle name="输出 2 9 8 7 4" xfId="40974" xr:uid="{00000000-0005-0000-0000-00003EA00000}"/>
    <cellStyle name="输出 2 9 8 7 4 2" xfId="11842" xr:uid="{00000000-0005-0000-0000-0000722E0000}"/>
    <cellStyle name="输出 2 9 8 7 5" xfId="43218" xr:uid="{00000000-0005-0000-0000-000002A90000}"/>
    <cellStyle name="输出 2 9 8 7 5 2" xfId="43219" xr:uid="{00000000-0005-0000-0000-000003A90000}"/>
    <cellStyle name="输出 2 9 8 7 6" xfId="30093" xr:uid="{00000000-0005-0000-0000-0000BD750000}"/>
    <cellStyle name="输出 2 9 8 8" xfId="43220" xr:uid="{00000000-0005-0000-0000-000004A90000}"/>
    <cellStyle name="输出 2 9 8 8 2" xfId="6451" xr:uid="{00000000-0005-0000-0000-000063190000}"/>
    <cellStyle name="输出 2 9 8 8 2 2" xfId="14952" xr:uid="{00000000-0005-0000-0000-0000983A0000}"/>
    <cellStyle name="输出 2 9 8 8 3" xfId="19906" xr:uid="{00000000-0005-0000-0000-0000F24D0000}"/>
    <cellStyle name="输出 2 9 8 8 3 2" xfId="43221" xr:uid="{00000000-0005-0000-0000-000005A90000}"/>
    <cellStyle name="输出 2 9 8 8 4" xfId="43222" xr:uid="{00000000-0005-0000-0000-000006A90000}"/>
    <cellStyle name="输出 2 9 8 8 4 2" xfId="33053" xr:uid="{00000000-0005-0000-0000-00004D810000}"/>
    <cellStyle name="输出 2 9 8 8 5" xfId="43223" xr:uid="{00000000-0005-0000-0000-000007A90000}"/>
    <cellStyle name="输出 2 9 8 9" xfId="43224" xr:uid="{00000000-0005-0000-0000-000008A90000}"/>
    <cellStyle name="输出 2 9 8 9 2" xfId="6467" xr:uid="{00000000-0005-0000-0000-000073190000}"/>
    <cellStyle name="输出 2 9 9" xfId="43225" xr:uid="{00000000-0005-0000-0000-000009A90000}"/>
    <cellStyle name="输出 2 9 9 10" xfId="24794" xr:uid="{00000000-0005-0000-0000-00000A610000}"/>
    <cellStyle name="输出 2 9 9 10 2" xfId="43227" xr:uid="{00000000-0005-0000-0000-00000BA90000}"/>
    <cellStyle name="输出 2 9 9 11" xfId="43230" xr:uid="{00000000-0005-0000-0000-00000EA90000}"/>
    <cellStyle name="输出 2 9 9 11 2" xfId="43232" xr:uid="{00000000-0005-0000-0000-000010A90000}"/>
    <cellStyle name="输出 2 9 9 12" xfId="43234" xr:uid="{00000000-0005-0000-0000-000012A90000}"/>
    <cellStyle name="输出 2 9 9 12 2" xfId="43236" xr:uid="{00000000-0005-0000-0000-000014A90000}"/>
    <cellStyle name="输出 2 9 9 13" xfId="43239" xr:uid="{00000000-0005-0000-0000-000017A90000}"/>
    <cellStyle name="输出 2 9 9 14" xfId="43241" xr:uid="{00000000-0005-0000-0000-000019A90000}"/>
    <cellStyle name="输出 2 9 9 15" xfId="7041" xr:uid="{00000000-0005-0000-0000-0000B11B0000}"/>
    <cellStyle name="输出 2 9 9 16" xfId="43243" xr:uid="{00000000-0005-0000-0000-00001BA90000}"/>
    <cellStyle name="输出 2 9 9 2" xfId="43245" xr:uid="{00000000-0005-0000-0000-00001DA90000}"/>
    <cellStyle name="输出 2 9 9 2 2" xfId="32159" xr:uid="{00000000-0005-0000-0000-0000CF7D0000}"/>
    <cellStyle name="输出 2 9 9 2 2 2" xfId="43248" xr:uid="{00000000-0005-0000-0000-000020A90000}"/>
    <cellStyle name="输出 2 9 9 2 3" xfId="32348" xr:uid="{00000000-0005-0000-0000-00008C7E0000}"/>
    <cellStyle name="输出 2 9 9 2 3 2" xfId="43249" xr:uid="{00000000-0005-0000-0000-000021A90000}"/>
    <cellStyle name="输出 2 9 9 2 4" xfId="9876" xr:uid="{00000000-0005-0000-0000-0000C4260000}"/>
    <cellStyle name="输出 2 9 9 2 4 2" xfId="43250" xr:uid="{00000000-0005-0000-0000-000022A90000}"/>
    <cellStyle name="输出 2 9 9 2 5" xfId="20580" xr:uid="{00000000-0005-0000-0000-000094500000}"/>
    <cellStyle name="输出 2 9 9 2 5 2" xfId="23704" xr:uid="{00000000-0005-0000-0000-0000C85C0000}"/>
    <cellStyle name="输出 2 9 9 2 6" xfId="12001" xr:uid="{00000000-0005-0000-0000-0000112F0000}"/>
    <cellStyle name="输出 2 9 9 2 7" xfId="12039" xr:uid="{00000000-0005-0000-0000-0000372F0000}"/>
    <cellStyle name="输出 2 9 9 2 8" xfId="12088" xr:uid="{00000000-0005-0000-0000-0000682F0000}"/>
    <cellStyle name="输出 2 9 9 2 9" xfId="12126" xr:uid="{00000000-0005-0000-0000-00008E2F0000}"/>
    <cellStyle name="输出 2 9 9 3" xfId="43251" xr:uid="{00000000-0005-0000-0000-000023A90000}"/>
    <cellStyle name="输出 2 9 9 3 2" xfId="43252" xr:uid="{00000000-0005-0000-0000-000024A90000}"/>
    <cellStyle name="输出 2 9 9 3 2 2" xfId="43253" xr:uid="{00000000-0005-0000-0000-000025A90000}"/>
    <cellStyle name="输出 2 9 9 3 3" xfId="43254" xr:uid="{00000000-0005-0000-0000-000026A90000}"/>
    <cellStyle name="输出 2 9 9 3 3 2" xfId="43255" xr:uid="{00000000-0005-0000-0000-000027A90000}"/>
    <cellStyle name="输出 2 9 9 3 4" xfId="13756" xr:uid="{00000000-0005-0000-0000-0000EC350000}"/>
    <cellStyle name="输出 2 9 9 3 4 2" xfId="43256" xr:uid="{00000000-0005-0000-0000-000028A90000}"/>
    <cellStyle name="输出 2 9 9 3 5" xfId="11804" xr:uid="{00000000-0005-0000-0000-00004C2E0000}"/>
    <cellStyle name="输出 2 9 9 3 5 2" xfId="16129" xr:uid="{00000000-0005-0000-0000-0000313F0000}"/>
    <cellStyle name="输出 2 9 9 3 6" xfId="8409" xr:uid="{00000000-0005-0000-0000-000009210000}"/>
    <cellStyle name="输出 2 9 9 4" xfId="43257" xr:uid="{00000000-0005-0000-0000-000029A90000}"/>
    <cellStyle name="输出 2 9 9 4 2" xfId="16404" xr:uid="{00000000-0005-0000-0000-000044400000}"/>
    <cellStyle name="输出 2 9 9 4 2 2" xfId="6572" xr:uid="{00000000-0005-0000-0000-0000DC190000}"/>
    <cellStyle name="输出 2 9 9 4 3" xfId="19069" xr:uid="{00000000-0005-0000-0000-0000AD4A0000}"/>
    <cellStyle name="输出 2 9 9 4 3 2" xfId="43258" xr:uid="{00000000-0005-0000-0000-00002AA90000}"/>
    <cellStyle name="输出 2 9 9 4 4" xfId="13763" xr:uid="{00000000-0005-0000-0000-0000F3350000}"/>
    <cellStyle name="输出 2 9 9 4 4 2" xfId="43259" xr:uid="{00000000-0005-0000-0000-00002BA90000}"/>
    <cellStyle name="输出 2 9 9 4 5" xfId="11810" xr:uid="{00000000-0005-0000-0000-0000522E0000}"/>
    <cellStyle name="输出 2 9 9 4 5 2" xfId="16273" xr:uid="{00000000-0005-0000-0000-0000C13F0000}"/>
    <cellStyle name="输出 2 9 9 4 6" xfId="8436" xr:uid="{00000000-0005-0000-0000-000024210000}"/>
    <cellStyle name="输出 2 9 9 5" xfId="23536" xr:uid="{00000000-0005-0000-0000-0000205C0000}"/>
    <cellStyle name="输出 2 9 9 5 2" xfId="15452" xr:uid="{00000000-0005-0000-0000-00008C3C0000}"/>
    <cellStyle name="输出 2 9 9 5 2 2" xfId="15461" xr:uid="{00000000-0005-0000-0000-0000953C0000}"/>
    <cellStyle name="输出 2 9 9 5 3" xfId="15465" xr:uid="{00000000-0005-0000-0000-0000993C0000}"/>
    <cellStyle name="输出 2 9 9 5 3 2" xfId="43260" xr:uid="{00000000-0005-0000-0000-00002CA90000}"/>
    <cellStyle name="输出 2 9 9 5 4" xfId="13767" xr:uid="{00000000-0005-0000-0000-0000F7350000}"/>
    <cellStyle name="输出 2 9 9 5 4 2" xfId="43261" xr:uid="{00000000-0005-0000-0000-00002DA90000}"/>
    <cellStyle name="输出 2 9 9 5 5" xfId="11815" xr:uid="{00000000-0005-0000-0000-0000572E0000}"/>
    <cellStyle name="输出 2 9 9 5 5 2" xfId="16399" xr:uid="{00000000-0005-0000-0000-00003F400000}"/>
    <cellStyle name="输出 2 9 9 5 6" xfId="8459" xr:uid="{00000000-0005-0000-0000-00003B210000}"/>
    <cellStyle name="输出 2 9 9 6" xfId="43262" xr:uid="{00000000-0005-0000-0000-00002EA90000}"/>
    <cellStyle name="输出 2 9 9 6 2" xfId="19947" xr:uid="{00000000-0005-0000-0000-00001B4E0000}"/>
    <cellStyle name="输出 2 9 9 6 2 2" xfId="16501" xr:uid="{00000000-0005-0000-0000-0000A5400000}"/>
    <cellStyle name="输出 2 9 9 6 3" xfId="19949" xr:uid="{00000000-0005-0000-0000-00001D4E0000}"/>
    <cellStyle name="输出 2 9 9 6 3 2" xfId="39614" xr:uid="{00000000-0005-0000-0000-0000EE9A0000}"/>
    <cellStyle name="输出 2 9 9 6 4" xfId="43264" xr:uid="{00000000-0005-0000-0000-000030A90000}"/>
    <cellStyle name="输出 2 9 9 6 4 2" xfId="39621" xr:uid="{00000000-0005-0000-0000-0000F59A0000}"/>
    <cellStyle name="输出 2 9 9 6 5" xfId="23711" xr:uid="{00000000-0005-0000-0000-0000CF5C0000}"/>
    <cellStyle name="输出 2 9 9 6 5 2" xfId="39629" xr:uid="{00000000-0005-0000-0000-0000FD9A0000}"/>
    <cellStyle name="输出 2 9 9 6 6" xfId="26071" xr:uid="{00000000-0005-0000-0000-000007660000}"/>
    <cellStyle name="输出 2 9 9 7" xfId="43265" xr:uid="{00000000-0005-0000-0000-000031A90000}"/>
    <cellStyle name="输出 2 9 9 7 2" xfId="19964" xr:uid="{00000000-0005-0000-0000-00002C4E0000}"/>
    <cellStyle name="输出 2 9 9 7 2 2" xfId="16660" xr:uid="{00000000-0005-0000-0000-000044410000}"/>
    <cellStyle name="输出 2 9 9 7 3" xfId="19969" xr:uid="{00000000-0005-0000-0000-0000314E0000}"/>
    <cellStyle name="输出 2 9 9 7 3 2" xfId="32416" xr:uid="{00000000-0005-0000-0000-0000D07E0000}"/>
    <cellStyle name="输出 2 9 9 7 4" xfId="32420" xr:uid="{00000000-0005-0000-0000-0000D47E0000}"/>
    <cellStyle name="输出 2 9 9 7 4 2" xfId="32424" xr:uid="{00000000-0005-0000-0000-0000D87E0000}"/>
    <cellStyle name="输出 2 9 9 7 5" xfId="43267" xr:uid="{00000000-0005-0000-0000-000033A90000}"/>
    <cellStyle name="输出 2 9 9 7 5 2" xfId="32430" xr:uid="{00000000-0005-0000-0000-0000DE7E0000}"/>
    <cellStyle name="输出 2 9 9 7 6" xfId="26077" xr:uid="{00000000-0005-0000-0000-00000D660000}"/>
    <cellStyle name="输出 2 9 9 8" xfId="43268" xr:uid="{00000000-0005-0000-0000-000034A90000}"/>
    <cellStyle name="输出 2 9 9 8 2" xfId="6485" xr:uid="{00000000-0005-0000-0000-000085190000}"/>
    <cellStyle name="输出 2 9 9 8 2 2" xfId="16760" xr:uid="{00000000-0005-0000-0000-0000A8410000}"/>
    <cellStyle name="输出 2 9 9 8 3" xfId="19985" xr:uid="{00000000-0005-0000-0000-0000414E0000}"/>
    <cellStyle name="输出 2 9 9 8 3 2" xfId="39740" xr:uid="{00000000-0005-0000-0000-00006C9B0000}"/>
    <cellStyle name="输出 2 9 9 8 4" xfId="43270" xr:uid="{00000000-0005-0000-0000-000036A90000}"/>
    <cellStyle name="输出 2 9 9 8 4 2" xfId="39752" xr:uid="{00000000-0005-0000-0000-0000789B0000}"/>
    <cellStyle name="输出 2 9 9 8 5" xfId="43271" xr:uid="{00000000-0005-0000-0000-000037A90000}"/>
    <cellStyle name="输出 2 9 9 9" xfId="43272" xr:uid="{00000000-0005-0000-0000-000038A90000}"/>
    <cellStyle name="输出 2 9 9 9 2" xfId="6492" xr:uid="{00000000-0005-0000-0000-00008C190000}"/>
    <cellStyle name="输出 3" xfId="43274" xr:uid="{00000000-0005-0000-0000-00003AA90000}"/>
    <cellStyle name="输入 2" xfId="43276" xr:uid="{00000000-0005-0000-0000-00003CA90000}"/>
    <cellStyle name="输入 2 10" xfId="43277" xr:uid="{00000000-0005-0000-0000-00003DA90000}"/>
    <cellStyle name="输入 2 10 10" xfId="12910" xr:uid="{00000000-0005-0000-0000-00009E320000}"/>
    <cellStyle name="输入 2 10 10 10" xfId="36065" xr:uid="{00000000-0005-0000-0000-0000118D0000}"/>
    <cellStyle name="输入 2 10 10 10 2" xfId="43278" xr:uid="{00000000-0005-0000-0000-00003EA90000}"/>
    <cellStyle name="输入 2 10 10 11" xfId="43279" xr:uid="{00000000-0005-0000-0000-00003FA90000}"/>
    <cellStyle name="输入 2 10 10 11 2" xfId="43280" xr:uid="{00000000-0005-0000-0000-000040A90000}"/>
    <cellStyle name="输入 2 10 10 12" xfId="43281" xr:uid="{00000000-0005-0000-0000-000041A90000}"/>
    <cellStyle name="输入 2 10 10 12 2" xfId="6341" xr:uid="{00000000-0005-0000-0000-0000F5180000}"/>
    <cellStyle name="输入 2 10 10 13" xfId="43282" xr:uid="{00000000-0005-0000-0000-000042A90000}"/>
    <cellStyle name="输入 2 10 10 14" xfId="43283" xr:uid="{00000000-0005-0000-0000-000043A90000}"/>
    <cellStyle name="输入 2 10 10 15" xfId="28634" xr:uid="{00000000-0005-0000-0000-00000A700000}"/>
    <cellStyle name="输入 2 10 10 16" xfId="28636" xr:uid="{00000000-0005-0000-0000-00000C700000}"/>
    <cellStyle name="输入 2 10 10 2" xfId="43284" xr:uid="{00000000-0005-0000-0000-000044A90000}"/>
    <cellStyle name="输入 2 10 10 2 2" xfId="43235" xr:uid="{00000000-0005-0000-0000-000013A90000}"/>
    <cellStyle name="输入 2 10 10 2 2 2" xfId="43237" xr:uid="{00000000-0005-0000-0000-000015A90000}"/>
    <cellStyle name="输入 2 10 10 2 3" xfId="43240" xr:uid="{00000000-0005-0000-0000-000018A90000}"/>
    <cellStyle name="输入 2 10 10 2 3 2" xfId="1244" xr:uid="{00000000-0005-0000-0000-00000C050000}"/>
    <cellStyle name="输入 2 10 10 2 4" xfId="43242" xr:uid="{00000000-0005-0000-0000-00001AA90000}"/>
    <cellStyle name="输入 2 10 10 2 4 2" xfId="43285" xr:uid="{00000000-0005-0000-0000-000045A90000}"/>
    <cellStyle name="输入 2 10 10 2 5" xfId="7040" xr:uid="{00000000-0005-0000-0000-0000B01B0000}"/>
    <cellStyle name="输入 2 10 10 2 5 2" xfId="7051" xr:uid="{00000000-0005-0000-0000-0000BB1B0000}"/>
    <cellStyle name="输入 2 10 10 2 6" xfId="43244" xr:uid="{00000000-0005-0000-0000-00001CA90000}"/>
    <cellStyle name="输入 2 10 10 2 7" xfId="43286" xr:uid="{00000000-0005-0000-0000-000046A90000}"/>
    <cellStyle name="输入 2 10 10 2 8" xfId="43287" xr:uid="{00000000-0005-0000-0000-000047A90000}"/>
    <cellStyle name="输入 2 10 10 2 9" xfId="43288" xr:uid="{00000000-0005-0000-0000-000048A90000}"/>
    <cellStyle name="输入 2 10 10 3" xfId="43289" xr:uid="{00000000-0005-0000-0000-000049A90000}"/>
    <cellStyle name="输入 2 10 10 3 2" xfId="43290" xr:uid="{00000000-0005-0000-0000-00004AA90000}"/>
    <cellStyle name="输入 2 10 10 3 2 2" xfId="43291" xr:uid="{00000000-0005-0000-0000-00004BA90000}"/>
    <cellStyle name="输入 2 10 10 3 3" xfId="43293" xr:uid="{00000000-0005-0000-0000-00004DA90000}"/>
    <cellStyle name="输入 2 10 10 3 3 2" xfId="43294" xr:uid="{00000000-0005-0000-0000-00004EA90000}"/>
    <cellStyle name="输入 2 10 10 3 4" xfId="43296" xr:uid="{00000000-0005-0000-0000-000050A90000}"/>
    <cellStyle name="输入 2 10 10 3 4 2" xfId="43297" xr:uid="{00000000-0005-0000-0000-000051A90000}"/>
    <cellStyle name="输入 2 10 10 3 5" xfId="7125" xr:uid="{00000000-0005-0000-0000-0000051C0000}"/>
    <cellStyle name="输入 2 10 10 3 5 2" xfId="2048" xr:uid="{00000000-0005-0000-0000-000030080000}"/>
    <cellStyle name="输入 2 10 10 3 6" xfId="43298" xr:uid="{00000000-0005-0000-0000-000052A90000}"/>
    <cellStyle name="输入 2 10 10 4" xfId="43299" xr:uid="{00000000-0005-0000-0000-000053A90000}"/>
    <cellStyle name="输入 2 10 10 4 2" xfId="43300" xr:uid="{00000000-0005-0000-0000-000054A90000}"/>
    <cellStyle name="输入 2 10 10 4 2 2" xfId="43301" xr:uid="{00000000-0005-0000-0000-000055A90000}"/>
    <cellStyle name="输入 2 10 10 4 3" xfId="43303" xr:uid="{00000000-0005-0000-0000-000057A90000}"/>
    <cellStyle name="输入 2 10 10 4 3 2" xfId="43304" xr:uid="{00000000-0005-0000-0000-000058A90000}"/>
    <cellStyle name="输入 2 10 10 4 4" xfId="43306" xr:uid="{00000000-0005-0000-0000-00005AA90000}"/>
    <cellStyle name="输入 2 10 10 4 4 2" xfId="7149" xr:uid="{00000000-0005-0000-0000-00001D1C0000}"/>
    <cellStyle name="输入 2 10 10 4 5" xfId="7163" xr:uid="{00000000-0005-0000-0000-00002B1C0000}"/>
    <cellStyle name="输入 2 10 10 4 5 2" xfId="438" xr:uid="{00000000-0005-0000-0000-0000DF010000}"/>
    <cellStyle name="输入 2 10 10 4 6" xfId="43307" xr:uid="{00000000-0005-0000-0000-00005BA90000}"/>
    <cellStyle name="输入 2 10 10 5" xfId="33153" xr:uid="{00000000-0005-0000-0000-0000B1810000}"/>
    <cellStyle name="输入 2 10 10 5 2" xfId="43308" xr:uid="{00000000-0005-0000-0000-00005CA90000}"/>
    <cellStyle name="输入 2 10 10 5 2 2" xfId="43309" xr:uid="{00000000-0005-0000-0000-00005DA90000}"/>
    <cellStyle name="输入 2 10 10 5 3" xfId="43311" xr:uid="{00000000-0005-0000-0000-00005FA90000}"/>
    <cellStyle name="输入 2 10 10 5 3 2" xfId="43312" xr:uid="{00000000-0005-0000-0000-000060A90000}"/>
    <cellStyle name="输入 2 10 10 5 4" xfId="43314" xr:uid="{00000000-0005-0000-0000-000062A90000}"/>
    <cellStyle name="输入 2 10 10 5 4 2" xfId="43315" xr:uid="{00000000-0005-0000-0000-000063A90000}"/>
    <cellStyle name="输入 2 10 10 5 5" xfId="43316" xr:uid="{00000000-0005-0000-0000-000064A90000}"/>
    <cellStyle name="输入 2 10 10 5 5 2" xfId="43317" xr:uid="{00000000-0005-0000-0000-000065A90000}"/>
    <cellStyle name="输入 2 10 10 5 6" xfId="43318" xr:uid="{00000000-0005-0000-0000-000066A90000}"/>
    <cellStyle name="输入 2 10 10 6" xfId="43319" xr:uid="{00000000-0005-0000-0000-000067A90000}"/>
    <cellStyle name="输入 2 10 10 6 2" xfId="43320" xr:uid="{00000000-0005-0000-0000-000068A90000}"/>
    <cellStyle name="输入 2 10 10 6 2 2" xfId="43321" xr:uid="{00000000-0005-0000-0000-000069A90000}"/>
    <cellStyle name="输入 2 10 10 6 3" xfId="43323" xr:uid="{00000000-0005-0000-0000-00006BA90000}"/>
    <cellStyle name="输入 2 10 10 6 3 2" xfId="43324" xr:uid="{00000000-0005-0000-0000-00006CA90000}"/>
    <cellStyle name="输入 2 10 10 6 4" xfId="40062" xr:uid="{00000000-0005-0000-0000-0000AE9C0000}"/>
    <cellStyle name="输入 2 10 10 6 4 2" xfId="43326" xr:uid="{00000000-0005-0000-0000-00006EA90000}"/>
    <cellStyle name="输入 2 10 10 6 5" xfId="43327" xr:uid="{00000000-0005-0000-0000-00006FA90000}"/>
    <cellStyle name="输入 2 10 10 6 5 2" xfId="43328" xr:uid="{00000000-0005-0000-0000-000070A90000}"/>
    <cellStyle name="输入 2 10 10 6 6" xfId="43329" xr:uid="{00000000-0005-0000-0000-000071A90000}"/>
    <cellStyle name="输入 2 10 10 7" xfId="43330" xr:uid="{00000000-0005-0000-0000-000072A90000}"/>
    <cellStyle name="输入 2 10 10 7 2" xfId="43331" xr:uid="{00000000-0005-0000-0000-000073A90000}"/>
    <cellStyle name="输入 2 10 10 7 2 2" xfId="43332" xr:uid="{00000000-0005-0000-0000-000074A90000}"/>
    <cellStyle name="输入 2 10 10 7 3" xfId="43333" xr:uid="{00000000-0005-0000-0000-000075A90000}"/>
    <cellStyle name="输入 2 10 10 7 3 2" xfId="41741" xr:uid="{00000000-0005-0000-0000-00003DA30000}"/>
    <cellStyle name="输入 2 10 10 7 4" xfId="36077" xr:uid="{00000000-0005-0000-0000-00001D8D0000}"/>
    <cellStyle name="输入 2 10 10 7 4 2" xfId="43334" xr:uid="{00000000-0005-0000-0000-000076A90000}"/>
    <cellStyle name="输入 2 10 10 7 5" xfId="43335" xr:uid="{00000000-0005-0000-0000-000077A90000}"/>
    <cellStyle name="输入 2 10 10 7 5 2" xfId="43336" xr:uid="{00000000-0005-0000-0000-000078A90000}"/>
    <cellStyle name="输入 2 10 10 7 6" xfId="43337" xr:uid="{00000000-0005-0000-0000-000079A90000}"/>
    <cellStyle name="输入 2 10 10 8" xfId="39932" xr:uid="{00000000-0005-0000-0000-00002C9C0000}"/>
    <cellStyle name="输入 2 10 10 8 2" xfId="43338" xr:uid="{00000000-0005-0000-0000-00007AA90000}"/>
    <cellStyle name="输入 2 10 10 8 2 2" xfId="43339" xr:uid="{00000000-0005-0000-0000-00007BA90000}"/>
    <cellStyle name="输入 2 10 10 8 3" xfId="43340" xr:uid="{00000000-0005-0000-0000-00007CA90000}"/>
    <cellStyle name="输入 2 10 10 8 3 2" xfId="43341" xr:uid="{00000000-0005-0000-0000-00007DA90000}"/>
    <cellStyle name="输入 2 10 10 8 4" xfId="36084" xr:uid="{00000000-0005-0000-0000-0000248D0000}"/>
    <cellStyle name="输入 2 10 10 8 4 2" xfId="43342" xr:uid="{00000000-0005-0000-0000-00007EA90000}"/>
    <cellStyle name="输入 2 10 10 8 5" xfId="43343" xr:uid="{00000000-0005-0000-0000-00007FA90000}"/>
    <cellStyle name="输入 2 10 10 9" xfId="43344" xr:uid="{00000000-0005-0000-0000-000080A90000}"/>
    <cellStyle name="输入 2 10 10 9 2" xfId="43345" xr:uid="{00000000-0005-0000-0000-000081A90000}"/>
    <cellStyle name="输入 2 10 11" xfId="43346" xr:uid="{00000000-0005-0000-0000-000082A90000}"/>
    <cellStyle name="输入 2 10 11 10" xfId="43347" xr:uid="{00000000-0005-0000-0000-000083A90000}"/>
    <cellStyle name="输入 2 10 11 10 2" xfId="43349" xr:uid="{00000000-0005-0000-0000-000085A90000}"/>
    <cellStyle name="输入 2 10 11 11" xfId="43350" xr:uid="{00000000-0005-0000-0000-000086A90000}"/>
    <cellStyle name="输入 2 10 11 11 2" xfId="43351" xr:uid="{00000000-0005-0000-0000-000087A90000}"/>
    <cellStyle name="输入 2 10 11 12" xfId="43352" xr:uid="{00000000-0005-0000-0000-000088A90000}"/>
    <cellStyle name="输入 2 10 11 12 2" xfId="1861" xr:uid="{00000000-0005-0000-0000-000075070000}"/>
    <cellStyle name="输入 2 10 11 13" xfId="24685" xr:uid="{00000000-0005-0000-0000-00009D600000}"/>
    <cellStyle name="输入 2 10 11 14" xfId="24688" xr:uid="{00000000-0005-0000-0000-0000A0600000}"/>
    <cellStyle name="输入 2 10 11 15" xfId="24691" xr:uid="{00000000-0005-0000-0000-0000A3600000}"/>
    <cellStyle name="输入 2 10 11 16" xfId="24697" xr:uid="{00000000-0005-0000-0000-0000A9600000}"/>
    <cellStyle name="输入 2 10 11 2" xfId="43353" xr:uid="{00000000-0005-0000-0000-000089A90000}"/>
    <cellStyle name="输入 2 10 11 2 2" xfId="20464" xr:uid="{00000000-0005-0000-0000-000020500000}"/>
    <cellStyle name="输入 2 10 11 2 2 2" xfId="13171" xr:uid="{00000000-0005-0000-0000-0000A3330000}"/>
    <cellStyle name="输入 2 10 11 2 3" xfId="20466" xr:uid="{00000000-0005-0000-0000-000022500000}"/>
    <cellStyle name="输入 2 10 11 2 3 2" xfId="20469" xr:uid="{00000000-0005-0000-0000-000025500000}"/>
    <cellStyle name="输入 2 10 11 2 4" xfId="20471" xr:uid="{00000000-0005-0000-0000-000027500000}"/>
    <cellStyle name="输入 2 10 11 2 4 2" xfId="20473" xr:uid="{00000000-0005-0000-0000-000029500000}"/>
    <cellStyle name="输入 2 10 11 2 5" xfId="20475" xr:uid="{00000000-0005-0000-0000-00002B500000}"/>
    <cellStyle name="输入 2 10 11 2 5 2" xfId="43354" xr:uid="{00000000-0005-0000-0000-00008AA90000}"/>
    <cellStyle name="输入 2 10 11 2 6" xfId="43355" xr:uid="{00000000-0005-0000-0000-00008BA90000}"/>
    <cellStyle name="输入 2 10 11 3" xfId="43356" xr:uid="{00000000-0005-0000-0000-00008CA90000}"/>
    <cellStyle name="输入 2 10 11 3 2" xfId="20481" xr:uid="{00000000-0005-0000-0000-000031500000}"/>
    <cellStyle name="输入 2 10 11 3 2 2" xfId="13301" xr:uid="{00000000-0005-0000-0000-000025340000}"/>
    <cellStyle name="输入 2 10 11 3 3" xfId="20483" xr:uid="{00000000-0005-0000-0000-000033500000}"/>
    <cellStyle name="输入 2 10 11 3 3 2" xfId="20486" xr:uid="{00000000-0005-0000-0000-000036500000}"/>
    <cellStyle name="输入 2 10 11 3 4" xfId="20488" xr:uid="{00000000-0005-0000-0000-000038500000}"/>
    <cellStyle name="输入 2 10 11 3 4 2" xfId="20490" xr:uid="{00000000-0005-0000-0000-00003A500000}"/>
    <cellStyle name="输入 2 10 11 3 5" xfId="20493" xr:uid="{00000000-0005-0000-0000-00003D500000}"/>
    <cellStyle name="输入 2 10 11 3 5 2" xfId="43357" xr:uid="{00000000-0005-0000-0000-00008DA90000}"/>
    <cellStyle name="输入 2 10 11 3 6" xfId="43358" xr:uid="{00000000-0005-0000-0000-00008EA90000}"/>
    <cellStyle name="输入 2 10 11 4" xfId="43359" xr:uid="{00000000-0005-0000-0000-00008FA90000}"/>
    <cellStyle name="输入 2 10 11 4 2" xfId="2252" xr:uid="{00000000-0005-0000-0000-0000FC080000}"/>
    <cellStyle name="输入 2 10 11 4 2 2" xfId="13372" xr:uid="{00000000-0005-0000-0000-00006C340000}"/>
    <cellStyle name="输入 2 10 11 4 3" xfId="2264" xr:uid="{00000000-0005-0000-0000-000008090000}"/>
    <cellStyle name="输入 2 10 11 4 3 2" xfId="20501" xr:uid="{00000000-0005-0000-0000-000045500000}"/>
    <cellStyle name="输入 2 10 11 4 4" xfId="2276" xr:uid="{00000000-0005-0000-0000-000014090000}"/>
    <cellStyle name="输入 2 10 11 4 4 2" xfId="776" xr:uid="{00000000-0005-0000-0000-000038030000}"/>
    <cellStyle name="输入 2 10 11 4 5" xfId="4038" xr:uid="{00000000-0005-0000-0000-0000F60F0000}"/>
    <cellStyle name="输入 2 10 11 4 5 2" xfId="43360" xr:uid="{00000000-0005-0000-0000-000090A90000}"/>
    <cellStyle name="输入 2 10 11 4 6" xfId="43361" xr:uid="{00000000-0005-0000-0000-000091A90000}"/>
    <cellStyle name="输入 2 10 11 5" xfId="33155" xr:uid="{00000000-0005-0000-0000-0000B3810000}"/>
    <cellStyle name="输入 2 10 11 5 2" xfId="20507" xr:uid="{00000000-0005-0000-0000-00004B500000}"/>
    <cellStyle name="输入 2 10 11 5 2 2" xfId="13442" xr:uid="{00000000-0005-0000-0000-0000B2340000}"/>
    <cellStyle name="输入 2 10 11 5 3" xfId="20509" xr:uid="{00000000-0005-0000-0000-00004D500000}"/>
    <cellStyle name="输入 2 10 11 5 3 2" xfId="20512" xr:uid="{00000000-0005-0000-0000-000050500000}"/>
    <cellStyle name="输入 2 10 11 5 4" xfId="20515" xr:uid="{00000000-0005-0000-0000-000053500000}"/>
    <cellStyle name="输入 2 10 11 5 4 2" xfId="28269" xr:uid="{00000000-0005-0000-0000-00009D6E0000}"/>
    <cellStyle name="输入 2 10 11 5 5" xfId="4057" xr:uid="{00000000-0005-0000-0000-000009100000}"/>
    <cellStyle name="输入 2 10 11 5 5 2" xfId="43362" xr:uid="{00000000-0005-0000-0000-000092A90000}"/>
    <cellStyle name="输入 2 10 11 5 6" xfId="43363" xr:uid="{00000000-0005-0000-0000-000093A90000}"/>
    <cellStyle name="输入 2 10 11 6" xfId="43364" xr:uid="{00000000-0005-0000-0000-000094A90000}"/>
    <cellStyle name="输入 2 10 11 6 2" xfId="43365" xr:uid="{00000000-0005-0000-0000-000095A90000}"/>
    <cellStyle name="输入 2 10 11 6 2 2" xfId="43366" xr:uid="{00000000-0005-0000-0000-000096A90000}"/>
    <cellStyle name="输入 2 10 11 6 3" xfId="43368" xr:uid="{00000000-0005-0000-0000-000098A90000}"/>
    <cellStyle name="输入 2 10 11 6 3 2" xfId="36000" xr:uid="{00000000-0005-0000-0000-0000D08C0000}"/>
    <cellStyle name="输入 2 10 11 6 4" xfId="40064" xr:uid="{00000000-0005-0000-0000-0000B09C0000}"/>
    <cellStyle name="输入 2 10 11 6 4 2" xfId="28627" xr:uid="{00000000-0005-0000-0000-000003700000}"/>
    <cellStyle name="输入 2 10 11 6 5" xfId="4086" xr:uid="{00000000-0005-0000-0000-000026100000}"/>
    <cellStyle name="输入 2 10 11 6 5 2" xfId="43369" xr:uid="{00000000-0005-0000-0000-000099A90000}"/>
    <cellStyle name="输入 2 10 11 6 6" xfId="43370" xr:uid="{00000000-0005-0000-0000-00009AA90000}"/>
    <cellStyle name="输入 2 10 11 7" xfId="43371" xr:uid="{00000000-0005-0000-0000-00009BA90000}"/>
    <cellStyle name="输入 2 10 11 7 2" xfId="43372" xr:uid="{00000000-0005-0000-0000-00009CA90000}"/>
    <cellStyle name="输入 2 10 11 7 2 2" xfId="43373" xr:uid="{00000000-0005-0000-0000-00009DA90000}"/>
    <cellStyle name="输入 2 10 11 7 3" xfId="43374" xr:uid="{00000000-0005-0000-0000-00009EA90000}"/>
    <cellStyle name="输入 2 10 11 7 3 2" xfId="43375" xr:uid="{00000000-0005-0000-0000-00009FA90000}"/>
    <cellStyle name="输入 2 10 11 7 4" xfId="36102" xr:uid="{00000000-0005-0000-0000-0000368D0000}"/>
    <cellStyle name="输入 2 10 11 7 4 2" xfId="43376" xr:uid="{00000000-0005-0000-0000-0000A0A90000}"/>
    <cellStyle name="输入 2 10 11 7 5" xfId="4104" xr:uid="{00000000-0005-0000-0000-000038100000}"/>
    <cellStyle name="输入 2 10 11 7 5 2" xfId="43377" xr:uid="{00000000-0005-0000-0000-0000A1A90000}"/>
    <cellStyle name="输入 2 10 11 7 6" xfId="43378" xr:uid="{00000000-0005-0000-0000-0000A2A90000}"/>
    <cellStyle name="输入 2 10 11 8" xfId="43379" xr:uid="{00000000-0005-0000-0000-0000A3A90000}"/>
    <cellStyle name="输入 2 10 11 8 2" xfId="43381" xr:uid="{00000000-0005-0000-0000-0000A5A90000}"/>
    <cellStyle name="输入 2 10 11 8 2 2" xfId="43382" xr:uid="{00000000-0005-0000-0000-0000A6A90000}"/>
    <cellStyle name="输入 2 10 11 8 3" xfId="43383" xr:uid="{00000000-0005-0000-0000-0000A7A90000}"/>
    <cellStyle name="输入 2 10 11 8 3 2" xfId="43384" xr:uid="{00000000-0005-0000-0000-0000A8A90000}"/>
    <cellStyle name="输入 2 10 11 8 4" xfId="36108" xr:uid="{00000000-0005-0000-0000-00003C8D0000}"/>
    <cellStyle name="输入 2 10 11 8 4 2" xfId="43385" xr:uid="{00000000-0005-0000-0000-0000A9A90000}"/>
    <cellStyle name="输入 2 10 11 8 5" xfId="43386" xr:uid="{00000000-0005-0000-0000-0000AAA90000}"/>
    <cellStyle name="输入 2 10 11 9" xfId="43387" xr:uid="{00000000-0005-0000-0000-0000ABA90000}"/>
    <cellStyle name="输入 2 10 11 9 2" xfId="43388" xr:uid="{00000000-0005-0000-0000-0000ACA90000}"/>
    <cellStyle name="输入 2 10 12" xfId="12184" xr:uid="{00000000-0005-0000-0000-0000C82F0000}"/>
    <cellStyle name="输入 2 10 12 2" xfId="43389" xr:uid="{00000000-0005-0000-0000-0000ADA90000}"/>
    <cellStyle name="输入 2 10 12 2 2" xfId="20618" xr:uid="{00000000-0005-0000-0000-0000BA500000}"/>
    <cellStyle name="输入 2 10 12 3" xfId="43390" xr:uid="{00000000-0005-0000-0000-0000AEA90000}"/>
    <cellStyle name="输入 2 10 12 3 2" xfId="20643" xr:uid="{00000000-0005-0000-0000-0000D3500000}"/>
    <cellStyle name="输入 2 10 12 4" xfId="43391" xr:uid="{00000000-0005-0000-0000-0000AFA90000}"/>
    <cellStyle name="输入 2 10 12 4 2" xfId="20670" xr:uid="{00000000-0005-0000-0000-0000EE500000}"/>
    <cellStyle name="输入 2 10 12 5" xfId="33157" xr:uid="{00000000-0005-0000-0000-0000B5810000}"/>
    <cellStyle name="输入 2 10 12 5 2" xfId="20690" xr:uid="{00000000-0005-0000-0000-000002510000}"/>
    <cellStyle name="输入 2 10 12 6" xfId="43392" xr:uid="{00000000-0005-0000-0000-0000B0A90000}"/>
    <cellStyle name="输入 2 10 12 7" xfId="43393" xr:uid="{00000000-0005-0000-0000-0000B1A90000}"/>
    <cellStyle name="输入 2 10 12 8" xfId="43394" xr:uid="{00000000-0005-0000-0000-0000B2A90000}"/>
    <cellStyle name="输入 2 10 12 9" xfId="43396" xr:uid="{00000000-0005-0000-0000-0000B4A90000}"/>
    <cellStyle name="输入 2 10 13" xfId="43397" xr:uid="{00000000-0005-0000-0000-0000B5A90000}"/>
    <cellStyle name="输入 2 10 13 2" xfId="43398" xr:uid="{00000000-0005-0000-0000-0000B6A90000}"/>
    <cellStyle name="输入 2 10 13 2 2" xfId="20756" xr:uid="{00000000-0005-0000-0000-000044510000}"/>
    <cellStyle name="输入 2 10 13 3" xfId="43399" xr:uid="{00000000-0005-0000-0000-0000B7A90000}"/>
    <cellStyle name="输入 2 10 13 3 2" xfId="20770" xr:uid="{00000000-0005-0000-0000-000052510000}"/>
    <cellStyle name="输入 2 10 13 4" xfId="43400" xr:uid="{00000000-0005-0000-0000-0000B8A90000}"/>
    <cellStyle name="输入 2 10 13 4 2" xfId="20788" xr:uid="{00000000-0005-0000-0000-000064510000}"/>
    <cellStyle name="输入 2 10 13 5" xfId="43401" xr:uid="{00000000-0005-0000-0000-0000B9A90000}"/>
    <cellStyle name="输入 2 10 13 5 2" xfId="20795" xr:uid="{00000000-0005-0000-0000-00006B510000}"/>
    <cellStyle name="输入 2 10 13 6" xfId="43402" xr:uid="{00000000-0005-0000-0000-0000BAA90000}"/>
    <cellStyle name="输入 2 10 14" xfId="43403" xr:uid="{00000000-0005-0000-0000-0000BBA90000}"/>
    <cellStyle name="输入 2 10 14 2" xfId="43405" xr:uid="{00000000-0005-0000-0000-0000BDA90000}"/>
    <cellStyle name="输入 2 10 14 2 2" xfId="20854" xr:uid="{00000000-0005-0000-0000-0000A6510000}"/>
    <cellStyle name="输入 2 10 14 3" xfId="43406" xr:uid="{00000000-0005-0000-0000-0000BEA90000}"/>
    <cellStyle name="输入 2 10 14 3 2" xfId="20871" xr:uid="{00000000-0005-0000-0000-0000B7510000}"/>
    <cellStyle name="输入 2 10 14 4" xfId="43407" xr:uid="{00000000-0005-0000-0000-0000BFA90000}"/>
    <cellStyle name="输入 2 10 14 4 2" xfId="20892" xr:uid="{00000000-0005-0000-0000-0000CC510000}"/>
    <cellStyle name="输入 2 10 14 5" xfId="43408" xr:uid="{00000000-0005-0000-0000-0000C0A90000}"/>
    <cellStyle name="输入 2 10 14 5 2" xfId="20902" xr:uid="{00000000-0005-0000-0000-0000D6510000}"/>
    <cellStyle name="输入 2 10 14 6" xfId="43409" xr:uid="{00000000-0005-0000-0000-0000C1A90000}"/>
    <cellStyle name="输入 2 10 15" xfId="43410" xr:uid="{00000000-0005-0000-0000-0000C2A90000}"/>
    <cellStyle name="输入 2 10 15 2" xfId="43413" xr:uid="{00000000-0005-0000-0000-0000C5A90000}"/>
    <cellStyle name="输入 2 10 15 2 2" xfId="1561" xr:uid="{00000000-0005-0000-0000-000049060000}"/>
    <cellStyle name="输入 2 10 15 3" xfId="43415" xr:uid="{00000000-0005-0000-0000-0000C7A90000}"/>
    <cellStyle name="输入 2 10 15 3 2" xfId="1440" xr:uid="{00000000-0005-0000-0000-0000D0050000}"/>
    <cellStyle name="输入 2 10 15 4" xfId="43416" xr:uid="{00000000-0005-0000-0000-0000C8A90000}"/>
    <cellStyle name="输入 2 10 15 4 2" xfId="3742" xr:uid="{00000000-0005-0000-0000-0000CE0E0000}"/>
    <cellStyle name="输入 2 10 15 5" xfId="43417" xr:uid="{00000000-0005-0000-0000-0000C9A90000}"/>
    <cellStyle name="输入 2 10 15 5 2" xfId="630" xr:uid="{00000000-0005-0000-0000-0000A6020000}"/>
    <cellStyle name="输入 2 10 15 6" xfId="43418" xr:uid="{00000000-0005-0000-0000-0000CAA90000}"/>
    <cellStyle name="输入 2 10 16" xfId="43419" xr:uid="{00000000-0005-0000-0000-0000CBA90000}"/>
    <cellStyle name="输入 2 10 16 2" xfId="43422" xr:uid="{00000000-0005-0000-0000-0000CEA90000}"/>
    <cellStyle name="输入 2 10 16 2 2" xfId="4046" xr:uid="{00000000-0005-0000-0000-0000FE0F0000}"/>
    <cellStyle name="输入 2 10 16 3" xfId="43425" xr:uid="{00000000-0005-0000-0000-0000D1A90000}"/>
    <cellStyle name="输入 2 10 16 3 2" xfId="4065" xr:uid="{00000000-0005-0000-0000-000011100000}"/>
    <cellStyle name="输入 2 10 16 4" xfId="43427" xr:uid="{00000000-0005-0000-0000-0000D3A90000}"/>
    <cellStyle name="输入 2 10 16 4 2" xfId="4094" xr:uid="{00000000-0005-0000-0000-00002E100000}"/>
    <cellStyle name="输入 2 10 16 5" xfId="43429" xr:uid="{00000000-0005-0000-0000-0000D5A90000}"/>
    <cellStyle name="输入 2 10 16 5 2" xfId="4114" xr:uid="{00000000-0005-0000-0000-000042100000}"/>
    <cellStyle name="输入 2 10 16 6" xfId="43431" xr:uid="{00000000-0005-0000-0000-0000D7A90000}"/>
    <cellStyle name="输入 2 10 17" xfId="43434" xr:uid="{00000000-0005-0000-0000-0000DAA90000}"/>
    <cellStyle name="输入 2 10 17 2" xfId="43436" xr:uid="{00000000-0005-0000-0000-0000DCA90000}"/>
    <cellStyle name="输入 2 10 17 2 2" xfId="277" xr:uid="{00000000-0005-0000-0000-000031010000}"/>
    <cellStyle name="输入 2 10 17 3" xfId="43439" xr:uid="{00000000-0005-0000-0000-0000DFA90000}"/>
    <cellStyle name="输入 2 10 17 3 2" xfId="4168" xr:uid="{00000000-0005-0000-0000-000078100000}"/>
    <cellStyle name="输入 2 10 17 4" xfId="43441" xr:uid="{00000000-0005-0000-0000-0000E1A90000}"/>
    <cellStyle name="输入 2 10 17 4 2" xfId="4183" xr:uid="{00000000-0005-0000-0000-000087100000}"/>
    <cellStyle name="输入 2 10 17 5" xfId="43442" xr:uid="{00000000-0005-0000-0000-0000E2A90000}"/>
    <cellStyle name="输入 2 10 17 5 2" xfId="4207" xr:uid="{00000000-0005-0000-0000-00009F100000}"/>
    <cellStyle name="输入 2 10 17 6" xfId="43443" xr:uid="{00000000-0005-0000-0000-0000E3A90000}"/>
    <cellStyle name="输入 2 10 18" xfId="43445" xr:uid="{00000000-0005-0000-0000-0000E5A90000}"/>
    <cellStyle name="输入 2 10 18 2" xfId="37646" xr:uid="{00000000-0005-0000-0000-00003E930000}"/>
    <cellStyle name="输入 2 10 18 2 2" xfId="796" xr:uid="{00000000-0005-0000-0000-00004C030000}"/>
    <cellStyle name="输入 2 10 18 3" xfId="37650" xr:uid="{00000000-0005-0000-0000-000042930000}"/>
    <cellStyle name="输入 2 10 18 3 2" xfId="834" xr:uid="{00000000-0005-0000-0000-000072030000}"/>
    <cellStyle name="输入 2 10 18 4" xfId="43447" xr:uid="{00000000-0005-0000-0000-0000E7A90000}"/>
    <cellStyle name="输入 2 10 18 4 2" xfId="862" xr:uid="{00000000-0005-0000-0000-00008E030000}"/>
    <cellStyle name="输入 2 10 18 5" xfId="43448" xr:uid="{00000000-0005-0000-0000-0000E8A90000}"/>
    <cellStyle name="输入 2 10 18 5 2" xfId="902" xr:uid="{00000000-0005-0000-0000-0000B6030000}"/>
    <cellStyle name="输入 2 10 18 6" xfId="43449" xr:uid="{00000000-0005-0000-0000-0000E9A90000}"/>
    <cellStyle name="输入 2 10 19" xfId="43451" xr:uid="{00000000-0005-0000-0000-0000EBA90000}"/>
    <cellStyle name="输入 2 10 19 2" xfId="37724" xr:uid="{00000000-0005-0000-0000-00008C930000}"/>
    <cellStyle name="输入 2 10 19 2 2" xfId="37727" xr:uid="{00000000-0005-0000-0000-00008F930000}"/>
    <cellStyle name="输入 2 10 19 3" xfId="37737" xr:uid="{00000000-0005-0000-0000-000099930000}"/>
    <cellStyle name="输入 2 10 19 3 2" xfId="37740" xr:uid="{00000000-0005-0000-0000-00009C930000}"/>
    <cellStyle name="输入 2 10 19 4" xfId="43453" xr:uid="{00000000-0005-0000-0000-0000EDA90000}"/>
    <cellStyle name="输入 2 10 19 4 2" xfId="43454" xr:uid="{00000000-0005-0000-0000-0000EEA90000}"/>
    <cellStyle name="输入 2 10 19 5" xfId="43456" xr:uid="{00000000-0005-0000-0000-0000F0A90000}"/>
    <cellStyle name="输入 2 10 2" xfId="43457" xr:uid="{00000000-0005-0000-0000-0000F1A90000}"/>
    <cellStyle name="输入 2 10 2 10" xfId="31871" xr:uid="{00000000-0005-0000-0000-0000AF7C0000}"/>
    <cellStyle name="输入 2 10 2 10 2" xfId="18052" xr:uid="{00000000-0005-0000-0000-0000B4460000}"/>
    <cellStyle name="输入 2 10 2 11" xfId="23334" xr:uid="{00000000-0005-0000-0000-0000565B0000}"/>
    <cellStyle name="输入 2 10 2 11 2" xfId="18088" xr:uid="{00000000-0005-0000-0000-0000D8460000}"/>
    <cellStyle name="输入 2 10 2 12" xfId="43458" xr:uid="{00000000-0005-0000-0000-0000F2A90000}"/>
    <cellStyle name="输入 2 10 2 12 2" xfId="18133" xr:uid="{00000000-0005-0000-0000-000005470000}"/>
    <cellStyle name="输入 2 10 2 13" xfId="43459" xr:uid="{00000000-0005-0000-0000-0000F3A90000}"/>
    <cellStyle name="输入 2 10 2 14" xfId="43460" xr:uid="{00000000-0005-0000-0000-0000F4A90000}"/>
    <cellStyle name="输入 2 10 2 15" xfId="43461" xr:uid="{00000000-0005-0000-0000-0000F5A90000}"/>
    <cellStyle name="输入 2 10 2 16" xfId="43462" xr:uid="{00000000-0005-0000-0000-0000F6A90000}"/>
    <cellStyle name="输入 2 10 2 2" xfId="43463" xr:uid="{00000000-0005-0000-0000-0000F7A90000}"/>
    <cellStyle name="输入 2 10 2 2 2" xfId="43464" xr:uid="{00000000-0005-0000-0000-0000F8A90000}"/>
    <cellStyle name="输入 2 10 2 2 2 2" xfId="43466" xr:uid="{00000000-0005-0000-0000-0000FAA90000}"/>
    <cellStyle name="输入 2 10 2 2 3" xfId="43468" xr:uid="{00000000-0005-0000-0000-0000FCA90000}"/>
    <cellStyle name="输入 2 10 2 2 3 2" xfId="35959" xr:uid="{00000000-0005-0000-0000-0000A78C0000}"/>
    <cellStyle name="输入 2 10 2 2 4" xfId="43471" xr:uid="{00000000-0005-0000-0000-0000FFA90000}"/>
    <cellStyle name="输入 2 10 2 2 4 2" xfId="34323" xr:uid="{00000000-0005-0000-0000-000043860000}"/>
    <cellStyle name="输入 2 10 2 2 5" xfId="43472" xr:uid="{00000000-0005-0000-0000-000000AA0000}"/>
    <cellStyle name="输入 2 10 2 2 5 2" xfId="35976" xr:uid="{00000000-0005-0000-0000-0000B88C0000}"/>
    <cellStyle name="输入 2 10 2 2 6" xfId="43473" xr:uid="{00000000-0005-0000-0000-000001AA0000}"/>
    <cellStyle name="输入 2 10 2 2 7" xfId="43474" xr:uid="{00000000-0005-0000-0000-000002AA0000}"/>
    <cellStyle name="输入 2 10 2 2 8" xfId="38491" xr:uid="{00000000-0005-0000-0000-00008B960000}"/>
    <cellStyle name="输入 2 10 2 2 9" xfId="43476" xr:uid="{00000000-0005-0000-0000-000004AA0000}"/>
    <cellStyle name="输入 2 10 2 3" xfId="27572" xr:uid="{00000000-0005-0000-0000-0000E46B0000}"/>
    <cellStyle name="输入 2 10 2 3 2" xfId="27500" xr:uid="{00000000-0005-0000-0000-00009C6B0000}"/>
    <cellStyle name="输入 2 10 2 3 2 2" xfId="39967" xr:uid="{00000000-0005-0000-0000-00004F9C0000}"/>
    <cellStyle name="输入 2 10 2 3 3" xfId="3794" xr:uid="{00000000-0005-0000-0000-0000020F0000}"/>
    <cellStyle name="输入 2 10 2 3 3 2" xfId="36011" xr:uid="{00000000-0005-0000-0000-0000DB8C0000}"/>
    <cellStyle name="输入 2 10 2 3 4" xfId="43477" xr:uid="{00000000-0005-0000-0000-000005AA0000}"/>
    <cellStyle name="输入 2 10 2 3 4 2" xfId="36030" xr:uid="{00000000-0005-0000-0000-0000EE8C0000}"/>
    <cellStyle name="输入 2 10 2 3 5" xfId="43478" xr:uid="{00000000-0005-0000-0000-000006AA0000}"/>
    <cellStyle name="输入 2 10 2 3 5 2" xfId="36045" xr:uid="{00000000-0005-0000-0000-0000FD8C0000}"/>
    <cellStyle name="输入 2 10 2 3 6" xfId="43479" xr:uid="{00000000-0005-0000-0000-000007AA0000}"/>
    <cellStyle name="输入 2 10 2 4" xfId="27574" xr:uid="{00000000-0005-0000-0000-0000E66B0000}"/>
    <cellStyle name="输入 2 10 2 4 2" xfId="27514" xr:uid="{00000000-0005-0000-0000-0000AA6B0000}"/>
    <cellStyle name="输入 2 10 2 4 2 2" xfId="40052" xr:uid="{00000000-0005-0000-0000-0000A49C0000}"/>
    <cellStyle name="输入 2 10 2 4 3" xfId="3875" xr:uid="{00000000-0005-0000-0000-0000530F0000}"/>
    <cellStyle name="输入 2 10 2 4 3 2" xfId="36080" xr:uid="{00000000-0005-0000-0000-0000208D0000}"/>
    <cellStyle name="输入 2 10 2 4 4" xfId="43480" xr:uid="{00000000-0005-0000-0000-000008AA0000}"/>
    <cellStyle name="输入 2 10 2 4 4 2" xfId="36105" xr:uid="{00000000-0005-0000-0000-0000398D0000}"/>
    <cellStyle name="输入 2 10 2 4 5" xfId="43481" xr:uid="{00000000-0005-0000-0000-000009AA0000}"/>
    <cellStyle name="输入 2 10 2 4 5 2" xfId="36120" xr:uid="{00000000-0005-0000-0000-0000488D0000}"/>
    <cellStyle name="输入 2 10 2 4 6" xfId="43482" xr:uid="{00000000-0005-0000-0000-00000AAA0000}"/>
    <cellStyle name="输入 2 10 2 5" xfId="2545" xr:uid="{00000000-0005-0000-0000-0000210A0000}"/>
    <cellStyle name="输入 2 10 2 5 2" xfId="27577" xr:uid="{00000000-0005-0000-0000-0000E96B0000}"/>
    <cellStyle name="输入 2 10 2 5 2 2" xfId="37658" xr:uid="{00000000-0005-0000-0000-00004A930000}"/>
    <cellStyle name="输入 2 10 2 5 3" xfId="17519" xr:uid="{00000000-0005-0000-0000-00009F440000}"/>
    <cellStyle name="输入 2 10 2 5 3 2" xfId="43483" xr:uid="{00000000-0005-0000-0000-00000BAA0000}"/>
    <cellStyle name="输入 2 10 2 5 4" xfId="43484" xr:uid="{00000000-0005-0000-0000-00000CAA0000}"/>
    <cellStyle name="输入 2 10 2 5 4 2" xfId="43485" xr:uid="{00000000-0005-0000-0000-00000DAA0000}"/>
    <cellStyle name="输入 2 10 2 5 5" xfId="36908" xr:uid="{00000000-0005-0000-0000-00005C900000}"/>
    <cellStyle name="输入 2 10 2 5 5 2" xfId="43486" xr:uid="{00000000-0005-0000-0000-00000EAA0000}"/>
    <cellStyle name="输入 2 10 2 5 6" xfId="43487" xr:uid="{00000000-0005-0000-0000-00000FAA0000}"/>
    <cellStyle name="输入 2 10 2 6" xfId="27582" xr:uid="{00000000-0005-0000-0000-0000EE6B0000}"/>
    <cellStyle name="输入 2 10 2 6 2" xfId="27584" xr:uid="{00000000-0005-0000-0000-0000F06B0000}"/>
    <cellStyle name="输入 2 10 2 6 2 2" xfId="38004" xr:uid="{00000000-0005-0000-0000-0000A4940000}"/>
    <cellStyle name="输入 2 10 2 6 3" xfId="17537" xr:uid="{00000000-0005-0000-0000-0000B1440000}"/>
    <cellStyle name="输入 2 10 2 6 3 2" xfId="43488" xr:uid="{00000000-0005-0000-0000-000010AA0000}"/>
    <cellStyle name="输入 2 10 2 6 4" xfId="43489" xr:uid="{00000000-0005-0000-0000-000011AA0000}"/>
    <cellStyle name="输入 2 10 2 6 4 2" xfId="43490" xr:uid="{00000000-0005-0000-0000-000012AA0000}"/>
    <cellStyle name="输入 2 10 2 6 5" xfId="36910" xr:uid="{00000000-0005-0000-0000-00005E900000}"/>
    <cellStyle name="输入 2 10 2 6 5 2" xfId="43491" xr:uid="{00000000-0005-0000-0000-000013AA0000}"/>
    <cellStyle name="输入 2 10 2 6 6" xfId="15382" xr:uid="{00000000-0005-0000-0000-0000463C0000}"/>
    <cellStyle name="输入 2 10 2 7" xfId="4310" xr:uid="{00000000-0005-0000-0000-000006110000}"/>
    <cellStyle name="输入 2 10 2 7 2" xfId="43492" xr:uid="{00000000-0005-0000-0000-000014AA0000}"/>
    <cellStyle name="输入 2 10 2 7 2 2" xfId="43493" xr:uid="{00000000-0005-0000-0000-000015AA0000}"/>
    <cellStyle name="输入 2 10 2 7 3" xfId="43494" xr:uid="{00000000-0005-0000-0000-000016AA0000}"/>
    <cellStyle name="输入 2 10 2 7 3 2" xfId="43495" xr:uid="{00000000-0005-0000-0000-000017AA0000}"/>
    <cellStyle name="输入 2 10 2 7 4" xfId="43496" xr:uid="{00000000-0005-0000-0000-000018AA0000}"/>
    <cellStyle name="输入 2 10 2 7 4 2" xfId="43497" xr:uid="{00000000-0005-0000-0000-000019AA0000}"/>
    <cellStyle name="输入 2 10 2 7 5" xfId="36912" xr:uid="{00000000-0005-0000-0000-000060900000}"/>
    <cellStyle name="输入 2 10 2 7 5 2" xfId="43498" xr:uid="{00000000-0005-0000-0000-00001AAA0000}"/>
    <cellStyle name="输入 2 10 2 7 6" xfId="33464" xr:uid="{00000000-0005-0000-0000-0000E8820000}"/>
    <cellStyle name="输入 2 10 2 8" xfId="43499" xr:uid="{00000000-0005-0000-0000-00001BAA0000}"/>
    <cellStyle name="输入 2 10 2 8 2" xfId="43500" xr:uid="{00000000-0005-0000-0000-00001CAA0000}"/>
    <cellStyle name="输入 2 10 2 8 2 2" xfId="43501" xr:uid="{00000000-0005-0000-0000-00001DAA0000}"/>
    <cellStyle name="输入 2 10 2 8 3" xfId="43502" xr:uid="{00000000-0005-0000-0000-00001EAA0000}"/>
    <cellStyle name="输入 2 10 2 8 3 2" xfId="43503" xr:uid="{00000000-0005-0000-0000-00001FAA0000}"/>
    <cellStyle name="输入 2 10 2 8 4" xfId="43504" xr:uid="{00000000-0005-0000-0000-000020AA0000}"/>
    <cellStyle name="输入 2 10 2 8 4 2" xfId="43505" xr:uid="{00000000-0005-0000-0000-000021AA0000}"/>
    <cellStyle name="输入 2 10 2 8 5" xfId="43507" xr:uid="{00000000-0005-0000-0000-000023AA0000}"/>
    <cellStyle name="输入 2 10 2 9" xfId="43508" xr:uid="{00000000-0005-0000-0000-000024AA0000}"/>
    <cellStyle name="输入 2 10 2 9 2" xfId="43509" xr:uid="{00000000-0005-0000-0000-000025AA0000}"/>
    <cellStyle name="输入 2 10 20" xfId="43411" xr:uid="{00000000-0005-0000-0000-0000C3A90000}"/>
    <cellStyle name="输入 2 10 20 2" xfId="43414" xr:uid="{00000000-0005-0000-0000-0000C6A90000}"/>
    <cellStyle name="输入 2 10 21" xfId="43420" xr:uid="{00000000-0005-0000-0000-0000CCA90000}"/>
    <cellStyle name="输入 2 10 21 2" xfId="43423" xr:uid="{00000000-0005-0000-0000-0000CFA90000}"/>
    <cellStyle name="输入 2 10 22" xfId="43435" xr:uid="{00000000-0005-0000-0000-0000DBA90000}"/>
    <cellStyle name="输入 2 10 22 2" xfId="43437" xr:uid="{00000000-0005-0000-0000-0000DDA90000}"/>
    <cellStyle name="输入 2 10 23" xfId="43446" xr:uid="{00000000-0005-0000-0000-0000E6A90000}"/>
    <cellStyle name="输入 2 10 23 2" xfId="37647" xr:uid="{00000000-0005-0000-0000-00003F930000}"/>
    <cellStyle name="输入 2 10 24" xfId="43452" xr:uid="{00000000-0005-0000-0000-0000ECA90000}"/>
    <cellStyle name="输入 2 10 25" xfId="41649" xr:uid="{00000000-0005-0000-0000-0000E1A20000}"/>
    <cellStyle name="输入 2 10 26" xfId="41651" xr:uid="{00000000-0005-0000-0000-0000E3A20000}"/>
    <cellStyle name="输入 2 10 27" xfId="31695" xr:uid="{00000000-0005-0000-0000-0000FF7B0000}"/>
    <cellStyle name="输入 2 10 3" xfId="43510" xr:uid="{00000000-0005-0000-0000-000026AA0000}"/>
    <cellStyle name="输入 2 10 3 10" xfId="43512" xr:uid="{00000000-0005-0000-0000-000028AA0000}"/>
    <cellStyle name="输入 2 10 3 10 2" xfId="43514" xr:uid="{00000000-0005-0000-0000-00002AAA0000}"/>
    <cellStyle name="输入 2 10 3 11" xfId="43515" xr:uid="{00000000-0005-0000-0000-00002BAA0000}"/>
    <cellStyle name="输入 2 10 3 11 2" xfId="43516" xr:uid="{00000000-0005-0000-0000-00002CAA0000}"/>
    <cellStyle name="输入 2 10 3 12" xfId="7043" xr:uid="{00000000-0005-0000-0000-0000B31B0000}"/>
    <cellStyle name="输入 2 10 3 12 2" xfId="43517" xr:uid="{00000000-0005-0000-0000-00002DAA0000}"/>
    <cellStyle name="输入 2 10 3 13" xfId="43518" xr:uid="{00000000-0005-0000-0000-00002EAA0000}"/>
    <cellStyle name="输入 2 10 3 14" xfId="43519" xr:uid="{00000000-0005-0000-0000-00002FAA0000}"/>
    <cellStyle name="输入 2 10 3 15" xfId="43520" xr:uid="{00000000-0005-0000-0000-000030AA0000}"/>
    <cellStyle name="输入 2 10 3 16" xfId="32560" xr:uid="{00000000-0005-0000-0000-0000607F0000}"/>
    <cellStyle name="输入 2 10 3 2" xfId="43522" xr:uid="{00000000-0005-0000-0000-000032AA0000}"/>
    <cellStyle name="输入 2 10 3 2 2" xfId="43523" xr:uid="{00000000-0005-0000-0000-000033AA0000}"/>
    <cellStyle name="输入 2 10 3 2 2 2" xfId="43525" xr:uid="{00000000-0005-0000-0000-000035AA0000}"/>
    <cellStyle name="输入 2 10 3 2 3" xfId="43527" xr:uid="{00000000-0005-0000-0000-000037AA0000}"/>
    <cellStyle name="输入 2 10 3 2 3 2" xfId="36312" xr:uid="{00000000-0005-0000-0000-0000088E0000}"/>
    <cellStyle name="输入 2 10 3 2 4" xfId="43530" xr:uid="{00000000-0005-0000-0000-00003AAA0000}"/>
    <cellStyle name="输入 2 10 3 2 4 2" xfId="36190" xr:uid="{00000000-0005-0000-0000-00008E8D0000}"/>
    <cellStyle name="输入 2 10 3 2 5" xfId="43532" xr:uid="{00000000-0005-0000-0000-00003CAA0000}"/>
    <cellStyle name="输入 2 10 3 2 5 2" xfId="36343" xr:uid="{00000000-0005-0000-0000-0000278E0000}"/>
    <cellStyle name="输入 2 10 3 2 6" xfId="43534" xr:uid="{00000000-0005-0000-0000-00003EAA0000}"/>
    <cellStyle name="输入 2 10 3 2 7" xfId="43536" xr:uid="{00000000-0005-0000-0000-000040AA0000}"/>
    <cellStyle name="输入 2 10 3 2 8" xfId="38502" xr:uid="{00000000-0005-0000-0000-000096960000}"/>
    <cellStyle name="输入 2 10 3 2 9" xfId="43539" xr:uid="{00000000-0005-0000-0000-000043AA0000}"/>
    <cellStyle name="输入 2 10 3 3" xfId="27587" xr:uid="{00000000-0005-0000-0000-0000F36B0000}"/>
    <cellStyle name="输入 2 10 3 3 2" xfId="27580" xr:uid="{00000000-0005-0000-0000-0000EC6B0000}"/>
    <cellStyle name="输入 2 10 3 3 2 2" xfId="43541" xr:uid="{00000000-0005-0000-0000-000045AA0000}"/>
    <cellStyle name="输入 2 10 3 3 3" xfId="4313" xr:uid="{00000000-0005-0000-0000-000009110000}"/>
    <cellStyle name="输入 2 10 3 3 3 2" xfId="36372" xr:uid="{00000000-0005-0000-0000-0000448E0000}"/>
    <cellStyle name="输入 2 10 3 3 4" xfId="43543" xr:uid="{00000000-0005-0000-0000-000047AA0000}"/>
    <cellStyle name="输入 2 10 3 3 4 2" xfId="36392" xr:uid="{00000000-0005-0000-0000-0000588E0000}"/>
    <cellStyle name="输入 2 10 3 3 5" xfId="43544" xr:uid="{00000000-0005-0000-0000-000048AA0000}"/>
    <cellStyle name="输入 2 10 3 3 5 2" xfId="36405" xr:uid="{00000000-0005-0000-0000-0000658E0000}"/>
    <cellStyle name="输入 2 10 3 3 6" xfId="43545" xr:uid="{00000000-0005-0000-0000-000049AA0000}"/>
    <cellStyle name="输入 2 10 3 4" xfId="27589" xr:uid="{00000000-0005-0000-0000-0000F56B0000}"/>
    <cellStyle name="输入 2 10 3 4 2" xfId="27595" xr:uid="{00000000-0005-0000-0000-0000FB6B0000}"/>
    <cellStyle name="输入 2 10 3 4 2 2" xfId="43546" xr:uid="{00000000-0005-0000-0000-00004AAA0000}"/>
    <cellStyle name="输入 2 10 3 4 3" xfId="4341" xr:uid="{00000000-0005-0000-0000-000025110000}"/>
    <cellStyle name="输入 2 10 3 4 3 2" xfId="36443" xr:uid="{00000000-0005-0000-0000-00008B8E0000}"/>
    <cellStyle name="输入 2 10 3 4 4" xfId="43548" xr:uid="{00000000-0005-0000-0000-00004CAA0000}"/>
    <cellStyle name="输入 2 10 3 4 4 2" xfId="36458" xr:uid="{00000000-0005-0000-0000-00009A8E0000}"/>
    <cellStyle name="输入 2 10 3 4 5" xfId="43549" xr:uid="{00000000-0005-0000-0000-00004DAA0000}"/>
    <cellStyle name="输入 2 10 3 4 5 2" xfId="36469" xr:uid="{00000000-0005-0000-0000-0000A58E0000}"/>
    <cellStyle name="输入 2 10 3 4 6" xfId="43550" xr:uid="{00000000-0005-0000-0000-00004EAA0000}"/>
    <cellStyle name="输入 2 10 3 5" xfId="4322" xr:uid="{00000000-0005-0000-0000-000012110000}"/>
    <cellStyle name="输入 2 10 3 5 2" xfId="27598" xr:uid="{00000000-0005-0000-0000-0000FE6B0000}"/>
    <cellStyle name="输入 2 10 3 5 2 2" xfId="43551" xr:uid="{00000000-0005-0000-0000-00004FAA0000}"/>
    <cellStyle name="输入 2 10 3 5 3" xfId="17941" xr:uid="{00000000-0005-0000-0000-000045460000}"/>
    <cellStyle name="输入 2 10 3 5 3 2" xfId="43553" xr:uid="{00000000-0005-0000-0000-000051AA0000}"/>
    <cellStyle name="输入 2 10 3 5 4" xfId="43555" xr:uid="{00000000-0005-0000-0000-000053AA0000}"/>
    <cellStyle name="输入 2 10 3 5 4 2" xfId="43556" xr:uid="{00000000-0005-0000-0000-000054AA0000}"/>
    <cellStyle name="输入 2 10 3 5 5" xfId="43557" xr:uid="{00000000-0005-0000-0000-000055AA0000}"/>
    <cellStyle name="输入 2 10 3 5 5 2" xfId="43558" xr:uid="{00000000-0005-0000-0000-000056AA0000}"/>
    <cellStyle name="输入 2 10 3 5 6" xfId="43559" xr:uid="{00000000-0005-0000-0000-000057AA0000}"/>
    <cellStyle name="输入 2 10 3 6" xfId="27592" xr:uid="{00000000-0005-0000-0000-0000F86B0000}"/>
    <cellStyle name="输入 2 10 3 6 2" xfId="43560" xr:uid="{00000000-0005-0000-0000-000058AA0000}"/>
    <cellStyle name="输入 2 10 3 6 2 2" xfId="43562" xr:uid="{00000000-0005-0000-0000-00005AAA0000}"/>
    <cellStyle name="输入 2 10 3 6 3" xfId="43564" xr:uid="{00000000-0005-0000-0000-00005CAA0000}"/>
    <cellStyle name="输入 2 10 3 6 3 2" xfId="43566" xr:uid="{00000000-0005-0000-0000-00005EAA0000}"/>
    <cellStyle name="输入 2 10 3 6 4" xfId="43568" xr:uid="{00000000-0005-0000-0000-000060AA0000}"/>
    <cellStyle name="输入 2 10 3 6 4 2" xfId="32731" xr:uid="{00000000-0005-0000-0000-00000B800000}"/>
    <cellStyle name="输入 2 10 3 6 5" xfId="43569" xr:uid="{00000000-0005-0000-0000-000061AA0000}"/>
    <cellStyle name="输入 2 10 3 6 5 2" xfId="32749" xr:uid="{00000000-0005-0000-0000-00001D800000}"/>
    <cellStyle name="输入 2 10 3 6 6" xfId="15409" xr:uid="{00000000-0005-0000-0000-0000613C0000}"/>
    <cellStyle name="输入 2 10 3 7" xfId="43570" xr:uid="{00000000-0005-0000-0000-000062AA0000}"/>
    <cellStyle name="输入 2 10 3 7 2" xfId="43571" xr:uid="{00000000-0005-0000-0000-000063AA0000}"/>
    <cellStyle name="输入 2 10 3 7 2 2" xfId="43573" xr:uid="{00000000-0005-0000-0000-000065AA0000}"/>
    <cellStyle name="输入 2 10 3 7 3" xfId="43574" xr:uid="{00000000-0005-0000-0000-000066AA0000}"/>
    <cellStyle name="输入 2 10 3 7 3 2" xfId="43576" xr:uid="{00000000-0005-0000-0000-000068AA0000}"/>
    <cellStyle name="输入 2 10 3 7 4" xfId="43577" xr:uid="{00000000-0005-0000-0000-000069AA0000}"/>
    <cellStyle name="输入 2 10 3 7 4 2" xfId="32821" xr:uid="{00000000-0005-0000-0000-000065800000}"/>
    <cellStyle name="输入 2 10 3 7 5" xfId="43579" xr:uid="{00000000-0005-0000-0000-00006BAA0000}"/>
    <cellStyle name="输入 2 10 3 7 5 2" xfId="32840" xr:uid="{00000000-0005-0000-0000-000078800000}"/>
    <cellStyle name="输入 2 10 3 7 6" xfId="33471" xr:uid="{00000000-0005-0000-0000-0000EF820000}"/>
    <cellStyle name="输入 2 10 3 8" xfId="43581" xr:uid="{00000000-0005-0000-0000-00006DAA0000}"/>
    <cellStyle name="输入 2 10 3 8 2" xfId="43582" xr:uid="{00000000-0005-0000-0000-00006EAA0000}"/>
    <cellStyle name="输入 2 10 3 8 2 2" xfId="43583" xr:uid="{00000000-0005-0000-0000-00006FAA0000}"/>
    <cellStyle name="输入 2 10 3 8 3" xfId="43584" xr:uid="{00000000-0005-0000-0000-000070AA0000}"/>
    <cellStyle name="输入 2 10 3 8 3 2" xfId="43585" xr:uid="{00000000-0005-0000-0000-000071AA0000}"/>
    <cellStyle name="输入 2 10 3 8 4" xfId="43586" xr:uid="{00000000-0005-0000-0000-000072AA0000}"/>
    <cellStyle name="输入 2 10 3 8 4 2" xfId="43587" xr:uid="{00000000-0005-0000-0000-000073AA0000}"/>
    <cellStyle name="输入 2 10 3 8 5" xfId="43589" xr:uid="{00000000-0005-0000-0000-000075AA0000}"/>
    <cellStyle name="输入 2 10 3 9" xfId="43590" xr:uid="{00000000-0005-0000-0000-000076AA0000}"/>
    <cellStyle name="输入 2 10 3 9 2" xfId="34294" xr:uid="{00000000-0005-0000-0000-000026860000}"/>
    <cellStyle name="输入 2 10 4" xfId="43591" xr:uid="{00000000-0005-0000-0000-000077AA0000}"/>
    <cellStyle name="输入 2 10 4 10" xfId="43592" xr:uid="{00000000-0005-0000-0000-000078AA0000}"/>
    <cellStyle name="输入 2 10 4 10 2" xfId="43593" xr:uid="{00000000-0005-0000-0000-000079AA0000}"/>
    <cellStyle name="输入 2 10 4 11" xfId="43594" xr:uid="{00000000-0005-0000-0000-00007AAA0000}"/>
    <cellStyle name="输入 2 10 4 11 2" xfId="43597" xr:uid="{00000000-0005-0000-0000-00007DAA0000}"/>
    <cellStyle name="输入 2 10 4 12" xfId="43599" xr:uid="{00000000-0005-0000-0000-00007FAA0000}"/>
    <cellStyle name="输入 2 10 4 12 2" xfId="43601" xr:uid="{00000000-0005-0000-0000-000081AA0000}"/>
    <cellStyle name="输入 2 10 4 13" xfId="43603" xr:uid="{00000000-0005-0000-0000-000083AA0000}"/>
    <cellStyle name="输入 2 10 4 14" xfId="43605" xr:uid="{00000000-0005-0000-0000-000085AA0000}"/>
    <cellStyle name="输入 2 10 4 15" xfId="43607" xr:uid="{00000000-0005-0000-0000-000087AA0000}"/>
    <cellStyle name="输入 2 10 4 16" xfId="8346" xr:uid="{00000000-0005-0000-0000-0000CA200000}"/>
    <cellStyle name="输入 2 10 4 2" xfId="43611" xr:uid="{00000000-0005-0000-0000-00008BAA0000}"/>
    <cellStyle name="输入 2 10 4 2 2" xfId="43612" xr:uid="{00000000-0005-0000-0000-00008CAA0000}"/>
    <cellStyle name="输入 2 10 4 2 2 2" xfId="43613" xr:uid="{00000000-0005-0000-0000-00008DAA0000}"/>
    <cellStyle name="输入 2 10 4 2 3" xfId="43614" xr:uid="{00000000-0005-0000-0000-00008EAA0000}"/>
    <cellStyle name="输入 2 10 4 2 3 2" xfId="36737" xr:uid="{00000000-0005-0000-0000-0000B18F0000}"/>
    <cellStyle name="输入 2 10 4 2 4" xfId="43616" xr:uid="{00000000-0005-0000-0000-000090AA0000}"/>
    <cellStyle name="输入 2 10 4 2 4 2" xfId="36752" xr:uid="{00000000-0005-0000-0000-0000C08F0000}"/>
    <cellStyle name="输入 2 10 4 2 5" xfId="43618" xr:uid="{00000000-0005-0000-0000-000092AA0000}"/>
    <cellStyle name="输入 2 10 4 2 5 2" xfId="36768" xr:uid="{00000000-0005-0000-0000-0000D08F0000}"/>
    <cellStyle name="输入 2 10 4 2 6" xfId="26742" xr:uid="{00000000-0005-0000-0000-0000A6680000}"/>
    <cellStyle name="输入 2 10 4 2 7" xfId="43620" xr:uid="{00000000-0005-0000-0000-000094AA0000}"/>
    <cellStyle name="输入 2 10 4 2 8" xfId="43624" xr:uid="{00000000-0005-0000-0000-000098AA0000}"/>
    <cellStyle name="输入 2 10 4 2 9" xfId="43627" xr:uid="{00000000-0005-0000-0000-00009BAA0000}"/>
    <cellStyle name="输入 2 10 4 3" xfId="27601" xr:uid="{00000000-0005-0000-0000-0000016C0000}"/>
    <cellStyle name="输入 2 10 4 3 2" xfId="43630" xr:uid="{00000000-0005-0000-0000-00009EAA0000}"/>
    <cellStyle name="输入 2 10 4 3 2 2" xfId="43632" xr:uid="{00000000-0005-0000-0000-0000A0AA0000}"/>
    <cellStyle name="输入 2 10 4 3 3" xfId="43633" xr:uid="{00000000-0005-0000-0000-0000A1AA0000}"/>
    <cellStyle name="输入 2 10 4 3 3 2" xfId="36797" xr:uid="{00000000-0005-0000-0000-0000ED8F0000}"/>
    <cellStyle name="输入 2 10 4 3 4" xfId="43635" xr:uid="{00000000-0005-0000-0000-0000A3AA0000}"/>
    <cellStyle name="输入 2 10 4 3 4 2" xfId="36814" xr:uid="{00000000-0005-0000-0000-0000FE8F0000}"/>
    <cellStyle name="输入 2 10 4 3 5" xfId="43636" xr:uid="{00000000-0005-0000-0000-0000A4AA0000}"/>
    <cellStyle name="输入 2 10 4 3 5 2" xfId="36830" xr:uid="{00000000-0005-0000-0000-00000E900000}"/>
    <cellStyle name="输入 2 10 4 3 6" xfId="43637" xr:uid="{00000000-0005-0000-0000-0000A5AA0000}"/>
    <cellStyle name="输入 2 10 4 4" xfId="43638" xr:uid="{00000000-0005-0000-0000-0000A6AA0000}"/>
    <cellStyle name="输入 2 10 4 4 2" xfId="43639" xr:uid="{00000000-0005-0000-0000-0000A7AA0000}"/>
    <cellStyle name="输入 2 10 4 4 2 2" xfId="43640" xr:uid="{00000000-0005-0000-0000-0000A8AA0000}"/>
    <cellStyle name="输入 2 10 4 4 3" xfId="43641" xr:uid="{00000000-0005-0000-0000-0000A9AA0000}"/>
    <cellStyle name="输入 2 10 4 4 3 2" xfId="36856" xr:uid="{00000000-0005-0000-0000-000028900000}"/>
    <cellStyle name="输入 2 10 4 4 4" xfId="43642" xr:uid="{00000000-0005-0000-0000-0000AAAA0000}"/>
    <cellStyle name="输入 2 10 4 4 4 2" xfId="36870" xr:uid="{00000000-0005-0000-0000-000036900000}"/>
    <cellStyle name="输入 2 10 4 4 5" xfId="43643" xr:uid="{00000000-0005-0000-0000-0000ABAA0000}"/>
    <cellStyle name="输入 2 10 4 4 5 2" xfId="36881" xr:uid="{00000000-0005-0000-0000-000041900000}"/>
    <cellStyle name="输入 2 10 4 4 6" xfId="43644" xr:uid="{00000000-0005-0000-0000-0000ACAA0000}"/>
    <cellStyle name="输入 2 10 4 5" xfId="43645" xr:uid="{00000000-0005-0000-0000-0000ADAA0000}"/>
    <cellStyle name="输入 2 10 4 5 2" xfId="43646" xr:uid="{00000000-0005-0000-0000-0000AEAA0000}"/>
    <cellStyle name="输入 2 10 4 5 2 2" xfId="43647" xr:uid="{00000000-0005-0000-0000-0000AFAA0000}"/>
    <cellStyle name="输入 2 10 4 5 3" xfId="43648" xr:uid="{00000000-0005-0000-0000-0000B0AA0000}"/>
    <cellStyle name="输入 2 10 4 5 3 2" xfId="43649" xr:uid="{00000000-0005-0000-0000-0000B1AA0000}"/>
    <cellStyle name="输入 2 10 4 5 4" xfId="43650" xr:uid="{00000000-0005-0000-0000-0000B2AA0000}"/>
    <cellStyle name="输入 2 10 4 5 4 2" xfId="43651" xr:uid="{00000000-0005-0000-0000-0000B3AA0000}"/>
    <cellStyle name="输入 2 10 4 5 5" xfId="43652" xr:uid="{00000000-0005-0000-0000-0000B4AA0000}"/>
    <cellStyle name="输入 2 10 4 5 5 2" xfId="43653" xr:uid="{00000000-0005-0000-0000-0000B5AA0000}"/>
    <cellStyle name="输入 2 10 4 5 6" xfId="43654" xr:uid="{00000000-0005-0000-0000-0000B6AA0000}"/>
    <cellStyle name="输入 2 10 4 6" xfId="43655" xr:uid="{00000000-0005-0000-0000-0000B7AA0000}"/>
    <cellStyle name="输入 2 10 4 6 2" xfId="43656" xr:uid="{00000000-0005-0000-0000-0000B8AA0000}"/>
    <cellStyle name="输入 2 10 4 6 2 2" xfId="43657" xr:uid="{00000000-0005-0000-0000-0000B9AA0000}"/>
    <cellStyle name="输入 2 10 4 6 3" xfId="43658" xr:uid="{00000000-0005-0000-0000-0000BAAA0000}"/>
    <cellStyle name="输入 2 10 4 6 3 2" xfId="43659" xr:uid="{00000000-0005-0000-0000-0000BBAA0000}"/>
    <cellStyle name="输入 2 10 4 6 4" xfId="43660" xr:uid="{00000000-0005-0000-0000-0000BCAA0000}"/>
    <cellStyle name="输入 2 10 4 6 4 2" xfId="43661" xr:uid="{00000000-0005-0000-0000-0000BDAA0000}"/>
    <cellStyle name="输入 2 10 4 6 5" xfId="41514" xr:uid="{00000000-0005-0000-0000-00005AA20000}"/>
    <cellStyle name="输入 2 10 4 6 5 2" xfId="42329" xr:uid="{00000000-0005-0000-0000-000089A50000}"/>
    <cellStyle name="输入 2 10 4 6 6" xfId="43662" xr:uid="{00000000-0005-0000-0000-0000BEAA0000}"/>
    <cellStyle name="输入 2 10 4 7" xfId="43663" xr:uid="{00000000-0005-0000-0000-0000BFAA0000}"/>
    <cellStyle name="输入 2 10 4 7 2" xfId="43664" xr:uid="{00000000-0005-0000-0000-0000C0AA0000}"/>
    <cellStyle name="输入 2 10 4 7 2 2" xfId="43665" xr:uid="{00000000-0005-0000-0000-0000C1AA0000}"/>
    <cellStyle name="输入 2 10 4 7 3" xfId="43666" xr:uid="{00000000-0005-0000-0000-0000C2AA0000}"/>
    <cellStyle name="输入 2 10 4 7 3 2" xfId="43667" xr:uid="{00000000-0005-0000-0000-0000C3AA0000}"/>
    <cellStyle name="输入 2 10 4 7 4" xfId="43668" xr:uid="{00000000-0005-0000-0000-0000C4AA0000}"/>
    <cellStyle name="输入 2 10 4 7 4 2" xfId="43670" xr:uid="{00000000-0005-0000-0000-0000C6AA0000}"/>
    <cellStyle name="输入 2 10 4 7 5" xfId="41516" xr:uid="{00000000-0005-0000-0000-00005CA20000}"/>
    <cellStyle name="输入 2 10 4 7 5 2" xfId="42614" xr:uid="{00000000-0005-0000-0000-0000A6A60000}"/>
    <cellStyle name="输入 2 10 4 7 6" xfId="43672" xr:uid="{00000000-0005-0000-0000-0000C8AA0000}"/>
    <cellStyle name="输入 2 10 4 8" xfId="43674" xr:uid="{00000000-0005-0000-0000-0000CAAA0000}"/>
    <cellStyle name="输入 2 10 4 8 2" xfId="43675" xr:uid="{00000000-0005-0000-0000-0000CBAA0000}"/>
    <cellStyle name="输入 2 10 4 8 2 2" xfId="43677" xr:uid="{00000000-0005-0000-0000-0000CDAA0000}"/>
    <cellStyle name="输入 2 10 4 8 3" xfId="43678" xr:uid="{00000000-0005-0000-0000-0000CEAA0000}"/>
    <cellStyle name="输入 2 10 4 8 3 2" xfId="43680" xr:uid="{00000000-0005-0000-0000-0000D0AA0000}"/>
    <cellStyle name="输入 2 10 4 8 4" xfId="43681" xr:uid="{00000000-0005-0000-0000-0000D1AA0000}"/>
    <cellStyle name="输入 2 10 4 8 4 2" xfId="43682" xr:uid="{00000000-0005-0000-0000-0000D2AA0000}"/>
    <cellStyle name="输入 2 10 4 8 5" xfId="41520" xr:uid="{00000000-0005-0000-0000-000060A20000}"/>
    <cellStyle name="输入 2 10 4 9" xfId="43684" xr:uid="{00000000-0005-0000-0000-0000D4AA0000}"/>
    <cellStyle name="输入 2 10 4 9 2" xfId="34341" xr:uid="{00000000-0005-0000-0000-000055860000}"/>
    <cellStyle name="输入 2 10 5" xfId="40133" xr:uid="{00000000-0005-0000-0000-0000F59C0000}"/>
    <cellStyle name="输入 2 10 5 10" xfId="43685" xr:uid="{00000000-0005-0000-0000-0000D5AA0000}"/>
    <cellStyle name="输入 2 10 5 10 2" xfId="43686" xr:uid="{00000000-0005-0000-0000-0000D6AA0000}"/>
    <cellStyle name="输入 2 10 5 11" xfId="43687" xr:uid="{00000000-0005-0000-0000-0000D7AA0000}"/>
    <cellStyle name="输入 2 10 5 11 2" xfId="43688" xr:uid="{00000000-0005-0000-0000-0000D8AA0000}"/>
    <cellStyle name="输入 2 10 5 12" xfId="43689" xr:uid="{00000000-0005-0000-0000-0000D9AA0000}"/>
    <cellStyle name="输入 2 10 5 12 2" xfId="43690" xr:uid="{00000000-0005-0000-0000-0000DAAA0000}"/>
    <cellStyle name="输入 2 10 5 13" xfId="43691" xr:uid="{00000000-0005-0000-0000-0000DBAA0000}"/>
    <cellStyle name="输入 2 10 5 14" xfId="43692" xr:uid="{00000000-0005-0000-0000-0000DCAA0000}"/>
    <cellStyle name="输入 2 10 5 15" xfId="43693" xr:uid="{00000000-0005-0000-0000-0000DDAA0000}"/>
    <cellStyle name="输入 2 10 5 16" xfId="43694" xr:uid="{00000000-0005-0000-0000-0000DEAA0000}"/>
    <cellStyle name="输入 2 10 5 2" xfId="43695" xr:uid="{00000000-0005-0000-0000-0000DFAA0000}"/>
    <cellStyle name="输入 2 10 5 2 2" xfId="43696" xr:uid="{00000000-0005-0000-0000-0000E0AA0000}"/>
    <cellStyle name="输入 2 10 5 2 2 2" xfId="38051" xr:uid="{00000000-0005-0000-0000-0000D3940000}"/>
    <cellStyle name="输入 2 10 5 2 3" xfId="43697" xr:uid="{00000000-0005-0000-0000-0000E1AA0000}"/>
    <cellStyle name="输入 2 10 5 2 3 2" xfId="37182" xr:uid="{00000000-0005-0000-0000-00006E910000}"/>
    <cellStyle name="输入 2 10 5 2 4" xfId="43698" xr:uid="{00000000-0005-0000-0000-0000E2AA0000}"/>
    <cellStyle name="输入 2 10 5 2 4 2" xfId="37209" xr:uid="{00000000-0005-0000-0000-000089910000}"/>
    <cellStyle name="输入 2 10 5 2 5" xfId="177" xr:uid="{00000000-0005-0000-0000-0000BF000000}"/>
    <cellStyle name="输入 2 10 5 2 5 2" xfId="37227" xr:uid="{00000000-0005-0000-0000-00009B910000}"/>
    <cellStyle name="输入 2 10 5 2 6" xfId="43699" xr:uid="{00000000-0005-0000-0000-0000E3AA0000}"/>
    <cellStyle name="输入 2 10 5 2 7" xfId="43700" xr:uid="{00000000-0005-0000-0000-0000E4AA0000}"/>
    <cellStyle name="输入 2 10 5 2 8" xfId="43702" xr:uid="{00000000-0005-0000-0000-0000E6AA0000}"/>
    <cellStyle name="输入 2 10 5 2 9" xfId="43703" xr:uid="{00000000-0005-0000-0000-0000E7AA0000}"/>
    <cellStyle name="输入 2 10 5 3" xfId="43704" xr:uid="{00000000-0005-0000-0000-0000E8AA0000}"/>
    <cellStyle name="输入 2 10 5 3 2" xfId="43705" xr:uid="{00000000-0005-0000-0000-0000E9AA0000}"/>
    <cellStyle name="输入 2 10 5 3 2 2" xfId="43707" xr:uid="{00000000-0005-0000-0000-0000EBAA0000}"/>
    <cellStyle name="输入 2 10 5 3 3" xfId="43708" xr:uid="{00000000-0005-0000-0000-0000ECAA0000}"/>
    <cellStyle name="输入 2 10 5 3 3 2" xfId="37262" xr:uid="{00000000-0005-0000-0000-0000BE910000}"/>
    <cellStyle name="输入 2 10 5 3 4" xfId="43710" xr:uid="{00000000-0005-0000-0000-0000EEAA0000}"/>
    <cellStyle name="输入 2 10 5 3 4 2" xfId="37284" xr:uid="{00000000-0005-0000-0000-0000D4910000}"/>
    <cellStyle name="输入 2 10 5 3 5" xfId="43711" xr:uid="{00000000-0005-0000-0000-0000EFAA0000}"/>
    <cellStyle name="输入 2 10 5 3 5 2" xfId="37302" xr:uid="{00000000-0005-0000-0000-0000E6910000}"/>
    <cellStyle name="输入 2 10 5 3 6" xfId="43712" xr:uid="{00000000-0005-0000-0000-0000F0AA0000}"/>
    <cellStyle name="输入 2 10 5 4" xfId="43713" xr:uid="{00000000-0005-0000-0000-0000F1AA0000}"/>
    <cellStyle name="输入 2 10 5 4 2" xfId="43714" xr:uid="{00000000-0005-0000-0000-0000F2AA0000}"/>
    <cellStyle name="输入 2 10 5 4 2 2" xfId="43715" xr:uid="{00000000-0005-0000-0000-0000F3AA0000}"/>
    <cellStyle name="输入 2 10 5 4 3" xfId="43716" xr:uid="{00000000-0005-0000-0000-0000F4AA0000}"/>
    <cellStyle name="输入 2 10 5 4 3 2" xfId="37338" xr:uid="{00000000-0005-0000-0000-00000A920000}"/>
    <cellStyle name="输入 2 10 5 4 4" xfId="43717" xr:uid="{00000000-0005-0000-0000-0000F5AA0000}"/>
    <cellStyle name="输入 2 10 5 4 4 2" xfId="37358" xr:uid="{00000000-0005-0000-0000-00001E920000}"/>
    <cellStyle name="输入 2 10 5 4 5" xfId="43718" xr:uid="{00000000-0005-0000-0000-0000F6AA0000}"/>
    <cellStyle name="输入 2 10 5 4 5 2" xfId="37370" xr:uid="{00000000-0005-0000-0000-00002A920000}"/>
    <cellStyle name="输入 2 10 5 4 6" xfId="43719" xr:uid="{00000000-0005-0000-0000-0000F7AA0000}"/>
    <cellStyle name="输入 2 10 5 5" xfId="43720" xr:uid="{00000000-0005-0000-0000-0000F8AA0000}"/>
    <cellStyle name="输入 2 10 5 5 2" xfId="43721" xr:uid="{00000000-0005-0000-0000-0000F9AA0000}"/>
    <cellStyle name="输入 2 10 5 5 2 2" xfId="43722" xr:uid="{00000000-0005-0000-0000-0000FAAA0000}"/>
    <cellStyle name="输入 2 10 5 5 3" xfId="43723" xr:uid="{00000000-0005-0000-0000-0000FBAA0000}"/>
    <cellStyle name="输入 2 10 5 5 3 2" xfId="43724" xr:uid="{00000000-0005-0000-0000-0000FCAA0000}"/>
    <cellStyle name="输入 2 10 5 5 4" xfId="43725" xr:uid="{00000000-0005-0000-0000-0000FDAA0000}"/>
    <cellStyle name="输入 2 10 5 5 4 2" xfId="43726" xr:uid="{00000000-0005-0000-0000-0000FEAA0000}"/>
    <cellStyle name="输入 2 10 5 5 5" xfId="43727" xr:uid="{00000000-0005-0000-0000-0000FFAA0000}"/>
    <cellStyle name="输入 2 10 5 5 5 2" xfId="43728" xr:uid="{00000000-0005-0000-0000-000000AB0000}"/>
    <cellStyle name="输入 2 10 5 5 6" xfId="43729" xr:uid="{00000000-0005-0000-0000-000001AB0000}"/>
    <cellStyle name="输入 2 10 5 6" xfId="43730" xr:uid="{00000000-0005-0000-0000-000002AB0000}"/>
    <cellStyle name="输入 2 10 5 6 2" xfId="14171" xr:uid="{00000000-0005-0000-0000-00008B370000}"/>
    <cellStyle name="输入 2 10 5 6 2 2" xfId="14174" xr:uid="{00000000-0005-0000-0000-00008E370000}"/>
    <cellStyle name="输入 2 10 5 6 3" xfId="14186" xr:uid="{00000000-0005-0000-0000-00009A370000}"/>
    <cellStyle name="输入 2 10 5 6 3 2" xfId="14189" xr:uid="{00000000-0005-0000-0000-00009D370000}"/>
    <cellStyle name="输入 2 10 5 6 4" xfId="14206" xr:uid="{00000000-0005-0000-0000-0000AE370000}"/>
    <cellStyle name="输入 2 10 5 6 4 2" xfId="14213" xr:uid="{00000000-0005-0000-0000-0000B5370000}"/>
    <cellStyle name="输入 2 10 5 6 5" xfId="14235" xr:uid="{00000000-0005-0000-0000-0000CB370000}"/>
    <cellStyle name="输入 2 10 5 6 5 2" xfId="37606" xr:uid="{00000000-0005-0000-0000-000016930000}"/>
    <cellStyle name="输入 2 10 5 6 6" xfId="14268" xr:uid="{00000000-0005-0000-0000-0000EC370000}"/>
    <cellStyle name="输入 2 10 5 7" xfId="43731" xr:uid="{00000000-0005-0000-0000-000003AB0000}"/>
    <cellStyle name="输入 2 10 5 7 2" xfId="43732" xr:uid="{00000000-0005-0000-0000-000004AB0000}"/>
    <cellStyle name="输入 2 10 5 7 2 2" xfId="43734" xr:uid="{00000000-0005-0000-0000-000006AB0000}"/>
    <cellStyle name="输入 2 10 5 7 3" xfId="43736" xr:uid="{00000000-0005-0000-0000-000008AB0000}"/>
    <cellStyle name="输入 2 10 5 7 3 2" xfId="43738" xr:uid="{00000000-0005-0000-0000-00000AAB0000}"/>
    <cellStyle name="输入 2 10 5 7 4" xfId="43740" xr:uid="{00000000-0005-0000-0000-00000CAB0000}"/>
    <cellStyle name="输入 2 10 5 7 4 2" xfId="43742" xr:uid="{00000000-0005-0000-0000-00000EAB0000}"/>
    <cellStyle name="输入 2 10 5 7 5" xfId="41529" xr:uid="{00000000-0005-0000-0000-000069A20000}"/>
    <cellStyle name="输入 2 10 5 7 5 2" xfId="43743" xr:uid="{00000000-0005-0000-0000-00000FAB0000}"/>
    <cellStyle name="输入 2 10 5 7 6" xfId="43744" xr:uid="{00000000-0005-0000-0000-000010AB0000}"/>
    <cellStyle name="输入 2 10 5 8" xfId="43746" xr:uid="{00000000-0005-0000-0000-000012AB0000}"/>
    <cellStyle name="输入 2 10 5 8 2" xfId="43748" xr:uid="{00000000-0005-0000-0000-000014AB0000}"/>
    <cellStyle name="输入 2 10 5 8 2 2" xfId="43750" xr:uid="{00000000-0005-0000-0000-000016AB0000}"/>
    <cellStyle name="输入 2 10 5 8 3" xfId="43751" xr:uid="{00000000-0005-0000-0000-000017AB0000}"/>
    <cellStyle name="输入 2 10 5 8 3 2" xfId="43753" xr:uid="{00000000-0005-0000-0000-000019AB0000}"/>
    <cellStyle name="输入 2 10 5 8 4" xfId="43754" xr:uid="{00000000-0005-0000-0000-00001AAB0000}"/>
    <cellStyle name="输入 2 10 5 8 4 2" xfId="43755" xr:uid="{00000000-0005-0000-0000-00001BAB0000}"/>
    <cellStyle name="输入 2 10 5 8 5" xfId="41533" xr:uid="{00000000-0005-0000-0000-00006DA20000}"/>
    <cellStyle name="输入 2 10 5 9" xfId="43757" xr:uid="{00000000-0005-0000-0000-00001DAB0000}"/>
    <cellStyle name="输入 2 10 5 9 2" xfId="34378" xr:uid="{00000000-0005-0000-0000-00007A860000}"/>
    <cellStyle name="输入 2 10 6" xfId="14393" xr:uid="{00000000-0005-0000-0000-000069380000}"/>
    <cellStyle name="输入 2 10 6 10" xfId="39240" xr:uid="{00000000-0005-0000-0000-000078990000}"/>
    <cellStyle name="输入 2 10 6 10 2" xfId="39261" xr:uid="{00000000-0005-0000-0000-00008D990000}"/>
    <cellStyle name="输入 2 10 6 11" xfId="39341" xr:uid="{00000000-0005-0000-0000-0000DD990000}"/>
    <cellStyle name="输入 2 10 6 11 2" xfId="39351" xr:uid="{00000000-0005-0000-0000-0000E7990000}"/>
    <cellStyle name="输入 2 10 6 12" xfId="36571" xr:uid="{00000000-0005-0000-0000-00000B8F0000}"/>
    <cellStyle name="输入 2 10 6 12 2" xfId="39385" xr:uid="{00000000-0005-0000-0000-0000099A0000}"/>
    <cellStyle name="输入 2 10 6 13" xfId="39403" xr:uid="{00000000-0005-0000-0000-00001B9A0000}"/>
    <cellStyle name="输入 2 10 6 14" xfId="39924" xr:uid="{00000000-0005-0000-0000-0000249C0000}"/>
    <cellStyle name="输入 2 10 6 15" xfId="43758" xr:uid="{00000000-0005-0000-0000-00001EAB0000}"/>
    <cellStyle name="输入 2 10 6 16" xfId="43759" xr:uid="{00000000-0005-0000-0000-00001FAB0000}"/>
    <cellStyle name="输入 2 10 6 2" xfId="43760" xr:uid="{00000000-0005-0000-0000-000020AB0000}"/>
    <cellStyle name="输入 2 10 6 2 2" xfId="40345" xr:uid="{00000000-0005-0000-0000-0000C99D0000}"/>
    <cellStyle name="输入 2 10 6 2 2 2" xfId="38694" xr:uid="{00000000-0005-0000-0000-000056970000}"/>
    <cellStyle name="输入 2 10 6 2 3" xfId="35397" xr:uid="{00000000-0005-0000-0000-0000758A0000}"/>
    <cellStyle name="输入 2 10 6 2 3 2" xfId="38702" xr:uid="{00000000-0005-0000-0000-00005E970000}"/>
    <cellStyle name="输入 2 10 6 2 4" xfId="40375" xr:uid="{00000000-0005-0000-0000-0000E79D0000}"/>
    <cellStyle name="输入 2 10 6 2 4 2" xfId="38710" xr:uid="{00000000-0005-0000-0000-000066970000}"/>
    <cellStyle name="输入 2 10 6 2 5" xfId="43761" xr:uid="{00000000-0005-0000-0000-000021AB0000}"/>
    <cellStyle name="输入 2 10 6 2 5 2" xfId="38719" xr:uid="{00000000-0005-0000-0000-00006F970000}"/>
    <cellStyle name="输入 2 10 6 2 6" xfId="43762" xr:uid="{00000000-0005-0000-0000-000022AB0000}"/>
    <cellStyle name="输入 2 10 6 2 7" xfId="43764" xr:uid="{00000000-0005-0000-0000-000024AB0000}"/>
    <cellStyle name="输入 2 10 6 2 8" xfId="43766" xr:uid="{00000000-0005-0000-0000-000026AB0000}"/>
    <cellStyle name="输入 2 10 6 2 9" xfId="43768" xr:uid="{00000000-0005-0000-0000-000028AB0000}"/>
    <cellStyle name="输入 2 10 6 3" xfId="43770" xr:uid="{00000000-0005-0000-0000-00002AAB0000}"/>
    <cellStyle name="输入 2 10 6 3 2" xfId="40794" xr:uid="{00000000-0005-0000-0000-00008A9F0000}"/>
    <cellStyle name="输入 2 10 6 3 2 2" xfId="40806" xr:uid="{00000000-0005-0000-0000-0000969F0000}"/>
    <cellStyle name="输入 2 10 6 3 3" xfId="35401" xr:uid="{00000000-0005-0000-0000-0000798A0000}"/>
    <cellStyle name="输入 2 10 6 3 3 2" xfId="40815" xr:uid="{00000000-0005-0000-0000-00009F9F0000}"/>
    <cellStyle name="输入 2 10 6 3 4" xfId="40822" xr:uid="{00000000-0005-0000-0000-0000A69F0000}"/>
    <cellStyle name="输入 2 10 6 3 4 2" xfId="40829" xr:uid="{00000000-0005-0000-0000-0000AD9F0000}"/>
    <cellStyle name="输入 2 10 6 3 5" xfId="43771" xr:uid="{00000000-0005-0000-0000-00002BAB0000}"/>
    <cellStyle name="输入 2 10 6 3 5 2" xfId="43772" xr:uid="{00000000-0005-0000-0000-00002CAB0000}"/>
    <cellStyle name="输入 2 10 6 3 6" xfId="43773" xr:uid="{00000000-0005-0000-0000-00002DAB0000}"/>
    <cellStyle name="输入 2 10 6 4" xfId="43775" xr:uid="{00000000-0005-0000-0000-00002FAB0000}"/>
    <cellStyle name="输入 2 10 6 4 2" xfId="41030" xr:uid="{00000000-0005-0000-0000-000076A00000}"/>
    <cellStyle name="输入 2 10 6 4 2 2" xfId="41041" xr:uid="{00000000-0005-0000-0000-000081A00000}"/>
    <cellStyle name="输入 2 10 6 4 3" xfId="35406" xr:uid="{00000000-0005-0000-0000-00007E8A0000}"/>
    <cellStyle name="输入 2 10 6 4 3 2" xfId="23690" xr:uid="{00000000-0005-0000-0000-0000BA5C0000}"/>
    <cellStyle name="输入 2 10 6 4 4" xfId="41071" xr:uid="{00000000-0005-0000-0000-00009FA00000}"/>
    <cellStyle name="输入 2 10 6 4 4 2" xfId="41073" xr:uid="{00000000-0005-0000-0000-0000A1A00000}"/>
    <cellStyle name="输入 2 10 6 4 5" xfId="43776" xr:uid="{00000000-0005-0000-0000-000030AB0000}"/>
    <cellStyle name="输入 2 10 6 4 5 2" xfId="43777" xr:uid="{00000000-0005-0000-0000-000031AB0000}"/>
    <cellStyle name="输入 2 10 6 4 6" xfId="43779" xr:uid="{00000000-0005-0000-0000-000033AB0000}"/>
    <cellStyle name="输入 2 10 6 5" xfId="43781" xr:uid="{00000000-0005-0000-0000-000035AB0000}"/>
    <cellStyle name="输入 2 10 6 5 2" xfId="36440" xr:uid="{00000000-0005-0000-0000-0000888E0000}"/>
    <cellStyle name="输入 2 10 6 5 2 2" xfId="41337" xr:uid="{00000000-0005-0000-0000-0000A9A10000}"/>
    <cellStyle name="输入 2 10 6 5 3" xfId="35411" xr:uid="{00000000-0005-0000-0000-0000838A0000}"/>
    <cellStyle name="输入 2 10 6 5 3 2" xfId="41343" xr:uid="{00000000-0005-0000-0000-0000AFA10000}"/>
    <cellStyle name="输入 2 10 6 5 4" xfId="41347" xr:uid="{00000000-0005-0000-0000-0000B3A10000}"/>
    <cellStyle name="输入 2 10 6 5 4 2" xfId="41352" xr:uid="{00000000-0005-0000-0000-0000B8A10000}"/>
    <cellStyle name="输入 2 10 6 5 5" xfId="43782" xr:uid="{00000000-0005-0000-0000-000036AB0000}"/>
    <cellStyle name="输入 2 10 6 5 5 2" xfId="43783" xr:uid="{00000000-0005-0000-0000-000037AB0000}"/>
    <cellStyle name="输入 2 10 6 5 6" xfId="43784" xr:uid="{00000000-0005-0000-0000-000038AB0000}"/>
    <cellStyle name="输入 2 10 6 6" xfId="43786" xr:uid="{00000000-0005-0000-0000-00003AAB0000}"/>
    <cellStyle name="输入 2 10 6 6 2" xfId="15223" xr:uid="{00000000-0005-0000-0000-0000A73B0000}"/>
    <cellStyle name="输入 2 10 6 6 2 2" xfId="15227" xr:uid="{00000000-0005-0000-0000-0000AB3B0000}"/>
    <cellStyle name="输入 2 10 6 6 3" xfId="15231" xr:uid="{00000000-0005-0000-0000-0000AF3B0000}"/>
    <cellStyle name="输入 2 10 6 6 3 2" xfId="15235" xr:uid="{00000000-0005-0000-0000-0000B33B0000}"/>
    <cellStyle name="输入 2 10 6 6 4" xfId="15242" xr:uid="{00000000-0005-0000-0000-0000BA3B0000}"/>
    <cellStyle name="输入 2 10 6 6 4 2" xfId="15246" xr:uid="{00000000-0005-0000-0000-0000BE3B0000}"/>
    <cellStyle name="输入 2 10 6 6 5" xfId="15251" xr:uid="{00000000-0005-0000-0000-0000C33B0000}"/>
    <cellStyle name="输入 2 10 6 6 5 2" xfId="37969" xr:uid="{00000000-0005-0000-0000-000081940000}"/>
    <cellStyle name="输入 2 10 6 6 6" xfId="15258" xr:uid="{00000000-0005-0000-0000-0000CA3B0000}"/>
    <cellStyle name="输入 2 10 6 7" xfId="43787" xr:uid="{00000000-0005-0000-0000-00003BAB0000}"/>
    <cellStyle name="输入 2 10 6 7 2" xfId="42512" xr:uid="{00000000-0005-0000-0000-000040A60000}"/>
    <cellStyle name="输入 2 10 6 7 2 2" xfId="42527" xr:uid="{00000000-0005-0000-0000-00004FA60000}"/>
    <cellStyle name="输入 2 10 6 7 3" xfId="42566" xr:uid="{00000000-0005-0000-0000-000076A60000}"/>
    <cellStyle name="输入 2 10 6 7 3 2" xfId="42577" xr:uid="{00000000-0005-0000-0000-000081A60000}"/>
    <cellStyle name="输入 2 10 6 7 4" xfId="42605" xr:uid="{00000000-0005-0000-0000-00009DA60000}"/>
    <cellStyle name="输入 2 10 6 7 4 2" xfId="42619" xr:uid="{00000000-0005-0000-0000-0000ABA60000}"/>
    <cellStyle name="输入 2 10 6 7 5" xfId="41541" xr:uid="{00000000-0005-0000-0000-000075A20000}"/>
    <cellStyle name="输入 2 10 6 7 5 2" xfId="43788" xr:uid="{00000000-0005-0000-0000-00003CAB0000}"/>
    <cellStyle name="输入 2 10 6 7 6" xfId="43789" xr:uid="{00000000-0005-0000-0000-00003DAB0000}"/>
    <cellStyle name="输入 2 10 6 8" xfId="43790" xr:uid="{00000000-0005-0000-0000-00003EAB0000}"/>
    <cellStyle name="输入 2 10 6 8 2" xfId="43116" xr:uid="{00000000-0005-0000-0000-00009CA80000}"/>
    <cellStyle name="输入 2 10 6 8 2 2" xfId="43132" xr:uid="{00000000-0005-0000-0000-0000ACA80000}"/>
    <cellStyle name="输入 2 10 6 8 3" xfId="43185" xr:uid="{00000000-0005-0000-0000-0000E1A80000}"/>
    <cellStyle name="输入 2 10 6 8 3 2" xfId="43197" xr:uid="{00000000-0005-0000-0000-0000EDA80000}"/>
    <cellStyle name="输入 2 10 6 8 4" xfId="43226" xr:uid="{00000000-0005-0000-0000-00000AA90000}"/>
    <cellStyle name="输入 2 10 6 8 4 2" xfId="43246" xr:uid="{00000000-0005-0000-0000-00001EA90000}"/>
    <cellStyle name="输入 2 10 6 8 5" xfId="41544" xr:uid="{00000000-0005-0000-0000-000078A20000}"/>
    <cellStyle name="输入 2 10 6 9" xfId="43792" xr:uid="{00000000-0005-0000-0000-000040AB0000}"/>
    <cellStyle name="输入 2 10 6 9 2" xfId="34417" xr:uid="{00000000-0005-0000-0000-0000A1860000}"/>
    <cellStyle name="输入 2 10 7" xfId="43793" xr:uid="{00000000-0005-0000-0000-000041AB0000}"/>
    <cellStyle name="输入 2 10 7 10" xfId="31887" xr:uid="{00000000-0005-0000-0000-0000BF7C0000}"/>
    <cellStyle name="输入 2 10 7 10 2" xfId="43794" xr:uid="{00000000-0005-0000-0000-000042AB0000}"/>
    <cellStyle name="输入 2 10 7 11" xfId="23358" xr:uid="{00000000-0005-0000-0000-00006E5B0000}"/>
    <cellStyle name="输入 2 10 7 11 2" xfId="43795" xr:uid="{00000000-0005-0000-0000-000043AB0000}"/>
    <cellStyle name="输入 2 10 7 12" xfId="43796" xr:uid="{00000000-0005-0000-0000-000044AB0000}"/>
    <cellStyle name="输入 2 10 7 12 2" xfId="43797" xr:uid="{00000000-0005-0000-0000-000045AB0000}"/>
    <cellStyle name="输入 2 10 7 13" xfId="43799" xr:uid="{00000000-0005-0000-0000-000047AB0000}"/>
    <cellStyle name="输入 2 10 7 14" xfId="43800" xr:uid="{00000000-0005-0000-0000-000048AB0000}"/>
    <cellStyle name="输入 2 10 7 15" xfId="43802" xr:uid="{00000000-0005-0000-0000-00004AAB0000}"/>
    <cellStyle name="输入 2 10 7 16" xfId="43803" xr:uid="{00000000-0005-0000-0000-00004BAB0000}"/>
    <cellStyle name="输入 2 10 7 2" xfId="43804" xr:uid="{00000000-0005-0000-0000-00004CAB0000}"/>
    <cellStyle name="输入 2 10 7 2 2" xfId="43805" xr:uid="{00000000-0005-0000-0000-00004DAB0000}"/>
    <cellStyle name="输入 2 10 7 2 2 2" xfId="39016" xr:uid="{00000000-0005-0000-0000-000098980000}"/>
    <cellStyle name="输入 2 10 7 2 3" xfId="43806" xr:uid="{00000000-0005-0000-0000-00004EAB0000}"/>
    <cellStyle name="输入 2 10 7 2 3 2" xfId="39023" xr:uid="{00000000-0005-0000-0000-00009F980000}"/>
    <cellStyle name="输入 2 10 7 2 4" xfId="43807" xr:uid="{00000000-0005-0000-0000-00004FAB0000}"/>
    <cellStyle name="输入 2 10 7 2 4 2" xfId="39029" xr:uid="{00000000-0005-0000-0000-0000A5980000}"/>
    <cellStyle name="输入 2 10 7 2 5" xfId="43808" xr:uid="{00000000-0005-0000-0000-000050AB0000}"/>
    <cellStyle name="输入 2 10 7 2 5 2" xfId="26395" xr:uid="{00000000-0005-0000-0000-00004B670000}"/>
    <cellStyle name="输入 2 10 7 2 6" xfId="43809" xr:uid="{00000000-0005-0000-0000-000051AB0000}"/>
    <cellStyle name="输入 2 10 7 2 7" xfId="43811" xr:uid="{00000000-0005-0000-0000-000053AB0000}"/>
    <cellStyle name="输入 2 10 7 2 8" xfId="43813" xr:uid="{00000000-0005-0000-0000-000055AB0000}"/>
    <cellStyle name="输入 2 10 7 2 9" xfId="43815" xr:uid="{00000000-0005-0000-0000-000057AB0000}"/>
    <cellStyle name="输入 2 10 7 3" xfId="43817" xr:uid="{00000000-0005-0000-0000-000059AB0000}"/>
    <cellStyle name="输入 2 10 7 3 2" xfId="43818" xr:uid="{00000000-0005-0000-0000-00005AAB0000}"/>
    <cellStyle name="输入 2 10 7 3 2 2" xfId="40409" xr:uid="{00000000-0005-0000-0000-0000099E0000}"/>
    <cellStyle name="输入 2 10 7 3 3" xfId="43819" xr:uid="{00000000-0005-0000-0000-00005BAB0000}"/>
    <cellStyle name="输入 2 10 7 3 3 2" xfId="40416" xr:uid="{00000000-0005-0000-0000-0000109E0000}"/>
    <cellStyle name="输入 2 10 7 3 4" xfId="43820" xr:uid="{00000000-0005-0000-0000-00005CAB0000}"/>
    <cellStyle name="输入 2 10 7 3 4 2" xfId="40422" xr:uid="{00000000-0005-0000-0000-0000169E0000}"/>
    <cellStyle name="输入 2 10 7 3 5" xfId="43821" xr:uid="{00000000-0005-0000-0000-00005DAB0000}"/>
    <cellStyle name="输入 2 10 7 3 5 2" xfId="40429" xr:uid="{00000000-0005-0000-0000-00001D9E0000}"/>
    <cellStyle name="输入 2 10 7 3 6" xfId="43822" xr:uid="{00000000-0005-0000-0000-00005EAB0000}"/>
    <cellStyle name="输入 2 10 7 4" xfId="29556" xr:uid="{00000000-0005-0000-0000-0000A4730000}"/>
    <cellStyle name="输入 2 10 7 4 2" xfId="43824" xr:uid="{00000000-0005-0000-0000-000060AB0000}"/>
    <cellStyle name="输入 2 10 7 4 2 2" xfId="40449" xr:uid="{00000000-0005-0000-0000-0000319E0000}"/>
    <cellStyle name="输入 2 10 7 4 3" xfId="43825" xr:uid="{00000000-0005-0000-0000-000061AB0000}"/>
    <cellStyle name="输入 2 10 7 4 3 2" xfId="23624" xr:uid="{00000000-0005-0000-0000-0000785C0000}"/>
    <cellStyle name="输入 2 10 7 4 4" xfId="43826" xr:uid="{00000000-0005-0000-0000-000062AB0000}"/>
    <cellStyle name="输入 2 10 7 4 4 2" xfId="40456" xr:uid="{00000000-0005-0000-0000-0000389E0000}"/>
    <cellStyle name="输入 2 10 7 4 5" xfId="43827" xr:uid="{00000000-0005-0000-0000-000063AB0000}"/>
    <cellStyle name="输入 2 10 7 4 5 2" xfId="40462" xr:uid="{00000000-0005-0000-0000-00003E9E0000}"/>
    <cellStyle name="输入 2 10 7 4 6" xfId="43828" xr:uid="{00000000-0005-0000-0000-000064AB0000}"/>
    <cellStyle name="输入 2 10 7 5" xfId="33084" xr:uid="{00000000-0005-0000-0000-00006C810000}"/>
    <cellStyle name="输入 2 10 7 5 2" xfId="43830" xr:uid="{00000000-0005-0000-0000-000066AB0000}"/>
    <cellStyle name="输入 2 10 7 5 2 2" xfId="43831" xr:uid="{00000000-0005-0000-0000-000067AB0000}"/>
    <cellStyle name="输入 2 10 7 5 3" xfId="43832" xr:uid="{00000000-0005-0000-0000-000068AB0000}"/>
    <cellStyle name="输入 2 10 7 5 3 2" xfId="43833" xr:uid="{00000000-0005-0000-0000-000069AB0000}"/>
    <cellStyle name="输入 2 10 7 5 4" xfId="43834" xr:uid="{00000000-0005-0000-0000-00006AAB0000}"/>
    <cellStyle name="输入 2 10 7 5 4 2" xfId="43835" xr:uid="{00000000-0005-0000-0000-00006BAB0000}"/>
    <cellStyle name="输入 2 10 7 5 5" xfId="43836" xr:uid="{00000000-0005-0000-0000-00006CAB0000}"/>
    <cellStyle name="输入 2 10 7 5 5 2" xfId="43837" xr:uid="{00000000-0005-0000-0000-00006DAB0000}"/>
    <cellStyle name="输入 2 10 7 5 6" xfId="43838" xr:uid="{00000000-0005-0000-0000-00006EAB0000}"/>
    <cellStyle name="输入 2 10 7 6" xfId="43840" xr:uid="{00000000-0005-0000-0000-000070AB0000}"/>
    <cellStyle name="输入 2 10 7 6 2" xfId="43841" xr:uid="{00000000-0005-0000-0000-000071AB0000}"/>
    <cellStyle name="输入 2 10 7 6 2 2" xfId="39531" xr:uid="{00000000-0005-0000-0000-00009B9A0000}"/>
    <cellStyle name="输入 2 10 7 6 3" xfId="43842" xr:uid="{00000000-0005-0000-0000-000072AB0000}"/>
    <cellStyle name="输入 2 10 7 6 3 2" xfId="39542" xr:uid="{00000000-0005-0000-0000-0000A69A0000}"/>
    <cellStyle name="输入 2 10 7 6 4" xfId="43843" xr:uid="{00000000-0005-0000-0000-000073AB0000}"/>
    <cellStyle name="输入 2 10 7 6 4 2" xfId="39552" xr:uid="{00000000-0005-0000-0000-0000B09A0000}"/>
    <cellStyle name="输入 2 10 7 6 5" xfId="41552" xr:uid="{00000000-0005-0000-0000-000080A20000}"/>
    <cellStyle name="输入 2 10 7 6 5 2" xfId="13753" xr:uid="{00000000-0005-0000-0000-0000E9350000}"/>
    <cellStyle name="输入 2 10 7 6 6" xfId="43844" xr:uid="{00000000-0005-0000-0000-000074AB0000}"/>
    <cellStyle name="输入 2 10 7 7" xfId="43845" xr:uid="{00000000-0005-0000-0000-000075AB0000}"/>
    <cellStyle name="输入 2 10 7 7 2" xfId="43846" xr:uid="{00000000-0005-0000-0000-000076AB0000}"/>
    <cellStyle name="输入 2 10 7 7 2 2" xfId="43847" xr:uid="{00000000-0005-0000-0000-000077AB0000}"/>
    <cellStyle name="输入 2 10 7 7 3" xfId="43848" xr:uid="{00000000-0005-0000-0000-000078AB0000}"/>
    <cellStyle name="输入 2 10 7 7 3 2" xfId="43849" xr:uid="{00000000-0005-0000-0000-000079AB0000}"/>
    <cellStyle name="输入 2 10 7 7 4" xfId="43850" xr:uid="{00000000-0005-0000-0000-00007AAB0000}"/>
    <cellStyle name="输入 2 10 7 7 4 2" xfId="43851" xr:uid="{00000000-0005-0000-0000-00007BAB0000}"/>
    <cellStyle name="输入 2 10 7 7 5" xfId="41555" xr:uid="{00000000-0005-0000-0000-000083A20000}"/>
    <cellStyle name="输入 2 10 7 7 5 2" xfId="113" xr:uid="{00000000-0005-0000-0000-00007B000000}"/>
    <cellStyle name="输入 2 10 7 7 6" xfId="43852" xr:uid="{00000000-0005-0000-0000-00007CAB0000}"/>
    <cellStyle name="输入 2 10 7 8" xfId="43853" xr:uid="{00000000-0005-0000-0000-00007DAB0000}"/>
    <cellStyle name="输入 2 10 7 8 2" xfId="43855" xr:uid="{00000000-0005-0000-0000-00007FAB0000}"/>
    <cellStyle name="输入 2 10 7 8 2 2" xfId="43856" xr:uid="{00000000-0005-0000-0000-000080AB0000}"/>
    <cellStyle name="输入 2 10 7 8 3" xfId="43857" xr:uid="{00000000-0005-0000-0000-000081AB0000}"/>
    <cellStyle name="输入 2 10 7 8 3 2" xfId="43858" xr:uid="{00000000-0005-0000-0000-000082AB0000}"/>
    <cellStyle name="输入 2 10 7 8 4" xfId="43859" xr:uid="{00000000-0005-0000-0000-000083AB0000}"/>
    <cellStyle name="输入 2 10 7 8 4 2" xfId="43860" xr:uid="{00000000-0005-0000-0000-000084AB0000}"/>
    <cellStyle name="输入 2 10 7 8 5" xfId="41558" xr:uid="{00000000-0005-0000-0000-000086A20000}"/>
    <cellStyle name="输入 2 10 7 9" xfId="43862" xr:uid="{00000000-0005-0000-0000-000086AB0000}"/>
    <cellStyle name="输入 2 10 7 9 2" xfId="34477" xr:uid="{00000000-0005-0000-0000-0000DD860000}"/>
    <cellStyle name="输入 2 10 8" xfId="43863" xr:uid="{00000000-0005-0000-0000-000087AB0000}"/>
    <cellStyle name="输入 2 10 8 10" xfId="43864" xr:uid="{00000000-0005-0000-0000-000088AB0000}"/>
    <cellStyle name="输入 2 10 8 10 2" xfId="43866" xr:uid="{00000000-0005-0000-0000-00008AAB0000}"/>
    <cellStyle name="输入 2 10 8 11" xfId="43867" xr:uid="{00000000-0005-0000-0000-00008BAB0000}"/>
    <cellStyle name="输入 2 10 8 11 2" xfId="43868" xr:uid="{00000000-0005-0000-0000-00008CAB0000}"/>
    <cellStyle name="输入 2 10 8 12" xfId="2052" xr:uid="{00000000-0005-0000-0000-000034080000}"/>
    <cellStyle name="输入 2 10 8 12 2" xfId="43869" xr:uid="{00000000-0005-0000-0000-00008DAB0000}"/>
    <cellStyle name="输入 2 10 8 13" xfId="43871" xr:uid="{00000000-0005-0000-0000-00008FAB0000}"/>
    <cellStyle name="输入 2 10 8 14" xfId="2098" xr:uid="{00000000-0005-0000-0000-000062080000}"/>
    <cellStyle name="输入 2 10 8 15" xfId="2116" xr:uid="{00000000-0005-0000-0000-000074080000}"/>
    <cellStyle name="输入 2 10 8 16" xfId="1871" xr:uid="{00000000-0005-0000-0000-00007F070000}"/>
    <cellStyle name="输入 2 10 8 2" xfId="43872" xr:uid="{00000000-0005-0000-0000-000090AB0000}"/>
    <cellStyle name="输入 2 10 8 2 2" xfId="43873" xr:uid="{00000000-0005-0000-0000-000091AB0000}"/>
    <cellStyle name="输入 2 10 8 2 2 2" xfId="43874" xr:uid="{00000000-0005-0000-0000-000092AB0000}"/>
    <cellStyle name="输入 2 10 8 2 3" xfId="43875" xr:uid="{00000000-0005-0000-0000-000093AB0000}"/>
    <cellStyle name="输入 2 10 8 2 3 2" xfId="43876" xr:uid="{00000000-0005-0000-0000-000094AB0000}"/>
    <cellStyle name="输入 2 10 8 2 4" xfId="43877" xr:uid="{00000000-0005-0000-0000-000095AB0000}"/>
    <cellStyle name="输入 2 10 8 2 4 2" xfId="43879" xr:uid="{00000000-0005-0000-0000-000097AB0000}"/>
    <cellStyle name="输入 2 10 8 2 5" xfId="43881" xr:uid="{00000000-0005-0000-0000-000099AB0000}"/>
    <cellStyle name="输入 2 10 8 2 5 2" xfId="43883" xr:uid="{00000000-0005-0000-0000-00009BAB0000}"/>
    <cellStyle name="输入 2 10 8 2 6" xfId="43885" xr:uid="{00000000-0005-0000-0000-00009DAB0000}"/>
    <cellStyle name="输入 2 10 8 2 7" xfId="43887" xr:uid="{00000000-0005-0000-0000-00009FAB0000}"/>
    <cellStyle name="输入 2 10 8 2 8" xfId="43889" xr:uid="{00000000-0005-0000-0000-0000A1AB0000}"/>
    <cellStyle name="输入 2 10 8 2 9" xfId="43891" xr:uid="{00000000-0005-0000-0000-0000A3AB0000}"/>
    <cellStyle name="输入 2 10 8 3" xfId="43894" xr:uid="{00000000-0005-0000-0000-0000A6AB0000}"/>
    <cellStyle name="输入 2 10 8 3 2" xfId="43895" xr:uid="{00000000-0005-0000-0000-0000A7AB0000}"/>
    <cellStyle name="输入 2 10 8 3 2 2" xfId="43896" xr:uid="{00000000-0005-0000-0000-0000A8AB0000}"/>
    <cellStyle name="输入 2 10 8 3 3" xfId="43897" xr:uid="{00000000-0005-0000-0000-0000A9AB0000}"/>
    <cellStyle name="输入 2 10 8 3 3 2" xfId="43898" xr:uid="{00000000-0005-0000-0000-0000AAAB0000}"/>
    <cellStyle name="输入 2 10 8 3 4" xfId="43899" xr:uid="{00000000-0005-0000-0000-0000ABAB0000}"/>
    <cellStyle name="输入 2 10 8 3 4 2" xfId="43900" xr:uid="{00000000-0005-0000-0000-0000ACAB0000}"/>
    <cellStyle name="输入 2 10 8 3 5" xfId="43901" xr:uid="{00000000-0005-0000-0000-0000ADAB0000}"/>
    <cellStyle name="输入 2 10 8 3 5 2" xfId="43902" xr:uid="{00000000-0005-0000-0000-0000AEAB0000}"/>
    <cellStyle name="输入 2 10 8 3 6" xfId="43903" xr:uid="{00000000-0005-0000-0000-0000AFAB0000}"/>
    <cellStyle name="输入 2 10 8 4" xfId="29559" xr:uid="{00000000-0005-0000-0000-0000A7730000}"/>
    <cellStyle name="输入 2 10 8 4 2" xfId="43904" xr:uid="{00000000-0005-0000-0000-0000B0AB0000}"/>
    <cellStyle name="输入 2 10 8 4 2 2" xfId="43905" xr:uid="{00000000-0005-0000-0000-0000B1AB0000}"/>
    <cellStyle name="输入 2 10 8 4 3" xfId="43906" xr:uid="{00000000-0005-0000-0000-0000B2AB0000}"/>
    <cellStyle name="输入 2 10 8 4 3 2" xfId="43907" xr:uid="{00000000-0005-0000-0000-0000B3AB0000}"/>
    <cellStyle name="输入 2 10 8 4 4" xfId="43908" xr:uid="{00000000-0005-0000-0000-0000B4AB0000}"/>
    <cellStyle name="输入 2 10 8 4 4 2" xfId="43909" xr:uid="{00000000-0005-0000-0000-0000B5AB0000}"/>
    <cellStyle name="输入 2 10 8 4 5" xfId="43910" xr:uid="{00000000-0005-0000-0000-0000B6AB0000}"/>
    <cellStyle name="输入 2 10 8 4 5 2" xfId="43911" xr:uid="{00000000-0005-0000-0000-0000B7AB0000}"/>
    <cellStyle name="输入 2 10 8 4 6" xfId="43912" xr:uid="{00000000-0005-0000-0000-0000B8AB0000}"/>
    <cellStyle name="输入 2 10 8 5" xfId="33091" xr:uid="{00000000-0005-0000-0000-000073810000}"/>
    <cellStyle name="输入 2 10 8 5 2" xfId="43913" xr:uid="{00000000-0005-0000-0000-0000B9AB0000}"/>
    <cellStyle name="输入 2 10 8 5 2 2" xfId="43915" xr:uid="{00000000-0005-0000-0000-0000BBAB0000}"/>
    <cellStyle name="输入 2 10 8 5 3" xfId="43917" xr:uid="{00000000-0005-0000-0000-0000BDAB0000}"/>
    <cellStyle name="输入 2 10 8 5 3 2" xfId="43919" xr:uid="{00000000-0005-0000-0000-0000BFAB0000}"/>
    <cellStyle name="输入 2 10 8 5 4" xfId="43921" xr:uid="{00000000-0005-0000-0000-0000C1AB0000}"/>
    <cellStyle name="输入 2 10 8 5 4 2" xfId="43922" xr:uid="{00000000-0005-0000-0000-0000C2AB0000}"/>
    <cellStyle name="输入 2 10 8 5 5" xfId="43923" xr:uid="{00000000-0005-0000-0000-0000C3AB0000}"/>
    <cellStyle name="输入 2 10 8 5 5 2" xfId="43924" xr:uid="{00000000-0005-0000-0000-0000C4AB0000}"/>
    <cellStyle name="输入 2 10 8 5 6" xfId="43925" xr:uid="{00000000-0005-0000-0000-0000C5AB0000}"/>
    <cellStyle name="输入 2 10 8 6" xfId="43926" xr:uid="{00000000-0005-0000-0000-0000C6AB0000}"/>
    <cellStyle name="输入 2 10 8 6 2" xfId="43927" xr:uid="{00000000-0005-0000-0000-0000C7AB0000}"/>
    <cellStyle name="输入 2 10 8 6 2 2" xfId="41479" xr:uid="{00000000-0005-0000-0000-000037A20000}"/>
    <cellStyle name="输入 2 10 8 6 3" xfId="43929" xr:uid="{00000000-0005-0000-0000-0000C9AB0000}"/>
    <cellStyle name="输入 2 10 8 6 3 2" xfId="41494" xr:uid="{00000000-0005-0000-0000-000046A20000}"/>
    <cellStyle name="输入 2 10 8 6 4" xfId="43931" xr:uid="{00000000-0005-0000-0000-0000CBAB0000}"/>
    <cellStyle name="输入 2 10 8 6 4 2" xfId="33582" xr:uid="{00000000-0005-0000-0000-00005E830000}"/>
    <cellStyle name="输入 2 10 8 6 5" xfId="41565" xr:uid="{00000000-0005-0000-0000-00008DA20000}"/>
    <cellStyle name="输入 2 10 8 6 5 2" xfId="33600" xr:uid="{00000000-0005-0000-0000-000070830000}"/>
    <cellStyle name="输入 2 10 8 6 6" xfId="43932" xr:uid="{00000000-0005-0000-0000-0000CCAB0000}"/>
    <cellStyle name="输入 2 10 8 7" xfId="43934" xr:uid="{00000000-0005-0000-0000-0000CEAB0000}"/>
    <cellStyle name="输入 2 10 8 7 2" xfId="43935" xr:uid="{00000000-0005-0000-0000-0000CFAB0000}"/>
    <cellStyle name="输入 2 10 8 7 2 2" xfId="43937" xr:uid="{00000000-0005-0000-0000-0000D1AB0000}"/>
    <cellStyle name="输入 2 10 8 7 3" xfId="43938" xr:uid="{00000000-0005-0000-0000-0000D2AB0000}"/>
    <cellStyle name="输入 2 10 8 7 3 2" xfId="43940" xr:uid="{00000000-0005-0000-0000-0000D4AB0000}"/>
    <cellStyle name="输入 2 10 8 7 4" xfId="43941" xr:uid="{00000000-0005-0000-0000-0000D5AB0000}"/>
    <cellStyle name="输入 2 10 8 7 4 2" xfId="10426" xr:uid="{00000000-0005-0000-0000-0000EA280000}"/>
    <cellStyle name="输入 2 10 8 7 5" xfId="41568" xr:uid="{00000000-0005-0000-0000-000090A20000}"/>
    <cellStyle name="输入 2 10 8 7 5 2" xfId="33701" xr:uid="{00000000-0005-0000-0000-0000D5830000}"/>
    <cellStyle name="输入 2 10 8 7 6" xfId="43943" xr:uid="{00000000-0005-0000-0000-0000D7AB0000}"/>
    <cellStyle name="输入 2 10 8 8" xfId="43946" xr:uid="{00000000-0005-0000-0000-0000DAAB0000}"/>
    <cellStyle name="输入 2 10 8 8 2" xfId="43948" xr:uid="{00000000-0005-0000-0000-0000DCAB0000}"/>
    <cellStyle name="输入 2 10 8 8 2 2" xfId="43949" xr:uid="{00000000-0005-0000-0000-0000DDAB0000}"/>
    <cellStyle name="输入 2 10 8 8 3" xfId="43950" xr:uid="{00000000-0005-0000-0000-0000DEAB0000}"/>
    <cellStyle name="输入 2 10 8 8 3 2" xfId="43951" xr:uid="{00000000-0005-0000-0000-0000DFAB0000}"/>
    <cellStyle name="输入 2 10 8 8 4" xfId="43952" xr:uid="{00000000-0005-0000-0000-0000E0AB0000}"/>
    <cellStyle name="输入 2 10 8 8 4 2" xfId="43953" xr:uid="{00000000-0005-0000-0000-0000E1AB0000}"/>
    <cellStyle name="输入 2 10 8 8 5" xfId="41571" xr:uid="{00000000-0005-0000-0000-000093A20000}"/>
    <cellStyle name="输入 2 10 8 9" xfId="43955" xr:uid="{00000000-0005-0000-0000-0000E3AB0000}"/>
    <cellStyle name="输入 2 10 8 9 2" xfId="34564" xr:uid="{00000000-0005-0000-0000-000034870000}"/>
    <cellStyle name="输入 2 10 9" xfId="43956" xr:uid="{00000000-0005-0000-0000-0000E4AB0000}"/>
    <cellStyle name="输入 2 10 9 10" xfId="43957" xr:uid="{00000000-0005-0000-0000-0000E5AB0000}"/>
    <cellStyle name="输入 2 10 9 10 2" xfId="43958" xr:uid="{00000000-0005-0000-0000-0000E6AB0000}"/>
    <cellStyle name="输入 2 10 9 11" xfId="43960" xr:uid="{00000000-0005-0000-0000-0000E8AB0000}"/>
    <cellStyle name="输入 2 10 9 11 2" xfId="43961" xr:uid="{00000000-0005-0000-0000-0000E9AB0000}"/>
    <cellStyle name="输入 2 10 9 12" xfId="43963" xr:uid="{00000000-0005-0000-0000-0000EBAB0000}"/>
    <cellStyle name="输入 2 10 9 12 2" xfId="43964" xr:uid="{00000000-0005-0000-0000-0000ECAB0000}"/>
    <cellStyle name="输入 2 10 9 13" xfId="43967" xr:uid="{00000000-0005-0000-0000-0000EFAB0000}"/>
    <cellStyle name="输入 2 10 9 14" xfId="15829" xr:uid="{00000000-0005-0000-0000-0000053E0000}"/>
    <cellStyle name="输入 2 10 9 15" xfId="4933" xr:uid="{00000000-0005-0000-0000-000075130000}"/>
    <cellStyle name="输入 2 10 9 16" xfId="8393" xr:uid="{00000000-0005-0000-0000-0000F9200000}"/>
    <cellStyle name="输入 2 10 9 2" xfId="43968" xr:uid="{00000000-0005-0000-0000-0000F0AB0000}"/>
    <cellStyle name="输入 2 10 9 2 2" xfId="43969" xr:uid="{00000000-0005-0000-0000-0000F1AB0000}"/>
    <cellStyle name="输入 2 10 9 2 2 2" xfId="43970" xr:uid="{00000000-0005-0000-0000-0000F2AB0000}"/>
    <cellStyle name="输入 2 10 9 2 3" xfId="43971" xr:uid="{00000000-0005-0000-0000-0000F3AB0000}"/>
    <cellStyle name="输入 2 10 9 2 3 2" xfId="43972" xr:uid="{00000000-0005-0000-0000-0000F4AB0000}"/>
    <cellStyle name="输入 2 10 9 2 4" xfId="33694" xr:uid="{00000000-0005-0000-0000-0000CE830000}"/>
    <cellStyle name="输入 2 10 9 2 4 2" xfId="43973" xr:uid="{00000000-0005-0000-0000-0000F5AB0000}"/>
    <cellStyle name="输入 2 10 9 2 5" xfId="43975" xr:uid="{00000000-0005-0000-0000-0000F7AB0000}"/>
    <cellStyle name="输入 2 10 9 2 5 2" xfId="43977" xr:uid="{00000000-0005-0000-0000-0000F9AB0000}"/>
    <cellStyle name="输入 2 10 9 2 6" xfId="28691" xr:uid="{00000000-0005-0000-0000-000043700000}"/>
    <cellStyle name="输入 2 10 9 2 7" xfId="43979" xr:uid="{00000000-0005-0000-0000-0000FBAB0000}"/>
    <cellStyle name="输入 2 10 9 2 8" xfId="43981" xr:uid="{00000000-0005-0000-0000-0000FDAB0000}"/>
    <cellStyle name="输入 2 10 9 2 9" xfId="43983" xr:uid="{00000000-0005-0000-0000-0000FFAB0000}"/>
    <cellStyle name="输入 2 10 9 3" xfId="43986" xr:uid="{00000000-0005-0000-0000-000002AC0000}"/>
    <cellStyle name="输入 2 10 9 3 2" xfId="43987" xr:uid="{00000000-0005-0000-0000-000003AC0000}"/>
    <cellStyle name="输入 2 10 9 3 2 2" xfId="43988" xr:uid="{00000000-0005-0000-0000-000004AC0000}"/>
    <cellStyle name="输入 2 10 9 3 3" xfId="43989" xr:uid="{00000000-0005-0000-0000-000005AC0000}"/>
    <cellStyle name="输入 2 10 9 3 3 2" xfId="43990" xr:uid="{00000000-0005-0000-0000-000006AC0000}"/>
    <cellStyle name="输入 2 10 9 3 4" xfId="43991" xr:uid="{00000000-0005-0000-0000-000007AC0000}"/>
    <cellStyle name="输入 2 10 9 3 4 2" xfId="43992" xr:uid="{00000000-0005-0000-0000-000008AC0000}"/>
    <cellStyle name="输入 2 10 9 3 5" xfId="43993" xr:uid="{00000000-0005-0000-0000-000009AC0000}"/>
    <cellStyle name="输入 2 10 9 3 5 2" xfId="43994" xr:uid="{00000000-0005-0000-0000-00000AAC0000}"/>
    <cellStyle name="输入 2 10 9 3 6" xfId="43995" xr:uid="{00000000-0005-0000-0000-00000BAC0000}"/>
    <cellStyle name="输入 2 10 9 4" xfId="29561" xr:uid="{00000000-0005-0000-0000-0000A9730000}"/>
    <cellStyle name="输入 2 10 9 4 2" xfId="43996" xr:uid="{00000000-0005-0000-0000-00000CAC0000}"/>
    <cellStyle name="输入 2 10 9 4 2 2" xfId="43997" xr:uid="{00000000-0005-0000-0000-00000DAC0000}"/>
    <cellStyle name="输入 2 10 9 4 3" xfId="43998" xr:uid="{00000000-0005-0000-0000-00000EAC0000}"/>
    <cellStyle name="输入 2 10 9 4 3 2" xfId="43999" xr:uid="{00000000-0005-0000-0000-00000FAC0000}"/>
    <cellStyle name="输入 2 10 9 4 4" xfId="44000" xr:uid="{00000000-0005-0000-0000-000010AC0000}"/>
    <cellStyle name="输入 2 10 9 4 4 2" xfId="44001" xr:uid="{00000000-0005-0000-0000-000011AC0000}"/>
    <cellStyle name="输入 2 10 9 4 5" xfId="44002" xr:uid="{00000000-0005-0000-0000-000012AC0000}"/>
    <cellStyle name="输入 2 10 9 4 5 2" xfId="27901" xr:uid="{00000000-0005-0000-0000-00002D6D0000}"/>
    <cellStyle name="输入 2 10 9 4 6" xfId="44003" xr:uid="{00000000-0005-0000-0000-000013AC0000}"/>
    <cellStyle name="输入 2 10 9 5" xfId="33098" xr:uid="{00000000-0005-0000-0000-00007A810000}"/>
    <cellStyle name="输入 2 10 9 5 2" xfId="44004" xr:uid="{00000000-0005-0000-0000-000014AC0000}"/>
    <cellStyle name="输入 2 10 9 5 2 2" xfId="44005" xr:uid="{00000000-0005-0000-0000-000015AC0000}"/>
    <cellStyle name="输入 2 10 9 5 3" xfId="44006" xr:uid="{00000000-0005-0000-0000-000016AC0000}"/>
    <cellStyle name="输入 2 10 9 5 3 2" xfId="44007" xr:uid="{00000000-0005-0000-0000-000017AC0000}"/>
    <cellStyle name="输入 2 10 9 5 4" xfId="44008" xr:uid="{00000000-0005-0000-0000-000018AC0000}"/>
    <cellStyle name="输入 2 10 9 5 4 2" xfId="44009" xr:uid="{00000000-0005-0000-0000-000019AC0000}"/>
    <cellStyle name="输入 2 10 9 5 5" xfId="44010" xr:uid="{00000000-0005-0000-0000-00001AAC0000}"/>
    <cellStyle name="输入 2 10 9 5 5 2" xfId="44011" xr:uid="{00000000-0005-0000-0000-00001BAC0000}"/>
    <cellStyle name="输入 2 10 9 5 6" xfId="44012" xr:uid="{00000000-0005-0000-0000-00001CAC0000}"/>
    <cellStyle name="输入 2 10 9 6" xfId="44013" xr:uid="{00000000-0005-0000-0000-00001DAC0000}"/>
    <cellStyle name="输入 2 10 9 6 2" xfId="44014" xr:uid="{00000000-0005-0000-0000-00001EAC0000}"/>
    <cellStyle name="输入 2 10 9 6 2 2" xfId="44015" xr:uid="{00000000-0005-0000-0000-00001FAC0000}"/>
    <cellStyle name="输入 2 10 9 6 3" xfId="44016" xr:uid="{00000000-0005-0000-0000-000020AC0000}"/>
    <cellStyle name="输入 2 10 9 6 3 2" xfId="44017" xr:uid="{00000000-0005-0000-0000-000021AC0000}"/>
    <cellStyle name="输入 2 10 9 6 4" xfId="44018" xr:uid="{00000000-0005-0000-0000-000022AC0000}"/>
    <cellStyle name="输入 2 10 9 6 4 2" xfId="44019" xr:uid="{00000000-0005-0000-0000-000023AC0000}"/>
    <cellStyle name="输入 2 10 9 6 5" xfId="41577" xr:uid="{00000000-0005-0000-0000-000099A20000}"/>
    <cellStyle name="输入 2 10 9 6 5 2" xfId="44020" xr:uid="{00000000-0005-0000-0000-000024AC0000}"/>
    <cellStyle name="输入 2 10 9 6 6" xfId="44021" xr:uid="{00000000-0005-0000-0000-000025AC0000}"/>
    <cellStyle name="输入 2 10 9 7" xfId="44022" xr:uid="{00000000-0005-0000-0000-000026AC0000}"/>
    <cellStyle name="输入 2 10 9 7 2" xfId="44023" xr:uid="{00000000-0005-0000-0000-000027AC0000}"/>
    <cellStyle name="输入 2 10 9 7 2 2" xfId="24577" xr:uid="{00000000-0005-0000-0000-000031600000}"/>
    <cellStyle name="输入 2 10 9 7 3" xfId="44024" xr:uid="{00000000-0005-0000-0000-000028AC0000}"/>
    <cellStyle name="输入 2 10 9 7 3 2" xfId="24701" xr:uid="{00000000-0005-0000-0000-0000AD600000}"/>
    <cellStyle name="输入 2 10 9 7 4" xfId="44025" xr:uid="{00000000-0005-0000-0000-000029AC0000}"/>
    <cellStyle name="输入 2 10 9 7 4 2" xfId="20721" xr:uid="{00000000-0005-0000-0000-000021510000}"/>
    <cellStyle name="输入 2 10 9 7 5" xfId="41580" xr:uid="{00000000-0005-0000-0000-00009CA20000}"/>
    <cellStyle name="输入 2 10 9 7 5 2" xfId="44027" xr:uid="{00000000-0005-0000-0000-00002BAC0000}"/>
    <cellStyle name="输入 2 10 9 7 6" xfId="44029" xr:uid="{00000000-0005-0000-0000-00002DAC0000}"/>
    <cellStyle name="输入 2 10 9 8" xfId="44031" xr:uid="{00000000-0005-0000-0000-00002FAC0000}"/>
    <cellStyle name="输入 2 10 9 8 2" xfId="44032" xr:uid="{00000000-0005-0000-0000-000030AC0000}"/>
    <cellStyle name="输入 2 10 9 8 2 2" xfId="25542" xr:uid="{00000000-0005-0000-0000-0000F6630000}"/>
    <cellStyle name="输入 2 10 9 8 3" xfId="44033" xr:uid="{00000000-0005-0000-0000-000031AC0000}"/>
    <cellStyle name="输入 2 10 9 8 3 2" xfId="25629" xr:uid="{00000000-0005-0000-0000-00004D640000}"/>
    <cellStyle name="输入 2 10 9 8 4" xfId="44034" xr:uid="{00000000-0005-0000-0000-000032AC0000}"/>
    <cellStyle name="输入 2 10 9 8 4 2" xfId="21207" xr:uid="{00000000-0005-0000-0000-000007530000}"/>
    <cellStyle name="输入 2 10 9 8 5" xfId="41583" xr:uid="{00000000-0005-0000-0000-00009FA20000}"/>
    <cellStyle name="输入 2 10 9 9" xfId="44035" xr:uid="{00000000-0005-0000-0000-000033AC0000}"/>
    <cellStyle name="输入 2 10 9 9 2" xfId="34683" xr:uid="{00000000-0005-0000-0000-0000AB870000}"/>
    <cellStyle name="输入 2 11" xfId="6637" xr:uid="{00000000-0005-0000-0000-00001D1A0000}"/>
    <cellStyle name="输入 2 11 10" xfId="21167" xr:uid="{00000000-0005-0000-0000-0000DF520000}"/>
    <cellStyle name="输入 2 11 10 10" xfId="36429" xr:uid="{00000000-0005-0000-0000-00007D8E0000}"/>
    <cellStyle name="输入 2 11 10 10 2" xfId="44036" xr:uid="{00000000-0005-0000-0000-000034AC0000}"/>
    <cellStyle name="输入 2 11 10 11" xfId="44037" xr:uid="{00000000-0005-0000-0000-000035AC0000}"/>
    <cellStyle name="输入 2 11 10 11 2" xfId="44038" xr:uid="{00000000-0005-0000-0000-000036AC0000}"/>
    <cellStyle name="输入 2 11 10 12" xfId="44040" xr:uid="{00000000-0005-0000-0000-000038AC0000}"/>
    <cellStyle name="输入 2 11 10 12 2" xfId="44041" xr:uid="{00000000-0005-0000-0000-000039AC0000}"/>
    <cellStyle name="输入 2 11 10 13" xfId="37396" xr:uid="{00000000-0005-0000-0000-000044920000}"/>
    <cellStyle name="输入 2 11 10 14" xfId="44043" xr:uid="{00000000-0005-0000-0000-00003BAC0000}"/>
    <cellStyle name="输入 2 11 10 15" xfId="29266" xr:uid="{00000000-0005-0000-0000-000082720000}"/>
    <cellStyle name="输入 2 11 10 16" xfId="29270" xr:uid="{00000000-0005-0000-0000-000086720000}"/>
    <cellStyle name="输入 2 11 10 2" xfId="44044" xr:uid="{00000000-0005-0000-0000-00003CAC0000}"/>
    <cellStyle name="输入 2 11 10 2 2" xfId="44045" xr:uid="{00000000-0005-0000-0000-00003DAC0000}"/>
    <cellStyle name="输入 2 11 10 2 2 2" xfId="44046" xr:uid="{00000000-0005-0000-0000-00003EAC0000}"/>
    <cellStyle name="输入 2 11 10 2 3" xfId="44047" xr:uid="{00000000-0005-0000-0000-00003FAC0000}"/>
    <cellStyle name="输入 2 11 10 2 3 2" xfId="21052" xr:uid="{00000000-0005-0000-0000-00006C520000}"/>
    <cellStyle name="输入 2 11 10 2 4" xfId="44048" xr:uid="{00000000-0005-0000-0000-000040AC0000}"/>
    <cellStyle name="输入 2 11 10 2 4 2" xfId="44049" xr:uid="{00000000-0005-0000-0000-000041AC0000}"/>
    <cellStyle name="输入 2 11 10 2 5" xfId="27648" xr:uid="{00000000-0005-0000-0000-0000306C0000}"/>
    <cellStyle name="输入 2 11 10 2 5 2" xfId="27653" xr:uid="{00000000-0005-0000-0000-0000356C0000}"/>
    <cellStyle name="输入 2 11 10 2 6" xfId="27655" xr:uid="{00000000-0005-0000-0000-0000376C0000}"/>
    <cellStyle name="输入 2 11 10 2 7" xfId="2605" xr:uid="{00000000-0005-0000-0000-00005D0A0000}"/>
    <cellStyle name="输入 2 11 10 2 8" xfId="27662" xr:uid="{00000000-0005-0000-0000-00003E6C0000}"/>
    <cellStyle name="输入 2 11 10 2 9" xfId="27664" xr:uid="{00000000-0005-0000-0000-0000406C0000}"/>
    <cellStyle name="输入 2 11 10 3" xfId="44051" xr:uid="{00000000-0005-0000-0000-000043AC0000}"/>
    <cellStyle name="输入 2 11 10 3 2" xfId="44052" xr:uid="{00000000-0005-0000-0000-000044AC0000}"/>
    <cellStyle name="输入 2 11 10 3 2 2" xfId="44053" xr:uid="{00000000-0005-0000-0000-000045AC0000}"/>
    <cellStyle name="输入 2 11 10 3 3" xfId="44054" xr:uid="{00000000-0005-0000-0000-000046AC0000}"/>
    <cellStyle name="输入 2 11 10 3 3 2" xfId="44055" xr:uid="{00000000-0005-0000-0000-000047AC0000}"/>
    <cellStyle name="输入 2 11 10 3 4" xfId="44056" xr:uid="{00000000-0005-0000-0000-000048AC0000}"/>
    <cellStyle name="输入 2 11 10 3 4 2" xfId="44058" xr:uid="{00000000-0005-0000-0000-00004AAC0000}"/>
    <cellStyle name="输入 2 11 10 3 5" xfId="27667" xr:uid="{00000000-0005-0000-0000-0000436C0000}"/>
    <cellStyle name="输入 2 11 10 3 5 2" xfId="27672" xr:uid="{00000000-0005-0000-0000-0000486C0000}"/>
    <cellStyle name="输入 2 11 10 3 6" xfId="27675" xr:uid="{00000000-0005-0000-0000-00004B6C0000}"/>
    <cellStyle name="输入 2 11 10 4" xfId="44060" xr:uid="{00000000-0005-0000-0000-00004CAC0000}"/>
    <cellStyle name="输入 2 11 10 4 2" xfId="44061" xr:uid="{00000000-0005-0000-0000-00004DAC0000}"/>
    <cellStyle name="输入 2 11 10 4 2 2" xfId="44062" xr:uid="{00000000-0005-0000-0000-00004EAC0000}"/>
    <cellStyle name="输入 2 11 10 4 3" xfId="44063" xr:uid="{00000000-0005-0000-0000-00004FAC0000}"/>
    <cellStyle name="输入 2 11 10 4 3 2" xfId="44064" xr:uid="{00000000-0005-0000-0000-000050AC0000}"/>
    <cellStyle name="输入 2 11 10 4 4" xfId="44065" xr:uid="{00000000-0005-0000-0000-000051AC0000}"/>
    <cellStyle name="输入 2 11 10 4 4 2" xfId="44067" xr:uid="{00000000-0005-0000-0000-000053AC0000}"/>
    <cellStyle name="输入 2 11 10 4 5" xfId="27694" xr:uid="{00000000-0005-0000-0000-00005E6C0000}"/>
    <cellStyle name="输入 2 11 10 4 5 2" xfId="27699" xr:uid="{00000000-0005-0000-0000-0000636C0000}"/>
    <cellStyle name="输入 2 11 10 4 6" xfId="27702" xr:uid="{00000000-0005-0000-0000-0000666C0000}"/>
    <cellStyle name="输入 2 11 10 5" xfId="1073" xr:uid="{00000000-0005-0000-0000-000061040000}"/>
    <cellStyle name="输入 2 11 10 5 2" xfId="44069" xr:uid="{00000000-0005-0000-0000-000055AC0000}"/>
    <cellStyle name="输入 2 11 10 5 2 2" xfId="44070" xr:uid="{00000000-0005-0000-0000-000056AC0000}"/>
    <cellStyle name="输入 2 11 10 5 3" xfId="27226" xr:uid="{00000000-0005-0000-0000-00008A6A0000}"/>
    <cellStyle name="输入 2 11 10 5 3 2" xfId="44071" xr:uid="{00000000-0005-0000-0000-000057AC0000}"/>
    <cellStyle name="输入 2 11 10 5 4" xfId="44072" xr:uid="{00000000-0005-0000-0000-000058AC0000}"/>
    <cellStyle name="输入 2 11 10 5 4 2" xfId="44074" xr:uid="{00000000-0005-0000-0000-00005AAC0000}"/>
    <cellStyle name="输入 2 11 10 5 5" xfId="27716" xr:uid="{00000000-0005-0000-0000-0000746C0000}"/>
    <cellStyle name="输入 2 11 10 5 5 2" xfId="44076" xr:uid="{00000000-0005-0000-0000-00005CAC0000}"/>
    <cellStyle name="输入 2 11 10 5 6" xfId="44078" xr:uid="{00000000-0005-0000-0000-00005EAC0000}"/>
    <cellStyle name="输入 2 11 10 6" xfId="44080" xr:uid="{00000000-0005-0000-0000-000060AC0000}"/>
    <cellStyle name="输入 2 11 10 6 2" xfId="44081" xr:uid="{00000000-0005-0000-0000-000061AC0000}"/>
    <cellStyle name="输入 2 11 10 6 2 2" xfId="44082" xr:uid="{00000000-0005-0000-0000-000062AC0000}"/>
    <cellStyle name="输入 2 11 10 6 3" xfId="22143" xr:uid="{00000000-0005-0000-0000-0000AF560000}"/>
    <cellStyle name="输入 2 11 10 6 3 2" xfId="21869" xr:uid="{00000000-0005-0000-0000-00009D550000}"/>
    <cellStyle name="输入 2 11 10 6 4" xfId="44083" xr:uid="{00000000-0005-0000-0000-000063AC0000}"/>
    <cellStyle name="输入 2 11 10 6 4 2" xfId="44085" xr:uid="{00000000-0005-0000-0000-000065AC0000}"/>
    <cellStyle name="输入 2 11 10 6 5" xfId="44087" xr:uid="{00000000-0005-0000-0000-000067AC0000}"/>
    <cellStyle name="输入 2 11 10 6 5 2" xfId="44089" xr:uid="{00000000-0005-0000-0000-000069AC0000}"/>
    <cellStyle name="输入 2 11 10 6 6" xfId="44091" xr:uid="{00000000-0005-0000-0000-00006BAC0000}"/>
    <cellStyle name="输入 2 11 10 7" xfId="44093" xr:uid="{00000000-0005-0000-0000-00006DAC0000}"/>
    <cellStyle name="输入 2 11 10 7 2" xfId="44095" xr:uid="{00000000-0005-0000-0000-00006FAC0000}"/>
    <cellStyle name="输入 2 11 10 7 2 2" xfId="44096" xr:uid="{00000000-0005-0000-0000-000070AC0000}"/>
    <cellStyle name="输入 2 11 10 7 3" xfId="13541" xr:uid="{00000000-0005-0000-0000-000015350000}"/>
    <cellStyle name="输入 2 11 10 7 3 2" xfId="22440" xr:uid="{00000000-0005-0000-0000-0000D8570000}"/>
    <cellStyle name="输入 2 11 10 7 4" xfId="44097" xr:uid="{00000000-0005-0000-0000-000071AC0000}"/>
    <cellStyle name="输入 2 11 10 7 4 2" xfId="44099" xr:uid="{00000000-0005-0000-0000-000073AC0000}"/>
    <cellStyle name="输入 2 11 10 7 5" xfId="44101" xr:uid="{00000000-0005-0000-0000-000075AC0000}"/>
    <cellStyle name="输入 2 11 10 7 5 2" xfId="44103" xr:uid="{00000000-0005-0000-0000-000077AC0000}"/>
    <cellStyle name="输入 2 11 10 7 6" xfId="44105" xr:uid="{00000000-0005-0000-0000-000079AC0000}"/>
    <cellStyle name="输入 2 11 10 8" xfId="5615" xr:uid="{00000000-0005-0000-0000-00001F160000}"/>
    <cellStyle name="输入 2 11 10 8 2" xfId="44107" xr:uid="{00000000-0005-0000-0000-00007BAC0000}"/>
    <cellStyle name="输入 2 11 10 8 2 2" xfId="44108" xr:uid="{00000000-0005-0000-0000-00007CAC0000}"/>
    <cellStyle name="输入 2 11 10 8 3" xfId="11683" xr:uid="{00000000-0005-0000-0000-0000D32D0000}"/>
    <cellStyle name="输入 2 11 10 8 3 2" xfId="44109" xr:uid="{00000000-0005-0000-0000-00007DAC0000}"/>
    <cellStyle name="输入 2 11 10 8 4" xfId="44110" xr:uid="{00000000-0005-0000-0000-00007EAC0000}"/>
    <cellStyle name="输入 2 11 10 8 4 2" xfId="44112" xr:uid="{00000000-0005-0000-0000-000080AC0000}"/>
    <cellStyle name="输入 2 11 10 8 5" xfId="44114" xr:uid="{00000000-0005-0000-0000-000082AC0000}"/>
    <cellStyle name="输入 2 11 10 9" xfId="44116" xr:uid="{00000000-0005-0000-0000-000084AC0000}"/>
    <cellStyle name="输入 2 11 10 9 2" xfId="44117" xr:uid="{00000000-0005-0000-0000-000085AC0000}"/>
    <cellStyle name="输入 2 11 11" xfId="44118" xr:uid="{00000000-0005-0000-0000-000086AC0000}"/>
    <cellStyle name="输入 2 11 11 10" xfId="44119" xr:uid="{00000000-0005-0000-0000-000087AC0000}"/>
    <cellStyle name="输入 2 11 11 10 2" xfId="44121" xr:uid="{00000000-0005-0000-0000-000089AC0000}"/>
    <cellStyle name="输入 2 11 11 11" xfId="44122" xr:uid="{00000000-0005-0000-0000-00008AAC0000}"/>
    <cellStyle name="输入 2 11 11 11 2" xfId="44123" xr:uid="{00000000-0005-0000-0000-00008BAC0000}"/>
    <cellStyle name="输入 2 11 11 12" xfId="44125" xr:uid="{00000000-0005-0000-0000-00008DAC0000}"/>
    <cellStyle name="输入 2 11 11 12 2" xfId="44126" xr:uid="{00000000-0005-0000-0000-00008EAC0000}"/>
    <cellStyle name="输入 2 11 11 13" xfId="25618" xr:uid="{00000000-0005-0000-0000-000042640000}"/>
    <cellStyle name="输入 2 11 11 14" xfId="25621" xr:uid="{00000000-0005-0000-0000-000045640000}"/>
    <cellStyle name="输入 2 11 11 15" xfId="25146" xr:uid="{00000000-0005-0000-0000-00006A620000}"/>
    <cellStyle name="输入 2 11 11 16" xfId="25623" xr:uid="{00000000-0005-0000-0000-000047640000}"/>
    <cellStyle name="输入 2 11 11 2" xfId="44128" xr:uid="{00000000-0005-0000-0000-000090AC0000}"/>
    <cellStyle name="输入 2 11 11 2 2" xfId="3295" xr:uid="{00000000-0005-0000-0000-00000F0D0000}"/>
    <cellStyle name="输入 2 11 11 2 2 2" xfId="44129" xr:uid="{00000000-0005-0000-0000-000091AC0000}"/>
    <cellStyle name="输入 2 11 11 2 3" xfId="3308" xr:uid="{00000000-0005-0000-0000-00001C0D0000}"/>
    <cellStyle name="输入 2 11 11 2 3 2" xfId="44130" xr:uid="{00000000-0005-0000-0000-000092AC0000}"/>
    <cellStyle name="输入 2 11 11 2 4" xfId="803" xr:uid="{00000000-0005-0000-0000-000053030000}"/>
    <cellStyle name="输入 2 11 11 2 4 2" xfId="44131" xr:uid="{00000000-0005-0000-0000-000093AC0000}"/>
    <cellStyle name="输入 2 11 11 2 5" xfId="825" xr:uid="{00000000-0005-0000-0000-000069030000}"/>
    <cellStyle name="输入 2 11 11 2 5 2" xfId="27787" xr:uid="{00000000-0005-0000-0000-0000BB6C0000}"/>
    <cellStyle name="输入 2 11 11 2 6" xfId="4375" xr:uid="{00000000-0005-0000-0000-000047110000}"/>
    <cellStyle name="输入 2 11 11 3" xfId="44132" xr:uid="{00000000-0005-0000-0000-000094AC0000}"/>
    <cellStyle name="输入 2 11 11 3 2" xfId="3374" xr:uid="{00000000-0005-0000-0000-00005E0D0000}"/>
    <cellStyle name="输入 2 11 11 3 2 2" xfId="44133" xr:uid="{00000000-0005-0000-0000-000095AC0000}"/>
    <cellStyle name="输入 2 11 11 3 3" xfId="44134" xr:uid="{00000000-0005-0000-0000-000096AC0000}"/>
    <cellStyle name="输入 2 11 11 3 3 2" xfId="44135" xr:uid="{00000000-0005-0000-0000-000097AC0000}"/>
    <cellStyle name="输入 2 11 11 3 4" xfId="44136" xr:uid="{00000000-0005-0000-0000-000098AC0000}"/>
    <cellStyle name="输入 2 11 11 3 4 2" xfId="44139" xr:uid="{00000000-0005-0000-0000-00009BAC0000}"/>
    <cellStyle name="输入 2 11 11 3 5" xfId="27791" xr:uid="{00000000-0005-0000-0000-0000BF6C0000}"/>
    <cellStyle name="输入 2 11 11 3 5 2" xfId="369" xr:uid="{00000000-0005-0000-0000-000094010000}"/>
    <cellStyle name="输入 2 11 11 3 6" xfId="27795" xr:uid="{00000000-0005-0000-0000-0000C36C0000}"/>
    <cellStyle name="输入 2 11 11 4" xfId="44141" xr:uid="{00000000-0005-0000-0000-00009DAC0000}"/>
    <cellStyle name="输入 2 11 11 4 2" xfId="3404" xr:uid="{00000000-0005-0000-0000-00007C0D0000}"/>
    <cellStyle name="输入 2 11 11 4 2 2" xfId="44142" xr:uid="{00000000-0005-0000-0000-00009EAC0000}"/>
    <cellStyle name="输入 2 11 11 4 3" xfId="44143" xr:uid="{00000000-0005-0000-0000-00009FAC0000}"/>
    <cellStyle name="输入 2 11 11 4 3 2" xfId="44144" xr:uid="{00000000-0005-0000-0000-0000A0AC0000}"/>
    <cellStyle name="输入 2 11 11 4 4" xfId="44145" xr:uid="{00000000-0005-0000-0000-0000A1AC0000}"/>
    <cellStyle name="输入 2 11 11 4 4 2" xfId="44148" xr:uid="{00000000-0005-0000-0000-0000A4AC0000}"/>
    <cellStyle name="输入 2 11 11 4 5" xfId="892" xr:uid="{00000000-0005-0000-0000-0000AC030000}"/>
    <cellStyle name="输入 2 11 11 4 5 2" xfId="1016" xr:uid="{00000000-0005-0000-0000-000028040000}"/>
    <cellStyle name="输入 2 11 11 4 6" xfId="4850" xr:uid="{00000000-0005-0000-0000-000022130000}"/>
    <cellStyle name="输入 2 11 11 5" xfId="1106" xr:uid="{00000000-0005-0000-0000-000082040000}"/>
    <cellStyle name="输入 2 11 11 5 2" xfId="3442" xr:uid="{00000000-0005-0000-0000-0000A20D0000}"/>
    <cellStyle name="输入 2 11 11 5 2 2" xfId="44150" xr:uid="{00000000-0005-0000-0000-0000A6AC0000}"/>
    <cellStyle name="输入 2 11 11 5 3" xfId="13054" xr:uid="{00000000-0005-0000-0000-00002E330000}"/>
    <cellStyle name="输入 2 11 11 5 3 2" xfId="44151" xr:uid="{00000000-0005-0000-0000-0000A7AC0000}"/>
    <cellStyle name="输入 2 11 11 5 4" xfId="44152" xr:uid="{00000000-0005-0000-0000-0000A8AC0000}"/>
    <cellStyle name="输入 2 11 11 5 4 2" xfId="44154" xr:uid="{00000000-0005-0000-0000-0000AAAC0000}"/>
    <cellStyle name="输入 2 11 11 5 5" xfId="927" xr:uid="{00000000-0005-0000-0000-0000CF030000}"/>
    <cellStyle name="输入 2 11 11 5 5 2" xfId="44156" xr:uid="{00000000-0005-0000-0000-0000ACAC0000}"/>
    <cellStyle name="输入 2 11 11 5 6" xfId="44158" xr:uid="{00000000-0005-0000-0000-0000AEAC0000}"/>
    <cellStyle name="输入 2 11 11 6" xfId="44160" xr:uid="{00000000-0005-0000-0000-0000B0AC0000}"/>
    <cellStyle name="输入 2 11 11 6 2" xfId="1296" xr:uid="{00000000-0005-0000-0000-000040050000}"/>
    <cellStyle name="输入 2 11 11 6 2 2" xfId="44161" xr:uid="{00000000-0005-0000-0000-0000B1AC0000}"/>
    <cellStyle name="输入 2 11 11 6 3" xfId="13975" xr:uid="{00000000-0005-0000-0000-0000C7360000}"/>
    <cellStyle name="输入 2 11 11 6 3 2" xfId="44162" xr:uid="{00000000-0005-0000-0000-0000B2AC0000}"/>
    <cellStyle name="输入 2 11 11 6 4" xfId="44163" xr:uid="{00000000-0005-0000-0000-0000B3AC0000}"/>
    <cellStyle name="输入 2 11 11 6 4 2" xfId="44165" xr:uid="{00000000-0005-0000-0000-0000B5AC0000}"/>
    <cellStyle name="输入 2 11 11 6 5" xfId="1317" xr:uid="{00000000-0005-0000-0000-000055050000}"/>
    <cellStyle name="输入 2 11 11 6 5 2" xfId="44167" xr:uid="{00000000-0005-0000-0000-0000B7AC0000}"/>
    <cellStyle name="输入 2 11 11 6 6" xfId="44169" xr:uid="{00000000-0005-0000-0000-0000B9AC0000}"/>
    <cellStyle name="输入 2 11 11 7" xfId="44171" xr:uid="{00000000-0005-0000-0000-0000BBAC0000}"/>
    <cellStyle name="输入 2 11 11 7 2" xfId="2205" xr:uid="{00000000-0005-0000-0000-0000CD080000}"/>
    <cellStyle name="输入 2 11 11 7 2 2" xfId="44173" xr:uid="{00000000-0005-0000-0000-0000BDAC0000}"/>
    <cellStyle name="输入 2 11 11 7 3" xfId="13556" xr:uid="{00000000-0005-0000-0000-000024350000}"/>
    <cellStyle name="输入 2 11 11 7 3 2" xfId="44174" xr:uid="{00000000-0005-0000-0000-0000BEAC0000}"/>
    <cellStyle name="输入 2 11 11 7 4" xfId="44175" xr:uid="{00000000-0005-0000-0000-0000BFAC0000}"/>
    <cellStyle name="输入 2 11 11 7 4 2" xfId="44177" xr:uid="{00000000-0005-0000-0000-0000C1AC0000}"/>
    <cellStyle name="输入 2 11 11 7 5" xfId="2226" xr:uid="{00000000-0005-0000-0000-0000E2080000}"/>
    <cellStyle name="输入 2 11 11 7 5 2" xfId="44179" xr:uid="{00000000-0005-0000-0000-0000C3AC0000}"/>
    <cellStyle name="输入 2 11 11 7 6" xfId="3548" xr:uid="{00000000-0005-0000-0000-00000C0E0000}"/>
    <cellStyle name="输入 2 11 11 8" xfId="9596" xr:uid="{00000000-0005-0000-0000-0000AC250000}"/>
    <cellStyle name="输入 2 11 11 8 2" xfId="1541" xr:uid="{00000000-0005-0000-0000-000035060000}"/>
    <cellStyle name="输入 2 11 11 8 2 2" xfId="44181" xr:uid="{00000000-0005-0000-0000-0000C5AC0000}"/>
    <cellStyle name="输入 2 11 11 8 3" xfId="13564" xr:uid="{00000000-0005-0000-0000-00002C350000}"/>
    <cellStyle name="输入 2 11 11 8 3 2" xfId="44182" xr:uid="{00000000-0005-0000-0000-0000C6AC0000}"/>
    <cellStyle name="输入 2 11 11 8 4" xfId="44183" xr:uid="{00000000-0005-0000-0000-0000C7AC0000}"/>
    <cellStyle name="输入 2 11 11 8 4 2" xfId="44185" xr:uid="{00000000-0005-0000-0000-0000C9AC0000}"/>
    <cellStyle name="输入 2 11 11 8 5" xfId="44187" xr:uid="{00000000-0005-0000-0000-0000CBAC0000}"/>
    <cellStyle name="输入 2 11 11 9" xfId="44189" xr:uid="{00000000-0005-0000-0000-0000CDAC0000}"/>
    <cellStyle name="输入 2 11 11 9 2" xfId="44190" xr:uid="{00000000-0005-0000-0000-0000CEAC0000}"/>
    <cellStyle name="输入 2 11 12" xfId="44191" xr:uid="{00000000-0005-0000-0000-0000CFAC0000}"/>
    <cellStyle name="输入 2 11 12 2" xfId="44192" xr:uid="{00000000-0005-0000-0000-0000D0AC0000}"/>
    <cellStyle name="输入 2 11 12 2 2" xfId="29348" xr:uid="{00000000-0005-0000-0000-0000D4720000}"/>
    <cellStyle name="输入 2 11 12 3" xfId="44193" xr:uid="{00000000-0005-0000-0000-0000D1AC0000}"/>
    <cellStyle name="输入 2 11 12 3 2" xfId="23434" xr:uid="{00000000-0005-0000-0000-0000BA5B0000}"/>
    <cellStyle name="输入 2 11 12 4" xfId="44194" xr:uid="{00000000-0005-0000-0000-0000D2AC0000}"/>
    <cellStyle name="输入 2 11 12 4 2" xfId="5207" xr:uid="{00000000-0005-0000-0000-000087140000}"/>
    <cellStyle name="输入 2 11 12 5" xfId="1130" xr:uid="{00000000-0005-0000-0000-00009A040000}"/>
    <cellStyle name="输入 2 11 12 5 2" xfId="9603" xr:uid="{00000000-0005-0000-0000-0000B3250000}"/>
    <cellStyle name="输入 2 11 12 6" xfId="44195" xr:uid="{00000000-0005-0000-0000-0000D3AC0000}"/>
    <cellStyle name="输入 2 11 12 7" xfId="44196" xr:uid="{00000000-0005-0000-0000-0000D4AC0000}"/>
    <cellStyle name="输入 2 11 12 8" xfId="44198" xr:uid="{00000000-0005-0000-0000-0000D6AC0000}"/>
    <cellStyle name="输入 2 11 12 9" xfId="44199" xr:uid="{00000000-0005-0000-0000-0000D7AC0000}"/>
    <cellStyle name="输入 2 11 13" xfId="30260" xr:uid="{00000000-0005-0000-0000-000064760000}"/>
    <cellStyle name="输入 2 11 13 2" xfId="44200" xr:uid="{00000000-0005-0000-0000-0000D8AC0000}"/>
    <cellStyle name="输入 2 11 13 2 2" xfId="44201" xr:uid="{00000000-0005-0000-0000-0000D9AC0000}"/>
    <cellStyle name="输入 2 11 13 3" xfId="44202" xr:uid="{00000000-0005-0000-0000-0000DAAC0000}"/>
    <cellStyle name="输入 2 11 13 3 2" xfId="44203" xr:uid="{00000000-0005-0000-0000-0000DBAC0000}"/>
    <cellStyle name="输入 2 11 13 4" xfId="44204" xr:uid="{00000000-0005-0000-0000-0000DCAC0000}"/>
    <cellStyle name="输入 2 11 13 4 2" xfId="44205" xr:uid="{00000000-0005-0000-0000-0000DDAC0000}"/>
    <cellStyle name="输入 2 11 13 5" xfId="44206" xr:uid="{00000000-0005-0000-0000-0000DEAC0000}"/>
    <cellStyle name="输入 2 11 13 5 2" xfId="44207" xr:uid="{00000000-0005-0000-0000-0000DFAC0000}"/>
    <cellStyle name="输入 2 11 13 6" xfId="44208" xr:uid="{00000000-0005-0000-0000-0000E0AC0000}"/>
    <cellStyle name="输入 2 11 14" xfId="21912" xr:uid="{00000000-0005-0000-0000-0000C8550000}"/>
    <cellStyle name="输入 2 11 14 2" xfId="44209" xr:uid="{00000000-0005-0000-0000-0000E1AC0000}"/>
    <cellStyle name="输入 2 11 14 2 2" xfId="44210" xr:uid="{00000000-0005-0000-0000-0000E2AC0000}"/>
    <cellStyle name="输入 2 11 14 3" xfId="31698" xr:uid="{00000000-0005-0000-0000-0000027C0000}"/>
    <cellStyle name="输入 2 11 14 3 2" xfId="44211" xr:uid="{00000000-0005-0000-0000-0000E3AC0000}"/>
    <cellStyle name="输入 2 11 14 4" xfId="44212" xr:uid="{00000000-0005-0000-0000-0000E4AC0000}"/>
    <cellStyle name="输入 2 11 14 4 2" xfId="44213" xr:uid="{00000000-0005-0000-0000-0000E5AC0000}"/>
    <cellStyle name="输入 2 11 14 5" xfId="44214" xr:uid="{00000000-0005-0000-0000-0000E6AC0000}"/>
    <cellStyle name="输入 2 11 14 5 2" xfId="44215" xr:uid="{00000000-0005-0000-0000-0000E7AC0000}"/>
    <cellStyle name="输入 2 11 14 6" xfId="44216" xr:uid="{00000000-0005-0000-0000-0000E8AC0000}"/>
    <cellStyle name="输入 2 11 15" xfId="44217" xr:uid="{00000000-0005-0000-0000-0000E9AC0000}"/>
    <cellStyle name="输入 2 11 15 2" xfId="44219" xr:uid="{00000000-0005-0000-0000-0000EBAC0000}"/>
    <cellStyle name="输入 2 11 15 2 2" xfId="44221" xr:uid="{00000000-0005-0000-0000-0000EDAC0000}"/>
    <cellStyle name="输入 2 11 15 3" xfId="31704" xr:uid="{00000000-0005-0000-0000-0000087C0000}"/>
    <cellStyle name="输入 2 11 15 3 2" xfId="44222" xr:uid="{00000000-0005-0000-0000-0000EEAC0000}"/>
    <cellStyle name="输入 2 11 15 4" xfId="44223" xr:uid="{00000000-0005-0000-0000-0000EFAC0000}"/>
    <cellStyle name="输入 2 11 15 4 2" xfId="44224" xr:uid="{00000000-0005-0000-0000-0000F0AC0000}"/>
    <cellStyle name="输入 2 11 15 5" xfId="44225" xr:uid="{00000000-0005-0000-0000-0000F1AC0000}"/>
    <cellStyle name="输入 2 11 15 5 2" xfId="44226" xr:uid="{00000000-0005-0000-0000-0000F2AC0000}"/>
    <cellStyle name="输入 2 11 15 6" xfId="44227" xr:uid="{00000000-0005-0000-0000-0000F3AC0000}"/>
    <cellStyle name="输入 2 11 16" xfId="44228" xr:uid="{00000000-0005-0000-0000-0000F4AC0000}"/>
    <cellStyle name="输入 2 11 16 2" xfId="44230" xr:uid="{00000000-0005-0000-0000-0000F6AC0000}"/>
    <cellStyle name="输入 2 11 16 2 2" xfId="870" xr:uid="{00000000-0005-0000-0000-000096030000}"/>
    <cellStyle name="输入 2 11 16 3" xfId="40435" xr:uid="{00000000-0005-0000-0000-0000239E0000}"/>
    <cellStyle name="输入 2 11 16 3 2" xfId="7014" xr:uid="{00000000-0005-0000-0000-0000961B0000}"/>
    <cellStyle name="输入 2 11 16 4" xfId="44232" xr:uid="{00000000-0005-0000-0000-0000F8AC0000}"/>
    <cellStyle name="输入 2 11 16 4 2" xfId="7076" xr:uid="{00000000-0005-0000-0000-0000D41B0000}"/>
    <cellStyle name="输入 2 11 16 5" xfId="44233" xr:uid="{00000000-0005-0000-0000-0000F9AC0000}"/>
    <cellStyle name="输入 2 11 16 5 2" xfId="2233" xr:uid="{00000000-0005-0000-0000-0000E9080000}"/>
    <cellStyle name="输入 2 11 16 6" xfId="44234" xr:uid="{00000000-0005-0000-0000-0000FAAC0000}"/>
    <cellStyle name="输入 2 11 17" xfId="44236" xr:uid="{00000000-0005-0000-0000-0000FCAC0000}"/>
    <cellStyle name="输入 2 11 17 2" xfId="37400" xr:uid="{00000000-0005-0000-0000-000048920000}"/>
    <cellStyle name="输入 2 11 17 2 2" xfId="30533" xr:uid="{00000000-0005-0000-0000-000075770000}"/>
    <cellStyle name="输入 2 11 17 3" xfId="40437" xr:uid="{00000000-0005-0000-0000-0000259E0000}"/>
    <cellStyle name="输入 2 11 17 3 2" xfId="30583" xr:uid="{00000000-0005-0000-0000-0000A7770000}"/>
    <cellStyle name="输入 2 11 17 4" xfId="44238" xr:uid="{00000000-0005-0000-0000-0000FEAC0000}"/>
    <cellStyle name="输入 2 11 17 4 2" xfId="30652" xr:uid="{00000000-0005-0000-0000-0000EC770000}"/>
    <cellStyle name="输入 2 11 17 5" xfId="44239" xr:uid="{00000000-0005-0000-0000-0000FFAC0000}"/>
    <cellStyle name="输入 2 11 17 5 2" xfId="30677" xr:uid="{00000000-0005-0000-0000-000005780000}"/>
    <cellStyle name="输入 2 11 17 6" xfId="44240" xr:uid="{00000000-0005-0000-0000-000000AD0000}"/>
    <cellStyle name="输入 2 11 18" xfId="44242" xr:uid="{00000000-0005-0000-0000-000002AD0000}"/>
    <cellStyle name="输入 2 11 18 2" xfId="39184" xr:uid="{00000000-0005-0000-0000-000040990000}"/>
    <cellStyle name="输入 2 11 18 2 2" xfId="44244" xr:uid="{00000000-0005-0000-0000-000004AD0000}"/>
    <cellStyle name="输入 2 11 18 3" xfId="39187" xr:uid="{00000000-0005-0000-0000-000043990000}"/>
    <cellStyle name="输入 2 11 18 3 2" xfId="44245" xr:uid="{00000000-0005-0000-0000-000005AD0000}"/>
    <cellStyle name="输入 2 11 18 4" xfId="44246" xr:uid="{00000000-0005-0000-0000-000006AD0000}"/>
    <cellStyle name="输入 2 11 18 4 2" xfId="44247" xr:uid="{00000000-0005-0000-0000-000007AD0000}"/>
    <cellStyle name="输入 2 11 18 5" xfId="44248" xr:uid="{00000000-0005-0000-0000-000008AD0000}"/>
    <cellStyle name="输入 2 11 18 5 2" xfId="44249" xr:uid="{00000000-0005-0000-0000-000009AD0000}"/>
    <cellStyle name="输入 2 11 18 6" xfId="44250" xr:uid="{00000000-0005-0000-0000-00000AAD0000}"/>
    <cellStyle name="输入 2 11 19" xfId="44252" xr:uid="{00000000-0005-0000-0000-00000CAD0000}"/>
    <cellStyle name="输入 2 11 19 2" xfId="44254" xr:uid="{00000000-0005-0000-0000-00000EAD0000}"/>
    <cellStyle name="输入 2 11 19 2 2" xfId="44255" xr:uid="{00000000-0005-0000-0000-00000FAD0000}"/>
    <cellStyle name="输入 2 11 19 3" xfId="44256" xr:uid="{00000000-0005-0000-0000-000010AD0000}"/>
    <cellStyle name="输入 2 11 19 3 2" xfId="44257" xr:uid="{00000000-0005-0000-0000-000011AD0000}"/>
    <cellStyle name="输入 2 11 19 4" xfId="44258" xr:uid="{00000000-0005-0000-0000-000012AD0000}"/>
    <cellStyle name="输入 2 11 19 4 2" xfId="44259" xr:uid="{00000000-0005-0000-0000-000013AD0000}"/>
    <cellStyle name="输入 2 11 19 5" xfId="44260" xr:uid="{00000000-0005-0000-0000-000014AD0000}"/>
    <cellStyle name="输入 2 11 2" xfId="44261" xr:uid="{00000000-0005-0000-0000-000015AD0000}"/>
    <cellStyle name="输入 2 11 2 10" xfId="43060" xr:uid="{00000000-0005-0000-0000-000064A80000}"/>
    <cellStyle name="输入 2 11 2 10 2" xfId="21325" xr:uid="{00000000-0005-0000-0000-00007D530000}"/>
    <cellStyle name="输入 2 11 2 11" xfId="11232" xr:uid="{00000000-0005-0000-0000-0000102C0000}"/>
    <cellStyle name="输入 2 11 2 11 2" xfId="21349" xr:uid="{00000000-0005-0000-0000-000095530000}"/>
    <cellStyle name="输入 2 11 2 12" xfId="43062" xr:uid="{00000000-0005-0000-0000-000066A80000}"/>
    <cellStyle name="输入 2 11 2 12 2" xfId="21385" xr:uid="{00000000-0005-0000-0000-0000B9530000}"/>
    <cellStyle name="输入 2 11 2 13" xfId="44262" xr:uid="{00000000-0005-0000-0000-000016AD0000}"/>
    <cellStyle name="输入 2 11 2 14" xfId="44263" xr:uid="{00000000-0005-0000-0000-000017AD0000}"/>
    <cellStyle name="输入 2 11 2 15" xfId="44264" xr:uid="{00000000-0005-0000-0000-000018AD0000}"/>
    <cellStyle name="输入 2 11 2 16" xfId="44265" xr:uid="{00000000-0005-0000-0000-000019AD0000}"/>
    <cellStyle name="输入 2 11 2 2" xfId="44057" xr:uid="{00000000-0005-0000-0000-000049AC0000}"/>
    <cellStyle name="输入 2 11 2 2 2" xfId="44059" xr:uid="{00000000-0005-0000-0000-00004BAC0000}"/>
    <cellStyle name="输入 2 11 2 2 2 2" xfId="44266" xr:uid="{00000000-0005-0000-0000-00001AAD0000}"/>
    <cellStyle name="输入 2 11 2 2 3" xfId="35573" xr:uid="{00000000-0005-0000-0000-0000258B0000}"/>
    <cellStyle name="输入 2 11 2 2 3 2" xfId="44267" xr:uid="{00000000-0005-0000-0000-00001BAD0000}"/>
    <cellStyle name="输入 2 11 2 2 4" xfId="44268" xr:uid="{00000000-0005-0000-0000-00001CAD0000}"/>
    <cellStyle name="输入 2 11 2 2 4 2" xfId="44269" xr:uid="{00000000-0005-0000-0000-00001DAD0000}"/>
    <cellStyle name="输入 2 11 2 2 5" xfId="44270" xr:uid="{00000000-0005-0000-0000-00001EAD0000}"/>
    <cellStyle name="输入 2 11 2 2 5 2" xfId="44271" xr:uid="{00000000-0005-0000-0000-00001FAD0000}"/>
    <cellStyle name="输入 2 11 2 2 6" xfId="44272" xr:uid="{00000000-0005-0000-0000-000020AD0000}"/>
    <cellStyle name="输入 2 11 2 2 7" xfId="44273" xr:uid="{00000000-0005-0000-0000-000021AD0000}"/>
    <cellStyle name="输入 2 11 2 2 8" xfId="1204" xr:uid="{00000000-0005-0000-0000-0000E4040000}"/>
    <cellStyle name="输入 2 11 2 2 9" xfId="44274" xr:uid="{00000000-0005-0000-0000-000022AD0000}"/>
    <cellStyle name="输入 2 11 2 3" xfId="27666" xr:uid="{00000000-0005-0000-0000-0000426C0000}"/>
    <cellStyle name="输入 2 11 2 3 2" xfId="27671" xr:uid="{00000000-0005-0000-0000-0000476C0000}"/>
    <cellStyle name="输入 2 11 2 3 2 2" xfId="41998" xr:uid="{00000000-0005-0000-0000-00003EA40000}"/>
    <cellStyle name="输入 2 11 2 3 3" xfId="7595" xr:uid="{00000000-0005-0000-0000-0000DB1D0000}"/>
    <cellStyle name="输入 2 11 2 3 3 2" xfId="42014" xr:uid="{00000000-0005-0000-0000-00004EA40000}"/>
    <cellStyle name="输入 2 11 2 3 4" xfId="44275" xr:uid="{00000000-0005-0000-0000-000023AD0000}"/>
    <cellStyle name="输入 2 11 2 3 4 2" xfId="42025" xr:uid="{00000000-0005-0000-0000-000059A40000}"/>
    <cellStyle name="输入 2 11 2 3 5" xfId="44276" xr:uid="{00000000-0005-0000-0000-000024AD0000}"/>
    <cellStyle name="输入 2 11 2 3 5 2" xfId="42035" xr:uid="{00000000-0005-0000-0000-000063A40000}"/>
    <cellStyle name="输入 2 11 2 3 6" xfId="44277" xr:uid="{00000000-0005-0000-0000-000025AD0000}"/>
    <cellStyle name="输入 2 11 2 4" xfId="27674" xr:uid="{00000000-0005-0000-0000-00004A6C0000}"/>
    <cellStyle name="输入 2 11 2 4 2" xfId="27679" xr:uid="{00000000-0005-0000-0000-00004F6C0000}"/>
    <cellStyle name="输入 2 11 2 4 2 2" xfId="7663" xr:uid="{00000000-0005-0000-0000-00001F1E0000}"/>
    <cellStyle name="输入 2 11 2 4 3" xfId="7678" xr:uid="{00000000-0005-0000-0000-00002E1E0000}"/>
    <cellStyle name="输入 2 11 2 4 3 2" xfId="9054" xr:uid="{00000000-0005-0000-0000-00008E230000}"/>
    <cellStyle name="输入 2 11 2 4 4" xfId="44278" xr:uid="{00000000-0005-0000-0000-000026AD0000}"/>
    <cellStyle name="输入 2 11 2 4 4 2" xfId="9106" xr:uid="{00000000-0005-0000-0000-0000C2230000}"/>
    <cellStyle name="输入 2 11 2 4 5" xfId="44279" xr:uid="{00000000-0005-0000-0000-000027AD0000}"/>
    <cellStyle name="输入 2 11 2 4 5 2" xfId="9157" xr:uid="{00000000-0005-0000-0000-0000F5230000}"/>
    <cellStyle name="输入 2 11 2 4 6" xfId="44280" xr:uid="{00000000-0005-0000-0000-000028AD0000}"/>
    <cellStyle name="输入 2 11 2 5" xfId="2637" xr:uid="{00000000-0005-0000-0000-00007D0A0000}"/>
    <cellStyle name="输入 2 11 2 5 2" xfId="27683" xr:uid="{00000000-0005-0000-0000-0000536C0000}"/>
    <cellStyle name="输入 2 11 2 5 2 2" xfId="44281" xr:uid="{00000000-0005-0000-0000-000029AD0000}"/>
    <cellStyle name="输入 2 11 2 5 3" xfId="18158" xr:uid="{00000000-0005-0000-0000-00001E470000}"/>
    <cellStyle name="输入 2 11 2 5 3 2" xfId="44282" xr:uid="{00000000-0005-0000-0000-00002AAD0000}"/>
    <cellStyle name="输入 2 11 2 5 4" xfId="44283" xr:uid="{00000000-0005-0000-0000-00002BAD0000}"/>
    <cellStyle name="输入 2 11 2 5 4 2" xfId="26521" xr:uid="{00000000-0005-0000-0000-0000C9670000}"/>
    <cellStyle name="输入 2 11 2 5 5" xfId="44284" xr:uid="{00000000-0005-0000-0000-00002CAD0000}"/>
    <cellStyle name="输入 2 11 2 5 5 2" xfId="44285" xr:uid="{00000000-0005-0000-0000-00002DAD0000}"/>
    <cellStyle name="输入 2 11 2 5 6" xfId="44286" xr:uid="{00000000-0005-0000-0000-00002EAD0000}"/>
    <cellStyle name="输入 2 11 2 6" xfId="27685" xr:uid="{00000000-0005-0000-0000-0000556C0000}"/>
    <cellStyle name="输入 2 11 2 6 2" xfId="27687" xr:uid="{00000000-0005-0000-0000-0000576C0000}"/>
    <cellStyle name="输入 2 11 2 6 2 2" xfId="44287" xr:uid="{00000000-0005-0000-0000-00002FAD0000}"/>
    <cellStyle name="输入 2 11 2 6 3" xfId="18163" xr:uid="{00000000-0005-0000-0000-000023470000}"/>
    <cellStyle name="输入 2 11 2 6 3 2" xfId="44288" xr:uid="{00000000-0005-0000-0000-000030AD0000}"/>
    <cellStyle name="输入 2 11 2 6 4" xfId="44289" xr:uid="{00000000-0005-0000-0000-000031AD0000}"/>
    <cellStyle name="输入 2 11 2 6 4 2" xfId="44290" xr:uid="{00000000-0005-0000-0000-000032AD0000}"/>
    <cellStyle name="输入 2 11 2 6 5" xfId="44291" xr:uid="{00000000-0005-0000-0000-000033AD0000}"/>
    <cellStyle name="输入 2 11 2 6 5 2" xfId="44292" xr:uid="{00000000-0005-0000-0000-000034AD0000}"/>
    <cellStyle name="输入 2 11 2 6 6" xfId="26780" xr:uid="{00000000-0005-0000-0000-0000CC680000}"/>
    <cellStyle name="输入 2 11 2 7" xfId="27689" xr:uid="{00000000-0005-0000-0000-0000596C0000}"/>
    <cellStyle name="输入 2 11 2 7 2" xfId="44293" xr:uid="{00000000-0005-0000-0000-000035AD0000}"/>
    <cellStyle name="输入 2 11 2 7 2 2" xfId="44294" xr:uid="{00000000-0005-0000-0000-000036AD0000}"/>
    <cellStyle name="输入 2 11 2 7 3" xfId="27006" xr:uid="{00000000-0005-0000-0000-0000AE690000}"/>
    <cellStyle name="输入 2 11 2 7 3 2" xfId="44295" xr:uid="{00000000-0005-0000-0000-000037AD0000}"/>
    <cellStyle name="输入 2 11 2 7 4" xfId="44296" xr:uid="{00000000-0005-0000-0000-000038AD0000}"/>
    <cellStyle name="输入 2 11 2 7 4 2" xfId="44297" xr:uid="{00000000-0005-0000-0000-000039AD0000}"/>
    <cellStyle name="输入 2 11 2 7 5" xfId="44298" xr:uid="{00000000-0005-0000-0000-00003AAD0000}"/>
    <cellStyle name="输入 2 11 2 7 5 2" xfId="44299" xr:uid="{00000000-0005-0000-0000-00003BAD0000}"/>
    <cellStyle name="输入 2 11 2 7 6" xfId="28775" xr:uid="{00000000-0005-0000-0000-000097700000}"/>
    <cellStyle name="输入 2 11 2 8" xfId="44300" xr:uid="{00000000-0005-0000-0000-00003CAD0000}"/>
    <cellStyle name="输入 2 11 2 8 2" xfId="44301" xr:uid="{00000000-0005-0000-0000-00003DAD0000}"/>
    <cellStyle name="输入 2 11 2 8 2 2" xfId="44302" xr:uid="{00000000-0005-0000-0000-00003EAD0000}"/>
    <cellStyle name="输入 2 11 2 8 3" xfId="27010" xr:uid="{00000000-0005-0000-0000-0000B2690000}"/>
    <cellStyle name="输入 2 11 2 8 3 2" xfId="44304" xr:uid="{00000000-0005-0000-0000-000040AD0000}"/>
    <cellStyle name="输入 2 11 2 8 4" xfId="44305" xr:uid="{00000000-0005-0000-0000-000041AD0000}"/>
    <cellStyle name="输入 2 11 2 8 4 2" xfId="44306" xr:uid="{00000000-0005-0000-0000-000042AD0000}"/>
    <cellStyle name="输入 2 11 2 8 5" xfId="44307" xr:uid="{00000000-0005-0000-0000-000043AD0000}"/>
    <cellStyle name="输入 2 11 2 9" xfId="44308" xr:uid="{00000000-0005-0000-0000-000044AD0000}"/>
    <cellStyle name="输入 2 11 2 9 2" xfId="44309" xr:uid="{00000000-0005-0000-0000-000045AD0000}"/>
    <cellStyle name="输入 2 11 20" xfId="44218" xr:uid="{00000000-0005-0000-0000-0000EAAC0000}"/>
    <cellStyle name="输入 2 11 20 2" xfId="44220" xr:uid="{00000000-0005-0000-0000-0000ECAC0000}"/>
    <cellStyle name="输入 2 11 21" xfId="44229" xr:uid="{00000000-0005-0000-0000-0000F5AC0000}"/>
    <cellStyle name="输入 2 11 21 2" xfId="44231" xr:uid="{00000000-0005-0000-0000-0000F7AC0000}"/>
    <cellStyle name="输入 2 11 22" xfId="44237" xr:uid="{00000000-0005-0000-0000-0000FDAC0000}"/>
    <cellStyle name="输入 2 11 22 2" xfId="37401" xr:uid="{00000000-0005-0000-0000-000049920000}"/>
    <cellStyle name="输入 2 11 23" xfId="44243" xr:uid="{00000000-0005-0000-0000-000003AD0000}"/>
    <cellStyle name="输入 2 11 23 2" xfId="39185" xr:uid="{00000000-0005-0000-0000-000041990000}"/>
    <cellStyle name="输入 2 11 24" xfId="44253" xr:uid="{00000000-0005-0000-0000-00000DAD0000}"/>
    <cellStyle name="输入 2 11 25" xfId="44310" xr:uid="{00000000-0005-0000-0000-000046AD0000}"/>
    <cellStyle name="输入 2 11 26" xfId="44311" xr:uid="{00000000-0005-0000-0000-000047AD0000}"/>
    <cellStyle name="输入 2 11 27" xfId="44312" xr:uid="{00000000-0005-0000-0000-000048AD0000}"/>
    <cellStyle name="输入 2 11 3" xfId="44313" xr:uid="{00000000-0005-0000-0000-000049AD0000}"/>
    <cellStyle name="输入 2 11 3 10" xfId="44315" xr:uid="{00000000-0005-0000-0000-00004BAD0000}"/>
    <cellStyle name="输入 2 11 3 10 2" xfId="26530" xr:uid="{00000000-0005-0000-0000-0000D2670000}"/>
    <cellStyle name="输入 2 11 3 11" xfId="44316" xr:uid="{00000000-0005-0000-0000-00004CAD0000}"/>
    <cellStyle name="输入 2 11 3 11 2" xfId="26588" xr:uid="{00000000-0005-0000-0000-00000C680000}"/>
    <cellStyle name="输入 2 11 3 12" xfId="44317" xr:uid="{00000000-0005-0000-0000-00004DAD0000}"/>
    <cellStyle name="输入 2 11 3 12 2" xfId="36144" xr:uid="{00000000-0005-0000-0000-0000608D0000}"/>
    <cellStyle name="输入 2 11 3 13" xfId="44318" xr:uid="{00000000-0005-0000-0000-00004EAD0000}"/>
    <cellStyle name="输入 2 11 3 14" xfId="19357" xr:uid="{00000000-0005-0000-0000-0000CD4B0000}"/>
    <cellStyle name="输入 2 11 3 15" xfId="44319" xr:uid="{00000000-0005-0000-0000-00004FAD0000}"/>
    <cellStyle name="输入 2 11 3 16" xfId="32619" xr:uid="{00000000-0005-0000-0000-00009B7F0000}"/>
    <cellStyle name="输入 2 11 3 2" xfId="44066" xr:uid="{00000000-0005-0000-0000-000052AC0000}"/>
    <cellStyle name="输入 2 11 3 2 2" xfId="44068" xr:uid="{00000000-0005-0000-0000-000054AC0000}"/>
    <cellStyle name="输入 2 11 3 2 2 2" xfId="44320" xr:uid="{00000000-0005-0000-0000-000050AD0000}"/>
    <cellStyle name="输入 2 11 3 2 3" xfId="44321" xr:uid="{00000000-0005-0000-0000-000051AD0000}"/>
    <cellStyle name="输入 2 11 3 2 3 2" xfId="44323" xr:uid="{00000000-0005-0000-0000-000053AD0000}"/>
    <cellStyle name="输入 2 11 3 2 4" xfId="44324" xr:uid="{00000000-0005-0000-0000-000054AD0000}"/>
    <cellStyle name="输入 2 11 3 2 4 2" xfId="44326" xr:uid="{00000000-0005-0000-0000-000056AD0000}"/>
    <cellStyle name="输入 2 11 3 2 5" xfId="44328" xr:uid="{00000000-0005-0000-0000-000058AD0000}"/>
    <cellStyle name="输入 2 11 3 2 5 2" xfId="44330" xr:uid="{00000000-0005-0000-0000-00005AAD0000}"/>
    <cellStyle name="输入 2 11 3 2 6" xfId="44332" xr:uid="{00000000-0005-0000-0000-00005CAD0000}"/>
    <cellStyle name="输入 2 11 3 2 7" xfId="44334" xr:uid="{00000000-0005-0000-0000-00005EAD0000}"/>
    <cellStyle name="输入 2 11 3 2 8" xfId="9268" xr:uid="{00000000-0005-0000-0000-000064240000}"/>
    <cellStyle name="输入 2 11 3 2 9" xfId="44336" xr:uid="{00000000-0005-0000-0000-000060AD0000}"/>
    <cellStyle name="输入 2 11 3 3" xfId="27693" xr:uid="{00000000-0005-0000-0000-00005D6C0000}"/>
    <cellStyle name="输入 2 11 3 3 2" xfId="27698" xr:uid="{00000000-0005-0000-0000-0000626C0000}"/>
    <cellStyle name="输入 2 11 3 3 2 2" xfId="44338" xr:uid="{00000000-0005-0000-0000-000062AD0000}"/>
    <cellStyle name="输入 2 11 3 3 3" xfId="3423" xr:uid="{00000000-0005-0000-0000-00008F0D0000}"/>
    <cellStyle name="输入 2 11 3 3 3 2" xfId="44339" xr:uid="{00000000-0005-0000-0000-000063AD0000}"/>
    <cellStyle name="输入 2 11 3 3 4" xfId="44340" xr:uid="{00000000-0005-0000-0000-000064AD0000}"/>
    <cellStyle name="输入 2 11 3 3 4 2" xfId="44341" xr:uid="{00000000-0005-0000-0000-000065AD0000}"/>
    <cellStyle name="输入 2 11 3 3 5" xfId="44342" xr:uid="{00000000-0005-0000-0000-000066AD0000}"/>
    <cellStyle name="输入 2 11 3 3 5 2" xfId="44343" xr:uid="{00000000-0005-0000-0000-000067AD0000}"/>
    <cellStyle name="输入 2 11 3 3 6" xfId="44344" xr:uid="{00000000-0005-0000-0000-000068AD0000}"/>
    <cellStyle name="输入 2 11 3 4" xfId="27701" xr:uid="{00000000-0005-0000-0000-0000656C0000}"/>
    <cellStyle name="输入 2 11 3 4 2" xfId="27706" xr:uid="{00000000-0005-0000-0000-00006A6C0000}"/>
    <cellStyle name="输入 2 11 3 4 2 2" xfId="7939" xr:uid="{00000000-0005-0000-0000-0000331F0000}"/>
    <cellStyle name="输入 2 11 3 4 3" xfId="3473" xr:uid="{00000000-0005-0000-0000-0000C10D0000}"/>
    <cellStyle name="输入 2 11 3 4 3 2" xfId="19432" xr:uid="{00000000-0005-0000-0000-0000184C0000}"/>
    <cellStyle name="输入 2 11 3 4 4" xfId="44345" xr:uid="{00000000-0005-0000-0000-000069AD0000}"/>
    <cellStyle name="输入 2 11 3 4 4 2" xfId="19462" xr:uid="{00000000-0005-0000-0000-0000364C0000}"/>
    <cellStyle name="输入 2 11 3 4 5" xfId="44346" xr:uid="{00000000-0005-0000-0000-00006AAD0000}"/>
    <cellStyle name="输入 2 11 3 4 5 2" xfId="19504" xr:uid="{00000000-0005-0000-0000-0000604C0000}"/>
    <cellStyle name="输入 2 11 3 4 6" xfId="44347" xr:uid="{00000000-0005-0000-0000-00006BAD0000}"/>
    <cellStyle name="输入 2 11 3 5" xfId="4648" xr:uid="{00000000-0005-0000-0000-000058120000}"/>
    <cellStyle name="输入 2 11 3 5 2" xfId="27709" xr:uid="{00000000-0005-0000-0000-00006D6C0000}"/>
    <cellStyle name="输入 2 11 3 5 2 2" xfId="44348" xr:uid="{00000000-0005-0000-0000-00006CAD0000}"/>
    <cellStyle name="输入 2 11 3 5 3" xfId="18192" xr:uid="{00000000-0005-0000-0000-000040470000}"/>
    <cellStyle name="输入 2 11 3 5 3 2" xfId="44350" xr:uid="{00000000-0005-0000-0000-00006EAD0000}"/>
    <cellStyle name="输入 2 11 3 5 4" xfId="44352" xr:uid="{00000000-0005-0000-0000-000070AD0000}"/>
    <cellStyle name="输入 2 11 3 5 4 2" xfId="44353" xr:uid="{00000000-0005-0000-0000-000071AD0000}"/>
    <cellStyle name="输入 2 11 3 5 5" xfId="44354" xr:uid="{00000000-0005-0000-0000-000072AD0000}"/>
    <cellStyle name="输入 2 11 3 5 5 2" xfId="44355" xr:uid="{00000000-0005-0000-0000-000073AD0000}"/>
    <cellStyle name="输入 2 11 3 5 6" xfId="44356" xr:uid="{00000000-0005-0000-0000-000074AD0000}"/>
    <cellStyle name="输入 2 11 3 6" xfId="27711" xr:uid="{00000000-0005-0000-0000-00006F6C0000}"/>
    <cellStyle name="输入 2 11 3 6 2" xfId="44357" xr:uid="{00000000-0005-0000-0000-000075AD0000}"/>
    <cellStyle name="输入 2 11 3 6 2 2" xfId="44359" xr:uid="{00000000-0005-0000-0000-000077AD0000}"/>
    <cellStyle name="输入 2 11 3 6 3" xfId="27017" xr:uid="{00000000-0005-0000-0000-0000B9690000}"/>
    <cellStyle name="输入 2 11 3 6 3 2" xfId="44361" xr:uid="{00000000-0005-0000-0000-000079AD0000}"/>
    <cellStyle name="输入 2 11 3 6 4" xfId="44363" xr:uid="{00000000-0005-0000-0000-00007BAD0000}"/>
    <cellStyle name="输入 2 11 3 6 4 2" xfId="44364" xr:uid="{00000000-0005-0000-0000-00007CAD0000}"/>
    <cellStyle name="输入 2 11 3 6 5" xfId="44365" xr:uid="{00000000-0005-0000-0000-00007DAD0000}"/>
    <cellStyle name="输入 2 11 3 6 5 2" xfId="44366" xr:uid="{00000000-0005-0000-0000-00007EAD0000}"/>
    <cellStyle name="输入 2 11 3 6 6" xfId="33551" xr:uid="{00000000-0005-0000-0000-00003F830000}"/>
    <cellStyle name="输入 2 11 3 7" xfId="44367" xr:uid="{00000000-0005-0000-0000-00007FAD0000}"/>
    <cellStyle name="输入 2 11 3 7 2" xfId="44368" xr:uid="{00000000-0005-0000-0000-000080AD0000}"/>
    <cellStyle name="输入 2 11 3 7 2 2" xfId="44370" xr:uid="{00000000-0005-0000-0000-000082AD0000}"/>
    <cellStyle name="输入 2 11 3 7 3" xfId="27020" xr:uid="{00000000-0005-0000-0000-0000BC690000}"/>
    <cellStyle name="输入 2 11 3 7 3 2" xfId="44371" xr:uid="{00000000-0005-0000-0000-000083AD0000}"/>
    <cellStyle name="输入 2 11 3 7 4" xfId="44372" xr:uid="{00000000-0005-0000-0000-000084AD0000}"/>
    <cellStyle name="输入 2 11 3 7 4 2" xfId="44374" xr:uid="{00000000-0005-0000-0000-000086AD0000}"/>
    <cellStyle name="输入 2 11 3 7 5" xfId="44376" xr:uid="{00000000-0005-0000-0000-000088AD0000}"/>
    <cellStyle name="输入 2 11 3 7 5 2" xfId="44378" xr:uid="{00000000-0005-0000-0000-00008AAD0000}"/>
    <cellStyle name="输入 2 11 3 7 6" xfId="33556" xr:uid="{00000000-0005-0000-0000-000044830000}"/>
    <cellStyle name="输入 2 11 3 8" xfId="44380" xr:uid="{00000000-0005-0000-0000-00008CAD0000}"/>
    <cellStyle name="输入 2 11 3 8 2" xfId="44381" xr:uid="{00000000-0005-0000-0000-00008DAD0000}"/>
    <cellStyle name="输入 2 11 3 8 2 2" xfId="44382" xr:uid="{00000000-0005-0000-0000-00008EAD0000}"/>
    <cellStyle name="输入 2 11 3 8 3" xfId="27023" xr:uid="{00000000-0005-0000-0000-0000BF690000}"/>
    <cellStyle name="输入 2 11 3 8 3 2" xfId="44383" xr:uid="{00000000-0005-0000-0000-00008FAD0000}"/>
    <cellStyle name="输入 2 11 3 8 4" xfId="44384" xr:uid="{00000000-0005-0000-0000-000090AD0000}"/>
    <cellStyle name="输入 2 11 3 8 4 2" xfId="44385" xr:uid="{00000000-0005-0000-0000-000091AD0000}"/>
    <cellStyle name="输入 2 11 3 8 5" xfId="44386" xr:uid="{00000000-0005-0000-0000-000092AD0000}"/>
    <cellStyle name="输入 2 11 3 9" xfId="44387" xr:uid="{00000000-0005-0000-0000-000093AD0000}"/>
    <cellStyle name="输入 2 11 3 9 2" xfId="34787" xr:uid="{00000000-0005-0000-0000-000013880000}"/>
    <cellStyle name="输入 2 11 4" xfId="44388" xr:uid="{00000000-0005-0000-0000-000094AD0000}"/>
    <cellStyle name="输入 2 11 4 10" xfId="44389" xr:uid="{00000000-0005-0000-0000-000095AD0000}"/>
    <cellStyle name="输入 2 11 4 10 2" xfId="29604" xr:uid="{00000000-0005-0000-0000-0000D4730000}"/>
    <cellStyle name="输入 2 11 4 11" xfId="44390" xr:uid="{00000000-0005-0000-0000-000096AD0000}"/>
    <cellStyle name="输入 2 11 4 11 2" xfId="29628" xr:uid="{00000000-0005-0000-0000-0000EC730000}"/>
    <cellStyle name="输入 2 11 4 12" xfId="44391" xr:uid="{00000000-0005-0000-0000-000097AD0000}"/>
    <cellStyle name="输入 2 11 4 12 2" xfId="36493" xr:uid="{00000000-0005-0000-0000-0000BD8E0000}"/>
    <cellStyle name="输入 2 11 4 13" xfId="44392" xr:uid="{00000000-0005-0000-0000-000098AD0000}"/>
    <cellStyle name="输入 2 11 4 14" xfId="31039" xr:uid="{00000000-0005-0000-0000-00006F790000}"/>
    <cellStyle name="输入 2 11 4 15" xfId="44393" xr:uid="{00000000-0005-0000-0000-000099AD0000}"/>
    <cellStyle name="输入 2 11 4 16" xfId="44394" xr:uid="{00000000-0005-0000-0000-00009AAD0000}"/>
    <cellStyle name="输入 2 11 4 2" xfId="44073" xr:uid="{00000000-0005-0000-0000-000059AC0000}"/>
    <cellStyle name="输入 2 11 4 2 2" xfId="44075" xr:uid="{00000000-0005-0000-0000-00005BAC0000}"/>
    <cellStyle name="输入 2 11 4 2 2 2" xfId="8028" xr:uid="{00000000-0005-0000-0000-00008C1F0000}"/>
    <cellStyle name="输入 2 11 4 2 3" xfId="44396" xr:uid="{00000000-0005-0000-0000-00009CAD0000}"/>
    <cellStyle name="输入 2 11 4 2 3 2" xfId="8719" xr:uid="{00000000-0005-0000-0000-00003F220000}"/>
    <cellStyle name="输入 2 11 4 2 4" xfId="44398" xr:uid="{00000000-0005-0000-0000-00009EAD0000}"/>
    <cellStyle name="输入 2 11 4 2 4 2" xfId="8871" xr:uid="{00000000-0005-0000-0000-0000D7220000}"/>
    <cellStyle name="输入 2 11 4 2 5" xfId="44400" xr:uid="{00000000-0005-0000-0000-0000A0AD0000}"/>
    <cellStyle name="输入 2 11 4 2 5 2" xfId="6522" xr:uid="{00000000-0005-0000-0000-0000AA190000}"/>
    <cellStyle name="输入 2 11 4 2 6" xfId="44402" xr:uid="{00000000-0005-0000-0000-0000A2AD0000}"/>
    <cellStyle name="输入 2 11 4 2 7" xfId="44404" xr:uid="{00000000-0005-0000-0000-0000A4AD0000}"/>
    <cellStyle name="输入 2 11 4 2 8" xfId="44406" xr:uid="{00000000-0005-0000-0000-0000A6AD0000}"/>
    <cellStyle name="输入 2 11 4 2 9" xfId="44408" xr:uid="{00000000-0005-0000-0000-0000A8AD0000}"/>
    <cellStyle name="输入 2 11 4 3" xfId="27715" xr:uid="{00000000-0005-0000-0000-0000736C0000}"/>
    <cellStyle name="输入 2 11 4 3 2" xfId="44077" xr:uid="{00000000-0005-0000-0000-00005DAC0000}"/>
    <cellStyle name="输入 2 11 4 3 2 2" xfId="6281" xr:uid="{00000000-0005-0000-0000-0000B9180000}"/>
    <cellStyle name="输入 2 11 4 3 3" xfId="44410" xr:uid="{00000000-0005-0000-0000-0000AAAD0000}"/>
    <cellStyle name="输入 2 11 4 3 3 2" xfId="6667" xr:uid="{00000000-0005-0000-0000-00003B1A0000}"/>
    <cellStyle name="输入 2 11 4 3 4" xfId="44412" xr:uid="{00000000-0005-0000-0000-0000ACAD0000}"/>
    <cellStyle name="输入 2 11 4 3 4 2" xfId="6913" xr:uid="{00000000-0005-0000-0000-0000311B0000}"/>
    <cellStyle name="输入 2 11 4 3 5" xfId="44413" xr:uid="{00000000-0005-0000-0000-0000ADAD0000}"/>
    <cellStyle name="输入 2 11 4 3 5 2" xfId="6979" xr:uid="{00000000-0005-0000-0000-0000731B0000}"/>
    <cellStyle name="输入 2 11 4 3 6" xfId="44414" xr:uid="{00000000-0005-0000-0000-0000AEAD0000}"/>
    <cellStyle name="输入 2 11 4 4" xfId="44079" xr:uid="{00000000-0005-0000-0000-00005FAC0000}"/>
    <cellStyle name="输入 2 11 4 4 2" xfId="44415" xr:uid="{00000000-0005-0000-0000-0000AFAD0000}"/>
    <cellStyle name="输入 2 11 4 4 2 2" xfId="8110" xr:uid="{00000000-0005-0000-0000-0000DE1F0000}"/>
    <cellStyle name="输入 2 11 4 4 3" xfId="44416" xr:uid="{00000000-0005-0000-0000-0000B0AD0000}"/>
    <cellStyle name="输入 2 11 4 4 3 2" xfId="11636" xr:uid="{00000000-0005-0000-0000-0000A42D0000}"/>
    <cellStyle name="输入 2 11 4 4 4" xfId="44418" xr:uid="{00000000-0005-0000-0000-0000B2AD0000}"/>
    <cellStyle name="输入 2 11 4 4 4 2" xfId="11676" xr:uid="{00000000-0005-0000-0000-0000CC2D0000}"/>
    <cellStyle name="输入 2 11 4 4 5" xfId="44419" xr:uid="{00000000-0005-0000-0000-0000B3AD0000}"/>
    <cellStyle name="输入 2 11 4 4 5 2" xfId="11715" xr:uid="{00000000-0005-0000-0000-0000F32D0000}"/>
    <cellStyle name="输入 2 11 4 4 6" xfId="44420" xr:uid="{00000000-0005-0000-0000-0000B4AD0000}"/>
    <cellStyle name="输入 2 11 4 5" xfId="44421" xr:uid="{00000000-0005-0000-0000-0000B5AD0000}"/>
    <cellStyle name="输入 2 11 4 5 2" xfId="44422" xr:uid="{00000000-0005-0000-0000-0000B6AD0000}"/>
    <cellStyle name="输入 2 11 4 5 2 2" xfId="44423" xr:uid="{00000000-0005-0000-0000-0000B7AD0000}"/>
    <cellStyle name="输入 2 11 4 5 3" xfId="938" xr:uid="{00000000-0005-0000-0000-0000DA030000}"/>
    <cellStyle name="输入 2 11 4 5 3 2" xfId="44424" xr:uid="{00000000-0005-0000-0000-0000B8AD0000}"/>
    <cellStyle name="输入 2 11 4 5 4" xfId="44425" xr:uid="{00000000-0005-0000-0000-0000B9AD0000}"/>
    <cellStyle name="输入 2 11 4 5 4 2" xfId="44426" xr:uid="{00000000-0005-0000-0000-0000BAAD0000}"/>
    <cellStyle name="输入 2 11 4 5 5" xfId="44427" xr:uid="{00000000-0005-0000-0000-0000BBAD0000}"/>
    <cellStyle name="输入 2 11 4 5 5 2" xfId="44428" xr:uid="{00000000-0005-0000-0000-0000BCAD0000}"/>
    <cellStyle name="输入 2 11 4 5 6" xfId="44429" xr:uid="{00000000-0005-0000-0000-0000BDAD0000}"/>
    <cellStyle name="输入 2 11 4 6" xfId="44430" xr:uid="{00000000-0005-0000-0000-0000BEAD0000}"/>
    <cellStyle name="输入 2 11 4 6 2" xfId="44431" xr:uid="{00000000-0005-0000-0000-0000BFAD0000}"/>
    <cellStyle name="输入 2 11 4 6 2 2" xfId="44432" xr:uid="{00000000-0005-0000-0000-0000C0AD0000}"/>
    <cellStyle name="输入 2 11 4 6 3" xfId="965" xr:uid="{00000000-0005-0000-0000-0000F5030000}"/>
    <cellStyle name="输入 2 11 4 6 3 2" xfId="23640" xr:uid="{00000000-0005-0000-0000-0000885C0000}"/>
    <cellStyle name="输入 2 11 4 6 4" xfId="44433" xr:uid="{00000000-0005-0000-0000-0000C1AD0000}"/>
    <cellStyle name="输入 2 11 4 6 4 2" xfId="44434" xr:uid="{00000000-0005-0000-0000-0000C2AD0000}"/>
    <cellStyle name="输入 2 11 4 6 5" xfId="41595" xr:uid="{00000000-0005-0000-0000-0000ABA20000}"/>
    <cellStyle name="输入 2 11 4 6 5 2" xfId="44435" xr:uid="{00000000-0005-0000-0000-0000C3AD0000}"/>
    <cellStyle name="输入 2 11 4 6 6" xfId="44436" xr:uid="{00000000-0005-0000-0000-0000C4AD0000}"/>
    <cellStyle name="输入 2 11 4 7" xfId="44437" xr:uid="{00000000-0005-0000-0000-0000C5AD0000}"/>
    <cellStyle name="输入 2 11 4 7 2" xfId="44438" xr:uid="{00000000-0005-0000-0000-0000C6AD0000}"/>
    <cellStyle name="输入 2 11 4 7 2 2" xfId="44439" xr:uid="{00000000-0005-0000-0000-0000C7AD0000}"/>
    <cellStyle name="输入 2 11 4 7 3" xfId="972" xr:uid="{00000000-0005-0000-0000-0000FC030000}"/>
    <cellStyle name="输入 2 11 4 7 3 2" xfId="44440" xr:uid="{00000000-0005-0000-0000-0000C8AD0000}"/>
    <cellStyle name="输入 2 11 4 7 4" xfId="44441" xr:uid="{00000000-0005-0000-0000-0000C9AD0000}"/>
    <cellStyle name="输入 2 11 4 7 4 2" xfId="44443" xr:uid="{00000000-0005-0000-0000-0000CBAD0000}"/>
    <cellStyle name="输入 2 11 4 7 5" xfId="41598" xr:uid="{00000000-0005-0000-0000-0000AEA20000}"/>
    <cellStyle name="输入 2 11 4 7 5 2" xfId="44445" xr:uid="{00000000-0005-0000-0000-0000CDAD0000}"/>
    <cellStyle name="输入 2 11 4 7 6" xfId="44447" xr:uid="{00000000-0005-0000-0000-0000CFAD0000}"/>
    <cellStyle name="输入 2 11 4 8" xfId="44449" xr:uid="{00000000-0005-0000-0000-0000D1AD0000}"/>
    <cellStyle name="输入 2 11 4 8 2" xfId="44450" xr:uid="{00000000-0005-0000-0000-0000D2AD0000}"/>
    <cellStyle name="输入 2 11 4 8 2 2" xfId="44451" xr:uid="{00000000-0005-0000-0000-0000D3AD0000}"/>
    <cellStyle name="输入 2 11 4 8 3" xfId="985" xr:uid="{00000000-0005-0000-0000-000009040000}"/>
    <cellStyle name="输入 2 11 4 8 3 2" xfId="44452" xr:uid="{00000000-0005-0000-0000-0000D4AD0000}"/>
    <cellStyle name="输入 2 11 4 8 4" xfId="44453" xr:uid="{00000000-0005-0000-0000-0000D5AD0000}"/>
    <cellStyle name="输入 2 11 4 8 4 2" xfId="44454" xr:uid="{00000000-0005-0000-0000-0000D6AD0000}"/>
    <cellStyle name="输入 2 11 4 8 5" xfId="41602" xr:uid="{00000000-0005-0000-0000-0000B2A20000}"/>
    <cellStyle name="输入 2 11 4 9" xfId="44455" xr:uid="{00000000-0005-0000-0000-0000D7AD0000}"/>
    <cellStyle name="输入 2 11 4 9 2" xfId="34852" xr:uid="{00000000-0005-0000-0000-000054880000}"/>
    <cellStyle name="输入 2 11 5" xfId="44456" xr:uid="{00000000-0005-0000-0000-0000D8AD0000}"/>
    <cellStyle name="输入 2 11 5 10" xfId="44457" xr:uid="{00000000-0005-0000-0000-0000D9AD0000}"/>
    <cellStyle name="输入 2 11 5 10 2" xfId="30738" xr:uid="{00000000-0005-0000-0000-000042780000}"/>
    <cellStyle name="输入 2 11 5 11" xfId="44458" xr:uid="{00000000-0005-0000-0000-0000DAAD0000}"/>
    <cellStyle name="输入 2 11 5 11 2" xfId="30756" xr:uid="{00000000-0005-0000-0000-000054780000}"/>
    <cellStyle name="输入 2 11 5 12" xfId="44459" xr:uid="{00000000-0005-0000-0000-0000DBAD0000}"/>
    <cellStyle name="输入 2 11 5 12 2" xfId="22189" xr:uid="{00000000-0005-0000-0000-0000DD560000}"/>
    <cellStyle name="输入 2 11 5 13" xfId="44461" xr:uid="{00000000-0005-0000-0000-0000DDAD0000}"/>
    <cellStyle name="输入 2 11 5 14" xfId="44462" xr:uid="{00000000-0005-0000-0000-0000DEAD0000}"/>
    <cellStyle name="输入 2 11 5 15" xfId="44463" xr:uid="{00000000-0005-0000-0000-0000DFAD0000}"/>
    <cellStyle name="输入 2 11 5 16" xfId="44464" xr:uid="{00000000-0005-0000-0000-0000E0AD0000}"/>
    <cellStyle name="输入 2 11 5 2" xfId="44084" xr:uid="{00000000-0005-0000-0000-000064AC0000}"/>
    <cellStyle name="输入 2 11 5 2 2" xfId="44086" xr:uid="{00000000-0005-0000-0000-000066AC0000}"/>
    <cellStyle name="输入 2 11 5 2 2 2" xfId="8353" xr:uid="{00000000-0005-0000-0000-0000D1200000}"/>
    <cellStyle name="输入 2 11 5 2 3" xfId="44465" xr:uid="{00000000-0005-0000-0000-0000E1AD0000}"/>
    <cellStyle name="输入 2 11 5 2 3 2" xfId="14965" xr:uid="{00000000-0005-0000-0000-0000A53A0000}"/>
    <cellStyle name="输入 2 11 5 2 4" xfId="44466" xr:uid="{00000000-0005-0000-0000-0000E2AD0000}"/>
    <cellStyle name="输入 2 11 5 2 4 2" xfId="14978" xr:uid="{00000000-0005-0000-0000-0000B23A0000}"/>
    <cellStyle name="输入 2 11 5 2 5" xfId="44467" xr:uid="{00000000-0005-0000-0000-0000E3AD0000}"/>
    <cellStyle name="输入 2 11 5 2 5 2" xfId="14994" xr:uid="{00000000-0005-0000-0000-0000C23A0000}"/>
    <cellStyle name="输入 2 11 5 2 6" xfId="44468" xr:uid="{00000000-0005-0000-0000-0000E4AD0000}"/>
    <cellStyle name="输入 2 11 5 2 7" xfId="44469" xr:uid="{00000000-0005-0000-0000-0000E5AD0000}"/>
    <cellStyle name="输入 2 11 5 2 8" xfId="44470" xr:uid="{00000000-0005-0000-0000-0000E6AD0000}"/>
    <cellStyle name="输入 2 11 5 2 9" xfId="44471" xr:uid="{00000000-0005-0000-0000-0000E7AD0000}"/>
    <cellStyle name="输入 2 11 5 3" xfId="44088" xr:uid="{00000000-0005-0000-0000-000068AC0000}"/>
    <cellStyle name="输入 2 11 5 3 2" xfId="44090" xr:uid="{00000000-0005-0000-0000-00006AAC0000}"/>
    <cellStyle name="输入 2 11 5 3 2 2" xfId="8400" xr:uid="{00000000-0005-0000-0000-000000210000}"/>
    <cellStyle name="输入 2 11 5 3 3" xfId="44472" xr:uid="{00000000-0005-0000-0000-0000E8AD0000}"/>
    <cellStyle name="输入 2 11 5 3 3 2" xfId="15098" xr:uid="{00000000-0005-0000-0000-00002A3B0000}"/>
    <cellStyle name="输入 2 11 5 3 4" xfId="44474" xr:uid="{00000000-0005-0000-0000-0000EAAD0000}"/>
    <cellStyle name="输入 2 11 5 3 4 2" xfId="15121" xr:uid="{00000000-0005-0000-0000-0000413B0000}"/>
    <cellStyle name="输入 2 11 5 3 5" xfId="44475" xr:uid="{00000000-0005-0000-0000-0000EBAD0000}"/>
    <cellStyle name="输入 2 11 5 3 5 2" xfId="15142" xr:uid="{00000000-0005-0000-0000-0000563B0000}"/>
    <cellStyle name="输入 2 11 5 3 6" xfId="44476" xr:uid="{00000000-0005-0000-0000-0000ECAD0000}"/>
    <cellStyle name="输入 2 11 5 4" xfId="44092" xr:uid="{00000000-0005-0000-0000-00006CAC0000}"/>
    <cellStyle name="输入 2 11 5 4 2" xfId="44477" xr:uid="{00000000-0005-0000-0000-0000EDAD0000}"/>
    <cellStyle name="输入 2 11 5 4 2 2" xfId="8466" xr:uid="{00000000-0005-0000-0000-000042210000}"/>
    <cellStyle name="输入 2 11 5 4 3" xfId="44478" xr:uid="{00000000-0005-0000-0000-0000EEAD0000}"/>
    <cellStyle name="输入 2 11 5 4 3 2" xfId="15295" xr:uid="{00000000-0005-0000-0000-0000EF3B0000}"/>
    <cellStyle name="输入 2 11 5 4 4" xfId="44480" xr:uid="{00000000-0005-0000-0000-0000F0AD0000}"/>
    <cellStyle name="输入 2 11 5 4 4 2" xfId="15330" xr:uid="{00000000-0005-0000-0000-0000123C0000}"/>
    <cellStyle name="输入 2 11 5 4 5" xfId="44481" xr:uid="{00000000-0005-0000-0000-0000F1AD0000}"/>
    <cellStyle name="输入 2 11 5 4 5 2" xfId="223" xr:uid="{00000000-0005-0000-0000-0000F2000000}"/>
    <cellStyle name="输入 2 11 5 4 6" xfId="44482" xr:uid="{00000000-0005-0000-0000-0000F2AD0000}"/>
    <cellStyle name="输入 2 11 5 5" xfId="44483" xr:uid="{00000000-0005-0000-0000-0000F3AD0000}"/>
    <cellStyle name="输入 2 11 5 5 2" xfId="44484" xr:uid="{00000000-0005-0000-0000-0000F4AD0000}"/>
    <cellStyle name="输入 2 11 5 5 2 2" xfId="44485" xr:uid="{00000000-0005-0000-0000-0000F5AD0000}"/>
    <cellStyle name="输入 2 11 5 5 3" xfId="27028" xr:uid="{00000000-0005-0000-0000-0000C4690000}"/>
    <cellStyle name="输入 2 11 5 5 3 2" xfId="44486" xr:uid="{00000000-0005-0000-0000-0000F6AD0000}"/>
    <cellStyle name="输入 2 11 5 5 4" xfId="44487" xr:uid="{00000000-0005-0000-0000-0000F7AD0000}"/>
    <cellStyle name="输入 2 11 5 5 4 2" xfId="44488" xr:uid="{00000000-0005-0000-0000-0000F8AD0000}"/>
    <cellStyle name="输入 2 11 5 5 5" xfId="44489" xr:uid="{00000000-0005-0000-0000-0000F9AD0000}"/>
    <cellStyle name="输入 2 11 5 5 5 2" xfId="44490" xr:uid="{00000000-0005-0000-0000-0000FAAD0000}"/>
    <cellStyle name="输入 2 11 5 5 6" xfId="44491" xr:uid="{00000000-0005-0000-0000-0000FBAD0000}"/>
    <cellStyle name="输入 2 11 5 6" xfId="44492" xr:uid="{00000000-0005-0000-0000-0000FCAD0000}"/>
    <cellStyle name="输入 2 11 5 6 2" xfId="21978" xr:uid="{00000000-0005-0000-0000-00000A560000}"/>
    <cellStyle name="输入 2 11 5 6 2 2" xfId="21980" xr:uid="{00000000-0005-0000-0000-00000C560000}"/>
    <cellStyle name="输入 2 11 5 6 3" xfId="21983" xr:uid="{00000000-0005-0000-0000-00000F560000}"/>
    <cellStyle name="输入 2 11 5 6 3 2" xfId="21987" xr:uid="{00000000-0005-0000-0000-000013560000}"/>
    <cellStyle name="输入 2 11 5 6 4" xfId="21989" xr:uid="{00000000-0005-0000-0000-000015560000}"/>
    <cellStyle name="输入 2 11 5 6 4 2" xfId="21993" xr:uid="{00000000-0005-0000-0000-000019560000}"/>
    <cellStyle name="输入 2 11 5 6 5" xfId="21995" xr:uid="{00000000-0005-0000-0000-00001B560000}"/>
    <cellStyle name="输入 2 11 5 6 5 2" xfId="44493" xr:uid="{00000000-0005-0000-0000-0000FDAD0000}"/>
    <cellStyle name="输入 2 11 5 6 6" xfId="21998" xr:uid="{00000000-0005-0000-0000-00001E560000}"/>
    <cellStyle name="输入 2 11 5 7" xfId="44494" xr:uid="{00000000-0005-0000-0000-0000FEAD0000}"/>
    <cellStyle name="输入 2 11 5 7 2" xfId="44495" xr:uid="{00000000-0005-0000-0000-0000FFAD0000}"/>
    <cellStyle name="输入 2 11 5 7 2 2" xfId="44497" xr:uid="{00000000-0005-0000-0000-000001AE0000}"/>
    <cellStyle name="输入 2 11 5 7 3" xfId="27037" xr:uid="{00000000-0005-0000-0000-0000CD690000}"/>
    <cellStyle name="输入 2 11 5 7 3 2" xfId="44499" xr:uid="{00000000-0005-0000-0000-000003AE0000}"/>
    <cellStyle name="输入 2 11 5 7 4" xfId="44501" xr:uid="{00000000-0005-0000-0000-000005AE0000}"/>
    <cellStyle name="输入 2 11 5 7 4 2" xfId="44503" xr:uid="{00000000-0005-0000-0000-000007AE0000}"/>
    <cellStyle name="输入 2 11 5 7 5" xfId="41614" xr:uid="{00000000-0005-0000-0000-0000BEA20000}"/>
    <cellStyle name="输入 2 11 5 7 5 2" xfId="44504" xr:uid="{00000000-0005-0000-0000-000008AE0000}"/>
    <cellStyle name="输入 2 11 5 7 6" xfId="44505" xr:uid="{00000000-0005-0000-0000-000009AE0000}"/>
    <cellStyle name="输入 2 11 5 8" xfId="44507" xr:uid="{00000000-0005-0000-0000-00000BAE0000}"/>
    <cellStyle name="输入 2 11 5 8 2" xfId="44509" xr:uid="{00000000-0005-0000-0000-00000DAE0000}"/>
    <cellStyle name="输入 2 11 5 8 2 2" xfId="44510" xr:uid="{00000000-0005-0000-0000-00000EAE0000}"/>
    <cellStyle name="输入 2 11 5 8 3" xfId="44511" xr:uid="{00000000-0005-0000-0000-00000FAE0000}"/>
    <cellStyle name="输入 2 11 5 8 3 2" xfId="44512" xr:uid="{00000000-0005-0000-0000-000010AE0000}"/>
    <cellStyle name="输入 2 11 5 8 4" xfId="44513" xr:uid="{00000000-0005-0000-0000-000011AE0000}"/>
    <cellStyle name="输入 2 11 5 8 4 2" xfId="44514" xr:uid="{00000000-0005-0000-0000-000012AE0000}"/>
    <cellStyle name="输入 2 11 5 8 5" xfId="41618" xr:uid="{00000000-0005-0000-0000-0000C2A20000}"/>
    <cellStyle name="输入 2 11 5 9" xfId="44515" xr:uid="{00000000-0005-0000-0000-000013AE0000}"/>
    <cellStyle name="输入 2 11 5 9 2" xfId="34894" xr:uid="{00000000-0005-0000-0000-00007E880000}"/>
    <cellStyle name="输入 2 11 6" xfId="14401" xr:uid="{00000000-0005-0000-0000-000071380000}"/>
    <cellStyle name="输入 2 11 6 10" xfId="44516" xr:uid="{00000000-0005-0000-0000-000014AE0000}"/>
    <cellStyle name="输入 2 11 6 10 2" xfId="32208" xr:uid="{00000000-0005-0000-0000-0000007E0000}"/>
    <cellStyle name="输入 2 11 6 11" xfId="44517" xr:uid="{00000000-0005-0000-0000-000015AE0000}"/>
    <cellStyle name="输入 2 11 6 11 2" xfId="19384" xr:uid="{00000000-0005-0000-0000-0000E84B0000}"/>
    <cellStyle name="输入 2 11 6 12" xfId="44518" xr:uid="{00000000-0005-0000-0000-000016AE0000}"/>
    <cellStyle name="输入 2 11 6 12 2" xfId="44519" xr:uid="{00000000-0005-0000-0000-000017AE0000}"/>
    <cellStyle name="输入 2 11 6 13" xfId="44520" xr:uid="{00000000-0005-0000-0000-000018AE0000}"/>
    <cellStyle name="输入 2 11 6 14" xfId="42718" xr:uid="{00000000-0005-0000-0000-00000EA70000}"/>
    <cellStyle name="输入 2 11 6 15" xfId="44521" xr:uid="{00000000-0005-0000-0000-000019AE0000}"/>
    <cellStyle name="输入 2 11 6 16" xfId="44523" xr:uid="{00000000-0005-0000-0000-00001BAE0000}"/>
    <cellStyle name="输入 2 11 6 2" xfId="44098" xr:uid="{00000000-0005-0000-0000-000072AC0000}"/>
    <cellStyle name="输入 2 11 6 2 2" xfId="44100" xr:uid="{00000000-0005-0000-0000-000074AC0000}"/>
    <cellStyle name="输入 2 11 6 2 2 2" xfId="8628" xr:uid="{00000000-0005-0000-0000-0000E4210000}"/>
    <cellStyle name="输入 2 11 6 2 3" xfId="44525" xr:uid="{00000000-0005-0000-0000-00001DAE0000}"/>
    <cellStyle name="输入 2 11 6 2 3 2" xfId="16781" xr:uid="{00000000-0005-0000-0000-0000BD410000}"/>
    <cellStyle name="输入 2 11 6 2 4" xfId="44526" xr:uid="{00000000-0005-0000-0000-00001EAE0000}"/>
    <cellStyle name="输入 2 11 6 2 4 2" xfId="16804" xr:uid="{00000000-0005-0000-0000-0000D4410000}"/>
    <cellStyle name="输入 2 11 6 2 5" xfId="44527" xr:uid="{00000000-0005-0000-0000-00001FAE0000}"/>
    <cellStyle name="输入 2 11 6 2 5 2" xfId="16830" xr:uid="{00000000-0005-0000-0000-0000EE410000}"/>
    <cellStyle name="输入 2 11 6 2 6" xfId="44528" xr:uid="{00000000-0005-0000-0000-000020AE0000}"/>
    <cellStyle name="输入 2 11 6 2 7" xfId="44529" xr:uid="{00000000-0005-0000-0000-000021AE0000}"/>
    <cellStyle name="输入 2 11 6 2 8" xfId="44530" xr:uid="{00000000-0005-0000-0000-000022AE0000}"/>
    <cellStyle name="输入 2 11 6 2 9" xfId="44531" xr:uid="{00000000-0005-0000-0000-000023AE0000}"/>
    <cellStyle name="输入 2 11 6 3" xfId="44102" xr:uid="{00000000-0005-0000-0000-000076AC0000}"/>
    <cellStyle name="输入 2 11 6 3 2" xfId="44104" xr:uid="{00000000-0005-0000-0000-000078AC0000}"/>
    <cellStyle name="输入 2 11 6 3 2 2" xfId="8670" xr:uid="{00000000-0005-0000-0000-00000E220000}"/>
    <cellStyle name="输入 2 11 6 3 3" xfId="44532" xr:uid="{00000000-0005-0000-0000-000024AE0000}"/>
    <cellStyle name="输入 2 11 6 3 3 2" xfId="16932" xr:uid="{00000000-0005-0000-0000-000054420000}"/>
    <cellStyle name="输入 2 11 6 3 4" xfId="44534" xr:uid="{00000000-0005-0000-0000-000026AE0000}"/>
    <cellStyle name="输入 2 11 6 3 4 2" xfId="16951" xr:uid="{00000000-0005-0000-0000-000067420000}"/>
    <cellStyle name="输入 2 11 6 3 5" xfId="44535" xr:uid="{00000000-0005-0000-0000-000027AE0000}"/>
    <cellStyle name="输入 2 11 6 3 5 2" xfId="16970" xr:uid="{00000000-0005-0000-0000-00007A420000}"/>
    <cellStyle name="输入 2 11 6 3 6" xfId="44536" xr:uid="{00000000-0005-0000-0000-000028AE0000}"/>
    <cellStyle name="输入 2 11 6 4" xfId="44106" xr:uid="{00000000-0005-0000-0000-00007AAC0000}"/>
    <cellStyle name="输入 2 11 6 4 2" xfId="44537" xr:uid="{00000000-0005-0000-0000-000029AE0000}"/>
    <cellStyle name="输入 2 11 6 4 2 2" xfId="4696" xr:uid="{00000000-0005-0000-0000-000088120000}"/>
    <cellStyle name="输入 2 11 6 4 3" xfId="44538" xr:uid="{00000000-0005-0000-0000-00002AAE0000}"/>
    <cellStyle name="输入 2 11 6 4 3 2" xfId="17071" xr:uid="{00000000-0005-0000-0000-0000DF420000}"/>
    <cellStyle name="输入 2 11 6 4 4" xfId="44540" xr:uid="{00000000-0005-0000-0000-00002CAE0000}"/>
    <cellStyle name="输入 2 11 6 4 4 2" xfId="17103" xr:uid="{00000000-0005-0000-0000-0000FF420000}"/>
    <cellStyle name="输入 2 11 6 4 5" xfId="44541" xr:uid="{00000000-0005-0000-0000-00002DAE0000}"/>
    <cellStyle name="输入 2 11 6 4 5 2" xfId="17140" xr:uid="{00000000-0005-0000-0000-000024430000}"/>
    <cellStyle name="输入 2 11 6 4 6" xfId="44542" xr:uid="{00000000-0005-0000-0000-00002EAE0000}"/>
    <cellStyle name="输入 2 11 6 5" xfId="44543" xr:uid="{00000000-0005-0000-0000-00002FAE0000}"/>
    <cellStyle name="输入 2 11 6 5 2" xfId="44544" xr:uid="{00000000-0005-0000-0000-000030AE0000}"/>
    <cellStyle name="输入 2 11 6 5 2 2" xfId="44545" xr:uid="{00000000-0005-0000-0000-000031AE0000}"/>
    <cellStyle name="输入 2 11 6 5 3" xfId="44546" xr:uid="{00000000-0005-0000-0000-000032AE0000}"/>
    <cellStyle name="输入 2 11 6 5 3 2" xfId="44548" xr:uid="{00000000-0005-0000-0000-000034AE0000}"/>
    <cellStyle name="输入 2 11 6 5 4" xfId="44549" xr:uid="{00000000-0005-0000-0000-000035AE0000}"/>
    <cellStyle name="输入 2 11 6 5 4 2" xfId="44550" xr:uid="{00000000-0005-0000-0000-000036AE0000}"/>
    <cellStyle name="输入 2 11 6 5 5" xfId="44552" xr:uid="{00000000-0005-0000-0000-000038AE0000}"/>
    <cellStyle name="输入 2 11 6 5 5 2" xfId="44553" xr:uid="{00000000-0005-0000-0000-000039AE0000}"/>
    <cellStyle name="输入 2 11 6 5 6" xfId="44555" xr:uid="{00000000-0005-0000-0000-00003BAE0000}"/>
    <cellStyle name="输入 2 11 6 6" xfId="44556" xr:uid="{00000000-0005-0000-0000-00003CAE0000}"/>
    <cellStyle name="输入 2 11 6 6 2" xfId="2954" xr:uid="{00000000-0005-0000-0000-0000BA0B0000}"/>
    <cellStyle name="输入 2 11 6 6 2 2" xfId="2963" xr:uid="{00000000-0005-0000-0000-0000C30B0000}"/>
    <cellStyle name="输入 2 11 6 6 3" xfId="2996" xr:uid="{00000000-0005-0000-0000-0000E40B0000}"/>
    <cellStyle name="输入 2 11 6 6 3 2" xfId="3019" xr:uid="{00000000-0005-0000-0000-0000FB0B0000}"/>
    <cellStyle name="输入 2 11 6 6 4" xfId="3098" xr:uid="{00000000-0005-0000-0000-00004A0C0000}"/>
    <cellStyle name="输入 2 11 6 6 4 2" xfId="3103" xr:uid="{00000000-0005-0000-0000-00004F0C0000}"/>
    <cellStyle name="输入 2 11 6 6 5" xfId="3165" xr:uid="{00000000-0005-0000-0000-00008D0C0000}"/>
    <cellStyle name="输入 2 11 6 6 5 2" xfId="44557" xr:uid="{00000000-0005-0000-0000-00003DAE0000}"/>
    <cellStyle name="输入 2 11 6 6 6" xfId="2338" xr:uid="{00000000-0005-0000-0000-000052090000}"/>
    <cellStyle name="输入 2 11 6 7" xfId="44559" xr:uid="{00000000-0005-0000-0000-00003FAE0000}"/>
    <cellStyle name="输入 2 11 6 7 2" xfId="44560" xr:uid="{00000000-0005-0000-0000-000040AE0000}"/>
    <cellStyle name="输入 2 11 6 7 2 2" xfId="44561" xr:uid="{00000000-0005-0000-0000-000041AE0000}"/>
    <cellStyle name="输入 2 11 6 7 3" xfId="44562" xr:uid="{00000000-0005-0000-0000-000042AE0000}"/>
    <cellStyle name="输入 2 11 6 7 3 2" xfId="44563" xr:uid="{00000000-0005-0000-0000-000043AE0000}"/>
    <cellStyle name="输入 2 11 6 7 4" xfId="44565" xr:uid="{00000000-0005-0000-0000-000045AE0000}"/>
    <cellStyle name="输入 2 11 6 7 4 2" xfId="44566" xr:uid="{00000000-0005-0000-0000-000046AE0000}"/>
    <cellStyle name="输入 2 11 6 7 5" xfId="41623" xr:uid="{00000000-0005-0000-0000-0000C7A20000}"/>
    <cellStyle name="输入 2 11 6 7 5 2" xfId="44568" xr:uid="{00000000-0005-0000-0000-000048AE0000}"/>
    <cellStyle name="输入 2 11 6 7 6" xfId="44570" xr:uid="{00000000-0005-0000-0000-00004AAE0000}"/>
    <cellStyle name="输入 2 11 6 8" xfId="44571" xr:uid="{00000000-0005-0000-0000-00004BAE0000}"/>
    <cellStyle name="输入 2 11 6 8 2" xfId="44573" xr:uid="{00000000-0005-0000-0000-00004DAE0000}"/>
    <cellStyle name="输入 2 11 6 8 2 2" xfId="44574" xr:uid="{00000000-0005-0000-0000-00004EAE0000}"/>
    <cellStyle name="输入 2 11 6 8 3" xfId="44575" xr:uid="{00000000-0005-0000-0000-00004FAE0000}"/>
    <cellStyle name="输入 2 11 6 8 3 2" xfId="44576" xr:uid="{00000000-0005-0000-0000-000050AE0000}"/>
    <cellStyle name="输入 2 11 6 8 4" xfId="44577" xr:uid="{00000000-0005-0000-0000-000051AE0000}"/>
    <cellStyle name="输入 2 11 6 8 4 2" xfId="44578" xr:uid="{00000000-0005-0000-0000-000052AE0000}"/>
    <cellStyle name="输入 2 11 6 8 5" xfId="41626" xr:uid="{00000000-0005-0000-0000-0000CAA20000}"/>
    <cellStyle name="输入 2 11 6 9" xfId="44580" xr:uid="{00000000-0005-0000-0000-000054AE0000}"/>
    <cellStyle name="输入 2 11 6 9 2" xfId="308" xr:uid="{00000000-0005-0000-0000-000053010000}"/>
    <cellStyle name="输入 2 11 7" xfId="44581" xr:uid="{00000000-0005-0000-0000-000055AE0000}"/>
    <cellStyle name="输入 2 11 7 10" xfId="43108" xr:uid="{00000000-0005-0000-0000-000094A80000}"/>
    <cellStyle name="输入 2 11 7 10 2" xfId="19665" xr:uid="{00000000-0005-0000-0000-0000014D0000}"/>
    <cellStyle name="输入 2 11 7 11" xfId="11492" xr:uid="{00000000-0005-0000-0000-0000142D0000}"/>
    <cellStyle name="输入 2 11 7 11 2" xfId="19794" xr:uid="{00000000-0005-0000-0000-0000824D0000}"/>
    <cellStyle name="输入 2 11 7 12" xfId="30027" xr:uid="{00000000-0005-0000-0000-00007B750000}"/>
    <cellStyle name="输入 2 11 7 12 2" xfId="19869" xr:uid="{00000000-0005-0000-0000-0000CD4D0000}"/>
    <cellStyle name="输入 2 11 7 13" xfId="44582" xr:uid="{00000000-0005-0000-0000-000056AE0000}"/>
    <cellStyle name="输入 2 11 7 14" xfId="44583" xr:uid="{00000000-0005-0000-0000-000057AE0000}"/>
    <cellStyle name="输入 2 11 7 15" xfId="44585" xr:uid="{00000000-0005-0000-0000-000059AE0000}"/>
    <cellStyle name="输入 2 11 7 16" xfId="44586" xr:uid="{00000000-0005-0000-0000-00005AAE0000}"/>
    <cellStyle name="输入 2 11 7 2" xfId="44111" xr:uid="{00000000-0005-0000-0000-00007FAC0000}"/>
    <cellStyle name="输入 2 11 7 2 2" xfId="44113" xr:uid="{00000000-0005-0000-0000-000081AC0000}"/>
    <cellStyle name="输入 2 11 7 2 2 2" xfId="1146" xr:uid="{00000000-0005-0000-0000-0000AA040000}"/>
    <cellStyle name="输入 2 11 7 2 3" xfId="2324" xr:uid="{00000000-0005-0000-0000-000044090000}"/>
    <cellStyle name="输入 2 11 7 2 3 2" xfId="18837" xr:uid="{00000000-0005-0000-0000-0000C5490000}"/>
    <cellStyle name="输入 2 11 7 2 4" xfId="44587" xr:uid="{00000000-0005-0000-0000-00005BAE0000}"/>
    <cellStyle name="输入 2 11 7 2 4 2" xfId="18850" xr:uid="{00000000-0005-0000-0000-0000D2490000}"/>
    <cellStyle name="输入 2 11 7 2 5" xfId="44588" xr:uid="{00000000-0005-0000-0000-00005CAE0000}"/>
    <cellStyle name="输入 2 11 7 2 5 2" xfId="18867" xr:uid="{00000000-0005-0000-0000-0000E3490000}"/>
    <cellStyle name="输入 2 11 7 2 6" xfId="44589" xr:uid="{00000000-0005-0000-0000-00005DAE0000}"/>
    <cellStyle name="输入 2 11 7 2 7" xfId="44590" xr:uid="{00000000-0005-0000-0000-00005EAE0000}"/>
    <cellStyle name="输入 2 11 7 2 8" xfId="44591" xr:uid="{00000000-0005-0000-0000-00005FAE0000}"/>
    <cellStyle name="输入 2 11 7 2 9" xfId="44592" xr:uid="{00000000-0005-0000-0000-000060AE0000}"/>
    <cellStyle name="输入 2 11 7 3" xfId="44115" xr:uid="{00000000-0005-0000-0000-000083AC0000}"/>
    <cellStyle name="输入 2 11 7 3 2" xfId="44593" xr:uid="{00000000-0005-0000-0000-000061AE0000}"/>
    <cellStyle name="输入 2 11 7 3 2 2" xfId="977" xr:uid="{00000000-0005-0000-0000-000001040000}"/>
    <cellStyle name="输入 2 11 7 3 3" xfId="44594" xr:uid="{00000000-0005-0000-0000-000062AE0000}"/>
    <cellStyle name="输入 2 11 7 3 3 2" xfId="18969" xr:uid="{00000000-0005-0000-0000-0000494A0000}"/>
    <cellStyle name="输入 2 11 7 3 4" xfId="44596" xr:uid="{00000000-0005-0000-0000-000064AE0000}"/>
    <cellStyle name="输入 2 11 7 3 4 2" xfId="18980" xr:uid="{00000000-0005-0000-0000-0000544A0000}"/>
    <cellStyle name="输入 2 11 7 3 5" xfId="44597" xr:uid="{00000000-0005-0000-0000-000065AE0000}"/>
    <cellStyle name="输入 2 11 7 3 5 2" xfId="19004" xr:uid="{00000000-0005-0000-0000-00006C4A0000}"/>
    <cellStyle name="输入 2 11 7 3 6" xfId="44598" xr:uid="{00000000-0005-0000-0000-000066AE0000}"/>
    <cellStyle name="输入 2 11 7 4" xfId="29577" xr:uid="{00000000-0005-0000-0000-0000B9730000}"/>
    <cellStyle name="输入 2 11 7 4 2" xfId="44599" xr:uid="{00000000-0005-0000-0000-000067AE0000}"/>
    <cellStyle name="输入 2 11 7 4 2 2" xfId="8801" xr:uid="{00000000-0005-0000-0000-000091220000}"/>
    <cellStyle name="输入 2 11 7 4 3" xfId="44600" xr:uid="{00000000-0005-0000-0000-000068AE0000}"/>
    <cellStyle name="输入 2 11 7 4 3 2" xfId="19091" xr:uid="{00000000-0005-0000-0000-0000C34A0000}"/>
    <cellStyle name="输入 2 11 7 4 4" xfId="44602" xr:uid="{00000000-0005-0000-0000-00006AAE0000}"/>
    <cellStyle name="输入 2 11 7 4 4 2" xfId="19110" xr:uid="{00000000-0005-0000-0000-0000D64A0000}"/>
    <cellStyle name="输入 2 11 7 4 5" xfId="44603" xr:uid="{00000000-0005-0000-0000-00006BAE0000}"/>
    <cellStyle name="输入 2 11 7 4 5 2" xfId="19132" xr:uid="{00000000-0005-0000-0000-0000EC4A0000}"/>
    <cellStyle name="输入 2 11 7 4 6" xfId="44604" xr:uid="{00000000-0005-0000-0000-00006CAE0000}"/>
    <cellStyle name="输入 2 11 7 5" xfId="11578" xr:uid="{00000000-0005-0000-0000-00006A2D0000}"/>
    <cellStyle name="输入 2 11 7 5 2" xfId="44605" xr:uid="{00000000-0005-0000-0000-00006DAE0000}"/>
    <cellStyle name="输入 2 11 7 5 2 2" xfId="44606" xr:uid="{00000000-0005-0000-0000-00006EAE0000}"/>
    <cellStyle name="输入 2 11 7 5 3" xfId="44607" xr:uid="{00000000-0005-0000-0000-00006FAE0000}"/>
    <cellStyle name="输入 2 11 7 5 3 2" xfId="44609" xr:uid="{00000000-0005-0000-0000-000071AE0000}"/>
    <cellStyle name="输入 2 11 7 5 4" xfId="44610" xr:uid="{00000000-0005-0000-0000-000072AE0000}"/>
    <cellStyle name="输入 2 11 7 5 4 2" xfId="44611" xr:uid="{00000000-0005-0000-0000-000073AE0000}"/>
    <cellStyle name="输入 2 11 7 5 5" xfId="44613" xr:uid="{00000000-0005-0000-0000-000075AE0000}"/>
    <cellStyle name="输入 2 11 7 5 5 2" xfId="44614" xr:uid="{00000000-0005-0000-0000-000076AE0000}"/>
    <cellStyle name="输入 2 11 7 5 6" xfId="44616" xr:uid="{00000000-0005-0000-0000-000078AE0000}"/>
    <cellStyle name="输入 2 11 7 6" xfId="44617" xr:uid="{00000000-0005-0000-0000-000079AE0000}"/>
    <cellStyle name="输入 2 11 7 6 2" xfId="44618" xr:uid="{00000000-0005-0000-0000-00007AAE0000}"/>
    <cellStyle name="输入 2 11 7 6 2 2" xfId="44619" xr:uid="{00000000-0005-0000-0000-00007BAE0000}"/>
    <cellStyle name="输入 2 11 7 6 3" xfId="44620" xr:uid="{00000000-0005-0000-0000-00007CAE0000}"/>
    <cellStyle name="输入 2 11 7 6 3 2" xfId="44622" xr:uid="{00000000-0005-0000-0000-00007EAE0000}"/>
    <cellStyle name="输入 2 11 7 6 4" xfId="44623" xr:uid="{00000000-0005-0000-0000-00007FAE0000}"/>
    <cellStyle name="输入 2 11 7 6 4 2" xfId="44624" xr:uid="{00000000-0005-0000-0000-000080AE0000}"/>
    <cellStyle name="输入 2 11 7 6 5" xfId="41630" xr:uid="{00000000-0005-0000-0000-0000CEA20000}"/>
    <cellStyle name="输入 2 11 7 6 5 2" xfId="44626" xr:uid="{00000000-0005-0000-0000-000082AE0000}"/>
    <cellStyle name="输入 2 11 7 6 6" xfId="44628" xr:uid="{00000000-0005-0000-0000-000084AE0000}"/>
    <cellStyle name="输入 2 11 7 7" xfId="44629" xr:uid="{00000000-0005-0000-0000-000085AE0000}"/>
    <cellStyle name="输入 2 11 7 7 2" xfId="44630" xr:uid="{00000000-0005-0000-0000-000086AE0000}"/>
    <cellStyle name="输入 2 11 7 7 2 2" xfId="44631" xr:uid="{00000000-0005-0000-0000-000087AE0000}"/>
    <cellStyle name="输入 2 11 7 7 3" xfId="44632" xr:uid="{00000000-0005-0000-0000-000088AE0000}"/>
    <cellStyle name="输入 2 11 7 7 3 2" xfId="44633" xr:uid="{00000000-0005-0000-0000-000089AE0000}"/>
    <cellStyle name="输入 2 11 7 7 4" xfId="44635" xr:uid="{00000000-0005-0000-0000-00008BAE0000}"/>
    <cellStyle name="输入 2 11 7 7 4 2" xfId="44636" xr:uid="{00000000-0005-0000-0000-00008CAE0000}"/>
    <cellStyle name="输入 2 11 7 7 5" xfId="41633" xr:uid="{00000000-0005-0000-0000-0000D1A20000}"/>
    <cellStyle name="输入 2 11 7 7 5 2" xfId="44638" xr:uid="{00000000-0005-0000-0000-00008EAE0000}"/>
    <cellStyle name="输入 2 11 7 7 6" xfId="44640" xr:uid="{00000000-0005-0000-0000-000090AE0000}"/>
    <cellStyle name="输入 2 11 7 8" xfId="44641" xr:uid="{00000000-0005-0000-0000-000091AE0000}"/>
    <cellStyle name="输入 2 11 7 8 2" xfId="44643" xr:uid="{00000000-0005-0000-0000-000093AE0000}"/>
    <cellStyle name="输入 2 11 7 8 2 2" xfId="44644" xr:uid="{00000000-0005-0000-0000-000094AE0000}"/>
    <cellStyle name="输入 2 11 7 8 3" xfId="44645" xr:uid="{00000000-0005-0000-0000-000095AE0000}"/>
    <cellStyle name="输入 2 11 7 8 3 2" xfId="44646" xr:uid="{00000000-0005-0000-0000-000096AE0000}"/>
    <cellStyle name="输入 2 11 7 8 4" xfId="44647" xr:uid="{00000000-0005-0000-0000-000097AE0000}"/>
    <cellStyle name="输入 2 11 7 8 4 2" xfId="44648" xr:uid="{00000000-0005-0000-0000-000098AE0000}"/>
    <cellStyle name="输入 2 11 7 8 5" xfId="41636" xr:uid="{00000000-0005-0000-0000-0000D4A20000}"/>
    <cellStyle name="输入 2 11 7 9" xfId="44650" xr:uid="{00000000-0005-0000-0000-00009AAE0000}"/>
    <cellStyle name="输入 2 11 7 9 2" xfId="34966" xr:uid="{00000000-0005-0000-0000-0000C6880000}"/>
    <cellStyle name="输入 2 11 8" xfId="44651" xr:uid="{00000000-0005-0000-0000-00009BAE0000}"/>
    <cellStyle name="输入 2 11 8 10" xfId="44652" xr:uid="{00000000-0005-0000-0000-00009CAE0000}"/>
    <cellStyle name="输入 2 11 8 10 2" xfId="33812" xr:uid="{00000000-0005-0000-0000-000044840000}"/>
    <cellStyle name="输入 2 11 8 11" xfId="44653" xr:uid="{00000000-0005-0000-0000-00009DAE0000}"/>
    <cellStyle name="输入 2 11 8 11 2" xfId="33828" xr:uid="{00000000-0005-0000-0000-000054840000}"/>
    <cellStyle name="输入 2 11 8 12" xfId="44654" xr:uid="{00000000-0005-0000-0000-00009EAE0000}"/>
    <cellStyle name="输入 2 11 8 12 2" xfId="44655" xr:uid="{00000000-0005-0000-0000-00009FAE0000}"/>
    <cellStyle name="输入 2 11 8 13" xfId="44657" xr:uid="{00000000-0005-0000-0000-0000A1AE0000}"/>
    <cellStyle name="输入 2 11 8 14" xfId="17674" xr:uid="{00000000-0005-0000-0000-00003A450000}"/>
    <cellStyle name="输入 2 11 8 15" xfId="44658" xr:uid="{00000000-0005-0000-0000-0000A2AE0000}"/>
    <cellStyle name="输入 2 11 8 16" xfId="44659" xr:uid="{00000000-0005-0000-0000-0000A3AE0000}"/>
    <cellStyle name="输入 2 11 8 2" xfId="44661" xr:uid="{00000000-0005-0000-0000-0000A5AE0000}"/>
    <cellStyle name="输入 2 11 8 2 2" xfId="44662" xr:uid="{00000000-0005-0000-0000-0000A6AE0000}"/>
    <cellStyle name="输入 2 11 8 2 2 2" xfId="349" xr:uid="{00000000-0005-0000-0000-00007F010000}"/>
    <cellStyle name="输入 2 11 8 2 3" xfId="44663" xr:uid="{00000000-0005-0000-0000-0000A7AE0000}"/>
    <cellStyle name="输入 2 11 8 2 3 2" xfId="20028" xr:uid="{00000000-0005-0000-0000-00006C4E0000}"/>
    <cellStyle name="输入 2 11 8 2 4" xfId="44664" xr:uid="{00000000-0005-0000-0000-0000A8AE0000}"/>
    <cellStyle name="输入 2 11 8 2 4 2" xfId="20049" xr:uid="{00000000-0005-0000-0000-0000814E0000}"/>
    <cellStyle name="输入 2 11 8 2 5" xfId="44665" xr:uid="{00000000-0005-0000-0000-0000A9AE0000}"/>
    <cellStyle name="输入 2 11 8 2 5 2" xfId="13006" xr:uid="{00000000-0005-0000-0000-0000FE320000}"/>
    <cellStyle name="输入 2 11 8 2 6" xfId="44666" xr:uid="{00000000-0005-0000-0000-0000AAAE0000}"/>
    <cellStyle name="输入 2 11 8 2 7" xfId="44667" xr:uid="{00000000-0005-0000-0000-0000ABAE0000}"/>
    <cellStyle name="输入 2 11 8 2 8" xfId="44668" xr:uid="{00000000-0005-0000-0000-0000ACAE0000}"/>
    <cellStyle name="输入 2 11 8 2 9" xfId="44669" xr:uid="{00000000-0005-0000-0000-0000ADAE0000}"/>
    <cellStyle name="输入 2 11 8 3" xfId="44671" xr:uid="{00000000-0005-0000-0000-0000AFAE0000}"/>
    <cellStyle name="输入 2 11 8 3 2" xfId="44672" xr:uid="{00000000-0005-0000-0000-0000B0AE0000}"/>
    <cellStyle name="输入 2 11 8 3 2 2" xfId="9093" xr:uid="{00000000-0005-0000-0000-0000B5230000}"/>
    <cellStyle name="输入 2 11 8 3 3" xfId="44673" xr:uid="{00000000-0005-0000-0000-0000B1AE0000}"/>
    <cellStyle name="输入 2 11 8 3 3 2" xfId="20117" xr:uid="{00000000-0005-0000-0000-0000C54E0000}"/>
    <cellStyle name="输入 2 11 8 3 4" xfId="44675" xr:uid="{00000000-0005-0000-0000-0000B3AE0000}"/>
    <cellStyle name="输入 2 11 8 3 4 2" xfId="20130" xr:uid="{00000000-0005-0000-0000-0000D24E0000}"/>
    <cellStyle name="输入 2 11 8 3 5" xfId="44676" xr:uid="{00000000-0005-0000-0000-0000B4AE0000}"/>
    <cellStyle name="输入 2 11 8 3 5 2" xfId="14289" xr:uid="{00000000-0005-0000-0000-000001380000}"/>
    <cellStyle name="输入 2 11 8 3 6" xfId="44677" xr:uid="{00000000-0005-0000-0000-0000B5AE0000}"/>
    <cellStyle name="输入 2 11 8 4" xfId="29580" xr:uid="{00000000-0005-0000-0000-0000BC730000}"/>
    <cellStyle name="输入 2 11 8 4 2" xfId="44678" xr:uid="{00000000-0005-0000-0000-0000B6AE0000}"/>
    <cellStyle name="输入 2 11 8 4 2 2" xfId="1554" xr:uid="{00000000-0005-0000-0000-000042060000}"/>
    <cellStyle name="输入 2 11 8 4 3" xfId="44679" xr:uid="{00000000-0005-0000-0000-0000B7AE0000}"/>
    <cellStyle name="输入 2 11 8 4 3 2" xfId="1402" xr:uid="{00000000-0005-0000-0000-0000AA050000}"/>
    <cellStyle name="输入 2 11 8 4 4" xfId="44681" xr:uid="{00000000-0005-0000-0000-0000B9AE0000}"/>
    <cellStyle name="输入 2 11 8 4 4 2" xfId="20191" xr:uid="{00000000-0005-0000-0000-00000F4F0000}"/>
    <cellStyle name="输入 2 11 8 4 5" xfId="44682" xr:uid="{00000000-0005-0000-0000-0000BAAE0000}"/>
    <cellStyle name="输入 2 11 8 4 5 2" xfId="15266" xr:uid="{00000000-0005-0000-0000-0000D23B0000}"/>
    <cellStyle name="输入 2 11 8 4 6" xfId="44683" xr:uid="{00000000-0005-0000-0000-0000BBAE0000}"/>
    <cellStyle name="输入 2 11 8 5" xfId="33104" xr:uid="{00000000-0005-0000-0000-000080810000}"/>
    <cellStyle name="输入 2 11 8 5 2" xfId="44684" xr:uid="{00000000-0005-0000-0000-0000BCAE0000}"/>
    <cellStyle name="输入 2 11 8 5 2 2" xfId="44685" xr:uid="{00000000-0005-0000-0000-0000BDAE0000}"/>
    <cellStyle name="输入 2 11 8 5 3" xfId="44686" xr:uid="{00000000-0005-0000-0000-0000BEAE0000}"/>
    <cellStyle name="输入 2 11 8 5 3 2" xfId="44688" xr:uid="{00000000-0005-0000-0000-0000C0AE0000}"/>
    <cellStyle name="输入 2 11 8 5 4" xfId="44689" xr:uid="{00000000-0005-0000-0000-0000C1AE0000}"/>
    <cellStyle name="输入 2 11 8 5 4 2" xfId="44690" xr:uid="{00000000-0005-0000-0000-0000C2AE0000}"/>
    <cellStyle name="输入 2 11 8 5 5" xfId="44692" xr:uid="{00000000-0005-0000-0000-0000C4AE0000}"/>
    <cellStyle name="输入 2 11 8 5 5 2" xfId="13201" xr:uid="{00000000-0005-0000-0000-0000C1330000}"/>
    <cellStyle name="输入 2 11 8 5 6" xfId="44693" xr:uid="{00000000-0005-0000-0000-0000C5AE0000}"/>
    <cellStyle name="输入 2 11 8 6" xfId="44694" xr:uid="{00000000-0005-0000-0000-0000C6AE0000}"/>
    <cellStyle name="输入 2 11 8 6 2" xfId="44695" xr:uid="{00000000-0005-0000-0000-0000C7AE0000}"/>
    <cellStyle name="输入 2 11 8 6 2 2" xfId="44696" xr:uid="{00000000-0005-0000-0000-0000C8AE0000}"/>
    <cellStyle name="输入 2 11 8 6 3" xfId="44697" xr:uid="{00000000-0005-0000-0000-0000C9AE0000}"/>
    <cellStyle name="输入 2 11 8 6 3 2" xfId="44698" xr:uid="{00000000-0005-0000-0000-0000CAAE0000}"/>
    <cellStyle name="输入 2 11 8 6 4" xfId="44699" xr:uid="{00000000-0005-0000-0000-0000CBAE0000}"/>
    <cellStyle name="输入 2 11 8 6 4 2" xfId="44700" xr:uid="{00000000-0005-0000-0000-0000CCAE0000}"/>
    <cellStyle name="输入 2 11 8 6 5" xfId="41641" xr:uid="{00000000-0005-0000-0000-0000D9A20000}"/>
    <cellStyle name="输入 2 11 8 6 5 2" xfId="13215" xr:uid="{00000000-0005-0000-0000-0000CF330000}"/>
    <cellStyle name="输入 2 11 8 6 6" xfId="44702" xr:uid="{00000000-0005-0000-0000-0000CEAE0000}"/>
    <cellStyle name="输入 2 11 8 7" xfId="44704" xr:uid="{00000000-0005-0000-0000-0000D0AE0000}"/>
    <cellStyle name="输入 2 11 8 7 2" xfId="44705" xr:uid="{00000000-0005-0000-0000-0000D1AE0000}"/>
    <cellStyle name="输入 2 11 8 7 2 2" xfId="44706" xr:uid="{00000000-0005-0000-0000-0000D2AE0000}"/>
    <cellStyle name="输入 2 11 8 7 3" xfId="44707" xr:uid="{00000000-0005-0000-0000-0000D3AE0000}"/>
    <cellStyle name="输入 2 11 8 7 3 2" xfId="44708" xr:uid="{00000000-0005-0000-0000-0000D4AE0000}"/>
    <cellStyle name="输入 2 11 8 7 4" xfId="44709" xr:uid="{00000000-0005-0000-0000-0000D5AE0000}"/>
    <cellStyle name="输入 2 11 8 7 4 2" xfId="44710" xr:uid="{00000000-0005-0000-0000-0000D6AE0000}"/>
    <cellStyle name="输入 2 11 8 7 5" xfId="41644" xr:uid="{00000000-0005-0000-0000-0000DCA20000}"/>
    <cellStyle name="输入 2 11 8 7 5 2" xfId="44712" xr:uid="{00000000-0005-0000-0000-0000D8AE0000}"/>
    <cellStyle name="输入 2 11 8 7 6" xfId="44714" xr:uid="{00000000-0005-0000-0000-0000DAAE0000}"/>
    <cellStyle name="输入 2 11 8 8" xfId="44716" xr:uid="{00000000-0005-0000-0000-0000DCAE0000}"/>
    <cellStyle name="输入 2 11 8 8 2" xfId="44718" xr:uid="{00000000-0005-0000-0000-0000DEAE0000}"/>
    <cellStyle name="输入 2 11 8 8 2 2" xfId="44719" xr:uid="{00000000-0005-0000-0000-0000DFAE0000}"/>
    <cellStyle name="输入 2 11 8 8 3" xfId="44720" xr:uid="{00000000-0005-0000-0000-0000E0AE0000}"/>
    <cellStyle name="输入 2 11 8 8 3 2" xfId="44721" xr:uid="{00000000-0005-0000-0000-0000E1AE0000}"/>
    <cellStyle name="输入 2 11 8 8 4" xfId="44722" xr:uid="{00000000-0005-0000-0000-0000E2AE0000}"/>
    <cellStyle name="输入 2 11 8 8 4 2" xfId="44723" xr:uid="{00000000-0005-0000-0000-0000E3AE0000}"/>
    <cellStyle name="输入 2 11 8 8 5" xfId="41646" xr:uid="{00000000-0005-0000-0000-0000DEA20000}"/>
    <cellStyle name="输入 2 11 8 9" xfId="44725" xr:uid="{00000000-0005-0000-0000-0000E5AE0000}"/>
    <cellStyle name="输入 2 11 8 9 2" xfId="35002" xr:uid="{00000000-0005-0000-0000-0000EA880000}"/>
    <cellStyle name="输入 2 11 9" xfId="44726" xr:uid="{00000000-0005-0000-0000-0000E6AE0000}"/>
    <cellStyle name="输入 2 11 9 10" xfId="44727" xr:uid="{00000000-0005-0000-0000-0000E7AE0000}"/>
    <cellStyle name="输入 2 11 9 10 2" xfId="44730" xr:uid="{00000000-0005-0000-0000-0000EAAE0000}"/>
    <cellStyle name="输入 2 11 9 11" xfId="44732" xr:uid="{00000000-0005-0000-0000-0000ECAE0000}"/>
    <cellStyle name="输入 2 11 9 11 2" xfId="44734" xr:uid="{00000000-0005-0000-0000-0000EEAE0000}"/>
    <cellStyle name="输入 2 11 9 12" xfId="44736" xr:uid="{00000000-0005-0000-0000-0000F0AE0000}"/>
    <cellStyle name="输入 2 11 9 12 2" xfId="44738" xr:uid="{00000000-0005-0000-0000-0000F2AE0000}"/>
    <cellStyle name="输入 2 11 9 13" xfId="44740" xr:uid="{00000000-0005-0000-0000-0000F4AE0000}"/>
    <cellStyle name="输入 2 11 9 14" xfId="31058" xr:uid="{00000000-0005-0000-0000-000082790000}"/>
    <cellStyle name="输入 2 11 9 15" xfId="44742" xr:uid="{00000000-0005-0000-0000-0000F6AE0000}"/>
    <cellStyle name="输入 2 11 9 16" xfId="44744" xr:uid="{00000000-0005-0000-0000-0000F8AE0000}"/>
    <cellStyle name="输入 2 11 9 2" xfId="44747" xr:uid="{00000000-0005-0000-0000-0000FBAE0000}"/>
    <cellStyle name="输入 2 11 9 2 2" xfId="44748" xr:uid="{00000000-0005-0000-0000-0000FCAE0000}"/>
    <cellStyle name="输入 2 11 9 2 2 2" xfId="9297" xr:uid="{00000000-0005-0000-0000-000081240000}"/>
    <cellStyle name="输入 2 11 9 2 3" xfId="44749" xr:uid="{00000000-0005-0000-0000-0000FDAE0000}"/>
    <cellStyle name="输入 2 11 9 2 3 2" xfId="4031" xr:uid="{00000000-0005-0000-0000-0000EF0F0000}"/>
    <cellStyle name="输入 2 11 9 2 4" xfId="44750" xr:uid="{00000000-0005-0000-0000-0000FEAE0000}"/>
    <cellStyle name="输入 2 11 9 2 4 2" xfId="4153" xr:uid="{00000000-0005-0000-0000-000069100000}"/>
    <cellStyle name="输入 2 11 9 2 5" xfId="43424" xr:uid="{00000000-0005-0000-0000-0000D0A90000}"/>
    <cellStyle name="输入 2 11 9 2 5 2" xfId="4049" xr:uid="{00000000-0005-0000-0000-000001100000}"/>
    <cellStyle name="输入 2 11 9 2 6" xfId="43426" xr:uid="{00000000-0005-0000-0000-0000D2A90000}"/>
    <cellStyle name="输入 2 11 9 2 7" xfId="43428" xr:uid="{00000000-0005-0000-0000-0000D4A90000}"/>
    <cellStyle name="输入 2 11 9 2 8" xfId="43430" xr:uid="{00000000-0005-0000-0000-0000D6A90000}"/>
    <cellStyle name="输入 2 11 9 2 9" xfId="43432" xr:uid="{00000000-0005-0000-0000-0000D8A90000}"/>
    <cellStyle name="输入 2 11 9 3" xfId="44751" xr:uid="{00000000-0005-0000-0000-0000FFAE0000}"/>
    <cellStyle name="输入 2 11 9 3 2" xfId="44752" xr:uid="{00000000-0005-0000-0000-000000AF0000}"/>
    <cellStyle name="输入 2 11 9 3 2 2" xfId="21091" xr:uid="{00000000-0005-0000-0000-000093520000}"/>
    <cellStyle name="输入 2 11 9 3 3" xfId="44753" xr:uid="{00000000-0005-0000-0000-000001AF0000}"/>
    <cellStyle name="输入 2 11 9 3 3 2" xfId="4431" xr:uid="{00000000-0005-0000-0000-00007F110000}"/>
    <cellStyle name="输入 2 11 9 3 4" xfId="44754" xr:uid="{00000000-0005-0000-0000-000002AF0000}"/>
    <cellStyle name="输入 2 11 9 3 4 2" xfId="4509" xr:uid="{00000000-0005-0000-0000-0000CD110000}"/>
    <cellStyle name="输入 2 11 9 3 5" xfId="43438" xr:uid="{00000000-0005-0000-0000-0000DEA90000}"/>
    <cellStyle name="输入 2 11 9 3 5 2" xfId="276" xr:uid="{00000000-0005-0000-0000-000030010000}"/>
    <cellStyle name="输入 2 11 9 3 6" xfId="43440" xr:uid="{00000000-0005-0000-0000-0000E0A90000}"/>
    <cellStyle name="输入 2 11 9 4" xfId="29583" xr:uid="{00000000-0005-0000-0000-0000BF730000}"/>
    <cellStyle name="输入 2 11 9 4 2" xfId="37638" xr:uid="{00000000-0005-0000-0000-000036930000}"/>
    <cellStyle name="输入 2 11 9 4 2 2" xfId="21214" xr:uid="{00000000-0005-0000-0000-00000E530000}"/>
    <cellStyle name="输入 2 11 9 4 3" xfId="2254" xr:uid="{00000000-0005-0000-0000-0000FE080000}"/>
    <cellStyle name="输入 2 11 9 4 3 2" xfId="333" xr:uid="{00000000-0005-0000-0000-00006E010000}"/>
    <cellStyle name="输入 2 11 9 4 4" xfId="37642" xr:uid="{00000000-0005-0000-0000-00003A930000}"/>
    <cellStyle name="输入 2 11 9 4 4 2" xfId="770" xr:uid="{00000000-0005-0000-0000-000032030000}"/>
    <cellStyle name="输入 2 11 9 4 5" xfId="37648" xr:uid="{00000000-0005-0000-0000-000040930000}"/>
    <cellStyle name="输入 2 11 9 4 5 2" xfId="797" xr:uid="{00000000-0005-0000-0000-00004D030000}"/>
    <cellStyle name="输入 2 11 9 4 6" xfId="37651" xr:uid="{00000000-0005-0000-0000-000043930000}"/>
    <cellStyle name="输入 2 11 9 5" xfId="33109" xr:uid="{00000000-0005-0000-0000-000085810000}"/>
    <cellStyle name="输入 2 11 9 5 2" xfId="37692" xr:uid="{00000000-0005-0000-0000-00006C930000}"/>
    <cellStyle name="输入 2 11 9 5 2 2" xfId="37694" xr:uid="{00000000-0005-0000-0000-00006E930000}"/>
    <cellStyle name="输入 2 11 9 5 3" xfId="4997" xr:uid="{00000000-0005-0000-0000-0000B5130000}"/>
    <cellStyle name="输入 2 11 9 5 3 2" xfId="37702" xr:uid="{00000000-0005-0000-0000-000076930000}"/>
    <cellStyle name="输入 2 11 9 5 4" xfId="37710" xr:uid="{00000000-0005-0000-0000-00007E930000}"/>
    <cellStyle name="输入 2 11 9 5 4 2" xfId="37712" xr:uid="{00000000-0005-0000-0000-000080930000}"/>
    <cellStyle name="输入 2 11 9 5 5" xfId="37725" xr:uid="{00000000-0005-0000-0000-00008D930000}"/>
    <cellStyle name="输入 2 11 9 5 5 2" xfId="37728" xr:uid="{00000000-0005-0000-0000-000090930000}"/>
    <cellStyle name="输入 2 11 9 5 6" xfId="37738" xr:uid="{00000000-0005-0000-0000-00009A930000}"/>
    <cellStyle name="输入 2 11 9 6" xfId="44755" xr:uid="{00000000-0005-0000-0000-000003AF0000}"/>
    <cellStyle name="输入 2 11 9 6 2" xfId="37782" xr:uid="{00000000-0005-0000-0000-0000C6930000}"/>
    <cellStyle name="输入 2 11 9 6 2 2" xfId="37784" xr:uid="{00000000-0005-0000-0000-0000C8930000}"/>
    <cellStyle name="输入 2 11 9 6 3" xfId="37793" xr:uid="{00000000-0005-0000-0000-0000D1930000}"/>
    <cellStyle name="输入 2 11 9 6 3 2" xfId="37795" xr:uid="{00000000-0005-0000-0000-0000D3930000}"/>
    <cellStyle name="输入 2 11 9 6 4" xfId="37804" xr:uid="{00000000-0005-0000-0000-0000DC930000}"/>
    <cellStyle name="输入 2 11 9 6 4 2" xfId="37806" xr:uid="{00000000-0005-0000-0000-0000DE930000}"/>
    <cellStyle name="输入 2 11 9 6 5" xfId="37821" xr:uid="{00000000-0005-0000-0000-0000ED930000}"/>
    <cellStyle name="输入 2 11 9 6 5 2" xfId="37823" xr:uid="{00000000-0005-0000-0000-0000EF930000}"/>
    <cellStyle name="输入 2 11 9 6 6" xfId="37831" xr:uid="{00000000-0005-0000-0000-0000F7930000}"/>
    <cellStyle name="输入 2 11 9 7" xfId="44756" xr:uid="{00000000-0005-0000-0000-000004AF0000}"/>
    <cellStyle name="输入 2 11 9 7 2" xfId="37894" xr:uid="{00000000-0005-0000-0000-000036940000}"/>
    <cellStyle name="输入 2 11 9 7 2 2" xfId="37896" xr:uid="{00000000-0005-0000-0000-000038940000}"/>
    <cellStyle name="输入 2 11 9 7 3" xfId="37907" xr:uid="{00000000-0005-0000-0000-000043940000}"/>
    <cellStyle name="输入 2 11 9 7 3 2" xfId="37909" xr:uid="{00000000-0005-0000-0000-000045940000}"/>
    <cellStyle name="输入 2 11 9 7 4" xfId="37911" xr:uid="{00000000-0005-0000-0000-000047940000}"/>
    <cellStyle name="输入 2 11 9 7 4 2" xfId="1939" xr:uid="{00000000-0005-0000-0000-0000C3070000}"/>
    <cellStyle name="输入 2 11 9 7 5" xfId="37916" xr:uid="{00000000-0005-0000-0000-00004C940000}"/>
    <cellStyle name="输入 2 11 9 7 5 2" xfId="37918" xr:uid="{00000000-0005-0000-0000-00004E940000}"/>
    <cellStyle name="输入 2 11 9 7 6" xfId="37922" xr:uid="{00000000-0005-0000-0000-000052940000}"/>
    <cellStyle name="输入 2 11 9 8" xfId="44757" xr:uid="{00000000-0005-0000-0000-000005AF0000}"/>
    <cellStyle name="输入 2 11 9 8 2" xfId="37957" xr:uid="{00000000-0005-0000-0000-000075940000}"/>
    <cellStyle name="输入 2 11 9 8 2 2" xfId="25736" xr:uid="{00000000-0005-0000-0000-0000B8640000}"/>
    <cellStyle name="输入 2 11 9 8 3" xfId="37960" xr:uid="{00000000-0005-0000-0000-000078940000}"/>
    <cellStyle name="输入 2 11 9 8 3 2" xfId="468" xr:uid="{00000000-0005-0000-0000-0000FF010000}"/>
    <cellStyle name="输入 2 11 9 8 4" xfId="37962" xr:uid="{00000000-0005-0000-0000-00007A940000}"/>
    <cellStyle name="输入 2 11 9 8 4 2" xfId="5657" xr:uid="{00000000-0005-0000-0000-000049160000}"/>
    <cellStyle name="输入 2 11 9 8 5" xfId="37965" xr:uid="{00000000-0005-0000-0000-00007D940000}"/>
    <cellStyle name="输入 2 11 9 9" xfId="44758" xr:uid="{00000000-0005-0000-0000-000006AF0000}"/>
    <cellStyle name="输入 2 11 9 9 2" xfId="35048" xr:uid="{00000000-0005-0000-0000-000018890000}"/>
    <cellStyle name="输入 2 12" xfId="44759" xr:uid="{00000000-0005-0000-0000-000007AF0000}"/>
    <cellStyle name="输入 2 12 10" xfId="44761" xr:uid="{00000000-0005-0000-0000-000009AF0000}"/>
    <cellStyle name="输入 2 12 10 2" xfId="13543" xr:uid="{00000000-0005-0000-0000-000017350000}"/>
    <cellStyle name="输入 2 12 10 2 2" xfId="13547" xr:uid="{00000000-0005-0000-0000-00001B350000}"/>
    <cellStyle name="输入 2 12 10 3" xfId="13581" xr:uid="{00000000-0005-0000-0000-00003D350000}"/>
    <cellStyle name="输入 2 12 10 3 2" xfId="13586" xr:uid="{00000000-0005-0000-0000-000042350000}"/>
    <cellStyle name="输入 2 12 10 4" xfId="6680" xr:uid="{00000000-0005-0000-0000-0000481A0000}"/>
    <cellStyle name="输入 2 12 10 4 2" xfId="4496" xr:uid="{00000000-0005-0000-0000-0000C0110000}"/>
    <cellStyle name="输入 2 12 10 5" xfId="6691" xr:uid="{00000000-0005-0000-0000-0000531A0000}"/>
    <cellStyle name="输入 2 12 10 5 2" xfId="44762" xr:uid="{00000000-0005-0000-0000-00000AAF0000}"/>
    <cellStyle name="输入 2 12 10 6" xfId="6704" xr:uid="{00000000-0005-0000-0000-0000601A0000}"/>
    <cellStyle name="输入 2 12 10 7" xfId="1408" xr:uid="{00000000-0005-0000-0000-0000B0050000}"/>
    <cellStyle name="输入 2 12 10 8" xfId="6713" xr:uid="{00000000-0005-0000-0000-0000691A0000}"/>
    <cellStyle name="输入 2 12 10 9" xfId="10972" xr:uid="{00000000-0005-0000-0000-00000C2B0000}"/>
    <cellStyle name="输入 2 12 11" xfId="44763" xr:uid="{00000000-0005-0000-0000-00000BAF0000}"/>
    <cellStyle name="输入 2 12 11 2" xfId="16516" xr:uid="{00000000-0005-0000-0000-0000B4400000}"/>
    <cellStyle name="输入 2 12 11 2 2" xfId="33930" xr:uid="{00000000-0005-0000-0000-0000BA840000}"/>
    <cellStyle name="输入 2 12 11 3" xfId="16520" xr:uid="{00000000-0005-0000-0000-0000B8400000}"/>
    <cellStyle name="输入 2 12 11 3 2" xfId="33932" xr:uid="{00000000-0005-0000-0000-0000BC840000}"/>
    <cellStyle name="输入 2 12 11 4" xfId="6739" xr:uid="{00000000-0005-0000-0000-0000831A0000}"/>
    <cellStyle name="输入 2 12 11 4 2" xfId="6181" xr:uid="{00000000-0005-0000-0000-000055180000}"/>
    <cellStyle name="输入 2 12 11 5" xfId="6744" xr:uid="{00000000-0005-0000-0000-0000881A0000}"/>
    <cellStyle name="输入 2 12 11 5 2" xfId="44765" xr:uid="{00000000-0005-0000-0000-00000DAF0000}"/>
    <cellStyle name="输入 2 12 11 6" xfId="44767" xr:uid="{00000000-0005-0000-0000-00000FAF0000}"/>
    <cellStyle name="输入 2 12 12" xfId="44768" xr:uid="{00000000-0005-0000-0000-000010AF0000}"/>
    <cellStyle name="输入 2 12 12 2" xfId="16552" xr:uid="{00000000-0005-0000-0000-0000D8400000}"/>
    <cellStyle name="输入 2 12 12 2 2" xfId="33935" xr:uid="{00000000-0005-0000-0000-0000BF840000}"/>
    <cellStyle name="输入 2 12 12 3" xfId="33937" xr:uid="{00000000-0005-0000-0000-0000C1840000}"/>
    <cellStyle name="输入 2 12 12 3 2" xfId="33939" xr:uid="{00000000-0005-0000-0000-0000C3840000}"/>
    <cellStyle name="输入 2 12 12 4" xfId="6797" xr:uid="{00000000-0005-0000-0000-0000BD1A0000}"/>
    <cellStyle name="输入 2 12 12 4 2" xfId="6805" xr:uid="{00000000-0005-0000-0000-0000C51A0000}"/>
    <cellStyle name="输入 2 12 12 5" xfId="6814" xr:uid="{00000000-0005-0000-0000-0000CE1A0000}"/>
    <cellStyle name="输入 2 12 12 5 2" xfId="44769" xr:uid="{00000000-0005-0000-0000-000011AF0000}"/>
    <cellStyle name="输入 2 12 12 6" xfId="44771" xr:uid="{00000000-0005-0000-0000-000013AF0000}"/>
    <cellStyle name="输入 2 12 13" xfId="33616" xr:uid="{00000000-0005-0000-0000-000080830000}"/>
    <cellStyle name="输入 2 12 13 2" xfId="16588" xr:uid="{00000000-0005-0000-0000-0000FC400000}"/>
    <cellStyle name="输入 2 12 13 2 2" xfId="33941" xr:uid="{00000000-0005-0000-0000-0000C5840000}"/>
    <cellStyle name="输入 2 12 13 3" xfId="33945" xr:uid="{00000000-0005-0000-0000-0000C9840000}"/>
    <cellStyle name="输入 2 12 13 3 2" xfId="33947" xr:uid="{00000000-0005-0000-0000-0000CB840000}"/>
    <cellStyle name="输入 2 12 13 4" xfId="6841" xr:uid="{00000000-0005-0000-0000-0000E91A0000}"/>
    <cellStyle name="输入 2 12 13 4 2" xfId="6853" xr:uid="{00000000-0005-0000-0000-0000F51A0000}"/>
    <cellStyle name="输入 2 12 13 5" xfId="6858" xr:uid="{00000000-0005-0000-0000-0000FA1A0000}"/>
    <cellStyle name="输入 2 12 13 5 2" xfId="44772" xr:uid="{00000000-0005-0000-0000-000014AF0000}"/>
    <cellStyle name="输入 2 12 13 6" xfId="44774" xr:uid="{00000000-0005-0000-0000-000016AF0000}"/>
    <cellStyle name="输入 2 12 14" xfId="44775" xr:uid="{00000000-0005-0000-0000-000017AF0000}"/>
    <cellStyle name="输入 2 12 14 2" xfId="1695" xr:uid="{00000000-0005-0000-0000-0000CF060000}"/>
    <cellStyle name="输入 2 12 14 2 2" xfId="33951" xr:uid="{00000000-0005-0000-0000-0000CF840000}"/>
    <cellStyle name="输入 2 12 14 3" xfId="33955" xr:uid="{00000000-0005-0000-0000-0000D3840000}"/>
    <cellStyle name="输入 2 12 14 3 2" xfId="33957" xr:uid="{00000000-0005-0000-0000-0000D5840000}"/>
    <cellStyle name="输入 2 12 14 4" xfId="1734" xr:uid="{00000000-0005-0000-0000-0000F6060000}"/>
    <cellStyle name="输入 2 12 14 4 2" xfId="1487" xr:uid="{00000000-0005-0000-0000-0000FF050000}"/>
    <cellStyle name="输入 2 12 14 5" xfId="1763" xr:uid="{00000000-0005-0000-0000-000013070000}"/>
    <cellStyle name="输入 2 12 14 5 2" xfId="44776" xr:uid="{00000000-0005-0000-0000-000018AF0000}"/>
    <cellStyle name="输入 2 12 14 6" xfId="44778" xr:uid="{00000000-0005-0000-0000-00001AAF0000}"/>
    <cellStyle name="输入 2 12 15" xfId="31448" xr:uid="{00000000-0005-0000-0000-0000087B0000}"/>
    <cellStyle name="输入 2 12 15 2" xfId="16606" xr:uid="{00000000-0005-0000-0000-00000E410000}"/>
    <cellStyle name="输入 2 12 15 2 2" xfId="33960" xr:uid="{00000000-0005-0000-0000-0000D8840000}"/>
    <cellStyle name="输入 2 12 15 3" xfId="33964" xr:uid="{00000000-0005-0000-0000-0000DC840000}"/>
    <cellStyle name="输入 2 12 15 3 2" xfId="33966" xr:uid="{00000000-0005-0000-0000-0000DE840000}"/>
    <cellStyle name="输入 2 12 15 4" xfId="1991" xr:uid="{00000000-0005-0000-0000-0000F7070000}"/>
    <cellStyle name="输入 2 12 15 4 2" xfId="1926" xr:uid="{00000000-0005-0000-0000-0000B6070000}"/>
    <cellStyle name="输入 2 12 15 5" xfId="10996" xr:uid="{00000000-0005-0000-0000-0000242B0000}"/>
    <cellStyle name="输入 2 12 15 5 2" xfId="44779" xr:uid="{00000000-0005-0000-0000-00001BAF0000}"/>
    <cellStyle name="输入 2 12 15 6" xfId="44781" xr:uid="{00000000-0005-0000-0000-00001DAF0000}"/>
    <cellStyle name="输入 2 12 16" xfId="44782" xr:uid="{00000000-0005-0000-0000-00001EAF0000}"/>
    <cellStyle name="输入 2 12 16 2" xfId="16623" xr:uid="{00000000-0005-0000-0000-00001F410000}"/>
    <cellStyle name="输入 2 12 16 2 2" xfId="33970" xr:uid="{00000000-0005-0000-0000-0000E2840000}"/>
    <cellStyle name="输入 2 12 16 3" xfId="33973" xr:uid="{00000000-0005-0000-0000-0000E5840000}"/>
    <cellStyle name="输入 2 12 16 3 2" xfId="33975" xr:uid="{00000000-0005-0000-0000-0000E7840000}"/>
    <cellStyle name="输入 2 12 16 4" xfId="11005" xr:uid="{00000000-0005-0000-0000-00002D2B0000}"/>
    <cellStyle name="输入 2 12 16 4 2" xfId="44784" xr:uid="{00000000-0005-0000-0000-000020AF0000}"/>
    <cellStyle name="输入 2 12 16 5" xfId="11008" xr:uid="{00000000-0005-0000-0000-0000302B0000}"/>
    <cellStyle name="输入 2 12 16 5 2" xfId="44785" xr:uid="{00000000-0005-0000-0000-000021AF0000}"/>
    <cellStyle name="输入 2 12 16 6" xfId="44787" xr:uid="{00000000-0005-0000-0000-000023AF0000}"/>
    <cellStyle name="输入 2 12 17" xfId="44788" xr:uid="{00000000-0005-0000-0000-000024AF0000}"/>
    <cellStyle name="输入 2 12 17 2" xfId="44790" xr:uid="{00000000-0005-0000-0000-000026AF0000}"/>
    <cellStyle name="输入 2 12 17 2 2" xfId="44791" xr:uid="{00000000-0005-0000-0000-000027AF0000}"/>
    <cellStyle name="输入 2 12 17 3" xfId="44792" xr:uid="{00000000-0005-0000-0000-000028AF0000}"/>
    <cellStyle name="输入 2 12 17 3 2" xfId="44793" xr:uid="{00000000-0005-0000-0000-000029AF0000}"/>
    <cellStyle name="输入 2 12 17 4" xfId="44794" xr:uid="{00000000-0005-0000-0000-00002AAF0000}"/>
    <cellStyle name="输入 2 12 17 4 2" xfId="44795" xr:uid="{00000000-0005-0000-0000-00002BAF0000}"/>
    <cellStyle name="输入 2 12 17 5" xfId="44796" xr:uid="{00000000-0005-0000-0000-00002CAF0000}"/>
    <cellStyle name="输入 2 12 18" xfId="44797" xr:uid="{00000000-0005-0000-0000-00002DAF0000}"/>
    <cellStyle name="输入 2 12 18 2" xfId="34194" xr:uid="{00000000-0005-0000-0000-0000C2850000}"/>
    <cellStyle name="输入 2 12 19" xfId="20781" xr:uid="{00000000-0005-0000-0000-00005D510000}"/>
    <cellStyle name="输入 2 12 19 2" xfId="44799" xr:uid="{00000000-0005-0000-0000-00002FAF0000}"/>
    <cellStyle name="输入 2 12 2" xfId="44800" xr:uid="{00000000-0005-0000-0000-000030AF0000}"/>
    <cellStyle name="输入 2 12 2 10" xfId="44803" xr:uid="{00000000-0005-0000-0000-000033AF0000}"/>
    <cellStyle name="输入 2 12 2 10 2" xfId="18296" xr:uid="{00000000-0005-0000-0000-0000A8470000}"/>
    <cellStyle name="输入 2 12 2 11" xfId="44804" xr:uid="{00000000-0005-0000-0000-000034AF0000}"/>
    <cellStyle name="输入 2 12 2 11 2" xfId="18337" xr:uid="{00000000-0005-0000-0000-0000D1470000}"/>
    <cellStyle name="输入 2 12 2 12" xfId="26110" xr:uid="{00000000-0005-0000-0000-00002E660000}"/>
    <cellStyle name="输入 2 12 2 12 2" xfId="18397" xr:uid="{00000000-0005-0000-0000-00000D480000}"/>
    <cellStyle name="输入 2 12 2 13" xfId="44805" xr:uid="{00000000-0005-0000-0000-000035AF0000}"/>
    <cellStyle name="输入 2 12 2 14" xfId="44806" xr:uid="{00000000-0005-0000-0000-000036AF0000}"/>
    <cellStyle name="输入 2 12 2 15" xfId="44807" xr:uid="{00000000-0005-0000-0000-000037AF0000}"/>
    <cellStyle name="输入 2 12 2 16" xfId="12986" xr:uid="{00000000-0005-0000-0000-0000EA320000}"/>
    <cellStyle name="输入 2 12 2 2" xfId="44137" xr:uid="{00000000-0005-0000-0000-000099AC0000}"/>
    <cellStyle name="输入 2 12 2 2 2" xfId="44140" xr:uid="{00000000-0005-0000-0000-00009CAC0000}"/>
    <cellStyle name="输入 2 12 2 2 2 2" xfId="44808" xr:uid="{00000000-0005-0000-0000-000038AF0000}"/>
    <cellStyle name="输入 2 12 2 2 3" xfId="35865" xr:uid="{00000000-0005-0000-0000-0000498C0000}"/>
    <cellStyle name="输入 2 12 2 2 3 2" xfId="44809" xr:uid="{00000000-0005-0000-0000-000039AF0000}"/>
    <cellStyle name="输入 2 12 2 2 4" xfId="44810" xr:uid="{00000000-0005-0000-0000-00003AAF0000}"/>
    <cellStyle name="输入 2 12 2 2 4 2" xfId="40343" xr:uid="{00000000-0005-0000-0000-0000C79D0000}"/>
    <cellStyle name="输入 2 12 2 2 5" xfId="44811" xr:uid="{00000000-0005-0000-0000-00003BAF0000}"/>
    <cellStyle name="输入 2 12 2 2 5 2" xfId="44812" xr:uid="{00000000-0005-0000-0000-00003CAF0000}"/>
    <cellStyle name="输入 2 12 2 2 6" xfId="44814" xr:uid="{00000000-0005-0000-0000-00003EAF0000}"/>
    <cellStyle name="输入 2 12 2 2 7" xfId="44815" xr:uid="{00000000-0005-0000-0000-00003FAF0000}"/>
    <cellStyle name="输入 2 12 2 2 8" xfId="38580" xr:uid="{00000000-0005-0000-0000-0000E4960000}"/>
    <cellStyle name="输入 2 12 2 2 9" xfId="44816" xr:uid="{00000000-0005-0000-0000-000040AF0000}"/>
    <cellStyle name="输入 2 12 2 3" xfId="27790" xr:uid="{00000000-0005-0000-0000-0000BE6C0000}"/>
    <cellStyle name="输入 2 12 2 3 2" xfId="368" xr:uid="{00000000-0005-0000-0000-000093010000}"/>
    <cellStyle name="输入 2 12 2 3 2 2" xfId="44817" xr:uid="{00000000-0005-0000-0000-000041AF0000}"/>
    <cellStyle name="输入 2 12 2 3 3" xfId="394" xr:uid="{00000000-0005-0000-0000-0000B0010000}"/>
    <cellStyle name="输入 2 12 2 3 3 2" xfId="44818" xr:uid="{00000000-0005-0000-0000-000042AF0000}"/>
    <cellStyle name="输入 2 12 2 3 4" xfId="44819" xr:uid="{00000000-0005-0000-0000-000043AF0000}"/>
    <cellStyle name="输入 2 12 2 3 4 2" xfId="811" xr:uid="{00000000-0005-0000-0000-00005B030000}"/>
    <cellStyle name="输入 2 12 2 3 5" xfId="44820" xr:uid="{00000000-0005-0000-0000-000044AF0000}"/>
    <cellStyle name="输入 2 12 2 3 5 2" xfId="44821" xr:uid="{00000000-0005-0000-0000-000045AF0000}"/>
    <cellStyle name="输入 2 12 2 3 6" xfId="44822" xr:uid="{00000000-0005-0000-0000-000046AF0000}"/>
    <cellStyle name="输入 2 12 2 4" xfId="27794" xr:uid="{00000000-0005-0000-0000-0000C26C0000}"/>
    <cellStyle name="输入 2 12 2 4 2" xfId="27042" xr:uid="{00000000-0005-0000-0000-0000D2690000}"/>
    <cellStyle name="输入 2 12 2 4 2 2" xfId="44823" xr:uid="{00000000-0005-0000-0000-000047AF0000}"/>
    <cellStyle name="输入 2 12 2 4 3" xfId="9809" xr:uid="{00000000-0005-0000-0000-000081260000}"/>
    <cellStyle name="输入 2 12 2 4 3 2" xfId="44824" xr:uid="{00000000-0005-0000-0000-000048AF0000}"/>
    <cellStyle name="输入 2 12 2 4 4" xfId="44825" xr:uid="{00000000-0005-0000-0000-000049AF0000}"/>
    <cellStyle name="输入 2 12 2 4 4 2" xfId="40373" xr:uid="{00000000-0005-0000-0000-0000E59D0000}"/>
    <cellStyle name="输入 2 12 2 4 5" xfId="44826" xr:uid="{00000000-0005-0000-0000-00004AAF0000}"/>
    <cellStyle name="输入 2 12 2 4 5 2" xfId="44827" xr:uid="{00000000-0005-0000-0000-00004BAF0000}"/>
    <cellStyle name="输入 2 12 2 4 6" xfId="20530" xr:uid="{00000000-0005-0000-0000-000062500000}"/>
    <cellStyle name="输入 2 12 2 5" xfId="25592" xr:uid="{00000000-0005-0000-0000-000028640000}"/>
    <cellStyle name="输入 2 12 2 5 2" xfId="27798" xr:uid="{00000000-0005-0000-0000-0000C66C0000}"/>
    <cellStyle name="输入 2 12 2 5 2 2" xfId="44828" xr:uid="{00000000-0005-0000-0000-00004CAF0000}"/>
    <cellStyle name="输入 2 12 2 5 3" xfId="18452" xr:uid="{00000000-0005-0000-0000-000044480000}"/>
    <cellStyle name="输入 2 12 2 5 3 2" xfId="44829" xr:uid="{00000000-0005-0000-0000-00004DAF0000}"/>
    <cellStyle name="输入 2 12 2 5 4" xfId="44830" xr:uid="{00000000-0005-0000-0000-00004EAF0000}"/>
    <cellStyle name="输入 2 12 2 5 4 2" xfId="40388" xr:uid="{00000000-0005-0000-0000-0000F49D0000}"/>
    <cellStyle name="输入 2 12 2 5 5" xfId="44831" xr:uid="{00000000-0005-0000-0000-00004FAF0000}"/>
    <cellStyle name="输入 2 12 2 5 5 2" xfId="44832" xr:uid="{00000000-0005-0000-0000-000050AF0000}"/>
    <cellStyle name="输入 2 12 2 5 6" xfId="20532" xr:uid="{00000000-0005-0000-0000-000064500000}"/>
    <cellStyle name="输入 2 12 2 6" xfId="27801" xr:uid="{00000000-0005-0000-0000-0000C96C0000}"/>
    <cellStyle name="输入 2 12 2 6 2" xfId="27804" xr:uid="{00000000-0005-0000-0000-0000CC6C0000}"/>
    <cellStyle name="输入 2 12 2 6 2 2" xfId="44833" xr:uid="{00000000-0005-0000-0000-000051AF0000}"/>
    <cellStyle name="输入 2 12 2 6 3" xfId="18458" xr:uid="{00000000-0005-0000-0000-00004A480000}"/>
    <cellStyle name="输入 2 12 2 6 3 2" xfId="44834" xr:uid="{00000000-0005-0000-0000-000052AF0000}"/>
    <cellStyle name="输入 2 12 2 6 4" xfId="44835" xr:uid="{00000000-0005-0000-0000-000053AF0000}"/>
    <cellStyle name="输入 2 12 2 6 4 2" xfId="44836" xr:uid="{00000000-0005-0000-0000-000054AF0000}"/>
    <cellStyle name="输入 2 12 2 6 5" xfId="44837" xr:uid="{00000000-0005-0000-0000-000055AF0000}"/>
    <cellStyle name="输入 2 12 2 6 5 2" xfId="44838" xr:uid="{00000000-0005-0000-0000-000056AF0000}"/>
    <cellStyle name="输入 2 12 2 6 6" xfId="20539" xr:uid="{00000000-0005-0000-0000-00006B500000}"/>
    <cellStyle name="输入 2 12 2 7" xfId="27807" xr:uid="{00000000-0005-0000-0000-0000CF6C0000}"/>
    <cellStyle name="输入 2 12 2 7 2" xfId="44840" xr:uid="{00000000-0005-0000-0000-000058AF0000}"/>
    <cellStyle name="输入 2 12 2 7 2 2" xfId="44842" xr:uid="{00000000-0005-0000-0000-00005AAF0000}"/>
    <cellStyle name="输入 2 12 2 7 3" xfId="27076" xr:uid="{00000000-0005-0000-0000-0000F4690000}"/>
    <cellStyle name="输入 2 12 2 7 3 2" xfId="44843" xr:uid="{00000000-0005-0000-0000-00005BAF0000}"/>
    <cellStyle name="输入 2 12 2 7 4" xfId="44844" xr:uid="{00000000-0005-0000-0000-00005CAF0000}"/>
    <cellStyle name="输入 2 12 2 7 4 2" xfId="44845" xr:uid="{00000000-0005-0000-0000-00005DAF0000}"/>
    <cellStyle name="输入 2 12 2 7 5" xfId="44846" xr:uid="{00000000-0005-0000-0000-00005EAF0000}"/>
    <cellStyle name="输入 2 12 2 7 5 2" xfId="44847" xr:uid="{00000000-0005-0000-0000-00005FAF0000}"/>
    <cellStyle name="输入 2 12 2 7 6" xfId="44849" xr:uid="{00000000-0005-0000-0000-000061AF0000}"/>
    <cellStyle name="输入 2 12 2 8" xfId="44850" xr:uid="{00000000-0005-0000-0000-000062AF0000}"/>
    <cellStyle name="输入 2 12 2 8 2" xfId="44852" xr:uid="{00000000-0005-0000-0000-000064AF0000}"/>
    <cellStyle name="输入 2 12 2 8 2 2" xfId="44854" xr:uid="{00000000-0005-0000-0000-000066AF0000}"/>
    <cellStyle name="输入 2 12 2 8 3" xfId="27079" xr:uid="{00000000-0005-0000-0000-0000F7690000}"/>
    <cellStyle name="输入 2 12 2 8 3 2" xfId="44855" xr:uid="{00000000-0005-0000-0000-000067AF0000}"/>
    <cellStyle name="输入 2 12 2 8 4" xfId="44856" xr:uid="{00000000-0005-0000-0000-000068AF0000}"/>
    <cellStyle name="输入 2 12 2 8 4 2" xfId="13080" xr:uid="{00000000-0005-0000-0000-000048330000}"/>
    <cellStyle name="输入 2 12 2 8 5" xfId="44857" xr:uid="{00000000-0005-0000-0000-000069AF0000}"/>
    <cellStyle name="输入 2 12 2 9" xfId="44858" xr:uid="{00000000-0005-0000-0000-00006AAF0000}"/>
    <cellStyle name="输入 2 12 2 9 2" xfId="26954" xr:uid="{00000000-0005-0000-0000-00007A690000}"/>
    <cellStyle name="输入 2 12 20" xfId="31447" xr:uid="{00000000-0005-0000-0000-0000077B0000}"/>
    <cellStyle name="输入 2 12 20 2" xfId="16605" xr:uid="{00000000-0005-0000-0000-00000D410000}"/>
    <cellStyle name="输入 2 12 21" xfId="44783" xr:uid="{00000000-0005-0000-0000-00001FAF0000}"/>
    <cellStyle name="输入 2 12 21 2" xfId="16622" xr:uid="{00000000-0005-0000-0000-00001E410000}"/>
    <cellStyle name="输入 2 12 22" xfId="44789" xr:uid="{00000000-0005-0000-0000-000025AF0000}"/>
    <cellStyle name="输入 2 12 23" xfId="44798" xr:uid="{00000000-0005-0000-0000-00002EAF0000}"/>
    <cellStyle name="输入 2 12 24" xfId="20780" xr:uid="{00000000-0005-0000-0000-00005C510000}"/>
    <cellStyle name="输入 2 12 25" xfId="44860" xr:uid="{00000000-0005-0000-0000-00006CAF0000}"/>
    <cellStyle name="输入 2 12 3" xfId="44861" xr:uid="{00000000-0005-0000-0000-00006DAF0000}"/>
    <cellStyle name="输入 2 12 3 10" xfId="39585" xr:uid="{00000000-0005-0000-0000-0000D19A0000}"/>
    <cellStyle name="输入 2 12 3 10 2" xfId="29837" xr:uid="{00000000-0005-0000-0000-0000BD740000}"/>
    <cellStyle name="输入 2 12 3 11" xfId="40842" xr:uid="{00000000-0005-0000-0000-0000BA9F0000}"/>
    <cellStyle name="输入 2 12 3 11 2" xfId="29854" xr:uid="{00000000-0005-0000-0000-0000CE740000}"/>
    <cellStyle name="输入 2 12 3 12" xfId="40211" xr:uid="{00000000-0005-0000-0000-0000439D0000}"/>
    <cellStyle name="输入 2 12 3 12 2" xfId="1215" xr:uid="{00000000-0005-0000-0000-0000EF040000}"/>
    <cellStyle name="输入 2 12 3 13" xfId="22623" xr:uid="{00000000-0005-0000-0000-00008F580000}"/>
    <cellStyle name="输入 2 12 3 14" xfId="18572" xr:uid="{00000000-0005-0000-0000-0000BC480000}"/>
    <cellStyle name="输入 2 12 3 15" xfId="44864" xr:uid="{00000000-0005-0000-0000-000070AF0000}"/>
    <cellStyle name="输入 2 12 3 16" xfId="44865" xr:uid="{00000000-0005-0000-0000-000071AF0000}"/>
    <cellStyle name="输入 2 12 3 2" xfId="44146" xr:uid="{00000000-0005-0000-0000-0000A2AC0000}"/>
    <cellStyle name="输入 2 12 3 2 2" xfId="44149" xr:uid="{00000000-0005-0000-0000-0000A5AC0000}"/>
    <cellStyle name="输入 2 12 3 2 2 2" xfId="44867" xr:uid="{00000000-0005-0000-0000-000073AF0000}"/>
    <cellStyle name="输入 2 12 3 2 3" xfId="44868" xr:uid="{00000000-0005-0000-0000-000074AF0000}"/>
    <cellStyle name="输入 2 12 3 2 3 2" xfId="44869" xr:uid="{00000000-0005-0000-0000-000075AF0000}"/>
    <cellStyle name="输入 2 12 3 2 4" xfId="44870" xr:uid="{00000000-0005-0000-0000-000076AF0000}"/>
    <cellStyle name="输入 2 12 3 2 4 2" xfId="40792" xr:uid="{00000000-0005-0000-0000-0000889F0000}"/>
    <cellStyle name="输入 2 12 3 2 5" xfId="44871" xr:uid="{00000000-0005-0000-0000-000077AF0000}"/>
    <cellStyle name="输入 2 12 3 2 5 2" xfId="44872" xr:uid="{00000000-0005-0000-0000-000078AF0000}"/>
    <cellStyle name="输入 2 12 3 2 6" xfId="44874" xr:uid="{00000000-0005-0000-0000-00007AAF0000}"/>
    <cellStyle name="输入 2 12 3 2 7" xfId="44875" xr:uid="{00000000-0005-0000-0000-00007BAF0000}"/>
    <cellStyle name="输入 2 12 3 2 8" xfId="38587" xr:uid="{00000000-0005-0000-0000-0000EB960000}"/>
    <cellStyle name="输入 2 12 3 2 9" xfId="44876" xr:uid="{00000000-0005-0000-0000-00007CAF0000}"/>
    <cellStyle name="输入 2 12 3 3" xfId="893" xr:uid="{00000000-0005-0000-0000-0000AD030000}"/>
    <cellStyle name="输入 2 12 3 3 2" xfId="1015" xr:uid="{00000000-0005-0000-0000-000027040000}"/>
    <cellStyle name="输入 2 12 3 3 2 2" xfId="44877" xr:uid="{00000000-0005-0000-0000-00007DAF0000}"/>
    <cellStyle name="输入 2 12 3 3 3" xfId="10086" xr:uid="{00000000-0005-0000-0000-000096270000}"/>
    <cellStyle name="输入 2 12 3 3 3 2" xfId="44878" xr:uid="{00000000-0005-0000-0000-00007EAF0000}"/>
    <cellStyle name="输入 2 12 3 3 4" xfId="44879" xr:uid="{00000000-0005-0000-0000-00007FAF0000}"/>
    <cellStyle name="输入 2 12 3 3 4 2" xfId="13806" xr:uid="{00000000-0005-0000-0000-00001E360000}"/>
    <cellStyle name="输入 2 12 3 3 5" xfId="44880" xr:uid="{00000000-0005-0000-0000-000080AF0000}"/>
    <cellStyle name="输入 2 12 3 3 5 2" xfId="44881" xr:uid="{00000000-0005-0000-0000-000081AF0000}"/>
    <cellStyle name="输入 2 12 3 3 6" xfId="44882" xr:uid="{00000000-0005-0000-0000-000082AF0000}"/>
    <cellStyle name="输入 2 12 3 4" xfId="4849" xr:uid="{00000000-0005-0000-0000-000021130000}"/>
    <cellStyle name="输入 2 12 3 4 2" xfId="1045" xr:uid="{00000000-0005-0000-0000-000045040000}"/>
    <cellStyle name="输入 2 12 3 4 2 2" xfId="44883" xr:uid="{00000000-0005-0000-0000-000083AF0000}"/>
    <cellStyle name="输入 2 12 3 4 3" xfId="10137" xr:uid="{00000000-0005-0000-0000-0000C9270000}"/>
    <cellStyle name="输入 2 12 3 4 3 2" xfId="44884" xr:uid="{00000000-0005-0000-0000-000084AF0000}"/>
    <cellStyle name="输入 2 12 3 4 4" xfId="44885" xr:uid="{00000000-0005-0000-0000-000085AF0000}"/>
    <cellStyle name="输入 2 12 3 4 4 2" xfId="13818" xr:uid="{00000000-0005-0000-0000-00002A360000}"/>
    <cellStyle name="输入 2 12 3 4 5" xfId="44886" xr:uid="{00000000-0005-0000-0000-000086AF0000}"/>
    <cellStyle name="输入 2 12 3 4 5 2" xfId="44887" xr:uid="{00000000-0005-0000-0000-000087AF0000}"/>
    <cellStyle name="输入 2 12 3 4 6" xfId="44888" xr:uid="{00000000-0005-0000-0000-000088AF0000}"/>
    <cellStyle name="输入 2 12 3 5" xfId="4866" xr:uid="{00000000-0005-0000-0000-000032130000}"/>
    <cellStyle name="输入 2 12 3 5 2" xfId="3053" xr:uid="{00000000-0005-0000-0000-00001D0C0000}"/>
    <cellStyle name="输入 2 12 3 5 2 2" xfId="44889" xr:uid="{00000000-0005-0000-0000-000089AF0000}"/>
    <cellStyle name="输入 2 12 3 5 3" xfId="18497" xr:uid="{00000000-0005-0000-0000-000071480000}"/>
    <cellStyle name="输入 2 12 3 5 3 2" xfId="44890" xr:uid="{00000000-0005-0000-0000-00008AAF0000}"/>
    <cellStyle name="输入 2 12 3 5 4" xfId="44891" xr:uid="{00000000-0005-0000-0000-00008BAF0000}"/>
    <cellStyle name="输入 2 12 3 5 4 2" xfId="40834" xr:uid="{00000000-0005-0000-0000-0000B29F0000}"/>
    <cellStyle name="输入 2 12 3 5 5" xfId="44892" xr:uid="{00000000-0005-0000-0000-00008CAF0000}"/>
    <cellStyle name="输入 2 12 3 5 5 2" xfId="44893" xr:uid="{00000000-0005-0000-0000-00008DAF0000}"/>
    <cellStyle name="输入 2 12 3 5 6" xfId="44894" xr:uid="{00000000-0005-0000-0000-00008EAF0000}"/>
    <cellStyle name="输入 2 12 3 6" xfId="27811" xr:uid="{00000000-0005-0000-0000-0000D36C0000}"/>
    <cellStyle name="输入 2 12 3 6 2" xfId="44895" xr:uid="{00000000-0005-0000-0000-00008FAF0000}"/>
    <cellStyle name="输入 2 12 3 6 2 2" xfId="44896" xr:uid="{00000000-0005-0000-0000-000090AF0000}"/>
    <cellStyle name="输入 2 12 3 6 3" xfId="27085" xr:uid="{00000000-0005-0000-0000-0000FD690000}"/>
    <cellStyle name="输入 2 12 3 6 3 2" xfId="44897" xr:uid="{00000000-0005-0000-0000-000091AF0000}"/>
    <cellStyle name="输入 2 12 3 6 4" xfId="44898" xr:uid="{00000000-0005-0000-0000-000092AF0000}"/>
    <cellStyle name="输入 2 12 3 6 4 2" xfId="44899" xr:uid="{00000000-0005-0000-0000-000093AF0000}"/>
    <cellStyle name="输入 2 12 3 6 5" xfId="44900" xr:uid="{00000000-0005-0000-0000-000094AF0000}"/>
    <cellStyle name="输入 2 12 3 6 5 2" xfId="44901" xr:uid="{00000000-0005-0000-0000-000095AF0000}"/>
    <cellStyle name="输入 2 12 3 6 6" xfId="44903" xr:uid="{00000000-0005-0000-0000-000097AF0000}"/>
    <cellStyle name="输入 2 12 3 7" xfId="44904" xr:uid="{00000000-0005-0000-0000-000098AF0000}"/>
    <cellStyle name="输入 2 12 3 7 2" xfId="44905" xr:uid="{00000000-0005-0000-0000-000099AF0000}"/>
    <cellStyle name="输入 2 12 3 7 2 2" xfId="44906" xr:uid="{00000000-0005-0000-0000-00009AAF0000}"/>
    <cellStyle name="输入 2 12 3 7 3" xfId="27087" xr:uid="{00000000-0005-0000-0000-0000FF690000}"/>
    <cellStyle name="输入 2 12 3 7 3 2" xfId="44907" xr:uid="{00000000-0005-0000-0000-00009BAF0000}"/>
    <cellStyle name="输入 2 12 3 7 4" xfId="44908" xr:uid="{00000000-0005-0000-0000-00009CAF0000}"/>
    <cellStyle name="输入 2 12 3 7 4 2" xfId="44909" xr:uid="{00000000-0005-0000-0000-00009DAF0000}"/>
    <cellStyle name="输入 2 12 3 7 5" xfId="44910" xr:uid="{00000000-0005-0000-0000-00009EAF0000}"/>
    <cellStyle name="输入 2 12 3 7 5 2" xfId="44911" xr:uid="{00000000-0005-0000-0000-00009FAF0000}"/>
    <cellStyle name="输入 2 12 3 7 6" xfId="44913" xr:uid="{00000000-0005-0000-0000-0000A1AF0000}"/>
    <cellStyle name="输入 2 12 3 8" xfId="44914" xr:uid="{00000000-0005-0000-0000-0000A2AF0000}"/>
    <cellStyle name="输入 2 12 3 8 2" xfId="44915" xr:uid="{00000000-0005-0000-0000-0000A3AF0000}"/>
    <cellStyle name="输入 2 12 3 8 2 2" xfId="44916" xr:uid="{00000000-0005-0000-0000-0000A4AF0000}"/>
    <cellStyle name="输入 2 12 3 8 3" xfId="24642" xr:uid="{00000000-0005-0000-0000-000072600000}"/>
    <cellStyle name="输入 2 12 3 8 3 2" xfId="44917" xr:uid="{00000000-0005-0000-0000-0000A5AF0000}"/>
    <cellStyle name="输入 2 12 3 8 4" xfId="44918" xr:uid="{00000000-0005-0000-0000-0000A6AF0000}"/>
    <cellStyle name="输入 2 12 3 8 4 2" xfId="20712" xr:uid="{00000000-0005-0000-0000-000018510000}"/>
    <cellStyle name="输入 2 12 3 8 5" xfId="44919" xr:uid="{00000000-0005-0000-0000-0000A7AF0000}"/>
    <cellStyle name="输入 2 12 3 9" xfId="44920" xr:uid="{00000000-0005-0000-0000-0000A8AF0000}"/>
    <cellStyle name="输入 2 12 3 9 2" xfId="25512" xr:uid="{00000000-0005-0000-0000-0000D8630000}"/>
    <cellStyle name="输入 2 12 4" xfId="44921" xr:uid="{00000000-0005-0000-0000-0000A9AF0000}"/>
    <cellStyle name="输入 2 12 4 10" xfId="44923" xr:uid="{00000000-0005-0000-0000-0000ABAF0000}"/>
    <cellStyle name="输入 2 12 4 10 2" xfId="44926" xr:uid="{00000000-0005-0000-0000-0000AEAF0000}"/>
    <cellStyle name="输入 2 12 4 11" xfId="44928" xr:uid="{00000000-0005-0000-0000-0000B0AF0000}"/>
    <cellStyle name="输入 2 12 4 11 2" xfId="44929" xr:uid="{00000000-0005-0000-0000-0000B1AF0000}"/>
    <cellStyle name="输入 2 12 4 12" xfId="44930" xr:uid="{00000000-0005-0000-0000-0000B2AF0000}"/>
    <cellStyle name="输入 2 12 4 12 2" xfId="26415" xr:uid="{00000000-0005-0000-0000-00005F670000}"/>
    <cellStyle name="输入 2 12 4 13" xfId="44931" xr:uid="{00000000-0005-0000-0000-0000B3AF0000}"/>
    <cellStyle name="输入 2 12 4 14" xfId="18809" xr:uid="{00000000-0005-0000-0000-0000A9490000}"/>
    <cellStyle name="输入 2 12 4 15" xfId="44932" xr:uid="{00000000-0005-0000-0000-0000B4AF0000}"/>
    <cellStyle name="输入 2 12 4 16" xfId="44933" xr:uid="{00000000-0005-0000-0000-0000B5AF0000}"/>
    <cellStyle name="输入 2 12 4 2" xfId="44153" xr:uid="{00000000-0005-0000-0000-0000A9AC0000}"/>
    <cellStyle name="输入 2 12 4 2 2" xfId="44155" xr:uid="{00000000-0005-0000-0000-0000ABAC0000}"/>
    <cellStyle name="输入 2 12 4 2 2 2" xfId="34192" xr:uid="{00000000-0005-0000-0000-0000C0850000}"/>
    <cellStyle name="输入 2 12 4 2 3" xfId="44935" xr:uid="{00000000-0005-0000-0000-0000B7AF0000}"/>
    <cellStyle name="输入 2 12 4 2 3 2" xfId="44936" xr:uid="{00000000-0005-0000-0000-0000B8AF0000}"/>
    <cellStyle name="输入 2 12 4 2 4" xfId="44937" xr:uid="{00000000-0005-0000-0000-0000B9AF0000}"/>
    <cellStyle name="输入 2 12 4 2 4 2" xfId="41027" xr:uid="{00000000-0005-0000-0000-000073A00000}"/>
    <cellStyle name="输入 2 12 4 2 5" xfId="44940" xr:uid="{00000000-0005-0000-0000-0000BCAF0000}"/>
    <cellStyle name="输入 2 12 4 2 5 2" xfId="4747" xr:uid="{00000000-0005-0000-0000-0000BB120000}"/>
    <cellStyle name="输入 2 12 4 2 6" xfId="44942" xr:uid="{00000000-0005-0000-0000-0000BEAF0000}"/>
    <cellStyle name="输入 2 12 4 2 7" xfId="44944" xr:uid="{00000000-0005-0000-0000-0000C0AF0000}"/>
    <cellStyle name="输入 2 12 4 2 8" xfId="44946" xr:uid="{00000000-0005-0000-0000-0000C2AF0000}"/>
    <cellStyle name="输入 2 12 4 2 9" xfId="44948" xr:uid="{00000000-0005-0000-0000-0000C4AF0000}"/>
    <cellStyle name="输入 2 12 4 3" xfId="928" xr:uid="{00000000-0005-0000-0000-0000D0030000}"/>
    <cellStyle name="输入 2 12 4 3 2" xfId="44157" xr:uid="{00000000-0005-0000-0000-0000ADAC0000}"/>
    <cellStyle name="输入 2 12 4 3 2 2" xfId="44949" xr:uid="{00000000-0005-0000-0000-0000C5AF0000}"/>
    <cellStyle name="输入 2 12 4 3 3" xfId="44950" xr:uid="{00000000-0005-0000-0000-0000C6AF0000}"/>
    <cellStyle name="输入 2 12 4 3 3 2" xfId="44952" xr:uid="{00000000-0005-0000-0000-0000C8AF0000}"/>
    <cellStyle name="输入 2 12 4 3 4" xfId="44953" xr:uid="{00000000-0005-0000-0000-0000C9AF0000}"/>
    <cellStyle name="输入 2 12 4 3 4 2" xfId="41055" xr:uid="{00000000-0005-0000-0000-00008FA00000}"/>
    <cellStyle name="输入 2 12 4 3 5" xfId="44956" xr:uid="{00000000-0005-0000-0000-0000CCAF0000}"/>
    <cellStyle name="输入 2 12 4 3 5 2" xfId="5026" xr:uid="{00000000-0005-0000-0000-0000D2130000}"/>
    <cellStyle name="输入 2 12 4 3 6" xfId="44958" xr:uid="{00000000-0005-0000-0000-0000CEAF0000}"/>
    <cellStyle name="输入 2 12 4 4" xfId="44159" xr:uid="{00000000-0005-0000-0000-0000AFAC0000}"/>
    <cellStyle name="输入 2 12 4 4 2" xfId="44960" xr:uid="{00000000-0005-0000-0000-0000D0AF0000}"/>
    <cellStyle name="输入 2 12 4 4 2 2" xfId="44961" xr:uid="{00000000-0005-0000-0000-0000D1AF0000}"/>
    <cellStyle name="输入 2 12 4 4 3" xfId="44962" xr:uid="{00000000-0005-0000-0000-0000D2AF0000}"/>
    <cellStyle name="输入 2 12 4 4 3 2" xfId="44964" xr:uid="{00000000-0005-0000-0000-0000D4AF0000}"/>
    <cellStyle name="输入 2 12 4 4 4" xfId="44965" xr:uid="{00000000-0005-0000-0000-0000D5AF0000}"/>
    <cellStyle name="输入 2 12 4 4 4 2" xfId="41068" xr:uid="{00000000-0005-0000-0000-00009CA00000}"/>
    <cellStyle name="输入 2 12 4 4 5" xfId="44968" xr:uid="{00000000-0005-0000-0000-0000D8AF0000}"/>
    <cellStyle name="输入 2 12 4 4 5 2" xfId="5282" xr:uid="{00000000-0005-0000-0000-0000D2140000}"/>
    <cellStyle name="输入 2 12 4 4 6" xfId="44970" xr:uid="{00000000-0005-0000-0000-0000DAAF0000}"/>
    <cellStyle name="输入 2 12 4 5" xfId="44972" xr:uid="{00000000-0005-0000-0000-0000DCAF0000}"/>
    <cellStyle name="输入 2 12 4 5 2" xfId="44973" xr:uid="{00000000-0005-0000-0000-0000DDAF0000}"/>
    <cellStyle name="输入 2 12 4 5 2 2" xfId="44974" xr:uid="{00000000-0005-0000-0000-0000DEAF0000}"/>
    <cellStyle name="输入 2 12 4 5 3" xfId="27093" xr:uid="{00000000-0005-0000-0000-0000056A0000}"/>
    <cellStyle name="输入 2 12 4 5 3 2" xfId="44975" xr:uid="{00000000-0005-0000-0000-0000DFAF0000}"/>
    <cellStyle name="输入 2 12 4 5 4" xfId="44976" xr:uid="{00000000-0005-0000-0000-0000E0AF0000}"/>
    <cellStyle name="输入 2 12 4 5 4 2" xfId="41075" xr:uid="{00000000-0005-0000-0000-0000A3A00000}"/>
    <cellStyle name="输入 2 12 4 5 5" xfId="44978" xr:uid="{00000000-0005-0000-0000-0000E2AF0000}"/>
    <cellStyle name="输入 2 12 4 5 5 2" xfId="1712" xr:uid="{00000000-0005-0000-0000-0000E0060000}"/>
    <cellStyle name="输入 2 12 4 5 6" xfId="44980" xr:uid="{00000000-0005-0000-0000-0000E4AF0000}"/>
    <cellStyle name="输入 2 12 4 6" xfId="44982" xr:uid="{00000000-0005-0000-0000-0000E6AF0000}"/>
    <cellStyle name="输入 2 12 4 6 2" xfId="44985" xr:uid="{00000000-0005-0000-0000-0000E9AF0000}"/>
    <cellStyle name="输入 2 12 4 6 2 2" xfId="44986" xr:uid="{00000000-0005-0000-0000-0000EAAF0000}"/>
    <cellStyle name="输入 2 12 4 6 3" xfId="27102" xr:uid="{00000000-0005-0000-0000-00000E6A0000}"/>
    <cellStyle name="输入 2 12 4 6 3 2" xfId="44987" xr:uid="{00000000-0005-0000-0000-0000EBAF0000}"/>
    <cellStyle name="输入 2 12 4 6 4" xfId="44988" xr:uid="{00000000-0005-0000-0000-0000ECAF0000}"/>
    <cellStyle name="输入 2 12 4 6 4 2" xfId="44989" xr:uid="{00000000-0005-0000-0000-0000EDAF0000}"/>
    <cellStyle name="输入 2 12 4 6 5" xfId="41666" xr:uid="{00000000-0005-0000-0000-0000F2A20000}"/>
    <cellStyle name="输入 2 12 4 6 5 2" xfId="3027" xr:uid="{00000000-0005-0000-0000-0000030C0000}"/>
    <cellStyle name="输入 2 12 4 6 6" xfId="44990" xr:uid="{00000000-0005-0000-0000-0000EEAF0000}"/>
    <cellStyle name="输入 2 12 4 7" xfId="44991" xr:uid="{00000000-0005-0000-0000-0000EFAF0000}"/>
    <cellStyle name="输入 2 12 4 7 2" xfId="44992" xr:uid="{00000000-0005-0000-0000-0000F0AF0000}"/>
    <cellStyle name="输入 2 12 4 7 2 2" xfId="44995" xr:uid="{00000000-0005-0000-0000-0000F3AF0000}"/>
    <cellStyle name="输入 2 12 4 7 3" xfId="27106" xr:uid="{00000000-0005-0000-0000-0000126A0000}"/>
    <cellStyle name="输入 2 12 4 7 3 2" xfId="26875" xr:uid="{00000000-0005-0000-0000-00002B690000}"/>
    <cellStyle name="输入 2 12 4 7 4" xfId="44998" xr:uid="{00000000-0005-0000-0000-0000F6AF0000}"/>
    <cellStyle name="输入 2 12 4 7 4 2" xfId="45000" xr:uid="{00000000-0005-0000-0000-0000F8AF0000}"/>
    <cellStyle name="输入 2 12 4 7 5" xfId="41669" xr:uid="{00000000-0005-0000-0000-0000F5A20000}"/>
    <cellStyle name="输入 2 12 4 7 5 2" xfId="45001" xr:uid="{00000000-0005-0000-0000-0000F9AF0000}"/>
    <cellStyle name="输入 2 12 4 7 6" xfId="45002" xr:uid="{00000000-0005-0000-0000-0000FAAF0000}"/>
    <cellStyle name="输入 2 12 4 8" xfId="45004" xr:uid="{00000000-0005-0000-0000-0000FCAF0000}"/>
    <cellStyle name="输入 2 12 4 8 2" xfId="45005" xr:uid="{00000000-0005-0000-0000-0000FDAF0000}"/>
    <cellStyle name="输入 2 12 4 8 2 2" xfId="45006" xr:uid="{00000000-0005-0000-0000-0000FEAF0000}"/>
    <cellStyle name="输入 2 12 4 8 3" xfId="27109" xr:uid="{00000000-0005-0000-0000-0000156A0000}"/>
    <cellStyle name="输入 2 12 4 8 3 2" xfId="45007" xr:uid="{00000000-0005-0000-0000-0000FFAF0000}"/>
    <cellStyle name="输入 2 12 4 8 4" xfId="45008" xr:uid="{00000000-0005-0000-0000-000000B00000}"/>
    <cellStyle name="输入 2 12 4 8 4 2" xfId="45009" xr:uid="{00000000-0005-0000-0000-000001B00000}"/>
    <cellStyle name="输入 2 12 4 8 5" xfId="41673" xr:uid="{00000000-0005-0000-0000-0000F9A20000}"/>
    <cellStyle name="输入 2 12 4 9" xfId="45010" xr:uid="{00000000-0005-0000-0000-000002B00000}"/>
    <cellStyle name="输入 2 12 4 9 2" xfId="35135" xr:uid="{00000000-0005-0000-0000-00006F890000}"/>
    <cellStyle name="输入 2 12 5" xfId="45011" xr:uid="{00000000-0005-0000-0000-000003B00000}"/>
    <cellStyle name="输入 2 12 5 10" xfId="45013" xr:uid="{00000000-0005-0000-0000-000005B00000}"/>
    <cellStyle name="输入 2 12 5 10 2" xfId="45014" xr:uid="{00000000-0005-0000-0000-000006B00000}"/>
    <cellStyle name="输入 2 12 5 11" xfId="45016" xr:uid="{00000000-0005-0000-0000-000008B00000}"/>
    <cellStyle name="输入 2 12 5 11 2" xfId="34376" xr:uid="{00000000-0005-0000-0000-000078860000}"/>
    <cellStyle name="输入 2 12 5 12" xfId="2985" xr:uid="{00000000-0005-0000-0000-0000D90B0000}"/>
    <cellStyle name="输入 2 12 5 12 2" xfId="45017" xr:uid="{00000000-0005-0000-0000-000009B00000}"/>
    <cellStyle name="输入 2 12 5 13" xfId="45018" xr:uid="{00000000-0005-0000-0000-00000AB00000}"/>
    <cellStyle name="输入 2 12 5 14" xfId="45019" xr:uid="{00000000-0005-0000-0000-00000BB00000}"/>
    <cellStyle name="输入 2 12 5 15" xfId="45021" xr:uid="{00000000-0005-0000-0000-00000DB00000}"/>
    <cellStyle name="输入 2 12 5 16" xfId="45022" xr:uid="{00000000-0005-0000-0000-00000EB00000}"/>
    <cellStyle name="输入 2 12 5 2" xfId="44164" xr:uid="{00000000-0005-0000-0000-0000B4AC0000}"/>
    <cellStyle name="输入 2 12 5 2 2" xfId="44166" xr:uid="{00000000-0005-0000-0000-0000B6AC0000}"/>
    <cellStyle name="输入 2 12 5 2 2 2" xfId="45023" xr:uid="{00000000-0005-0000-0000-00000FB00000}"/>
    <cellStyle name="输入 2 12 5 2 3" xfId="45024" xr:uid="{00000000-0005-0000-0000-000010B00000}"/>
    <cellStyle name="输入 2 12 5 2 3 2" xfId="45025" xr:uid="{00000000-0005-0000-0000-000011B00000}"/>
    <cellStyle name="输入 2 12 5 2 4" xfId="45026" xr:uid="{00000000-0005-0000-0000-000012B00000}"/>
    <cellStyle name="输入 2 12 5 2 4 2" xfId="41323" xr:uid="{00000000-0005-0000-0000-00009BA10000}"/>
    <cellStyle name="输入 2 12 5 2 5" xfId="45027" xr:uid="{00000000-0005-0000-0000-000013B00000}"/>
    <cellStyle name="输入 2 12 5 2 5 2" xfId="8208" xr:uid="{00000000-0005-0000-0000-000040200000}"/>
    <cellStyle name="输入 2 12 5 2 6" xfId="17465" xr:uid="{00000000-0005-0000-0000-000069440000}"/>
    <cellStyle name="输入 2 12 5 2 7" xfId="8486" xr:uid="{00000000-0005-0000-0000-000056210000}"/>
    <cellStyle name="输入 2 12 5 2 8" xfId="17471" xr:uid="{00000000-0005-0000-0000-00006F440000}"/>
    <cellStyle name="输入 2 12 5 2 9" xfId="20267" xr:uid="{00000000-0005-0000-0000-00005B4F0000}"/>
    <cellStyle name="输入 2 12 5 3" xfId="1316" xr:uid="{00000000-0005-0000-0000-000054050000}"/>
    <cellStyle name="输入 2 12 5 3 2" xfId="44168" xr:uid="{00000000-0005-0000-0000-0000B8AC0000}"/>
    <cellStyle name="输入 2 12 5 3 2 2" xfId="35577" xr:uid="{00000000-0005-0000-0000-0000298B0000}"/>
    <cellStyle name="输入 2 12 5 3 3" xfId="45028" xr:uid="{00000000-0005-0000-0000-000014B00000}"/>
    <cellStyle name="输入 2 12 5 3 3 2" xfId="45030" xr:uid="{00000000-0005-0000-0000-000016B00000}"/>
    <cellStyle name="输入 2 12 5 3 4" xfId="45031" xr:uid="{00000000-0005-0000-0000-000017B00000}"/>
    <cellStyle name="输入 2 12 5 3 4 2" xfId="41339" xr:uid="{00000000-0005-0000-0000-0000ABA10000}"/>
    <cellStyle name="输入 2 12 5 3 5" xfId="45032" xr:uid="{00000000-0005-0000-0000-000018B00000}"/>
    <cellStyle name="输入 2 12 5 3 5 2" xfId="8530" xr:uid="{00000000-0005-0000-0000-000082210000}"/>
    <cellStyle name="输入 2 12 5 3 6" xfId="17485" xr:uid="{00000000-0005-0000-0000-00007D440000}"/>
    <cellStyle name="输入 2 12 5 4" xfId="44170" xr:uid="{00000000-0005-0000-0000-0000BAAC0000}"/>
    <cellStyle name="输入 2 12 5 4 2" xfId="45033" xr:uid="{00000000-0005-0000-0000-000019B00000}"/>
    <cellStyle name="输入 2 12 5 4 2 2" xfId="45034" xr:uid="{00000000-0005-0000-0000-00001AB00000}"/>
    <cellStyle name="输入 2 12 5 4 3" xfId="45035" xr:uid="{00000000-0005-0000-0000-00001BB00000}"/>
    <cellStyle name="输入 2 12 5 4 3 2" xfId="45037" xr:uid="{00000000-0005-0000-0000-00001DB00000}"/>
    <cellStyle name="输入 2 12 5 4 4" xfId="34362" xr:uid="{00000000-0005-0000-0000-00006A860000}"/>
    <cellStyle name="输入 2 12 5 4 4 2" xfId="41345" xr:uid="{00000000-0005-0000-0000-0000B1A10000}"/>
    <cellStyle name="输入 2 12 5 4 5" xfId="34364" xr:uid="{00000000-0005-0000-0000-00006C860000}"/>
    <cellStyle name="输入 2 12 5 4 5 2" xfId="8741" xr:uid="{00000000-0005-0000-0000-000055220000}"/>
    <cellStyle name="输入 2 12 5 4 6" xfId="34366" xr:uid="{00000000-0005-0000-0000-00006E860000}"/>
    <cellStyle name="输入 2 12 5 5" xfId="45038" xr:uid="{00000000-0005-0000-0000-00001EB00000}"/>
    <cellStyle name="输入 2 12 5 5 2" xfId="45039" xr:uid="{00000000-0005-0000-0000-00001FB00000}"/>
    <cellStyle name="输入 2 12 5 5 2 2" xfId="45040" xr:uid="{00000000-0005-0000-0000-000020B00000}"/>
    <cellStyle name="输入 2 12 5 5 3" xfId="27112" xr:uid="{00000000-0005-0000-0000-0000186A0000}"/>
    <cellStyle name="输入 2 12 5 5 3 2" xfId="45041" xr:uid="{00000000-0005-0000-0000-000021B00000}"/>
    <cellStyle name="输入 2 12 5 5 4" xfId="45042" xr:uid="{00000000-0005-0000-0000-000022B00000}"/>
    <cellStyle name="输入 2 12 5 5 4 2" xfId="41354" xr:uid="{00000000-0005-0000-0000-0000BAA10000}"/>
    <cellStyle name="输入 2 12 5 5 5" xfId="45043" xr:uid="{00000000-0005-0000-0000-000023B00000}"/>
    <cellStyle name="输入 2 12 5 5 5 2" xfId="6579" xr:uid="{00000000-0005-0000-0000-0000E3190000}"/>
    <cellStyle name="输入 2 12 5 5 6" xfId="45044" xr:uid="{00000000-0005-0000-0000-000024B00000}"/>
    <cellStyle name="输入 2 12 5 6" xfId="45045" xr:uid="{00000000-0005-0000-0000-000025B00000}"/>
    <cellStyle name="输入 2 12 5 6 2" xfId="45048" xr:uid="{00000000-0005-0000-0000-000028B00000}"/>
    <cellStyle name="输入 2 12 5 6 2 2" xfId="45049" xr:uid="{00000000-0005-0000-0000-000029B00000}"/>
    <cellStyle name="输入 2 12 5 6 3" xfId="27118" xr:uid="{00000000-0005-0000-0000-00001E6A0000}"/>
    <cellStyle name="输入 2 12 5 6 3 2" xfId="45050" xr:uid="{00000000-0005-0000-0000-00002AB00000}"/>
    <cellStyle name="输入 2 12 5 6 4" xfId="45051" xr:uid="{00000000-0005-0000-0000-00002BB00000}"/>
    <cellStyle name="输入 2 12 5 6 4 2" xfId="45052" xr:uid="{00000000-0005-0000-0000-00002CB00000}"/>
    <cellStyle name="输入 2 12 5 6 5" xfId="41681" xr:uid="{00000000-0005-0000-0000-000001A30000}"/>
    <cellStyle name="输入 2 12 5 6 5 2" xfId="9224" xr:uid="{00000000-0005-0000-0000-000038240000}"/>
    <cellStyle name="输入 2 12 5 6 6" xfId="45053" xr:uid="{00000000-0005-0000-0000-00002DB00000}"/>
    <cellStyle name="输入 2 12 5 7" xfId="45054" xr:uid="{00000000-0005-0000-0000-00002EB00000}"/>
    <cellStyle name="输入 2 12 5 7 2" xfId="45055" xr:uid="{00000000-0005-0000-0000-00002FB00000}"/>
    <cellStyle name="输入 2 12 5 7 2 2" xfId="45057" xr:uid="{00000000-0005-0000-0000-000031B00000}"/>
    <cellStyle name="输入 2 12 5 7 3" xfId="27123" xr:uid="{00000000-0005-0000-0000-0000236A0000}"/>
    <cellStyle name="输入 2 12 5 7 3 2" xfId="45060" xr:uid="{00000000-0005-0000-0000-000034B00000}"/>
    <cellStyle name="输入 2 12 5 7 4" xfId="45063" xr:uid="{00000000-0005-0000-0000-000037B00000}"/>
    <cellStyle name="输入 2 12 5 7 4 2" xfId="45065" xr:uid="{00000000-0005-0000-0000-000039B00000}"/>
    <cellStyle name="输入 2 12 5 7 5" xfId="41684" xr:uid="{00000000-0005-0000-0000-000004A30000}"/>
    <cellStyle name="输入 2 12 5 7 5 2" xfId="45067" xr:uid="{00000000-0005-0000-0000-00003BB00000}"/>
    <cellStyle name="输入 2 12 5 7 6" xfId="45069" xr:uid="{00000000-0005-0000-0000-00003DB00000}"/>
    <cellStyle name="输入 2 12 5 8" xfId="45071" xr:uid="{00000000-0005-0000-0000-00003FB00000}"/>
    <cellStyle name="输入 2 12 5 8 2" xfId="45073" xr:uid="{00000000-0005-0000-0000-000041B00000}"/>
    <cellStyle name="输入 2 12 5 8 2 2" xfId="35869" xr:uid="{00000000-0005-0000-0000-00004D8C0000}"/>
    <cellStyle name="输入 2 12 5 8 3" xfId="45074" xr:uid="{00000000-0005-0000-0000-000042B00000}"/>
    <cellStyle name="输入 2 12 5 8 3 2" xfId="45075" xr:uid="{00000000-0005-0000-0000-000043B00000}"/>
    <cellStyle name="输入 2 12 5 8 4" xfId="45076" xr:uid="{00000000-0005-0000-0000-000044B00000}"/>
    <cellStyle name="输入 2 12 5 8 4 2" xfId="45077" xr:uid="{00000000-0005-0000-0000-000045B00000}"/>
    <cellStyle name="输入 2 12 5 8 5" xfId="41688" xr:uid="{00000000-0005-0000-0000-000008A30000}"/>
    <cellStyle name="输入 2 12 5 9" xfId="45078" xr:uid="{00000000-0005-0000-0000-000046B00000}"/>
    <cellStyle name="输入 2 12 5 9 2" xfId="35194" xr:uid="{00000000-0005-0000-0000-0000AA890000}"/>
    <cellStyle name="输入 2 12 6" xfId="14407" xr:uid="{00000000-0005-0000-0000-000077380000}"/>
    <cellStyle name="输入 2 12 6 10" xfId="45079" xr:uid="{00000000-0005-0000-0000-000047B00000}"/>
    <cellStyle name="输入 2 12 6 10 2" xfId="45080" xr:uid="{00000000-0005-0000-0000-000048B00000}"/>
    <cellStyle name="输入 2 12 6 11" xfId="20622" xr:uid="{00000000-0005-0000-0000-0000BE500000}"/>
    <cellStyle name="输入 2 12 6 11 2" xfId="45081" xr:uid="{00000000-0005-0000-0000-000049B00000}"/>
    <cellStyle name="输入 2 12 6 12" xfId="45083" xr:uid="{00000000-0005-0000-0000-00004BB00000}"/>
    <cellStyle name="输入 2 12 6 12 2" xfId="45084" xr:uid="{00000000-0005-0000-0000-00004CB00000}"/>
    <cellStyle name="输入 2 12 6 13" xfId="45085" xr:uid="{00000000-0005-0000-0000-00004DB00000}"/>
    <cellStyle name="输入 2 12 6 14" xfId="19117" xr:uid="{00000000-0005-0000-0000-0000DD4A0000}"/>
    <cellStyle name="输入 2 12 6 15" xfId="45086" xr:uid="{00000000-0005-0000-0000-00004EB00000}"/>
    <cellStyle name="输入 2 12 6 16" xfId="2956" xr:uid="{00000000-0005-0000-0000-0000BC0B0000}"/>
    <cellStyle name="输入 2 12 6 2" xfId="44176" xr:uid="{00000000-0005-0000-0000-0000C0AC0000}"/>
    <cellStyle name="输入 2 12 6 2 2" xfId="44178" xr:uid="{00000000-0005-0000-0000-0000C2AC0000}"/>
    <cellStyle name="输入 2 12 6 2 2 2" xfId="45088" xr:uid="{00000000-0005-0000-0000-000050B00000}"/>
    <cellStyle name="输入 2 12 6 2 3" xfId="45090" xr:uid="{00000000-0005-0000-0000-000052B00000}"/>
    <cellStyle name="输入 2 12 6 2 3 2" xfId="45091" xr:uid="{00000000-0005-0000-0000-000053B00000}"/>
    <cellStyle name="输入 2 12 6 2 4" xfId="45093" xr:uid="{00000000-0005-0000-0000-000055B00000}"/>
    <cellStyle name="输入 2 12 6 2 4 2" xfId="41818" xr:uid="{00000000-0005-0000-0000-00008AA30000}"/>
    <cellStyle name="输入 2 12 6 2 5" xfId="45094" xr:uid="{00000000-0005-0000-0000-000056B00000}"/>
    <cellStyle name="输入 2 12 6 2 5 2" xfId="10522" xr:uid="{00000000-0005-0000-0000-00004A290000}"/>
    <cellStyle name="输入 2 12 6 2 6" xfId="20315" xr:uid="{00000000-0005-0000-0000-00008B4F0000}"/>
    <cellStyle name="输入 2 12 6 2 7" xfId="20317" xr:uid="{00000000-0005-0000-0000-00008D4F0000}"/>
    <cellStyle name="输入 2 12 6 2 8" xfId="20319" xr:uid="{00000000-0005-0000-0000-00008F4F0000}"/>
    <cellStyle name="输入 2 12 6 2 9" xfId="20321" xr:uid="{00000000-0005-0000-0000-0000914F0000}"/>
    <cellStyle name="输入 2 12 6 3" xfId="2227" xr:uid="{00000000-0005-0000-0000-0000E3080000}"/>
    <cellStyle name="输入 2 12 6 3 2" xfId="44180" xr:uid="{00000000-0005-0000-0000-0000C4AC0000}"/>
    <cellStyle name="输入 2 12 6 3 2 2" xfId="45095" xr:uid="{00000000-0005-0000-0000-000057B00000}"/>
    <cellStyle name="输入 2 12 6 3 3" xfId="45096" xr:uid="{00000000-0005-0000-0000-000058B00000}"/>
    <cellStyle name="输入 2 12 6 3 3 2" xfId="45098" xr:uid="{00000000-0005-0000-0000-00005AB00000}"/>
    <cellStyle name="输入 2 12 6 3 4" xfId="45099" xr:uid="{00000000-0005-0000-0000-00005BB00000}"/>
    <cellStyle name="输入 2 12 6 3 4 2" xfId="41858" xr:uid="{00000000-0005-0000-0000-0000B2A30000}"/>
    <cellStyle name="输入 2 12 6 3 5" xfId="45100" xr:uid="{00000000-0005-0000-0000-00005CB00000}"/>
    <cellStyle name="输入 2 12 6 3 5 2" xfId="6339" xr:uid="{00000000-0005-0000-0000-0000F3180000}"/>
    <cellStyle name="输入 2 12 6 3 6" xfId="20323" xr:uid="{00000000-0005-0000-0000-0000934F0000}"/>
    <cellStyle name="输入 2 12 6 4" xfId="3549" xr:uid="{00000000-0005-0000-0000-00000D0E0000}"/>
    <cellStyle name="输入 2 12 6 4 2" xfId="3591" xr:uid="{00000000-0005-0000-0000-0000370E0000}"/>
    <cellStyle name="输入 2 12 6 4 2 2" xfId="45101" xr:uid="{00000000-0005-0000-0000-00005DB00000}"/>
    <cellStyle name="输入 2 12 6 4 3" xfId="45102" xr:uid="{00000000-0005-0000-0000-00005EB00000}"/>
    <cellStyle name="输入 2 12 6 4 3 2" xfId="45104" xr:uid="{00000000-0005-0000-0000-000060B00000}"/>
    <cellStyle name="输入 2 12 6 4 4" xfId="45105" xr:uid="{00000000-0005-0000-0000-000061B00000}"/>
    <cellStyle name="输入 2 12 6 4 4 2" xfId="41886" xr:uid="{00000000-0005-0000-0000-0000CEA30000}"/>
    <cellStyle name="输入 2 12 6 4 5" xfId="45106" xr:uid="{00000000-0005-0000-0000-000062B00000}"/>
    <cellStyle name="输入 2 12 6 4 5 2" xfId="6711" xr:uid="{00000000-0005-0000-0000-0000671A0000}"/>
    <cellStyle name="输入 2 12 6 4 6" xfId="45107" xr:uid="{00000000-0005-0000-0000-000063B00000}"/>
    <cellStyle name="输入 2 12 6 5" xfId="3645" xr:uid="{00000000-0005-0000-0000-00006D0E0000}"/>
    <cellStyle name="输入 2 12 6 5 2" xfId="2849" xr:uid="{00000000-0005-0000-0000-0000510B0000}"/>
    <cellStyle name="输入 2 12 6 5 2 2" xfId="45108" xr:uid="{00000000-0005-0000-0000-000064B00000}"/>
    <cellStyle name="输入 2 12 6 5 3" xfId="45109" xr:uid="{00000000-0005-0000-0000-000065B00000}"/>
    <cellStyle name="输入 2 12 6 5 3 2" xfId="45111" xr:uid="{00000000-0005-0000-0000-000067B00000}"/>
    <cellStyle name="输入 2 12 6 5 4" xfId="45112" xr:uid="{00000000-0005-0000-0000-000068B00000}"/>
    <cellStyle name="输入 2 12 6 5 4 2" xfId="41916" xr:uid="{00000000-0005-0000-0000-0000ECA30000}"/>
    <cellStyle name="输入 2 12 6 5 5" xfId="45113" xr:uid="{00000000-0005-0000-0000-000069B00000}"/>
    <cellStyle name="输入 2 12 6 5 5 2" xfId="11088" xr:uid="{00000000-0005-0000-0000-0000802B0000}"/>
    <cellStyle name="输入 2 12 6 5 6" xfId="45114" xr:uid="{00000000-0005-0000-0000-00006AB00000}"/>
    <cellStyle name="输入 2 12 6 6" xfId="3976" xr:uid="{00000000-0005-0000-0000-0000B80F0000}"/>
    <cellStyle name="输入 2 12 6 6 2" xfId="4691" xr:uid="{00000000-0005-0000-0000-000083120000}"/>
    <cellStyle name="输入 2 12 6 6 2 2" xfId="45115" xr:uid="{00000000-0005-0000-0000-00006BB00000}"/>
    <cellStyle name="输入 2 12 6 6 3" xfId="45116" xr:uid="{00000000-0005-0000-0000-00006CB00000}"/>
    <cellStyle name="输入 2 12 6 6 3 2" xfId="11514" xr:uid="{00000000-0005-0000-0000-00002A2D0000}"/>
    <cellStyle name="输入 2 12 6 6 4" xfId="45118" xr:uid="{00000000-0005-0000-0000-00006EB00000}"/>
    <cellStyle name="输入 2 12 6 6 4 2" xfId="45119" xr:uid="{00000000-0005-0000-0000-00006FB00000}"/>
    <cellStyle name="输入 2 12 6 6 5" xfId="41692" xr:uid="{00000000-0005-0000-0000-00000CA30000}"/>
    <cellStyle name="输入 2 12 6 6 5 2" xfId="11288" xr:uid="{00000000-0005-0000-0000-0000482C0000}"/>
    <cellStyle name="输入 2 12 6 6 6" xfId="45120" xr:uid="{00000000-0005-0000-0000-000070B00000}"/>
    <cellStyle name="输入 2 12 6 7" xfId="4700" xr:uid="{00000000-0005-0000-0000-00008C120000}"/>
    <cellStyle name="输入 2 12 6 7 2" xfId="45121" xr:uid="{00000000-0005-0000-0000-000071B00000}"/>
    <cellStyle name="输入 2 12 6 7 2 2" xfId="45122" xr:uid="{00000000-0005-0000-0000-000072B00000}"/>
    <cellStyle name="输入 2 12 6 7 3" xfId="45124" xr:uid="{00000000-0005-0000-0000-000074B00000}"/>
    <cellStyle name="输入 2 12 6 7 3 2" xfId="45125" xr:uid="{00000000-0005-0000-0000-000075B00000}"/>
    <cellStyle name="输入 2 12 6 7 4" xfId="45127" xr:uid="{00000000-0005-0000-0000-000077B00000}"/>
    <cellStyle name="输入 2 12 6 7 4 2" xfId="45128" xr:uid="{00000000-0005-0000-0000-000078B00000}"/>
    <cellStyle name="输入 2 12 6 7 5" xfId="41695" xr:uid="{00000000-0005-0000-0000-00000FA30000}"/>
    <cellStyle name="输入 2 12 6 7 5 2" xfId="14356" xr:uid="{00000000-0005-0000-0000-000044380000}"/>
    <cellStyle name="输入 2 12 6 7 6" xfId="45130" xr:uid="{00000000-0005-0000-0000-00007AB00000}"/>
    <cellStyle name="输入 2 12 6 8" xfId="4712" xr:uid="{00000000-0005-0000-0000-000098120000}"/>
    <cellStyle name="输入 2 12 6 8 2" xfId="45131" xr:uid="{00000000-0005-0000-0000-00007BB00000}"/>
    <cellStyle name="输入 2 12 6 8 2 2" xfId="45132" xr:uid="{00000000-0005-0000-0000-00007CB00000}"/>
    <cellStyle name="输入 2 12 6 8 3" xfId="45133" xr:uid="{00000000-0005-0000-0000-00007DB00000}"/>
    <cellStyle name="输入 2 12 6 8 3 2" xfId="45134" xr:uid="{00000000-0005-0000-0000-00007EB00000}"/>
    <cellStyle name="输入 2 12 6 8 4" xfId="45136" xr:uid="{00000000-0005-0000-0000-000080B00000}"/>
    <cellStyle name="输入 2 12 6 8 4 2" xfId="45137" xr:uid="{00000000-0005-0000-0000-000081B00000}"/>
    <cellStyle name="输入 2 12 6 8 5" xfId="41698" xr:uid="{00000000-0005-0000-0000-000012A30000}"/>
    <cellStyle name="输入 2 12 6 9" xfId="4386" xr:uid="{00000000-0005-0000-0000-000052110000}"/>
    <cellStyle name="输入 2 12 6 9 2" xfId="35246" xr:uid="{00000000-0005-0000-0000-0000DE890000}"/>
    <cellStyle name="输入 2 12 7" xfId="45138" xr:uid="{00000000-0005-0000-0000-000082B00000}"/>
    <cellStyle name="输入 2 12 7 10" xfId="45140" xr:uid="{00000000-0005-0000-0000-000084B00000}"/>
    <cellStyle name="输入 2 12 7 10 2" xfId="36847" xr:uid="{00000000-0005-0000-0000-00001F900000}"/>
    <cellStyle name="输入 2 12 7 11" xfId="45141" xr:uid="{00000000-0005-0000-0000-000085B00000}"/>
    <cellStyle name="输入 2 12 7 11 2" xfId="37333" xr:uid="{00000000-0005-0000-0000-000005920000}"/>
    <cellStyle name="输入 2 12 7 12" xfId="26126" xr:uid="{00000000-0005-0000-0000-00003E660000}"/>
    <cellStyle name="输入 2 12 7 12 2" xfId="40503" xr:uid="{00000000-0005-0000-0000-0000679E0000}"/>
    <cellStyle name="输入 2 12 7 13" xfId="45142" xr:uid="{00000000-0005-0000-0000-000086B00000}"/>
    <cellStyle name="输入 2 12 7 14" xfId="45143" xr:uid="{00000000-0005-0000-0000-000087B00000}"/>
    <cellStyle name="输入 2 12 7 15" xfId="45144" xr:uid="{00000000-0005-0000-0000-000088B00000}"/>
    <cellStyle name="输入 2 12 7 16" xfId="3355" xr:uid="{00000000-0005-0000-0000-00004B0D0000}"/>
    <cellStyle name="输入 2 12 7 2" xfId="44184" xr:uid="{00000000-0005-0000-0000-0000C8AC0000}"/>
    <cellStyle name="输入 2 12 7 2 2" xfId="44186" xr:uid="{00000000-0005-0000-0000-0000CAAC0000}"/>
    <cellStyle name="输入 2 12 7 2 2 2" xfId="45145" xr:uid="{00000000-0005-0000-0000-000089B00000}"/>
    <cellStyle name="输入 2 12 7 2 3" xfId="6885" xr:uid="{00000000-0005-0000-0000-0000151B0000}"/>
    <cellStyle name="输入 2 12 7 2 3 2" xfId="45146" xr:uid="{00000000-0005-0000-0000-00008AB00000}"/>
    <cellStyle name="输入 2 12 7 2 4" xfId="45147" xr:uid="{00000000-0005-0000-0000-00008BB00000}"/>
    <cellStyle name="输入 2 12 7 2 4 2" xfId="42472" xr:uid="{00000000-0005-0000-0000-000018A60000}"/>
    <cellStyle name="输入 2 12 7 2 5" xfId="45148" xr:uid="{00000000-0005-0000-0000-00008CB00000}"/>
    <cellStyle name="输入 2 12 7 2 5 2" xfId="45149" xr:uid="{00000000-0005-0000-0000-00008DB00000}"/>
    <cellStyle name="输入 2 12 7 2 6" xfId="45150" xr:uid="{00000000-0005-0000-0000-00008EB00000}"/>
    <cellStyle name="输入 2 12 7 2 7" xfId="45151" xr:uid="{00000000-0005-0000-0000-00008FB00000}"/>
    <cellStyle name="输入 2 12 7 2 8" xfId="45152" xr:uid="{00000000-0005-0000-0000-000090B00000}"/>
    <cellStyle name="输入 2 12 7 2 9" xfId="45153" xr:uid="{00000000-0005-0000-0000-000091B00000}"/>
    <cellStyle name="输入 2 12 7 3" xfId="44188" xr:uid="{00000000-0005-0000-0000-0000CCAC0000}"/>
    <cellStyle name="输入 2 12 7 3 2" xfId="45154" xr:uid="{00000000-0005-0000-0000-000092B00000}"/>
    <cellStyle name="输入 2 12 7 3 2 2" xfId="45155" xr:uid="{00000000-0005-0000-0000-000093B00000}"/>
    <cellStyle name="输入 2 12 7 3 3" xfId="45156" xr:uid="{00000000-0005-0000-0000-000094B00000}"/>
    <cellStyle name="输入 2 12 7 3 3 2" xfId="45158" xr:uid="{00000000-0005-0000-0000-000096B00000}"/>
    <cellStyle name="输入 2 12 7 3 4" xfId="45159" xr:uid="{00000000-0005-0000-0000-000097B00000}"/>
    <cellStyle name="输入 2 12 7 3 4 2" xfId="42539" xr:uid="{00000000-0005-0000-0000-00005BA60000}"/>
    <cellStyle name="输入 2 12 7 3 5" xfId="45160" xr:uid="{00000000-0005-0000-0000-000098B00000}"/>
    <cellStyle name="输入 2 12 7 3 5 2" xfId="45161" xr:uid="{00000000-0005-0000-0000-000099B00000}"/>
    <cellStyle name="输入 2 12 7 3 6" xfId="45162" xr:uid="{00000000-0005-0000-0000-00009AB00000}"/>
    <cellStyle name="输入 2 12 7 4" xfId="29601" xr:uid="{00000000-0005-0000-0000-0000D1730000}"/>
    <cellStyle name="输入 2 12 7 4 2" xfId="45163" xr:uid="{00000000-0005-0000-0000-00009BB00000}"/>
    <cellStyle name="输入 2 12 7 4 2 2" xfId="45164" xr:uid="{00000000-0005-0000-0000-00009CB00000}"/>
    <cellStyle name="输入 2 12 7 4 3" xfId="45165" xr:uid="{00000000-0005-0000-0000-00009DB00000}"/>
    <cellStyle name="输入 2 12 7 4 3 2" xfId="45167" xr:uid="{00000000-0005-0000-0000-00009FB00000}"/>
    <cellStyle name="输入 2 12 7 4 4" xfId="45168" xr:uid="{00000000-0005-0000-0000-0000A0B00000}"/>
    <cellStyle name="输入 2 12 7 4 4 2" xfId="42587" xr:uid="{00000000-0005-0000-0000-00008BA60000}"/>
    <cellStyle name="输入 2 12 7 4 5" xfId="45169" xr:uid="{00000000-0005-0000-0000-0000A1B00000}"/>
    <cellStyle name="输入 2 12 7 4 5 2" xfId="45170" xr:uid="{00000000-0005-0000-0000-0000A2B00000}"/>
    <cellStyle name="输入 2 12 7 4 6" xfId="20709" xr:uid="{00000000-0005-0000-0000-000015510000}"/>
    <cellStyle name="输入 2 12 7 5" xfId="14471" xr:uid="{00000000-0005-0000-0000-0000B7380000}"/>
    <cellStyle name="输入 2 12 7 5 2" xfId="45171" xr:uid="{00000000-0005-0000-0000-0000A3B00000}"/>
    <cellStyle name="输入 2 12 7 5 2 2" xfId="4682" xr:uid="{00000000-0005-0000-0000-00007A120000}"/>
    <cellStyle name="输入 2 12 7 5 3" xfId="45172" xr:uid="{00000000-0005-0000-0000-0000A4B00000}"/>
    <cellStyle name="输入 2 12 7 5 3 2" xfId="12862" xr:uid="{00000000-0005-0000-0000-00006E320000}"/>
    <cellStyle name="输入 2 12 7 5 4" xfId="45174" xr:uid="{00000000-0005-0000-0000-0000A6B00000}"/>
    <cellStyle name="输入 2 12 7 5 4 2" xfId="11550" xr:uid="{00000000-0005-0000-0000-00004E2D0000}"/>
    <cellStyle name="输入 2 12 7 5 5" xfId="45175" xr:uid="{00000000-0005-0000-0000-0000A7B00000}"/>
    <cellStyle name="输入 2 12 7 5 5 2" xfId="45176" xr:uid="{00000000-0005-0000-0000-0000A8B00000}"/>
    <cellStyle name="输入 2 12 7 5 6" xfId="13187" xr:uid="{00000000-0005-0000-0000-0000B3330000}"/>
    <cellStyle name="输入 2 12 7 6" xfId="45177" xr:uid="{00000000-0005-0000-0000-0000A9B00000}"/>
    <cellStyle name="输入 2 12 7 6 2" xfId="45178" xr:uid="{00000000-0005-0000-0000-0000AAB00000}"/>
    <cellStyle name="输入 2 12 7 6 2 2" xfId="45179" xr:uid="{00000000-0005-0000-0000-0000ABB00000}"/>
    <cellStyle name="输入 2 12 7 6 3" xfId="45181" xr:uid="{00000000-0005-0000-0000-0000ADB00000}"/>
    <cellStyle name="输入 2 12 7 6 3 2" xfId="45183" xr:uid="{00000000-0005-0000-0000-0000AFB00000}"/>
    <cellStyle name="输入 2 12 7 6 4" xfId="45185" xr:uid="{00000000-0005-0000-0000-0000B1B00000}"/>
    <cellStyle name="输入 2 12 7 6 4 2" xfId="45186" xr:uid="{00000000-0005-0000-0000-0000B2B00000}"/>
    <cellStyle name="输入 2 12 7 6 5" xfId="41702" xr:uid="{00000000-0005-0000-0000-000016A30000}"/>
    <cellStyle name="输入 2 12 7 6 5 2" xfId="45187" xr:uid="{00000000-0005-0000-0000-0000B3B00000}"/>
    <cellStyle name="输入 2 12 7 6 6" xfId="14480" xr:uid="{00000000-0005-0000-0000-0000C0380000}"/>
    <cellStyle name="输入 2 12 7 7" xfId="45188" xr:uid="{00000000-0005-0000-0000-0000B4B00000}"/>
    <cellStyle name="输入 2 12 7 7 2" xfId="45189" xr:uid="{00000000-0005-0000-0000-0000B5B00000}"/>
    <cellStyle name="输入 2 12 7 7 2 2" xfId="45190" xr:uid="{00000000-0005-0000-0000-0000B6B00000}"/>
    <cellStyle name="输入 2 12 7 7 3" xfId="45192" xr:uid="{00000000-0005-0000-0000-0000B8B00000}"/>
    <cellStyle name="输入 2 12 7 7 3 2" xfId="45193" xr:uid="{00000000-0005-0000-0000-0000B9B00000}"/>
    <cellStyle name="输入 2 12 7 7 4" xfId="45195" xr:uid="{00000000-0005-0000-0000-0000BBB00000}"/>
    <cellStyle name="输入 2 12 7 7 4 2" xfId="45196" xr:uid="{00000000-0005-0000-0000-0000BCB00000}"/>
    <cellStyle name="输入 2 12 7 7 5" xfId="41704" xr:uid="{00000000-0005-0000-0000-000018A30000}"/>
    <cellStyle name="输入 2 12 7 7 5 2" xfId="45197" xr:uid="{00000000-0005-0000-0000-0000BDB00000}"/>
    <cellStyle name="输入 2 12 7 7 6" xfId="45198" xr:uid="{00000000-0005-0000-0000-0000BEB00000}"/>
    <cellStyle name="输入 2 12 7 8" xfId="45199" xr:uid="{00000000-0005-0000-0000-0000BFB00000}"/>
    <cellStyle name="输入 2 12 7 8 2" xfId="45201" xr:uid="{00000000-0005-0000-0000-0000C1B00000}"/>
    <cellStyle name="输入 2 12 7 8 2 2" xfId="45202" xr:uid="{00000000-0005-0000-0000-0000C2B00000}"/>
    <cellStyle name="输入 2 12 7 8 3" xfId="45203" xr:uid="{00000000-0005-0000-0000-0000C3B00000}"/>
    <cellStyle name="输入 2 12 7 8 3 2" xfId="45204" xr:uid="{00000000-0005-0000-0000-0000C4B00000}"/>
    <cellStyle name="输入 2 12 7 8 4" xfId="45206" xr:uid="{00000000-0005-0000-0000-0000C6B00000}"/>
    <cellStyle name="输入 2 12 7 8 4 2" xfId="45207" xr:uid="{00000000-0005-0000-0000-0000C7B00000}"/>
    <cellStyle name="输入 2 12 7 8 5" xfId="41707" xr:uid="{00000000-0005-0000-0000-00001BA30000}"/>
    <cellStyle name="输入 2 12 7 9" xfId="45208" xr:uid="{00000000-0005-0000-0000-0000C8B00000}"/>
    <cellStyle name="输入 2 12 7 9 2" xfId="35310" xr:uid="{00000000-0005-0000-0000-00001E8A0000}"/>
    <cellStyle name="输入 2 12 8" xfId="45209" xr:uid="{00000000-0005-0000-0000-0000C9B00000}"/>
    <cellStyle name="输入 2 12 8 10" xfId="40857" xr:uid="{00000000-0005-0000-0000-0000C99F0000}"/>
    <cellStyle name="输入 2 12 8 10 2" xfId="31042" xr:uid="{00000000-0005-0000-0000-000072790000}"/>
    <cellStyle name="输入 2 12 8 11" xfId="40859" xr:uid="{00000000-0005-0000-0000-0000CB9F0000}"/>
    <cellStyle name="输入 2 12 8 11 2" xfId="31061" xr:uid="{00000000-0005-0000-0000-000085790000}"/>
    <cellStyle name="输入 2 12 8 12" xfId="40249" xr:uid="{00000000-0005-0000-0000-0000699D0000}"/>
    <cellStyle name="输入 2 12 8 12 2" xfId="31080" xr:uid="{00000000-0005-0000-0000-000098790000}"/>
    <cellStyle name="输入 2 12 8 13" xfId="22711" xr:uid="{00000000-0005-0000-0000-0000E7580000}"/>
    <cellStyle name="输入 2 12 8 14" xfId="45210" xr:uid="{00000000-0005-0000-0000-0000CAB00000}"/>
    <cellStyle name="输入 2 12 8 15" xfId="45211" xr:uid="{00000000-0005-0000-0000-0000CBB00000}"/>
    <cellStyle name="输入 2 12 8 16" xfId="45212" xr:uid="{00000000-0005-0000-0000-0000CCB00000}"/>
    <cellStyle name="输入 2 12 8 2" xfId="45214" xr:uid="{00000000-0005-0000-0000-0000CEB00000}"/>
    <cellStyle name="输入 2 12 8 2 2" xfId="45215" xr:uid="{00000000-0005-0000-0000-0000CFB00000}"/>
    <cellStyle name="输入 2 12 8 2 2 2" xfId="45216" xr:uid="{00000000-0005-0000-0000-0000D0B00000}"/>
    <cellStyle name="输入 2 12 8 2 3" xfId="8223" xr:uid="{00000000-0005-0000-0000-00004F200000}"/>
    <cellStyle name="输入 2 12 8 2 3 2" xfId="44522" xr:uid="{00000000-0005-0000-0000-00001AAE0000}"/>
    <cellStyle name="输入 2 12 8 2 4" xfId="45217" xr:uid="{00000000-0005-0000-0000-0000D1B00000}"/>
    <cellStyle name="输入 2 12 8 2 4 2" xfId="43095" xr:uid="{00000000-0005-0000-0000-000087A80000}"/>
    <cellStyle name="输入 2 12 8 2 5" xfId="45218" xr:uid="{00000000-0005-0000-0000-0000D2B00000}"/>
    <cellStyle name="输入 2 12 8 2 5 2" xfId="45219" xr:uid="{00000000-0005-0000-0000-0000D3B00000}"/>
    <cellStyle name="输入 2 12 8 2 6" xfId="45220" xr:uid="{00000000-0005-0000-0000-0000D4B00000}"/>
    <cellStyle name="输入 2 12 8 2 7" xfId="45221" xr:uid="{00000000-0005-0000-0000-0000D5B00000}"/>
    <cellStyle name="输入 2 12 8 2 8" xfId="45222" xr:uid="{00000000-0005-0000-0000-0000D6B00000}"/>
    <cellStyle name="输入 2 12 8 2 9" xfId="45223" xr:uid="{00000000-0005-0000-0000-0000D7B00000}"/>
    <cellStyle name="输入 2 12 8 3" xfId="45225" xr:uid="{00000000-0005-0000-0000-0000D9B00000}"/>
    <cellStyle name="输入 2 12 8 3 2" xfId="45226" xr:uid="{00000000-0005-0000-0000-0000DAB00000}"/>
    <cellStyle name="输入 2 12 8 3 2 2" xfId="45227" xr:uid="{00000000-0005-0000-0000-0000DBB00000}"/>
    <cellStyle name="输入 2 12 8 3 3" xfId="45228" xr:uid="{00000000-0005-0000-0000-0000DCB00000}"/>
    <cellStyle name="输入 2 12 8 3 3 2" xfId="45230" xr:uid="{00000000-0005-0000-0000-0000DEB00000}"/>
    <cellStyle name="输入 2 12 8 3 4" xfId="45231" xr:uid="{00000000-0005-0000-0000-0000DFB00000}"/>
    <cellStyle name="输入 2 12 8 3 4 2" xfId="43145" xr:uid="{00000000-0005-0000-0000-0000B9A80000}"/>
    <cellStyle name="输入 2 12 8 3 5" xfId="45232" xr:uid="{00000000-0005-0000-0000-0000E0B00000}"/>
    <cellStyle name="输入 2 12 8 3 5 2" xfId="45233" xr:uid="{00000000-0005-0000-0000-0000E1B00000}"/>
    <cellStyle name="输入 2 12 8 3 6" xfId="45234" xr:uid="{00000000-0005-0000-0000-0000E2B00000}"/>
    <cellStyle name="输入 2 12 8 4" xfId="29606" xr:uid="{00000000-0005-0000-0000-0000D6730000}"/>
    <cellStyle name="输入 2 12 8 4 2" xfId="45235" xr:uid="{00000000-0005-0000-0000-0000E3B00000}"/>
    <cellStyle name="输入 2 12 8 4 2 2" xfId="2142" xr:uid="{00000000-0005-0000-0000-00008E080000}"/>
    <cellStyle name="输入 2 12 8 4 3" xfId="45236" xr:uid="{00000000-0005-0000-0000-0000E4B00000}"/>
    <cellStyle name="输入 2 12 8 4 3 2" xfId="23664" xr:uid="{00000000-0005-0000-0000-0000A05C0000}"/>
    <cellStyle name="输入 2 12 8 4 4" xfId="45238" xr:uid="{00000000-0005-0000-0000-0000E6B00000}"/>
    <cellStyle name="输入 2 12 8 4 4 2" xfId="23674" xr:uid="{00000000-0005-0000-0000-0000AA5C0000}"/>
    <cellStyle name="输入 2 12 8 4 5" xfId="45239" xr:uid="{00000000-0005-0000-0000-0000E7B00000}"/>
    <cellStyle name="输入 2 12 8 4 5 2" xfId="23680" xr:uid="{00000000-0005-0000-0000-0000B05C0000}"/>
    <cellStyle name="输入 2 12 8 4 6" xfId="45240" xr:uid="{00000000-0005-0000-0000-0000E8B00000}"/>
    <cellStyle name="输入 2 12 8 5" xfId="32745" xr:uid="{00000000-0005-0000-0000-000019800000}"/>
    <cellStyle name="输入 2 12 8 5 2" xfId="45241" xr:uid="{00000000-0005-0000-0000-0000E9B00000}"/>
    <cellStyle name="输入 2 12 8 5 2 2" xfId="8129" xr:uid="{00000000-0005-0000-0000-0000F11F0000}"/>
    <cellStyle name="输入 2 12 8 5 3" xfId="45242" xr:uid="{00000000-0005-0000-0000-0000EAB00000}"/>
    <cellStyle name="输入 2 12 8 5 3 2" xfId="11902" xr:uid="{00000000-0005-0000-0000-0000AE2E0000}"/>
    <cellStyle name="输入 2 12 8 5 4" xfId="45244" xr:uid="{00000000-0005-0000-0000-0000ECB00000}"/>
    <cellStyle name="输入 2 12 8 5 4 2" xfId="12127" xr:uid="{00000000-0005-0000-0000-00008F2F0000}"/>
    <cellStyle name="输入 2 12 8 5 5" xfId="45245" xr:uid="{00000000-0005-0000-0000-0000EDB00000}"/>
    <cellStyle name="输入 2 12 8 5 5 2" xfId="12364" xr:uid="{00000000-0005-0000-0000-00007C300000}"/>
    <cellStyle name="输入 2 12 8 5 6" xfId="45246" xr:uid="{00000000-0005-0000-0000-0000EEB00000}"/>
    <cellStyle name="输入 2 12 8 6" xfId="45247" xr:uid="{00000000-0005-0000-0000-0000EFB00000}"/>
    <cellStyle name="输入 2 12 8 6 2" xfId="45248" xr:uid="{00000000-0005-0000-0000-0000F0B00000}"/>
    <cellStyle name="输入 2 12 8 6 2 2" xfId="45249" xr:uid="{00000000-0005-0000-0000-0000F1B00000}"/>
    <cellStyle name="输入 2 12 8 6 3" xfId="45250" xr:uid="{00000000-0005-0000-0000-0000F2B00000}"/>
    <cellStyle name="输入 2 12 8 6 3 2" xfId="45251" xr:uid="{00000000-0005-0000-0000-0000F3B00000}"/>
    <cellStyle name="输入 2 12 8 6 4" xfId="45252" xr:uid="{00000000-0005-0000-0000-0000F4B00000}"/>
    <cellStyle name="输入 2 12 8 6 4 2" xfId="45253" xr:uid="{00000000-0005-0000-0000-0000F5B00000}"/>
    <cellStyle name="输入 2 12 8 6 5" xfId="41711" xr:uid="{00000000-0005-0000-0000-00001FA30000}"/>
    <cellStyle name="输入 2 12 8 6 5 2" xfId="45254" xr:uid="{00000000-0005-0000-0000-0000F6B00000}"/>
    <cellStyle name="输入 2 12 8 6 6" xfId="45255" xr:uid="{00000000-0005-0000-0000-0000F7B00000}"/>
    <cellStyle name="输入 2 12 8 7" xfId="45256" xr:uid="{00000000-0005-0000-0000-0000F8B00000}"/>
    <cellStyle name="输入 2 12 8 7 2" xfId="45257" xr:uid="{00000000-0005-0000-0000-0000F9B00000}"/>
    <cellStyle name="输入 2 12 8 7 2 2" xfId="45258" xr:uid="{00000000-0005-0000-0000-0000FAB00000}"/>
    <cellStyle name="输入 2 12 8 7 3" xfId="45259" xr:uid="{00000000-0005-0000-0000-0000FBB00000}"/>
    <cellStyle name="输入 2 12 8 7 3 2" xfId="45087" xr:uid="{00000000-0005-0000-0000-00004FB00000}"/>
    <cellStyle name="输入 2 12 8 7 4" xfId="45260" xr:uid="{00000000-0005-0000-0000-0000FCB00000}"/>
    <cellStyle name="输入 2 12 8 7 4 2" xfId="45261" xr:uid="{00000000-0005-0000-0000-0000FDB00000}"/>
    <cellStyle name="输入 2 12 8 7 5" xfId="41714" xr:uid="{00000000-0005-0000-0000-000022A30000}"/>
    <cellStyle name="输入 2 12 8 7 5 2" xfId="45262" xr:uid="{00000000-0005-0000-0000-0000FEB00000}"/>
    <cellStyle name="输入 2 12 8 7 6" xfId="45263" xr:uid="{00000000-0005-0000-0000-0000FFB00000}"/>
    <cellStyle name="输入 2 12 8 8" xfId="45264" xr:uid="{00000000-0005-0000-0000-000000B10000}"/>
    <cellStyle name="输入 2 12 8 8 2" xfId="45265" xr:uid="{00000000-0005-0000-0000-000001B10000}"/>
    <cellStyle name="输入 2 12 8 8 2 2" xfId="45266" xr:uid="{00000000-0005-0000-0000-000002B10000}"/>
    <cellStyle name="输入 2 12 8 8 3" xfId="45267" xr:uid="{00000000-0005-0000-0000-000003B10000}"/>
    <cellStyle name="输入 2 12 8 8 3 2" xfId="45268" xr:uid="{00000000-0005-0000-0000-000004B10000}"/>
    <cellStyle name="输入 2 12 8 8 4" xfId="45270" xr:uid="{00000000-0005-0000-0000-000006B10000}"/>
    <cellStyle name="输入 2 12 8 8 4 2" xfId="45271" xr:uid="{00000000-0005-0000-0000-000007B10000}"/>
    <cellStyle name="输入 2 12 8 8 5" xfId="41717" xr:uid="{00000000-0005-0000-0000-000025A30000}"/>
    <cellStyle name="输入 2 12 8 9" xfId="45272" xr:uid="{00000000-0005-0000-0000-000008B10000}"/>
    <cellStyle name="输入 2 12 8 9 2" xfId="35360" xr:uid="{00000000-0005-0000-0000-0000508A0000}"/>
    <cellStyle name="输入 2 12 9" xfId="20377" xr:uid="{00000000-0005-0000-0000-0000C94F0000}"/>
    <cellStyle name="输入 2 12 9 10" xfId="45273" xr:uid="{00000000-0005-0000-0000-000009B10000}"/>
    <cellStyle name="输入 2 12 9 10 2" xfId="45276" xr:uid="{00000000-0005-0000-0000-00000CB10000}"/>
    <cellStyle name="输入 2 12 9 11" xfId="45277" xr:uid="{00000000-0005-0000-0000-00000DB10000}"/>
    <cellStyle name="输入 2 12 9 11 2" xfId="45278" xr:uid="{00000000-0005-0000-0000-00000EB10000}"/>
    <cellStyle name="输入 2 12 9 12" xfId="45279" xr:uid="{00000000-0005-0000-0000-00000FB10000}"/>
    <cellStyle name="输入 2 12 9 12 2" xfId="45280" xr:uid="{00000000-0005-0000-0000-000010B10000}"/>
    <cellStyle name="输入 2 12 9 13" xfId="45281" xr:uid="{00000000-0005-0000-0000-000011B10000}"/>
    <cellStyle name="输入 2 12 9 14" xfId="38351" xr:uid="{00000000-0005-0000-0000-0000FF950000}"/>
    <cellStyle name="输入 2 12 9 15" xfId="45282" xr:uid="{00000000-0005-0000-0000-000012B10000}"/>
    <cellStyle name="输入 2 12 9 16" xfId="45283" xr:uid="{00000000-0005-0000-0000-000013B10000}"/>
    <cellStyle name="输入 2 12 9 2" xfId="45285" xr:uid="{00000000-0005-0000-0000-000015B10000}"/>
    <cellStyle name="输入 2 12 9 2 2" xfId="45286" xr:uid="{00000000-0005-0000-0000-000016B10000}"/>
    <cellStyle name="输入 2 12 9 2 2 2" xfId="45287" xr:uid="{00000000-0005-0000-0000-000017B10000}"/>
    <cellStyle name="输入 2 12 9 2 3" xfId="8270" xr:uid="{00000000-0005-0000-0000-00007E200000}"/>
    <cellStyle name="输入 2 12 9 2 3 2" xfId="45288" xr:uid="{00000000-0005-0000-0000-000018B10000}"/>
    <cellStyle name="输入 2 12 9 2 4" xfId="45289" xr:uid="{00000000-0005-0000-0000-000019B10000}"/>
    <cellStyle name="输入 2 12 9 2 4 2" xfId="45292" xr:uid="{00000000-0005-0000-0000-00001CB10000}"/>
    <cellStyle name="输入 2 12 9 2 5" xfId="45294" xr:uid="{00000000-0005-0000-0000-00001EB10000}"/>
    <cellStyle name="输入 2 12 9 2 5 2" xfId="45296" xr:uid="{00000000-0005-0000-0000-000020B10000}"/>
    <cellStyle name="输入 2 12 9 2 6" xfId="45298" xr:uid="{00000000-0005-0000-0000-000022B10000}"/>
    <cellStyle name="输入 2 12 9 3" xfId="45300" xr:uid="{00000000-0005-0000-0000-000024B10000}"/>
    <cellStyle name="输入 2 12 9 3 2" xfId="45301" xr:uid="{00000000-0005-0000-0000-000025B10000}"/>
    <cellStyle name="输入 2 12 9 3 2 2" xfId="45302" xr:uid="{00000000-0005-0000-0000-000026B10000}"/>
    <cellStyle name="输入 2 12 9 3 3" xfId="45303" xr:uid="{00000000-0005-0000-0000-000027B10000}"/>
    <cellStyle name="输入 2 12 9 3 3 2" xfId="45304" xr:uid="{00000000-0005-0000-0000-000028B10000}"/>
    <cellStyle name="输入 2 12 9 3 4" xfId="45305" xr:uid="{00000000-0005-0000-0000-000029B10000}"/>
    <cellStyle name="输入 2 12 9 3 4 2" xfId="45307" xr:uid="{00000000-0005-0000-0000-00002BB10000}"/>
    <cellStyle name="输入 2 12 9 3 5" xfId="45309" xr:uid="{00000000-0005-0000-0000-00002DB10000}"/>
    <cellStyle name="输入 2 12 9 3 5 2" xfId="45311" xr:uid="{00000000-0005-0000-0000-00002FB10000}"/>
    <cellStyle name="输入 2 12 9 3 6" xfId="45314" xr:uid="{00000000-0005-0000-0000-000032B10000}"/>
    <cellStyle name="输入 2 12 9 4" xfId="29611" xr:uid="{00000000-0005-0000-0000-0000DB730000}"/>
    <cellStyle name="输入 2 12 9 4 2" xfId="45316" xr:uid="{00000000-0005-0000-0000-000034B10000}"/>
    <cellStyle name="输入 2 12 9 4 2 2" xfId="45317" xr:uid="{00000000-0005-0000-0000-000035B10000}"/>
    <cellStyle name="输入 2 12 9 4 3" xfId="45318" xr:uid="{00000000-0005-0000-0000-000036B10000}"/>
    <cellStyle name="输入 2 12 9 4 3 2" xfId="45319" xr:uid="{00000000-0005-0000-0000-000037B10000}"/>
    <cellStyle name="输入 2 12 9 4 4" xfId="45320" xr:uid="{00000000-0005-0000-0000-000038B10000}"/>
    <cellStyle name="输入 2 12 9 4 4 2" xfId="45322" xr:uid="{00000000-0005-0000-0000-00003AB10000}"/>
    <cellStyle name="输入 2 12 9 4 5" xfId="45323" xr:uid="{00000000-0005-0000-0000-00003BB10000}"/>
    <cellStyle name="输入 2 12 9 4 5 2" xfId="45324" xr:uid="{00000000-0005-0000-0000-00003CB10000}"/>
    <cellStyle name="输入 2 12 9 4 6" xfId="45325" xr:uid="{00000000-0005-0000-0000-00003DB10000}"/>
    <cellStyle name="输入 2 12 9 5" xfId="32759" xr:uid="{00000000-0005-0000-0000-000027800000}"/>
    <cellStyle name="输入 2 12 9 5 2" xfId="45326" xr:uid="{00000000-0005-0000-0000-00003EB10000}"/>
    <cellStyle name="输入 2 12 9 5 2 2" xfId="34752" xr:uid="{00000000-0005-0000-0000-0000F0870000}"/>
    <cellStyle name="输入 2 12 9 5 3" xfId="45327" xr:uid="{00000000-0005-0000-0000-00003FB10000}"/>
    <cellStyle name="输入 2 12 9 5 3 2" xfId="45328" xr:uid="{00000000-0005-0000-0000-000040B10000}"/>
    <cellStyle name="输入 2 12 9 5 4" xfId="45329" xr:uid="{00000000-0005-0000-0000-000041B10000}"/>
    <cellStyle name="输入 2 12 9 5 4 2" xfId="45331" xr:uid="{00000000-0005-0000-0000-000043B10000}"/>
    <cellStyle name="输入 2 12 9 5 5" xfId="45332" xr:uid="{00000000-0005-0000-0000-000044B10000}"/>
    <cellStyle name="输入 2 12 9 5 5 2" xfId="45333" xr:uid="{00000000-0005-0000-0000-000045B10000}"/>
    <cellStyle name="输入 2 12 9 5 6" xfId="45334" xr:uid="{00000000-0005-0000-0000-000046B10000}"/>
    <cellStyle name="输入 2 12 9 6" xfId="45335" xr:uid="{00000000-0005-0000-0000-000047B10000}"/>
    <cellStyle name="输入 2 12 9 6 2" xfId="45336" xr:uid="{00000000-0005-0000-0000-000048B10000}"/>
    <cellStyle name="输入 2 12 9 6 2 2" xfId="36511" xr:uid="{00000000-0005-0000-0000-0000CF8E0000}"/>
    <cellStyle name="输入 2 12 9 6 3" xfId="45337" xr:uid="{00000000-0005-0000-0000-000049B10000}"/>
    <cellStyle name="输入 2 12 9 6 3 2" xfId="45338" xr:uid="{00000000-0005-0000-0000-00004AB10000}"/>
    <cellStyle name="输入 2 12 9 6 4" xfId="45339" xr:uid="{00000000-0005-0000-0000-00004BB10000}"/>
    <cellStyle name="输入 2 12 9 6 4 2" xfId="45340" xr:uid="{00000000-0005-0000-0000-00004CB10000}"/>
    <cellStyle name="输入 2 12 9 6 5" xfId="41721" xr:uid="{00000000-0005-0000-0000-000029A30000}"/>
    <cellStyle name="输入 2 12 9 6 5 2" xfId="45341" xr:uid="{00000000-0005-0000-0000-00004DB10000}"/>
    <cellStyle name="输入 2 12 9 6 6" xfId="45342" xr:uid="{00000000-0005-0000-0000-00004EB10000}"/>
    <cellStyle name="输入 2 12 9 7" xfId="45343" xr:uid="{00000000-0005-0000-0000-00004FB10000}"/>
    <cellStyle name="输入 2 12 9 7 2" xfId="45344" xr:uid="{00000000-0005-0000-0000-000050B10000}"/>
    <cellStyle name="输入 2 12 9 7 2 2" xfId="45345" xr:uid="{00000000-0005-0000-0000-000051B10000}"/>
    <cellStyle name="输入 2 12 9 7 3" xfId="45346" xr:uid="{00000000-0005-0000-0000-000052B10000}"/>
    <cellStyle name="输入 2 12 9 7 3 2" xfId="45347" xr:uid="{00000000-0005-0000-0000-000053B10000}"/>
    <cellStyle name="输入 2 12 9 7 4" xfId="45348" xr:uid="{00000000-0005-0000-0000-000054B10000}"/>
    <cellStyle name="输入 2 12 9 7 4 2" xfId="45349" xr:uid="{00000000-0005-0000-0000-000055B10000}"/>
    <cellStyle name="输入 2 12 9 7 5" xfId="41724" xr:uid="{00000000-0005-0000-0000-00002CA30000}"/>
    <cellStyle name="输入 2 12 9 7 5 2" xfId="45350" xr:uid="{00000000-0005-0000-0000-000056B10000}"/>
    <cellStyle name="输入 2 12 9 7 6" xfId="45351" xr:uid="{00000000-0005-0000-0000-000057B10000}"/>
    <cellStyle name="输入 2 12 9 8" xfId="45352" xr:uid="{00000000-0005-0000-0000-000058B10000}"/>
    <cellStyle name="输入 2 12 9 8 2" xfId="45353" xr:uid="{00000000-0005-0000-0000-000059B10000}"/>
    <cellStyle name="输入 2 12 9 8 2 2" xfId="45354" xr:uid="{00000000-0005-0000-0000-00005AB10000}"/>
    <cellStyle name="输入 2 12 9 8 3" xfId="45355" xr:uid="{00000000-0005-0000-0000-00005BB10000}"/>
    <cellStyle name="输入 2 12 9 8 3 2" xfId="45356" xr:uid="{00000000-0005-0000-0000-00005CB10000}"/>
    <cellStyle name="输入 2 12 9 8 4" xfId="45358" xr:uid="{00000000-0005-0000-0000-00005EB10000}"/>
    <cellStyle name="输入 2 12 9 8 4 2" xfId="45359" xr:uid="{00000000-0005-0000-0000-00005FB10000}"/>
    <cellStyle name="输入 2 12 9 8 5" xfId="41727" xr:uid="{00000000-0005-0000-0000-00002FA30000}"/>
    <cellStyle name="输入 2 12 9 9" xfId="45360" xr:uid="{00000000-0005-0000-0000-000060B10000}"/>
    <cellStyle name="输入 2 12 9 9 2" xfId="35429" xr:uid="{00000000-0005-0000-0000-0000958A0000}"/>
    <cellStyle name="输入 2 13" xfId="45361" xr:uid="{00000000-0005-0000-0000-000061B10000}"/>
    <cellStyle name="输入 2 13 10" xfId="45363" xr:uid="{00000000-0005-0000-0000-000063B10000}"/>
    <cellStyle name="输入 2 13 10 2" xfId="403" xr:uid="{00000000-0005-0000-0000-0000B9010000}"/>
    <cellStyle name="输入 2 13 11" xfId="45364" xr:uid="{00000000-0005-0000-0000-000064B10000}"/>
    <cellStyle name="输入 2 13 11 2" xfId="2468" xr:uid="{00000000-0005-0000-0000-0000D4090000}"/>
    <cellStyle name="输入 2 13 12" xfId="45365" xr:uid="{00000000-0005-0000-0000-000065B10000}"/>
    <cellStyle name="输入 2 13 12 2" xfId="1774" xr:uid="{00000000-0005-0000-0000-00001E070000}"/>
    <cellStyle name="输入 2 13 13" xfId="41508" xr:uid="{00000000-0005-0000-0000-000054A20000}"/>
    <cellStyle name="输入 2 13 14" xfId="45366" xr:uid="{00000000-0005-0000-0000-000066B10000}"/>
    <cellStyle name="输入 2 13 15" xfId="45367" xr:uid="{00000000-0005-0000-0000-000067B10000}"/>
    <cellStyle name="输入 2 13 16" xfId="45368" xr:uid="{00000000-0005-0000-0000-000068B10000}"/>
    <cellStyle name="输入 2 13 2" xfId="45369" xr:uid="{00000000-0005-0000-0000-000069B10000}"/>
    <cellStyle name="输入 2 13 2 2" xfId="29427" xr:uid="{00000000-0005-0000-0000-000023730000}"/>
    <cellStyle name="输入 2 13 2 2 2" xfId="29430" xr:uid="{00000000-0005-0000-0000-000026730000}"/>
    <cellStyle name="输入 2 13 2 3" xfId="29443" xr:uid="{00000000-0005-0000-0000-000033730000}"/>
    <cellStyle name="输入 2 13 2 3 2" xfId="29446" xr:uid="{00000000-0005-0000-0000-000036730000}"/>
    <cellStyle name="输入 2 13 2 4" xfId="29454" xr:uid="{00000000-0005-0000-0000-00003E730000}"/>
    <cellStyle name="输入 2 13 2 4 2" xfId="29457" xr:uid="{00000000-0005-0000-0000-000041730000}"/>
    <cellStyle name="输入 2 13 2 5" xfId="29464" xr:uid="{00000000-0005-0000-0000-000048730000}"/>
    <cellStyle name="输入 2 13 2 5 2" xfId="29466" xr:uid="{00000000-0005-0000-0000-00004A730000}"/>
    <cellStyle name="输入 2 13 2 6" xfId="29474" xr:uid="{00000000-0005-0000-0000-000052730000}"/>
    <cellStyle name="输入 2 13 3" xfId="45372" xr:uid="{00000000-0005-0000-0000-00006CB10000}"/>
    <cellStyle name="输入 2 13 3 2" xfId="29488" xr:uid="{00000000-0005-0000-0000-000060730000}"/>
    <cellStyle name="输入 2 13 3 2 2" xfId="29492" xr:uid="{00000000-0005-0000-0000-000064730000}"/>
    <cellStyle name="输入 2 13 3 3" xfId="4260" xr:uid="{00000000-0005-0000-0000-0000D4100000}"/>
    <cellStyle name="输入 2 13 3 3 2" xfId="45375" xr:uid="{00000000-0005-0000-0000-00006FB10000}"/>
    <cellStyle name="输入 2 13 3 4" xfId="29498" xr:uid="{00000000-0005-0000-0000-00006A730000}"/>
    <cellStyle name="输入 2 13 3 4 2" xfId="45376" xr:uid="{00000000-0005-0000-0000-000070B10000}"/>
    <cellStyle name="输入 2 13 3 5" xfId="29501" xr:uid="{00000000-0005-0000-0000-00006D730000}"/>
    <cellStyle name="输入 2 13 3 5 2" xfId="45377" xr:uid="{00000000-0005-0000-0000-000071B10000}"/>
    <cellStyle name="输入 2 13 3 6" xfId="29506" xr:uid="{00000000-0005-0000-0000-000072730000}"/>
    <cellStyle name="输入 2 13 4" xfId="45378" xr:uid="{00000000-0005-0000-0000-000072B10000}"/>
    <cellStyle name="输入 2 13 4 2" xfId="29516" xr:uid="{00000000-0005-0000-0000-00007C730000}"/>
    <cellStyle name="输入 2 13 4 2 2" xfId="29520" xr:uid="{00000000-0005-0000-0000-000080730000}"/>
    <cellStyle name="输入 2 13 4 3" xfId="3728" xr:uid="{00000000-0005-0000-0000-0000C00E0000}"/>
    <cellStyle name="输入 2 13 4 3 2" xfId="45380" xr:uid="{00000000-0005-0000-0000-000074B10000}"/>
    <cellStyle name="输入 2 13 4 4" xfId="45382" xr:uid="{00000000-0005-0000-0000-000076B10000}"/>
    <cellStyle name="输入 2 13 4 4 2" xfId="45383" xr:uid="{00000000-0005-0000-0000-000077B10000}"/>
    <cellStyle name="输入 2 13 4 5" xfId="45385" xr:uid="{00000000-0005-0000-0000-000079B10000}"/>
    <cellStyle name="输入 2 13 4 5 2" xfId="45386" xr:uid="{00000000-0005-0000-0000-00007AB10000}"/>
    <cellStyle name="输入 2 13 4 6" xfId="45388" xr:uid="{00000000-0005-0000-0000-00007CB10000}"/>
    <cellStyle name="输入 2 13 5" xfId="45390" xr:uid="{00000000-0005-0000-0000-00007EB10000}"/>
    <cellStyle name="输入 2 13 5 2" xfId="29529" xr:uid="{00000000-0005-0000-0000-000089730000}"/>
    <cellStyle name="输入 2 13 5 2 2" xfId="29532" xr:uid="{00000000-0005-0000-0000-00008C730000}"/>
    <cellStyle name="输入 2 13 5 3" xfId="4078" xr:uid="{00000000-0005-0000-0000-00001E100000}"/>
    <cellStyle name="输入 2 13 5 3 2" xfId="45391" xr:uid="{00000000-0005-0000-0000-00007FB10000}"/>
    <cellStyle name="输入 2 13 5 4" xfId="45392" xr:uid="{00000000-0005-0000-0000-000080B10000}"/>
    <cellStyle name="输入 2 13 5 4 2" xfId="45393" xr:uid="{00000000-0005-0000-0000-000081B10000}"/>
    <cellStyle name="输入 2 13 5 5" xfId="45394" xr:uid="{00000000-0005-0000-0000-000082B10000}"/>
    <cellStyle name="输入 2 13 5 5 2" xfId="45395" xr:uid="{00000000-0005-0000-0000-000083B10000}"/>
    <cellStyle name="输入 2 13 5 6" xfId="45396" xr:uid="{00000000-0005-0000-0000-000084B10000}"/>
    <cellStyle name="输入 2 13 6" xfId="33030" xr:uid="{00000000-0005-0000-0000-000036810000}"/>
    <cellStyle name="输入 2 13 6 2" xfId="29544" xr:uid="{00000000-0005-0000-0000-000098730000}"/>
    <cellStyle name="输入 2 13 6 2 2" xfId="29547" xr:uid="{00000000-0005-0000-0000-00009B730000}"/>
    <cellStyle name="输入 2 13 6 3" xfId="2501" xr:uid="{00000000-0005-0000-0000-0000F5090000}"/>
    <cellStyle name="输入 2 13 6 3 2" xfId="45398" xr:uid="{00000000-0005-0000-0000-000086B10000}"/>
    <cellStyle name="输入 2 13 6 4" xfId="36487" xr:uid="{00000000-0005-0000-0000-0000B78E0000}"/>
    <cellStyle name="输入 2 13 6 4 2" xfId="45399" xr:uid="{00000000-0005-0000-0000-000087B10000}"/>
    <cellStyle name="输入 2 13 6 5" xfId="45400" xr:uid="{00000000-0005-0000-0000-000088B10000}"/>
    <cellStyle name="输入 2 13 6 5 2" xfId="45401" xr:uid="{00000000-0005-0000-0000-000089B10000}"/>
    <cellStyle name="输入 2 13 6 6" xfId="45402" xr:uid="{00000000-0005-0000-0000-00008AB10000}"/>
    <cellStyle name="输入 2 13 7" xfId="45404" xr:uid="{00000000-0005-0000-0000-00008CB10000}"/>
    <cellStyle name="输入 2 13 7 2" xfId="29563" xr:uid="{00000000-0005-0000-0000-0000AB730000}"/>
    <cellStyle name="输入 2 13 7 2 2" xfId="29566" xr:uid="{00000000-0005-0000-0000-0000AE730000}"/>
    <cellStyle name="输入 2 13 7 3" xfId="29568" xr:uid="{00000000-0005-0000-0000-0000B0730000}"/>
    <cellStyle name="输入 2 13 7 3 2" xfId="45405" xr:uid="{00000000-0005-0000-0000-00008DB10000}"/>
    <cellStyle name="输入 2 13 7 4" xfId="29625" xr:uid="{00000000-0005-0000-0000-0000E9730000}"/>
    <cellStyle name="输入 2 13 7 4 2" xfId="45406" xr:uid="{00000000-0005-0000-0000-00008EB10000}"/>
    <cellStyle name="输入 2 13 7 5" xfId="14510" xr:uid="{00000000-0005-0000-0000-0000DE380000}"/>
    <cellStyle name="输入 2 13 7 5 2" xfId="45407" xr:uid="{00000000-0005-0000-0000-00008FB10000}"/>
    <cellStyle name="输入 2 13 7 6" xfId="32819" xr:uid="{00000000-0005-0000-0000-000063800000}"/>
    <cellStyle name="输入 2 13 8" xfId="45408" xr:uid="{00000000-0005-0000-0000-000090B10000}"/>
    <cellStyle name="输入 2 13 8 2" xfId="29585" xr:uid="{00000000-0005-0000-0000-0000C1730000}"/>
    <cellStyle name="输入 2 13 8 2 2" xfId="29589" xr:uid="{00000000-0005-0000-0000-0000C5730000}"/>
    <cellStyle name="输入 2 13 8 3" xfId="29592" xr:uid="{00000000-0005-0000-0000-0000C8730000}"/>
    <cellStyle name="输入 2 13 8 3 2" xfId="45409" xr:uid="{00000000-0005-0000-0000-000091B10000}"/>
    <cellStyle name="输入 2 13 8 4" xfId="29631" xr:uid="{00000000-0005-0000-0000-0000EF730000}"/>
    <cellStyle name="输入 2 13 8 4 2" xfId="45410" xr:uid="{00000000-0005-0000-0000-000092B10000}"/>
    <cellStyle name="输入 2 13 8 5" xfId="32836" xr:uid="{00000000-0005-0000-0000-000074800000}"/>
    <cellStyle name="输入 2 13 9" xfId="31761" xr:uid="{00000000-0005-0000-0000-0000417C0000}"/>
    <cellStyle name="输入 2 13 9 2" xfId="29614" xr:uid="{00000000-0005-0000-0000-0000DE730000}"/>
    <cellStyle name="输入 2 14" xfId="45411" xr:uid="{00000000-0005-0000-0000-000093B10000}"/>
    <cellStyle name="输入 2 14 2" xfId="45413" xr:uid="{00000000-0005-0000-0000-000095B10000}"/>
    <cellStyle name="输入 2 14 2 2" xfId="45416" xr:uid="{00000000-0005-0000-0000-000098B10000}"/>
    <cellStyle name="输入 2 14 3" xfId="45418" xr:uid="{00000000-0005-0000-0000-00009AB10000}"/>
    <cellStyle name="输入 2 14 3 2" xfId="45420" xr:uid="{00000000-0005-0000-0000-00009CB10000}"/>
    <cellStyle name="输入 2 14 4" xfId="45422" xr:uid="{00000000-0005-0000-0000-00009EB10000}"/>
    <cellStyle name="输入 2 14 4 2" xfId="45424" xr:uid="{00000000-0005-0000-0000-0000A0B10000}"/>
    <cellStyle name="输入 2 14 5" xfId="45425" xr:uid="{00000000-0005-0000-0000-0000A1B10000}"/>
    <cellStyle name="输入 2 15" xfId="45426" xr:uid="{00000000-0005-0000-0000-0000A2B10000}"/>
    <cellStyle name="输入 2 15 2" xfId="45429" xr:uid="{00000000-0005-0000-0000-0000A5B10000}"/>
    <cellStyle name="输入 2 16" xfId="45432" xr:uid="{00000000-0005-0000-0000-0000A8B10000}"/>
    <cellStyle name="输入 2 16 2" xfId="45435" xr:uid="{00000000-0005-0000-0000-0000ABB10000}"/>
    <cellStyle name="输入 2 17" xfId="45437" xr:uid="{00000000-0005-0000-0000-0000ADB10000}"/>
    <cellStyle name="输入 2 18" xfId="15875" xr:uid="{00000000-0005-0000-0000-0000333E0000}"/>
    <cellStyle name="输入 2 19" xfId="45438" xr:uid="{00000000-0005-0000-0000-0000AEB10000}"/>
    <cellStyle name="输入 2 2" xfId="45439" xr:uid="{00000000-0005-0000-0000-0000AFB10000}"/>
    <cellStyle name="输入 2 2 10" xfId="45442" xr:uid="{00000000-0005-0000-0000-0000B2B10000}"/>
    <cellStyle name="输入 2 2 10 10" xfId="19539" xr:uid="{00000000-0005-0000-0000-0000834C0000}"/>
    <cellStyle name="输入 2 2 10 10 2" xfId="19543" xr:uid="{00000000-0005-0000-0000-0000874C0000}"/>
    <cellStyle name="输入 2 2 10 11" xfId="19564" xr:uid="{00000000-0005-0000-0000-00009C4C0000}"/>
    <cellStyle name="输入 2 2 10 11 2" xfId="19572" xr:uid="{00000000-0005-0000-0000-0000A44C0000}"/>
    <cellStyle name="输入 2 2 10 12" xfId="19584" xr:uid="{00000000-0005-0000-0000-0000B04C0000}"/>
    <cellStyle name="输入 2 2 10 12 2" xfId="19591" xr:uid="{00000000-0005-0000-0000-0000B74C0000}"/>
    <cellStyle name="输入 2 2 10 13" xfId="13218" xr:uid="{00000000-0005-0000-0000-0000D2330000}"/>
    <cellStyle name="输入 2 2 10 14" xfId="45443" xr:uid="{00000000-0005-0000-0000-0000B3B10000}"/>
    <cellStyle name="输入 2 2 10 15" xfId="45445" xr:uid="{00000000-0005-0000-0000-0000B5B10000}"/>
    <cellStyle name="输入 2 2 10 16" xfId="33227" xr:uid="{00000000-0005-0000-0000-0000FB810000}"/>
    <cellStyle name="输入 2 2 10 2" xfId="45446" xr:uid="{00000000-0005-0000-0000-0000B6B10000}"/>
    <cellStyle name="输入 2 2 10 2 2" xfId="45447" xr:uid="{00000000-0005-0000-0000-0000B7B10000}"/>
    <cellStyle name="输入 2 2 10 2 2 2" xfId="9735" xr:uid="{00000000-0005-0000-0000-000037260000}"/>
    <cellStyle name="输入 2 2 10 2 3" xfId="45448" xr:uid="{00000000-0005-0000-0000-0000B8B10000}"/>
    <cellStyle name="输入 2 2 10 2 3 2" xfId="9790" xr:uid="{00000000-0005-0000-0000-00006E260000}"/>
    <cellStyle name="输入 2 2 10 2 4" xfId="45450" xr:uid="{00000000-0005-0000-0000-0000BAB10000}"/>
    <cellStyle name="输入 2 2 10 2 4 2" xfId="9831" xr:uid="{00000000-0005-0000-0000-000097260000}"/>
    <cellStyle name="输入 2 2 10 2 5" xfId="45451" xr:uid="{00000000-0005-0000-0000-0000BBB10000}"/>
    <cellStyle name="输入 2 2 10 2 5 2" xfId="25450" xr:uid="{00000000-0005-0000-0000-00009A630000}"/>
    <cellStyle name="输入 2 2 10 2 6" xfId="37256" xr:uid="{00000000-0005-0000-0000-0000B8910000}"/>
    <cellStyle name="输入 2 2 10 2 7" xfId="45452" xr:uid="{00000000-0005-0000-0000-0000BCB10000}"/>
    <cellStyle name="输入 2 2 10 2 8" xfId="45453" xr:uid="{00000000-0005-0000-0000-0000BDB10000}"/>
    <cellStyle name="输入 2 2 10 2 9" xfId="3115" xr:uid="{00000000-0005-0000-0000-00005B0C0000}"/>
    <cellStyle name="输入 2 2 10 3" xfId="2154" xr:uid="{00000000-0005-0000-0000-00009A080000}"/>
    <cellStyle name="输入 2 2 10 3 2" xfId="45455" xr:uid="{00000000-0005-0000-0000-0000BFB10000}"/>
    <cellStyle name="输入 2 2 10 3 2 2" xfId="10069" xr:uid="{00000000-0005-0000-0000-000085270000}"/>
    <cellStyle name="输入 2 2 10 3 3" xfId="45456" xr:uid="{00000000-0005-0000-0000-0000C0B10000}"/>
    <cellStyle name="输入 2 2 10 3 3 2" xfId="10128" xr:uid="{00000000-0005-0000-0000-0000C0270000}"/>
    <cellStyle name="输入 2 2 10 3 4" xfId="45458" xr:uid="{00000000-0005-0000-0000-0000C2B10000}"/>
    <cellStyle name="输入 2 2 10 3 4 2" xfId="10165" xr:uid="{00000000-0005-0000-0000-0000E5270000}"/>
    <cellStyle name="输入 2 2 10 3 5" xfId="6242" xr:uid="{00000000-0005-0000-0000-000092180000}"/>
    <cellStyle name="输入 2 2 10 3 5 2" xfId="19394" xr:uid="{00000000-0005-0000-0000-0000F24B0000}"/>
    <cellStyle name="输入 2 2 10 3 6" xfId="19397" xr:uid="{00000000-0005-0000-0000-0000F54B0000}"/>
    <cellStyle name="输入 2 2 10 4" xfId="45459" xr:uid="{00000000-0005-0000-0000-0000C3B10000}"/>
    <cellStyle name="输入 2 2 10 4 2" xfId="45460" xr:uid="{00000000-0005-0000-0000-0000C4B10000}"/>
    <cellStyle name="输入 2 2 10 4 2 2" xfId="10369" xr:uid="{00000000-0005-0000-0000-0000B1280000}"/>
    <cellStyle name="输入 2 2 10 4 3" xfId="45461" xr:uid="{00000000-0005-0000-0000-0000C5B10000}"/>
    <cellStyle name="输入 2 2 10 4 3 2" xfId="10421" xr:uid="{00000000-0005-0000-0000-0000E5280000}"/>
    <cellStyle name="输入 2 2 10 4 4" xfId="45463" xr:uid="{00000000-0005-0000-0000-0000C7B10000}"/>
    <cellStyle name="输入 2 2 10 4 4 2" xfId="9840" xr:uid="{00000000-0005-0000-0000-0000A0260000}"/>
    <cellStyle name="输入 2 2 10 4 5" xfId="45464" xr:uid="{00000000-0005-0000-0000-0000C8B10000}"/>
    <cellStyle name="输入 2 2 10 4 5 2" xfId="14808" xr:uid="{00000000-0005-0000-0000-0000083A0000}"/>
    <cellStyle name="输入 2 2 10 4 6" xfId="45465" xr:uid="{00000000-0005-0000-0000-0000C9B10000}"/>
    <cellStyle name="输入 2 2 10 5" xfId="45466" xr:uid="{00000000-0005-0000-0000-0000CAB10000}"/>
    <cellStyle name="输入 2 2 10 5 2" xfId="45467" xr:uid="{00000000-0005-0000-0000-0000CBB10000}"/>
    <cellStyle name="输入 2 2 10 5 2 2" xfId="25626" xr:uid="{00000000-0005-0000-0000-00004A640000}"/>
    <cellStyle name="输入 2 2 10 5 3" xfId="45468" xr:uid="{00000000-0005-0000-0000-0000CCB10000}"/>
    <cellStyle name="输入 2 2 10 5 3 2" xfId="25639" xr:uid="{00000000-0005-0000-0000-000057640000}"/>
    <cellStyle name="输入 2 2 10 5 4" xfId="45469" xr:uid="{00000000-0005-0000-0000-0000CDB10000}"/>
    <cellStyle name="输入 2 2 10 5 4 2" xfId="10850" xr:uid="{00000000-0005-0000-0000-0000922A0000}"/>
    <cellStyle name="输入 2 2 10 5 5" xfId="14833" xr:uid="{00000000-0005-0000-0000-0000213A0000}"/>
    <cellStyle name="输入 2 2 10 5 5 2" xfId="14838" xr:uid="{00000000-0005-0000-0000-0000263A0000}"/>
    <cellStyle name="输入 2 2 10 5 6" xfId="45470" xr:uid="{00000000-0005-0000-0000-0000CEB10000}"/>
    <cellStyle name="输入 2 2 10 6" xfId="45471" xr:uid="{00000000-0005-0000-0000-0000CFB10000}"/>
    <cellStyle name="输入 2 2 10 6 2" xfId="45472" xr:uid="{00000000-0005-0000-0000-0000D0B10000}"/>
    <cellStyle name="输入 2 2 10 6 2 2" xfId="25696" xr:uid="{00000000-0005-0000-0000-000090640000}"/>
    <cellStyle name="输入 2 2 10 6 3" xfId="45473" xr:uid="{00000000-0005-0000-0000-0000D1B10000}"/>
    <cellStyle name="输入 2 2 10 6 3 2" xfId="25704" xr:uid="{00000000-0005-0000-0000-000098640000}"/>
    <cellStyle name="输入 2 2 10 6 4" xfId="45474" xr:uid="{00000000-0005-0000-0000-0000D2B10000}"/>
    <cellStyle name="输入 2 2 10 6 4 2" xfId="2836" xr:uid="{00000000-0005-0000-0000-0000440B0000}"/>
    <cellStyle name="输入 2 2 10 6 5" xfId="11832" xr:uid="{00000000-0005-0000-0000-0000682E0000}"/>
    <cellStyle name="输入 2 2 10 6 5 2" xfId="11838" xr:uid="{00000000-0005-0000-0000-00006E2E0000}"/>
    <cellStyle name="输入 2 2 10 6 6" xfId="45475" xr:uid="{00000000-0005-0000-0000-0000D3B10000}"/>
    <cellStyle name="输入 2 2 10 7" xfId="45476" xr:uid="{00000000-0005-0000-0000-0000D4B10000}"/>
    <cellStyle name="输入 2 2 10 7 2" xfId="45477" xr:uid="{00000000-0005-0000-0000-0000D5B10000}"/>
    <cellStyle name="输入 2 2 10 7 2 2" xfId="45478" xr:uid="{00000000-0005-0000-0000-0000D6B10000}"/>
    <cellStyle name="输入 2 2 10 7 3" xfId="45479" xr:uid="{00000000-0005-0000-0000-0000D7B10000}"/>
    <cellStyle name="输入 2 2 10 7 3 2" xfId="45480" xr:uid="{00000000-0005-0000-0000-0000D8B10000}"/>
    <cellStyle name="输入 2 2 10 7 4" xfId="45481" xr:uid="{00000000-0005-0000-0000-0000D9B10000}"/>
    <cellStyle name="输入 2 2 10 7 4 2" xfId="45483" xr:uid="{00000000-0005-0000-0000-0000DBB10000}"/>
    <cellStyle name="输入 2 2 10 7 5" xfId="14860" xr:uid="{00000000-0005-0000-0000-00003C3A0000}"/>
    <cellStyle name="输入 2 2 10 7 5 2" xfId="45484" xr:uid="{00000000-0005-0000-0000-0000DCB10000}"/>
    <cellStyle name="输入 2 2 10 7 6" xfId="45485" xr:uid="{00000000-0005-0000-0000-0000DDB10000}"/>
    <cellStyle name="输入 2 2 10 8" xfId="45486" xr:uid="{00000000-0005-0000-0000-0000DEB10000}"/>
    <cellStyle name="输入 2 2 10 8 2" xfId="45487" xr:uid="{00000000-0005-0000-0000-0000DFB10000}"/>
    <cellStyle name="输入 2 2 10 8 2 2" xfId="45488" xr:uid="{00000000-0005-0000-0000-0000E0B10000}"/>
    <cellStyle name="输入 2 2 10 8 3" xfId="45489" xr:uid="{00000000-0005-0000-0000-0000E1B10000}"/>
    <cellStyle name="输入 2 2 10 8 3 2" xfId="45490" xr:uid="{00000000-0005-0000-0000-0000E2B10000}"/>
    <cellStyle name="输入 2 2 10 8 4" xfId="45491" xr:uid="{00000000-0005-0000-0000-0000E3B10000}"/>
    <cellStyle name="输入 2 2 10 8 4 2" xfId="45493" xr:uid="{00000000-0005-0000-0000-0000E5B10000}"/>
    <cellStyle name="输入 2 2 10 8 5" xfId="14883" xr:uid="{00000000-0005-0000-0000-0000533A0000}"/>
    <cellStyle name="输入 2 2 10 9" xfId="45494" xr:uid="{00000000-0005-0000-0000-0000E6B10000}"/>
    <cellStyle name="输入 2 2 10 9 2" xfId="45495" xr:uid="{00000000-0005-0000-0000-0000E7B10000}"/>
    <cellStyle name="输入 2 2 11" xfId="45496" xr:uid="{00000000-0005-0000-0000-0000E8B10000}"/>
    <cellStyle name="输入 2 2 11 10" xfId="20082" xr:uid="{00000000-0005-0000-0000-0000A24E0000}"/>
    <cellStyle name="输入 2 2 11 10 2" xfId="13061" xr:uid="{00000000-0005-0000-0000-000035330000}"/>
    <cellStyle name="输入 2 2 11 11" xfId="7114" xr:uid="{00000000-0005-0000-0000-0000FA1B0000}"/>
    <cellStyle name="输入 2 2 11 11 2" xfId="8848" xr:uid="{00000000-0005-0000-0000-0000C0220000}"/>
    <cellStyle name="输入 2 2 11 12" xfId="15711" xr:uid="{00000000-0005-0000-0000-00008F3D0000}"/>
    <cellStyle name="输入 2 2 11 12 2" xfId="13304" xr:uid="{00000000-0005-0000-0000-000028340000}"/>
    <cellStyle name="输入 2 2 11 13" xfId="5321" xr:uid="{00000000-0005-0000-0000-0000F9140000}"/>
    <cellStyle name="输入 2 2 11 14" xfId="18872" xr:uid="{00000000-0005-0000-0000-0000E8490000}"/>
    <cellStyle name="输入 2 2 11 15" xfId="45135" xr:uid="{00000000-0005-0000-0000-00007FB00000}"/>
    <cellStyle name="输入 2 2 11 16" xfId="33279" xr:uid="{00000000-0005-0000-0000-00002F820000}"/>
    <cellStyle name="输入 2 2 11 2" xfId="45497" xr:uid="{00000000-0005-0000-0000-0000E9B10000}"/>
    <cellStyle name="输入 2 2 11 2 2" xfId="45498" xr:uid="{00000000-0005-0000-0000-0000EAB10000}"/>
    <cellStyle name="输入 2 2 11 2 2 2" xfId="3093" xr:uid="{00000000-0005-0000-0000-0000450C0000}"/>
    <cellStyle name="输入 2 2 11 2 3" xfId="45499" xr:uid="{00000000-0005-0000-0000-0000EBB10000}"/>
    <cellStyle name="输入 2 2 11 2 3 2" xfId="15570" xr:uid="{00000000-0005-0000-0000-0000023D0000}"/>
    <cellStyle name="输入 2 2 11 2 4" xfId="45501" xr:uid="{00000000-0005-0000-0000-0000EDB10000}"/>
    <cellStyle name="输入 2 2 11 2 4 2" xfId="15578" xr:uid="{00000000-0005-0000-0000-00000A3D0000}"/>
    <cellStyle name="输入 2 2 11 2 5" xfId="45502" xr:uid="{00000000-0005-0000-0000-0000EEB10000}"/>
    <cellStyle name="输入 2 2 11 2 5 2" xfId="26294" xr:uid="{00000000-0005-0000-0000-0000E6660000}"/>
    <cellStyle name="输入 2 2 11 2 6" xfId="40501" xr:uid="{00000000-0005-0000-0000-0000659E0000}"/>
    <cellStyle name="输入 2 2 11 3" xfId="45503" xr:uid="{00000000-0005-0000-0000-0000EFB10000}"/>
    <cellStyle name="输入 2 2 11 3 2" xfId="45504" xr:uid="{00000000-0005-0000-0000-0000F0B10000}"/>
    <cellStyle name="输入 2 2 11 3 2 2" xfId="12719" xr:uid="{00000000-0005-0000-0000-0000DF310000}"/>
    <cellStyle name="输入 2 2 11 3 3" xfId="45505" xr:uid="{00000000-0005-0000-0000-0000F1B10000}"/>
    <cellStyle name="输入 2 2 11 3 3 2" xfId="15583" xr:uid="{00000000-0005-0000-0000-00000F3D0000}"/>
    <cellStyle name="输入 2 2 11 3 4" xfId="45507" xr:uid="{00000000-0005-0000-0000-0000F3B10000}"/>
    <cellStyle name="输入 2 2 11 3 4 2" xfId="15589" xr:uid="{00000000-0005-0000-0000-0000153D0000}"/>
    <cellStyle name="输入 2 2 11 3 5" xfId="8340" xr:uid="{00000000-0005-0000-0000-0000C4200000}"/>
    <cellStyle name="输入 2 2 11 3 5 2" xfId="19996" xr:uid="{00000000-0005-0000-0000-00004C4E0000}"/>
    <cellStyle name="输入 2 2 11 3 6" xfId="19902" xr:uid="{00000000-0005-0000-0000-0000EE4D0000}"/>
    <cellStyle name="输入 2 2 11 4" xfId="45508" xr:uid="{00000000-0005-0000-0000-0000F4B10000}"/>
    <cellStyle name="输入 2 2 11 4 2" xfId="45509" xr:uid="{00000000-0005-0000-0000-0000F5B10000}"/>
    <cellStyle name="输入 2 2 11 4 2 2" xfId="12751" xr:uid="{00000000-0005-0000-0000-0000FF310000}"/>
    <cellStyle name="输入 2 2 11 4 3" xfId="45510" xr:uid="{00000000-0005-0000-0000-0000F6B10000}"/>
    <cellStyle name="输入 2 2 11 4 3 2" xfId="15599" xr:uid="{00000000-0005-0000-0000-00001F3D0000}"/>
    <cellStyle name="输入 2 2 11 4 4" xfId="45512" xr:uid="{00000000-0005-0000-0000-0000F8B10000}"/>
    <cellStyle name="输入 2 2 11 4 4 2" xfId="14946" xr:uid="{00000000-0005-0000-0000-0000923A0000}"/>
    <cellStyle name="输入 2 2 11 4 5" xfId="45513" xr:uid="{00000000-0005-0000-0000-0000F9B10000}"/>
    <cellStyle name="输入 2 2 11 4 5 2" xfId="14950" xr:uid="{00000000-0005-0000-0000-0000963A0000}"/>
    <cellStyle name="输入 2 2 11 4 6" xfId="45514" xr:uid="{00000000-0005-0000-0000-0000FAB10000}"/>
    <cellStyle name="输入 2 2 11 5" xfId="18580" xr:uid="{00000000-0005-0000-0000-0000C4480000}"/>
    <cellStyle name="输入 2 2 11 5 2" xfId="45515" xr:uid="{00000000-0005-0000-0000-0000FBB10000}"/>
    <cellStyle name="输入 2 2 11 5 2 2" xfId="26641" xr:uid="{00000000-0005-0000-0000-000041680000}"/>
    <cellStyle name="输入 2 2 11 5 3" xfId="45516" xr:uid="{00000000-0005-0000-0000-0000FCB10000}"/>
    <cellStyle name="输入 2 2 11 5 3 2" xfId="26678" xr:uid="{00000000-0005-0000-0000-000066680000}"/>
    <cellStyle name="输入 2 2 11 5 4" xfId="45517" xr:uid="{00000000-0005-0000-0000-0000FDB10000}"/>
    <cellStyle name="输入 2 2 11 5 4 2" xfId="14963" xr:uid="{00000000-0005-0000-0000-0000A33A0000}"/>
    <cellStyle name="输入 2 2 11 5 5" xfId="45518" xr:uid="{00000000-0005-0000-0000-0000FEB10000}"/>
    <cellStyle name="输入 2 2 11 5 5 2" xfId="14969" xr:uid="{00000000-0005-0000-0000-0000A93A0000}"/>
    <cellStyle name="输入 2 2 11 5 6" xfId="45519" xr:uid="{00000000-0005-0000-0000-0000FFB10000}"/>
    <cellStyle name="输入 2 2 11 6" xfId="45520" xr:uid="{00000000-0005-0000-0000-000000B20000}"/>
    <cellStyle name="输入 2 2 11 6 2" xfId="45522" xr:uid="{00000000-0005-0000-0000-000002B20000}"/>
    <cellStyle name="输入 2 2 11 6 2 2" xfId="26803" xr:uid="{00000000-0005-0000-0000-0000E3680000}"/>
    <cellStyle name="输入 2 2 11 6 3" xfId="45523" xr:uid="{00000000-0005-0000-0000-000003B20000}"/>
    <cellStyle name="输入 2 2 11 6 3 2" xfId="26834" xr:uid="{00000000-0005-0000-0000-000002690000}"/>
    <cellStyle name="输入 2 2 11 6 4" xfId="45524" xr:uid="{00000000-0005-0000-0000-000004B20000}"/>
    <cellStyle name="输入 2 2 11 6 4 2" xfId="6538" xr:uid="{00000000-0005-0000-0000-0000BA190000}"/>
    <cellStyle name="输入 2 2 11 6 5" xfId="45525" xr:uid="{00000000-0005-0000-0000-000005B20000}"/>
    <cellStyle name="输入 2 2 11 6 5 2" xfId="14981" xr:uid="{00000000-0005-0000-0000-0000B53A0000}"/>
    <cellStyle name="输入 2 2 11 6 6" xfId="45526" xr:uid="{00000000-0005-0000-0000-000006B20000}"/>
    <cellStyle name="输入 2 2 11 7" xfId="45527" xr:uid="{00000000-0005-0000-0000-000007B20000}"/>
    <cellStyle name="输入 2 2 11 7 2" xfId="45528" xr:uid="{00000000-0005-0000-0000-000008B20000}"/>
    <cellStyle name="输入 2 2 11 7 2 2" xfId="28798" xr:uid="{00000000-0005-0000-0000-0000AE700000}"/>
    <cellStyle name="输入 2 2 11 7 3" xfId="45529" xr:uid="{00000000-0005-0000-0000-000009B20000}"/>
    <cellStyle name="输入 2 2 11 7 3 2" xfId="28834" xr:uid="{00000000-0005-0000-0000-0000D2700000}"/>
    <cellStyle name="输入 2 2 11 7 4" xfId="45530" xr:uid="{00000000-0005-0000-0000-00000AB20000}"/>
    <cellStyle name="输入 2 2 11 7 4 2" xfId="14992" xr:uid="{00000000-0005-0000-0000-0000C03A0000}"/>
    <cellStyle name="输入 2 2 11 7 5" xfId="45532" xr:uid="{00000000-0005-0000-0000-00000CB20000}"/>
    <cellStyle name="输入 2 2 11 7 5 2" xfId="14997" xr:uid="{00000000-0005-0000-0000-0000C53A0000}"/>
    <cellStyle name="输入 2 2 11 7 6" xfId="45533" xr:uid="{00000000-0005-0000-0000-00000DB20000}"/>
    <cellStyle name="输入 2 2 11 8" xfId="45534" xr:uid="{00000000-0005-0000-0000-00000EB20000}"/>
    <cellStyle name="输入 2 2 11 8 2" xfId="45535" xr:uid="{00000000-0005-0000-0000-00000FB20000}"/>
    <cellStyle name="输入 2 2 11 8 2 2" xfId="28921" xr:uid="{00000000-0005-0000-0000-000029710000}"/>
    <cellStyle name="输入 2 2 11 8 3" xfId="45536" xr:uid="{00000000-0005-0000-0000-000010B20000}"/>
    <cellStyle name="输入 2 2 11 8 3 2" xfId="28950" xr:uid="{00000000-0005-0000-0000-000046710000}"/>
    <cellStyle name="输入 2 2 11 8 4" xfId="45537" xr:uid="{00000000-0005-0000-0000-000011B20000}"/>
    <cellStyle name="输入 2 2 11 8 4 2" xfId="15010" xr:uid="{00000000-0005-0000-0000-0000D23A0000}"/>
    <cellStyle name="输入 2 2 11 8 5" xfId="15012" xr:uid="{00000000-0005-0000-0000-0000D43A0000}"/>
    <cellStyle name="输入 2 2 11 9" xfId="45539" xr:uid="{00000000-0005-0000-0000-000013B20000}"/>
    <cellStyle name="输入 2 2 11 9 2" xfId="45541" xr:uid="{00000000-0005-0000-0000-000015B20000}"/>
    <cellStyle name="输入 2 2 12" xfId="45542" xr:uid="{00000000-0005-0000-0000-000016B20000}"/>
    <cellStyle name="输入 2 2 12 2" xfId="45543" xr:uid="{00000000-0005-0000-0000-000017B20000}"/>
    <cellStyle name="输入 2 2 12 2 2" xfId="45544" xr:uid="{00000000-0005-0000-0000-000018B20000}"/>
    <cellStyle name="输入 2 2 12 3" xfId="45545" xr:uid="{00000000-0005-0000-0000-000019B20000}"/>
    <cellStyle name="输入 2 2 12 3 2" xfId="45546" xr:uid="{00000000-0005-0000-0000-00001AB20000}"/>
    <cellStyle name="输入 2 2 12 4" xfId="45547" xr:uid="{00000000-0005-0000-0000-00001BB20000}"/>
    <cellStyle name="输入 2 2 12 4 2" xfId="45548" xr:uid="{00000000-0005-0000-0000-00001CB20000}"/>
    <cellStyle name="输入 2 2 12 5" xfId="18591" xr:uid="{00000000-0005-0000-0000-0000CF480000}"/>
    <cellStyle name="输入 2 2 12 5 2" xfId="25913" xr:uid="{00000000-0005-0000-0000-000069650000}"/>
    <cellStyle name="输入 2 2 12 6" xfId="45058" xr:uid="{00000000-0005-0000-0000-000032B00000}"/>
    <cellStyle name="输入 2 2 12 7" xfId="45549" xr:uid="{00000000-0005-0000-0000-00001DB20000}"/>
    <cellStyle name="输入 2 2 12 8" xfId="45550" xr:uid="{00000000-0005-0000-0000-00001EB20000}"/>
    <cellStyle name="输入 2 2 12 9" xfId="45551" xr:uid="{00000000-0005-0000-0000-00001FB20000}"/>
    <cellStyle name="输入 2 2 13" xfId="45553" xr:uid="{00000000-0005-0000-0000-000021B20000}"/>
    <cellStyle name="输入 2 2 13 2" xfId="45554" xr:uid="{00000000-0005-0000-0000-000022B20000}"/>
    <cellStyle name="输入 2 2 13 2 2" xfId="45555" xr:uid="{00000000-0005-0000-0000-000023B20000}"/>
    <cellStyle name="输入 2 2 13 3" xfId="45556" xr:uid="{00000000-0005-0000-0000-000024B20000}"/>
    <cellStyle name="输入 2 2 13 3 2" xfId="45557" xr:uid="{00000000-0005-0000-0000-000025B20000}"/>
    <cellStyle name="输入 2 2 13 4" xfId="45558" xr:uid="{00000000-0005-0000-0000-000026B20000}"/>
    <cellStyle name="输入 2 2 13 4 2" xfId="45559" xr:uid="{00000000-0005-0000-0000-000027B20000}"/>
    <cellStyle name="输入 2 2 13 5" xfId="18603" xr:uid="{00000000-0005-0000-0000-0000DB480000}"/>
    <cellStyle name="输入 2 2 13 5 2" xfId="26498" xr:uid="{00000000-0005-0000-0000-0000B2670000}"/>
    <cellStyle name="输入 2 2 13 6" xfId="45061" xr:uid="{00000000-0005-0000-0000-000035B00000}"/>
    <cellStyle name="输入 2 2 14" xfId="45560" xr:uid="{00000000-0005-0000-0000-000028B20000}"/>
    <cellStyle name="输入 2 2 14 2" xfId="45561" xr:uid="{00000000-0005-0000-0000-000029B20000}"/>
    <cellStyle name="输入 2 2 14 2 2" xfId="45562" xr:uid="{00000000-0005-0000-0000-00002AB20000}"/>
    <cellStyle name="输入 2 2 14 3" xfId="45563" xr:uid="{00000000-0005-0000-0000-00002BB20000}"/>
    <cellStyle name="输入 2 2 14 3 2" xfId="45564" xr:uid="{00000000-0005-0000-0000-00002CB20000}"/>
    <cellStyle name="输入 2 2 14 4" xfId="45565" xr:uid="{00000000-0005-0000-0000-00002DB20000}"/>
    <cellStyle name="输入 2 2 14 4 2" xfId="45567" xr:uid="{00000000-0005-0000-0000-00002FB20000}"/>
    <cellStyle name="输入 2 2 14 5" xfId="18616" xr:uid="{00000000-0005-0000-0000-0000E8480000}"/>
    <cellStyle name="输入 2 2 14 5 2" xfId="45568" xr:uid="{00000000-0005-0000-0000-000030B20000}"/>
    <cellStyle name="输入 2 2 14 6" xfId="45066" xr:uid="{00000000-0005-0000-0000-00003AB00000}"/>
    <cellStyle name="输入 2 2 15" xfId="45569" xr:uid="{00000000-0005-0000-0000-000031B20000}"/>
    <cellStyle name="输入 2 2 15 2" xfId="45571" xr:uid="{00000000-0005-0000-0000-000033B20000}"/>
    <cellStyle name="输入 2 2 15 2 2" xfId="45573" xr:uid="{00000000-0005-0000-0000-000035B20000}"/>
    <cellStyle name="输入 2 2 15 3" xfId="45574" xr:uid="{00000000-0005-0000-0000-000036B20000}"/>
    <cellStyle name="输入 2 2 15 3 2" xfId="45575" xr:uid="{00000000-0005-0000-0000-000037B20000}"/>
    <cellStyle name="输入 2 2 15 4" xfId="45576" xr:uid="{00000000-0005-0000-0000-000038B20000}"/>
    <cellStyle name="输入 2 2 15 4 2" xfId="45578" xr:uid="{00000000-0005-0000-0000-00003AB20000}"/>
    <cellStyle name="输入 2 2 15 5" xfId="42632" xr:uid="{00000000-0005-0000-0000-0000B8A60000}"/>
    <cellStyle name="输入 2 2 15 5 2" xfId="45579" xr:uid="{00000000-0005-0000-0000-00003BB20000}"/>
    <cellStyle name="输入 2 2 15 6" xfId="45068" xr:uid="{00000000-0005-0000-0000-00003CB00000}"/>
    <cellStyle name="输入 2 2 16" xfId="45580" xr:uid="{00000000-0005-0000-0000-00003CB20000}"/>
    <cellStyle name="输入 2 2 16 2" xfId="13425" xr:uid="{00000000-0005-0000-0000-0000A1340000}"/>
    <cellStyle name="输入 2 2 16 2 2" xfId="45582" xr:uid="{00000000-0005-0000-0000-00003EB20000}"/>
    <cellStyle name="输入 2 2 16 3" xfId="15093" xr:uid="{00000000-0005-0000-0000-0000253B0000}"/>
    <cellStyle name="输入 2 2 16 3 2" xfId="45583" xr:uid="{00000000-0005-0000-0000-00003FB20000}"/>
    <cellStyle name="输入 2 2 16 4" xfId="45584" xr:uid="{00000000-0005-0000-0000-000040B20000}"/>
    <cellStyle name="输入 2 2 16 4 2" xfId="45586" xr:uid="{00000000-0005-0000-0000-000042B20000}"/>
    <cellStyle name="输入 2 2 16 5" xfId="42635" xr:uid="{00000000-0005-0000-0000-0000BBA60000}"/>
    <cellStyle name="输入 2 2 16 5 2" xfId="45587" xr:uid="{00000000-0005-0000-0000-000043B20000}"/>
    <cellStyle name="输入 2 2 16 6" xfId="45588" xr:uid="{00000000-0005-0000-0000-000044B20000}"/>
    <cellStyle name="输入 2 2 17" xfId="9756" xr:uid="{00000000-0005-0000-0000-00004C260000}"/>
    <cellStyle name="输入 2 2 17 2" xfId="33335" xr:uid="{00000000-0005-0000-0000-000067820000}"/>
    <cellStyle name="输入 2 2 17 2 2" xfId="33340" xr:uid="{00000000-0005-0000-0000-00006C820000}"/>
    <cellStyle name="输入 2 2 17 3" xfId="33344" xr:uid="{00000000-0005-0000-0000-000070820000}"/>
    <cellStyle name="输入 2 2 17 3 2" xfId="39588" xr:uid="{00000000-0005-0000-0000-0000D49A0000}"/>
    <cellStyle name="输入 2 2 17 4" xfId="39654" xr:uid="{00000000-0005-0000-0000-0000169B0000}"/>
    <cellStyle name="输入 2 2 17 4 2" xfId="45589" xr:uid="{00000000-0005-0000-0000-000045B20000}"/>
    <cellStyle name="输入 2 2 17 5" xfId="39658" xr:uid="{00000000-0005-0000-0000-00001A9B0000}"/>
    <cellStyle name="输入 2 2 17 5 2" xfId="45590" xr:uid="{00000000-0005-0000-0000-000046B20000}"/>
    <cellStyle name="输入 2 2 17 6" xfId="24530" xr:uid="{00000000-0005-0000-0000-000002600000}"/>
    <cellStyle name="输入 2 2 18" xfId="45591" xr:uid="{00000000-0005-0000-0000-000047B20000}"/>
    <cellStyle name="输入 2 2 18 2" xfId="45593" xr:uid="{00000000-0005-0000-0000-000049B20000}"/>
    <cellStyle name="输入 2 2 18 2 2" xfId="45595" xr:uid="{00000000-0005-0000-0000-00004BB20000}"/>
    <cellStyle name="输入 2 2 18 3" xfId="29722" xr:uid="{00000000-0005-0000-0000-00004A740000}"/>
    <cellStyle name="输入 2 2 18 3 2" xfId="45596" xr:uid="{00000000-0005-0000-0000-00004CB20000}"/>
    <cellStyle name="输入 2 2 18 4" xfId="45597" xr:uid="{00000000-0005-0000-0000-00004DB20000}"/>
    <cellStyle name="输入 2 2 18 4 2" xfId="45598" xr:uid="{00000000-0005-0000-0000-00004EB20000}"/>
    <cellStyle name="输入 2 2 18 5" xfId="45599" xr:uid="{00000000-0005-0000-0000-00004FB20000}"/>
    <cellStyle name="输入 2 2 18 5 2" xfId="45600" xr:uid="{00000000-0005-0000-0000-000050B20000}"/>
    <cellStyle name="输入 2 2 18 6" xfId="24538" xr:uid="{00000000-0005-0000-0000-00000A600000}"/>
    <cellStyle name="输入 2 2 19" xfId="45601" xr:uid="{00000000-0005-0000-0000-000051B20000}"/>
    <cellStyle name="输入 2 2 19 2" xfId="45603" xr:uid="{00000000-0005-0000-0000-000053B20000}"/>
    <cellStyle name="输入 2 2 19 2 2" xfId="45604" xr:uid="{00000000-0005-0000-0000-000054B20000}"/>
    <cellStyle name="输入 2 2 19 3" xfId="29729" xr:uid="{00000000-0005-0000-0000-000051740000}"/>
    <cellStyle name="输入 2 2 19 3 2" xfId="45605" xr:uid="{00000000-0005-0000-0000-000055B20000}"/>
    <cellStyle name="输入 2 2 19 4" xfId="45606" xr:uid="{00000000-0005-0000-0000-000056B20000}"/>
    <cellStyle name="输入 2 2 19 4 2" xfId="45607" xr:uid="{00000000-0005-0000-0000-000057B20000}"/>
    <cellStyle name="输入 2 2 19 5" xfId="45608" xr:uid="{00000000-0005-0000-0000-000058B20000}"/>
    <cellStyle name="输入 2 2 2" xfId="45609" xr:uid="{00000000-0005-0000-0000-000059B20000}"/>
    <cellStyle name="输入 2 2 2 10" xfId="45612" xr:uid="{00000000-0005-0000-0000-00005CB20000}"/>
    <cellStyle name="输入 2 2 2 10 2" xfId="24009" xr:uid="{00000000-0005-0000-0000-0000F95D0000}"/>
    <cellStyle name="输入 2 2 2 11" xfId="45614" xr:uid="{00000000-0005-0000-0000-00005EB20000}"/>
    <cellStyle name="输入 2 2 2 11 2" xfId="45615" xr:uid="{00000000-0005-0000-0000-00005FB20000}"/>
    <cellStyle name="输入 2 2 2 12" xfId="19030" xr:uid="{00000000-0005-0000-0000-0000864A0000}"/>
    <cellStyle name="输入 2 2 2 12 2" xfId="42049" xr:uid="{00000000-0005-0000-0000-000071A40000}"/>
    <cellStyle name="输入 2 2 2 13" xfId="45616" xr:uid="{00000000-0005-0000-0000-000060B20000}"/>
    <cellStyle name="输入 2 2 2 14" xfId="45617" xr:uid="{00000000-0005-0000-0000-000061B20000}"/>
    <cellStyle name="输入 2 2 2 15" xfId="35591" xr:uid="{00000000-0005-0000-0000-0000378B0000}"/>
    <cellStyle name="输入 2 2 2 16" xfId="45618" xr:uid="{00000000-0005-0000-0000-000062B20000}"/>
    <cellStyle name="输入 2 2 2 2" xfId="30669" xr:uid="{00000000-0005-0000-0000-0000FD770000}"/>
    <cellStyle name="输入 2 2 2 2 2" xfId="45619" xr:uid="{00000000-0005-0000-0000-000063B20000}"/>
    <cellStyle name="输入 2 2 2 2 2 2" xfId="45620" xr:uid="{00000000-0005-0000-0000-000064B20000}"/>
    <cellStyle name="输入 2 2 2 2 3" xfId="45622" xr:uid="{00000000-0005-0000-0000-000066B20000}"/>
    <cellStyle name="输入 2 2 2 2 3 2" xfId="45623" xr:uid="{00000000-0005-0000-0000-000067B20000}"/>
    <cellStyle name="输入 2 2 2 2 4" xfId="45624" xr:uid="{00000000-0005-0000-0000-000068B20000}"/>
    <cellStyle name="输入 2 2 2 2 4 2" xfId="45625" xr:uid="{00000000-0005-0000-0000-000069B20000}"/>
    <cellStyle name="输入 2 2 2 2 5" xfId="16798" xr:uid="{00000000-0005-0000-0000-0000CE410000}"/>
    <cellStyle name="输入 2 2 2 2 5 2" xfId="16800" xr:uid="{00000000-0005-0000-0000-0000D0410000}"/>
    <cellStyle name="输入 2 2 2 2 6" xfId="16803" xr:uid="{00000000-0005-0000-0000-0000D3410000}"/>
    <cellStyle name="输入 2 2 2 2 7" xfId="16808" xr:uid="{00000000-0005-0000-0000-0000D8410000}"/>
    <cellStyle name="输入 2 2 2 2 8" xfId="12259" xr:uid="{00000000-0005-0000-0000-000013300000}"/>
    <cellStyle name="输入 2 2 2 2 9" xfId="12481" xr:uid="{00000000-0005-0000-0000-0000F1300000}"/>
    <cellStyle name="输入 2 2 2 3" xfId="6817" xr:uid="{00000000-0005-0000-0000-0000D11A0000}"/>
    <cellStyle name="输入 2 2 2 3 2" xfId="31133" xr:uid="{00000000-0005-0000-0000-0000CD790000}"/>
    <cellStyle name="输入 2 2 2 3 2 2" xfId="45626" xr:uid="{00000000-0005-0000-0000-00006AB20000}"/>
    <cellStyle name="输入 2 2 2 3 3" xfId="45628" xr:uid="{00000000-0005-0000-0000-00006CB20000}"/>
    <cellStyle name="输入 2 2 2 3 3 2" xfId="45629" xr:uid="{00000000-0005-0000-0000-00006DB20000}"/>
    <cellStyle name="输入 2 2 2 3 4" xfId="45630" xr:uid="{00000000-0005-0000-0000-00006EB20000}"/>
    <cellStyle name="输入 2 2 2 3 4 2" xfId="45631" xr:uid="{00000000-0005-0000-0000-00006FB20000}"/>
    <cellStyle name="输入 2 2 2 3 5" xfId="16822" xr:uid="{00000000-0005-0000-0000-0000E6410000}"/>
    <cellStyle name="输入 2 2 2 3 5 2" xfId="16824" xr:uid="{00000000-0005-0000-0000-0000E8410000}"/>
    <cellStyle name="输入 2 2 2 3 6" xfId="16829" xr:uid="{00000000-0005-0000-0000-0000ED410000}"/>
    <cellStyle name="输入 2 2 2 4" xfId="31135" xr:uid="{00000000-0005-0000-0000-0000CF790000}"/>
    <cellStyle name="输入 2 2 2 4 2" xfId="31139" xr:uid="{00000000-0005-0000-0000-0000D3790000}"/>
    <cellStyle name="输入 2 2 2 4 2 2" xfId="45632" xr:uid="{00000000-0005-0000-0000-000070B20000}"/>
    <cellStyle name="输入 2 2 2 4 3" xfId="45633" xr:uid="{00000000-0005-0000-0000-000071B20000}"/>
    <cellStyle name="输入 2 2 2 4 3 2" xfId="45634" xr:uid="{00000000-0005-0000-0000-000072B20000}"/>
    <cellStyle name="输入 2 2 2 4 4" xfId="45635" xr:uid="{00000000-0005-0000-0000-000073B20000}"/>
    <cellStyle name="输入 2 2 2 4 4 2" xfId="45636" xr:uid="{00000000-0005-0000-0000-000074B20000}"/>
    <cellStyle name="输入 2 2 2 4 5" xfId="16842" xr:uid="{00000000-0005-0000-0000-0000FA410000}"/>
    <cellStyle name="输入 2 2 2 4 5 2" xfId="16844" xr:uid="{00000000-0005-0000-0000-0000FC410000}"/>
    <cellStyle name="输入 2 2 2 4 6" xfId="16847" xr:uid="{00000000-0005-0000-0000-0000FF410000}"/>
    <cellStyle name="输入 2 2 2 5" xfId="31141" xr:uid="{00000000-0005-0000-0000-0000D5790000}"/>
    <cellStyle name="输入 2 2 2 5 2" xfId="31143" xr:uid="{00000000-0005-0000-0000-0000D7790000}"/>
    <cellStyle name="输入 2 2 2 5 2 2" xfId="45637" xr:uid="{00000000-0005-0000-0000-000075B20000}"/>
    <cellStyle name="输入 2 2 2 5 3" xfId="45638" xr:uid="{00000000-0005-0000-0000-000076B20000}"/>
    <cellStyle name="输入 2 2 2 5 3 2" xfId="45639" xr:uid="{00000000-0005-0000-0000-000077B20000}"/>
    <cellStyle name="输入 2 2 2 5 4" xfId="45640" xr:uid="{00000000-0005-0000-0000-000078B20000}"/>
    <cellStyle name="输入 2 2 2 5 4 2" xfId="45641" xr:uid="{00000000-0005-0000-0000-000079B20000}"/>
    <cellStyle name="输入 2 2 2 5 5" xfId="16853" xr:uid="{00000000-0005-0000-0000-000005420000}"/>
    <cellStyle name="输入 2 2 2 5 5 2" xfId="16855" xr:uid="{00000000-0005-0000-0000-000007420000}"/>
    <cellStyle name="输入 2 2 2 5 6" xfId="16857" xr:uid="{00000000-0005-0000-0000-000009420000}"/>
    <cellStyle name="输入 2 2 2 6" xfId="31145" xr:uid="{00000000-0005-0000-0000-0000D9790000}"/>
    <cellStyle name="输入 2 2 2 6 2" xfId="45642" xr:uid="{00000000-0005-0000-0000-00007AB20000}"/>
    <cellStyle name="输入 2 2 2 6 2 2" xfId="45644" xr:uid="{00000000-0005-0000-0000-00007CB20000}"/>
    <cellStyle name="输入 2 2 2 6 3" xfId="29056" xr:uid="{00000000-0005-0000-0000-0000B0710000}"/>
    <cellStyle name="输入 2 2 2 6 3 2" xfId="45646" xr:uid="{00000000-0005-0000-0000-00007EB20000}"/>
    <cellStyle name="输入 2 2 2 6 4" xfId="45648" xr:uid="{00000000-0005-0000-0000-000080B20000}"/>
    <cellStyle name="输入 2 2 2 6 4 2" xfId="45650" xr:uid="{00000000-0005-0000-0000-000082B20000}"/>
    <cellStyle name="输入 2 2 2 6 5" xfId="16865" xr:uid="{00000000-0005-0000-0000-000011420000}"/>
    <cellStyle name="输入 2 2 2 6 5 2" xfId="16867" xr:uid="{00000000-0005-0000-0000-000013420000}"/>
    <cellStyle name="输入 2 2 2 6 6" xfId="16870" xr:uid="{00000000-0005-0000-0000-000016420000}"/>
    <cellStyle name="输入 2 2 2 7" xfId="31149" xr:uid="{00000000-0005-0000-0000-0000DD790000}"/>
    <cellStyle name="输入 2 2 2 7 2" xfId="45651" xr:uid="{00000000-0005-0000-0000-000083B20000}"/>
    <cellStyle name="输入 2 2 2 7 2 2" xfId="45652" xr:uid="{00000000-0005-0000-0000-000084B20000}"/>
    <cellStyle name="输入 2 2 2 7 3" xfId="29061" xr:uid="{00000000-0005-0000-0000-0000B5710000}"/>
    <cellStyle name="输入 2 2 2 7 3 2" xfId="45654" xr:uid="{00000000-0005-0000-0000-000086B20000}"/>
    <cellStyle name="输入 2 2 2 7 4" xfId="45655" xr:uid="{00000000-0005-0000-0000-000087B20000}"/>
    <cellStyle name="输入 2 2 2 7 4 2" xfId="45656" xr:uid="{00000000-0005-0000-0000-000088B20000}"/>
    <cellStyle name="输入 2 2 2 7 5" xfId="16879" xr:uid="{00000000-0005-0000-0000-00001F420000}"/>
    <cellStyle name="输入 2 2 2 7 5 2" xfId="45657" xr:uid="{00000000-0005-0000-0000-000089B20000}"/>
    <cellStyle name="输入 2 2 2 7 6" xfId="45658" xr:uid="{00000000-0005-0000-0000-00008AB20000}"/>
    <cellStyle name="输入 2 2 2 8" xfId="31151" xr:uid="{00000000-0005-0000-0000-0000DF790000}"/>
    <cellStyle name="输入 2 2 2 8 2" xfId="45659" xr:uid="{00000000-0005-0000-0000-00008BB20000}"/>
    <cellStyle name="输入 2 2 2 8 2 2" xfId="45660" xr:uid="{00000000-0005-0000-0000-00008CB20000}"/>
    <cellStyle name="输入 2 2 2 8 3" xfId="29064" xr:uid="{00000000-0005-0000-0000-0000B8710000}"/>
    <cellStyle name="输入 2 2 2 8 3 2" xfId="45663" xr:uid="{00000000-0005-0000-0000-00008FB20000}"/>
    <cellStyle name="输入 2 2 2 8 4" xfId="45665" xr:uid="{00000000-0005-0000-0000-000091B20000}"/>
    <cellStyle name="输入 2 2 2 8 4 2" xfId="45666" xr:uid="{00000000-0005-0000-0000-000092B20000}"/>
    <cellStyle name="输入 2 2 2 8 5" xfId="11510" xr:uid="{00000000-0005-0000-0000-0000262D0000}"/>
    <cellStyle name="输入 2 2 2 9" xfId="31153" xr:uid="{00000000-0005-0000-0000-0000E1790000}"/>
    <cellStyle name="输入 2 2 2 9 2" xfId="45668" xr:uid="{00000000-0005-0000-0000-000094B20000}"/>
    <cellStyle name="输入 2 2 20" xfId="45570" xr:uid="{00000000-0005-0000-0000-000032B20000}"/>
    <cellStyle name="输入 2 2 20 2" xfId="45572" xr:uid="{00000000-0005-0000-0000-000034B20000}"/>
    <cellStyle name="输入 2 2 21" xfId="45581" xr:uid="{00000000-0005-0000-0000-00003DB20000}"/>
    <cellStyle name="输入 2 2 21 2" xfId="13426" xr:uid="{00000000-0005-0000-0000-0000A2340000}"/>
    <cellStyle name="输入 2 2 22" xfId="9757" xr:uid="{00000000-0005-0000-0000-00004D260000}"/>
    <cellStyle name="输入 2 2 22 2" xfId="33336" xr:uid="{00000000-0005-0000-0000-000068820000}"/>
    <cellStyle name="输入 2 2 23" xfId="45592" xr:uid="{00000000-0005-0000-0000-000048B20000}"/>
    <cellStyle name="输入 2 2 23 2" xfId="45594" xr:uid="{00000000-0005-0000-0000-00004AB20000}"/>
    <cellStyle name="输入 2 2 24" xfId="45602" xr:uid="{00000000-0005-0000-0000-000052B20000}"/>
    <cellStyle name="输入 2 2 25" xfId="45669" xr:uid="{00000000-0005-0000-0000-000095B20000}"/>
    <cellStyle name="输入 2 2 26" xfId="45670" xr:uid="{00000000-0005-0000-0000-000096B20000}"/>
    <cellStyle name="输入 2 2 27" xfId="45671" xr:uid="{00000000-0005-0000-0000-000097B20000}"/>
    <cellStyle name="输入 2 2 3" xfId="38292" xr:uid="{00000000-0005-0000-0000-0000C4950000}"/>
    <cellStyle name="输入 2 2 3 10" xfId="45672" xr:uid="{00000000-0005-0000-0000-000098B20000}"/>
    <cellStyle name="输入 2 2 3 10 2" xfId="25314" xr:uid="{00000000-0005-0000-0000-000012630000}"/>
    <cellStyle name="输入 2 2 3 11" xfId="45674" xr:uid="{00000000-0005-0000-0000-00009AB20000}"/>
    <cellStyle name="输入 2 2 3 11 2" xfId="45675" xr:uid="{00000000-0005-0000-0000-00009BB20000}"/>
    <cellStyle name="输入 2 2 3 12" xfId="45676" xr:uid="{00000000-0005-0000-0000-00009CB20000}"/>
    <cellStyle name="输入 2 2 3 12 2" xfId="45677" xr:uid="{00000000-0005-0000-0000-00009DB20000}"/>
    <cellStyle name="输入 2 2 3 13" xfId="4877" xr:uid="{00000000-0005-0000-0000-00003D130000}"/>
    <cellStyle name="输入 2 2 3 14" xfId="19990" xr:uid="{00000000-0005-0000-0000-0000464E0000}"/>
    <cellStyle name="输入 2 2 3 15" xfId="45678" xr:uid="{00000000-0005-0000-0000-00009EB20000}"/>
    <cellStyle name="输入 2 2 3 16" xfId="45679" xr:uid="{00000000-0005-0000-0000-00009FB20000}"/>
    <cellStyle name="输入 2 2 3 2" xfId="45680" xr:uid="{00000000-0005-0000-0000-0000A0B20000}"/>
    <cellStyle name="输入 2 2 3 2 2" xfId="45682" xr:uid="{00000000-0005-0000-0000-0000A2B20000}"/>
    <cellStyle name="输入 2 2 3 2 2 2" xfId="45683" xr:uid="{00000000-0005-0000-0000-0000A3B20000}"/>
    <cellStyle name="输入 2 2 3 2 3" xfId="45685" xr:uid="{00000000-0005-0000-0000-0000A5B20000}"/>
    <cellStyle name="输入 2 2 3 2 3 2" xfId="45686" xr:uid="{00000000-0005-0000-0000-0000A6B20000}"/>
    <cellStyle name="输入 2 2 3 2 4" xfId="45687" xr:uid="{00000000-0005-0000-0000-0000A7B20000}"/>
    <cellStyle name="输入 2 2 3 2 4 2" xfId="45688" xr:uid="{00000000-0005-0000-0000-0000A8B20000}"/>
    <cellStyle name="输入 2 2 3 2 5" xfId="16946" xr:uid="{00000000-0005-0000-0000-000062420000}"/>
    <cellStyle name="输入 2 2 3 2 5 2" xfId="16948" xr:uid="{00000000-0005-0000-0000-000064420000}"/>
    <cellStyle name="输入 2 2 3 2 6" xfId="16950" xr:uid="{00000000-0005-0000-0000-000066420000}"/>
    <cellStyle name="输入 2 2 3 2 7" xfId="16955" xr:uid="{00000000-0005-0000-0000-00006B420000}"/>
    <cellStyle name="输入 2 2 3 2 8" xfId="12304" xr:uid="{00000000-0005-0000-0000-000040300000}"/>
    <cellStyle name="输入 2 2 3 2 9" xfId="8899" xr:uid="{00000000-0005-0000-0000-0000F3220000}"/>
    <cellStyle name="输入 2 2 3 3" xfId="45689" xr:uid="{00000000-0005-0000-0000-0000A9B20000}"/>
    <cellStyle name="输入 2 2 3 3 2" xfId="45690" xr:uid="{00000000-0005-0000-0000-0000AAB20000}"/>
    <cellStyle name="输入 2 2 3 3 2 2" xfId="45691" xr:uid="{00000000-0005-0000-0000-0000ABB20000}"/>
    <cellStyle name="输入 2 2 3 3 3" xfId="45693" xr:uid="{00000000-0005-0000-0000-0000ADB20000}"/>
    <cellStyle name="输入 2 2 3 3 3 2" xfId="45694" xr:uid="{00000000-0005-0000-0000-0000AEB20000}"/>
    <cellStyle name="输入 2 2 3 3 4" xfId="45695" xr:uid="{00000000-0005-0000-0000-0000AFB20000}"/>
    <cellStyle name="输入 2 2 3 3 4 2" xfId="45696" xr:uid="{00000000-0005-0000-0000-0000B0B20000}"/>
    <cellStyle name="输入 2 2 3 3 5" xfId="16964" xr:uid="{00000000-0005-0000-0000-000074420000}"/>
    <cellStyle name="输入 2 2 3 3 5 2" xfId="16967" xr:uid="{00000000-0005-0000-0000-000077420000}"/>
    <cellStyle name="输入 2 2 3 3 6" xfId="16969" xr:uid="{00000000-0005-0000-0000-000079420000}"/>
    <cellStyle name="输入 2 2 3 4" xfId="45697" xr:uid="{00000000-0005-0000-0000-0000B1B20000}"/>
    <cellStyle name="输入 2 2 3 4 2" xfId="45698" xr:uid="{00000000-0005-0000-0000-0000B2B20000}"/>
    <cellStyle name="输入 2 2 3 4 2 2" xfId="45699" xr:uid="{00000000-0005-0000-0000-0000B3B20000}"/>
    <cellStyle name="输入 2 2 3 4 3" xfId="45700" xr:uid="{00000000-0005-0000-0000-0000B4B20000}"/>
    <cellStyle name="输入 2 2 3 4 3 2" xfId="45701" xr:uid="{00000000-0005-0000-0000-0000B5B20000}"/>
    <cellStyle name="输入 2 2 3 4 4" xfId="45702" xr:uid="{00000000-0005-0000-0000-0000B6B20000}"/>
    <cellStyle name="输入 2 2 3 4 4 2" xfId="45703" xr:uid="{00000000-0005-0000-0000-0000B7B20000}"/>
    <cellStyle name="输入 2 2 3 4 5" xfId="16987" xr:uid="{00000000-0005-0000-0000-00008B420000}"/>
    <cellStyle name="输入 2 2 3 4 5 2" xfId="16990" xr:uid="{00000000-0005-0000-0000-00008E420000}"/>
    <cellStyle name="输入 2 2 3 4 6" xfId="16992" xr:uid="{00000000-0005-0000-0000-000090420000}"/>
    <cellStyle name="输入 2 2 3 5" xfId="45704" xr:uid="{00000000-0005-0000-0000-0000B8B20000}"/>
    <cellStyle name="输入 2 2 3 5 2" xfId="45705" xr:uid="{00000000-0005-0000-0000-0000B9B20000}"/>
    <cellStyle name="输入 2 2 3 5 2 2" xfId="45706" xr:uid="{00000000-0005-0000-0000-0000BAB20000}"/>
    <cellStyle name="输入 2 2 3 5 3" xfId="45707" xr:uid="{00000000-0005-0000-0000-0000BBB20000}"/>
    <cellStyle name="输入 2 2 3 5 3 2" xfId="45708" xr:uid="{00000000-0005-0000-0000-0000BCB20000}"/>
    <cellStyle name="输入 2 2 3 5 4" xfId="45709" xr:uid="{00000000-0005-0000-0000-0000BDB20000}"/>
    <cellStyle name="输入 2 2 3 5 4 2" xfId="12510" xr:uid="{00000000-0005-0000-0000-00000E310000}"/>
    <cellStyle name="输入 2 2 3 5 5" xfId="17003" xr:uid="{00000000-0005-0000-0000-00009B420000}"/>
    <cellStyle name="输入 2 2 3 5 5 2" xfId="6609" xr:uid="{00000000-0005-0000-0000-0000011A0000}"/>
    <cellStyle name="输入 2 2 3 5 6" xfId="17005" xr:uid="{00000000-0005-0000-0000-00009D420000}"/>
    <cellStyle name="输入 2 2 3 6" xfId="45710" xr:uid="{00000000-0005-0000-0000-0000BEB20000}"/>
    <cellStyle name="输入 2 2 3 6 2" xfId="45711" xr:uid="{00000000-0005-0000-0000-0000BFB20000}"/>
    <cellStyle name="输入 2 2 3 6 2 2" xfId="45712" xr:uid="{00000000-0005-0000-0000-0000C0B20000}"/>
    <cellStyle name="输入 2 2 3 6 3" xfId="27377" xr:uid="{00000000-0005-0000-0000-0000216B0000}"/>
    <cellStyle name="输入 2 2 3 6 3 2" xfId="45713" xr:uid="{00000000-0005-0000-0000-0000C1B20000}"/>
    <cellStyle name="输入 2 2 3 6 4" xfId="45714" xr:uid="{00000000-0005-0000-0000-0000C2B20000}"/>
    <cellStyle name="输入 2 2 3 6 4 2" xfId="27406" xr:uid="{00000000-0005-0000-0000-00003E6B0000}"/>
    <cellStyle name="输入 2 2 3 6 5" xfId="17016" xr:uid="{00000000-0005-0000-0000-0000A8420000}"/>
    <cellStyle name="输入 2 2 3 6 5 2" xfId="17020" xr:uid="{00000000-0005-0000-0000-0000AC420000}"/>
    <cellStyle name="输入 2 2 3 6 6" xfId="17023" xr:uid="{00000000-0005-0000-0000-0000AF420000}"/>
    <cellStyle name="输入 2 2 3 7" xfId="45715" xr:uid="{00000000-0005-0000-0000-0000C3B20000}"/>
    <cellStyle name="输入 2 2 3 7 2" xfId="45716" xr:uid="{00000000-0005-0000-0000-0000C4B20000}"/>
    <cellStyle name="输入 2 2 3 7 2 2" xfId="45717" xr:uid="{00000000-0005-0000-0000-0000C5B20000}"/>
    <cellStyle name="输入 2 2 3 7 3" xfId="27488" xr:uid="{00000000-0005-0000-0000-0000906B0000}"/>
    <cellStyle name="输入 2 2 3 7 3 2" xfId="45719" xr:uid="{00000000-0005-0000-0000-0000C7B20000}"/>
    <cellStyle name="输入 2 2 3 7 4" xfId="45720" xr:uid="{00000000-0005-0000-0000-0000C8B20000}"/>
    <cellStyle name="输入 2 2 3 7 4 2" xfId="45721" xr:uid="{00000000-0005-0000-0000-0000C9B20000}"/>
    <cellStyle name="输入 2 2 3 7 5" xfId="3887" xr:uid="{00000000-0005-0000-0000-00005F0F0000}"/>
    <cellStyle name="输入 2 2 3 7 5 2" xfId="45722" xr:uid="{00000000-0005-0000-0000-0000CAB20000}"/>
    <cellStyle name="输入 2 2 3 7 6" xfId="45723" xr:uid="{00000000-0005-0000-0000-0000CBB20000}"/>
    <cellStyle name="输入 2 2 3 8" xfId="45724" xr:uid="{00000000-0005-0000-0000-0000CCB20000}"/>
    <cellStyle name="输入 2 2 3 8 2" xfId="45726" xr:uid="{00000000-0005-0000-0000-0000CEB20000}"/>
    <cellStyle name="输入 2 2 3 8 2 2" xfId="45727" xr:uid="{00000000-0005-0000-0000-0000CFB20000}"/>
    <cellStyle name="输入 2 2 3 8 3" xfId="27567" xr:uid="{00000000-0005-0000-0000-0000DF6B0000}"/>
    <cellStyle name="输入 2 2 3 8 3 2" xfId="45729" xr:uid="{00000000-0005-0000-0000-0000D1B20000}"/>
    <cellStyle name="输入 2 2 3 8 4" xfId="45730" xr:uid="{00000000-0005-0000-0000-0000D2B20000}"/>
    <cellStyle name="输入 2 2 3 8 4 2" xfId="45731" xr:uid="{00000000-0005-0000-0000-0000D3B20000}"/>
    <cellStyle name="输入 2 2 3 8 5" xfId="45732" xr:uid="{00000000-0005-0000-0000-0000D4B20000}"/>
    <cellStyle name="输入 2 2 3 9" xfId="45733" xr:uid="{00000000-0005-0000-0000-0000D5B20000}"/>
    <cellStyle name="输入 2 2 3 9 2" xfId="45734" xr:uid="{00000000-0005-0000-0000-0000D6B20000}"/>
    <cellStyle name="输入 2 2 4" xfId="45735" xr:uid="{00000000-0005-0000-0000-0000D7B20000}"/>
    <cellStyle name="输入 2 2 4 10" xfId="29044" xr:uid="{00000000-0005-0000-0000-0000A4710000}"/>
    <cellStyle name="输入 2 2 4 10 2" xfId="26057" xr:uid="{00000000-0005-0000-0000-0000F9650000}"/>
    <cellStyle name="输入 2 2 4 11" xfId="29047" xr:uid="{00000000-0005-0000-0000-0000A7710000}"/>
    <cellStyle name="输入 2 2 4 11 2" xfId="29050" xr:uid="{00000000-0005-0000-0000-0000AA710000}"/>
    <cellStyle name="输入 2 2 4 12" xfId="17089" xr:uid="{00000000-0005-0000-0000-0000F1420000}"/>
    <cellStyle name="输入 2 2 4 12 2" xfId="17095" xr:uid="{00000000-0005-0000-0000-0000F7420000}"/>
    <cellStyle name="输入 2 2 4 13" xfId="17100" xr:uid="{00000000-0005-0000-0000-0000FC420000}"/>
    <cellStyle name="输入 2 2 4 14" xfId="17110" xr:uid="{00000000-0005-0000-0000-000006430000}"/>
    <cellStyle name="输入 2 2 4 15" xfId="45737" xr:uid="{00000000-0005-0000-0000-0000D9B20000}"/>
    <cellStyle name="输入 2 2 4 16" xfId="45738" xr:uid="{00000000-0005-0000-0000-0000DAB20000}"/>
    <cellStyle name="输入 2 2 4 2" xfId="45739" xr:uid="{00000000-0005-0000-0000-0000DBB20000}"/>
    <cellStyle name="输入 2 2 4 2 2" xfId="45741" xr:uid="{00000000-0005-0000-0000-0000DDB20000}"/>
    <cellStyle name="输入 2 2 4 2 2 2" xfId="45742" xr:uid="{00000000-0005-0000-0000-0000DEB20000}"/>
    <cellStyle name="输入 2 2 4 2 3" xfId="45743" xr:uid="{00000000-0005-0000-0000-0000DFB20000}"/>
    <cellStyle name="输入 2 2 4 2 3 2" xfId="45744" xr:uid="{00000000-0005-0000-0000-0000E0B20000}"/>
    <cellStyle name="输入 2 2 4 2 4" xfId="45745" xr:uid="{00000000-0005-0000-0000-0000E1B20000}"/>
    <cellStyle name="输入 2 2 4 2 4 2" xfId="45747" xr:uid="{00000000-0005-0000-0000-0000E3B20000}"/>
    <cellStyle name="输入 2 2 4 2 5" xfId="17091" xr:uid="{00000000-0005-0000-0000-0000F3420000}"/>
    <cellStyle name="输入 2 2 4 2 5 2" xfId="17097" xr:uid="{00000000-0005-0000-0000-0000F9420000}"/>
    <cellStyle name="输入 2 2 4 2 6" xfId="17102" xr:uid="{00000000-0005-0000-0000-0000FE420000}"/>
    <cellStyle name="输入 2 2 4 2 7" xfId="17112" xr:uid="{00000000-0005-0000-0000-000008430000}"/>
    <cellStyle name="输入 2 2 4 2 8" xfId="12346" xr:uid="{00000000-0005-0000-0000-00006A300000}"/>
    <cellStyle name="输入 2 2 4 2 9" xfId="8953" xr:uid="{00000000-0005-0000-0000-000029230000}"/>
    <cellStyle name="输入 2 2 4 3" xfId="45748" xr:uid="{00000000-0005-0000-0000-0000E4B20000}"/>
    <cellStyle name="输入 2 2 4 3 2" xfId="45749" xr:uid="{00000000-0005-0000-0000-0000E5B20000}"/>
    <cellStyle name="输入 2 2 4 3 2 2" xfId="45750" xr:uid="{00000000-0005-0000-0000-0000E6B20000}"/>
    <cellStyle name="输入 2 2 4 3 3" xfId="45751" xr:uid="{00000000-0005-0000-0000-0000E7B20000}"/>
    <cellStyle name="输入 2 2 4 3 3 2" xfId="45752" xr:uid="{00000000-0005-0000-0000-0000E8B20000}"/>
    <cellStyle name="输入 2 2 4 3 4" xfId="45753" xr:uid="{00000000-0005-0000-0000-0000E9B20000}"/>
    <cellStyle name="输入 2 2 4 3 4 2" xfId="45755" xr:uid="{00000000-0005-0000-0000-0000EBB20000}"/>
    <cellStyle name="输入 2 2 4 3 5" xfId="17126" xr:uid="{00000000-0005-0000-0000-000016430000}"/>
    <cellStyle name="输入 2 2 4 3 5 2" xfId="17134" xr:uid="{00000000-0005-0000-0000-00001E430000}"/>
    <cellStyle name="输入 2 2 4 3 6" xfId="17139" xr:uid="{00000000-0005-0000-0000-000023430000}"/>
    <cellStyle name="输入 2 2 4 4" xfId="45756" xr:uid="{00000000-0005-0000-0000-0000ECB20000}"/>
    <cellStyle name="输入 2 2 4 4 2" xfId="45757" xr:uid="{00000000-0005-0000-0000-0000EDB20000}"/>
    <cellStyle name="输入 2 2 4 4 2 2" xfId="45758" xr:uid="{00000000-0005-0000-0000-0000EEB20000}"/>
    <cellStyle name="输入 2 2 4 4 3" xfId="45759" xr:uid="{00000000-0005-0000-0000-0000EFB20000}"/>
    <cellStyle name="输入 2 2 4 4 3 2" xfId="45760" xr:uid="{00000000-0005-0000-0000-0000F0B20000}"/>
    <cellStyle name="输入 2 2 4 4 4" xfId="45761" xr:uid="{00000000-0005-0000-0000-0000F1B20000}"/>
    <cellStyle name="输入 2 2 4 4 4 2" xfId="45763" xr:uid="{00000000-0005-0000-0000-0000F3B20000}"/>
    <cellStyle name="输入 2 2 4 4 5" xfId="17161" xr:uid="{00000000-0005-0000-0000-000039430000}"/>
    <cellStyle name="输入 2 2 4 4 5 2" xfId="17169" xr:uid="{00000000-0005-0000-0000-000041430000}"/>
    <cellStyle name="输入 2 2 4 4 6" xfId="17174" xr:uid="{00000000-0005-0000-0000-000046430000}"/>
    <cellStyle name="输入 2 2 4 5" xfId="45764" xr:uid="{00000000-0005-0000-0000-0000F4B20000}"/>
    <cellStyle name="输入 2 2 4 5 2" xfId="45765" xr:uid="{00000000-0005-0000-0000-0000F5B20000}"/>
    <cellStyle name="输入 2 2 4 5 2 2" xfId="23960" xr:uid="{00000000-0005-0000-0000-0000C85D0000}"/>
    <cellStyle name="输入 2 2 4 5 3" xfId="45766" xr:uid="{00000000-0005-0000-0000-0000F6B20000}"/>
    <cellStyle name="输入 2 2 4 5 3 2" xfId="23974" xr:uid="{00000000-0005-0000-0000-0000D65D0000}"/>
    <cellStyle name="输入 2 2 4 5 4" xfId="45767" xr:uid="{00000000-0005-0000-0000-0000F7B20000}"/>
    <cellStyle name="输入 2 2 4 5 4 2" xfId="20260" xr:uid="{00000000-0005-0000-0000-0000544F0000}"/>
    <cellStyle name="输入 2 2 4 5 5" xfId="11262" xr:uid="{00000000-0005-0000-0000-00002E2C0000}"/>
    <cellStyle name="输入 2 2 4 5 5 2" xfId="17201" xr:uid="{00000000-0005-0000-0000-000061430000}"/>
    <cellStyle name="输入 2 2 4 5 6" xfId="17206" xr:uid="{00000000-0005-0000-0000-000066430000}"/>
    <cellStyle name="输入 2 2 4 6" xfId="45769" xr:uid="{00000000-0005-0000-0000-0000F9B20000}"/>
    <cellStyle name="输入 2 2 4 6 2" xfId="45770" xr:uid="{00000000-0005-0000-0000-0000FAB20000}"/>
    <cellStyle name="输入 2 2 4 6 2 2" xfId="24064" xr:uid="{00000000-0005-0000-0000-0000305E0000}"/>
    <cellStyle name="输入 2 2 4 6 3" xfId="28418" xr:uid="{00000000-0005-0000-0000-0000326F0000}"/>
    <cellStyle name="输入 2 2 4 6 3 2" xfId="24097" xr:uid="{00000000-0005-0000-0000-0000515E0000}"/>
    <cellStyle name="输入 2 2 4 6 4" xfId="45771" xr:uid="{00000000-0005-0000-0000-0000FBB20000}"/>
    <cellStyle name="输入 2 2 4 6 4 2" xfId="41879" xr:uid="{00000000-0005-0000-0000-0000C7A30000}"/>
    <cellStyle name="输入 2 2 4 6 5" xfId="11268" xr:uid="{00000000-0005-0000-0000-0000342C0000}"/>
    <cellStyle name="输入 2 2 4 6 5 2" xfId="17232" xr:uid="{00000000-0005-0000-0000-000080430000}"/>
    <cellStyle name="输入 2 2 4 6 6" xfId="714" xr:uid="{00000000-0005-0000-0000-0000FA020000}"/>
    <cellStyle name="输入 2 2 4 7" xfId="43959" xr:uid="{00000000-0005-0000-0000-0000E7AB0000}"/>
    <cellStyle name="输入 2 2 4 7 2" xfId="45772" xr:uid="{00000000-0005-0000-0000-0000FCB20000}"/>
    <cellStyle name="输入 2 2 4 7 2 2" xfId="24250" xr:uid="{00000000-0005-0000-0000-0000EA5E0000}"/>
    <cellStyle name="输入 2 2 4 7 3" xfId="28514" xr:uid="{00000000-0005-0000-0000-0000926F0000}"/>
    <cellStyle name="输入 2 2 4 7 3 2" xfId="24271" xr:uid="{00000000-0005-0000-0000-0000FF5E0000}"/>
    <cellStyle name="输入 2 2 4 7 4" xfId="45773" xr:uid="{00000000-0005-0000-0000-0000FDB20000}"/>
    <cellStyle name="输入 2 2 4 7 4 2" xfId="45774" xr:uid="{00000000-0005-0000-0000-0000FEB20000}"/>
    <cellStyle name="输入 2 2 4 7 5" xfId="7690" xr:uid="{00000000-0005-0000-0000-00003A1E0000}"/>
    <cellStyle name="输入 2 2 4 7 5 2" xfId="45775" xr:uid="{00000000-0005-0000-0000-0000FFB20000}"/>
    <cellStyle name="输入 2 2 4 7 6" xfId="27748" xr:uid="{00000000-0005-0000-0000-0000946C0000}"/>
    <cellStyle name="输入 2 2 4 8" xfId="45776" xr:uid="{00000000-0005-0000-0000-000000B30000}"/>
    <cellStyle name="输入 2 2 4 8 2" xfId="45778" xr:uid="{00000000-0005-0000-0000-000002B30000}"/>
    <cellStyle name="输入 2 2 4 8 2 2" xfId="24389" xr:uid="{00000000-0005-0000-0000-0000755F0000}"/>
    <cellStyle name="输入 2 2 4 8 3" xfId="28177" xr:uid="{00000000-0005-0000-0000-0000416E0000}"/>
    <cellStyle name="输入 2 2 4 8 3 2" xfId="24414" xr:uid="{00000000-0005-0000-0000-00008E5F0000}"/>
    <cellStyle name="输入 2 2 4 8 4" xfId="45779" xr:uid="{00000000-0005-0000-0000-000003B30000}"/>
    <cellStyle name="输入 2 2 4 8 4 2" xfId="45780" xr:uid="{00000000-0005-0000-0000-000004B30000}"/>
    <cellStyle name="输入 2 2 4 8 5" xfId="7942" xr:uid="{00000000-0005-0000-0000-0000361F0000}"/>
    <cellStyle name="输入 2 2 4 9" xfId="45781" xr:uid="{00000000-0005-0000-0000-000005B30000}"/>
    <cellStyle name="输入 2 2 4 9 2" xfId="45782" xr:uid="{00000000-0005-0000-0000-000006B30000}"/>
    <cellStyle name="输入 2 2 5" xfId="45783" xr:uid="{00000000-0005-0000-0000-000007B30000}"/>
    <cellStyle name="输入 2 2 5 10" xfId="28520" xr:uid="{00000000-0005-0000-0000-0000986F0000}"/>
    <cellStyle name="输入 2 2 5 10 2" xfId="45785" xr:uid="{00000000-0005-0000-0000-000009B30000}"/>
    <cellStyle name="输入 2 2 5 11" xfId="28525" xr:uid="{00000000-0005-0000-0000-00009D6F0000}"/>
    <cellStyle name="输入 2 2 5 11 2" xfId="24285" xr:uid="{00000000-0005-0000-0000-00000D5F0000}"/>
    <cellStyle name="输入 2 2 5 12" xfId="7685" xr:uid="{00000000-0005-0000-0000-0000351E0000}"/>
    <cellStyle name="输入 2 2 5 12 2" xfId="24307" xr:uid="{00000000-0005-0000-0000-0000235F0000}"/>
    <cellStyle name="输入 2 2 5 13" xfId="27745" xr:uid="{00000000-0005-0000-0000-0000916C0000}"/>
    <cellStyle name="输入 2 2 5 14" xfId="18245" xr:uid="{00000000-0005-0000-0000-000075470000}"/>
    <cellStyle name="输入 2 2 5 15" xfId="37946" xr:uid="{00000000-0005-0000-0000-00006A940000}"/>
    <cellStyle name="输入 2 2 5 16" xfId="45787" xr:uid="{00000000-0005-0000-0000-00000BB30000}"/>
    <cellStyle name="输入 2 2 5 2" xfId="45788" xr:uid="{00000000-0005-0000-0000-00000CB30000}"/>
    <cellStyle name="输入 2 2 5 2 2" xfId="39860" xr:uid="{00000000-0005-0000-0000-0000E49B0000}"/>
    <cellStyle name="输入 2 2 5 2 2 2" xfId="39862" xr:uid="{00000000-0005-0000-0000-0000E69B0000}"/>
    <cellStyle name="输入 2 2 5 2 3" xfId="39873" xr:uid="{00000000-0005-0000-0000-0000F19B0000}"/>
    <cellStyle name="输入 2 2 5 2 3 2" xfId="39875" xr:uid="{00000000-0005-0000-0000-0000F39B0000}"/>
    <cellStyle name="输入 2 2 5 2 4" xfId="39879" xr:uid="{00000000-0005-0000-0000-0000F79B0000}"/>
    <cellStyle name="输入 2 2 5 2 4 2" xfId="39882" xr:uid="{00000000-0005-0000-0000-0000FA9B0000}"/>
    <cellStyle name="输入 2 2 5 2 5" xfId="16771" xr:uid="{00000000-0005-0000-0000-0000B3410000}"/>
    <cellStyle name="输入 2 2 5 2 5 2" xfId="45789" xr:uid="{00000000-0005-0000-0000-00000DB30000}"/>
    <cellStyle name="输入 2 2 5 2 6" xfId="44551" xr:uid="{00000000-0005-0000-0000-000037AE0000}"/>
    <cellStyle name="输入 2 2 5 2 7" xfId="45790" xr:uid="{00000000-0005-0000-0000-00000EB30000}"/>
    <cellStyle name="输入 2 2 5 2 8" xfId="45791" xr:uid="{00000000-0005-0000-0000-00000FB30000}"/>
    <cellStyle name="输入 2 2 5 2 9" xfId="45792" xr:uid="{00000000-0005-0000-0000-000010B30000}"/>
    <cellStyle name="输入 2 2 5 3" xfId="45793" xr:uid="{00000000-0005-0000-0000-000011B30000}"/>
    <cellStyle name="输入 2 2 5 3 2" xfId="28448" xr:uid="{00000000-0005-0000-0000-0000506F0000}"/>
    <cellStyle name="输入 2 2 5 3 2 2" xfId="28327" xr:uid="{00000000-0005-0000-0000-0000D76E0000}"/>
    <cellStyle name="输入 2 2 5 3 3" xfId="28456" xr:uid="{00000000-0005-0000-0000-0000586F0000}"/>
    <cellStyle name="输入 2 2 5 3 3 2" xfId="28423" xr:uid="{00000000-0005-0000-0000-0000376F0000}"/>
    <cellStyle name="输入 2 2 5 3 4" xfId="28464" xr:uid="{00000000-0005-0000-0000-0000606F0000}"/>
    <cellStyle name="输入 2 2 5 3 4 2" xfId="28519" xr:uid="{00000000-0005-0000-0000-0000976F0000}"/>
    <cellStyle name="输入 2 2 5 3 5" xfId="28470" xr:uid="{00000000-0005-0000-0000-0000666F0000}"/>
    <cellStyle name="输入 2 2 5 3 5 2" xfId="28182" xr:uid="{00000000-0005-0000-0000-0000466E0000}"/>
    <cellStyle name="输入 2 2 5 3 6" xfId="44554" xr:uid="{00000000-0005-0000-0000-00003AAE0000}"/>
    <cellStyle name="输入 2 2 5 4" xfId="45794" xr:uid="{00000000-0005-0000-0000-000012B30000}"/>
    <cellStyle name="输入 2 2 5 4 2" xfId="24864" xr:uid="{00000000-0005-0000-0000-000050610000}"/>
    <cellStyle name="输入 2 2 5 4 2 2" xfId="24873" xr:uid="{00000000-0005-0000-0000-000059610000}"/>
    <cellStyle name="输入 2 2 5 4 3" xfId="24856" xr:uid="{00000000-0005-0000-0000-000048610000}"/>
    <cellStyle name="输入 2 2 5 4 3 2" xfId="24883" xr:uid="{00000000-0005-0000-0000-000063610000}"/>
    <cellStyle name="输入 2 2 5 4 4" xfId="24887" xr:uid="{00000000-0005-0000-0000-000067610000}"/>
    <cellStyle name="输入 2 2 5 4 4 2" xfId="24900" xr:uid="{00000000-0005-0000-0000-000074610000}"/>
    <cellStyle name="输入 2 2 5 4 5" xfId="24902" xr:uid="{00000000-0005-0000-0000-000076610000}"/>
    <cellStyle name="输入 2 2 5 4 5 2" xfId="25075" xr:uid="{00000000-0005-0000-0000-000023620000}"/>
    <cellStyle name="输入 2 2 5 4 6" xfId="45795" xr:uid="{00000000-0005-0000-0000-000013B30000}"/>
    <cellStyle name="输入 2 2 5 5" xfId="45796" xr:uid="{00000000-0005-0000-0000-000014B30000}"/>
    <cellStyle name="输入 2 2 5 5 2" xfId="24927" xr:uid="{00000000-0005-0000-0000-00008F610000}"/>
    <cellStyle name="输入 2 2 5 5 2 2" xfId="24932" xr:uid="{00000000-0005-0000-0000-000094610000}"/>
    <cellStyle name="输入 2 2 5 5 3" xfId="24868" xr:uid="{00000000-0005-0000-0000-000054610000}"/>
    <cellStyle name="输入 2 2 5 5 3 2" xfId="24940" xr:uid="{00000000-0005-0000-0000-00009C610000}"/>
    <cellStyle name="输入 2 2 5 5 4" xfId="24950" xr:uid="{00000000-0005-0000-0000-0000A6610000}"/>
    <cellStyle name="输入 2 2 5 5 4 2" xfId="24958" xr:uid="{00000000-0005-0000-0000-0000AE610000}"/>
    <cellStyle name="输入 2 2 5 5 5" xfId="11297" xr:uid="{00000000-0005-0000-0000-0000512C0000}"/>
    <cellStyle name="输入 2 2 5 5 5 2" xfId="45797" xr:uid="{00000000-0005-0000-0000-000015B30000}"/>
    <cellStyle name="输入 2 2 5 5 6" xfId="45798" xr:uid="{00000000-0005-0000-0000-000016B30000}"/>
    <cellStyle name="输入 2 2 5 6" xfId="45799" xr:uid="{00000000-0005-0000-0000-000017B30000}"/>
    <cellStyle name="输入 2 2 5 6 2" xfId="24979" xr:uid="{00000000-0005-0000-0000-0000C3610000}"/>
    <cellStyle name="输入 2 2 5 6 2 2" xfId="24984" xr:uid="{00000000-0005-0000-0000-0000C8610000}"/>
    <cellStyle name="输入 2 2 5 6 3" xfId="24877" xr:uid="{00000000-0005-0000-0000-00005D610000}"/>
    <cellStyle name="输入 2 2 5 6 3 2" xfId="24992" xr:uid="{00000000-0005-0000-0000-0000D0610000}"/>
    <cellStyle name="输入 2 2 5 6 4" xfId="25002" xr:uid="{00000000-0005-0000-0000-0000DA610000}"/>
    <cellStyle name="输入 2 2 5 6 4 2" xfId="25011" xr:uid="{00000000-0005-0000-0000-0000E3610000}"/>
    <cellStyle name="输入 2 2 5 6 5" xfId="11307" xr:uid="{00000000-0005-0000-0000-00005B2C0000}"/>
    <cellStyle name="输入 2 2 5 6 5 2" xfId="45800" xr:uid="{00000000-0005-0000-0000-000018B30000}"/>
    <cellStyle name="输入 2 2 5 6 6" xfId="45801" xr:uid="{00000000-0005-0000-0000-000019B30000}"/>
    <cellStyle name="输入 2 2 5 7" xfId="43962" xr:uid="{00000000-0005-0000-0000-0000EAAB0000}"/>
    <cellStyle name="输入 2 2 5 7 2" xfId="45802" xr:uid="{00000000-0005-0000-0000-00001AB30000}"/>
    <cellStyle name="输入 2 2 5 7 2 2" xfId="45803" xr:uid="{00000000-0005-0000-0000-00001BB30000}"/>
    <cellStyle name="输入 2 2 5 7 3" xfId="24893" xr:uid="{00000000-0005-0000-0000-00006D610000}"/>
    <cellStyle name="输入 2 2 5 7 3 2" xfId="45804" xr:uid="{00000000-0005-0000-0000-00001CB30000}"/>
    <cellStyle name="输入 2 2 5 7 4" xfId="45805" xr:uid="{00000000-0005-0000-0000-00001DB30000}"/>
    <cellStyle name="输入 2 2 5 7 4 2" xfId="45806" xr:uid="{00000000-0005-0000-0000-00001EB30000}"/>
    <cellStyle name="输入 2 2 5 7 5" xfId="9821" xr:uid="{00000000-0005-0000-0000-00008D260000}"/>
    <cellStyle name="输入 2 2 5 7 5 2" xfId="45807" xr:uid="{00000000-0005-0000-0000-00001FB30000}"/>
    <cellStyle name="输入 2 2 5 7 6" xfId="45808" xr:uid="{00000000-0005-0000-0000-000020B30000}"/>
    <cellStyle name="输入 2 2 5 8" xfId="45809" xr:uid="{00000000-0005-0000-0000-000021B30000}"/>
    <cellStyle name="输入 2 2 5 8 2" xfId="45811" xr:uid="{00000000-0005-0000-0000-000023B30000}"/>
    <cellStyle name="输入 2 2 5 8 2 2" xfId="45812" xr:uid="{00000000-0005-0000-0000-000024B30000}"/>
    <cellStyle name="输入 2 2 5 8 3" xfId="25071" xr:uid="{00000000-0005-0000-0000-00001F620000}"/>
    <cellStyle name="输入 2 2 5 8 3 2" xfId="45813" xr:uid="{00000000-0005-0000-0000-000025B30000}"/>
    <cellStyle name="输入 2 2 5 8 4" xfId="45814" xr:uid="{00000000-0005-0000-0000-000026B30000}"/>
    <cellStyle name="输入 2 2 5 8 4 2" xfId="45815" xr:uid="{00000000-0005-0000-0000-000027B30000}"/>
    <cellStyle name="输入 2 2 5 8 5" xfId="7726" xr:uid="{00000000-0005-0000-0000-00005E1E0000}"/>
    <cellStyle name="输入 2 2 5 9" xfId="38167" xr:uid="{00000000-0005-0000-0000-000047950000}"/>
    <cellStyle name="输入 2 2 5 9 2" xfId="45817" xr:uid="{00000000-0005-0000-0000-000029B30000}"/>
    <cellStyle name="输入 2 2 6" xfId="45818" xr:uid="{00000000-0005-0000-0000-00002AB30000}"/>
    <cellStyle name="输入 2 2 6 10" xfId="45819" xr:uid="{00000000-0005-0000-0000-00002BB30000}"/>
    <cellStyle name="输入 2 2 6 10 2" xfId="45821" xr:uid="{00000000-0005-0000-0000-00002DB30000}"/>
    <cellStyle name="输入 2 2 6 11" xfId="5747" xr:uid="{00000000-0005-0000-0000-0000A3160000}"/>
    <cellStyle name="输入 2 2 6 11 2" xfId="5759" xr:uid="{00000000-0005-0000-0000-0000AF160000}"/>
    <cellStyle name="输入 2 2 6 12" xfId="5768" xr:uid="{00000000-0005-0000-0000-0000B8160000}"/>
    <cellStyle name="输入 2 2 6 12 2" xfId="290" xr:uid="{00000000-0005-0000-0000-00003E010000}"/>
    <cellStyle name="输入 2 2 6 13" xfId="5777" xr:uid="{00000000-0005-0000-0000-0000C1160000}"/>
    <cellStyle name="输入 2 2 6 14" xfId="5800" xr:uid="{00000000-0005-0000-0000-0000D8160000}"/>
    <cellStyle name="输入 2 2 6 15" xfId="37005" xr:uid="{00000000-0005-0000-0000-0000BD900000}"/>
    <cellStyle name="输入 2 2 6 16" xfId="37009" xr:uid="{00000000-0005-0000-0000-0000C1900000}"/>
    <cellStyle name="输入 2 2 6 2" xfId="36978" xr:uid="{00000000-0005-0000-0000-0000A2900000}"/>
    <cellStyle name="输入 2 2 6 2 2" xfId="40313" xr:uid="{00000000-0005-0000-0000-0000A99D0000}"/>
    <cellStyle name="输入 2 2 6 2 2 2" xfId="40315" xr:uid="{00000000-0005-0000-0000-0000AB9D0000}"/>
    <cellStyle name="输入 2 2 6 2 3" xfId="40320" xr:uid="{00000000-0005-0000-0000-0000B09D0000}"/>
    <cellStyle name="输入 2 2 6 2 3 2" xfId="40322" xr:uid="{00000000-0005-0000-0000-0000B29D0000}"/>
    <cellStyle name="输入 2 2 6 2 4" xfId="40325" xr:uid="{00000000-0005-0000-0000-0000B59D0000}"/>
    <cellStyle name="输入 2 2 6 2 4 2" xfId="40328" xr:uid="{00000000-0005-0000-0000-0000B89D0000}"/>
    <cellStyle name="输入 2 2 6 2 5" xfId="16794" xr:uid="{00000000-0005-0000-0000-0000CA410000}"/>
    <cellStyle name="输入 2 2 6 2 5 2" xfId="11738" xr:uid="{00000000-0005-0000-0000-00000A2E0000}"/>
    <cellStyle name="输入 2 2 6 2 6" xfId="3104" xr:uid="{00000000-0005-0000-0000-0000500C0000}"/>
    <cellStyle name="输入 2 2 6 2 7" xfId="45823" xr:uid="{00000000-0005-0000-0000-00002FB30000}"/>
    <cellStyle name="输入 2 2 6 2 8" xfId="45824" xr:uid="{00000000-0005-0000-0000-000030B30000}"/>
    <cellStyle name="输入 2 2 6 2 9" xfId="45825" xr:uid="{00000000-0005-0000-0000-000031B30000}"/>
    <cellStyle name="输入 2 2 6 3" xfId="36982" xr:uid="{00000000-0005-0000-0000-0000A6900000}"/>
    <cellStyle name="输入 2 2 6 3 2" xfId="29703" xr:uid="{00000000-0005-0000-0000-000037740000}"/>
    <cellStyle name="输入 2 2 6 3 2 2" xfId="29706" xr:uid="{00000000-0005-0000-0000-00003A740000}"/>
    <cellStyle name="输入 2 2 6 3 3" xfId="29717" xr:uid="{00000000-0005-0000-0000-000045740000}"/>
    <cellStyle name="输入 2 2 6 3 3 2" xfId="29720" xr:uid="{00000000-0005-0000-0000-000048740000}"/>
    <cellStyle name="输入 2 2 6 3 4" xfId="29750" xr:uid="{00000000-0005-0000-0000-000066740000}"/>
    <cellStyle name="输入 2 2 6 3 4 2" xfId="29754" xr:uid="{00000000-0005-0000-0000-00006A740000}"/>
    <cellStyle name="输入 2 2 6 3 5" xfId="45826" xr:uid="{00000000-0005-0000-0000-000032B30000}"/>
    <cellStyle name="输入 2 2 6 3 5 2" xfId="29780" xr:uid="{00000000-0005-0000-0000-000084740000}"/>
    <cellStyle name="输入 2 2 6 3 6" xfId="44558" xr:uid="{00000000-0005-0000-0000-00003EAE0000}"/>
    <cellStyle name="输入 2 2 6 4" xfId="36984" xr:uid="{00000000-0005-0000-0000-0000A8900000}"/>
    <cellStyle name="输入 2 2 6 4 2" xfId="29861" xr:uid="{00000000-0005-0000-0000-0000D5740000}"/>
    <cellStyle name="输入 2 2 6 4 2 2" xfId="1065" xr:uid="{00000000-0005-0000-0000-000059040000}"/>
    <cellStyle name="输入 2 2 6 4 3" xfId="24922" xr:uid="{00000000-0005-0000-0000-00008A610000}"/>
    <cellStyle name="输入 2 2 6 4 3 2" xfId="25182" xr:uid="{00000000-0005-0000-0000-00008E620000}"/>
    <cellStyle name="输入 2 2 6 4 4" xfId="29869" xr:uid="{00000000-0005-0000-0000-0000DD740000}"/>
    <cellStyle name="输入 2 2 6 4 4 2" xfId="25195" xr:uid="{00000000-0005-0000-0000-00009B620000}"/>
    <cellStyle name="输入 2 2 6 4 5" xfId="45827" xr:uid="{00000000-0005-0000-0000-000033B30000}"/>
    <cellStyle name="输入 2 2 6 4 5 2" xfId="25866" xr:uid="{00000000-0005-0000-0000-00003A650000}"/>
    <cellStyle name="输入 2 2 6 4 6" xfId="45828" xr:uid="{00000000-0005-0000-0000-000034B30000}"/>
    <cellStyle name="输入 2 2 6 5" xfId="11014" xr:uid="{00000000-0005-0000-0000-0000362B0000}"/>
    <cellStyle name="输入 2 2 6 5 2" xfId="29970" xr:uid="{00000000-0005-0000-0000-000042750000}"/>
    <cellStyle name="输入 2 2 6 5 2 2" xfId="21369" xr:uid="{00000000-0005-0000-0000-0000A9530000}"/>
    <cellStyle name="输入 2 2 6 5 3" xfId="24935" xr:uid="{00000000-0005-0000-0000-000097610000}"/>
    <cellStyle name="输入 2 2 6 5 3 2" xfId="21399" xr:uid="{00000000-0005-0000-0000-0000C7530000}"/>
    <cellStyle name="输入 2 2 6 5 4" xfId="29996" xr:uid="{00000000-0005-0000-0000-00005C750000}"/>
    <cellStyle name="输入 2 2 6 5 4 2" xfId="21454" xr:uid="{00000000-0005-0000-0000-0000FE530000}"/>
    <cellStyle name="输入 2 2 6 5 5" xfId="11337" xr:uid="{00000000-0005-0000-0000-0000792C0000}"/>
    <cellStyle name="输入 2 2 6 5 5 2" xfId="45829" xr:uid="{00000000-0005-0000-0000-000035B30000}"/>
    <cellStyle name="输入 2 2 6 5 6" xfId="45831" xr:uid="{00000000-0005-0000-0000-000037B30000}"/>
    <cellStyle name="输入 2 2 6 6" xfId="45832" xr:uid="{00000000-0005-0000-0000-000038B30000}"/>
    <cellStyle name="输入 2 2 6 6 2" xfId="30123" xr:uid="{00000000-0005-0000-0000-0000DB750000}"/>
    <cellStyle name="输入 2 2 6 6 2 2" xfId="21549" xr:uid="{00000000-0005-0000-0000-00005D540000}"/>
    <cellStyle name="输入 2 2 6 6 3" xfId="24944" xr:uid="{00000000-0005-0000-0000-0000A0610000}"/>
    <cellStyle name="输入 2 2 6 6 3 2" xfId="21577" xr:uid="{00000000-0005-0000-0000-000079540000}"/>
    <cellStyle name="输入 2 2 6 6 4" xfId="30155" xr:uid="{00000000-0005-0000-0000-0000FB750000}"/>
    <cellStyle name="输入 2 2 6 6 4 2" xfId="21604" xr:uid="{00000000-0005-0000-0000-000094540000}"/>
    <cellStyle name="输入 2 2 6 6 5" xfId="11353" xr:uid="{00000000-0005-0000-0000-0000892C0000}"/>
    <cellStyle name="输入 2 2 6 6 5 2" xfId="45834" xr:uid="{00000000-0005-0000-0000-00003AB30000}"/>
    <cellStyle name="输入 2 2 6 6 6" xfId="45835" xr:uid="{00000000-0005-0000-0000-00003BB30000}"/>
    <cellStyle name="输入 2 2 6 7" xfId="43965" xr:uid="{00000000-0005-0000-0000-0000EDAB0000}"/>
    <cellStyle name="输入 2 2 6 7 2" xfId="45836" xr:uid="{00000000-0005-0000-0000-00003CB30000}"/>
    <cellStyle name="输入 2 2 6 7 2 2" xfId="45838" xr:uid="{00000000-0005-0000-0000-00003EB30000}"/>
    <cellStyle name="输入 2 2 6 7 3" xfId="24960" xr:uid="{00000000-0005-0000-0000-0000B0610000}"/>
    <cellStyle name="输入 2 2 6 7 3 2" xfId="45840" xr:uid="{00000000-0005-0000-0000-000040B30000}"/>
    <cellStyle name="输入 2 2 6 7 4" xfId="45842" xr:uid="{00000000-0005-0000-0000-000042B30000}"/>
    <cellStyle name="输入 2 2 6 7 4 2" xfId="45843" xr:uid="{00000000-0005-0000-0000-000043B30000}"/>
    <cellStyle name="输入 2 2 6 7 5" xfId="11371" xr:uid="{00000000-0005-0000-0000-00009B2C0000}"/>
    <cellStyle name="输入 2 2 6 7 5 2" xfId="45845" xr:uid="{00000000-0005-0000-0000-000045B30000}"/>
    <cellStyle name="输入 2 2 6 7 6" xfId="45847" xr:uid="{00000000-0005-0000-0000-000047B30000}"/>
    <cellStyle name="输入 2 2 6 8" xfId="45848" xr:uid="{00000000-0005-0000-0000-000048B30000}"/>
    <cellStyle name="输入 2 2 6 8 2" xfId="45851" xr:uid="{00000000-0005-0000-0000-00004BB30000}"/>
    <cellStyle name="输入 2 2 6 8 2 2" xfId="20928" xr:uid="{00000000-0005-0000-0000-0000F0510000}"/>
    <cellStyle name="输入 2 2 6 8 3" xfId="25256" xr:uid="{00000000-0005-0000-0000-0000D8620000}"/>
    <cellStyle name="输入 2 2 6 8 3 2" xfId="45853" xr:uid="{00000000-0005-0000-0000-00004DB30000}"/>
    <cellStyle name="输入 2 2 6 8 4" xfId="45854" xr:uid="{00000000-0005-0000-0000-00004EB30000}"/>
    <cellStyle name="输入 2 2 6 8 4 2" xfId="45855" xr:uid="{00000000-0005-0000-0000-00004FB30000}"/>
    <cellStyle name="输入 2 2 6 8 5" xfId="8825" xr:uid="{00000000-0005-0000-0000-0000A9220000}"/>
    <cellStyle name="输入 2 2 6 9" xfId="38170" xr:uid="{00000000-0005-0000-0000-00004A950000}"/>
    <cellStyle name="输入 2 2 6 9 2" xfId="45857" xr:uid="{00000000-0005-0000-0000-000051B30000}"/>
    <cellStyle name="输入 2 2 7" xfId="45858" xr:uid="{00000000-0005-0000-0000-000052B30000}"/>
    <cellStyle name="输入 2 2 7 10" xfId="45859" xr:uid="{00000000-0005-0000-0000-000053B30000}"/>
    <cellStyle name="输入 2 2 7 10 2" xfId="45861" xr:uid="{00000000-0005-0000-0000-000055B30000}"/>
    <cellStyle name="输入 2 2 7 11" xfId="39042" xr:uid="{00000000-0005-0000-0000-0000B2980000}"/>
    <cellStyle name="输入 2 2 7 11 2" xfId="39044" xr:uid="{00000000-0005-0000-0000-0000B4980000}"/>
    <cellStyle name="输入 2 2 7 12" xfId="19045" xr:uid="{00000000-0005-0000-0000-0000954A0000}"/>
    <cellStyle name="输入 2 2 7 12 2" xfId="250" xr:uid="{00000000-0005-0000-0000-000013010000}"/>
    <cellStyle name="输入 2 2 7 13" xfId="39063" xr:uid="{00000000-0005-0000-0000-0000C7980000}"/>
    <cellStyle name="输入 2 2 7 14" xfId="39076" xr:uid="{00000000-0005-0000-0000-0000D4980000}"/>
    <cellStyle name="输入 2 2 7 15" xfId="35594" xr:uid="{00000000-0005-0000-0000-00003A8B0000}"/>
    <cellStyle name="输入 2 2 7 16" xfId="39094" xr:uid="{00000000-0005-0000-0000-0000E6980000}"/>
    <cellStyle name="输入 2 2 7 2" xfId="45862" xr:uid="{00000000-0005-0000-0000-000056B30000}"/>
    <cellStyle name="输入 2 2 7 2 2" xfId="40741" xr:uid="{00000000-0005-0000-0000-0000559F0000}"/>
    <cellStyle name="输入 2 2 7 2 2 2" xfId="40743" xr:uid="{00000000-0005-0000-0000-0000579F0000}"/>
    <cellStyle name="输入 2 2 7 2 3" xfId="40758" xr:uid="{00000000-0005-0000-0000-0000669F0000}"/>
    <cellStyle name="输入 2 2 7 2 3 2" xfId="40760" xr:uid="{00000000-0005-0000-0000-0000689F0000}"/>
    <cellStyle name="输入 2 2 7 2 4" xfId="40765" xr:uid="{00000000-0005-0000-0000-00006D9F0000}"/>
    <cellStyle name="输入 2 2 7 2 4 2" xfId="40768" xr:uid="{00000000-0005-0000-0000-0000709F0000}"/>
    <cellStyle name="输入 2 2 7 2 5" xfId="16818" xr:uid="{00000000-0005-0000-0000-0000E2410000}"/>
    <cellStyle name="输入 2 2 7 2 5 2" xfId="45863" xr:uid="{00000000-0005-0000-0000-000057B30000}"/>
    <cellStyle name="输入 2 2 7 2 6" xfId="44567" xr:uid="{00000000-0005-0000-0000-000047AE0000}"/>
    <cellStyle name="输入 2 2 7 2 7" xfId="35761" xr:uid="{00000000-0005-0000-0000-0000E18B0000}"/>
    <cellStyle name="输入 2 2 7 2 8" xfId="35124" xr:uid="{00000000-0005-0000-0000-000064890000}"/>
    <cellStyle name="输入 2 2 7 2 9" xfId="35767" xr:uid="{00000000-0005-0000-0000-0000E78B0000}"/>
    <cellStyle name="输入 2 2 7 3" xfId="31325" xr:uid="{00000000-0005-0000-0000-00008D7A0000}"/>
    <cellStyle name="输入 2 2 7 3 2" xfId="30897" xr:uid="{00000000-0005-0000-0000-0000E1780000}"/>
    <cellStyle name="输入 2 2 7 3 2 2" xfId="30901" xr:uid="{00000000-0005-0000-0000-0000E5780000}"/>
    <cellStyle name="输入 2 2 7 3 3" xfId="30923" xr:uid="{00000000-0005-0000-0000-0000FB780000}"/>
    <cellStyle name="输入 2 2 7 3 3 2" xfId="30926" xr:uid="{00000000-0005-0000-0000-0000FE780000}"/>
    <cellStyle name="输入 2 2 7 3 4" xfId="30966" xr:uid="{00000000-0005-0000-0000-000026790000}"/>
    <cellStyle name="输入 2 2 7 3 4 2" xfId="30969" xr:uid="{00000000-0005-0000-0000-000029790000}"/>
    <cellStyle name="输入 2 2 7 3 5" xfId="45865" xr:uid="{00000000-0005-0000-0000-000059B30000}"/>
    <cellStyle name="输入 2 2 7 3 5 2" xfId="45866" xr:uid="{00000000-0005-0000-0000-00005AB30000}"/>
    <cellStyle name="输入 2 2 7 3 6" xfId="44569" xr:uid="{00000000-0005-0000-0000-000049AE0000}"/>
    <cellStyle name="输入 2 2 7 4" xfId="31330" xr:uid="{00000000-0005-0000-0000-0000927A0000}"/>
    <cellStyle name="输入 2 2 7 4 2" xfId="31085" xr:uid="{00000000-0005-0000-0000-00009D790000}"/>
    <cellStyle name="输入 2 2 7 4 2 2" xfId="18085" xr:uid="{00000000-0005-0000-0000-0000D5460000}"/>
    <cellStyle name="输入 2 2 7 4 3" xfId="24975" xr:uid="{00000000-0005-0000-0000-0000BF610000}"/>
    <cellStyle name="输入 2 2 7 4 3 2" xfId="18360" xr:uid="{00000000-0005-0000-0000-0000E8470000}"/>
    <cellStyle name="输入 2 2 7 4 4" xfId="31117" xr:uid="{00000000-0005-0000-0000-0000BD790000}"/>
    <cellStyle name="输入 2 2 7 4 4 2" xfId="18688" xr:uid="{00000000-0005-0000-0000-000030490000}"/>
    <cellStyle name="输入 2 2 7 4 5" xfId="31128" xr:uid="{00000000-0005-0000-0000-0000C8790000}"/>
    <cellStyle name="输入 2 2 7 4 5 2" xfId="31131" xr:uid="{00000000-0005-0000-0000-0000CB790000}"/>
    <cellStyle name="输入 2 2 7 4 6" xfId="39037" xr:uid="{00000000-0005-0000-0000-0000AD980000}"/>
    <cellStyle name="输入 2 2 7 5" xfId="31334" xr:uid="{00000000-0005-0000-0000-0000967A0000}"/>
    <cellStyle name="输入 2 2 7 5 2" xfId="31253" xr:uid="{00000000-0005-0000-0000-0000457A0000}"/>
    <cellStyle name="输入 2 2 7 5 2 2" xfId="31257" xr:uid="{00000000-0005-0000-0000-0000497A0000}"/>
    <cellStyle name="输入 2 2 7 5 3" xfId="24987" xr:uid="{00000000-0005-0000-0000-0000CB610000}"/>
    <cellStyle name="输入 2 2 7 5 3 2" xfId="31274" xr:uid="{00000000-0005-0000-0000-00005A7A0000}"/>
    <cellStyle name="输入 2 2 7 5 4" xfId="31304" xr:uid="{00000000-0005-0000-0000-0000787A0000}"/>
    <cellStyle name="输入 2 2 7 5 4 2" xfId="31307" xr:uid="{00000000-0005-0000-0000-00007B7A0000}"/>
    <cellStyle name="输入 2 2 7 5 5" xfId="11396" xr:uid="{00000000-0005-0000-0000-0000B42C0000}"/>
    <cellStyle name="输入 2 2 7 5 5 2" xfId="45867" xr:uid="{00000000-0005-0000-0000-00005BB30000}"/>
    <cellStyle name="输入 2 2 7 5 6" xfId="45868" xr:uid="{00000000-0005-0000-0000-00005CB30000}"/>
    <cellStyle name="输入 2 2 7 6" xfId="31336" xr:uid="{00000000-0005-0000-0000-0000987A0000}"/>
    <cellStyle name="输入 2 2 7 6 2" xfId="31438" xr:uid="{00000000-0005-0000-0000-0000FE7A0000}"/>
    <cellStyle name="输入 2 2 7 6 2 2" xfId="31443" xr:uid="{00000000-0005-0000-0000-0000037B0000}"/>
    <cellStyle name="输入 2 2 7 6 3" xfId="24997" xr:uid="{00000000-0005-0000-0000-0000D5610000}"/>
    <cellStyle name="输入 2 2 7 6 3 2" xfId="31471" xr:uid="{00000000-0005-0000-0000-00001F7B0000}"/>
    <cellStyle name="输入 2 2 7 6 4" xfId="31504" xr:uid="{00000000-0005-0000-0000-0000407B0000}"/>
    <cellStyle name="输入 2 2 7 6 4 2" xfId="31508" xr:uid="{00000000-0005-0000-0000-0000447B0000}"/>
    <cellStyle name="输入 2 2 7 6 5" xfId="11412" xr:uid="{00000000-0005-0000-0000-0000C42C0000}"/>
    <cellStyle name="输入 2 2 7 6 5 2" xfId="45869" xr:uid="{00000000-0005-0000-0000-00005DB30000}"/>
    <cellStyle name="输入 2 2 7 6 6" xfId="45870" xr:uid="{00000000-0005-0000-0000-00005EB30000}"/>
    <cellStyle name="输入 2 2 7 7" xfId="31338" xr:uid="{00000000-0005-0000-0000-00009A7A0000}"/>
    <cellStyle name="输入 2 2 7 7 2" xfId="45872" xr:uid="{00000000-0005-0000-0000-000060B30000}"/>
    <cellStyle name="输入 2 2 7 7 2 2" xfId="45873" xr:uid="{00000000-0005-0000-0000-000061B30000}"/>
    <cellStyle name="输入 2 2 7 7 3" xfId="25013" xr:uid="{00000000-0005-0000-0000-0000E5610000}"/>
    <cellStyle name="输入 2 2 7 7 3 2" xfId="45875" xr:uid="{00000000-0005-0000-0000-000063B30000}"/>
    <cellStyle name="输入 2 2 7 7 4" xfId="45877" xr:uid="{00000000-0005-0000-0000-000065B30000}"/>
    <cellStyle name="输入 2 2 7 7 4 2" xfId="45878" xr:uid="{00000000-0005-0000-0000-000066B30000}"/>
    <cellStyle name="输入 2 2 7 7 5" xfId="4708" xr:uid="{00000000-0005-0000-0000-000094120000}"/>
    <cellStyle name="输入 2 2 7 7 5 2" xfId="45880" xr:uid="{00000000-0005-0000-0000-000068B30000}"/>
    <cellStyle name="输入 2 2 7 7 6" xfId="45882" xr:uid="{00000000-0005-0000-0000-00006AB30000}"/>
    <cellStyle name="输入 2 2 7 8" xfId="31340" xr:uid="{00000000-0005-0000-0000-00009C7A0000}"/>
    <cellStyle name="输入 2 2 7 8 2" xfId="45883" xr:uid="{00000000-0005-0000-0000-00006BB30000}"/>
    <cellStyle name="输入 2 2 7 8 2 2" xfId="23216" xr:uid="{00000000-0005-0000-0000-0000E05A0000}"/>
    <cellStyle name="输入 2 2 7 8 3" xfId="25363" xr:uid="{00000000-0005-0000-0000-000043630000}"/>
    <cellStyle name="输入 2 2 7 8 3 2" xfId="45884" xr:uid="{00000000-0005-0000-0000-00006CB30000}"/>
    <cellStyle name="输入 2 2 7 8 4" xfId="45885" xr:uid="{00000000-0005-0000-0000-00006DB30000}"/>
    <cellStyle name="输入 2 2 7 8 4 2" xfId="45886" xr:uid="{00000000-0005-0000-0000-00006EB30000}"/>
    <cellStyle name="输入 2 2 7 8 5" xfId="11434" xr:uid="{00000000-0005-0000-0000-0000DA2C0000}"/>
    <cellStyle name="输入 2 2 7 9" xfId="31342" xr:uid="{00000000-0005-0000-0000-00009E7A0000}"/>
    <cellStyle name="输入 2 2 7 9 2" xfId="45887" xr:uid="{00000000-0005-0000-0000-00006FB30000}"/>
    <cellStyle name="输入 2 2 8" xfId="45888" xr:uid="{00000000-0005-0000-0000-000070B30000}"/>
    <cellStyle name="输入 2 2 8 10" xfId="45889" xr:uid="{00000000-0005-0000-0000-000071B30000}"/>
    <cellStyle name="输入 2 2 8 10 2" xfId="45891" xr:uid="{00000000-0005-0000-0000-000073B30000}"/>
    <cellStyle name="输入 2 2 8 11" xfId="39386" xr:uid="{00000000-0005-0000-0000-00000A9A0000}"/>
    <cellStyle name="输入 2 2 8 11 2" xfId="39388" xr:uid="{00000000-0005-0000-0000-00000C9A0000}"/>
    <cellStyle name="输入 2 2 8 12" xfId="39391" xr:uid="{00000000-0005-0000-0000-00000F9A0000}"/>
    <cellStyle name="输入 2 2 8 12 2" xfId="39393" xr:uid="{00000000-0005-0000-0000-0000119A0000}"/>
    <cellStyle name="输入 2 2 8 13" xfId="21021" xr:uid="{00000000-0005-0000-0000-00004D520000}"/>
    <cellStyle name="输入 2 2 8 14" xfId="39395" xr:uid="{00000000-0005-0000-0000-0000139A0000}"/>
    <cellStyle name="输入 2 2 8 15" xfId="39397" xr:uid="{00000000-0005-0000-0000-0000159A0000}"/>
    <cellStyle name="输入 2 2 8 16" xfId="39400" xr:uid="{00000000-0005-0000-0000-0000189A0000}"/>
    <cellStyle name="输入 2 2 8 2" xfId="45892" xr:uid="{00000000-0005-0000-0000-000074B30000}"/>
    <cellStyle name="输入 2 2 8 2 2" xfId="41008" xr:uid="{00000000-0005-0000-0000-000060A00000}"/>
    <cellStyle name="输入 2 2 8 2 2 2" xfId="5115" xr:uid="{00000000-0005-0000-0000-00002B140000}"/>
    <cellStyle name="输入 2 2 8 2 3" xfId="41010" xr:uid="{00000000-0005-0000-0000-000062A00000}"/>
    <cellStyle name="输入 2 2 8 2 3 2" xfId="5136" xr:uid="{00000000-0005-0000-0000-000040140000}"/>
    <cellStyle name="输入 2 2 8 2 4" xfId="41012" xr:uid="{00000000-0005-0000-0000-000064A00000}"/>
    <cellStyle name="输入 2 2 8 2 4 2" xfId="9559" xr:uid="{00000000-0005-0000-0000-000087250000}"/>
    <cellStyle name="输入 2 2 8 2 5" xfId="5605" xr:uid="{00000000-0005-0000-0000-000015160000}"/>
    <cellStyle name="输入 2 2 8 2 5 2" xfId="9571" xr:uid="{00000000-0005-0000-0000-000093250000}"/>
    <cellStyle name="输入 2 2 8 2 6" xfId="44579" xr:uid="{00000000-0005-0000-0000-000053AE0000}"/>
    <cellStyle name="输入 2 2 8 2 7" xfId="35826" xr:uid="{00000000-0005-0000-0000-0000228C0000}"/>
    <cellStyle name="输入 2 2 8 2 8" xfId="35142" xr:uid="{00000000-0005-0000-0000-000076890000}"/>
    <cellStyle name="输入 2 2 8 2 9" xfId="35829" xr:uid="{00000000-0005-0000-0000-0000258C0000}"/>
    <cellStyle name="输入 2 2 8 3" xfId="45893" xr:uid="{00000000-0005-0000-0000-000075B30000}"/>
    <cellStyle name="输入 2 2 8 3 2" xfId="32244" xr:uid="{00000000-0005-0000-0000-0000247E0000}"/>
    <cellStyle name="输入 2 2 8 3 2 2" xfId="3378" xr:uid="{00000000-0005-0000-0000-0000620D0000}"/>
    <cellStyle name="输入 2 2 8 3 3" xfId="32250" xr:uid="{00000000-0005-0000-0000-00002A7E0000}"/>
    <cellStyle name="输入 2 2 8 3 3 2" xfId="3412" xr:uid="{00000000-0005-0000-0000-0000840D0000}"/>
    <cellStyle name="输入 2 2 8 3 4" xfId="32258" xr:uid="{00000000-0005-0000-0000-0000327E0000}"/>
    <cellStyle name="输入 2 2 8 3 4 2" xfId="3448" xr:uid="{00000000-0005-0000-0000-0000A80D0000}"/>
    <cellStyle name="输入 2 2 8 3 5" xfId="45894" xr:uid="{00000000-0005-0000-0000-000076B30000}"/>
    <cellStyle name="输入 2 2 8 3 5 2" xfId="1289" xr:uid="{00000000-0005-0000-0000-000039050000}"/>
    <cellStyle name="输入 2 2 8 3 6" xfId="45895" xr:uid="{00000000-0005-0000-0000-000077B30000}"/>
    <cellStyle name="输入 2 2 8 4" xfId="39520" xr:uid="{00000000-0005-0000-0000-0000909A0000}"/>
    <cellStyle name="输入 2 2 8 4 2" xfId="32316" xr:uid="{00000000-0005-0000-0000-00006C7E0000}"/>
    <cellStyle name="输入 2 2 8 4 2 2" xfId="5186" xr:uid="{00000000-0005-0000-0000-000072140000}"/>
    <cellStyle name="输入 2 2 8 4 3" xfId="25027" xr:uid="{00000000-0005-0000-0000-0000F3610000}"/>
    <cellStyle name="输入 2 2 8 4 3 2" xfId="5200" xr:uid="{00000000-0005-0000-0000-000080140000}"/>
    <cellStyle name="输入 2 2 8 4 4" xfId="32334" xr:uid="{00000000-0005-0000-0000-00007E7E0000}"/>
    <cellStyle name="输入 2 2 8 4 4 2" xfId="9609" xr:uid="{00000000-0005-0000-0000-0000B9250000}"/>
    <cellStyle name="输入 2 2 8 4 5" xfId="45896" xr:uid="{00000000-0005-0000-0000-000078B30000}"/>
    <cellStyle name="输入 2 2 8 4 5 2" xfId="9626" xr:uid="{00000000-0005-0000-0000-0000CA250000}"/>
    <cellStyle name="输入 2 2 8 4 6" xfId="45897" xr:uid="{00000000-0005-0000-0000-000079B30000}"/>
    <cellStyle name="输入 2 2 8 5" xfId="45898" xr:uid="{00000000-0005-0000-0000-00007AB30000}"/>
    <cellStyle name="输入 2 2 8 5 2" xfId="32391" xr:uid="{00000000-0005-0000-0000-0000B77E0000}"/>
    <cellStyle name="输入 2 2 8 5 2 2" xfId="3893" xr:uid="{00000000-0005-0000-0000-0000650F0000}"/>
    <cellStyle name="输入 2 2 8 5 3" xfId="25036" xr:uid="{00000000-0005-0000-0000-0000FC610000}"/>
    <cellStyle name="输入 2 2 8 5 3 2" xfId="9649" xr:uid="{00000000-0005-0000-0000-0000E1250000}"/>
    <cellStyle name="输入 2 2 8 5 4" xfId="32405" xr:uid="{00000000-0005-0000-0000-0000C57E0000}"/>
    <cellStyle name="输入 2 2 8 5 4 2" xfId="9661" xr:uid="{00000000-0005-0000-0000-0000ED250000}"/>
    <cellStyle name="输入 2 2 8 5 5" xfId="9673" xr:uid="{00000000-0005-0000-0000-0000F9250000}"/>
    <cellStyle name="输入 2 2 8 5 5 2" xfId="9681" xr:uid="{00000000-0005-0000-0000-000001260000}"/>
    <cellStyle name="输入 2 2 8 5 6" xfId="45899" xr:uid="{00000000-0005-0000-0000-00007BB30000}"/>
    <cellStyle name="输入 2 2 8 6" xfId="45900" xr:uid="{00000000-0005-0000-0000-00007CB30000}"/>
    <cellStyle name="输入 2 2 8 6 2" xfId="32461" xr:uid="{00000000-0005-0000-0000-0000FD7E0000}"/>
    <cellStyle name="输入 2 2 8 6 2 2" xfId="5739" xr:uid="{00000000-0005-0000-0000-00009B160000}"/>
    <cellStyle name="输入 2 2 8 6 3" xfId="25042" xr:uid="{00000000-0005-0000-0000-000002620000}"/>
    <cellStyle name="输入 2 2 8 6 3 2" xfId="9708" xr:uid="{00000000-0005-0000-0000-00001C260000}"/>
    <cellStyle name="输入 2 2 8 6 4" xfId="32474" xr:uid="{00000000-0005-0000-0000-00000A7F0000}"/>
    <cellStyle name="输入 2 2 8 6 4 2" xfId="9721" xr:uid="{00000000-0005-0000-0000-000029260000}"/>
    <cellStyle name="输入 2 2 8 6 5" xfId="9732" xr:uid="{00000000-0005-0000-0000-000034260000}"/>
    <cellStyle name="输入 2 2 8 6 5 2" xfId="9741" xr:uid="{00000000-0005-0000-0000-00003D260000}"/>
    <cellStyle name="输入 2 2 8 6 6" xfId="371" xr:uid="{00000000-0005-0000-0000-000097010000}"/>
    <cellStyle name="输入 2 2 8 7" xfId="15832" xr:uid="{00000000-0005-0000-0000-0000083E0000}"/>
    <cellStyle name="输入 2 2 8 7 2" xfId="45901" xr:uid="{00000000-0005-0000-0000-00007DB30000}"/>
    <cellStyle name="输入 2 2 8 7 2 2" xfId="6550" xr:uid="{00000000-0005-0000-0000-0000C6190000}"/>
    <cellStyle name="输入 2 2 8 7 3" xfId="25052" xr:uid="{00000000-0005-0000-0000-00000C620000}"/>
    <cellStyle name="输入 2 2 8 7 3 2" xfId="9761" xr:uid="{00000000-0005-0000-0000-000051260000}"/>
    <cellStyle name="输入 2 2 8 7 4" xfId="45902" xr:uid="{00000000-0005-0000-0000-00007EB30000}"/>
    <cellStyle name="输入 2 2 8 7 4 2" xfId="9775" xr:uid="{00000000-0005-0000-0000-00005F260000}"/>
    <cellStyle name="输入 2 2 8 7 5" xfId="9787" xr:uid="{00000000-0005-0000-0000-00006B260000}"/>
    <cellStyle name="输入 2 2 8 7 5 2" xfId="9798" xr:uid="{00000000-0005-0000-0000-000076260000}"/>
    <cellStyle name="输入 2 2 8 7 6" xfId="45903" xr:uid="{00000000-0005-0000-0000-00007FB30000}"/>
    <cellStyle name="输入 2 2 8 8" xfId="45904" xr:uid="{00000000-0005-0000-0000-000080B30000}"/>
    <cellStyle name="输入 2 2 8 8 2" xfId="45905" xr:uid="{00000000-0005-0000-0000-000081B30000}"/>
    <cellStyle name="输入 2 2 8 8 2 2" xfId="7009" xr:uid="{00000000-0005-0000-0000-0000911B0000}"/>
    <cellStyle name="输入 2 2 8 8 3" xfId="25439" xr:uid="{00000000-0005-0000-0000-00008F630000}"/>
    <cellStyle name="输入 2 2 8 8 3 2" xfId="7073" xr:uid="{00000000-0005-0000-0000-0000D11B0000}"/>
    <cellStyle name="输入 2 2 8 8 4" xfId="45906" xr:uid="{00000000-0005-0000-0000-000082B30000}"/>
    <cellStyle name="输入 2 2 8 8 4 2" xfId="2236" xr:uid="{00000000-0005-0000-0000-0000EC080000}"/>
    <cellStyle name="输入 2 2 8 8 5" xfId="9829" xr:uid="{00000000-0005-0000-0000-000095260000}"/>
    <cellStyle name="输入 2 2 8 9" xfId="38174" xr:uid="{00000000-0005-0000-0000-00004E950000}"/>
    <cellStyle name="输入 2 2 8 9 2" xfId="45907" xr:uid="{00000000-0005-0000-0000-000083B30000}"/>
    <cellStyle name="输入 2 2 9" xfId="45908" xr:uid="{00000000-0005-0000-0000-000084B30000}"/>
    <cellStyle name="输入 2 2 9 10" xfId="29071" xr:uid="{00000000-0005-0000-0000-0000BF710000}"/>
    <cellStyle name="输入 2 2 9 10 2" xfId="27379" xr:uid="{00000000-0005-0000-0000-0000236B0000}"/>
    <cellStyle name="输入 2 2 9 11" xfId="29074" xr:uid="{00000000-0005-0000-0000-0000C2710000}"/>
    <cellStyle name="输入 2 2 9 11 2" xfId="27490" xr:uid="{00000000-0005-0000-0000-0000926B0000}"/>
    <cellStyle name="输入 2 2 9 12" xfId="16769" xr:uid="{00000000-0005-0000-0000-0000B1410000}"/>
    <cellStyle name="输入 2 2 9 12 2" xfId="27569" xr:uid="{00000000-0005-0000-0000-0000E16B0000}"/>
    <cellStyle name="输入 2 2 9 13" xfId="1277" xr:uid="{00000000-0005-0000-0000-00002D050000}"/>
    <cellStyle name="输入 2 2 9 14" xfId="1976" xr:uid="{00000000-0005-0000-0000-0000E8070000}"/>
    <cellStyle name="输入 2 2 9 15" xfId="45909" xr:uid="{00000000-0005-0000-0000-000085B30000}"/>
    <cellStyle name="输入 2 2 9 16" xfId="42411" xr:uid="{00000000-0005-0000-0000-0000DBA50000}"/>
    <cellStyle name="输入 2 2 9 2" xfId="45910" xr:uid="{00000000-0005-0000-0000-000086B30000}"/>
    <cellStyle name="输入 2 2 9 2 2" xfId="41314" xr:uid="{00000000-0005-0000-0000-000092A10000}"/>
    <cellStyle name="输入 2 2 9 2 2 2" xfId="14227" xr:uid="{00000000-0005-0000-0000-0000C3370000}"/>
    <cellStyle name="输入 2 2 9 2 3" xfId="41317" xr:uid="{00000000-0005-0000-0000-000095A10000}"/>
    <cellStyle name="输入 2 2 9 2 3 2" xfId="5331" xr:uid="{00000000-0005-0000-0000-000003150000}"/>
    <cellStyle name="输入 2 2 9 2 4" xfId="41319" xr:uid="{00000000-0005-0000-0000-000097A10000}"/>
    <cellStyle name="输入 2 2 9 2 4 2" xfId="536" xr:uid="{00000000-0005-0000-0000-000047020000}"/>
    <cellStyle name="输入 2 2 9 2 5" xfId="9863" xr:uid="{00000000-0005-0000-0000-0000B7260000}"/>
    <cellStyle name="输入 2 2 9 2 5 2" xfId="9869" xr:uid="{00000000-0005-0000-0000-0000BD260000}"/>
    <cellStyle name="输入 2 2 9 2 6" xfId="45911" xr:uid="{00000000-0005-0000-0000-000087B30000}"/>
    <cellStyle name="输入 2 2 9 2 7" xfId="35885" xr:uid="{00000000-0005-0000-0000-00005D8C0000}"/>
    <cellStyle name="输入 2 2 9 2 8" xfId="35155" xr:uid="{00000000-0005-0000-0000-000083890000}"/>
    <cellStyle name="输入 2 2 9 2 9" xfId="35888" xr:uid="{00000000-0005-0000-0000-0000608C0000}"/>
    <cellStyle name="输入 2 2 9 3" xfId="45912" xr:uid="{00000000-0005-0000-0000-000088B30000}"/>
    <cellStyle name="输入 2 2 9 3 2" xfId="33020" xr:uid="{00000000-0005-0000-0000-00002C810000}"/>
    <cellStyle name="输入 2 2 9 3 2 2" xfId="14380" xr:uid="{00000000-0005-0000-0000-00005C380000}"/>
    <cellStyle name="输入 2 2 9 3 3" xfId="28531" xr:uid="{00000000-0005-0000-0000-0000A36F0000}"/>
    <cellStyle name="输入 2 2 9 3 3 2" xfId="5351" xr:uid="{00000000-0005-0000-0000-000017150000}"/>
    <cellStyle name="输入 2 2 9 3 4" xfId="33041" xr:uid="{00000000-0005-0000-0000-000041810000}"/>
    <cellStyle name="输入 2 2 9 3 4 2" xfId="9895" xr:uid="{00000000-0005-0000-0000-0000D7260000}"/>
    <cellStyle name="输入 2 2 9 3 5" xfId="45913" xr:uid="{00000000-0005-0000-0000-000089B30000}"/>
    <cellStyle name="输入 2 2 9 3 5 2" xfId="9909" xr:uid="{00000000-0005-0000-0000-0000E5260000}"/>
    <cellStyle name="输入 2 2 9 3 6" xfId="45914" xr:uid="{00000000-0005-0000-0000-00008AB30000}"/>
    <cellStyle name="输入 2 2 9 4" xfId="39523" xr:uid="{00000000-0005-0000-0000-0000939A0000}"/>
    <cellStyle name="输入 2 2 9 4 2" xfId="33120" xr:uid="{00000000-0005-0000-0000-000090810000}"/>
    <cellStyle name="输入 2 2 9 4 2 2" xfId="14542" xr:uid="{00000000-0005-0000-0000-0000FE380000}"/>
    <cellStyle name="输入 2 2 9 4 3" xfId="25065" xr:uid="{00000000-0005-0000-0000-000019620000}"/>
    <cellStyle name="输入 2 2 9 4 3 2" xfId="5366" xr:uid="{00000000-0005-0000-0000-000026150000}"/>
    <cellStyle name="输入 2 2 9 4 4" xfId="33137" xr:uid="{00000000-0005-0000-0000-0000A1810000}"/>
    <cellStyle name="输入 2 2 9 4 4 2" xfId="9937" xr:uid="{00000000-0005-0000-0000-000001270000}"/>
    <cellStyle name="输入 2 2 9 4 5" xfId="45915" xr:uid="{00000000-0005-0000-0000-00008BB30000}"/>
    <cellStyle name="输入 2 2 9 4 5 2" xfId="9952" xr:uid="{00000000-0005-0000-0000-000010270000}"/>
    <cellStyle name="输入 2 2 9 4 6" xfId="45916" xr:uid="{00000000-0005-0000-0000-00008CB30000}"/>
    <cellStyle name="输入 2 2 9 5" xfId="45917" xr:uid="{00000000-0005-0000-0000-00008DB30000}"/>
    <cellStyle name="输入 2 2 9 5 2" xfId="5403" xr:uid="{00000000-0005-0000-0000-00004B150000}"/>
    <cellStyle name="输入 2 2 9 5 2 2" xfId="14700" xr:uid="{00000000-0005-0000-0000-00009C390000}"/>
    <cellStyle name="输入 2 2 9 5 3" xfId="757" xr:uid="{00000000-0005-0000-0000-000025030000}"/>
    <cellStyle name="输入 2 2 9 5 3 2" xfId="9979" xr:uid="{00000000-0005-0000-0000-00002B270000}"/>
    <cellStyle name="输入 2 2 9 5 4" xfId="596" xr:uid="{00000000-0005-0000-0000-000084020000}"/>
    <cellStyle name="输入 2 2 9 5 4 2" xfId="9990" xr:uid="{00000000-0005-0000-0000-000036270000}"/>
    <cellStyle name="输入 2 2 9 5 5" xfId="10005" xr:uid="{00000000-0005-0000-0000-000045270000}"/>
    <cellStyle name="输入 2 2 9 5 5 2" xfId="10010" xr:uid="{00000000-0005-0000-0000-00004A270000}"/>
    <cellStyle name="输入 2 2 9 5 6" xfId="40194" xr:uid="{00000000-0005-0000-0000-0000329D0000}"/>
    <cellStyle name="输入 2 2 9 6" xfId="45918" xr:uid="{00000000-0005-0000-0000-00008EB30000}"/>
    <cellStyle name="输入 2 2 9 6 2" xfId="33262" xr:uid="{00000000-0005-0000-0000-00001E820000}"/>
    <cellStyle name="输入 2 2 9 6 2 2" xfId="14866" xr:uid="{00000000-0005-0000-0000-0000423A0000}"/>
    <cellStyle name="输入 2 2 9 6 3" xfId="25082" xr:uid="{00000000-0005-0000-0000-00002A620000}"/>
    <cellStyle name="输入 2 2 9 6 3 2" xfId="10040" xr:uid="{00000000-0005-0000-0000-000068270000}"/>
    <cellStyle name="输入 2 2 9 6 4" xfId="33274" xr:uid="{00000000-0005-0000-0000-00002A820000}"/>
    <cellStyle name="输入 2 2 9 6 4 2" xfId="10054" xr:uid="{00000000-0005-0000-0000-000076270000}"/>
    <cellStyle name="输入 2 2 9 6 5" xfId="10066" xr:uid="{00000000-0005-0000-0000-000082270000}"/>
    <cellStyle name="输入 2 2 9 6 5 2" xfId="10072" xr:uid="{00000000-0005-0000-0000-000088270000}"/>
    <cellStyle name="输入 2 2 9 6 6" xfId="1018" xr:uid="{00000000-0005-0000-0000-00002A040000}"/>
    <cellStyle name="输入 2 2 9 7" xfId="15838" xr:uid="{00000000-0005-0000-0000-00000E3E0000}"/>
    <cellStyle name="输入 2 2 9 7 2" xfId="45919" xr:uid="{00000000-0005-0000-0000-00008FB30000}"/>
    <cellStyle name="输入 2 2 9 7 2 2" xfId="12029" xr:uid="{00000000-0005-0000-0000-00002D2F0000}"/>
    <cellStyle name="输入 2 2 9 7 3" xfId="25091" xr:uid="{00000000-0005-0000-0000-000033620000}"/>
    <cellStyle name="输入 2 2 9 7 3 2" xfId="10102" xr:uid="{00000000-0005-0000-0000-0000A6270000}"/>
    <cellStyle name="输入 2 2 9 7 4" xfId="45920" xr:uid="{00000000-0005-0000-0000-000090B30000}"/>
    <cellStyle name="输入 2 2 9 7 4 2" xfId="10114" xr:uid="{00000000-0005-0000-0000-0000B2270000}"/>
    <cellStyle name="输入 2 2 9 7 5" xfId="10125" xr:uid="{00000000-0005-0000-0000-0000BD270000}"/>
    <cellStyle name="输入 2 2 9 7 5 2" xfId="10131" xr:uid="{00000000-0005-0000-0000-0000C3270000}"/>
    <cellStyle name="输入 2 2 9 7 6" xfId="1047" xr:uid="{00000000-0005-0000-0000-000047040000}"/>
    <cellStyle name="输入 2 2 9 8" xfId="45921" xr:uid="{00000000-0005-0000-0000-000091B30000}"/>
    <cellStyle name="输入 2 2 9 8 2" xfId="45922" xr:uid="{00000000-0005-0000-0000-000092B30000}"/>
    <cellStyle name="输入 2 2 9 8 2 2" xfId="12077" xr:uid="{00000000-0005-0000-0000-00005D2F0000}"/>
    <cellStyle name="输入 2 2 9 8 3" xfId="45923" xr:uid="{00000000-0005-0000-0000-000093B30000}"/>
    <cellStyle name="输入 2 2 9 8 3 2" xfId="10146" xr:uid="{00000000-0005-0000-0000-0000D2270000}"/>
    <cellStyle name="输入 2 2 9 8 4" xfId="45924" xr:uid="{00000000-0005-0000-0000-000094B30000}"/>
    <cellStyle name="输入 2 2 9 8 4 2" xfId="10154" xr:uid="{00000000-0005-0000-0000-0000DA270000}"/>
    <cellStyle name="输入 2 2 9 8 5" xfId="10163" xr:uid="{00000000-0005-0000-0000-0000E3270000}"/>
    <cellStyle name="输入 2 2 9 9" xfId="45925" xr:uid="{00000000-0005-0000-0000-000095B30000}"/>
    <cellStyle name="输入 2 2 9 9 2" xfId="45926" xr:uid="{00000000-0005-0000-0000-000096B30000}"/>
    <cellStyle name="输入 2 20" xfId="45427" xr:uid="{00000000-0005-0000-0000-0000A3B10000}"/>
    <cellStyle name="输入 2 21" xfId="45433" xr:uid="{00000000-0005-0000-0000-0000A9B10000}"/>
    <cellStyle name="输入 2 3" xfId="45927" xr:uid="{00000000-0005-0000-0000-000097B30000}"/>
    <cellStyle name="输入 2 3 10" xfId="45931" xr:uid="{00000000-0005-0000-0000-00009BB30000}"/>
    <cellStyle name="输入 2 3 10 10" xfId="45932" xr:uid="{00000000-0005-0000-0000-00009CB30000}"/>
    <cellStyle name="输入 2 3 10 10 2" xfId="45933" xr:uid="{00000000-0005-0000-0000-00009DB30000}"/>
    <cellStyle name="输入 2 3 10 11" xfId="45934" xr:uid="{00000000-0005-0000-0000-00009EB30000}"/>
    <cellStyle name="输入 2 3 10 11 2" xfId="45935" xr:uid="{00000000-0005-0000-0000-00009FB30000}"/>
    <cellStyle name="输入 2 3 10 12" xfId="2494" xr:uid="{00000000-0005-0000-0000-0000EE090000}"/>
    <cellStyle name="输入 2 3 10 12 2" xfId="43801" xr:uid="{00000000-0005-0000-0000-000049AB0000}"/>
    <cellStyle name="输入 2 3 10 13" xfId="45936" xr:uid="{00000000-0005-0000-0000-0000A0B30000}"/>
    <cellStyle name="输入 2 3 10 14" xfId="45937" xr:uid="{00000000-0005-0000-0000-0000A1B30000}"/>
    <cellStyle name="输入 2 3 10 15" xfId="45939" xr:uid="{00000000-0005-0000-0000-0000A3B30000}"/>
    <cellStyle name="输入 2 3 10 16" xfId="654" xr:uid="{00000000-0005-0000-0000-0000BE020000}"/>
    <cellStyle name="输入 2 3 10 2" xfId="45940" xr:uid="{00000000-0005-0000-0000-0000A4B30000}"/>
    <cellStyle name="输入 2 3 10 2 2" xfId="44728" xr:uid="{00000000-0005-0000-0000-0000E8AE0000}"/>
    <cellStyle name="输入 2 3 10 2 2 2" xfId="44731" xr:uid="{00000000-0005-0000-0000-0000EBAE0000}"/>
    <cellStyle name="输入 2 3 10 2 3" xfId="44733" xr:uid="{00000000-0005-0000-0000-0000EDAE0000}"/>
    <cellStyle name="输入 2 3 10 2 3 2" xfId="44735" xr:uid="{00000000-0005-0000-0000-0000EFAE0000}"/>
    <cellStyle name="输入 2 3 10 2 4" xfId="44737" xr:uid="{00000000-0005-0000-0000-0000F1AE0000}"/>
    <cellStyle name="输入 2 3 10 2 4 2" xfId="44739" xr:uid="{00000000-0005-0000-0000-0000F3AE0000}"/>
    <cellStyle name="输入 2 3 10 2 5" xfId="44741" xr:uid="{00000000-0005-0000-0000-0000F5AE0000}"/>
    <cellStyle name="输入 2 3 10 2 5 2" xfId="45942" xr:uid="{00000000-0005-0000-0000-0000A6B30000}"/>
    <cellStyle name="输入 2 3 10 2 6" xfId="31057" xr:uid="{00000000-0005-0000-0000-000081790000}"/>
    <cellStyle name="输入 2 3 10 2 7" xfId="44743" xr:uid="{00000000-0005-0000-0000-0000F7AE0000}"/>
    <cellStyle name="输入 2 3 10 2 8" xfId="44745" xr:uid="{00000000-0005-0000-0000-0000F9AE0000}"/>
    <cellStyle name="输入 2 3 10 2 9" xfId="29291" xr:uid="{00000000-0005-0000-0000-00009B720000}"/>
    <cellStyle name="输入 2 3 10 3" xfId="45943" xr:uid="{00000000-0005-0000-0000-0000A7B30000}"/>
    <cellStyle name="输入 2 3 10 3 2" xfId="45945" xr:uid="{00000000-0005-0000-0000-0000A9B30000}"/>
    <cellStyle name="输入 2 3 10 3 2 2" xfId="45946" xr:uid="{00000000-0005-0000-0000-0000AAB30000}"/>
    <cellStyle name="输入 2 3 10 3 3" xfId="45947" xr:uid="{00000000-0005-0000-0000-0000ABB30000}"/>
    <cellStyle name="输入 2 3 10 3 3 2" xfId="45948" xr:uid="{00000000-0005-0000-0000-0000ACB30000}"/>
    <cellStyle name="输入 2 3 10 3 4" xfId="45949" xr:uid="{00000000-0005-0000-0000-0000ADB30000}"/>
    <cellStyle name="输入 2 3 10 3 4 2" xfId="45950" xr:uid="{00000000-0005-0000-0000-0000AEB30000}"/>
    <cellStyle name="输入 2 3 10 3 5" xfId="45951" xr:uid="{00000000-0005-0000-0000-0000AFB30000}"/>
    <cellStyle name="输入 2 3 10 3 5 2" xfId="45952" xr:uid="{00000000-0005-0000-0000-0000B0B30000}"/>
    <cellStyle name="输入 2 3 10 3 6" xfId="45953" xr:uid="{00000000-0005-0000-0000-0000B1B30000}"/>
    <cellStyle name="输入 2 3 10 4" xfId="29519" xr:uid="{00000000-0005-0000-0000-00007F730000}"/>
    <cellStyle name="输入 2 3 10 4 2" xfId="45954" xr:uid="{00000000-0005-0000-0000-0000B2B30000}"/>
    <cellStyle name="输入 2 3 10 4 2 2" xfId="45955" xr:uid="{00000000-0005-0000-0000-0000B3B30000}"/>
    <cellStyle name="输入 2 3 10 4 3" xfId="45956" xr:uid="{00000000-0005-0000-0000-0000B4B30000}"/>
    <cellStyle name="输入 2 3 10 4 3 2" xfId="45957" xr:uid="{00000000-0005-0000-0000-0000B5B30000}"/>
    <cellStyle name="输入 2 3 10 4 4" xfId="45958" xr:uid="{00000000-0005-0000-0000-0000B6B30000}"/>
    <cellStyle name="输入 2 3 10 4 4 2" xfId="45959" xr:uid="{00000000-0005-0000-0000-0000B7B30000}"/>
    <cellStyle name="输入 2 3 10 4 5" xfId="45960" xr:uid="{00000000-0005-0000-0000-0000B8B30000}"/>
    <cellStyle name="输入 2 3 10 4 5 2" xfId="45961" xr:uid="{00000000-0005-0000-0000-0000B9B30000}"/>
    <cellStyle name="输入 2 3 10 4 6" xfId="45962" xr:uid="{00000000-0005-0000-0000-0000BAB30000}"/>
    <cellStyle name="输入 2 3 10 5" xfId="45963" xr:uid="{00000000-0005-0000-0000-0000BBB30000}"/>
    <cellStyle name="输入 2 3 10 5 2" xfId="45965" xr:uid="{00000000-0005-0000-0000-0000BDB30000}"/>
    <cellStyle name="输入 2 3 10 5 2 2" xfId="45966" xr:uid="{00000000-0005-0000-0000-0000BEB30000}"/>
    <cellStyle name="输入 2 3 10 5 3" xfId="45967" xr:uid="{00000000-0005-0000-0000-0000BFB30000}"/>
    <cellStyle name="输入 2 3 10 5 3 2" xfId="45968" xr:uid="{00000000-0005-0000-0000-0000C0B30000}"/>
    <cellStyle name="输入 2 3 10 5 4" xfId="45969" xr:uid="{00000000-0005-0000-0000-0000C1B30000}"/>
    <cellStyle name="输入 2 3 10 5 4 2" xfId="45970" xr:uid="{00000000-0005-0000-0000-0000C2B30000}"/>
    <cellStyle name="输入 2 3 10 5 5" xfId="7316" xr:uid="{00000000-0005-0000-0000-0000C41C0000}"/>
    <cellStyle name="输入 2 3 10 5 5 2" xfId="7324" xr:uid="{00000000-0005-0000-0000-0000CC1C0000}"/>
    <cellStyle name="输入 2 3 10 5 6" xfId="7334" xr:uid="{00000000-0005-0000-0000-0000D61C0000}"/>
    <cellStyle name="输入 2 3 10 6" xfId="45971" xr:uid="{00000000-0005-0000-0000-0000C3B30000}"/>
    <cellStyle name="输入 2 3 10 6 2" xfId="45973" xr:uid="{00000000-0005-0000-0000-0000C5B30000}"/>
    <cellStyle name="输入 2 3 10 6 2 2" xfId="45974" xr:uid="{00000000-0005-0000-0000-0000C6B30000}"/>
    <cellStyle name="输入 2 3 10 6 3" xfId="45975" xr:uid="{00000000-0005-0000-0000-0000C7B30000}"/>
    <cellStyle name="输入 2 3 10 6 3 2" xfId="45976" xr:uid="{00000000-0005-0000-0000-0000C8B30000}"/>
    <cellStyle name="输入 2 3 10 6 4" xfId="45977" xr:uid="{00000000-0005-0000-0000-0000C9B30000}"/>
    <cellStyle name="输入 2 3 10 6 4 2" xfId="45978" xr:uid="{00000000-0005-0000-0000-0000CAB30000}"/>
    <cellStyle name="输入 2 3 10 6 5" xfId="45979" xr:uid="{00000000-0005-0000-0000-0000CBB30000}"/>
    <cellStyle name="输入 2 3 10 6 5 2" xfId="45980" xr:uid="{00000000-0005-0000-0000-0000CCB30000}"/>
    <cellStyle name="输入 2 3 10 6 6" xfId="45981" xr:uid="{00000000-0005-0000-0000-0000CDB30000}"/>
    <cellStyle name="输入 2 3 10 7" xfId="45982" xr:uid="{00000000-0005-0000-0000-0000CEB30000}"/>
    <cellStyle name="输入 2 3 10 7 2" xfId="45983" xr:uid="{00000000-0005-0000-0000-0000CFB30000}"/>
    <cellStyle name="输入 2 3 10 7 2 2" xfId="45984" xr:uid="{00000000-0005-0000-0000-0000D0B30000}"/>
    <cellStyle name="输入 2 3 10 7 3" xfId="45985" xr:uid="{00000000-0005-0000-0000-0000D1B30000}"/>
    <cellStyle name="输入 2 3 10 7 3 2" xfId="45986" xr:uid="{00000000-0005-0000-0000-0000D2B30000}"/>
    <cellStyle name="输入 2 3 10 7 4" xfId="45987" xr:uid="{00000000-0005-0000-0000-0000D3B30000}"/>
    <cellStyle name="输入 2 3 10 7 4 2" xfId="45989" xr:uid="{00000000-0005-0000-0000-0000D5B30000}"/>
    <cellStyle name="输入 2 3 10 7 5" xfId="45990" xr:uid="{00000000-0005-0000-0000-0000D6B30000}"/>
    <cellStyle name="输入 2 3 10 7 5 2" xfId="45991" xr:uid="{00000000-0005-0000-0000-0000D7B30000}"/>
    <cellStyle name="输入 2 3 10 7 6" xfId="45992" xr:uid="{00000000-0005-0000-0000-0000D8B30000}"/>
    <cellStyle name="输入 2 3 10 8" xfId="45993" xr:uid="{00000000-0005-0000-0000-0000D9B30000}"/>
    <cellStyle name="输入 2 3 10 8 2" xfId="45994" xr:uid="{00000000-0005-0000-0000-0000DAB30000}"/>
    <cellStyle name="输入 2 3 10 8 2 2" xfId="45995" xr:uid="{00000000-0005-0000-0000-0000DBB30000}"/>
    <cellStyle name="输入 2 3 10 8 3" xfId="45996" xr:uid="{00000000-0005-0000-0000-0000DCB30000}"/>
    <cellStyle name="输入 2 3 10 8 3 2" xfId="45997" xr:uid="{00000000-0005-0000-0000-0000DDB30000}"/>
    <cellStyle name="输入 2 3 10 8 4" xfId="45998" xr:uid="{00000000-0005-0000-0000-0000DEB30000}"/>
    <cellStyle name="输入 2 3 10 8 4 2" xfId="46000" xr:uid="{00000000-0005-0000-0000-0000E0B30000}"/>
    <cellStyle name="输入 2 3 10 8 5" xfId="46001" xr:uid="{00000000-0005-0000-0000-0000E1B30000}"/>
    <cellStyle name="输入 2 3 10 9" xfId="46002" xr:uid="{00000000-0005-0000-0000-0000E2B30000}"/>
    <cellStyle name="输入 2 3 10 9 2" xfId="46003" xr:uid="{00000000-0005-0000-0000-0000E3B30000}"/>
    <cellStyle name="输入 2 3 11" xfId="36519" xr:uid="{00000000-0005-0000-0000-0000D78E0000}"/>
    <cellStyle name="输入 2 3 11 10" xfId="46004" xr:uid="{00000000-0005-0000-0000-0000E4B30000}"/>
    <cellStyle name="输入 2 3 11 10 2" xfId="46005" xr:uid="{00000000-0005-0000-0000-0000E5B30000}"/>
    <cellStyle name="输入 2 3 11 11" xfId="46006" xr:uid="{00000000-0005-0000-0000-0000E6B30000}"/>
    <cellStyle name="输入 2 3 11 11 2" xfId="46007" xr:uid="{00000000-0005-0000-0000-0000E7B30000}"/>
    <cellStyle name="输入 2 3 11 12" xfId="46008" xr:uid="{00000000-0005-0000-0000-0000E8B30000}"/>
    <cellStyle name="输入 2 3 11 12 2" xfId="44584" xr:uid="{00000000-0005-0000-0000-000058AE0000}"/>
    <cellStyle name="输入 2 3 11 13" xfId="46009" xr:uid="{00000000-0005-0000-0000-0000E9B30000}"/>
    <cellStyle name="输入 2 3 11 14" xfId="19010" xr:uid="{00000000-0005-0000-0000-0000724A0000}"/>
    <cellStyle name="输入 2 3 11 15" xfId="45205" xr:uid="{00000000-0005-0000-0000-0000C5B00000}"/>
    <cellStyle name="输入 2 3 11 16" xfId="17655" xr:uid="{00000000-0005-0000-0000-000027450000}"/>
    <cellStyle name="输入 2 3 11 2" xfId="46010" xr:uid="{00000000-0005-0000-0000-0000EAB30000}"/>
    <cellStyle name="输入 2 3 11 2 2" xfId="46012" xr:uid="{00000000-0005-0000-0000-0000ECB30000}"/>
    <cellStyle name="输入 2 3 11 2 2 2" xfId="46014" xr:uid="{00000000-0005-0000-0000-0000EEB30000}"/>
    <cellStyle name="输入 2 3 11 2 3" xfId="46015" xr:uid="{00000000-0005-0000-0000-0000EFB30000}"/>
    <cellStyle name="输入 2 3 11 2 3 2" xfId="46016" xr:uid="{00000000-0005-0000-0000-0000F0B30000}"/>
    <cellStyle name="输入 2 3 11 2 4" xfId="46018" xr:uid="{00000000-0005-0000-0000-0000F2B30000}"/>
    <cellStyle name="输入 2 3 11 2 4 2" xfId="46019" xr:uid="{00000000-0005-0000-0000-0000F3B30000}"/>
    <cellStyle name="输入 2 3 11 2 5" xfId="46021" xr:uid="{00000000-0005-0000-0000-0000F5B30000}"/>
    <cellStyle name="输入 2 3 11 2 5 2" xfId="46022" xr:uid="{00000000-0005-0000-0000-0000F6B30000}"/>
    <cellStyle name="输入 2 3 11 2 6" xfId="31076" xr:uid="{00000000-0005-0000-0000-000094790000}"/>
    <cellStyle name="输入 2 3 11 3" xfId="46024" xr:uid="{00000000-0005-0000-0000-0000F8B30000}"/>
    <cellStyle name="输入 2 3 11 3 2" xfId="46026" xr:uid="{00000000-0005-0000-0000-0000FAB30000}"/>
    <cellStyle name="输入 2 3 11 3 2 2" xfId="4755" xr:uid="{00000000-0005-0000-0000-0000C3120000}"/>
    <cellStyle name="输入 2 3 11 3 3" xfId="46027" xr:uid="{00000000-0005-0000-0000-0000FBB30000}"/>
    <cellStyle name="输入 2 3 11 3 3 2" xfId="46028" xr:uid="{00000000-0005-0000-0000-0000FCB30000}"/>
    <cellStyle name="输入 2 3 11 3 4" xfId="46030" xr:uid="{00000000-0005-0000-0000-0000FEB30000}"/>
    <cellStyle name="输入 2 3 11 3 4 2" xfId="46031" xr:uid="{00000000-0005-0000-0000-0000FFB30000}"/>
    <cellStyle name="输入 2 3 11 3 5" xfId="46033" xr:uid="{00000000-0005-0000-0000-000001B40000}"/>
    <cellStyle name="输入 2 3 11 3 5 2" xfId="46034" xr:uid="{00000000-0005-0000-0000-000002B40000}"/>
    <cellStyle name="输入 2 3 11 3 6" xfId="46036" xr:uid="{00000000-0005-0000-0000-000004B40000}"/>
    <cellStyle name="输入 2 3 11 4" xfId="45381" xr:uid="{00000000-0005-0000-0000-000075B10000}"/>
    <cellStyle name="输入 2 3 11 4 2" xfId="46037" xr:uid="{00000000-0005-0000-0000-000005B40000}"/>
    <cellStyle name="输入 2 3 11 4 2 2" xfId="29789" xr:uid="{00000000-0005-0000-0000-00008D740000}"/>
    <cellStyle name="输入 2 3 11 4 3" xfId="46038" xr:uid="{00000000-0005-0000-0000-000006B40000}"/>
    <cellStyle name="输入 2 3 11 4 3 2" xfId="46039" xr:uid="{00000000-0005-0000-0000-000007B40000}"/>
    <cellStyle name="输入 2 3 11 4 4" xfId="46040" xr:uid="{00000000-0005-0000-0000-000008B40000}"/>
    <cellStyle name="输入 2 3 11 4 4 2" xfId="46041" xr:uid="{00000000-0005-0000-0000-000009B40000}"/>
    <cellStyle name="输入 2 3 11 4 5" xfId="46042" xr:uid="{00000000-0005-0000-0000-00000AB40000}"/>
    <cellStyle name="输入 2 3 11 4 5 2" xfId="46043" xr:uid="{00000000-0005-0000-0000-00000BB40000}"/>
    <cellStyle name="输入 2 3 11 4 6" xfId="46044" xr:uid="{00000000-0005-0000-0000-00000CB40000}"/>
    <cellStyle name="输入 2 3 11 5" xfId="46045" xr:uid="{00000000-0005-0000-0000-00000DB40000}"/>
    <cellStyle name="输入 2 3 11 5 2" xfId="46046" xr:uid="{00000000-0005-0000-0000-00000EB40000}"/>
    <cellStyle name="输入 2 3 11 5 2 2" xfId="46047" xr:uid="{00000000-0005-0000-0000-00000FB40000}"/>
    <cellStyle name="输入 2 3 11 5 3" xfId="46048" xr:uid="{00000000-0005-0000-0000-000010B40000}"/>
    <cellStyle name="输入 2 3 11 5 3 2" xfId="46049" xr:uid="{00000000-0005-0000-0000-000011B40000}"/>
    <cellStyle name="输入 2 3 11 5 4" xfId="46050" xr:uid="{00000000-0005-0000-0000-000012B40000}"/>
    <cellStyle name="输入 2 3 11 5 4 2" xfId="46051" xr:uid="{00000000-0005-0000-0000-000013B40000}"/>
    <cellStyle name="输入 2 3 11 5 5" xfId="46052" xr:uid="{00000000-0005-0000-0000-000014B40000}"/>
    <cellStyle name="输入 2 3 11 5 5 2" xfId="46053" xr:uid="{00000000-0005-0000-0000-000015B40000}"/>
    <cellStyle name="输入 2 3 11 5 6" xfId="46054" xr:uid="{00000000-0005-0000-0000-000016B40000}"/>
    <cellStyle name="输入 2 3 11 6" xfId="46055" xr:uid="{00000000-0005-0000-0000-000017B40000}"/>
    <cellStyle name="输入 2 3 11 6 2" xfId="46057" xr:uid="{00000000-0005-0000-0000-000019B40000}"/>
    <cellStyle name="输入 2 3 11 6 2 2" xfId="46058" xr:uid="{00000000-0005-0000-0000-00001AB40000}"/>
    <cellStyle name="输入 2 3 11 6 3" xfId="46059" xr:uid="{00000000-0005-0000-0000-00001BB40000}"/>
    <cellStyle name="输入 2 3 11 6 3 2" xfId="46060" xr:uid="{00000000-0005-0000-0000-00001CB40000}"/>
    <cellStyle name="输入 2 3 11 6 4" xfId="46061" xr:uid="{00000000-0005-0000-0000-00001DB40000}"/>
    <cellStyle name="输入 2 3 11 6 4 2" xfId="46062" xr:uid="{00000000-0005-0000-0000-00001EB40000}"/>
    <cellStyle name="输入 2 3 11 6 5" xfId="46063" xr:uid="{00000000-0005-0000-0000-00001FB40000}"/>
    <cellStyle name="输入 2 3 11 6 5 2" xfId="46064" xr:uid="{00000000-0005-0000-0000-000020B40000}"/>
    <cellStyle name="输入 2 3 11 6 6" xfId="46065" xr:uid="{00000000-0005-0000-0000-000021B40000}"/>
    <cellStyle name="输入 2 3 11 7" xfId="46066" xr:uid="{00000000-0005-0000-0000-000022B40000}"/>
    <cellStyle name="输入 2 3 11 7 2" xfId="46067" xr:uid="{00000000-0005-0000-0000-000023B40000}"/>
    <cellStyle name="输入 2 3 11 7 2 2" xfId="46068" xr:uid="{00000000-0005-0000-0000-000024B40000}"/>
    <cellStyle name="输入 2 3 11 7 3" xfId="46069" xr:uid="{00000000-0005-0000-0000-000025B40000}"/>
    <cellStyle name="输入 2 3 11 7 3 2" xfId="46070" xr:uid="{00000000-0005-0000-0000-000026B40000}"/>
    <cellStyle name="输入 2 3 11 7 4" xfId="46071" xr:uid="{00000000-0005-0000-0000-000027B40000}"/>
    <cellStyle name="输入 2 3 11 7 4 2" xfId="46073" xr:uid="{00000000-0005-0000-0000-000029B40000}"/>
    <cellStyle name="输入 2 3 11 7 5" xfId="46074" xr:uid="{00000000-0005-0000-0000-00002AB40000}"/>
    <cellStyle name="输入 2 3 11 7 5 2" xfId="46075" xr:uid="{00000000-0005-0000-0000-00002BB40000}"/>
    <cellStyle name="输入 2 3 11 7 6" xfId="46076" xr:uid="{00000000-0005-0000-0000-00002CB40000}"/>
    <cellStyle name="输入 2 3 11 8" xfId="46077" xr:uid="{00000000-0005-0000-0000-00002DB40000}"/>
    <cellStyle name="输入 2 3 11 8 2" xfId="40934" xr:uid="{00000000-0005-0000-0000-000016A00000}"/>
    <cellStyle name="输入 2 3 11 8 2 2" xfId="40495" xr:uid="{00000000-0005-0000-0000-00005F9E0000}"/>
    <cellStyle name="输入 2 3 11 8 3" xfId="46078" xr:uid="{00000000-0005-0000-0000-00002EB40000}"/>
    <cellStyle name="输入 2 3 11 8 3 2" xfId="46079" xr:uid="{00000000-0005-0000-0000-00002FB40000}"/>
    <cellStyle name="输入 2 3 11 8 4" xfId="46080" xr:uid="{00000000-0005-0000-0000-000030B40000}"/>
    <cellStyle name="输入 2 3 11 8 4 2" xfId="46082" xr:uid="{00000000-0005-0000-0000-000032B40000}"/>
    <cellStyle name="输入 2 3 11 8 5" xfId="46083" xr:uid="{00000000-0005-0000-0000-000033B40000}"/>
    <cellStyle name="输入 2 3 11 9" xfId="46084" xr:uid="{00000000-0005-0000-0000-000034B40000}"/>
    <cellStyle name="输入 2 3 11 9 2" xfId="46086" xr:uid="{00000000-0005-0000-0000-000036B40000}"/>
    <cellStyle name="输入 2 3 12" xfId="46087" xr:uid="{00000000-0005-0000-0000-000037B40000}"/>
    <cellStyle name="输入 2 3 12 2" xfId="46088" xr:uid="{00000000-0005-0000-0000-000038B40000}"/>
    <cellStyle name="输入 2 3 12 2 2" xfId="46090" xr:uid="{00000000-0005-0000-0000-00003AB40000}"/>
    <cellStyle name="输入 2 3 12 3" xfId="46092" xr:uid="{00000000-0005-0000-0000-00003CB40000}"/>
    <cellStyle name="输入 2 3 12 3 2" xfId="32217" xr:uid="{00000000-0005-0000-0000-0000097E0000}"/>
    <cellStyle name="输入 2 3 12 4" xfId="45384" xr:uid="{00000000-0005-0000-0000-000078B10000}"/>
    <cellStyle name="输入 2 3 12 4 2" xfId="46094" xr:uid="{00000000-0005-0000-0000-00003EB40000}"/>
    <cellStyle name="输入 2 3 12 5" xfId="46095" xr:uid="{00000000-0005-0000-0000-00003FB40000}"/>
    <cellStyle name="输入 2 3 12 5 2" xfId="46096" xr:uid="{00000000-0005-0000-0000-000040B40000}"/>
    <cellStyle name="输入 2 3 12 6" xfId="46097" xr:uid="{00000000-0005-0000-0000-000041B40000}"/>
    <cellStyle name="输入 2 3 12 7" xfId="46099" xr:uid="{00000000-0005-0000-0000-000043B40000}"/>
    <cellStyle name="输入 2 3 12 8" xfId="46100" xr:uid="{00000000-0005-0000-0000-000044B40000}"/>
    <cellStyle name="输入 2 3 12 9" xfId="46101" xr:uid="{00000000-0005-0000-0000-000045B40000}"/>
    <cellStyle name="输入 2 3 13" xfId="46103" xr:uid="{00000000-0005-0000-0000-000047B40000}"/>
    <cellStyle name="输入 2 3 13 2" xfId="46104" xr:uid="{00000000-0005-0000-0000-000048B40000}"/>
    <cellStyle name="输入 2 3 13 2 2" xfId="46106" xr:uid="{00000000-0005-0000-0000-00004AB40000}"/>
    <cellStyle name="输入 2 3 13 3" xfId="46108" xr:uid="{00000000-0005-0000-0000-00004CB40000}"/>
    <cellStyle name="输入 2 3 13 3 2" xfId="46110" xr:uid="{00000000-0005-0000-0000-00004EB40000}"/>
    <cellStyle name="输入 2 3 13 4" xfId="45387" xr:uid="{00000000-0005-0000-0000-00007BB10000}"/>
    <cellStyle name="输入 2 3 13 4 2" xfId="46111" xr:uid="{00000000-0005-0000-0000-00004FB40000}"/>
    <cellStyle name="输入 2 3 13 5" xfId="46112" xr:uid="{00000000-0005-0000-0000-000050B40000}"/>
    <cellStyle name="输入 2 3 13 5 2" xfId="46113" xr:uid="{00000000-0005-0000-0000-000051B40000}"/>
    <cellStyle name="输入 2 3 13 6" xfId="46114" xr:uid="{00000000-0005-0000-0000-000052B40000}"/>
    <cellStyle name="输入 2 3 14" xfId="46116" xr:uid="{00000000-0005-0000-0000-000054B40000}"/>
    <cellStyle name="输入 2 3 14 2" xfId="46117" xr:uid="{00000000-0005-0000-0000-000055B40000}"/>
    <cellStyle name="输入 2 3 14 2 2" xfId="44924" xr:uid="{00000000-0005-0000-0000-0000ACAF0000}"/>
    <cellStyle name="输入 2 3 14 3" xfId="46119" xr:uid="{00000000-0005-0000-0000-000057B40000}"/>
    <cellStyle name="输入 2 3 14 3 2" xfId="46121" xr:uid="{00000000-0005-0000-0000-000059B40000}"/>
    <cellStyle name="输入 2 3 14 4" xfId="46122" xr:uid="{00000000-0005-0000-0000-00005AB40000}"/>
    <cellStyle name="输入 2 3 14 4 2" xfId="46123" xr:uid="{00000000-0005-0000-0000-00005BB40000}"/>
    <cellStyle name="输入 2 3 14 5" xfId="46124" xr:uid="{00000000-0005-0000-0000-00005CB40000}"/>
    <cellStyle name="输入 2 3 14 5 2" xfId="46125" xr:uid="{00000000-0005-0000-0000-00005DB40000}"/>
    <cellStyle name="输入 2 3 14 6" xfId="46126" xr:uid="{00000000-0005-0000-0000-00005EB40000}"/>
    <cellStyle name="输入 2 3 15" xfId="46127" xr:uid="{00000000-0005-0000-0000-00005FB40000}"/>
    <cellStyle name="输入 2 3 15 2" xfId="46129" xr:uid="{00000000-0005-0000-0000-000061B40000}"/>
    <cellStyle name="输入 2 3 15 2 2" xfId="45274" xr:uid="{00000000-0005-0000-0000-00000AB10000}"/>
    <cellStyle name="输入 2 3 15 3" xfId="46132" xr:uid="{00000000-0005-0000-0000-000064B40000}"/>
    <cellStyle name="输入 2 3 15 3 2" xfId="46134" xr:uid="{00000000-0005-0000-0000-000066B40000}"/>
    <cellStyle name="输入 2 3 15 4" xfId="46135" xr:uid="{00000000-0005-0000-0000-000067B40000}"/>
    <cellStyle name="输入 2 3 15 4 2" xfId="46136" xr:uid="{00000000-0005-0000-0000-000068B40000}"/>
    <cellStyle name="输入 2 3 15 5" xfId="46137" xr:uid="{00000000-0005-0000-0000-000069B40000}"/>
    <cellStyle name="输入 2 3 15 5 2" xfId="46138" xr:uid="{00000000-0005-0000-0000-00006AB40000}"/>
    <cellStyle name="输入 2 3 15 6" xfId="46139" xr:uid="{00000000-0005-0000-0000-00006BB40000}"/>
    <cellStyle name="输入 2 3 16" xfId="46140" xr:uid="{00000000-0005-0000-0000-00006CB40000}"/>
    <cellStyle name="输入 2 3 16 2" xfId="46142" xr:uid="{00000000-0005-0000-0000-00006EB40000}"/>
    <cellStyle name="输入 2 3 16 2 2" xfId="46145" xr:uid="{00000000-0005-0000-0000-000071B40000}"/>
    <cellStyle name="输入 2 3 16 3" xfId="46146" xr:uid="{00000000-0005-0000-0000-000072B40000}"/>
    <cellStyle name="输入 2 3 16 3 2" xfId="46147" xr:uid="{00000000-0005-0000-0000-000073B40000}"/>
    <cellStyle name="输入 2 3 16 4" xfId="46148" xr:uid="{00000000-0005-0000-0000-000074B40000}"/>
    <cellStyle name="输入 2 3 16 4 2" xfId="46149" xr:uid="{00000000-0005-0000-0000-000075B40000}"/>
    <cellStyle name="输入 2 3 16 5" xfId="46150" xr:uid="{00000000-0005-0000-0000-000076B40000}"/>
    <cellStyle name="输入 2 3 16 5 2" xfId="46151" xr:uid="{00000000-0005-0000-0000-000077B40000}"/>
    <cellStyle name="输入 2 3 16 6" xfId="46152" xr:uid="{00000000-0005-0000-0000-000078B40000}"/>
    <cellStyle name="输入 2 3 17" xfId="34664" xr:uid="{00000000-0005-0000-0000-000098870000}"/>
    <cellStyle name="输入 2 3 17 2" xfId="34668" xr:uid="{00000000-0005-0000-0000-00009C870000}"/>
    <cellStyle name="输入 2 3 17 2 2" xfId="46153" xr:uid="{00000000-0005-0000-0000-000079B40000}"/>
    <cellStyle name="输入 2 3 17 3" xfId="35565" xr:uid="{00000000-0005-0000-0000-00001D8B0000}"/>
    <cellStyle name="输入 2 3 17 3 2" xfId="32955" xr:uid="{00000000-0005-0000-0000-0000EB800000}"/>
    <cellStyle name="输入 2 3 17 4" xfId="35567" xr:uid="{00000000-0005-0000-0000-00001F8B0000}"/>
    <cellStyle name="输入 2 3 17 4 2" xfId="46154" xr:uid="{00000000-0005-0000-0000-00007AB40000}"/>
    <cellStyle name="输入 2 3 17 5" xfId="35569" xr:uid="{00000000-0005-0000-0000-0000218B0000}"/>
    <cellStyle name="输入 2 3 17 5 2" xfId="46155" xr:uid="{00000000-0005-0000-0000-00007BB40000}"/>
    <cellStyle name="输入 2 3 17 6" xfId="46156" xr:uid="{00000000-0005-0000-0000-00007CB40000}"/>
    <cellStyle name="输入 2 3 18" xfId="34671" xr:uid="{00000000-0005-0000-0000-00009F870000}"/>
    <cellStyle name="输入 2 3 18 2" xfId="25824" xr:uid="{00000000-0005-0000-0000-000010650000}"/>
    <cellStyle name="输入 2 3 18 2 2" xfId="25792" xr:uid="{00000000-0005-0000-0000-0000F0640000}"/>
    <cellStyle name="输入 2 3 18 3" xfId="25834" xr:uid="{00000000-0005-0000-0000-00001A650000}"/>
    <cellStyle name="输入 2 3 18 3 2" xfId="25838" xr:uid="{00000000-0005-0000-0000-00001E650000}"/>
    <cellStyle name="输入 2 3 18 4" xfId="25876" xr:uid="{00000000-0005-0000-0000-000044650000}"/>
    <cellStyle name="输入 2 3 18 4 2" xfId="25879" xr:uid="{00000000-0005-0000-0000-000047650000}"/>
    <cellStyle name="输入 2 3 18 5" xfId="25894" xr:uid="{00000000-0005-0000-0000-000056650000}"/>
    <cellStyle name="输入 2 3 18 5 2" xfId="25898" xr:uid="{00000000-0005-0000-0000-00005A650000}"/>
    <cellStyle name="输入 2 3 18 6" xfId="24633" xr:uid="{00000000-0005-0000-0000-000069600000}"/>
    <cellStyle name="输入 2 3 19" xfId="34674" xr:uid="{00000000-0005-0000-0000-0000A2870000}"/>
    <cellStyle name="输入 2 3 19 2" xfId="26003" xr:uid="{00000000-0005-0000-0000-0000C3650000}"/>
    <cellStyle name="输入 2 3 19 2 2" xfId="21428" xr:uid="{00000000-0005-0000-0000-0000E4530000}"/>
    <cellStyle name="输入 2 3 19 3" xfId="9234" xr:uid="{00000000-0005-0000-0000-000042240000}"/>
    <cellStyle name="输入 2 3 19 3 2" xfId="21461" xr:uid="{00000000-0005-0000-0000-000005540000}"/>
    <cellStyle name="输入 2 3 19 4" xfId="26023" xr:uid="{00000000-0005-0000-0000-0000D7650000}"/>
    <cellStyle name="输入 2 3 19 4 2" xfId="21491" xr:uid="{00000000-0005-0000-0000-000023540000}"/>
    <cellStyle name="输入 2 3 19 5" xfId="26035" xr:uid="{00000000-0005-0000-0000-0000E3650000}"/>
    <cellStyle name="输入 2 3 2" xfId="46157" xr:uid="{00000000-0005-0000-0000-00007DB40000}"/>
    <cellStyle name="输入 2 3 2 10" xfId="15328" xr:uid="{00000000-0005-0000-0000-0000103C0000}"/>
    <cellStyle name="输入 2 3 2 10 2" xfId="46162" xr:uid="{00000000-0005-0000-0000-000082B40000}"/>
    <cellStyle name="输入 2 3 2 11" xfId="46163" xr:uid="{00000000-0005-0000-0000-000083B40000}"/>
    <cellStyle name="输入 2 3 2 11 2" xfId="46164" xr:uid="{00000000-0005-0000-0000-000084B40000}"/>
    <cellStyle name="输入 2 3 2 12" xfId="37331" xr:uid="{00000000-0005-0000-0000-000003920000}"/>
    <cellStyle name="输入 2 3 2 12 2" xfId="46165" xr:uid="{00000000-0005-0000-0000-000085B40000}"/>
    <cellStyle name="输入 2 3 2 13" xfId="46166" xr:uid="{00000000-0005-0000-0000-000086B40000}"/>
    <cellStyle name="输入 2 3 2 14" xfId="46167" xr:uid="{00000000-0005-0000-0000-000087B40000}"/>
    <cellStyle name="输入 2 3 2 15" xfId="46168" xr:uid="{00000000-0005-0000-0000-000088B40000}"/>
    <cellStyle name="输入 2 3 2 16" xfId="46169" xr:uid="{00000000-0005-0000-0000-000089B40000}"/>
    <cellStyle name="输入 2 3 2 2" xfId="46170" xr:uid="{00000000-0005-0000-0000-00008AB40000}"/>
    <cellStyle name="输入 2 3 2 2 2" xfId="46173" xr:uid="{00000000-0005-0000-0000-00008DB40000}"/>
    <cellStyle name="输入 2 3 2 2 2 2" xfId="12214" xr:uid="{00000000-0005-0000-0000-0000E62F0000}"/>
    <cellStyle name="输入 2 3 2 2 3" xfId="29379" xr:uid="{00000000-0005-0000-0000-0000F3720000}"/>
    <cellStyle name="输入 2 3 2 2 3 2" xfId="46175" xr:uid="{00000000-0005-0000-0000-00008FB40000}"/>
    <cellStyle name="输入 2 3 2 2 4" xfId="22706" xr:uid="{00000000-0005-0000-0000-0000E2580000}"/>
    <cellStyle name="输入 2 3 2 2 4 2" xfId="46176" xr:uid="{00000000-0005-0000-0000-000090B40000}"/>
    <cellStyle name="输入 2 3 2 2 5" xfId="18844" xr:uid="{00000000-0005-0000-0000-0000CC490000}"/>
    <cellStyle name="输入 2 3 2 2 5 2" xfId="18847" xr:uid="{00000000-0005-0000-0000-0000CF490000}"/>
    <cellStyle name="输入 2 3 2 2 6" xfId="18849" xr:uid="{00000000-0005-0000-0000-0000D1490000}"/>
    <cellStyle name="输入 2 3 2 2 7" xfId="18855" xr:uid="{00000000-0005-0000-0000-0000D7490000}"/>
    <cellStyle name="输入 2 3 2 2 8" xfId="14044" xr:uid="{00000000-0005-0000-0000-00000C370000}"/>
    <cellStyle name="输入 2 3 2 2 9" xfId="14058" xr:uid="{00000000-0005-0000-0000-00001A370000}"/>
    <cellStyle name="输入 2 3 2 3" xfId="31792" xr:uid="{00000000-0005-0000-0000-0000607C0000}"/>
    <cellStyle name="输入 2 3 2 3 2" xfId="31795" xr:uid="{00000000-0005-0000-0000-0000637C0000}"/>
    <cellStyle name="输入 2 3 2 3 2 2" xfId="45444" xr:uid="{00000000-0005-0000-0000-0000B4B10000}"/>
    <cellStyle name="输入 2 3 2 3 3" xfId="29382" xr:uid="{00000000-0005-0000-0000-0000F6720000}"/>
    <cellStyle name="输入 2 3 2 3 3 2" xfId="46178" xr:uid="{00000000-0005-0000-0000-000092B40000}"/>
    <cellStyle name="输入 2 3 2 3 4" xfId="22713" xr:uid="{00000000-0005-0000-0000-0000E9580000}"/>
    <cellStyle name="输入 2 3 2 3 4 2" xfId="46179" xr:uid="{00000000-0005-0000-0000-000093B40000}"/>
    <cellStyle name="输入 2 3 2 3 5" xfId="18862" xr:uid="{00000000-0005-0000-0000-0000DE490000}"/>
    <cellStyle name="输入 2 3 2 3 5 2" xfId="18864" xr:uid="{00000000-0005-0000-0000-0000E0490000}"/>
    <cellStyle name="输入 2 3 2 3 6" xfId="18866" xr:uid="{00000000-0005-0000-0000-0000E2490000}"/>
    <cellStyle name="输入 2 3 2 4" xfId="31798" xr:uid="{00000000-0005-0000-0000-0000667C0000}"/>
    <cellStyle name="输入 2 3 2 4 2" xfId="31801" xr:uid="{00000000-0005-0000-0000-0000697C0000}"/>
    <cellStyle name="输入 2 3 2 4 2 2" xfId="46180" xr:uid="{00000000-0005-0000-0000-000094B40000}"/>
    <cellStyle name="输入 2 3 2 4 3" xfId="36562" xr:uid="{00000000-0005-0000-0000-0000028F0000}"/>
    <cellStyle name="输入 2 3 2 4 3 2" xfId="46181" xr:uid="{00000000-0005-0000-0000-000095B40000}"/>
    <cellStyle name="输入 2 3 2 4 4" xfId="1678" xr:uid="{00000000-0005-0000-0000-0000BE060000}"/>
    <cellStyle name="输入 2 3 2 4 4 2" xfId="46182" xr:uid="{00000000-0005-0000-0000-000096B40000}"/>
    <cellStyle name="输入 2 3 2 4 5" xfId="1704" xr:uid="{00000000-0005-0000-0000-0000D8060000}"/>
    <cellStyle name="输入 2 3 2 4 5 2" xfId="18878" xr:uid="{00000000-0005-0000-0000-0000EE490000}"/>
    <cellStyle name="输入 2 3 2 4 6" xfId="1724" xr:uid="{00000000-0005-0000-0000-0000EC060000}"/>
    <cellStyle name="输入 2 3 2 5" xfId="31806" xr:uid="{00000000-0005-0000-0000-00006E7C0000}"/>
    <cellStyle name="输入 2 3 2 5 2" xfId="31808" xr:uid="{00000000-0005-0000-0000-0000707C0000}"/>
    <cellStyle name="输入 2 3 2 5 2 2" xfId="46183" xr:uid="{00000000-0005-0000-0000-000097B40000}"/>
    <cellStyle name="输入 2 3 2 5 3" xfId="36614" xr:uid="{00000000-0005-0000-0000-0000368F0000}"/>
    <cellStyle name="输入 2 3 2 5 3 2" xfId="46184" xr:uid="{00000000-0005-0000-0000-000098B40000}"/>
    <cellStyle name="输入 2 3 2 5 4" xfId="36624" xr:uid="{00000000-0005-0000-0000-0000408F0000}"/>
    <cellStyle name="输入 2 3 2 5 4 2" xfId="46185" xr:uid="{00000000-0005-0000-0000-000099B40000}"/>
    <cellStyle name="输入 2 3 2 5 5" xfId="18890" xr:uid="{00000000-0005-0000-0000-0000FA490000}"/>
    <cellStyle name="输入 2 3 2 5 5 2" xfId="18895" xr:uid="{00000000-0005-0000-0000-0000FF490000}"/>
    <cellStyle name="输入 2 3 2 5 6" xfId="18898" xr:uid="{00000000-0005-0000-0000-0000024A0000}"/>
    <cellStyle name="输入 2 3 2 6" xfId="31812" xr:uid="{00000000-0005-0000-0000-0000747C0000}"/>
    <cellStyle name="输入 2 3 2 6 2" xfId="46187" xr:uid="{00000000-0005-0000-0000-00009BB40000}"/>
    <cellStyle name="输入 2 3 2 6 2 2" xfId="46189" xr:uid="{00000000-0005-0000-0000-00009DB40000}"/>
    <cellStyle name="输入 2 3 2 6 3" xfId="29090" xr:uid="{00000000-0005-0000-0000-0000D2710000}"/>
    <cellStyle name="输入 2 3 2 6 3 2" xfId="46191" xr:uid="{00000000-0005-0000-0000-00009FB40000}"/>
    <cellStyle name="输入 2 3 2 6 4" xfId="36657" xr:uid="{00000000-0005-0000-0000-0000618F0000}"/>
    <cellStyle name="输入 2 3 2 6 4 2" xfId="36662" xr:uid="{00000000-0005-0000-0000-0000668F0000}"/>
    <cellStyle name="输入 2 3 2 6 5" xfId="18917" xr:uid="{00000000-0005-0000-0000-0000154A0000}"/>
    <cellStyle name="输入 2 3 2 6 5 2" xfId="18921" xr:uid="{00000000-0005-0000-0000-0000194A0000}"/>
    <cellStyle name="输入 2 3 2 6 6" xfId="18925" xr:uid="{00000000-0005-0000-0000-00001D4A0000}"/>
    <cellStyle name="输入 2 3 2 7" xfId="31814" xr:uid="{00000000-0005-0000-0000-0000767C0000}"/>
    <cellStyle name="输入 2 3 2 7 2" xfId="46193" xr:uid="{00000000-0005-0000-0000-0000A1B40000}"/>
    <cellStyle name="输入 2 3 2 7 2 2" xfId="46194" xr:uid="{00000000-0005-0000-0000-0000A2B40000}"/>
    <cellStyle name="输入 2 3 2 7 3" xfId="29095" xr:uid="{00000000-0005-0000-0000-0000D7710000}"/>
    <cellStyle name="输入 2 3 2 7 3 2" xfId="46195" xr:uid="{00000000-0005-0000-0000-0000A3B40000}"/>
    <cellStyle name="输入 2 3 2 7 4" xfId="36713" xr:uid="{00000000-0005-0000-0000-0000998F0000}"/>
    <cellStyle name="输入 2 3 2 7 4 2" xfId="46196" xr:uid="{00000000-0005-0000-0000-0000A4B40000}"/>
    <cellStyle name="输入 2 3 2 7 5" xfId="18936" xr:uid="{00000000-0005-0000-0000-0000284A0000}"/>
    <cellStyle name="输入 2 3 2 7 5 2" xfId="46199" xr:uid="{00000000-0005-0000-0000-0000A7B40000}"/>
    <cellStyle name="输入 2 3 2 7 6" xfId="46201" xr:uid="{00000000-0005-0000-0000-0000A9B40000}"/>
    <cellStyle name="输入 2 3 2 8" xfId="31816" xr:uid="{00000000-0005-0000-0000-0000787C0000}"/>
    <cellStyle name="输入 2 3 2 8 2" xfId="46202" xr:uid="{00000000-0005-0000-0000-0000AAB40000}"/>
    <cellStyle name="输入 2 3 2 8 2 2" xfId="46203" xr:uid="{00000000-0005-0000-0000-0000ABB40000}"/>
    <cellStyle name="输入 2 3 2 8 3" xfId="29100" xr:uid="{00000000-0005-0000-0000-0000DC710000}"/>
    <cellStyle name="输入 2 3 2 8 3 2" xfId="46204" xr:uid="{00000000-0005-0000-0000-0000ACB40000}"/>
    <cellStyle name="输入 2 3 2 8 4" xfId="46205" xr:uid="{00000000-0005-0000-0000-0000ADB40000}"/>
    <cellStyle name="输入 2 3 2 8 4 2" xfId="46206" xr:uid="{00000000-0005-0000-0000-0000AEB40000}"/>
    <cellStyle name="输入 2 3 2 8 5" xfId="46208" xr:uid="{00000000-0005-0000-0000-0000B0B40000}"/>
    <cellStyle name="输入 2 3 2 9" xfId="31818" xr:uid="{00000000-0005-0000-0000-00007A7C0000}"/>
    <cellStyle name="输入 2 3 2 9 2" xfId="46210" xr:uid="{00000000-0005-0000-0000-0000B2B40000}"/>
    <cellStyle name="输入 2 3 20" xfId="46128" xr:uid="{00000000-0005-0000-0000-000060B40000}"/>
    <cellStyle name="输入 2 3 20 2" xfId="46130" xr:uid="{00000000-0005-0000-0000-000062B40000}"/>
    <cellStyle name="输入 2 3 21" xfId="46141" xr:uid="{00000000-0005-0000-0000-00006DB40000}"/>
    <cellStyle name="输入 2 3 21 2" xfId="46143" xr:uid="{00000000-0005-0000-0000-00006FB40000}"/>
    <cellStyle name="输入 2 3 22" xfId="34665" xr:uid="{00000000-0005-0000-0000-000099870000}"/>
    <cellStyle name="输入 2 3 22 2" xfId="34669" xr:uid="{00000000-0005-0000-0000-00009D870000}"/>
    <cellStyle name="输入 2 3 23" xfId="34672" xr:uid="{00000000-0005-0000-0000-0000A0870000}"/>
    <cellStyle name="输入 2 3 23 2" xfId="25823" xr:uid="{00000000-0005-0000-0000-00000F650000}"/>
    <cellStyle name="输入 2 3 24" xfId="34675" xr:uid="{00000000-0005-0000-0000-0000A3870000}"/>
    <cellStyle name="输入 2 3 25" xfId="34677" xr:uid="{00000000-0005-0000-0000-0000A5870000}"/>
    <cellStyle name="输入 2 3 26" xfId="34679" xr:uid="{00000000-0005-0000-0000-0000A7870000}"/>
    <cellStyle name="输入 2 3 27" xfId="34681" xr:uid="{00000000-0005-0000-0000-0000A9870000}"/>
    <cellStyle name="输入 2 3 3" xfId="38295" xr:uid="{00000000-0005-0000-0000-0000C7950000}"/>
    <cellStyle name="输入 2 3 3 10" xfId="46211" xr:uid="{00000000-0005-0000-0000-0000B3B40000}"/>
    <cellStyle name="输入 2 3 3 10 2" xfId="46212" xr:uid="{00000000-0005-0000-0000-0000B4B40000}"/>
    <cellStyle name="输入 2 3 3 11" xfId="46213" xr:uid="{00000000-0005-0000-0000-0000B5B40000}"/>
    <cellStyle name="输入 2 3 3 11 2" xfId="46214" xr:uid="{00000000-0005-0000-0000-0000B6B40000}"/>
    <cellStyle name="输入 2 3 3 12" xfId="39766" xr:uid="{00000000-0005-0000-0000-0000869B0000}"/>
    <cellStyle name="输入 2 3 3 12 2" xfId="46215" xr:uid="{00000000-0005-0000-0000-0000B7B40000}"/>
    <cellStyle name="输入 2 3 3 13" xfId="46216" xr:uid="{00000000-0005-0000-0000-0000B8B40000}"/>
    <cellStyle name="输入 2 3 3 14" xfId="2041" xr:uid="{00000000-0005-0000-0000-000029080000}"/>
    <cellStyle name="输入 2 3 3 15" xfId="27453" xr:uid="{00000000-0005-0000-0000-00006D6B0000}"/>
    <cellStyle name="输入 2 3 3 16" xfId="17676" xr:uid="{00000000-0005-0000-0000-00003C450000}"/>
    <cellStyle name="输入 2 3 3 2" xfId="46217" xr:uid="{00000000-0005-0000-0000-0000B9B40000}"/>
    <cellStyle name="输入 2 3 3 2 2" xfId="46219" xr:uid="{00000000-0005-0000-0000-0000BBB40000}"/>
    <cellStyle name="输入 2 3 3 2 2 2" xfId="46221" xr:uid="{00000000-0005-0000-0000-0000BDB40000}"/>
    <cellStyle name="输入 2 3 3 2 3" xfId="46223" xr:uid="{00000000-0005-0000-0000-0000BFB40000}"/>
    <cellStyle name="输入 2 3 3 2 3 2" xfId="46224" xr:uid="{00000000-0005-0000-0000-0000C0B40000}"/>
    <cellStyle name="输入 2 3 3 2 4" xfId="22734" xr:uid="{00000000-0005-0000-0000-0000FE580000}"/>
    <cellStyle name="输入 2 3 3 2 4 2" xfId="42701" xr:uid="{00000000-0005-0000-0000-0000FDA60000}"/>
    <cellStyle name="输入 2 3 3 2 5" xfId="18976" xr:uid="{00000000-0005-0000-0000-0000504A0000}"/>
    <cellStyle name="输入 2 3 3 2 5 2" xfId="5172" xr:uid="{00000000-0005-0000-0000-000064140000}"/>
    <cellStyle name="输入 2 3 3 2 6" xfId="18979" xr:uid="{00000000-0005-0000-0000-0000534A0000}"/>
    <cellStyle name="输入 2 3 3 2 7" xfId="18984" xr:uid="{00000000-0005-0000-0000-0000584A0000}"/>
    <cellStyle name="输入 2 3 3 2 8" xfId="18993" xr:uid="{00000000-0005-0000-0000-0000614A0000}"/>
    <cellStyle name="输入 2 3 3 2 9" xfId="18997" xr:uid="{00000000-0005-0000-0000-0000654A0000}"/>
    <cellStyle name="输入 2 3 3 3" xfId="46226" xr:uid="{00000000-0005-0000-0000-0000C2B40000}"/>
    <cellStyle name="输入 2 3 3 3 2" xfId="46228" xr:uid="{00000000-0005-0000-0000-0000C4B40000}"/>
    <cellStyle name="输入 2 3 3 3 2 2" xfId="45938" xr:uid="{00000000-0005-0000-0000-0000A2B30000}"/>
    <cellStyle name="输入 2 3 3 3 3" xfId="46230" xr:uid="{00000000-0005-0000-0000-0000C6B40000}"/>
    <cellStyle name="输入 2 3 3 3 3 2" xfId="46231" xr:uid="{00000000-0005-0000-0000-0000C7B40000}"/>
    <cellStyle name="输入 2 3 3 3 4" xfId="11526" xr:uid="{00000000-0005-0000-0000-0000362D0000}"/>
    <cellStyle name="输入 2 3 3 3 4 2" xfId="42704" xr:uid="{00000000-0005-0000-0000-000000A70000}"/>
    <cellStyle name="输入 2 3 3 3 5" xfId="19000" xr:uid="{00000000-0005-0000-0000-0000684A0000}"/>
    <cellStyle name="输入 2 3 3 3 5 2" xfId="56" xr:uid="{00000000-0005-0000-0000-00003D000000}"/>
    <cellStyle name="输入 2 3 3 3 6" xfId="19003" xr:uid="{00000000-0005-0000-0000-00006B4A0000}"/>
    <cellStyle name="输入 2 3 3 4" xfId="46232" xr:uid="{00000000-0005-0000-0000-0000C8B40000}"/>
    <cellStyle name="输入 2 3 3 4 2" xfId="46234" xr:uid="{00000000-0005-0000-0000-0000CAB40000}"/>
    <cellStyle name="输入 2 3 3 4 2 2" xfId="46236" xr:uid="{00000000-0005-0000-0000-0000CCB40000}"/>
    <cellStyle name="输入 2 3 3 4 3" xfId="46237" xr:uid="{00000000-0005-0000-0000-0000CDB40000}"/>
    <cellStyle name="输入 2 3 3 4 3 2" xfId="46238" xr:uid="{00000000-0005-0000-0000-0000CEB40000}"/>
    <cellStyle name="输入 2 3 3 4 4" xfId="22746" xr:uid="{00000000-0005-0000-0000-00000A590000}"/>
    <cellStyle name="输入 2 3 3 4 4 2" xfId="46239" xr:uid="{00000000-0005-0000-0000-0000CFB40000}"/>
    <cellStyle name="输入 2 3 3 4 5" xfId="19020" xr:uid="{00000000-0005-0000-0000-00007C4A0000}"/>
    <cellStyle name="输入 2 3 3 4 5 2" xfId="192" xr:uid="{00000000-0005-0000-0000-0000CF000000}"/>
    <cellStyle name="输入 2 3 3 4 6" xfId="19023" xr:uid="{00000000-0005-0000-0000-00007F4A0000}"/>
    <cellStyle name="输入 2 3 3 5" xfId="46240" xr:uid="{00000000-0005-0000-0000-0000D0B40000}"/>
    <cellStyle name="输入 2 3 3 5 2" xfId="46242" xr:uid="{00000000-0005-0000-0000-0000D2B40000}"/>
    <cellStyle name="输入 2 3 3 5 2 2" xfId="5766" xr:uid="{00000000-0005-0000-0000-0000B6160000}"/>
    <cellStyle name="输入 2 3 3 5 3" xfId="46243" xr:uid="{00000000-0005-0000-0000-0000D3B40000}"/>
    <cellStyle name="输入 2 3 3 5 3 2" xfId="5854" xr:uid="{00000000-0005-0000-0000-00000E170000}"/>
    <cellStyle name="输入 2 3 3 5 4" xfId="46244" xr:uid="{00000000-0005-0000-0000-0000D4B40000}"/>
    <cellStyle name="输入 2 3 3 5 4 2" xfId="5987" xr:uid="{00000000-0005-0000-0000-000093170000}"/>
    <cellStyle name="输入 2 3 3 5 5" xfId="19035" xr:uid="{00000000-0005-0000-0000-00008B4A0000}"/>
    <cellStyle name="输入 2 3 3 5 5 2" xfId="5439" xr:uid="{00000000-0005-0000-0000-00006F150000}"/>
    <cellStyle name="输入 2 3 3 5 6" xfId="19038" xr:uid="{00000000-0005-0000-0000-00008E4A0000}"/>
    <cellStyle name="输入 2 3 3 6" xfId="46245" xr:uid="{00000000-0005-0000-0000-0000D5B40000}"/>
    <cellStyle name="输入 2 3 3 6 2" xfId="46246" xr:uid="{00000000-0005-0000-0000-0000D6B40000}"/>
    <cellStyle name="输入 2 3 3 6 2 2" xfId="46247" xr:uid="{00000000-0005-0000-0000-0000D7B40000}"/>
    <cellStyle name="输入 2 3 3 6 3" xfId="29109" xr:uid="{00000000-0005-0000-0000-0000E5710000}"/>
    <cellStyle name="输入 2 3 3 6 3 2" xfId="46248" xr:uid="{00000000-0005-0000-0000-0000D8B40000}"/>
    <cellStyle name="输入 2 3 3 6 4" xfId="46249" xr:uid="{00000000-0005-0000-0000-0000D9B40000}"/>
    <cellStyle name="输入 2 3 3 6 4 2" xfId="46250" xr:uid="{00000000-0005-0000-0000-0000DAB40000}"/>
    <cellStyle name="输入 2 3 3 6 5" xfId="19057" xr:uid="{00000000-0005-0000-0000-0000A14A0000}"/>
    <cellStyle name="输入 2 3 3 6 5 2" xfId="15592" xr:uid="{00000000-0005-0000-0000-0000183D0000}"/>
    <cellStyle name="输入 2 3 3 6 6" xfId="19060" xr:uid="{00000000-0005-0000-0000-0000A44A0000}"/>
    <cellStyle name="输入 2 3 3 7" xfId="46252" xr:uid="{00000000-0005-0000-0000-0000DCB40000}"/>
    <cellStyle name="输入 2 3 3 7 2" xfId="46253" xr:uid="{00000000-0005-0000-0000-0000DDB40000}"/>
    <cellStyle name="输入 2 3 3 7 2 2" xfId="46254" xr:uid="{00000000-0005-0000-0000-0000DEB40000}"/>
    <cellStyle name="输入 2 3 3 7 3" xfId="29115" xr:uid="{00000000-0005-0000-0000-0000EB710000}"/>
    <cellStyle name="输入 2 3 3 7 3 2" xfId="46255" xr:uid="{00000000-0005-0000-0000-0000DFB40000}"/>
    <cellStyle name="输入 2 3 3 7 4" xfId="46256" xr:uid="{00000000-0005-0000-0000-0000E0B40000}"/>
    <cellStyle name="输入 2 3 3 7 4 2" xfId="46257" xr:uid="{00000000-0005-0000-0000-0000E1B40000}"/>
    <cellStyle name="输入 2 3 3 7 5" xfId="19064" xr:uid="{00000000-0005-0000-0000-0000A84A0000}"/>
    <cellStyle name="输入 2 3 3 7 5 2" xfId="46259" xr:uid="{00000000-0005-0000-0000-0000E3B40000}"/>
    <cellStyle name="输入 2 3 3 7 6" xfId="46260" xr:uid="{00000000-0005-0000-0000-0000E4B40000}"/>
    <cellStyle name="输入 2 3 3 8" xfId="46261" xr:uid="{00000000-0005-0000-0000-0000E5B40000}"/>
    <cellStyle name="输入 2 3 3 8 2" xfId="46263" xr:uid="{00000000-0005-0000-0000-0000E7B40000}"/>
    <cellStyle name="输入 2 3 3 8 2 2" xfId="46264" xr:uid="{00000000-0005-0000-0000-0000E8B40000}"/>
    <cellStyle name="输入 2 3 3 8 3" xfId="11743" xr:uid="{00000000-0005-0000-0000-00000F2E0000}"/>
    <cellStyle name="输入 2 3 3 8 3 2" xfId="46265" xr:uid="{00000000-0005-0000-0000-0000E9B40000}"/>
    <cellStyle name="输入 2 3 3 8 4" xfId="46266" xr:uid="{00000000-0005-0000-0000-0000EAB40000}"/>
    <cellStyle name="输入 2 3 3 8 4 2" xfId="46267" xr:uid="{00000000-0005-0000-0000-0000EBB40000}"/>
    <cellStyle name="输入 2 3 3 8 5" xfId="46269" xr:uid="{00000000-0005-0000-0000-0000EDB40000}"/>
    <cellStyle name="输入 2 3 3 9" xfId="46271" xr:uid="{00000000-0005-0000-0000-0000EFB40000}"/>
    <cellStyle name="输入 2 3 3 9 2" xfId="45454" xr:uid="{00000000-0005-0000-0000-0000BEB10000}"/>
    <cellStyle name="输入 2 3 4" xfId="46272" xr:uid="{00000000-0005-0000-0000-0000F0B40000}"/>
    <cellStyle name="输入 2 3 4 10" xfId="46273" xr:uid="{00000000-0005-0000-0000-0000F1B40000}"/>
    <cellStyle name="输入 2 3 4 10 2" xfId="46274" xr:uid="{00000000-0005-0000-0000-0000F2B40000}"/>
    <cellStyle name="输入 2 3 4 11" xfId="46275" xr:uid="{00000000-0005-0000-0000-0000F3B40000}"/>
    <cellStyle name="输入 2 3 4 11 2" xfId="46276" xr:uid="{00000000-0005-0000-0000-0000F4B40000}"/>
    <cellStyle name="输入 2 3 4 12" xfId="46277" xr:uid="{00000000-0005-0000-0000-0000F5B40000}"/>
    <cellStyle name="输入 2 3 4 12 2" xfId="46278" xr:uid="{00000000-0005-0000-0000-0000F6B40000}"/>
    <cellStyle name="输入 2 3 4 13" xfId="943" xr:uid="{00000000-0005-0000-0000-0000DF030000}"/>
    <cellStyle name="输入 2 3 4 14" xfId="9883" xr:uid="{00000000-0005-0000-0000-0000CB260000}"/>
    <cellStyle name="输入 2 3 4 15" xfId="9888" xr:uid="{00000000-0005-0000-0000-0000D0260000}"/>
    <cellStyle name="输入 2 3 4 16" xfId="9172" xr:uid="{00000000-0005-0000-0000-000004240000}"/>
    <cellStyle name="输入 2 3 4 2" xfId="46279" xr:uid="{00000000-0005-0000-0000-0000F7B40000}"/>
    <cellStyle name="输入 2 3 4 2 2" xfId="46281" xr:uid="{00000000-0005-0000-0000-0000F9B40000}"/>
    <cellStyle name="输入 2 3 4 2 2 2" xfId="45020" xr:uid="{00000000-0005-0000-0000-00000CB00000}"/>
    <cellStyle name="输入 2 3 4 2 3" xfId="46283" xr:uid="{00000000-0005-0000-0000-0000FBB40000}"/>
    <cellStyle name="输入 2 3 4 2 3 2" xfId="46284" xr:uid="{00000000-0005-0000-0000-0000FCB40000}"/>
    <cellStyle name="输入 2 3 4 2 4" xfId="22766" xr:uid="{00000000-0005-0000-0000-00001E590000}"/>
    <cellStyle name="输入 2 3 4 2 4 2" xfId="42740" xr:uid="{00000000-0005-0000-0000-000024A70000}"/>
    <cellStyle name="输入 2 3 4 2 5" xfId="19105" xr:uid="{00000000-0005-0000-0000-0000D14A0000}"/>
    <cellStyle name="输入 2 3 4 2 5 2" xfId="8678" xr:uid="{00000000-0005-0000-0000-000016220000}"/>
    <cellStyle name="输入 2 3 4 2 6" xfId="19109" xr:uid="{00000000-0005-0000-0000-0000D54A0000}"/>
    <cellStyle name="输入 2 3 4 2 7" xfId="19113" xr:uid="{00000000-0005-0000-0000-0000D94A0000}"/>
    <cellStyle name="输入 2 3 4 2 8" xfId="19121" xr:uid="{00000000-0005-0000-0000-0000E14A0000}"/>
    <cellStyle name="输入 2 3 4 2 9" xfId="1201" xr:uid="{00000000-0005-0000-0000-0000E1040000}"/>
    <cellStyle name="输入 2 3 4 3" xfId="46285" xr:uid="{00000000-0005-0000-0000-0000FDB40000}"/>
    <cellStyle name="输入 2 3 4 3 2" xfId="46287" xr:uid="{00000000-0005-0000-0000-0000FFB40000}"/>
    <cellStyle name="输入 2 3 4 3 2 2" xfId="46289" xr:uid="{00000000-0005-0000-0000-000001B50000}"/>
    <cellStyle name="输入 2 3 4 3 3" xfId="46291" xr:uid="{00000000-0005-0000-0000-000003B50000}"/>
    <cellStyle name="输入 2 3 4 3 3 2" xfId="46292" xr:uid="{00000000-0005-0000-0000-000004B50000}"/>
    <cellStyle name="输入 2 3 4 3 4" xfId="22778" xr:uid="{00000000-0005-0000-0000-00002A590000}"/>
    <cellStyle name="输入 2 3 4 3 4 2" xfId="42742" xr:uid="{00000000-0005-0000-0000-000026A70000}"/>
    <cellStyle name="输入 2 3 4 3 5" xfId="19127" xr:uid="{00000000-0005-0000-0000-0000E74A0000}"/>
    <cellStyle name="输入 2 3 4 3 5 2" xfId="8788" xr:uid="{00000000-0005-0000-0000-000084220000}"/>
    <cellStyle name="输入 2 3 4 3 6" xfId="19131" xr:uid="{00000000-0005-0000-0000-0000EB4A0000}"/>
    <cellStyle name="输入 2 3 4 4" xfId="46293" xr:uid="{00000000-0005-0000-0000-000005B50000}"/>
    <cellStyle name="输入 2 3 4 4 2" xfId="46295" xr:uid="{00000000-0005-0000-0000-000007B50000}"/>
    <cellStyle name="输入 2 3 4 4 2 2" xfId="46296" xr:uid="{00000000-0005-0000-0000-000008B50000}"/>
    <cellStyle name="输入 2 3 4 4 3" xfId="46297" xr:uid="{00000000-0005-0000-0000-000009B50000}"/>
    <cellStyle name="输入 2 3 4 4 3 2" xfId="46298" xr:uid="{00000000-0005-0000-0000-00000AB50000}"/>
    <cellStyle name="输入 2 3 4 4 4" xfId="22790" xr:uid="{00000000-0005-0000-0000-000036590000}"/>
    <cellStyle name="输入 2 3 4 4 4 2" xfId="46299" xr:uid="{00000000-0005-0000-0000-00000BB50000}"/>
    <cellStyle name="输入 2 3 4 4 5" xfId="19145" xr:uid="{00000000-0005-0000-0000-0000F94A0000}"/>
    <cellStyle name="输入 2 3 4 4 5 2" xfId="9110" xr:uid="{00000000-0005-0000-0000-0000C6230000}"/>
    <cellStyle name="输入 2 3 4 4 6" xfId="19148" xr:uid="{00000000-0005-0000-0000-0000FC4A0000}"/>
    <cellStyle name="输入 2 3 4 5" xfId="46300" xr:uid="{00000000-0005-0000-0000-00000CB50000}"/>
    <cellStyle name="输入 2 3 4 5 2" xfId="15506" xr:uid="{00000000-0005-0000-0000-0000C23C0000}"/>
    <cellStyle name="输入 2 3 4 5 2 2" xfId="46301" xr:uid="{00000000-0005-0000-0000-00000DB50000}"/>
    <cellStyle name="输入 2 3 4 5 3" xfId="19922" xr:uid="{00000000-0005-0000-0000-0000024E0000}"/>
    <cellStyle name="输入 2 3 4 5 3 2" xfId="46302" xr:uid="{00000000-0005-0000-0000-00000EB50000}"/>
    <cellStyle name="输入 2 3 4 5 4" xfId="19925" xr:uid="{00000000-0005-0000-0000-0000054E0000}"/>
    <cellStyle name="输入 2 3 4 5 4 2" xfId="46303" xr:uid="{00000000-0005-0000-0000-00000FB50000}"/>
    <cellStyle name="输入 2 3 4 5 5" xfId="15472" xr:uid="{00000000-0005-0000-0000-0000A03C0000}"/>
    <cellStyle name="输入 2 3 4 5 5 2" xfId="9323" xr:uid="{00000000-0005-0000-0000-00009B240000}"/>
    <cellStyle name="输入 2 3 4 5 6" xfId="19157" xr:uid="{00000000-0005-0000-0000-0000054B0000}"/>
    <cellStyle name="输入 2 3 4 6" xfId="46304" xr:uid="{00000000-0005-0000-0000-000010B50000}"/>
    <cellStyle name="输入 2 3 4 6 2" xfId="46305" xr:uid="{00000000-0005-0000-0000-000011B50000}"/>
    <cellStyle name="输入 2 3 4 6 2 2" xfId="46306" xr:uid="{00000000-0005-0000-0000-000012B50000}"/>
    <cellStyle name="输入 2 3 4 6 3" xfId="29123" xr:uid="{00000000-0005-0000-0000-0000F3710000}"/>
    <cellStyle name="输入 2 3 4 6 3 2" xfId="46307" xr:uid="{00000000-0005-0000-0000-000013B50000}"/>
    <cellStyle name="输入 2 3 4 6 4" xfId="46308" xr:uid="{00000000-0005-0000-0000-000014B50000}"/>
    <cellStyle name="输入 2 3 4 6 4 2" xfId="46309" xr:uid="{00000000-0005-0000-0000-000015B50000}"/>
    <cellStyle name="输入 2 3 4 6 5" xfId="15482" xr:uid="{00000000-0005-0000-0000-0000AA3C0000}"/>
    <cellStyle name="输入 2 3 4 6 5 2" xfId="19172" xr:uid="{00000000-0005-0000-0000-0000144B0000}"/>
    <cellStyle name="输入 2 3 4 6 6" xfId="5007" xr:uid="{00000000-0005-0000-0000-0000BF130000}"/>
    <cellStyle name="输入 2 3 4 7" xfId="46310" xr:uid="{00000000-0005-0000-0000-000016B50000}"/>
    <cellStyle name="输入 2 3 4 7 2" xfId="46311" xr:uid="{00000000-0005-0000-0000-000017B50000}"/>
    <cellStyle name="输入 2 3 4 7 2 2" xfId="46312" xr:uid="{00000000-0005-0000-0000-000018B50000}"/>
    <cellStyle name="输入 2 3 4 7 3" xfId="29129" xr:uid="{00000000-0005-0000-0000-0000F9710000}"/>
    <cellStyle name="输入 2 3 4 7 3 2" xfId="46314" xr:uid="{00000000-0005-0000-0000-00001AB50000}"/>
    <cellStyle name="输入 2 3 4 7 4" xfId="46315" xr:uid="{00000000-0005-0000-0000-00001BB50000}"/>
    <cellStyle name="输入 2 3 4 7 4 2" xfId="46316" xr:uid="{00000000-0005-0000-0000-00001CB50000}"/>
    <cellStyle name="输入 2 3 4 7 5" xfId="15491" xr:uid="{00000000-0005-0000-0000-0000B33C0000}"/>
    <cellStyle name="输入 2 3 4 7 5 2" xfId="46317" xr:uid="{00000000-0005-0000-0000-00001DB50000}"/>
    <cellStyle name="输入 2 3 4 7 6" xfId="40349" xr:uid="{00000000-0005-0000-0000-0000CD9D0000}"/>
    <cellStyle name="输入 2 3 4 8" xfId="46318" xr:uid="{00000000-0005-0000-0000-00001EB50000}"/>
    <cellStyle name="输入 2 3 4 8 2" xfId="46320" xr:uid="{00000000-0005-0000-0000-000020B50000}"/>
    <cellStyle name="输入 2 3 4 8 2 2" xfId="46321" xr:uid="{00000000-0005-0000-0000-000021B50000}"/>
    <cellStyle name="输入 2 3 4 8 3" xfId="29135" xr:uid="{00000000-0005-0000-0000-0000FF710000}"/>
    <cellStyle name="输入 2 3 4 8 3 2" xfId="46322" xr:uid="{00000000-0005-0000-0000-000022B50000}"/>
    <cellStyle name="输入 2 3 4 8 4" xfId="46323" xr:uid="{00000000-0005-0000-0000-000023B50000}"/>
    <cellStyle name="输入 2 3 4 8 4 2" xfId="46324" xr:uid="{00000000-0005-0000-0000-000024B50000}"/>
    <cellStyle name="输入 2 3 4 8 5" xfId="15494" xr:uid="{00000000-0005-0000-0000-0000B63C0000}"/>
    <cellStyle name="输入 2 3 4 9" xfId="46325" xr:uid="{00000000-0005-0000-0000-000025B50000}"/>
    <cellStyle name="输入 2 3 4 9 2" xfId="46326" xr:uid="{00000000-0005-0000-0000-000026B50000}"/>
    <cellStyle name="输入 2 3 5" xfId="46327" xr:uid="{00000000-0005-0000-0000-000027B50000}"/>
    <cellStyle name="输入 2 3 5 10" xfId="45816" xr:uid="{00000000-0005-0000-0000-000028B30000}"/>
    <cellStyle name="输入 2 3 5 10 2" xfId="46328" xr:uid="{00000000-0005-0000-0000-000028B50000}"/>
    <cellStyle name="输入 2 3 5 11" xfId="46329" xr:uid="{00000000-0005-0000-0000-000029B50000}"/>
    <cellStyle name="输入 2 3 5 11 2" xfId="46330" xr:uid="{00000000-0005-0000-0000-00002AB50000}"/>
    <cellStyle name="输入 2 3 5 12" xfId="46331" xr:uid="{00000000-0005-0000-0000-00002BB50000}"/>
    <cellStyle name="输入 2 3 5 12 2" xfId="46332" xr:uid="{00000000-0005-0000-0000-00002CB50000}"/>
    <cellStyle name="输入 2 3 5 13" xfId="1043" xr:uid="{00000000-0005-0000-0000-000043040000}"/>
    <cellStyle name="输入 2 3 5 14" xfId="10142" xr:uid="{00000000-0005-0000-0000-0000CE270000}"/>
    <cellStyle name="输入 2 3 5 15" xfId="13815" xr:uid="{00000000-0005-0000-0000-000027360000}"/>
    <cellStyle name="输入 2 3 5 16" xfId="13821" xr:uid="{00000000-0005-0000-0000-00002D360000}"/>
    <cellStyle name="输入 2 3 5 2" xfId="46333" xr:uid="{00000000-0005-0000-0000-00002DB50000}"/>
    <cellStyle name="输入 2 3 5 2 2" xfId="46334" xr:uid="{00000000-0005-0000-0000-00002EB50000}"/>
    <cellStyle name="输入 2 3 5 2 2 2" xfId="6394" xr:uid="{00000000-0005-0000-0000-00002A190000}"/>
    <cellStyle name="输入 2 3 5 2 3" xfId="46335" xr:uid="{00000000-0005-0000-0000-00002FB50000}"/>
    <cellStyle name="输入 2 3 5 2 3 2" xfId="6459" xr:uid="{00000000-0005-0000-0000-00006B190000}"/>
    <cellStyle name="输入 2 3 5 2 4" xfId="22813" xr:uid="{00000000-0005-0000-0000-00004D590000}"/>
    <cellStyle name="输入 2 3 5 2 4 2" xfId="98" xr:uid="{00000000-0005-0000-0000-000069000000}"/>
    <cellStyle name="输入 2 3 5 2 5" xfId="16923" xr:uid="{00000000-0005-0000-0000-00004B420000}"/>
    <cellStyle name="输入 2 3 5 2 5 2" xfId="46336" xr:uid="{00000000-0005-0000-0000-000030B50000}"/>
    <cellStyle name="输入 2 3 5 2 6" xfId="44612" xr:uid="{00000000-0005-0000-0000-000074AE0000}"/>
    <cellStyle name="输入 2 3 5 2 7" xfId="27164" xr:uid="{00000000-0005-0000-0000-00004C6A0000}"/>
    <cellStyle name="输入 2 3 5 2 8" xfId="46337" xr:uid="{00000000-0005-0000-0000-000031B50000}"/>
    <cellStyle name="输入 2 3 5 2 9" xfId="46338" xr:uid="{00000000-0005-0000-0000-000032B50000}"/>
    <cellStyle name="输入 2 3 5 3" xfId="46339" xr:uid="{00000000-0005-0000-0000-000033B50000}"/>
    <cellStyle name="输入 2 3 5 3 2" xfId="46340" xr:uid="{00000000-0005-0000-0000-000034B50000}"/>
    <cellStyle name="输入 2 3 5 3 2 2" xfId="6808" xr:uid="{00000000-0005-0000-0000-0000C81A0000}"/>
    <cellStyle name="输入 2 3 5 3 3" xfId="46341" xr:uid="{00000000-0005-0000-0000-000035B50000}"/>
    <cellStyle name="输入 2 3 5 3 3 2" xfId="6861" xr:uid="{00000000-0005-0000-0000-0000FD1A0000}"/>
    <cellStyle name="输入 2 3 5 3 4" xfId="22825" xr:uid="{00000000-0005-0000-0000-000059590000}"/>
    <cellStyle name="输入 2 3 5 3 4 2" xfId="1766" xr:uid="{00000000-0005-0000-0000-000016070000}"/>
    <cellStyle name="输入 2 3 5 3 5" xfId="46342" xr:uid="{00000000-0005-0000-0000-000036B50000}"/>
    <cellStyle name="输入 2 3 5 3 5 2" xfId="46343" xr:uid="{00000000-0005-0000-0000-000037B50000}"/>
    <cellStyle name="输入 2 3 5 3 6" xfId="44615" xr:uid="{00000000-0005-0000-0000-000077AE0000}"/>
    <cellStyle name="输入 2 3 5 4" xfId="46344" xr:uid="{00000000-0005-0000-0000-000038B50000}"/>
    <cellStyle name="输入 2 3 5 4 2" xfId="46345" xr:uid="{00000000-0005-0000-0000-000039B50000}"/>
    <cellStyle name="输入 2 3 5 4 2 2" xfId="46346" xr:uid="{00000000-0005-0000-0000-00003AB50000}"/>
    <cellStyle name="输入 2 3 5 4 3" xfId="25173" xr:uid="{00000000-0005-0000-0000-000085620000}"/>
    <cellStyle name="输入 2 3 5 4 3 2" xfId="46347" xr:uid="{00000000-0005-0000-0000-00003BB50000}"/>
    <cellStyle name="输入 2 3 5 4 4" xfId="22841" xr:uid="{00000000-0005-0000-0000-000069590000}"/>
    <cellStyle name="输入 2 3 5 4 4 2" xfId="46348" xr:uid="{00000000-0005-0000-0000-00003CB50000}"/>
    <cellStyle name="输入 2 3 5 4 5" xfId="46349" xr:uid="{00000000-0005-0000-0000-00003DB50000}"/>
    <cellStyle name="输入 2 3 5 4 5 2" xfId="46350" xr:uid="{00000000-0005-0000-0000-00003EB50000}"/>
    <cellStyle name="输入 2 3 5 4 6" xfId="46351" xr:uid="{00000000-0005-0000-0000-00003FB50000}"/>
    <cellStyle name="输入 2 3 5 5" xfId="46352" xr:uid="{00000000-0005-0000-0000-000040B50000}"/>
    <cellStyle name="输入 2 3 5 5 2" xfId="46353" xr:uid="{00000000-0005-0000-0000-000041B50000}"/>
    <cellStyle name="输入 2 3 5 5 2 2" xfId="37474" xr:uid="{00000000-0005-0000-0000-000092920000}"/>
    <cellStyle name="输入 2 3 5 5 3" xfId="1067" xr:uid="{00000000-0005-0000-0000-00005B040000}"/>
    <cellStyle name="输入 2 3 5 5 3 2" xfId="46354" xr:uid="{00000000-0005-0000-0000-000042B50000}"/>
    <cellStyle name="输入 2 3 5 5 4" xfId="42956" xr:uid="{00000000-0005-0000-0000-0000FCA70000}"/>
    <cellStyle name="输入 2 3 5 5 4 2" xfId="46355" xr:uid="{00000000-0005-0000-0000-000043B50000}"/>
    <cellStyle name="输入 2 3 5 5 5" xfId="2156" xr:uid="{00000000-0005-0000-0000-00009C080000}"/>
    <cellStyle name="输入 2 3 5 5 5 2" xfId="46356" xr:uid="{00000000-0005-0000-0000-000044B50000}"/>
    <cellStyle name="输入 2 3 5 5 6" xfId="46357" xr:uid="{00000000-0005-0000-0000-000045B50000}"/>
    <cellStyle name="输入 2 3 5 6" xfId="46358" xr:uid="{00000000-0005-0000-0000-000046B50000}"/>
    <cellStyle name="输入 2 3 5 6 2" xfId="46359" xr:uid="{00000000-0005-0000-0000-000047B50000}"/>
    <cellStyle name="输入 2 3 5 6 2 2" xfId="46360" xr:uid="{00000000-0005-0000-0000-000048B50000}"/>
    <cellStyle name="输入 2 3 5 6 3" xfId="25176" xr:uid="{00000000-0005-0000-0000-000088620000}"/>
    <cellStyle name="输入 2 3 5 6 3 2" xfId="46361" xr:uid="{00000000-0005-0000-0000-000049B50000}"/>
    <cellStyle name="输入 2 3 5 6 4" xfId="42961" xr:uid="{00000000-0005-0000-0000-000001A80000}"/>
    <cellStyle name="输入 2 3 5 6 4 2" xfId="46362" xr:uid="{00000000-0005-0000-0000-00004AB50000}"/>
    <cellStyle name="输入 2 3 5 6 5" xfId="12566" xr:uid="{00000000-0005-0000-0000-000046310000}"/>
    <cellStyle name="输入 2 3 5 6 5 2" xfId="46363" xr:uid="{00000000-0005-0000-0000-00004BB50000}"/>
    <cellStyle name="输入 2 3 5 6 6" xfId="46364" xr:uid="{00000000-0005-0000-0000-00004CB50000}"/>
    <cellStyle name="输入 2 3 5 7" xfId="46365" xr:uid="{00000000-0005-0000-0000-00004DB50000}"/>
    <cellStyle name="输入 2 3 5 7 2" xfId="46366" xr:uid="{00000000-0005-0000-0000-00004EB50000}"/>
    <cellStyle name="输入 2 3 5 7 2 2" xfId="46367" xr:uid="{00000000-0005-0000-0000-00004FB50000}"/>
    <cellStyle name="输入 2 3 5 7 3" xfId="25188" xr:uid="{00000000-0005-0000-0000-000094620000}"/>
    <cellStyle name="输入 2 3 5 7 3 2" xfId="46368" xr:uid="{00000000-0005-0000-0000-000050B50000}"/>
    <cellStyle name="输入 2 3 5 7 4" xfId="42964" xr:uid="{00000000-0005-0000-0000-000004A80000}"/>
    <cellStyle name="输入 2 3 5 7 4 2" xfId="46369" xr:uid="{00000000-0005-0000-0000-000051B50000}"/>
    <cellStyle name="输入 2 3 5 7 5" xfId="15509" xr:uid="{00000000-0005-0000-0000-0000C53C0000}"/>
    <cellStyle name="输入 2 3 5 7 5 2" xfId="46370" xr:uid="{00000000-0005-0000-0000-000052B50000}"/>
    <cellStyle name="输入 2 3 5 7 6" xfId="46371" xr:uid="{00000000-0005-0000-0000-000053B50000}"/>
    <cellStyle name="输入 2 3 5 8" xfId="46372" xr:uid="{00000000-0005-0000-0000-000054B50000}"/>
    <cellStyle name="输入 2 3 5 8 2" xfId="46374" xr:uid="{00000000-0005-0000-0000-000056B50000}"/>
    <cellStyle name="输入 2 3 5 8 2 2" xfId="25853" xr:uid="{00000000-0005-0000-0000-00002D650000}"/>
    <cellStyle name="输入 2 3 5 8 3" xfId="25860" xr:uid="{00000000-0005-0000-0000-000034650000}"/>
    <cellStyle name="输入 2 3 5 8 3 2" xfId="46375" xr:uid="{00000000-0005-0000-0000-000057B50000}"/>
    <cellStyle name="输入 2 3 5 8 4" xfId="46376" xr:uid="{00000000-0005-0000-0000-000058B50000}"/>
    <cellStyle name="输入 2 3 5 8 4 2" xfId="46377" xr:uid="{00000000-0005-0000-0000-000059B50000}"/>
    <cellStyle name="输入 2 3 5 8 5" xfId="15517" xr:uid="{00000000-0005-0000-0000-0000CD3C0000}"/>
    <cellStyle name="输入 2 3 5 9" xfId="38177" xr:uid="{00000000-0005-0000-0000-000051950000}"/>
    <cellStyle name="输入 2 3 5 9 2" xfId="46378" xr:uid="{00000000-0005-0000-0000-00005AB50000}"/>
    <cellStyle name="输入 2 3 6" xfId="46379" xr:uid="{00000000-0005-0000-0000-00005BB50000}"/>
    <cellStyle name="输入 2 3 6 10" xfId="25309" xr:uid="{00000000-0005-0000-0000-00000D630000}"/>
    <cellStyle name="输入 2 3 6 10 2" xfId="46380" xr:uid="{00000000-0005-0000-0000-00005CB50000}"/>
    <cellStyle name="输入 2 3 6 11" xfId="46381" xr:uid="{00000000-0005-0000-0000-00005DB50000}"/>
    <cellStyle name="输入 2 3 6 11 2" xfId="46383" xr:uid="{00000000-0005-0000-0000-00005FB50000}"/>
    <cellStyle name="输入 2 3 6 12" xfId="33239" xr:uid="{00000000-0005-0000-0000-000007820000}"/>
    <cellStyle name="输入 2 3 6 12 2" xfId="37368" xr:uid="{00000000-0005-0000-0000-000028920000}"/>
    <cellStyle name="输入 2 3 6 13" xfId="37371" xr:uid="{00000000-0005-0000-0000-00002B920000}"/>
    <cellStyle name="输入 2 3 6 14" xfId="37373" xr:uid="{00000000-0005-0000-0000-00002D920000}"/>
    <cellStyle name="输入 2 3 6 15" xfId="37376" xr:uid="{00000000-0005-0000-0000-000030920000}"/>
    <cellStyle name="输入 2 3 6 16" xfId="37379" xr:uid="{00000000-0005-0000-0000-000033920000}"/>
    <cellStyle name="输入 2 3 6 2" xfId="46384" xr:uid="{00000000-0005-0000-0000-000060B50000}"/>
    <cellStyle name="输入 2 3 6 2 2" xfId="46385" xr:uid="{00000000-0005-0000-0000-000061B50000}"/>
    <cellStyle name="输入 2 3 6 2 2 2" xfId="46386" xr:uid="{00000000-0005-0000-0000-000062B50000}"/>
    <cellStyle name="输入 2 3 6 2 3" xfId="46387" xr:uid="{00000000-0005-0000-0000-000063B50000}"/>
    <cellStyle name="输入 2 3 6 2 3 2" xfId="46388" xr:uid="{00000000-0005-0000-0000-000064B50000}"/>
    <cellStyle name="输入 2 3 6 2 4" xfId="22861" xr:uid="{00000000-0005-0000-0000-00007D590000}"/>
    <cellStyle name="输入 2 3 6 2 4 2" xfId="46389" xr:uid="{00000000-0005-0000-0000-000065B50000}"/>
    <cellStyle name="输入 2 3 6 2 5" xfId="16940" xr:uid="{00000000-0005-0000-0000-00005C420000}"/>
    <cellStyle name="输入 2 3 6 2 5 2" xfId="8875" xr:uid="{00000000-0005-0000-0000-0000DB220000}"/>
    <cellStyle name="输入 2 3 6 2 6" xfId="44625" xr:uid="{00000000-0005-0000-0000-000081AE0000}"/>
    <cellStyle name="输入 2 3 6 2 7" xfId="27172" xr:uid="{00000000-0005-0000-0000-0000546A0000}"/>
    <cellStyle name="输入 2 3 6 2 8" xfId="46390" xr:uid="{00000000-0005-0000-0000-000066B50000}"/>
    <cellStyle name="输入 2 3 6 2 9" xfId="46392" xr:uid="{00000000-0005-0000-0000-000068B50000}"/>
    <cellStyle name="输入 2 3 6 3" xfId="46393" xr:uid="{00000000-0005-0000-0000-000069B50000}"/>
    <cellStyle name="输入 2 3 6 3 2" xfId="46394" xr:uid="{00000000-0005-0000-0000-00006AB50000}"/>
    <cellStyle name="输入 2 3 6 3 2 2" xfId="46395" xr:uid="{00000000-0005-0000-0000-00006BB50000}"/>
    <cellStyle name="输入 2 3 6 3 3" xfId="46397" xr:uid="{00000000-0005-0000-0000-00006DB50000}"/>
    <cellStyle name="输入 2 3 6 3 3 2" xfId="46398" xr:uid="{00000000-0005-0000-0000-00006EB50000}"/>
    <cellStyle name="输入 2 3 6 3 4" xfId="21296" xr:uid="{00000000-0005-0000-0000-000060530000}"/>
    <cellStyle name="输入 2 3 6 3 4 2" xfId="46399" xr:uid="{00000000-0005-0000-0000-00006FB50000}"/>
    <cellStyle name="输入 2 3 6 3 5" xfId="46400" xr:uid="{00000000-0005-0000-0000-000070B50000}"/>
    <cellStyle name="输入 2 3 6 3 5 2" xfId="20269" xr:uid="{00000000-0005-0000-0000-00005D4F0000}"/>
    <cellStyle name="输入 2 3 6 3 6" xfId="44627" xr:uid="{00000000-0005-0000-0000-000083AE0000}"/>
    <cellStyle name="输入 2 3 6 4" xfId="46401" xr:uid="{00000000-0005-0000-0000-000071B50000}"/>
    <cellStyle name="输入 2 3 6 4 2" xfId="46402" xr:uid="{00000000-0005-0000-0000-000072B50000}"/>
    <cellStyle name="输入 2 3 6 4 2 2" xfId="13716" xr:uid="{00000000-0005-0000-0000-0000C4350000}"/>
    <cellStyle name="输入 2 3 6 4 3" xfId="21331" xr:uid="{00000000-0005-0000-0000-000083530000}"/>
    <cellStyle name="输入 2 3 6 4 3 2" xfId="25933" xr:uid="{00000000-0005-0000-0000-00007D650000}"/>
    <cellStyle name="输入 2 3 6 4 4" xfId="22881" xr:uid="{00000000-0005-0000-0000-000091590000}"/>
    <cellStyle name="输入 2 3 6 4 4 2" xfId="25941" xr:uid="{00000000-0005-0000-0000-000085650000}"/>
    <cellStyle name="输入 2 3 6 4 5" xfId="46403" xr:uid="{00000000-0005-0000-0000-000073B50000}"/>
    <cellStyle name="输入 2 3 6 4 5 2" xfId="30221" xr:uid="{00000000-0005-0000-0000-00003D760000}"/>
    <cellStyle name="输入 2 3 6 4 6" xfId="46404" xr:uid="{00000000-0005-0000-0000-000074B50000}"/>
    <cellStyle name="输入 2 3 6 5" xfId="46405" xr:uid="{00000000-0005-0000-0000-000075B50000}"/>
    <cellStyle name="输入 2 3 6 5 2" xfId="46406" xr:uid="{00000000-0005-0000-0000-000076B50000}"/>
    <cellStyle name="输入 2 3 6 5 2 2" xfId="21358" xr:uid="{00000000-0005-0000-0000-00009E530000}"/>
    <cellStyle name="输入 2 3 6 5 3" xfId="21362" xr:uid="{00000000-0005-0000-0000-0000A2530000}"/>
    <cellStyle name="输入 2 3 6 5 3 2" xfId="25975" xr:uid="{00000000-0005-0000-0000-0000A7650000}"/>
    <cellStyle name="输入 2 3 6 5 4" xfId="46407" xr:uid="{00000000-0005-0000-0000-000077B50000}"/>
    <cellStyle name="输入 2 3 6 5 4 2" xfId="30613" xr:uid="{00000000-0005-0000-0000-0000C5770000}"/>
    <cellStyle name="输入 2 3 6 5 5" xfId="952" xr:uid="{00000000-0005-0000-0000-0000E8030000}"/>
    <cellStyle name="输入 2 3 6 5 5 2" xfId="1828" xr:uid="{00000000-0005-0000-0000-000054070000}"/>
    <cellStyle name="输入 2 3 6 5 6" xfId="46409" xr:uid="{00000000-0005-0000-0000-000079B50000}"/>
    <cellStyle name="输入 2 3 6 6" xfId="40377" xr:uid="{00000000-0005-0000-0000-0000E99D0000}"/>
    <cellStyle name="输入 2 3 6 6 2" xfId="46410" xr:uid="{00000000-0005-0000-0000-00007AB50000}"/>
    <cellStyle name="输入 2 3 6 6 2 2" xfId="46411" xr:uid="{00000000-0005-0000-0000-00007BB50000}"/>
    <cellStyle name="输入 2 3 6 6 3" xfId="21391" xr:uid="{00000000-0005-0000-0000-0000BF530000}"/>
    <cellStyle name="输入 2 3 6 6 3 2" xfId="46413" xr:uid="{00000000-0005-0000-0000-00007DB50000}"/>
    <cellStyle name="输入 2 3 6 6 4" xfId="46414" xr:uid="{00000000-0005-0000-0000-00007EB50000}"/>
    <cellStyle name="输入 2 3 6 6 4 2" xfId="46415" xr:uid="{00000000-0005-0000-0000-00007FB50000}"/>
    <cellStyle name="输入 2 3 6 6 5" xfId="153" xr:uid="{00000000-0005-0000-0000-0000A6000000}"/>
    <cellStyle name="输入 2 3 6 6 5 2" xfId="46416" xr:uid="{00000000-0005-0000-0000-000080B50000}"/>
    <cellStyle name="输入 2 3 6 6 6" xfId="46417" xr:uid="{00000000-0005-0000-0000-000081B50000}"/>
    <cellStyle name="输入 2 3 6 7" xfId="46418" xr:uid="{00000000-0005-0000-0000-000082B50000}"/>
    <cellStyle name="输入 2 3 6 7 2" xfId="46419" xr:uid="{00000000-0005-0000-0000-000083B50000}"/>
    <cellStyle name="输入 2 3 6 7 2 2" xfId="46420" xr:uid="{00000000-0005-0000-0000-000084B50000}"/>
    <cellStyle name="输入 2 3 6 7 3" xfId="21442" xr:uid="{00000000-0005-0000-0000-0000F2530000}"/>
    <cellStyle name="输入 2 3 6 7 3 2" xfId="46422" xr:uid="{00000000-0005-0000-0000-000086B50000}"/>
    <cellStyle name="输入 2 3 6 7 4" xfId="46423" xr:uid="{00000000-0005-0000-0000-000087B50000}"/>
    <cellStyle name="输入 2 3 6 7 4 2" xfId="46424" xr:uid="{00000000-0005-0000-0000-000088B50000}"/>
    <cellStyle name="输入 2 3 6 7 5" xfId="15529" xr:uid="{00000000-0005-0000-0000-0000D93C0000}"/>
    <cellStyle name="输入 2 3 6 7 5 2" xfId="46425" xr:uid="{00000000-0005-0000-0000-000089B50000}"/>
    <cellStyle name="输入 2 3 6 7 6" xfId="46426" xr:uid="{00000000-0005-0000-0000-00008AB50000}"/>
    <cellStyle name="输入 2 3 6 8" xfId="46427" xr:uid="{00000000-0005-0000-0000-00008BB50000}"/>
    <cellStyle name="输入 2 3 6 8 2" xfId="46429" xr:uid="{00000000-0005-0000-0000-00008DB50000}"/>
    <cellStyle name="输入 2 3 6 8 2 2" xfId="46430" xr:uid="{00000000-0005-0000-0000-00008EB50000}"/>
    <cellStyle name="输入 2 3 6 8 3" xfId="21472" xr:uid="{00000000-0005-0000-0000-000010540000}"/>
    <cellStyle name="输入 2 3 6 8 3 2" xfId="46431" xr:uid="{00000000-0005-0000-0000-00008FB50000}"/>
    <cellStyle name="输入 2 3 6 8 4" xfId="46432" xr:uid="{00000000-0005-0000-0000-000090B50000}"/>
    <cellStyle name="输入 2 3 6 8 4 2" xfId="46433" xr:uid="{00000000-0005-0000-0000-000091B50000}"/>
    <cellStyle name="输入 2 3 6 8 5" xfId="15537" xr:uid="{00000000-0005-0000-0000-0000E13C0000}"/>
    <cellStyle name="输入 2 3 6 9" xfId="38180" xr:uid="{00000000-0005-0000-0000-000054950000}"/>
    <cellStyle name="输入 2 3 6 9 2" xfId="46434" xr:uid="{00000000-0005-0000-0000-000092B50000}"/>
    <cellStyle name="输入 2 3 7" xfId="46435" xr:uid="{00000000-0005-0000-0000-000093B50000}"/>
    <cellStyle name="输入 2 3 7 10" xfId="15346" xr:uid="{00000000-0005-0000-0000-0000223C0000}"/>
    <cellStyle name="输入 2 3 7 10 2" xfId="46436" xr:uid="{00000000-0005-0000-0000-000094B50000}"/>
    <cellStyle name="输入 2 3 7 11" xfId="46437" xr:uid="{00000000-0005-0000-0000-000095B50000}"/>
    <cellStyle name="输入 2 3 7 11 2" xfId="46438" xr:uid="{00000000-0005-0000-0000-000096B50000}"/>
    <cellStyle name="输入 2 3 7 12" xfId="8915" xr:uid="{00000000-0005-0000-0000-000003230000}"/>
    <cellStyle name="输入 2 3 7 12 2" xfId="46439" xr:uid="{00000000-0005-0000-0000-000097B50000}"/>
    <cellStyle name="输入 2 3 7 13" xfId="46440" xr:uid="{00000000-0005-0000-0000-000098B50000}"/>
    <cellStyle name="输入 2 3 7 14" xfId="46441" xr:uid="{00000000-0005-0000-0000-000099B50000}"/>
    <cellStyle name="输入 2 3 7 15" xfId="46442" xr:uid="{00000000-0005-0000-0000-00009AB50000}"/>
    <cellStyle name="输入 2 3 7 16" xfId="46444" xr:uid="{00000000-0005-0000-0000-00009CB50000}"/>
    <cellStyle name="输入 2 3 7 2" xfId="46445" xr:uid="{00000000-0005-0000-0000-00009DB50000}"/>
    <cellStyle name="输入 2 3 7 2 2" xfId="46446" xr:uid="{00000000-0005-0000-0000-00009EB50000}"/>
    <cellStyle name="输入 2 3 7 2 2 2" xfId="46447" xr:uid="{00000000-0005-0000-0000-00009FB50000}"/>
    <cellStyle name="输入 2 3 7 2 3" xfId="46449" xr:uid="{00000000-0005-0000-0000-0000A1B50000}"/>
    <cellStyle name="输入 2 3 7 2 3 2" xfId="46450" xr:uid="{00000000-0005-0000-0000-0000A2B50000}"/>
    <cellStyle name="输入 2 3 7 2 4" xfId="22904" xr:uid="{00000000-0005-0000-0000-0000A8590000}"/>
    <cellStyle name="输入 2 3 7 2 4 2" xfId="46451" xr:uid="{00000000-0005-0000-0000-0000A3B50000}"/>
    <cellStyle name="输入 2 3 7 2 5" xfId="16959" xr:uid="{00000000-0005-0000-0000-00006F420000}"/>
    <cellStyle name="输入 2 3 7 2 5 2" xfId="46452" xr:uid="{00000000-0005-0000-0000-0000A4B50000}"/>
    <cellStyle name="输入 2 3 7 2 6" xfId="44637" xr:uid="{00000000-0005-0000-0000-00008DAE0000}"/>
    <cellStyle name="输入 2 3 7 2 7" xfId="27180" xr:uid="{00000000-0005-0000-0000-00005C6A0000}"/>
    <cellStyle name="输入 2 3 7 2 8" xfId="29333" xr:uid="{00000000-0005-0000-0000-0000C5720000}"/>
    <cellStyle name="输入 2 3 7 2 9" xfId="29340" xr:uid="{00000000-0005-0000-0000-0000CC720000}"/>
    <cellStyle name="输入 2 3 7 3" xfId="46453" xr:uid="{00000000-0005-0000-0000-0000A5B50000}"/>
    <cellStyle name="输入 2 3 7 3 2" xfId="46454" xr:uid="{00000000-0005-0000-0000-0000A6B50000}"/>
    <cellStyle name="输入 2 3 7 3 2 2" xfId="46455" xr:uid="{00000000-0005-0000-0000-0000A7B50000}"/>
    <cellStyle name="输入 2 3 7 3 3" xfId="46457" xr:uid="{00000000-0005-0000-0000-0000A9B50000}"/>
    <cellStyle name="输入 2 3 7 3 3 2" xfId="46458" xr:uid="{00000000-0005-0000-0000-0000AAB50000}"/>
    <cellStyle name="输入 2 3 7 3 4" xfId="22916" xr:uid="{00000000-0005-0000-0000-0000B4590000}"/>
    <cellStyle name="输入 2 3 7 3 4 2" xfId="46459" xr:uid="{00000000-0005-0000-0000-0000ABB50000}"/>
    <cellStyle name="输入 2 3 7 3 5" xfId="46460" xr:uid="{00000000-0005-0000-0000-0000ACB50000}"/>
    <cellStyle name="输入 2 3 7 3 5 2" xfId="46461" xr:uid="{00000000-0005-0000-0000-0000ADB50000}"/>
    <cellStyle name="输入 2 3 7 3 6" xfId="44639" xr:uid="{00000000-0005-0000-0000-00008FAE0000}"/>
    <cellStyle name="输入 2 3 7 4" xfId="46462" xr:uid="{00000000-0005-0000-0000-0000AEB50000}"/>
    <cellStyle name="输入 2 3 7 4 2" xfId="46463" xr:uid="{00000000-0005-0000-0000-0000AFB50000}"/>
    <cellStyle name="输入 2 3 7 4 2 2" xfId="46464" xr:uid="{00000000-0005-0000-0000-0000B0B50000}"/>
    <cellStyle name="输入 2 3 7 4 3" xfId="13650" xr:uid="{00000000-0005-0000-0000-000082350000}"/>
    <cellStyle name="输入 2 3 7 4 3 2" xfId="46465" xr:uid="{00000000-0005-0000-0000-0000B1B50000}"/>
    <cellStyle name="输入 2 3 7 4 4" xfId="46466" xr:uid="{00000000-0005-0000-0000-0000B2B50000}"/>
    <cellStyle name="输入 2 3 7 4 4 2" xfId="46468" xr:uid="{00000000-0005-0000-0000-0000B4B50000}"/>
    <cellStyle name="输入 2 3 7 4 5" xfId="46469" xr:uid="{00000000-0005-0000-0000-0000B5B50000}"/>
    <cellStyle name="输入 2 3 7 4 5 2" xfId="46470" xr:uid="{00000000-0005-0000-0000-0000B6B50000}"/>
    <cellStyle name="输入 2 3 7 4 6" xfId="46471" xr:uid="{00000000-0005-0000-0000-0000B7B50000}"/>
    <cellStyle name="输入 2 3 7 5" xfId="46472" xr:uid="{00000000-0005-0000-0000-0000B8B50000}"/>
    <cellStyle name="输入 2 3 7 5 2" xfId="46473" xr:uid="{00000000-0005-0000-0000-0000B9B50000}"/>
    <cellStyle name="输入 2 3 7 5 2 2" xfId="46474" xr:uid="{00000000-0005-0000-0000-0000BAB50000}"/>
    <cellStyle name="输入 2 3 7 5 3" xfId="21551" xr:uid="{00000000-0005-0000-0000-00005F540000}"/>
    <cellStyle name="输入 2 3 7 5 3 2" xfId="46475" xr:uid="{00000000-0005-0000-0000-0000BBB50000}"/>
    <cellStyle name="输入 2 3 7 5 4" xfId="46476" xr:uid="{00000000-0005-0000-0000-0000BCB50000}"/>
    <cellStyle name="输入 2 3 7 5 4 2" xfId="26124" xr:uid="{00000000-0005-0000-0000-00003C660000}"/>
    <cellStyle name="输入 2 3 7 5 5" xfId="12619" xr:uid="{00000000-0005-0000-0000-00007B310000}"/>
    <cellStyle name="输入 2 3 7 5 5 2" xfId="46478" xr:uid="{00000000-0005-0000-0000-0000BEB50000}"/>
    <cellStyle name="输入 2 3 7 5 6" xfId="46479" xr:uid="{00000000-0005-0000-0000-0000BFB50000}"/>
    <cellStyle name="输入 2 3 7 6" xfId="40380" xr:uid="{00000000-0005-0000-0000-0000EC9D0000}"/>
    <cellStyle name="输入 2 3 7 6 2" xfId="46480" xr:uid="{00000000-0005-0000-0000-0000C0B50000}"/>
    <cellStyle name="输入 2 3 7 6 2 2" xfId="46482" xr:uid="{00000000-0005-0000-0000-0000C2B50000}"/>
    <cellStyle name="输入 2 3 7 6 3" xfId="21570" xr:uid="{00000000-0005-0000-0000-000072540000}"/>
    <cellStyle name="输入 2 3 7 6 3 2" xfId="46485" xr:uid="{00000000-0005-0000-0000-0000C5B50000}"/>
    <cellStyle name="输入 2 3 7 6 4" xfId="46487" xr:uid="{00000000-0005-0000-0000-0000C7B50000}"/>
    <cellStyle name="输入 2 3 7 6 4 2" xfId="46489" xr:uid="{00000000-0005-0000-0000-0000C9B50000}"/>
    <cellStyle name="输入 2 3 7 6 5" xfId="12640" xr:uid="{00000000-0005-0000-0000-000090310000}"/>
    <cellStyle name="输入 2 3 7 6 5 2" xfId="46490" xr:uid="{00000000-0005-0000-0000-0000CAB50000}"/>
    <cellStyle name="输入 2 3 7 6 6" xfId="46491" xr:uid="{00000000-0005-0000-0000-0000CBB50000}"/>
    <cellStyle name="输入 2 3 7 7" xfId="46493" xr:uid="{00000000-0005-0000-0000-0000CDB50000}"/>
    <cellStyle name="输入 2 3 7 7 2" xfId="46494" xr:uid="{00000000-0005-0000-0000-0000CEB50000}"/>
    <cellStyle name="输入 2 3 7 7 2 2" xfId="46495" xr:uid="{00000000-0005-0000-0000-0000CFB50000}"/>
    <cellStyle name="输入 2 3 7 7 3" xfId="21595" xr:uid="{00000000-0005-0000-0000-00008B540000}"/>
    <cellStyle name="输入 2 3 7 7 3 2" xfId="46497" xr:uid="{00000000-0005-0000-0000-0000D1B50000}"/>
    <cellStyle name="输入 2 3 7 7 4" xfId="46498" xr:uid="{00000000-0005-0000-0000-0000D2B50000}"/>
    <cellStyle name="输入 2 3 7 7 4 2" xfId="46499" xr:uid="{00000000-0005-0000-0000-0000D3B50000}"/>
    <cellStyle name="输入 2 3 7 7 5" xfId="15547" xr:uid="{00000000-0005-0000-0000-0000EB3C0000}"/>
    <cellStyle name="输入 2 3 7 7 5 2" xfId="46500" xr:uid="{00000000-0005-0000-0000-0000D4B50000}"/>
    <cellStyle name="输入 2 3 7 7 6" xfId="46501" xr:uid="{00000000-0005-0000-0000-0000D5B50000}"/>
    <cellStyle name="输入 2 3 7 8" xfId="46502" xr:uid="{00000000-0005-0000-0000-0000D6B50000}"/>
    <cellStyle name="输入 2 3 7 8 2" xfId="46503" xr:uid="{00000000-0005-0000-0000-0000D7B50000}"/>
    <cellStyle name="输入 2 3 7 8 2 2" xfId="46504" xr:uid="{00000000-0005-0000-0000-0000D8B50000}"/>
    <cellStyle name="输入 2 3 7 8 3" xfId="21618" xr:uid="{00000000-0005-0000-0000-0000A2540000}"/>
    <cellStyle name="输入 2 3 7 8 3 2" xfId="46505" xr:uid="{00000000-0005-0000-0000-0000D9B50000}"/>
    <cellStyle name="输入 2 3 7 8 4" xfId="46506" xr:uid="{00000000-0005-0000-0000-0000DAB50000}"/>
    <cellStyle name="输入 2 3 7 8 4 2" xfId="46507" xr:uid="{00000000-0005-0000-0000-0000DBB50000}"/>
    <cellStyle name="输入 2 3 7 8 5" xfId="15557" xr:uid="{00000000-0005-0000-0000-0000F53C0000}"/>
    <cellStyle name="输入 2 3 7 9" xfId="38183" xr:uid="{00000000-0005-0000-0000-000057950000}"/>
    <cellStyle name="输入 2 3 7 9 2" xfId="46508" xr:uid="{00000000-0005-0000-0000-0000DCB50000}"/>
    <cellStyle name="输入 2 3 8" xfId="46509" xr:uid="{00000000-0005-0000-0000-0000DDB50000}"/>
    <cellStyle name="输入 2 3 8 10" xfId="46510" xr:uid="{00000000-0005-0000-0000-0000DEB50000}"/>
    <cellStyle name="输入 2 3 8 10 2" xfId="46511" xr:uid="{00000000-0005-0000-0000-0000DFB50000}"/>
    <cellStyle name="输入 2 3 8 11" xfId="43798" xr:uid="{00000000-0005-0000-0000-000046AB0000}"/>
    <cellStyle name="输入 2 3 8 11 2" xfId="46512" xr:uid="{00000000-0005-0000-0000-0000E0B50000}"/>
    <cellStyle name="输入 2 3 8 12" xfId="39777" xr:uid="{00000000-0005-0000-0000-0000919B0000}"/>
    <cellStyle name="输入 2 3 8 12 2" xfId="46513" xr:uid="{00000000-0005-0000-0000-0000E1B50000}"/>
    <cellStyle name="输入 2 3 8 13" xfId="46514" xr:uid="{00000000-0005-0000-0000-0000E2B50000}"/>
    <cellStyle name="输入 2 3 8 14" xfId="46515" xr:uid="{00000000-0005-0000-0000-0000E3B50000}"/>
    <cellStyle name="输入 2 3 8 15" xfId="27465" xr:uid="{00000000-0005-0000-0000-0000796B0000}"/>
    <cellStyle name="输入 2 3 8 16" xfId="17693" xr:uid="{00000000-0005-0000-0000-00004D450000}"/>
    <cellStyle name="输入 2 3 8 2" xfId="46516" xr:uid="{00000000-0005-0000-0000-0000E4B50000}"/>
    <cellStyle name="输入 2 3 8 2 2" xfId="46517" xr:uid="{00000000-0005-0000-0000-0000E5B50000}"/>
    <cellStyle name="输入 2 3 8 2 2 2" xfId="46518" xr:uid="{00000000-0005-0000-0000-0000E6B50000}"/>
    <cellStyle name="输入 2 3 8 2 3" xfId="46520" xr:uid="{00000000-0005-0000-0000-0000E8B50000}"/>
    <cellStyle name="输入 2 3 8 2 3 2" xfId="46521" xr:uid="{00000000-0005-0000-0000-0000E9B50000}"/>
    <cellStyle name="输入 2 3 8 2 4" xfId="46523" xr:uid="{00000000-0005-0000-0000-0000EBB50000}"/>
    <cellStyle name="输入 2 3 8 2 4 2" xfId="46525" xr:uid="{00000000-0005-0000-0000-0000EDB50000}"/>
    <cellStyle name="输入 2 3 8 2 5" xfId="16980" xr:uid="{00000000-0005-0000-0000-000084420000}"/>
    <cellStyle name="输入 2 3 8 2 5 2" xfId="46527" xr:uid="{00000000-0005-0000-0000-0000EFB50000}"/>
    <cellStyle name="输入 2 3 8 2 6" xfId="44649" xr:uid="{00000000-0005-0000-0000-000099AE0000}"/>
    <cellStyle name="输入 2 3 8 2 7" xfId="27191" xr:uid="{00000000-0005-0000-0000-0000676A0000}"/>
    <cellStyle name="输入 2 3 8 2 8" xfId="27834" xr:uid="{00000000-0005-0000-0000-0000EA6C0000}"/>
    <cellStyle name="输入 2 3 8 2 9" xfId="27839" xr:uid="{00000000-0005-0000-0000-0000EF6C0000}"/>
    <cellStyle name="输入 2 3 8 3" xfId="46529" xr:uid="{00000000-0005-0000-0000-0000F1B50000}"/>
    <cellStyle name="输入 2 3 8 3 2" xfId="46530" xr:uid="{00000000-0005-0000-0000-0000F2B50000}"/>
    <cellStyle name="输入 2 3 8 3 2 2" xfId="46531" xr:uid="{00000000-0005-0000-0000-0000F3B50000}"/>
    <cellStyle name="输入 2 3 8 3 3" xfId="46533" xr:uid="{00000000-0005-0000-0000-0000F5B50000}"/>
    <cellStyle name="输入 2 3 8 3 3 2" xfId="46534" xr:uid="{00000000-0005-0000-0000-0000F6B50000}"/>
    <cellStyle name="输入 2 3 8 3 4" xfId="46535" xr:uid="{00000000-0005-0000-0000-0000F7B50000}"/>
    <cellStyle name="输入 2 3 8 3 4 2" xfId="46537" xr:uid="{00000000-0005-0000-0000-0000F9B50000}"/>
    <cellStyle name="输入 2 3 8 3 5" xfId="46538" xr:uid="{00000000-0005-0000-0000-0000FAB50000}"/>
    <cellStyle name="输入 2 3 8 3 5 2" xfId="46539" xr:uid="{00000000-0005-0000-0000-0000FBB50000}"/>
    <cellStyle name="输入 2 3 8 3 6" xfId="46540" xr:uid="{00000000-0005-0000-0000-0000FCB50000}"/>
    <cellStyle name="输入 2 3 8 4" xfId="39529" xr:uid="{00000000-0005-0000-0000-0000999A0000}"/>
    <cellStyle name="输入 2 3 8 4 2" xfId="46541" xr:uid="{00000000-0005-0000-0000-0000FDB50000}"/>
    <cellStyle name="输入 2 3 8 4 2 2" xfId="1382" xr:uid="{00000000-0005-0000-0000-000096050000}"/>
    <cellStyle name="输入 2 3 8 4 3" xfId="25225" xr:uid="{00000000-0005-0000-0000-0000B9620000}"/>
    <cellStyle name="输入 2 3 8 4 3 2" xfId="46542" xr:uid="{00000000-0005-0000-0000-0000FEB50000}"/>
    <cellStyle name="输入 2 3 8 4 4" xfId="46543" xr:uid="{00000000-0005-0000-0000-0000FFB50000}"/>
    <cellStyle name="输入 2 3 8 4 4 2" xfId="46545" xr:uid="{00000000-0005-0000-0000-000001B60000}"/>
    <cellStyle name="输入 2 3 8 4 5" xfId="46546" xr:uid="{00000000-0005-0000-0000-000002B60000}"/>
    <cellStyle name="输入 2 3 8 4 5 2" xfId="46547" xr:uid="{00000000-0005-0000-0000-000003B60000}"/>
    <cellStyle name="输入 2 3 8 4 6" xfId="46548" xr:uid="{00000000-0005-0000-0000-000004B60000}"/>
    <cellStyle name="输入 2 3 8 5" xfId="46549" xr:uid="{00000000-0005-0000-0000-000005B60000}"/>
    <cellStyle name="输入 2 3 8 5 2" xfId="46550" xr:uid="{00000000-0005-0000-0000-000006B60000}"/>
    <cellStyle name="输入 2 3 8 5 2 2" xfId="2428" xr:uid="{00000000-0005-0000-0000-0000AC090000}"/>
    <cellStyle name="输入 2 3 8 5 3" xfId="25230" xr:uid="{00000000-0005-0000-0000-0000BE620000}"/>
    <cellStyle name="输入 2 3 8 5 3 2" xfId="46551" xr:uid="{00000000-0005-0000-0000-000007B60000}"/>
    <cellStyle name="输入 2 3 8 5 4" xfId="46552" xr:uid="{00000000-0005-0000-0000-000008B60000}"/>
    <cellStyle name="输入 2 3 8 5 4 2" xfId="46554" xr:uid="{00000000-0005-0000-0000-00000AB60000}"/>
    <cellStyle name="输入 2 3 8 5 5" xfId="1256" xr:uid="{00000000-0005-0000-0000-000018050000}"/>
    <cellStyle name="输入 2 3 8 5 5 2" xfId="46555" xr:uid="{00000000-0005-0000-0000-00000BB60000}"/>
    <cellStyle name="输入 2 3 8 5 6" xfId="46556" xr:uid="{00000000-0005-0000-0000-00000CB60000}"/>
    <cellStyle name="输入 2 3 8 6" xfId="40382" xr:uid="{00000000-0005-0000-0000-0000EE9D0000}"/>
    <cellStyle name="输入 2 3 8 6 2" xfId="46557" xr:uid="{00000000-0005-0000-0000-00000DB60000}"/>
    <cellStyle name="输入 2 3 8 6 2 2" xfId="2919" xr:uid="{00000000-0005-0000-0000-0000970B0000}"/>
    <cellStyle name="输入 2 3 8 6 3" xfId="25232" xr:uid="{00000000-0005-0000-0000-0000C0620000}"/>
    <cellStyle name="输入 2 3 8 6 3 2" xfId="46558" xr:uid="{00000000-0005-0000-0000-00000EB60000}"/>
    <cellStyle name="输入 2 3 8 6 4" xfId="46559" xr:uid="{00000000-0005-0000-0000-00000FB60000}"/>
    <cellStyle name="输入 2 3 8 6 4 2" xfId="34148" xr:uid="{00000000-0005-0000-0000-000094850000}"/>
    <cellStyle name="输入 2 3 8 6 5" xfId="3089" xr:uid="{00000000-0005-0000-0000-0000410C0000}"/>
    <cellStyle name="输入 2 3 8 6 5 2" xfId="46560" xr:uid="{00000000-0005-0000-0000-000010B60000}"/>
    <cellStyle name="输入 2 3 8 6 6" xfId="46561" xr:uid="{00000000-0005-0000-0000-000011B60000}"/>
    <cellStyle name="输入 2 3 8 7" xfId="46562" xr:uid="{00000000-0005-0000-0000-000012B60000}"/>
    <cellStyle name="输入 2 3 8 7 2" xfId="46563" xr:uid="{00000000-0005-0000-0000-000013B60000}"/>
    <cellStyle name="输入 2 3 8 7 2 2" xfId="3256" xr:uid="{00000000-0005-0000-0000-0000E80C0000}"/>
    <cellStyle name="输入 2 3 8 7 3" xfId="25240" xr:uid="{00000000-0005-0000-0000-0000C8620000}"/>
    <cellStyle name="输入 2 3 8 7 3 2" xfId="46564" xr:uid="{00000000-0005-0000-0000-000014B60000}"/>
    <cellStyle name="输入 2 3 8 7 4" xfId="46565" xr:uid="{00000000-0005-0000-0000-000015B60000}"/>
    <cellStyle name="输入 2 3 8 7 4 2" xfId="46566" xr:uid="{00000000-0005-0000-0000-000016B60000}"/>
    <cellStyle name="输入 2 3 8 7 5" xfId="15566" xr:uid="{00000000-0005-0000-0000-0000FE3C0000}"/>
    <cellStyle name="输入 2 3 8 7 5 2" xfId="46567" xr:uid="{00000000-0005-0000-0000-000017B60000}"/>
    <cellStyle name="输入 2 3 8 7 6" xfId="46568" xr:uid="{00000000-0005-0000-0000-000018B60000}"/>
    <cellStyle name="输入 2 3 8 8" xfId="46569" xr:uid="{00000000-0005-0000-0000-000019B60000}"/>
    <cellStyle name="输入 2 3 8 8 2" xfId="46570" xr:uid="{00000000-0005-0000-0000-00001AB60000}"/>
    <cellStyle name="输入 2 3 8 8 2 2" xfId="303" xr:uid="{00000000-0005-0000-0000-00004E010000}"/>
    <cellStyle name="输入 2 3 8 8 3" xfId="26275" xr:uid="{00000000-0005-0000-0000-0000D3660000}"/>
    <cellStyle name="输入 2 3 8 8 3 2" xfId="46571" xr:uid="{00000000-0005-0000-0000-00001BB60000}"/>
    <cellStyle name="输入 2 3 8 8 4" xfId="46572" xr:uid="{00000000-0005-0000-0000-00001CB60000}"/>
    <cellStyle name="输入 2 3 8 8 4 2" xfId="46573" xr:uid="{00000000-0005-0000-0000-00001DB60000}"/>
    <cellStyle name="输入 2 3 8 8 5" xfId="15576" xr:uid="{00000000-0005-0000-0000-0000083D0000}"/>
    <cellStyle name="输入 2 3 8 9" xfId="38185" xr:uid="{00000000-0005-0000-0000-000059950000}"/>
    <cellStyle name="输入 2 3 8 9 2" xfId="46574" xr:uid="{00000000-0005-0000-0000-00001EB60000}"/>
    <cellStyle name="输入 2 3 9" xfId="46575" xr:uid="{00000000-0005-0000-0000-00001FB60000}"/>
    <cellStyle name="输入 2 3 9 10" xfId="46576" xr:uid="{00000000-0005-0000-0000-000020B60000}"/>
    <cellStyle name="输入 2 3 9 10 2" xfId="46577" xr:uid="{00000000-0005-0000-0000-000021B60000}"/>
    <cellStyle name="输入 2 3 9 11" xfId="46578" xr:uid="{00000000-0005-0000-0000-000022B60000}"/>
    <cellStyle name="输入 2 3 9 11 2" xfId="46579" xr:uid="{00000000-0005-0000-0000-000023B60000}"/>
    <cellStyle name="输入 2 3 9 12" xfId="46580" xr:uid="{00000000-0005-0000-0000-000024B60000}"/>
    <cellStyle name="输入 2 3 9 12 2" xfId="46581" xr:uid="{00000000-0005-0000-0000-000025B60000}"/>
    <cellStyle name="输入 2 3 9 13" xfId="2724" xr:uid="{00000000-0005-0000-0000-0000D40A0000}"/>
    <cellStyle name="输入 2 3 9 14" xfId="10208" xr:uid="{00000000-0005-0000-0000-000010280000}"/>
    <cellStyle name="输入 2 3 9 15" xfId="10216" xr:uid="{00000000-0005-0000-0000-000018280000}"/>
    <cellStyle name="输入 2 3 9 16" xfId="10226" xr:uid="{00000000-0005-0000-0000-000022280000}"/>
    <cellStyle name="输入 2 3 9 2" xfId="46582" xr:uid="{00000000-0005-0000-0000-000026B60000}"/>
    <cellStyle name="输入 2 3 9 2 2" xfId="46583" xr:uid="{00000000-0005-0000-0000-000027B60000}"/>
    <cellStyle name="输入 2 3 9 2 2 2" xfId="46584" xr:uid="{00000000-0005-0000-0000-000028B60000}"/>
    <cellStyle name="输入 2 3 9 2 3" xfId="46585" xr:uid="{00000000-0005-0000-0000-000029B60000}"/>
    <cellStyle name="输入 2 3 9 2 3 2" xfId="46586" xr:uid="{00000000-0005-0000-0000-00002AB60000}"/>
    <cellStyle name="输入 2 3 9 2 4" xfId="46587" xr:uid="{00000000-0005-0000-0000-00002BB60000}"/>
    <cellStyle name="输入 2 3 9 2 4 2" xfId="46589" xr:uid="{00000000-0005-0000-0000-00002DB60000}"/>
    <cellStyle name="输入 2 3 9 2 5" xfId="16999" xr:uid="{00000000-0005-0000-0000-000097420000}"/>
    <cellStyle name="输入 2 3 9 2 5 2" xfId="46590" xr:uid="{00000000-0005-0000-0000-00002EB60000}"/>
    <cellStyle name="输入 2 3 9 2 6" xfId="46591" xr:uid="{00000000-0005-0000-0000-00002FB60000}"/>
    <cellStyle name="输入 2 3 9 2 7" xfId="35485" xr:uid="{00000000-0005-0000-0000-0000CD8A0000}"/>
    <cellStyle name="输入 2 3 9 2 8" xfId="35207" xr:uid="{00000000-0005-0000-0000-0000B7890000}"/>
    <cellStyle name="输入 2 3 9 2 9" xfId="36243" xr:uid="{00000000-0005-0000-0000-0000C38D0000}"/>
    <cellStyle name="输入 2 3 9 3" xfId="46592" xr:uid="{00000000-0005-0000-0000-000030B60000}"/>
    <cellStyle name="输入 2 3 9 3 2" xfId="46593" xr:uid="{00000000-0005-0000-0000-000031B60000}"/>
    <cellStyle name="输入 2 3 9 3 2 2" xfId="46594" xr:uid="{00000000-0005-0000-0000-000032B60000}"/>
    <cellStyle name="输入 2 3 9 3 3" xfId="46596" xr:uid="{00000000-0005-0000-0000-000034B60000}"/>
    <cellStyle name="输入 2 3 9 3 3 2" xfId="46597" xr:uid="{00000000-0005-0000-0000-000035B60000}"/>
    <cellStyle name="输入 2 3 9 3 4" xfId="46598" xr:uid="{00000000-0005-0000-0000-000036B60000}"/>
    <cellStyle name="输入 2 3 9 3 4 2" xfId="35233" xr:uid="{00000000-0005-0000-0000-0000D1890000}"/>
    <cellStyle name="输入 2 3 9 3 5" xfId="46600" xr:uid="{00000000-0005-0000-0000-000038B60000}"/>
    <cellStyle name="输入 2 3 9 3 5 2" xfId="46601" xr:uid="{00000000-0005-0000-0000-000039B60000}"/>
    <cellStyle name="输入 2 3 9 3 6" xfId="46602" xr:uid="{00000000-0005-0000-0000-00003AB60000}"/>
    <cellStyle name="输入 2 3 9 4" xfId="39533" xr:uid="{00000000-0005-0000-0000-00009D9A0000}"/>
    <cellStyle name="输入 2 3 9 4 2" xfId="46603" xr:uid="{00000000-0005-0000-0000-00003BB60000}"/>
    <cellStyle name="输入 2 3 9 4 2 2" xfId="7379" xr:uid="{00000000-0005-0000-0000-0000031D0000}"/>
    <cellStyle name="输入 2 3 9 4 3" xfId="25250" xr:uid="{00000000-0005-0000-0000-0000D2620000}"/>
    <cellStyle name="输入 2 3 9 4 3 2" xfId="46604" xr:uid="{00000000-0005-0000-0000-00003CB60000}"/>
    <cellStyle name="输入 2 3 9 4 4" xfId="46605" xr:uid="{00000000-0005-0000-0000-00003DB60000}"/>
    <cellStyle name="输入 2 3 9 4 4 2" xfId="46607" xr:uid="{00000000-0005-0000-0000-00003FB60000}"/>
    <cellStyle name="输入 2 3 9 4 5" xfId="46608" xr:uid="{00000000-0005-0000-0000-000040B60000}"/>
    <cellStyle name="输入 2 3 9 4 5 2" xfId="46609" xr:uid="{00000000-0005-0000-0000-000041B60000}"/>
    <cellStyle name="输入 2 3 9 4 6" xfId="46610" xr:uid="{00000000-0005-0000-0000-000042B60000}"/>
    <cellStyle name="输入 2 3 9 5" xfId="46611" xr:uid="{00000000-0005-0000-0000-000043B60000}"/>
    <cellStyle name="输入 2 3 9 5 2" xfId="20926" xr:uid="{00000000-0005-0000-0000-0000EE510000}"/>
    <cellStyle name="输入 2 3 9 5 2 2" xfId="2990" xr:uid="{00000000-0005-0000-0000-0000DE0B0000}"/>
    <cellStyle name="输入 2 3 9 5 3" xfId="20932" xr:uid="{00000000-0005-0000-0000-0000F4510000}"/>
    <cellStyle name="输入 2 3 9 5 3 2" xfId="46612" xr:uid="{00000000-0005-0000-0000-000044B60000}"/>
    <cellStyle name="输入 2 3 9 5 4" xfId="20939" xr:uid="{00000000-0005-0000-0000-0000FB510000}"/>
    <cellStyle name="输入 2 3 9 5 4 2" xfId="46613" xr:uid="{00000000-0005-0000-0000-000045B60000}"/>
    <cellStyle name="输入 2 3 9 5 5" xfId="12700" xr:uid="{00000000-0005-0000-0000-0000CC310000}"/>
    <cellStyle name="输入 2 3 9 5 5 2" xfId="34145" xr:uid="{00000000-0005-0000-0000-000091850000}"/>
    <cellStyle name="输入 2 3 9 5 6" xfId="29494" xr:uid="{00000000-0005-0000-0000-000066730000}"/>
    <cellStyle name="输入 2 3 9 6" xfId="40385" xr:uid="{00000000-0005-0000-0000-0000F19D0000}"/>
    <cellStyle name="输入 2 3 9 6 2" xfId="46614" xr:uid="{00000000-0005-0000-0000-000046B60000}"/>
    <cellStyle name="输入 2 3 9 6 2 2" xfId="8009" xr:uid="{00000000-0005-0000-0000-0000791F0000}"/>
    <cellStyle name="输入 2 3 9 6 3" xfId="25262" xr:uid="{00000000-0005-0000-0000-0000DE620000}"/>
    <cellStyle name="输入 2 3 9 6 3 2" xfId="46615" xr:uid="{00000000-0005-0000-0000-000047B60000}"/>
    <cellStyle name="输入 2 3 9 6 4" xfId="46616" xr:uid="{00000000-0005-0000-0000-000048B60000}"/>
    <cellStyle name="输入 2 3 9 6 4 2" xfId="46617" xr:uid="{00000000-0005-0000-0000-000049B60000}"/>
    <cellStyle name="输入 2 3 9 6 5" xfId="12716" xr:uid="{00000000-0005-0000-0000-0000DC310000}"/>
    <cellStyle name="输入 2 3 9 6 5 2" xfId="46618" xr:uid="{00000000-0005-0000-0000-00004AB60000}"/>
    <cellStyle name="输入 2 3 9 6 6" xfId="40359" xr:uid="{00000000-0005-0000-0000-0000D79D0000}"/>
    <cellStyle name="输入 2 3 9 7" xfId="46619" xr:uid="{00000000-0005-0000-0000-00004BB60000}"/>
    <cellStyle name="输入 2 3 9 7 2" xfId="46620" xr:uid="{00000000-0005-0000-0000-00004CB60000}"/>
    <cellStyle name="输入 2 3 9 7 2 2" xfId="7243" xr:uid="{00000000-0005-0000-0000-00007B1C0000}"/>
    <cellStyle name="输入 2 3 9 7 3" xfId="25268" xr:uid="{00000000-0005-0000-0000-0000E4620000}"/>
    <cellStyle name="输入 2 3 9 7 3 2" xfId="46621" xr:uid="{00000000-0005-0000-0000-00004DB60000}"/>
    <cellStyle name="输入 2 3 9 7 4" xfId="46622" xr:uid="{00000000-0005-0000-0000-00004EB60000}"/>
    <cellStyle name="输入 2 3 9 7 4 2" xfId="46623" xr:uid="{00000000-0005-0000-0000-00004FB60000}"/>
    <cellStyle name="输入 2 3 9 7 5" xfId="15580" xr:uid="{00000000-0005-0000-0000-00000C3D0000}"/>
    <cellStyle name="输入 2 3 9 7 5 2" xfId="27207" xr:uid="{00000000-0005-0000-0000-0000776A0000}"/>
    <cellStyle name="输入 2 3 9 7 6" xfId="40361" xr:uid="{00000000-0005-0000-0000-0000D99D0000}"/>
    <cellStyle name="输入 2 3 9 8" xfId="46624" xr:uid="{00000000-0005-0000-0000-000050B60000}"/>
    <cellStyle name="输入 2 3 9 8 2" xfId="46625" xr:uid="{00000000-0005-0000-0000-000051B60000}"/>
    <cellStyle name="输入 2 3 9 8 2 2" xfId="5257" xr:uid="{00000000-0005-0000-0000-0000B9140000}"/>
    <cellStyle name="输入 2 3 9 8 3" xfId="46626" xr:uid="{00000000-0005-0000-0000-000052B60000}"/>
    <cellStyle name="输入 2 3 9 8 3 2" xfId="46627" xr:uid="{00000000-0005-0000-0000-000053B60000}"/>
    <cellStyle name="输入 2 3 9 8 4" xfId="46628" xr:uid="{00000000-0005-0000-0000-000054B60000}"/>
    <cellStyle name="输入 2 3 9 8 4 2" xfId="35598" xr:uid="{00000000-0005-0000-0000-00003E8B0000}"/>
    <cellStyle name="输入 2 3 9 8 5" xfId="15586" xr:uid="{00000000-0005-0000-0000-0000123D0000}"/>
    <cellStyle name="输入 2 3 9 9" xfId="46629" xr:uid="{00000000-0005-0000-0000-000055B60000}"/>
    <cellStyle name="输入 2 3 9 9 2" xfId="46630" xr:uid="{00000000-0005-0000-0000-000056B60000}"/>
    <cellStyle name="输入 2 4" xfId="46631" xr:uid="{00000000-0005-0000-0000-000057B60000}"/>
    <cellStyle name="输入 2 4 10" xfId="23226" xr:uid="{00000000-0005-0000-0000-0000EA5A0000}"/>
    <cellStyle name="输入 2 4 10 10" xfId="46634" xr:uid="{00000000-0005-0000-0000-00005AB60000}"/>
    <cellStyle name="输入 2 4 10 10 2" xfId="46635" xr:uid="{00000000-0005-0000-0000-00005BB60000}"/>
    <cellStyle name="输入 2 4 10 11" xfId="46636" xr:uid="{00000000-0005-0000-0000-00005CB60000}"/>
    <cellStyle name="输入 2 4 10 11 2" xfId="34892" xr:uid="{00000000-0005-0000-0000-00007C880000}"/>
    <cellStyle name="输入 2 4 10 12" xfId="3078" xr:uid="{00000000-0005-0000-0000-0000360C0000}"/>
    <cellStyle name="输入 2 4 10 12 2" xfId="46637" xr:uid="{00000000-0005-0000-0000-00005DB60000}"/>
    <cellStyle name="输入 2 4 10 13" xfId="46638" xr:uid="{00000000-0005-0000-0000-00005EB60000}"/>
    <cellStyle name="输入 2 4 10 14" xfId="46290" xr:uid="{00000000-0005-0000-0000-000002B50000}"/>
    <cellStyle name="输入 2 4 10 15" xfId="46639" xr:uid="{00000000-0005-0000-0000-00005FB60000}"/>
    <cellStyle name="输入 2 4 10 16" xfId="46640" xr:uid="{00000000-0005-0000-0000-000060B60000}"/>
    <cellStyle name="输入 2 4 10 2" xfId="46641" xr:uid="{00000000-0005-0000-0000-000061B60000}"/>
    <cellStyle name="输入 2 4 10 2 2" xfId="46643" xr:uid="{00000000-0005-0000-0000-000063B60000}"/>
    <cellStyle name="输入 2 4 10 2 2 2" xfId="46645" xr:uid="{00000000-0005-0000-0000-000065B60000}"/>
    <cellStyle name="输入 2 4 10 2 3" xfId="8326" xr:uid="{00000000-0005-0000-0000-0000B6200000}"/>
    <cellStyle name="输入 2 4 10 2 3 2" xfId="46646" xr:uid="{00000000-0005-0000-0000-000066B60000}"/>
    <cellStyle name="输入 2 4 10 2 4" xfId="46647" xr:uid="{00000000-0005-0000-0000-000067B60000}"/>
    <cellStyle name="输入 2 4 10 2 4 2" xfId="46648" xr:uid="{00000000-0005-0000-0000-000068B60000}"/>
    <cellStyle name="输入 2 4 10 2 5" xfId="46649" xr:uid="{00000000-0005-0000-0000-000069B60000}"/>
    <cellStyle name="输入 2 4 10 2 5 2" xfId="46650" xr:uid="{00000000-0005-0000-0000-00006AB60000}"/>
    <cellStyle name="输入 2 4 10 2 6" xfId="46651" xr:uid="{00000000-0005-0000-0000-00006BB60000}"/>
    <cellStyle name="输入 2 4 10 2 7" xfId="46652" xr:uid="{00000000-0005-0000-0000-00006CB60000}"/>
    <cellStyle name="输入 2 4 10 2 8" xfId="46653" xr:uid="{00000000-0005-0000-0000-00006DB60000}"/>
    <cellStyle name="输入 2 4 10 2 9" xfId="46654" xr:uid="{00000000-0005-0000-0000-00006EB60000}"/>
    <cellStyle name="输入 2 4 10 3" xfId="46656" xr:uid="{00000000-0005-0000-0000-000070B60000}"/>
    <cellStyle name="输入 2 4 10 3 2" xfId="46658" xr:uid="{00000000-0005-0000-0000-000072B60000}"/>
    <cellStyle name="输入 2 4 10 3 2 2" xfId="46659" xr:uid="{00000000-0005-0000-0000-000073B60000}"/>
    <cellStyle name="输入 2 4 10 3 3" xfId="46660" xr:uid="{00000000-0005-0000-0000-000074B60000}"/>
    <cellStyle name="输入 2 4 10 3 3 2" xfId="46661" xr:uid="{00000000-0005-0000-0000-000075B60000}"/>
    <cellStyle name="输入 2 4 10 3 4" xfId="46662" xr:uid="{00000000-0005-0000-0000-000076B60000}"/>
    <cellStyle name="输入 2 4 10 3 4 2" xfId="46663" xr:uid="{00000000-0005-0000-0000-000077B60000}"/>
    <cellStyle name="输入 2 4 10 3 5" xfId="46664" xr:uid="{00000000-0005-0000-0000-000078B60000}"/>
    <cellStyle name="输入 2 4 10 3 5 2" xfId="46665" xr:uid="{00000000-0005-0000-0000-000079B60000}"/>
    <cellStyle name="输入 2 4 10 3 6" xfId="46666" xr:uid="{00000000-0005-0000-0000-00007AB60000}"/>
    <cellStyle name="输入 2 4 10 4" xfId="29617" xr:uid="{00000000-0005-0000-0000-0000E1730000}"/>
    <cellStyle name="输入 2 4 10 4 2" xfId="46667" xr:uid="{00000000-0005-0000-0000-00007BB60000}"/>
    <cellStyle name="输入 2 4 10 4 2 2" xfId="46668" xr:uid="{00000000-0005-0000-0000-00007CB60000}"/>
    <cellStyle name="输入 2 4 10 4 3" xfId="46669" xr:uid="{00000000-0005-0000-0000-00007DB60000}"/>
    <cellStyle name="输入 2 4 10 4 3 2" xfId="46670" xr:uid="{00000000-0005-0000-0000-00007EB60000}"/>
    <cellStyle name="输入 2 4 10 4 4" xfId="34880" xr:uid="{00000000-0005-0000-0000-000070880000}"/>
    <cellStyle name="输入 2 4 10 4 4 2" xfId="46671" xr:uid="{00000000-0005-0000-0000-00007FB60000}"/>
    <cellStyle name="输入 2 4 10 4 5" xfId="34882" xr:uid="{00000000-0005-0000-0000-000072880000}"/>
    <cellStyle name="输入 2 4 10 4 5 2" xfId="43421" xr:uid="{00000000-0005-0000-0000-0000CDA90000}"/>
    <cellStyle name="输入 2 4 10 4 6" xfId="34884" xr:uid="{00000000-0005-0000-0000-000074880000}"/>
    <cellStyle name="输入 2 4 10 5" xfId="3869" xr:uid="{00000000-0005-0000-0000-00004D0F0000}"/>
    <cellStyle name="输入 2 4 10 5 2" xfId="46672" xr:uid="{00000000-0005-0000-0000-000080B60000}"/>
    <cellStyle name="输入 2 4 10 5 2 2" xfId="46673" xr:uid="{00000000-0005-0000-0000-000081B60000}"/>
    <cellStyle name="输入 2 4 10 5 3" xfId="46674" xr:uid="{00000000-0005-0000-0000-000082B60000}"/>
    <cellStyle name="输入 2 4 10 5 3 2" xfId="46675" xr:uid="{00000000-0005-0000-0000-000083B60000}"/>
    <cellStyle name="输入 2 4 10 5 4" xfId="46676" xr:uid="{00000000-0005-0000-0000-000084B60000}"/>
    <cellStyle name="输入 2 4 10 5 4 2" xfId="46677" xr:uid="{00000000-0005-0000-0000-000085B60000}"/>
    <cellStyle name="输入 2 4 10 5 5" xfId="46678" xr:uid="{00000000-0005-0000-0000-000086B60000}"/>
    <cellStyle name="输入 2 4 10 5 5 2" xfId="46679" xr:uid="{00000000-0005-0000-0000-000087B60000}"/>
    <cellStyle name="输入 2 4 10 5 6" xfId="46680" xr:uid="{00000000-0005-0000-0000-000088B60000}"/>
    <cellStyle name="输入 2 4 10 6" xfId="46681" xr:uid="{00000000-0005-0000-0000-000089B60000}"/>
    <cellStyle name="输入 2 4 10 6 2" xfId="46683" xr:uid="{00000000-0005-0000-0000-00008BB60000}"/>
    <cellStyle name="输入 2 4 10 6 2 2" xfId="46684" xr:uid="{00000000-0005-0000-0000-00008CB60000}"/>
    <cellStyle name="输入 2 4 10 6 3" xfId="46685" xr:uid="{00000000-0005-0000-0000-00008DB60000}"/>
    <cellStyle name="输入 2 4 10 6 3 2" xfId="46686" xr:uid="{00000000-0005-0000-0000-00008EB60000}"/>
    <cellStyle name="输入 2 4 10 6 4" xfId="46687" xr:uid="{00000000-0005-0000-0000-00008FB60000}"/>
    <cellStyle name="输入 2 4 10 6 4 2" xfId="46688" xr:uid="{00000000-0005-0000-0000-000090B60000}"/>
    <cellStyle name="输入 2 4 10 6 5" xfId="41731" xr:uid="{00000000-0005-0000-0000-000033A30000}"/>
    <cellStyle name="输入 2 4 10 6 5 2" xfId="46689" xr:uid="{00000000-0005-0000-0000-000091B60000}"/>
    <cellStyle name="输入 2 4 10 6 6" xfId="46690" xr:uid="{00000000-0005-0000-0000-000092B60000}"/>
    <cellStyle name="输入 2 4 10 7" xfId="46691" xr:uid="{00000000-0005-0000-0000-000093B60000}"/>
    <cellStyle name="输入 2 4 10 7 2" xfId="46692" xr:uid="{00000000-0005-0000-0000-000094B60000}"/>
    <cellStyle name="输入 2 4 10 7 2 2" xfId="46693" xr:uid="{00000000-0005-0000-0000-000095B60000}"/>
    <cellStyle name="输入 2 4 10 7 3" xfId="46694" xr:uid="{00000000-0005-0000-0000-000096B60000}"/>
    <cellStyle name="输入 2 4 10 7 3 2" xfId="46695" xr:uid="{00000000-0005-0000-0000-000097B60000}"/>
    <cellStyle name="输入 2 4 10 7 4" xfId="46696" xr:uid="{00000000-0005-0000-0000-000098B60000}"/>
    <cellStyle name="输入 2 4 10 7 4 2" xfId="46697" xr:uid="{00000000-0005-0000-0000-000099B60000}"/>
    <cellStyle name="输入 2 4 10 7 5" xfId="41733" xr:uid="{00000000-0005-0000-0000-000035A30000}"/>
    <cellStyle name="输入 2 4 10 7 5 2" xfId="46698" xr:uid="{00000000-0005-0000-0000-00009AB60000}"/>
    <cellStyle name="输入 2 4 10 7 6" xfId="46699" xr:uid="{00000000-0005-0000-0000-00009BB60000}"/>
    <cellStyle name="输入 2 4 10 8" xfId="46700" xr:uid="{00000000-0005-0000-0000-00009CB60000}"/>
    <cellStyle name="输入 2 4 10 8 2" xfId="46701" xr:uid="{00000000-0005-0000-0000-00009DB60000}"/>
    <cellStyle name="输入 2 4 10 8 2 2" xfId="46702" xr:uid="{00000000-0005-0000-0000-00009EB60000}"/>
    <cellStyle name="输入 2 4 10 8 3" xfId="46703" xr:uid="{00000000-0005-0000-0000-00009FB60000}"/>
    <cellStyle name="输入 2 4 10 8 3 2" xfId="46704" xr:uid="{00000000-0005-0000-0000-0000A0B60000}"/>
    <cellStyle name="输入 2 4 10 8 4" xfId="46706" xr:uid="{00000000-0005-0000-0000-0000A2B60000}"/>
    <cellStyle name="输入 2 4 10 8 4 2" xfId="46707" xr:uid="{00000000-0005-0000-0000-0000A3B60000}"/>
    <cellStyle name="输入 2 4 10 8 5" xfId="41736" xr:uid="{00000000-0005-0000-0000-000038A30000}"/>
    <cellStyle name="输入 2 4 10 9" xfId="46708" xr:uid="{00000000-0005-0000-0000-0000A4B60000}"/>
    <cellStyle name="输入 2 4 10 9 2" xfId="46709" xr:uid="{00000000-0005-0000-0000-0000A5B60000}"/>
    <cellStyle name="输入 2 4 11" xfId="46710" xr:uid="{00000000-0005-0000-0000-0000A6B60000}"/>
    <cellStyle name="输入 2 4 11 10" xfId="46711" xr:uid="{00000000-0005-0000-0000-0000A7B60000}"/>
    <cellStyle name="输入 2 4 11 10 2" xfId="38525" xr:uid="{00000000-0005-0000-0000-0000AD960000}"/>
    <cellStyle name="输入 2 4 11 11" xfId="20647" xr:uid="{00000000-0005-0000-0000-0000D7500000}"/>
    <cellStyle name="输入 2 4 11 11 2" xfId="38559" xr:uid="{00000000-0005-0000-0000-0000CF960000}"/>
    <cellStyle name="输入 2 4 11 12" xfId="46712" xr:uid="{00000000-0005-0000-0000-0000A8B60000}"/>
    <cellStyle name="输入 2 4 11 12 2" xfId="38617" xr:uid="{00000000-0005-0000-0000-000009970000}"/>
    <cellStyle name="输入 2 4 11 13" xfId="46713" xr:uid="{00000000-0005-0000-0000-0000A9B60000}"/>
    <cellStyle name="输入 2 4 11 14" xfId="19138" xr:uid="{00000000-0005-0000-0000-0000F24A0000}"/>
    <cellStyle name="输入 2 4 11 15" xfId="45269" xr:uid="{00000000-0005-0000-0000-000005B10000}"/>
    <cellStyle name="输入 2 4 11 16" xfId="13106" xr:uid="{00000000-0005-0000-0000-000062330000}"/>
    <cellStyle name="输入 2 4 11 2" xfId="46714" xr:uid="{00000000-0005-0000-0000-0000AAB60000}"/>
    <cellStyle name="输入 2 4 11 2 2" xfId="46716" xr:uid="{00000000-0005-0000-0000-0000ACB60000}"/>
    <cellStyle name="输入 2 4 11 2 2 2" xfId="43511" xr:uid="{00000000-0005-0000-0000-000027AA0000}"/>
    <cellStyle name="输入 2 4 11 2 3" xfId="8362" xr:uid="{00000000-0005-0000-0000-0000DA200000}"/>
    <cellStyle name="输入 2 4 11 2 3 2" xfId="44314" xr:uid="{00000000-0005-0000-0000-00004AAD0000}"/>
    <cellStyle name="输入 2 4 11 2 4" xfId="46718" xr:uid="{00000000-0005-0000-0000-0000AEB60000}"/>
    <cellStyle name="输入 2 4 11 2 4 2" xfId="44862" xr:uid="{00000000-0005-0000-0000-00006EAF0000}"/>
    <cellStyle name="输入 2 4 11 2 5" xfId="46719" xr:uid="{00000000-0005-0000-0000-0000AFB60000}"/>
    <cellStyle name="输入 2 4 11 2 5 2" xfId="45373" xr:uid="{00000000-0005-0000-0000-00006DB10000}"/>
    <cellStyle name="输入 2 4 11 2 6" xfId="46720" xr:uid="{00000000-0005-0000-0000-0000B0B60000}"/>
    <cellStyle name="输入 2 4 11 3" xfId="46721" xr:uid="{00000000-0005-0000-0000-0000B1B60000}"/>
    <cellStyle name="输入 2 4 11 3 2" xfId="46723" xr:uid="{00000000-0005-0000-0000-0000B3B60000}"/>
    <cellStyle name="输入 2 4 11 3 2 2" xfId="15802" xr:uid="{00000000-0005-0000-0000-0000EA3D0000}"/>
    <cellStyle name="输入 2 4 11 3 3" xfId="46724" xr:uid="{00000000-0005-0000-0000-0000B4B60000}"/>
    <cellStyle name="输入 2 4 11 3 3 2" xfId="46725" xr:uid="{00000000-0005-0000-0000-0000B5B60000}"/>
    <cellStyle name="输入 2 4 11 3 4" xfId="46726" xr:uid="{00000000-0005-0000-0000-0000B6B60000}"/>
    <cellStyle name="输入 2 4 11 3 4 2" xfId="46727" xr:uid="{00000000-0005-0000-0000-0000B7B60000}"/>
    <cellStyle name="输入 2 4 11 3 5" xfId="46729" xr:uid="{00000000-0005-0000-0000-0000B9B60000}"/>
    <cellStyle name="输入 2 4 11 3 5 2" xfId="46730" xr:uid="{00000000-0005-0000-0000-0000BAB60000}"/>
    <cellStyle name="输入 2 4 11 3 6" xfId="46732" xr:uid="{00000000-0005-0000-0000-0000BCB60000}"/>
    <cellStyle name="输入 2 4 11 4" xfId="3923" xr:uid="{00000000-0005-0000-0000-0000830F0000}"/>
    <cellStyle name="输入 2 4 11 4 2" xfId="4928" xr:uid="{00000000-0005-0000-0000-000070130000}"/>
    <cellStyle name="输入 2 4 11 4 2 2" xfId="38592" xr:uid="{00000000-0005-0000-0000-0000F0960000}"/>
    <cellStyle name="输入 2 4 11 4 3" xfId="46733" xr:uid="{00000000-0005-0000-0000-0000BDB60000}"/>
    <cellStyle name="输入 2 4 11 4 3 2" xfId="46734" xr:uid="{00000000-0005-0000-0000-0000BEB60000}"/>
    <cellStyle name="输入 2 4 11 4 4" xfId="46735" xr:uid="{00000000-0005-0000-0000-0000BFB60000}"/>
    <cellStyle name="输入 2 4 11 4 4 2" xfId="46736" xr:uid="{00000000-0005-0000-0000-0000C0B60000}"/>
    <cellStyle name="输入 2 4 11 4 5" xfId="46738" xr:uid="{00000000-0005-0000-0000-0000C2B60000}"/>
    <cellStyle name="输入 2 4 11 4 5 2" xfId="46739" xr:uid="{00000000-0005-0000-0000-0000C3B60000}"/>
    <cellStyle name="输入 2 4 11 4 6" xfId="46741" xr:uid="{00000000-0005-0000-0000-0000C5B60000}"/>
    <cellStyle name="输入 2 4 11 5" xfId="4943" xr:uid="{00000000-0005-0000-0000-00007F130000}"/>
    <cellStyle name="输入 2 4 11 5 2" xfId="4956" xr:uid="{00000000-0005-0000-0000-00008C130000}"/>
    <cellStyle name="输入 2 4 11 5 2 2" xfId="46742" xr:uid="{00000000-0005-0000-0000-0000C6B60000}"/>
    <cellStyle name="输入 2 4 11 5 3" xfId="46743" xr:uid="{00000000-0005-0000-0000-0000C7B60000}"/>
    <cellStyle name="输入 2 4 11 5 3 2" xfId="46744" xr:uid="{00000000-0005-0000-0000-0000C8B60000}"/>
    <cellStyle name="输入 2 4 11 5 4" xfId="46745" xr:uid="{00000000-0005-0000-0000-0000C9B60000}"/>
    <cellStyle name="输入 2 4 11 5 4 2" xfId="46746" xr:uid="{00000000-0005-0000-0000-0000CAB60000}"/>
    <cellStyle name="输入 2 4 11 5 5" xfId="46748" xr:uid="{00000000-0005-0000-0000-0000CCB60000}"/>
    <cellStyle name="输入 2 4 11 5 5 2" xfId="46749" xr:uid="{00000000-0005-0000-0000-0000CDB60000}"/>
    <cellStyle name="输入 2 4 11 5 6" xfId="46751" xr:uid="{00000000-0005-0000-0000-0000CFB60000}"/>
    <cellStyle name="输入 2 4 11 6" xfId="4963" xr:uid="{00000000-0005-0000-0000-000093130000}"/>
    <cellStyle name="输入 2 4 11 6 2" xfId="4974" xr:uid="{00000000-0005-0000-0000-00009E130000}"/>
    <cellStyle name="输入 2 4 11 6 2 2" xfId="46752" xr:uid="{00000000-0005-0000-0000-0000D0B60000}"/>
    <cellStyle name="输入 2 4 11 6 3" xfId="46753" xr:uid="{00000000-0005-0000-0000-0000D1B60000}"/>
    <cellStyle name="输入 2 4 11 6 3 2" xfId="46754" xr:uid="{00000000-0005-0000-0000-0000D2B60000}"/>
    <cellStyle name="输入 2 4 11 6 4" xfId="46756" xr:uid="{00000000-0005-0000-0000-0000D4B60000}"/>
    <cellStyle name="输入 2 4 11 6 4 2" xfId="46757" xr:uid="{00000000-0005-0000-0000-0000D5B60000}"/>
    <cellStyle name="输入 2 4 11 6 5" xfId="46759" xr:uid="{00000000-0005-0000-0000-0000D7B60000}"/>
    <cellStyle name="输入 2 4 11 6 5 2" xfId="46760" xr:uid="{00000000-0005-0000-0000-0000D8B60000}"/>
    <cellStyle name="输入 2 4 11 6 6" xfId="46762" xr:uid="{00000000-0005-0000-0000-0000DAB60000}"/>
    <cellStyle name="输入 2 4 11 7" xfId="669" xr:uid="{00000000-0005-0000-0000-0000CD020000}"/>
    <cellStyle name="输入 2 4 11 7 2" xfId="46763" xr:uid="{00000000-0005-0000-0000-0000DBB60000}"/>
    <cellStyle name="输入 2 4 11 7 2 2" xfId="46764" xr:uid="{00000000-0005-0000-0000-0000DCB60000}"/>
    <cellStyle name="输入 2 4 11 7 3" xfId="46765" xr:uid="{00000000-0005-0000-0000-0000DDB60000}"/>
    <cellStyle name="输入 2 4 11 7 3 2" xfId="46766" xr:uid="{00000000-0005-0000-0000-0000DEB60000}"/>
    <cellStyle name="输入 2 4 11 7 4" xfId="46767" xr:uid="{00000000-0005-0000-0000-0000DFB60000}"/>
    <cellStyle name="输入 2 4 11 7 4 2" xfId="46768" xr:uid="{00000000-0005-0000-0000-0000E0B60000}"/>
    <cellStyle name="输入 2 4 11 7 5" xfId="46770" xr:uid="{00000000-0005-0000-0000-0000E2B60000}"/>
    <cellStyle name="输入 2 4 11 7 5 2" xfId="15128" xr:uid="{00000000-0005-0000-0000-0000483B0000}"/>
    <cellStyle name="输入 2 4 11 7 6" xfId="46771" xr:uid="{00000000-0005-0000-0000-0000E3B60000}"/>
    <cellStyle name="输入 2 4 11 8" xfId="692" xr:uid="{00000000-0005-0000-0000-0000E4020000}"/>
    <cellStyle name="输入 2 4 11 8 2" xfId="46772" xr:uid="{00000000-0005-0000-0000-0000E4B60000}"/>
    <cellStyle name="输入 2 4 11 8 2 2" xfId="15138" xr:uid="{00000000-0005-0000-0000-0000523B0000}"/>
    <cellStyle name="输入 2 4 11 8 3" xfId="46773" xr:uid="{00000000-0005-0000-0000-0000E5B60000}"/>
    <cellStyle name="输入 2 4 11 8 3 2" xfId="46774" xr:uid="{00000000-0005-0000-0000-0000E6B60000}"/>
    <cellStyle name="输入 2 4 11 8 4" xfId="46776" xr:uid="{00000000-0005-0000-0000-0000E8B60000}"/>
    <cellStyle name="输入 2 4 11 8 4 2" xfId="46777" xr:uid="{00000000-0005-0000-0000-0000E9B60000}"/>
    <cellStyle name="输入 2 4 11 8 5" xfId="46779" xr:uid="{00000000-0005-0000-0000-0000EBB60000}"/>
    <cellStyle name="输入 2 4 11 9" xfId="4980" xr:uid="{00000000-0005-0000-0000-0000A4130000}"/>
    <cellStyle name="输入 2 4 11 9 2" xfId="46780" xr:uid="{00000000-0005-0000-0000-0000ECB60000}"/>
    <cellStyle name="输入 2 4 12" xfId="46781" xr:uid="{00000000-0005-0000-0000-0000EDB60000}"/>
    <cellStyle name="输入 2 4 12 2" xfId="46782" xr:uid="{00000000-0005-0000-0000-0000EEB60000}"/>
    <cellStyle name="输入 2 4 12 2 2" xfId="46784" xr:uid="{00000000-0005-0000-0000-0000F0B60000}"/>
    <cellStyle name="输入 2 4 12 3" xfId="46786" xr:uid="{00000000-0005-0000-0000-0000F2B60000}"/>
    <cellStyle name="输入 2 4 12 3 2" xfId="46788" xr:uid="{00000000-0005-0000-0000-0000F4B60000}"/>
    <cellStyle name="输入 2 4 12 4" xfId="46789" xr:uid="{00000000-0005-0000-0000-0000F5B60000}"/>
    <cellStyle name="输入 2 4 12 4 2" xfId="46790" xr:uid="{00000000-0005-0000-0000-0000F6B60000}"/>
    <cellStyle name="输入 2 4 12 5" xfId="46791" xr:uid="{00000000-0005-0000-0000-0000F7B60000}"/>
    <cellStyle name="输入 2 4 12 5 2" xfId="46792" xr:uid="{00000000-0005-0000-0000-0000F8B60000}"/>
    <cellStyle name="输入 2 4 12 6" xfId="46793" xr:uid="{00000000-0005-0000-0000-0000F9B60000}"/>
    <cellStyle name="输入 2 4 12 7" xfId="707" xr:uid="{00000000-0005-0000-0000-0000F3020000}"/>
    <cellStyle name="输入 2 4 12 8" xfId="46794" xr:uid="{00000000-0005-0000-0000-0000FAB60000}"/>
    <cellStyle name="输入 2 4 12 9" xfId="46795" xr:uid="{00000000-0005-0000-0000-0000FBB60000}"/>
    <cellStyle name="输入 2 4 13" xfId="46796" xr:uid="{00000000-0005-0000-0000-0000FCB60000}"/>
    <cellStyle name="输入 2 4 13 2" xfId="46798" xr:uid="{00000000-0005-0000-0000-0000FEB60000}"/>
    <cellStyle name="输入 2 4 13 2 2" xfId="46800" xr:uid="{00000000-0005-0000-0000-000000B70000}"/>
    <cellStyle name="输入 2 4 13 3" xfId="46802" xr:uid="{00000000-0005-0000-0000-000002B70000}"/>
    <cellStyle name="输入 2 4 13 3 2" xfId="46804" xr:uid="{00000000-0005-0000-0000-000004B70000}"/>
    <cellStyle name="输入 2 4 13 4" xfId="46805" xr:uid="{00000000-0005-0000-0000-000005B70000}"/>
    <cellStyle name="输入 2 4 13 4 2" xfId="46806" xr:uid="{00000000-0005-0000-0000-000006B70000}"/>
    <cellStyle name="输入 2 4 13 5" xfId="46807" xr:uid="{00000000-0005-0000-0000-000007B70000}"/>
    <cellStyle name="输入 2 4 13 5 2" xfId="46808" xr:uid="{00000000-0005-0000-0000-000008B70000}"/>
    <cellStyle name="输入 2 4 13 6" xfId="46809" xr:uid="{00000000-0005-0000-0000-000009B70000}"/>
    <cellStyle name="输入 2 4 14" xfId="46810" xr:uid="{00000000-0005-0000-0000-00000AB70000}"/>
    <cellStyle name="输入 2 4 14 2" xfId="46811" xr:uid="{00000000-0005-0000-0000-00000BB70000}"/>
    <cellStyle name="输入 2 4 14 2 2" xfId="46813" xr:uid="{00000000-0005-0000-0000-00000DB70000}"/>
    <cellStyle name="输入 2 4 14 3" xfId="46815" xr:uid="{00000000-0005-0000-0000-00000FB70000}"/>
    <cellStyle name="输入 2 4 14 3 2" xfId="46817" xr:uid="{00000000-0005-0000-0000-000011B70000}"/>
    <cellStyle name="输入 2 4 14 4" xfId="46818" xr:uid="{00000000-0005-0000-0000-000012B70000}"/>
    <cellStyle name="输入 2 4 14 4 2" xfId="46819" xr:uid="{00000000-0005-0000-0000-000013B70000}"/>
    <cellStyle name="输入 2 4 14 5" xfId="46820" xr:uid="{00000000-0005-0000-0000-000014B70000}"/>
    <cellStyle name="输入 2 4 14 5 2" xfId="46821" xr:uid="{00000000-0005-0000-0000-000015B70000}"/>
    <cellStyle name="输入 2 4 14 6" xfId="46822" xr:uid="{00000000-0005-0000-0000-000016B70000}"/>
    <cellStyle name="输入 2 4 15" xfId="46823" xr:uid="{00000000-0005-0000-0000-000017B70000}"/>
    <cellStyle name="输入 2 4 15 2" xfId="46825" xr:uid="{00000000-0005-0000-0000-000019B70000}"/>
    <cellStyle name="输入 2 4 15 2 2" xfId="34358" xr:uid="{00000000-0005-0000-0000-000066860000}"/>
    <cellStyle name="输入 2 4 15 3" xfId="46828" xr:uid="{00000000-0005-0000-0000-00001CB70000}"/>
    <cellStyle name="输入 2 4 15 3 2" xfId="34399" xr:uid="{00000000-0005-0000-0000-00008F860000}"/>
    <cellStyle name="输入 2 4 15 4" xfId="46830" xr:uid="{00000000-0005-0000-0000-00001EB70000}"/>
    <cellStyle name="输入 2 4 15 4 2" xfId="34450" xr:uid="{00000000-0005-0000-0000-0000C2860000}"/>
    <cellStyle name="输入 2 4 15 5" xfId="46831" xr:uid="{00000000-0005-0000-0000-00001FB70000}"/>
    <cellStyle name="输入 2 4 15 5 2" xfId="34518" xr:uid="{00000000-0005-0000-0000-000006870000}"/>
    <cellStyle name="输入 2 4 15 6" xfId="46832" xr:uid="{00000000-0005-0000-0000-000020B70000}"/>
    <cellStyle name="输入 2 4 16" xfId="46833" xr:uid="{00000000-0005-0000-0000-000021B70000}"/>
    <cellStyle name="输入 2 4 16 2" xfId="46835" xr:uid="{00000000-0005-0000-0000-000023B70000}"/>
    <cellStyle name="输入 2 4 16 2 2" xfId="17735" xr:uid="{00000000-0005-0000-0000-000077450000}"/>
    <cellStyle name="输入 2 4 16 3" xfId="46838" xr:uid="{00000000-0005-0000-0000-000026B70000}"/>
    <cellStyle name="输入 2 4 16 3 2" xfId="17760" xr:uid="{00000000-0005-0000-0000-000090450000}"/>
    <cellStyle name="输入 2 4 16 4" xfId="426" xr:uid="{00000000-0005-0000-0000-0000D2010000}"/>
    <cellStyle name="输入 2 4 16 4 2" xfId="4550" xr:uid="{00000000-0005-0000-0000-0000F6110000}"/>
    <cellStyle name="输入 2 4 16 5" xfId="478" xr:uid="{00000000-0005-0000-0000-000009020000}"/>
    <cellStyle name="输入 2 4 16 5 2" xfId="4576" xr:uid="{00000000-0005-0000-0000-000010120000}"/>
    <cellStyle name="输入 2 4 16 6" xfId="522" xr:uid="{00000000-0005-0000-0000-000038020000}"/>
    <cellStyle name="输入 2 4 17" xfId="46839" xr:uid="{00000000-0005-0000-0000-000027B70000}"/>
    <cellStyle name="输入 2 4 17 2" xfId="35685" xr:uid="{00000000-0005-0000-0000-0000958B0000}"/>
    <cellStyle name="输入 2 4 17 2 2" xfId="17920" xr:uid="{00000000-0005-0000-0000-000030460000}"/>
    <cellStyle name="输入 2 4 17 3" xfId="35688" xr:uid="{00000000-0005-0000-0000-0000988B0000}"/>
    <cellStyle name="输入 2 4 17 3 2" xfId="17936" xr:uid="{00000000-0005-0000-0000-000040460000}"/>
    <cellStyle name="输入 2 4 17 4" xfId="35690" xr:uid="{00000000-0005-0000-0000-00009A8B0000}"/>
    <cellStyle name="输入 2 4 17 4 2" xfId="35282" xr:uid="{00000000-0005-0000-0000-0000028A0000}"/>
    <cellStyle name="输入 2 4 17 5" xfId="35692" xr:uid="{00000000-0005-0000-0000-00009C8B0000}"/>
    <cellStyle name="输入 2 4 17 5 2" xfId="35334" xr:uid="{00000000-0005-0000-0000-0000368A0000}"/>
    <cellStyle name="输入 2 4 17 6" xfId="46841" xr:uid="{00000000-0005-0000-0000-000029B70000}"/>
    <cellStyle name="输入 2 4 18" xfId="46842" xr:uid="{00000000-0005-0000-0000-00002AB70000}"/>
    <cellStyle name="输入 2 4 18 2" xfId="35698" xr:uid="{00000000-0005-0000-0000-0000A28B0000}"/>
    <cellStyle name="输入 2 4 18 2 2" xfId="18144" xr:uid="{00000000-0005-0000-0000-000010470000}"/>
    <cellStyle name="输入 2 4 18 3" xfId="46844" xr:uid="{00000000-0005-0000-0000-00002CB70000}"/>
    <cellStyle name="输入 2 4 18 3 2" xfId="18181" xr:uid="{00000000-0005-0000-0000-000035470000}"/>
    <cellStyle name="输入 2 4 18 4" xfId="46845" xr:uid="{00000000-0005-0000-0000-00002DB70000}"/>
    <cellStyle name="输入 2 4 18 4 2" xfId="35617" xr:uid="{00000000-0005-0000-0000-0000518B0000}"/>
    <cellStyle name="输入 2 4 18 5" xfId="46846" xr:uid="{00000000-0005-0000-0000-00002EB70000}"/>
    <cellStyle name="输入 2 4 18 5 2" xfId="35646" xr:uid="{00000000-0005-0000-0000-00006E8B0000}"/>
    <cellStyle name="输入 2 4 18 6" xfId="46847" xr:uid="{00000000-0005-0000-0000-00002FB70000}"/>
    <cellStyle name="输入 2 4 19" xfId="27950" xr:uid="{00000000-0005-0000-0000-00005E6D0000}"/>
    <cellStyle name="输入 2 4 19 2" xfId="35707" xr:uid="{00000000-0005-0000-0000-0000AB8B0000}"/>
    <cellStyle name="输入 2 4 19 2 2" xfId="18439" xr:uid="{00000000-0005-0000-0000-000037480000}"/>
    <cellStyle name="输入 2 4 19 3" xfId="46848" xr:uid="{00000000-0005-0000-0000-000030B70000}"/>
    <cellStyle name="输入 2 4 19 3 2" xfId="18488" xr:uid="{00000000-0005-0000-0000-000068480000}"/>
    <cellStyle name="输入 2 4 19 4" xfId="46849" xr:uid="{00000000-0005-0000-0000-000031B70000}"/>
    <cellStyle name="输入 2 4 19 4 2" xfId="35943" xr:uid="{00000000-0005-0000-0000-0000978C0000}"/>
    <cellStyle name="输入 2 4 19 5" xfId="46850" xr:uid="{00000000-0005-0000-0000-000032B70000}"/>
    <cellStyle name="输入 2 4 2" xfId="46851" xr:uid="{00000000-0005-0000-0000-000033B70000}"/>
    <cellStyle name="输入 2 4 2 10" xfId="28218" xr:uid="{00000000-0005-0000-0000-00006A6E0000}"/>
    <cellStyle name="输入 2 4 2 10 2" xfId="46853" xr:uid="{00000000-0005-0000-0000-000035B70000}"/>
    <cellStyle name="输入 2 4 2 11" xfId="46854" xr:uid="{00000000-0005-0000-0000-000036B70000}"/>
    <cellStyle name="输入 2 4 2 11 2" xfId="46855" xr:uid="{00000000-0005-0000-0000-000037B70000}"/>
    <cellStyle name="输入 2 4 2 12" xfId="9095" xr:uid="{00000000-0005-0000-0000-0000B7230000}"/>
    <cellStyle name="输入 2 4 2 12 2" xfId="46856" xr:uid="{00000000-0005-0000-0000-000038B70000}"/>
    <cellStyle name="输入 2 4 2 13" xfId="46857" xr:uid="{00000000-0005-0000-0000-000039B70000}"/>
    <cellStyle name="输入 2 4 2 14" xfId="46858" xr:uid="{00000000-0005-0000-0000-00003AB70000}"/>
    <cellStyle name="输入 2 4 2 15" xfId="46859" xr:uid="{00000000-0005-0000-0000-00003BB70000}"/>
    <cellStyle name="输入 2 4 2 16" xfId="46861" xr:uid="{00000000-0005-0000-0000-00003DB70000}"/>
    <cellStyle name="输入 2 4 2 2" xfId="46862" xr:uid="{00000000-0005-0000-0000-00003EB70000}"/>
    <cellStyle name="输入 2 4 2 2 2" xfId="46864" xr:uid="{00000000-0005-0000-0000-000040B70000}"/>
    <cellStyle name="输入 2 4 2 2 2 2" xfId="12372" xr:uid="{00000000-0005-0000-0000-000084300000}"/>
    <cellStyle name="输入 2 4 2 2 3" xfId="46866" xr:uid="{00000000-0005-0000-0000-000042B70000}"/>
    <cellStyle name="输入 2 4 2 2 3 2" xfId="2914" xr:uid="{00000000-0005-0000-0000-0000920B0000}"/>
    <cellStyle name="输入 2 4 2 2 4" xfId="24761" xr:uid="{00000000-0005-0000-0000-0000E9600000}"/>
    <cellStyle name="输入 2 4 2 2 4 2" xfId="46867" xr:uid="{00000000-0005-0000-0000-000043B70000}"/>
    <cellStyle name="输入 2 4 2 2 5" xfId="20038" xr:uid="{00000000-0005-0000-0000-0000764E0000}"/>
    <cellStyle name="输入 2 4 2 2 5 2" xfId="20043" xr:uid="{00000000-0005-0000-0000-00007B4E0000}"/>
    <cellStyle name="输入 2 4 2 2 6" xfId="20048" xr:uid="{00000000-0005-0000-0000-0000804E0000}"/>
    <cellStyle name="输入 2 4 2 2 7" xfId="20058" xr:uid="{00000000-0005-0000-0000-00008A4E0000}"/>
    <cellStyle name="输入 2 4 2 2 8" xfId="20064" xr:uid="{00000000-0005-0000-0000-0000904E0000}"/>
    <cellStyle name="输入 2 4 2 2 9" xfId="20067" xr:uid="{00000000-0005-0000-0000-0000934E0000}"/>
    <cellStyle name="输入 2 4 2 3" xfId="46868" xr:uid="{00000000-0005-0000-0000-000044B70000}"/>
    <cellStyle name="输入 2 4 2 3 2" xfId="11346" xr:uid="{00000000-0005-0000-0000-0000822C0000}"/>
    <cellStyle name="输入 2 4 2 3 2 2" xfId="46870" xr:uid="{00000000-0005-0000-0000-000046B70000}"/>
    <cellStyle name="输入 2 4 2 3 3" xfId="3248" xr:uid="{00000000-0005-0000-0000-0000E00C0000}"/>
    <cellStyle name="输入 2 4 2 3 3 2" xfId="46871" xr:uid="{00000000-0005-0000-0000-000047B70000}"/>
    <cellStyle name="输入 2 4 2 3 4" xfId="12954" xr:uid="{00000000-0005-0000-0000-0000CA320000}"/>
    <cellStyle name="输入 2 4 2 3 4 2" xfId="46872" xr:uid="{00000000-0005-0000-0000-000048B70000}"/>
    <cellStyle name="输入 2 4 2 3 5" xfId="12980" xr:uid="{00000000-0005-0000-0000-0000E4320000}"/>
    <cellStyle name="输入 2 4 2 3 5 2" xfId="12984" xr:uid="{00000000-0005-0000-0000-0000E8320000}"/>
    <cellStyle name="输入 2 4 2 3 6" xfId="13007" xr:uid="{00000000-0005-0000-0000-0000FF320000}"/>
    <cellStyle name="输入 2 4 2 4" xfId="46873" xr:uid="{00000000-0005-0000-0000-000049B70000}"/>
    <cellStyle name="输入 2 4 2 4 2" xfId="46875" xr:uid="{00000000-0005-0000-0000-00004BB70000}"/>
    <cellStyle name="输入 2 4 2 4 2 2" xfId="46877" xr:uid="{00000000-0005-0000-0000-00004DB70000}"/>
    <cellStyle name="输入 2 4 2 4 3" xfId="46878" xr:uid="{00000000-0005-0000-0000-00004EB70000}"/>
    <cellStyle name="输入 2 4 2 4 3 2" xfId="46879" xr:uid="{00000000-0005-0000-0000-00004FB70000}"/>
    <cellStyle name="输入 2 4 2 4 4" xfId="13051" xr:uid="{00000000-0005-0000-0000-00002B330000}"/>
    <cellStyle name="输入 2 4 2 4 4 2" xfId="46880" xr:uid="{00000000-0005-0000-0000-000050B70000}"/>
    <cellStyle name="输入 2 4 2 4 5" xfId="13062" xr:uid="{00000000-0005-0000-0000-000036330000}"/>
    <cellStyle name="输入 2 4 2 4 5 2" xfId="3353" xr:uid="{00000000-0005-0000-0000-0000490D0000}"/>
    <cellStyle name="输入 2 4 2 4 6" xfId="13066" xr:uid="{00000000-0005-0000-0000-00003A330000}"/>
    <cellStyle name="输入 2 4 2 5" xfId="46881" xr:uid="{00000000-0005-0000-0000-000051B70000}"/>
    <cellStyle name="输入 2 4 2 5 2" xfId="46883" xr:uid="{00000000-0005-0000-0000-000053B70000}"/>
    <cellStyle name="输入 2 4 2 5 2 2" xfId="46884" xr:uid="{00000000-0005-0000-0000-000054B70000}"/>
    <cellStyle name="输入 2 4 2 5 3" xfId="46885" xr:uid="{00000000-0005-0000-0000-000055B70000}"/>
    <cellStyle name="输入 2 4 2 5 3 2" xfId="46886" xr:uid="{00000000-0005-0000-0000-000056B70000}"/>
    <cellStyle name="输入 2 4 2 5 4" xfId="46887" xr:uid="{00000000-0005-0000-0000-000057B70000}"/>
    <cellStyle name="输入 2 4 2 5 4 2" xfId="46888" xr:uid="{00000000-0005-0000-0000-000058B70000}"/>
    <cellStyle name="输入 2 4 2 5 5" xfId="8849" xr:uid="{00000000-0005-0000-0000-0000C1220000}"/>
    <cellStyle name="输入 2 4 2 5 5 2" xfId="13174" xr:uid="{00000000-0005-0000-0000-0000A6330000}"/>
    <cellStyle name="输入 2 4 2 5 6" xfId="8855" xr:uid="{00000000-0005-0000-0000-0000C7220000}"/>
    <cellStyle name="输入 2 4 2 6" xfId="46889" xr:uid="{00000000-0005-0000-0000-000059B70000}"/>
    <cellStyle name="输入 2 4 2 6 2" xfId="46890" xr:uid="{00000000-0005-0000-0000-00005AB70000}"/>
    <cellStyle name="输入 2 4 2 6 2 2" xfId="46891" xr:uid="{00000000-0005-0000-0000-00005BB70000}"/>
    <cellStyle name="输入 2 4 2 6 3" xfId="4822" xr:uid="{00000000-0005-0000-0000-000006130000}"/>
    <cellStyle name="输入 2 4 2 6 3 2" xfId="46892" xr:uid="{00000000-0005-0000-0000-00005CB70000}"/>
    <cellStyle name="输入 2 4 2 6 4" xfId="46893" xr:uid="{00000000-0005-0000-0000-00005DB70000}"/>
    <cellStyle name="输入 2 4 2 6 4 2" xfId="46894" xr:uid="{00000000-0005-0000-0000-00005EB70000}"/>
    <cellStyle name="输入 2 4 2 6 5" xfId="13305" xr:uid="{00000000-0005-0000-0000-000029340000}"/>
    <cellStyle name="输入 2 4 2 6 5 2" xfId="13308" xr:uid="{00000000-0005-0000-0000-00002C340000}"/>
    <cellStyle name="输入 2 4 2 6 6" xfId="13316" xr:uid="{00000000-0005-0000-0000-000034340000}"/>
    <cellStyle name="输入 2 4 2 7" xfId="46895" xr:uid="{00000000-0005-0000-0000-00005FB70000}"/>
    <cellStyle name="输入 2 4 2 7 2" xfId="46896" xr:uid="{00000000-0005-0000-0000-000060B70000}"/>
    <cellStyle name="输入 2 4 2 7 2 2" xfId="46897" xr:uid="{00000000-0005-0000-0000-000061B70000}"/>
    <cellStyle name="输入 2 4 2 7 3" xfId="13341" xr:uid="{00000000-0005-0000-0000-00004D340000}"/>
    <cellStyle name="输入 2 4 2 7 3 2" xfId="46898" xr:uid="{00000000-0005-0000-0000-000062B70000}"/>
    <cellStyle name="输入 2 4 2 7 4" xfId="46899" xr:uid="{00000000-0005-0000-0000-000063B70000}"/>
    <cellStyle name="输入 2 4 2 7 4 2" xfId="46900" xr:uid="{00000000-0005-0000-0000-000064B70000}"/>
    <cellStyle name="输入 2 4 2 7 5" xfId="13375" xr:uid="{00000000-0005-0000-0000-00006F340000}"/>
    <cellStyle name="输入 2 4 2 7 5 2" xfId="46901" xr:uid="{00000000-0005-0000-0000-000065B70000}"/>
    <cellStyle name="输入 2 4 2 7 6" xfId="46903" xr:uid="{00000000-0005-0000-0000-000067B70000}"/>
    <cellStyle name="输入 2 4 2 8" xfId="46904" xr:uid="{00000000-0005-0000-0000-000068B70000}"/>
    <cellStyle name="输入 2 4 2 8 2" xfId="13408" xr:uid="{00000000-0005-0000-0000-000090340000}"/>
    <cellStyle name="输入 2 4 2 8 2 2" xfId="46905" xr:uid="{00000000-0005-0000-0000-000069B70000}"/>
    <cellStyle name="输入 2 4 2 8 3" xfId="13416" xr:uid="{00000000-0005-0000-0000-000098340000}"/>
    <cellStyle name="输入 2 4 2 8 3 2" xfId="46906" xr:uid="{00000000-0005-0000-0000-00006AB70000}"/>
    <cellStyle name="输入 2 4 2 8 4" xfId="6588" xr:uid="{00000000-0005-0000-0000-0000EC190000}"/>
    <cellStyle name="输入 2 4 2 8 4 2" xfId="46907" xr:uid="{00000000-0005-0000-0000-00006BB70000}"/>
    <cellStyle name="输入 2 4 2 8 5" xfId="46908" xr:uid="{00000000-0005-0000-0000-00006CB70000}"/>
    <cellStyle name="输入 2 4 2 9" xfId="46909" xr:uid="{00000000-0005-0000-0000-00006DB70000}"/>
    <cellStyle name="输入 2 4 2 9 2" xfId="46910" xr:uid="{00000000-0005-0000-0000-00006EB70000}"/>
    <cellStyle name="输入 2 4 20" xfId="46824" xr:uid="{00000000-0005-0000-0000-000018B70000}"/>
    <cellStyle name="输入 2 4 20 2" xfId="46826" xr:uid="{00000000-0005-0000-0000-00001AB70000}"/>
    <cellStyle name="输入 2 4 21" xfId="46834" xr:uid="{00000000-0005-0000-0000-000022B70000}"/>
    <cellStyle name="输入 2 4 21 2" xfId="46836" xr:uid="{00000000-0005-0000-0000-000024B70000}"/>
    <cellStyle name="输入 2 4 22" xfId="46840" xr:uid="{00000000-0005-0000-0000-000028B70000}"/>
    <cellStyle name="输入 2 4 22 2" xfId="35686" xr:uid="{00000000-0005-0000-0000-0000968B0000}"/>
    <cellStyle name="输入 2 4 23" xfId="46843" xr:uid="{00000000-0005-0000-0000-00002BB70000}"/>
    <cellStyle name="输入 2 4 23 2" xfId="35699" xr:uid="{00000000-0005-0000-0000-0000A38B0000}"/>
    <cellStyle name="输入 2 4 24" xfId="27949" xr:uid="{00000000-0005-0000-0000-00005D6D0000}"/>
    <cellStyle name="输入 2 4 25" xfId="46911" xr:uid="{00000000-0005-0000-0000-00006FB70000}"/>
    <cellStyle name="输入 2 4 26" xfId="46912" xr:uid="{00000000-0005-0000-0000-000070B70000}"/>
    <cellStyle name="输入 2 4 27" xfId="2442" xr:uid="{00000000-0005-0000-0000-0000BA090000}"/>
    <cellStyle name="输入 2 4 3" xfId="38298" xr:uid="{00000000-0005-0000-0000-0000CA950000}"/>
    <cellStyle name="输入 2 4 3 10" xfId="46913" xr:uid="{00000000-0005-0000-0000-000071B70000}"/>
    <cellStyle name="输入 2 4 3 10 2" xfId="46914" xr:uid="{00000000-0005-0000-0000-000072B70000}"/>
    <cellStyle name="输入 2 4 3 11" xfId="46915" xr:uid="{00000000-0005-0000-0000-000073B70000}"/>
    <cellStyle name="输入 2 4 3 11 2" xfId="46916" xr:uid="{00000000-0005-0000-0000-000074B70000}"/>
    <cellStyle name="输入 2 4 3 12" xfId="46917" xr:uid="{00000000-0005-0000-0000-000075B70000}"/>
    <cellStyle name="输入 2 4 3 12 2" xfId="46918" xr:uid="{00000000-0005-0000-0000-000076B70000}"/>
    <cellStyle name="输入 2 4 3 13" xfId="46919" xr:uid="{00000000-0005-0000-0000-000077B70000}"/>
    <cellStyle name="输入 2 4 3 14" xfId="2831" xr:uid="{00000000-0005-0000-0000-00003F0B0000}"/>
    <cellStyle name="输入 2 4 3 15" xfId="46920" xr:uid="{00000000-0005-0000-0000-000078B70000}"/>
    <cellStyle name="输入 2 4 3 16" xfId="46921" xr:uid="{00000000-0005-0000-0000-000079B70000}"/>
    <cellStyle name="输入 2 4 3 2" xfId="46922" xr:uid="{00000000-0005-0000-0000-00007AB70000}"/>
    <cellStyle name="输入 2 4 3 2 2" xfId="46924" xr:uid="{00000000-0005-0000-0000-00007CB70000}"/>
    <cellStyle name="输入 2 4 3 2 2 2" xfId="46926" xr:uid="{00000000-0005-0000-0000-00007EB70000}"/>
    <cellStyle name="输入 2 4 3 2 3" xfId="46927" xr:uid="{00000000-0005-0000-0000-00007FB70000}"/>
    <cellStyle name="输入 2 4 3 2 3 2" xfId="46928" xr:uid="{00000000-0005-0000-0000-000080B70000}"/>
    <cellStyle name="输入 2 4 3 2 4" xfId="24768" xr:uid="{00000000-0005-0000-0000-0000F0600000}"/>
    <cellStyle name="输入 2 4 3 2 4 2" xfId="46929" xr:uid="{00000000-0005-0000-0000-000081B70000}"/>
    <cellStyle name="输入 2 4 3 2 5" xfId="20124" xr:uid="{00000000-0005-0000-0000-0000CC4E0000}"/>
    <cellStyle name="输入 2 4 3 2 5 2" xfId="20126" xr:uid="{00000000-0005-0000-0000-0000CE4E0000}"/>
    <cellStyle name="输入 2 4 3 2 6" xfId="20129" xr:uid="{00000000-0005-0000-0000-0000D14E0000}"/>
    <cellStyle name="输入 2 4 3 2 7" xfId="20133" xr:uid="{00000000-0005-0000-0000-0000D54E0000}"/>
    <cellStyle name="输入 2 4 3 2 8" xfId="20137" xr:uid="{00000000-0005-0000-0000-0000D94E0000}"/>
    <cellStyle name="输入 2 4 3 2 9" xfId="20139" xr:uid="{00000000-0005-0000-0000-0000DB4E0000}"/>
    <cellStyle name="输入 2 4 3 3" xfId="41357" xr:uid="{00000000-0005-0000-0000-0000BDA10000}"/>
    <cellStyle name="输入 2 4 3 3 2" xfId="14208" xr:uid="{00000000-0005-0000-0000-0000B0370000}"/>
    <cellStyle name="输入 2 4 3 3 2 2" xfId="46930" xr:uid="{00000000-0005-0000-0000-000082B70000}"/>
    <cellStyle name="输入 2 4 3 3 3" xfId="46931" xr:uid="{00000000-0005-0000-0000-000083B70000}"/>
    <cellStyle name="输入 2 4 3 3 3 2" xfId="46932" xr:uid="{00000000-0005-0000-0000-000084B70000}"/>
    <cellStyle name="输入 2 4 3 3 4" xfId="14271" xr:uid="{00000000-0005-0000-0000-0000EF370000}"/>
    <cellStyle name="输入 2 4 3 3 4 2" xfId="46933" xr:uid="{00000000-0005-0000-0000-000085B70000}"/>
    <cellStyle name="输入 2 4 3 3 5" xfId="14275" xr:uid="{00000000-0005-0000-0000-0000F3370000}"/>
    <cellStyle name="输入 2 4 3 3 5 2" xfId="14280" xr:uid="{00000000-0005-0000-0000-0000F8370000}"/>
    <cellStyle name="输入 2 4 3 3 6" xfId="14290" xr:uid="{00000000-0005-0000-0000-000002380000}"/>
    <cellStyle name="输入 2 4 3 4" xfId="41360" xr:uid="{00000000-0005-0000-0000-0000C0A10000}"/>
    <cellStyle name="输入 2 4 3 4 2" xfId="4717" xr:uid="{00000000-0005-0000-0000-00009D120000}"/>
    <cellStyle name="输入 2 4 3 4 2 2" xfId="46934" xr:uid="{00000000-0005-0000-0000-000086B70000}"/>
    <cellStyle name="输入 2 4 3 4 3" xfId="46935" xr:uid="{00000000-0005-0000-0000-000087B70000}"/>
    <cellStyle name="输入 2 4 3 4 3 2" xfId="46936" xr:uid="{00000000-0005-0000-0000-000088B70000}"/>
    <cellStyle name="输入 2 4 3 4 4" xfId="4728" xr:uid="{00000000-0005-0000-0000-0000A8120000}"/>
    <cellStyle name="输入 2 4 3 4 4 2" xfId="46937" xr:uid="{00000000-0005-0000-0000-000089B70000}"/>
    <cellStyle name="输入 2 4 3 4 5" xfId="14439" xr:uid="{00000000-0005-0000-0000-000097380000}"/>
    <cellStyle name="输入 2 4 3 4 5 2" xfId="14443" xr:uid="{00000000-0005-0000-0000-00009B380000}"/>
    <cellStyle name="输入 2 4 3 4 6" xfId="14458" xr:uid="{00000000-0005-0000-0000-0000AA380000}"/>
    <cellStyle name="输入 2 4 3 5" xfId="11425" xr:uid="{00000000-0005-0000-0000-0000D12C0000}"/>
    <cellStyle name="输入 2 4 3 5 2" xfId="14518" xr:uid="{00000000-0005-0000-0000-0000E6380000}"/>
    <cellStyle name="输入 2 4 3 5 2 2" xfId="46938" xr:uid="{00000000-0005-0000-0000-00008AB70000}"/>
    <cellStyle name="输入 2 4 3 5 3" xfId="46939" xr:uid="{00000000-0005-0000-0000-00008BB70000}"/>
    <cellStyle name="输入 2 4 3 5 3 2" xfId="46940" xr:uid="{00000000-0005-0000-0000-00008CB70000}"/>
    <cellStyle name="输入 2 4 3 5 4" xfId="46941" xr:uid="{00000000-0005-0000-0000-00008DB70000}"/>
    <cellStyle name="输入 2 4 3 5 4 2" xfId="46942" xr:uid="{00000000-0005-0000-0000-00008EB70000}"/>
    <cellStyle name="输入 2 4 3 5 5" xfId="14608" xr:uid="{00000000-0005-0000-0000-000040390000}"/>
    <cellStyle name="输入 2 4 3 5 5 2" xfId="14612" xr:uid="{00000000-0005-0000-0000-000044390000}"/>
    <cellStyle name="输入 2 4 3 5 6" xfId="14625" xr:uid="{00000000-0005-0000-0000-000051390000}"/>
    <cellStyle name="输入 2 4 3 6" xfId="41363" xr:uid="{00000000-0005-0000-0000-0000C3A10000}"/>
    <cellStyle name="输入 2 4 3 6 2" xfId="46943" xr:uid="{00000000-0005-0000-0000-00008FB70000}"/>
    <cellStyle name="输入 2 4 3 6 2 2" xfId="46944" xr:uid="{00000000-0005-0000-0000-000090B70000}"/>
    <cellStyle name="输入 2 4 3 6 3" xfId="14714" xr:uid="{00000000-0005-0000-0000-0000AA390000}"/>
    <cellStyle name="输入 2 4 3 6 3 2" xfId="46945" xr:uid="{00000000-0005-0000-0000-000091B70000}"/>
    <cellStyle name="输入 2 4 3 6 4" xfId="46946" xr:uid="{00000000-0005-0000-0000-000092B70000}"/>
    <cellStyle name="输入 2 4 3 6 4 2" xfId="46947" xr:uid="{00000000-0005-0000-0000-000093B70000}"/>
    <cellStyle name="输入 2 4 3 6 5" xfId="14750" xr:uid="{00000000-0005-0000-0000-0000CE390000}"/>
    <cellStyle name="输入 2 4 3 6 5 2" xfId="14753" xr:uid="{00000000-0005-0000-0000-0000D1390000}"/>
    <cellStyle name="输入 2 4 3 6 6" xfId="14766" xr:uid="{00000000-0005-0000-0000-0000DE390000}"/>
    <cellStyle name="输入 2 4 3 7" xfId="41365" xr:uid="{00000000-0005-0000-0000-0000C5A10000}"/>
    <cellStyle name="输入 2 4 3 7 2" xfId="46948" xr:uid="{00000000-0005-0000-0000-000094B70000}"/>
    <cellStyle name="输入 2 4 3 7 2 2" xfId="45482" xr:uid="{00000000-0005-0000-0000-0000DAB10000}"/>
    <cellStyle name="输入 2 4 3 7 3" xfId="14880" xr:uid="{00000000-0005-0000-0000-0000503A0000}"/>
    <cellStyle name="输入 2 4 3 7 3 2" xfId="45492" xr:uid="{00000000-0005-0000-0000-0000E4B10000}"/>
    <cellStyle name="输入 2 4 3 7 4" xfId="46949" xr:uid="{00000000-0005-0000-0000-000095B70000}"/>
    <cellStyle name="输入 2 4 3 7 4 2" xfId="46950" xr:uid="{00000000-0005-0000-0000-000096B70000}"/>
    <cellStyle name="输入 2 4 3 7 5" xfId="14921" xr:uid="{00000000-0005-0000-0000-0000793A0000}"/>
    <cellStyle name="输入 2 4 3 7 5 2" xfId="46951" xr:uid="{00000000-0005-0000-0000-000097B70000}"/>
    <cellStyle name="输入 2 4 3 7 6" xfId="46952" xr:uid="{00000000-0005-0000-0000-000098B70000}"/>
    <cellStyle name="输入 2 4 3 8" xfId="41367" xr:uid="{00000000-0005-0000-0000-0000C7A10000}"/>
    <cellStyle name="输入 2 4 3 8 2" xfId="46953" xr:uid="{00000000-0005-0000-0000-000099B70000}"/>
    <cellStyle name="输入 2 4 3 8 2 2" xfId="45531" xr:uid="{00000000-0005-0000-0000-00000BB20000}"/>
    <cellStyle name="输入 2 4 3 8 3" xfId="14648" xr:uid="{00000000-0005-0000-0000-000068390000}"/>
    <cellStyle name="输入 2 4 3 8 3 2" xfId="45538" xr:uid="{00000000-0005-0000-0000-000012B20000}"/>
    <cellStyle name="输入 2 4 3 8 4" xfId="46954" xr:uid="{00000000-0005-0000-0000-00009AB70000}"/>
    <cellStyle name="输入 2 4 3 8 4 2" xfId="46955" xr:uid="{00000000-0005-0000-0000-00009BB70000}"/>
    <cellStyle name="输入 2 4 3 8 5" xfId="46956" xr:uid="{00000000-0005-0000-0000-00009CB70000}"/>
    <cellStyle name="输入 2 4 3 9" xfId="41370" xr:uid="{00000000-0005-0000-0000-0000CAA10000}"/>
    <cellStyle name="输入 2 4 3 9 2" xfId="46957" xr:uid="{00000000-0005-0000-0000-00009DB70000}"/>
    <cellStyle name="输入 2 4 4" xfId="46958" xr:uid="{00000000-0005-0000-0000-00009EB70000}"/>
    <cellStyle name="输入 2 4 4 10" xfId="46959" xr:uid="{00000000-0005-0000-0000-00009FB70000}"/>
    <cellStyle name="输入 2 4 4 10 2" xfId="46960" xr:uid="{00000000-0005-0000-0000-0000A0B70000}"/>
    <cellStyle name="输入 2 4 4 11" xfId="7880" xr:uid="{00000000-0005-0000-0000-0000F81E0000}"/>
    <cellStyle name="输入 2 4 4 11 2" xfId="46961" xr:uid="{00000000-0005-0000-0000-0000A1B70000}"/>
    <cellStyle name="输入 2 4 4 12" xfId="46962" xr:uid="{00000000-0005-0000-0000-0000A2B70000}"/>
    <cellStyle name="输入 2 4 4 12 2" xfId="46963" xr:uid="{00000000-0005-0000-0000-0000A3B70000}"/>
    <cellStyle name="输入 2 4 4 13" xfId="11078" xr:uid="{00000000-0005-0000-0000-0000762B0000}"/>
    <cellStyle name="输入 2 4 4 14" xfId="46964" xr:uid="{00000000-0005-0000-0000-0000A4B70000}"/>
    <cellStyle name="输入 2 4 4 15" xfId="46965" xr:uid="{00000000-0005-0000-0000-0000A5B70000}"/>
    <cellStyle name="输入 2 4 4 16" xfId="46966" xr:uid="{00000000-0005-0000-0000-0000A6B70000}"/>
    <cellStyle name="输入 2 4 4 2" xfId="46967" xr:uid="{00000000-0005-0000-0000-0000A7B70000}"/>
    <cellStyle name="输入 2 4 4 2 2" xfId="46969" xr:uid="{00000000-0005-0000-0000-0000A9B70000}"/>
    <cellStyle name="输入 2 4 4 2 2 2" xfId="46971" xr:uid="{00000000-0005-0000-0000-0000ABB70000}"/>
    <cellStyle name="输入 2 4 4 2 3" xfId="46972" xr:uid="{00000000-0005-0000-0000-0000ACB70000}"/>
    <cellStyle name="输入 2 4 4 2 3 2" xfId="46973" xr:uid="{00000000-0005-0000-0000-0000ADB70000}"/>
    <cellStyle name="输入 2 4 4 2 4" xfId="24777" xr:uid="{00000000-0005-0000-0000-0000F9600000}"/>
    <cellStyle name="输入 2 4 4 2 4 2" xfId="46974" xr:uid="{00000000-0005-0000-0000-0000AEB70000}"/>
    <cellStyle name="输入 2 4 4 2 5" xfId="20185" xr:uid="{00000000-0005-0000-0000-0000094F0000}"/>
    <cellStyle name="输入 2 4 4 2 5 2" xfId="20188" xr:uid="{00000000-0005-0000-0000-00000C4F0000}"/>
    <cellStyle name="输入 2 4 4 2 6" xfId="20190" xr:uid="{00000000-0005-0000-0000-00000E4F0000}"/>
    <cellStyle name="输入 2 4 4 2 7" xfId="20195" xr:uid="{00000000-0005-0000-0000-0000134F0000}"/>
    <cellStyle name="输入 2 4 4 2 8" xfId="20200" xr:uid="{00000000-0005-0000-0000-0000184F0000}"/>
    <cellStyle name="输入 2 4 4 2 9" xfId="20206" xr:uid="{00000000-0005-0000-0000-00001E4F0000}"/>
    <cellStyle name="输入 2 4 4 3" xfId="46975" xr:uid="{00000000-0005-0000-0000-0000AFB70000}"/>
    <cellStyle name="输入 2 4 4 3 2" xfId="46977" xr:uid="{00000000-0005-0000-0000-0000B1B70000}"/>
    <cellStyle name="输入 2 4 4 3 2 2" xfId="46979" xr:uid="{00000000-0005-0000-0000-0000B3B70000}"/>
    <cellStyle name="输入 2 4 4 3 3" xfId="46980" xr:uid="{00000000-0005-0000-0000-0000B4B70000}"/>
    <cellStyle name="输入 2 4 4 3 3 2" xfId="46981" xr:uid="{00000000-0005-0000-0000-0000B5B70000}"/>
    <cellStyle name="输入 2 4 4 3 4" xfId="15254" xr:uid="{00000000-0005-0000-0000-0000C63B0000}"/>
    <cellStyle name="输入 2 4 4 3 4 2" xfId="46982" xr:uid="{00000000-0005-0000-0000-0000B6B70000}"/>
    <cellStyle name="输入 2 4 4 3 5" xfId="15262" xr:uid="{00000000-0005-0000-0000-0000CE3B0000}"/>
    <cellStyle name="输入 2 4 4 3 5 2" xfId="16157" xr:uid="{00000000-0005-0000-0000-00004D3F0000}"/>
    <cellStyle name="输入 2 4 4 3 6" xfId="15267" xr:uid="{00000000-0005-0000-0000-0000D33B0000}"/>
    <cellStyle name="输入 2 4 4 4" xfId="46983" xr:uid="{00000000-0005-0000-0000-0000B7B70000}"/>
    <cellStyle name="输入 2 4 4 4 2" xfId="46985" xr:uid="{00000000-0005-0000-0000-0000B9B70000}"/>
    <cellStyle name="输入 2 4 4 4 2 2" xfId="46986" xr:uid="{00000000-0005-0000-0000-0000BAB70000}"/>
    <cellStyle name="输入 2 4 4 4 3" xfId="46987" xr:uid="{00000000-0005-0000-0000-0000BBB70000}"/>
    <cellStyle name="输入 2 4 4 4 3 2" xfId="46988" xr:uid="{00000000-0005-0000-0000-0000BCB70000}"/>
    <cellStyle name="输入 2 4 4 4 4" xfId="16287" xr:uid="{00000000-0005-0000-0000-0000CF3F0000}"/>
    <cellStyle name="输入 2 4 4 4 4 2" xfId="46989" xr:uid="{00000000-0005-0000-0000-0000BDB70000}"/>
    <cellStyle name="输入 2 4 4 4 5" xfId="16309" xr:uid="{00000000-0005-0000-0000-0000E53F0000}"/>
    <cellStyle name="输入 2 4 4 4 5 2" xfId="16311" xr:uid="{00000000-0005-0000-0000-0000E73F0000}"/>
    <cellStyle name="输入 2 4 4 4 6" xfId="16320" xr:uid="{00000000-0005-0000-0000-0000F03F0000}"/>
    <cellStyle name="输入 2 4 4 5" xfId="46990" xr:uid="{00000000-0005-0000-0000-0000BEB70000}"/>
    <cellStyle name="输入 2 4 4 5 2" xfId="46991" xr:uid="{00000000-0005-0000-0000-0000BFB70000}"/>
    <cellStyle name="输入 2 4 4 5 2 2" xfId="46992" xr:uid="{00000000-0005-0000-0000-0000C0B70000}"/>
    <cellStyle name="输入 2 4 4 5 3" xfId="46993" xr:uid="{00000000-0005-0000-0000-0000C1B70000}"/>
    <cellStyle name="输入 2 4 4 5 3 2" xfId="46994" xr:uid="{00000000-0005-0000-0000-0000C2B70000}"/>
    <cellStyle name="输入 2 4 4 5 4" xfId="46995" xr:uid="{00000000-0005-0000-0000-0000C3B70000}"/>
    <cellStyle name="输入 2 4 4 5 4 2" xfId="46997" xr:uid="{00000000-0005-0000-0000-0000C5B70000}"/>
    <cellStyle name="输入 2 4 4 5 5" xfId="1798" xr:uid="{00000000-0005-0000-0000-000036070000}"/>
    <cellStyle name="输入 2 4 4 5 5 2" xfId="2077" xr:uid="{00000000-0005-0000-0000-00004D080000}"/>
    <cellStyle name="输入 2 4 4 5 6" xfId="16470" xr:uid="{00000000-0005-0000-0000-000086400000}"/>
    <cellStyle name="输入 2 4 4 6" xfId="46998" xr:uid="{00000000-0005-0000-0000-0000C6B70000}"/>
    <cellStyle name="输入 2 4 4 6 2" xfId="46999" xr:uid="{00000000-0005-0000-0000-0000C7B70000}"/>
    <cellStyle name="输入 2 4 4 6 2 2" xfId="47000" xr:uid="{00000000-0005-0000-0000-0000C8B70000}"/>
    <cellStyle name="输入 2 4 4 6 3" xfId="16592" xr:uid="{00000000-0005-0000-0000-000000410000}"/>
    <cellStyle name="输入 2 4 4 6 3 2" xfId="47001" xr:uid="{00000000-0005-0000-0000-0000C9B70000}"/>
    <cellStyle name="输入 2 4 4 6 4" xfId="47002" xr:uid="{00000000-0005-0000-0000-0000CAB70000}"/>
    <cellStyle name="输入 2 4 4 6 4 2" xfId="47003" xr:uid="{00000000-0005-0000-0000-0000CBB70000}"/>
    <cellStyle name="输入 2 4 4 6 5" xfId="15633" xr:uid="{00000000-0005-0000-0000-0000413D0000}"/>
    <cellStyle name="输入 2 4 4 6 5 2" xfId="16628" xr:uid="{00000000-0005-0000-0000-000024410000}"/>
    <cellStyle name="输入 2 4 4 6 6" xfId="3672" xr:uid="{00000000-0005-0000-0000-0000880E0000}"/>
    <cellStyle name="输入 2 4 4 7" xfId="47004" xr:uid="{00000000-0005-0000-0000-0000CCB70000}"/>
    <cellStyle name="输入 2 4 4 7 2" xfId="47005" xr:uid="{00000000-0005-0000-0000-0000CDB70000}"/>
    <cellStyle name="输入 2 4 4 7 2 2" xfId="47006" xr:uid="{00000000-0005-0000-0000-0000CEB70000}"/>
    <cellStyle name="输入 2 4 4 7 3" xfId="16691" xr:uid="{00000000-0005-0000-0000-000063410000}"/>
    <cellStyle name="输入 2 4 4 7 3 2" xfId="47007" xr:uid="{00000000-0005-0000-0000-0000CFB70000}"/>
    <cellStyle name="输入 2 4 4 7 4" xfId="47008" xr:uid="{00000000-0005-0000-0000-0000D0B70000}"/>
    <cellStyle name="输入 2 4 4 7 4 2" xfId="47009" xr:uid="{00000000-0005-0000-0000-0000D1B70000}"/>
    <cellStyle name="输入 2 4 4 7 5" xfId="2111" xr:uid="{00000000-0005-0000-0000-00006F080000}"/>
    <cellStyle name="输入 2 4 4 7 5 2" xfId="47010" xr:uid="{00000000-0005-0000-0000-0000D2B70000}"/>
    <cellStyle name="输入 2 4 4 7 6" xfId="47011" xr:uid="{00000000-0005-0000-0000-0000D3B70000}"/>
    <cellStyle name="输入 2 4 4 8" xfId="47012" xr:uid="{00000000-0005-0000-0000-0000D4B70000}"/>
    <cellStyle name="输入 2 4 4 8 2" xfId="47014" xr:uid="{00000000-0005-0000-0000-0000D6B70000}"/>
    <cellStyle name="输入 2 4 4 8 2 2" xfId="47015" xr:uid="{00000000-0005-0000-0000-0000D7B70000}"/>
    <cellStyle name="输入 2 4 4 8 3" xfId="16838" xr:uid="{00000000-0005-0000-0000-0000F6410000}"/>
    <cellStyle name="输入 2 4 4 8 3 2" xfId="47016" xr:uid="{00000000-0005-0000-0000-0000D8B70000}"/>
    <cellStyle name="输入 2 4 4 8 4" xfId="47017" xr:uid="{00000000-0005-0000-0000-0000D9B70000}"/>
    <cellStyle name="输入 2 4 4 8 4 2" xfId="47018" xr:uid="{00000000-0005-0000-0000-0000DAB70000}"/>
    <cellStyle name="输入 2 4 4 8 5" xfId="15639" xr:uid="{00000000-0005-0000-0000-0000473D0000}"/>
    <cellStyle name="输入 2 4 4 9" xfId="47019" xr:uid="{00000000-0005-0000-0000-0000DBB70000}"/>
    <cellStyle name="输入 2 4 4 9 2" xfId="47020" xr:uid="{00000000-0005-0000-0000-0000DCB70000}"/>
    <cellStyle name="输入 2 4 5" xfId="47021" xr:uid="{00000000-0005-0000-0000-0000DDB70000}"/>
    <cellStyle name="输入 2 4 5 10" xfId="32522" xr:uid="{00000000-0005-0000-0000-00003A7F0000}"/>
    <cellStyle name="输入 2 4 5 10 2" xfId="7846" xr:uid="{00000000-0005-0000-0000-0000D61E0000}"/>
    <cellStyle name="输入 2 4 5 11" xfId="47022" xr:uid="{00000000-0005-0000-0000-0000DEB70000}"/>
    <cellStyle name="输入 2 4 5 11 2" xfId="7866" xr:uid="{00000000-0005-0000-0000-0000EA1E0000}"/>
    <cellStyle name="输入 2 4 5 12" xfId="47023" xr:uid="{00000000-0005-0000-0000-0000DFB70000}"/>
    <cellStyle name="输入 2 4 5 12 2" xfId="7917" xr:uid="{00000000-0005-0000-0000-00001D1F0000}"/>
    <cellStyle name="输入 2 4 5 13" xfId="47024" xr:uid="{00000000-0005-0000-0000-0000E0B70000}"/>
    <cellStyle name="输入 2 4 5 14" xfId="47025" xr:uid="{00000000-0005-0000-0000-0000E1B70000}"/>
    <cellStyle name="输入 2 4 5 15" xfId="47026" xr:uid="{00000000-0005-0000-0000-0000E2B70000}"/>
    <cellStyle name="输入 2 4 5 16" xfId="47027" xr:uid="{00000000-0005-0000-0000-0000E3B70000}"/>
    <cellStyle name="输入 2 4 5 2" xfId="47028" xr:uid="{00000000-0005-0000-0000-0000E4B70000}"/>
    <cellStyle name="输入 2 4 5 2 2" xfId="19363" xr:uid="{00000000-0005-0000-0000-0000D34B0000}"/>
    <cellStyle name="输入 2 4 5 2 2 2" xfId="41168" xr:uid="{00000000-0005-0000-0000-000000A10000}"/>
    <cellStyle name="输入 2 4 5 2 3" xfId="41174" xr:uid="{00000000-0005-0000-0000-000006A10000}"/>
    <cellStyle name="输入 2 4 5 2 3 2" xfId="34314" xr:uid="{00000000-0005-0000-0000-00003A860000}"/>
    <cellStyle name="输入 2 4 5 2 4" xfId="19373" xr:uid="{00000000-0005-0000-0000-0000DD4B0000}"/>
    <cellStyle name="输入 2 4 5 2 4 2" xfId="34356" xr:uid="{00000000-0005-0000-0000-000064860000}"/>
    <cellStyle name="输入 2 4 5 2 5" xfId="17054" xr:uid="{00000000-0005-0000-0000-0000CE420000}"/>
    <cellStyle name="输入 2 4 5 2 5 2" xfId="34396" xr:uid="{00000000-0005-0000-0000-00008C860000}"/>
    <cellStyle name="输入 2 4 5 2 6" xfId="44691" xr:uid="{00000000-0005-0000-0000-0000C3AE0000}"/>
    <cellStyle name="输入 2 4 5 2 7" xfId="47029" xr:uid="{00000000-0005-0000-0000-0000E5B70000}"/>
    <cellStyle name="输入 2 4 5 2 8" xfId="47030" xr:uid="{00000000-0005-0000-0000-0000E6B70000}"/>
    <cellStyle name="输入 2 4 5 2 9" xfId="47031" xr:uid="{00000000-0005-0000-0000-0000E7B70000}"/>
    <cellStyle name="输入 2 4 5 3" xfId="47032" xr:uid="{00000000-0005-0000-0000-0000E8B70000}"/>
    <cellStyle name="输入 2 4 5 3 2" xfId="17686" xr:uid="{00000000-0005-0000-0000-000046450000}"/>
    <cellStyle name="输入 2 4 5 3 2 2" xfId="47033" xr:uid="{00000000-0005-0000-0000-0000E9B70000}"/>
    <cellStyle name="输入 2 4 5 3 3" xfId="17700" xr:uid="{00000000-0005-0000-0000-000054450000}"/>
    <cellStyle name="输入 2 4 5 3 3 2" xfId="13747" xr:uid="{00000000-0005-0000-0000-0000E3350000}"/>
    <cellStyle name="输入 2 4 5 3 4" xfId="17721" xr:uid="{00000000-0005-0000-0000-000069450000}"/>
    <cellStyle name="输入 2 4 5 3 4 2" xfId="17729" xr:uid="{00000000-0005-0000-0000-000071450000}"/>
    <cellStyle name="输入 2 4 5 3 5" xfId="17748" xr:uid="{00000000-0005-0000-0000-000084450000}"/>
    <cellStyle name="输入 2 4 5 3 5 2" xfId="17753" xr:uid="{00000000-0005-0000-0000-000089450000}"/>
    <cellStyle name="输入 2 4 5 3 6" xfId="13202" xr:uid="{00000000-0005-0000-0000-0000C2330000}"/>
    <cellStyle name="输入 2 4 5 4" xfId="47034" xr:uid="{00000000-0005-0000-0000-0000EAB70000}"/>
    <cellStyle name="输入 2 4 5 4 2" xfId="47035" xr:uid="{00000000-0005-0000-0000-0000EBB70000}"/>
    <cellStyle name="输入 2 4 5 4 2 2" xfId="47036" xr:uid="{00000000-0005-0000-0000-0000ECB70000}"/>
    <cellStyle name="输入 2 4 5 4 3" xfId="17881" xr:uid="{00000000-0005-0000-0000-000009460000}"/>
    <cellStyle name="输入 2 4 5 4 3 2" xfId="116" xr:uid="{00000000-0005-0000-0000-00007E000000}"/>
    <cellStyle name="输入 2 4 5 4 4" xfId="17908" xr:uid="{00000000-0005-0000-0000-000024460000}"/>
    <cellStyle name="输入 2 4 5 4 4 2" xfId="17917" xr:uid="{00000000-0005-0000-0000-00002D460000}"/>
    <cellStyle name="输入 2 4 5 4 5" xfId="47037" xr:uid="{00000000-0005-0000-0000-0000EDB70000}"/>
    <cellStyle name="输入 2 4 5 4 5 2" xfId="17933" xr:uid="{00000000-0005-0000-0000-00003D460000}"/>
    <cellStyle name="输入 2 4 5 4 6" xfId="47038" xr:uid="{00000000-0005-0000-0000-0000EEB70000}"/>
    <cellStyle name="输入 2 4 5 5" xfId="47039" xr:uid="{00000000-0005-0000-0000-0000EFB70000}"/>
    <cellStyle name="输入 2 4 5 5 2" xfId="47040" xr:uid="{00000000-0005-0000-0000-0000F0B70000}"/>
    <cellStyle name="输入 2 4 5 5 2 2" xfId="47041" xr:uid="{00000000-0005-0000-0000-0000F1B70000}"/>
    <cellStyle name="输入 2 4 5 5 3" xfId="18081" xr:uid="{00000000-0005-0000-0000-0000D1460000}"/>
    <cellStyle name="输入 2 4 5 5 3 2" xfId="18093" xr:uid="{00000000-0005-0000-0000-0000DD460000}"/>
    <cellStyle name="输入 2 4 5 5 4" xfId="43228" xr:uid="{00000000-0005-0000-0000-00000CA90000}"/>
    <cellStyle name="输入 2 4 5 5 4 2" xfId="18135" xr:uid="{00000000-0005-0000-0000-000007470000}"/>
    <cellStyle name="输入 2 4 5 5 5" xfId="15644" xr:uid="{00000000-0005-0000-0000-00004C3D0000}"/>
    <cellStyle name="输入 2 4 5 5 5 2" xfId="18177" xr:uid="{00000000-0005-0000-0000-000031470000}"/>
    <cellStyle name="输入 2 4 5 5 6" xfId="47042" xr:uid="{00000000-0005-0000-0000-0000F2B70000}"/>
    <cellStyle name="输入 2 4 5 6" xfId="47043" xr:uid="{00000000-0005-0000-0000-0000F3B70000}"/>
    <cellStyle name="输入 2 4 5 6 2" xfId="47044" xr:uid="{00000000-0005-0000-0000-0000F4B70000}"/>
    <cellStyle name="输入 2 4 5 6 2 2" xfId="47045" xr:uid="{00000000-0005-0000-0000-0000F5B70000}"/>
    <cellStyle name="输入 2 4 5 6 3" xfId="18354" xr:uid="{00000000-0005-0000-0000-0000E2470000}"/>
    <cellStyle name="输入 2 4 5 6 3 2" xfId="18371" xr:uid="{00000000-0005-0000-0000-0000F3470000}"/>
    <cellStyle name="输入 2 4 5 6 4" xfId="43233" xr:uid="{00000000-0005-0000-0000-000011A90000}"/>
    <cellStyle name="输入 2 4 5 6 4 2" xfId="18429" xr:uid="{00000000-0005-0000-0000-00002D480000}"/>
    <cellStyle name="输入 2 4 5 6 5" xfId="15653" xr:uid="{00000000-0005-0000-0000-0000553D0000}"/>
    <cellStyle name="输入 2 4 5 6 5 2" xfId="18477" xr:uid="{00000000-0005-0000-0000-00005D480000}"/>
    <cellStyle name="输入 2 4 5 6 6" xfId="47046" xr:uid="{00000000-0005-0000-0000-0000F6B70000}"/>
    <cellStyle name="输入 2 4 5 7" xfId="47047" xr:uid="{00000000-0005-0000-0000-0000F7B70000}"/>
    <cellStyle name="输入 2 4 5 7 2" xfId="47048" xr:uid="{00000000-0005-0000-0000-0000F8B70000}"/>
    <cellStyle name="输入 2 4 5 7 2 2" xfId="18628" xr:uid="{00000000-0005-0000-0000-0000F4480000}"/>
    <cellStyle name="输入 2 4 5 7 3" xfId="18682" xr:uid="{00000000-0005-0000-0000-00002A490000}"/>
    <cellStyle name="输入 2 4 5 7 3 2" xfId="18692" xr:uid="{00000000-0005-0000-0000-000034490000}"/>
    <cellStyle name="输入 2 4 5 7 4" xfId="43238" xr:uid="{00000000-0005-0000-0000-000016A90000}"/>
    <cellStyle name="输入 2 4 5 7 4 2" xfId="18750" xr:uid="{00000000-0005-0000-0000-00006E490000}"/>
    <cellStyle name="输入 2 4 5 7 5" xfId="15661" xr:uid="{00000000-0005-0000-0000-00005D3D0000}"/>
    <cellStyle name="输入 2 4 5 7 5 2" xfId="18798" xr:uid="{00000000-0005-0000-0000-00009E490000}"/>
    <cellStyle name="输入 2 4 5 7 6" xfId="47049" xr:uid="{00000000-0005-0000-0000-0000F9B70000}"/>
    <cellStyle name="输入 2 4 5 8" xfId="47050" xr:uid="{00000000-0005-0000-0000-0000FAB70000}"/>
    <cellStyle name="输入 2 4 5 8 2" xfId="47052" xr:uid="{00000000-0005-0000-0000-0000FCB70000}"/>
    <cellStyle name="输入 2 4 5 8 2 2" xfId="47053" xr:uid="{00000000-0005-0000-0000-0000FDB70000}"/>
    <cellStyle name="输入 2 4 5 8 3" xfId="18874" xr:uid="{00000000-0005-0000-0000-0000EA490000}"/>
    <cellStyle name="输入 2 4 5 8 3 2" xfId="1706" xr:uid="{00000000-0005-0000-0000-0000DA060000}"/>
    <cellStyle name="输入 2 4 5 8 4" xfId="1243" xr:uid="{00000000-0005-0000-0000-00000B050000}"/>
    <cellStyle name="输入 2 4 5 8 4 2" xfId="18892" xr:uid="{00000000-0005-0000-0000-0000FC490000}"/>
    <cellStyle name="输入 2 4 5 8 5" xfId="15666" xr:uid="{00000000-0005-0000-0000-0000623D0000}"/>
    <cellStyle name="输入 2 4 5 9" xfId="38188" xr:uid="{00000000-0005-0000-0000-00005C950000}"/>
    <cellStyle name="输入 2 4 5 9 2" xfId="47054" xr:uid="{00000000-0005-0000-0000-0000FEB70000}"/>
    <cellStyle name="输入 2 4 6" xfId="47055" xr:uid="{00000000-0005-0000-0000-0000FFB70000}"/>
    <cellStyle name="输入 2 4 6 10" xfId="47056" xr:uid="{00000000-0005-0000-0000-000000B80000}"/>
    <cellStyle name="输入 2 4 6 10 2" xfId="9016" xr:uid="{00000000-0005-0000-0000-000068230000}"/>
    <cellStyle name="输入 2 4 6 11" xfId="47058" xr:uid="{00000000-0005-0000-0000-000002B80000}"/>
    <cellStyle name="输入 2 4 6 11 2" xfId="9074" xr:uid="{00000000-0005-0000-0000-0000A2230000}"/>
    <cellStyle name="输入 2 4 6 12" xfId="33271" xr:uid="{00000000-0005-0000-0000-000027820000}"/>
    <cellStyle name="输入 2 4 6 12 2" xfId="9133" xr:uid="{00000000-0005-0000-0000-0000DD230000}"/>
    <cellStyle name="输入 2 4 6 13" xfId="47060" xr:uid="{00000000-0005-0000-0000-000004B80000}"/>
    <cellStyle name="输入 2 4 6 14" xfId="47061" xr:uid="{00000000-0005-0000-0000-000005B80000}"/>
    <cellStyle name="输入 2 4 6 15" xfId="47062" xr:uid="{00000000-0005-0000-0000-000006B80000}"/>
    <cellStyle name="输入 2 4 6 16" xfId="9987" xr:uid="{00000000-0005-0000-0000-000033270000}"/>
    <cellStyle name="输入 2 4 6 2" xfId="47063" xr:uid="{00000000-0005-0000-0000-000007B80000}"/>
    <cellStyle name="输入 2 4 6 2 2" xfId="47064" xr:uid="{00000000-0005-0000-0000-000008B80000}"/>
    <cellStyle name="输入 2 4 6 2 2 2" xfId="30730" xr:uid="{00000000-0005-0000-0000-00003A780000}"/>
    <cellStyle name="输入 2 4 6 2 3" xfId="47065" xr:uid="{00000000-0005-0000-0000-000009B80000}"/>
    <cellStyle name="输入 2 4 6 2 3 2" xfId="30752" xr:uid="{00000000-0005-0000-0000-000050780000}"/>
    <cellStyle name="输入 2 4 6 2 4" xfId="24803" xr:uid="{00000000-0005-0000-0000-000013610000}"/>
    <cellStyle name="输入 2 4 6 2 4 2" xfId="47066" xr:uid="{00000000-0005-0000-0000-00000AB80000}"/>
    <cellStyle name="输入 2 4 6 2 5" xfId="17084" xr:uid="{00000000-0005-0000-0000-0000EC420000}"/>
    <cellStyle name="输入 2 4 6 2 5 2" xfId="47067" xr:uid="{00000000-0005-0000-0000-00000BB80000}"/>
    <cellStyle name="输入 2 4 6 2 6" xfId="44701" xr:uid="{00000000-0005-0000-0000-0000CDAE0000}"/>
    <cellStyle name="输入 2 4 6 2 7" xfId="47068" xr:uid="{00000000-0005-0000-0000-00000CB80000}"/>
    <cellStyle name="输入 2 4 6 2 8" xfId="47069" xr:uid="{00000000-0005-0000-0000-00000DB80000}"/>
    <cellStyle name="输入 2 4 6 2 9" xfId="47071" xr:uid="{00000000-0005-0000-0000-00000FB80000}"/>
    <cellStyle name="输入 2 4 6 3" xfId="47072" xr:uid="{00000000-0005-0000-0000-000010B80000}"/>
    <cellStyle name="输入 2 4 6 3 2" xfId="47073" xr:uid="{00000000-0005-0000-0000-000011B80000}"/>
    <cellStyle name="输入 2 4 6 3 2 2" xfId="47074" xr:uid="{00000000-0005-0000-0000-000012B80000}"/>
    <cellStyle name="输入 2 4 6 3 3" xfId="47075" xr:uid="{00000000-0005-0000-0000-000013B80000}"/>
    <cellStyle name="输入 2 4 6 3 3 2" xfId="47076" xr:uid="{00000000-0005-0000-0000-000014B80000}"/>
    <cellStyle name="输入 2 4 6 3 4" xfId="19568" xr:uid="{00000000-0005-0000-0000-0000A04C0000}"/>
    <cellStyle name="输入 2 4 6 3 4 2" xfId="19575" xr:uid="{00000000-0005-0000-0000-0000A74C0000}"/>
    <cellStyle name="输入 2 4 6 3 5" xfId="19588" xr:uid="{00000000-0005-0000-0000-0000B44C0000}"/>
    <cellStyle name="输入 2 4 6 3 5 2" xfId="19593" xr:uid="{00000000-0005-0000-0000-0000B94C0000}"/>
    <cellStyle name="输入 2 4 6 3 6" xfId="13216" xr:uid="{00000000-0005-0000-0000-0000D0330000}"/>
    <cellStyle name="输入 2 4 6 4" xfId="47077" xr:uid="{00000000-0005-0000-0000-000015B80000}"/>
    <cellStyle name="输入 2 4 6 4 2" xfId="47078" xr:uid="{00000000-0005-0000-0000-000016B80000}"/>
    <cellStyle name="输入 2 4 6 4 2 2" xfId="47079" xr:uid="{00000000-0005-0000-0000-000017B80000}"/>
    <cellStyle name="输入 2 4 6 4 3" xfId="19680" xr:uid="{00000000-0005-0000-0000-0000104D0000}"/>
    <cellStyle name="输入 2 4 6 4 3 2" xfId="47080" xr:uid="{00000000-0005-0000-0000-000018B80000}"/>
    <cellStyle name="输入 2 4 6 4 4" xfId="19703" xr:uid="{00000000-0005-0000-0000-0000274D0000}"/>
    <cellStyle name="输入 2 4 6 4 4 2" xfId="47081" xr:uid="{00000000-0005-0000-0000-000019B80000}"/>
    <cellStyle name="输入 2 4 6 4 5" xfId="47082" xr:uid="{00000000-0005-0000-0000-00001AB80000}"/>
    <cellStyle name="输入 2 4 6 4 5 2" xfId="47083" xr:uid="{00000000-0005-0000-0000-00001BB80000}"/>
    <cellStyle name="输入 2 4 6 4 6" xfId="47084" xr:uid="{00000000-0005-0000-0000-00001CB80000}"/>
    <cellStyle name="输入 2 4 6 5" xfId="47085" xr:uid="{00000000-0005-0000-0000-00001DB80000}"/>
    <cellStyle name="输入 2 4 6 5 2" xfId="47086" xr:uid="{00000000-0005-0000-0000-00001EB80000}"/>
    <cellStyle name="输入 2 4 6 5 2 2" xfId="47087" xr:uid="{00000000-0005-0000-0000-00001FB80000}"/>
    <cellStyle name="输入 2 4 6 5 3" xfId="19806" xr:uid="{00000000-0005-0000-0000-00008E4D0000}"/>
    <cellStyle name="输入 2 4 6 5 3 2" xfId="47088" xr:uid="{00000000-0005-0000-0000-000020B80000}"/>
    <cellStyle name="输入 2 4 6 5 4" xfId="47089" xr:uid="{00000000-0005-0000-0000-000021B80000}"/>
    <cellStyle name="输入 2 4 6 5 4 2" xfId="47091" xr:uid="{00000000-0005-0000-0000-000023B80000}"/>
    <cellStyle name="输入 2 4 6 5 5" xfId="15677" xr:uid="{00000000-0005-0000-0000-00006D3D0000}"/>
    <cellStyle name="输入 2 4 6 5 5 2" xfId="47092" xr:uid="{00000000-0005-0000-0000-000024B80000}"/>
    <cellStyle name="输入 2 4 6 5 6" xfId="47093" xr:uid="{00000000-0005-0000-0000-000025B80000}"/>
    <cellStyle name="输入 2 4 6 6" xfId="30030" xr:uid="{00000000-0005-0000-0000-00007E750000}"/>
    <cellStyle name="输入 2 4 6 6 2" xfId="47094" xr:uid="{00000000-0005-0000-0000-000026B80000}"/>
    <cellStyle name="输入 2 4 6 6 2 2" xfId="47095" xr:uid="{00000000-0005-0000-0000-000027B80000}"/>
    <cellStyle name="输入 2 4 6 6 3" xfId="19889" xr:uid="{00000000-0005-0000-0000-0000E14D0000}"/>
    <cellStyle name="输入 2 4 6 6 3 2" xfId="47096" xr:uid="{00000000-0005-0000-0000-000028B80000}"/>
    <cellStyle name="输入 2 4 6 6 4" xfId="47097" xr:uid="{00000000-0005-0000-0000-000029B80000}"/>
    <cellStyle name="输入 2 4 6 6 4 2" xfId="47098" xr:uid="{00000000-0005-0000-0000-00002AB80000}"/>
    <cellStyle name="输入 2 4 6 6 5" xfId="15690" xr:uid="{00000000-0005-0000-0000-00007A3D0000}"/>
    <cellStyle name="输入 2 4 6 6 5 2" xfId="47100" xr:uid="{00000000-0005-0000-0000-00002CB80000}"/>
    <cellStyle name="输入 2 4 6 6 6" xfId="47102" xr:uid="{00000000-0005-0000-0000-00002EB80000}"/>
    <cellStyle name="输入 2 4 6 7" xfId="47103" xr:uid="{00000000-0005-0000-0000-00002FB80000}"/>
    <cellStyle name="输入 2 4 6 7 2" xfId="47104" xr:uid="{00000000-0005-0000-0000-000030B80000}"/>
    <cellStyle name="输入 2 4 6 7 2 2" xfId="19953" xr:uid="{00000000-0005-0000-0000-0000214E0000}"/>
    <cellStyle name="输入 2 4 6 7 3" xfId="19973" xr:uid="{00000000-0005-0000-0000-0000354E0000}"/>
    <cellStyle name="输入 2 4 6 7 3 2" xfId="19979" xr:uid="{00000000-0005-0000-0000-00003B4E0000}"/>
    <cellStyle name="输入 2 4 6 7 4" xfId="43292" xr:uid="{00000000-0005-0000-0000-00004CA90000}"/>
    <cellStyle name="输入 2 4 6 7 4 2" xfId="19603" xr:uid="{00000000-0005-0000-0000-0000C34C0000}"/>
    <cellStyle name="输入 2 4 6 7 5" xfId="15704" xr:uid="{00000000-0005-0000-0000-0000883D0000}"/>
    <cellStyle name="输入 2 4 6 7 5 2" xfId="47105" xr:uid="{00000000-0005-0000-0000-000031B80000}"/>
    <cellStyle name="输入 2 4 6 7 6" xfId="47106" xr:uid="{00000000-0005-0000-0000-000032B80000}"/>
    <cellStyle name="输入 2 4 6 8" xfId="47107" xr:uid="{00000000-0005-0000-0000-000033B80000}"/>
    <cellStyle name="输入 2 4 6 8 2" xfId="47108" xr:uid="{00000000-0005-0000-0000-000034B80000}"/>
    <cellStyle name="输入 2 4 6 8 2 2" xfId="12982" xr:uid="{00000000-0005-0000-0000-0000E6320000}"/>
    <cellStyle name="输入 2 4 6 8 3" xfId="20080" xr:uid="{00000000-0005-0000-0000-0000A04E0000}"/>
    <cellStyle name="输入 2 4 6 8 3 2" xfId="13064" xr:uid="{00000000-0005-0000-0000-000038330000}"/>
    <cellStyle name="输入 2 4 6 8 4" xfId="43295" xr:uid="{00000000-0005-0000-0000-00004FA90000}"/>
    <cellStyle name="输入 2 4 6 8 4 2" xfId="8851" xr:uid="{00000000-0005-0000-0000-0000C3220000}"/>
    <cellStyle name="输入 2 4 6 8 5" xfId="15713" xr:uid="{00000000-0005-0000-0000-0000913D0000}"/>
    <cellStyle name="输入 2 4 6 9" xfId="38191" xr:uid="{00000000-0005-0000-0000-00005F950000}"/>
    <cellStyle name="输入 2 4 6 9 2" xfId="47109" xr:uid="{00000000-0005-0000-0000-000035B80000}"/>
    <cellStyle name="输入 2 4 7" xfId="47110" xr:uid="{00000000-0005-0000-0000-000036B80000}"/>
    <cellStyle name="输入 2 4 7 10" xfId="47111" xr:uid="{00000000-0005-0000-0000-000037B80000}"/>
    <cellStyle name="输入 2 4 7 10 2" xfId="23866" xr:uid="{00000000-0005-0000-0000-00006A5D0000}"/>
    <cellStyle name="输入 2 4 7 11" xfId="47112" xr:uid="{00000000-0005-0000-0000-000038B80000}"/>
    <cellStyle name="输入 2 4 7 11 2" xfId="23983" xr:uid="{00000000-0005-0000-0000-0000DF5D0000}"/>
    <cellStyle name="输入 2 4 7 12" xfId="1551" xr:uid="{00000000-0005-0000-0000-00003F060000}"/>
    <cellStyle name="输入 2 4 7 12 2" xfId="24162" xr:uid="{00000000-0005-0000-0000-0000925E0000}"/>
    <cellStyle name="输入 2 4 7 13" xfId="47113" xr:uid="{00000000-0005-0000-0000-000039B80000}"/>
    <cellStyle name="输入 2 4 7 14" xfId="47114" xr:uid="{00000000-0005-0000-0000-00003AB80000}"/>
    <cellStyle name="输入 2 4 7 15" xfId="47115" xr:uid="{00000000-0005-0000-0000-00003BB80000}"/>
    <cellStyle name="输入 2 4 7 16" xfId="47117" xr:uid="{00000000-0005-0000-0000-00003DB80000}"/>
    <cellStyle name="输入 2 4 7 2" xfId="47118" xr:uid="{00000000-0005-0000-0000-00003EB80000}"/>
    <cellStyle name="输入 2 4 7 2 2" xfId="47119" xr:uid="{00000000-0005-0000-0000-00003FB80000}"/>
    <cellStyle name="输入 2 4 7 2 2 2" xfId="47120" xr:uid="{00000000-0005-0000-0000-000040B80000}"/>
    <cellStyle name="输入 2 4 7 2 3" xfId="47123" xr:uid="{00000000-0005-0000-0000-000043B80000}"/>
    <cellStyle name="输入 2 4 7 2 3 2" xfId="47124" xr:uid="{00000000-0005-0000-0000-000044B80000}"/>
    <cellStyle name="输入 2 4 7 2 4" xfId="24819" xr:uid="{00000000-0005-0000-0000-000023610000}"/>
    <cellStyle name="输入 2 4 7 2 4 2" xfId="47125" xr:uid="{00000000-0005-0000-0000-000045B80000}"/>
    <cellStyle name="输入 2 4 7 2 5" xfId="17119" xr:uid="{00000000-0005-0000-0000-00000F430000}"/>
    <cellStyle name="输入 2 4 7 2 5 2" xfId="47126" xr:uid="{00000000-0005-0000-0000-000046B80000}"/>
    <cellStyle name="输入 2 4 7 2 6" xfId="44711" xr:uid="{00000000-0005-0000-0000-0000D7AE0000}"/>
    <cellStyle name="输入 2 4 7 2 7" xfId="36530" xr:uid="{00000000-0005-0000-0000-0000E28E0000}"/>
    <cellStyle name="输入 2 4 7 2 8" xfId="35238" xr:uid="{00000000-0005-0000-0000-0000D6890000}"/>
    <cellStyle name="输入 2 4 7 2 9" xfId="36537" xr:uid="{00000000-0005-0000-0000-0000E98E0000}"/>
    <cellStyle name="输入 2 4 7 3" xfId="47127" xr:uid="{00000000-0005-0000-0000-000047B80000}"/>
    <cellStyle name="输入 2 4 7 3 2" xfId="47128" xr:uid="{00000000-0005-0000-0000-000048B80000}"/>
    <cellStyle name="输入 2 4 7 3 2 2" xfId="47129" xr:uid="{00000000-0005-0000-0000-000049B80000}"/>
    <cellStyle name="输入 2 4 7 3 3" xfId="47130" xr:uid="{00000000-0005-0000-0000-00004AB80000}"/>
    <cellStyle name="输入 2 4 7 3 3 2" xfId="47131" xr:uid="{00000000-0005-0000-0000-00004BB80000}"/>
    <cellStyle name="输入 2 4 7 3 4" xfId="20497" xr:uid="{00000000-0005-0000-0000-000041500000}"/>
    <cellStyle name="输入 2 4 7 3 4 2" xfId="47132" xr:uid="{00000000-0005-0000-0000-00004CB80000}"/>
    <cellStyle name="输入 2 4 7 3 5" xfId="47133" xr:uid="{00000000-0005-0000-0000-00004DB80000}"/>
    <cellStyle name="输入 2 4 7 3 5 2" xfId="47134" xr:uid="{00000000-0005-0000-0000-00004EB80000}"/>
    <cellStyle name="输入 2 4 7 3 6" xfId="44713" xr:uid="{00000000-0005-0000-0000-0000D9AE0000}"/>
    <cellStyle name="输入 2 4 7 4" xfId="47135" xr:uid="{00000000-0005-0000-0000-00004FB80000}"/>
    <cellStyle name="输入 2 4 7 4 2" xfId="20609" xr:uid="{00000000-0005-0000-0000-0000B1500000}"/>
    <cellStyle name="输入 2 4 7 4 2 2" xfId="20613" xr:uid="{00000000-0005-0000-0000-0000B5500000}"/>
    <cellStyle name="输入 2 4 7 4 3" xfId="20634" xr:uid="{00000000-0005-0000-0000-0000CA500000}"/>
    <cellStyle name="输入 2 4 7 4 3 2" xfId="20638" xr:uid="{00000000-0005-0000-0000-0000CE500000}"/>
    <cellStyle name="输入 2 4 7 4 4" xfId="20660" xr:uid="{00000000-0005-0000-0000-0000E4500000}"/>
    <cellStyle name="输入 2 4 7 4 4 2" xfId="20664" xr:uid="{00000000-0005-0000-0000-0000E8500000}"/>
    <cellStyle name="输入 2 4 7 4 5" xfId="20679" xr:uid="{00000000-0005-0000-0000-0000F7500000}"/>
    <cellStyle name="输入 2 4 7 4 5 2" xfId="20684" xr:uid="{00000000-0005-0000-0000-0000FC500000}"/>
    <cellStyle name="输入 2 4 7 4 6" xfId="20699" xr:uid="{00000000-0005-0000-0000-00000B510000}"/>
    <cellStyle name="输入 2 4 7 5" xfId="47136" xr:uid="{00000000-0005-0000-0000-000050B80000}"/>
    <cellStyle name="输入 2 4 7 5 2" xfId="47137" xr:uid="{00000000-0005-0000-0000-000051B80000}"/>
    <cellStyle name="输入 2 4 7 5 2 2" xfId="47138" xr:uid="{00000000-0005-0000-0000-000052B80000}"/>
    <cellStyle name="输入 2 4 7 5 3" xfId="20765" xr:uid="{00000000-0005-0000-0000-00004D510000}"/>
    <cellStyle name="输入 2 4 7 5 3 2" xfId="47139" xr:uid="{00000000-0005-0000-0000-000053B80000}"/>
    <cellStyle name="输入 2 4 7 5 4" xfId="47140" xr:uid="{00000000-0005-0000-0000-000054B80000}"/>
    <cellStyle name="输入 2 4 7 5 4 2" xfId="47142" xr:uid="{00000000-0005-0000-0000-000056B80000}"/>
    <cellStyle name="输入 2 4 7 5 5" xfId="15730" xr:uid="{00000000-0005-0000-0000-0000A23D0000}"/>
    <cellStyle name="输入 2 4 7 5 5 2" xfId="47143" xr:uid="{00000000-0005-0000-0000-000057B80000}"/>
    <cellStyle name="输入 2 4 7 5 6" xfId="47144" xr:uid="{00000000-0005-0000-0000-000058B80000}"/>
    <cellStyle name="输入 2 4 7 6" xfId="30034" xr:uid="{00000000-0005-0000-0000-000082750000}"/>
    <cellStyle name="输入 2 4 7 6 2" xfId="47145" xr:uid="{00000000-0005-0000-0000-000059B80000}"/>
    <cellStyle name="输入 2 4 7 6 2 2" xfId="47146" xr:uid="{00000000-0005-0000-0000-00005AB80000}"/>
    <cellStyle name="输入 2 4 7 6 3" xfId="20865" xr:uid="{00000000-0005-0000-0000-0000B1510000}"/>
    <cellStyle name="输入 2 4 7 6 3 2" xfId="47147" xr:uid="{00000000-0005-0000-0000-00005BB80000}"/>
    <cellStyle name="输入 2 4 7 6 4" xfId="47148" xr:uid="{00000000-0005-0000-0000-00005CB80000}"/>
    <cellStyle name="输入 2 4 7 6 4 2" xfId="47149" xr:uid="{00000000-0005-0000-0000-00005DB80000}"/>
    <cellStyle name="输入 2 4 7 6 5" xfId="15737" xr:uid="{00000000-0005-0000-0000-0000A93D0000}"/>
    <cellStyle name="输入 2 4 7 6 5 2" xfId="47150" xr:uid="{00000000-0005-0000-0000-00005EB80000}"/>
    <cellStyle name="输入 2 4 7 6 6" xfId="47151" xr:uid="{00000000-0005-0000-0000-00005FB80000}"/>
    <cellStyle name="输入 2 4 7 7" xfId="47152" xr:uid="{00000000-0005-0000-0000-000060B80000}"/>
    <cellStyle name="输入 2 4 7 7 2" xfId="47153" xr:uid="{00000000-0005-0000-0000-000061B80000}"/>
    <cellStyle name="输入 2 4 7 7 2 2" xfId="47154" xr:uid="{00000000-0005-0000-0000-000062B80000}"/>
    <cellStyle name="输入 2 4 7 7 3" xfId="20964" xr:uid="{00000000-0005-0000-0000-000014520000}"/>
    <cellStyle name="输入 2 4 7 7 3 2" xfId="47155" xr:uid="{00000000-0005-0000-0000-000063B80000}"/>
    <cellStyle name="输入 2 4 7 7 4" xfId="43302" xr:uid="{00000000-0005-0000-0000-000056A90000}"/>
    <cellStyle name="输入 2 4 7 7 4 2" xfId="47156" xr:uid="{00000000-0005-0000-0000-000064B80000}"/>
    <cellStyle name="输入 2 4 7 7 5" xfId="15744" xr:uid="{00000000-0005-0000-0000-0000B03D0000}"/>
    <cellStyle name="输入 2 4 7 7 5 2" xfId="47157" xr:uid="{00000000-0005-0000-0000-000065B80000}"/>
    <cellStyle name="输入 2 4 7 7 6" xfId="47158" xr:uid="{00000000-0005-0000-0000-000066B80000}"/>
    <cellStyle name="输入 2 4 7 8" xfId="47159" xr:uid="{00000000-0005-0000-0000-000067B80000}"/>
    <cellStyle name="输入 2 4 7 8 2" xfId="47160" xr:uid="{00000000-0005-0000-0000-000068B80000}"/>
    <cellStyle name="输入 2 4 7 8 2 2" xfId="47161" xr:uid="{00000000-0005-0000-0000-000069B80000}"/>
    <cellStyle name="输入 2 4 7 8 3" xfId="21034" xr:uid="{00000000-0005-0000-0000-00005A520000}"/>
    <cellStyle name="输入 2 4 7 8 3 2" xfId="47162" xr:uid="{00000000-0005-0000-0000-00006AB80000}"/>
    <cellStyle name="输入 2 4 7 8 4" xfId="43305" xr:uid="{00000000-0005-0000-0000-000059A90000}"/>
    <cellStyle name="输入 2 4 7 8 4 2" xfId="47163" xr:uid="{00000000-0005-0000-0000-00006BB80000}"/>
    <cellStyle name="输入 2 4 7 8 5" xfId="15758" xr:uid="{00000000-0005-0000-0000-0000BE3D0000}"/>
    <cellStyle name="输入 2 4 7 9" xfId="38194" xr:uid="{00000000-0005-0000-0000-000062950000}"/>
    <cellStyle name="输入 2 4 7 9 2" xfId="21145" xr:uid="{00000000-0005-0000-0000-0000C9520000}"/>
    <cellStyle name="输入 2 4 8" xfId="47164" xr:uid="{00000000-0005-0000-0000-00006CB80000}"/>
    <cellStyle name="输入 2 4 8 10" xfId="47166" xr:uid="{00000000-0005-0000-0000-00006EB80000}"/>
    <cellStyle name="输入 2 4 8 10 2" xfId="47167" xr:uid="{00000000-0005-0000-0000-00006FB80000}"/>
    <cellStyle name="输入 2 4 8 11" xfId="43870" xr:uid="{00000000-0005-0000-0000-00008EAB0000}"/>
    <cellStyle name="输入 2 4 8 11 2" xfId="47168" xr:uid="{00000000-0005-0000-0000-000070B80000}"/>
    <cellStyle name="输入 2 4 8 12" xfId="47169" xr:uid="{00000000-0005-0000-0000-000071B80000}"/>
    <cellStyle name="输入 2 4 8 12 2" xfId="47170" xr:uid="{00000000-0005-0000-0000-000072B80000}"/>
    <cellStyle name="输入 2 4 8 13" xfId="47171" xr:uid="{00000000-0005-0000-0000-000073B80000}"/>
    <cellStyle name="输入 2 4 8 14" xfId="47172" xr:uid="{00000000-0005-0000-0000-000074B80000}"/>
    <cellStyle name="输入 2 4 8 15" xfId="47173" xr:uid="{00000000-0005-0000-0000-000075B80000}"/>
    <cellStyle name="输入 2 4 8 16" xfId="47174" xr:uid="{00000000-0005-0000-0000-000076B80000}"/>
    <cellStyle name="输入 2 4 8 2" xfId="47175" xr:uid="{00000000-0005-0000-0000-000077B80000}"/>
    <cellStyle name="输入 2 4 8 2 2" xfId="47176" xr:uid="{00000000-0005-0000-0000-000078B80000}"/>
    <cellStyle name="输入 2 4 8 2 2 2" xfId="47177" xr:uid="{00000000-0005-0000-0000-000079B80000}"/>
    <cellStyle name="输入 2 4 8 2 3" xfId="47179" xr:uid="{00000000-0005-0000-0000-00007BB80000}"/>
    <cellStyle name="输入 2 4 8 2 3 2" xfId="47180" xr:uid="{00000000-0005-0000-0000-00007CB80000}"/>
    <cellStyle name="输入 2 4 8 2 4" xfId="47181" xr:uid="{00000000-0005-0000-0000-00007DB80000}"/>
    <cellStyle name="输入 2 4 8 2 4 2" xfId="47183" xr:uid="{00000000-0005-0000-0000-00007FB80000}"/>
    <cellStyle name="输入 2 4 8 2 5" xfId="17154" xr:uid="{00000000-0005-0000-0000-000032430000}"/>
    <cellStyle name="输入 2 4 8 2 5 2" xfId="47184" xr:uid="{00000000-0005-0000-0000-000080B80000}"/>
    <cellStyle name="输入 2 4 8 2 6" xfId="44724" xr:uid="{00000000-0005-0000-0000-0000E4AE0000}"/>
    <cellStyle name="输入 2 4 8 2 7" xfId="36583" xr:uid="{00000000-0005-0000-0000-0000178F0000}"/>
    <cellStyle name="输入 2 4 8 2 8" xfId="35251" xr:uid="{00000000-0005-0000-0000-0000E3890000}"/>
    <cellStyle name="输入 2 4 8 2 9" xfId="36589" xr:uid="{00000000-0005-0000-0000-00001D8F0000}"/>
    <cellStyle name="输入 2 4 8 3" xfId="19700" xr:uid="{00000000-0005-0000-0000-0000244D0000}"/>
    <cellStyle name="输入 2 4 8 3 2" xfId="21819" xr:uid="{00000000-0005-0000-0000-00006B550000}"/>
    <cellStyle name="输入 2 4 8 3 2 2" xfId="47185" xr:uid="{00000000-0005-0000-0000-000081B80000}"/>
    <cellStyle name="输入 2 4 8 3 3" xfId="47186" xr:uid="{00000000-0005-0000-0000-000082B80000}"/>
    <cellStyle name="输入 2 4 8 3 3 2" xfId="47187" xr:uid="{00000000-0005-0000-0000-000083B80000}"/>
    <cellStyle name="输入 2 4 8 3 4" xfId="47188" xr:uid="{00000000-0005-0000-0000-000084B80000}"/>
    <cellStyle name="输入 2 4 8 3 4 2" xfId="47190" xr:uid="{00000000-0005-0000-0000-000086B80000}"/>
    <cellStyle name="输入 2 4 8 3 5" xfId="47191" xr:uid="{00000000-0005-0000-0000-000087B80000}"/>
    <cellStyle name="输入 2 4 8 3 5 2" xfId="47192" xr:uid="{00000000-0005-0000-0000-000088B80000}"/>
    <cellStyle name="输入 2 4 8 3 6" xfId="47193" xr:uid="{00000000-0005-0000-0000-000089B80000}"/>
    <cellStyle name="输入 2 4 8 4" xfId="39540" xr:uid="{00000000-0005-0000-0000-0000A49A0000}"/>
    <cellStyle name="输入 2 4 8 4 2" xfId="21920" xr:uid="{00000000-0005-0000-0000-0000D0550000}"/>
    <cellStyle name="输入 2 4 8 4 2 2" xfId="47194" xr:uid="{00000000-0005-0000-0000-00008AB80000}"/>
    <cellStyle name="输入 2 4 8 4 3" xfId="21942" xr:uid="{00000000-0005-0000-0000-0000E6550000}"/>
    <cellStyle name="输入 2 4 8 4 3 2" xfId="47195" xr:uid="{00000000-0005-0000-0000-00008BB80000}"/>
    <cellStyle name="输入 2 4 8 4 4" xfId="47196" xr:uid="{00000000-0005-0000-0000-00008CB80000}"/>
    <cellStyle name="输入 2 4 8 4 4 2" xfId="47198" xr:uid="{00000000-0005-0000-0000-00008EB80000}"/>
    <cellStyle name="输入 2 4 8 4 5" xfId="47199" xr:uid="{00000000-0005-0000-0000-00008FB80000}"/>
    <cellStyle name="输入 2 4 8 4 5 2" xfId="47200" xr:uid="{00000000-0005-0000-0000-000090B80000}"/>
    <cellStyle name="输入 2 4 8 4 6" xfId="47201" xr:uid="{00000000-0005-0000-0000-000091B80000}"/>
    <cellStyle name="输入 2 4 8 5" xfId="41401" xr:uid="{00000000-0005-0000-0000-0000E9A10000}"/>
    <cellStyle name="输入 2 4 8 5 2" xfId="22054" xr:uid="{00000000-0005-0000-0000-000056560000}"/>
    <cellStyle name="输入 2 4 8 5 2 2" xfId="47202" xr:uid="{00000000-0005-0000-0000-000092B80000}"/>
    <cellStyle name="输入 2 4 8 5 3" xfId="22080" xr:uid="{00000000-0005-0000-0000-000070560000}"/>
    <cellStyle name="输入 2 4 8 5 3 2" xfId="47203" xr:uid="{00000000-0005-0000-0000-000093B80000}"/>
    <cellStyle name="输入 2 4 8 5 4" xfId="47204" xr:uid="{00000000-0005-0000-0000-000094B80000}"/>
    <cellStyle name="输入 2 4 8 5 4 2" xfId="47206" xr:uid="{00000000-0005-0000-0000-000096B80000}"/>
    <cellStyle name="输入 2 4 8 5 5" xfId="15770" xr:uid="{00000000-0005-0000-0000-0000CA3D0000}"/>
    <cellStyle name="输入 2 4 8 5 5 2" xfId="47207" xr:uid="{00000000-0005-0000-0000-000097B80000}"/>
    <cellStyle name="输入 2 4 8 5 6" xfId="47208" xr:uid="{00000000-0005-0000-0000-000098B80000}"/>
    <cellStyle name="输入 2 4 8 6" xfId="30040" xr:uid="{00000000-0005-0000-0000-000088750000}"/>
    <cellStyle name="输入 2 4 8 6 2" xfId="47209" xr:uid="{00000000-0005-0000-0000-000099B80000}"/>
    <cellStyle name="输入 2 4 8 6 2 2" xfId="44460" xr:uid="{00000000-0005-0000-0000-0000DCAD0000}"/>
    <cellStyle name="输入 2 4 8 6 3" xfId="22206" xr:uid="{00000000-0005-0000-0000-0000EE560000}"/>
    <cellStyle name="输入 2 4 8 6 3 2" xfId="47210" xr:uid="{00000000-0005-0000-0000-00009AB80000}"/>
    <cellStyle name="输入 2 4 8 6 4" xfId="47211" xr:uid="{00000000-0005-0000-0000-00009BB80000}"/>
    <cellStyle name="输入 2 4 8 6 4 2" xfId="47212" xr:uid="{00000000-0005-0000-0000-00009CB80000}"/>
    <cellStyle name="输入 2 4 8 6 5" xfId="15777" xr:uid="{00000000-0005-0000-0000-0000D13D0000}"/>
    <cellStyle name="输入 2 4 8 6 5 2" xfId="47213" xr:uid="{00000000-0005-0000-0000-00009DB80000}"/>
    <cellStyle name="输入 2 4 8 6 6" xfId="47214" xr:uid="{00000000-0005-0000-0000-00009EB80000}"/>
    <cellStyle name="输入 2 4 8 7" xfId="41403" xr:uid="{00000000-0005-0000-0000-0000EBA10000}"/>
    <cellStyle name="输入 2 4 8 7 2" xfId="47215" xr:uid="{00000000-0005-0000-0000-00009FB80000}"/>
    <cellStyle name="输入 2 4 8 7 2 2" xfId="45988" xr:uid="{00000000-0005-0000-0000-0000D4B30000}"/>
    <cellStyle name="输入 2 4 8 7 3" xfId="22326" xr:uid="{00000000-0005-0000-0000-000066570000}"/>
    <cellStyle name="输入 2 4 8 7 3 2" xfId="45999" xr:uid="{00000000-0005-0000-0000-0000DFB30000}"/>
    <cellStyle name="输入 2 4 8 7 4" xfId="43310" xr:uid="{00000000-0005-0000-0000-00005EA90000}"/>
    <cellStyle name="输入 2 4 8 7 4 2" xfId="47216" xr:uid="{00000000-0005-0000-0000-0000A0B80000}"/>
    <cellStyle name="输入 2 4 8 7 5" xfId="15787" xr:uid="{00000000-0005-0000-0000-0000DB3D0000}"/>
    <cellStyle name="输入 2 4 8 7 5 2" xfId="47217" xr:uid="{00000000-0005-0000-0000-0000A1B80000}"/>
    <cellStyle name="输入 2 4 8 7 6" xfId="47218" xr:uid="{00000000-0005-0000-0000-0000A2B80000}"/>
    <cellStyle name="输入 2 4 8 8" xfId="41405" xr:uid="{00000000-0005-0000-0000-0000EDA10000}"/>
    <cellStyle name="输入 2 4 8 8 2" xfId="47219" xr:uid="{00000000-0005-0000-0000-0000A3B80000}"/>
    <cellStyle name="输入 2 4 8 8 2 2" xfId="46072" xr:uid="{00000000-0005-0000-0000-000028B40000}"/>
    <cellStyle name="输入 2 4 8 8 3" xfId="22419" xr:uid="{00000000-0005-0000-0000-0000C3570000}"/>
    <cellStyle name="输入 2 4 8 8 3 2" xfId="46081" xr:uid="{00000000-0005-0000-0000-000031B40000}"/>
    <cellStyle name="输入 2 4 8 8 4" xfId="43313" xr:uid="{00000000-0005-0000-0000-000061A90000}"/>
    <cellStyle name="输入 2 4 8 8 4 2" xfId="47220" xr:uid="{00000000-0005-0000-0000-0000A4B80000}"/>
    <cellStyle name="输入 2 4 8 8 5" xfId="15805" xr:uid="{00000000-0005-0000-0000-0000ED3D0000}"/>
    <cellStyle name="输入 2 4 8 9" xfId="38197" xr:uid="{00000000-0005-0000-0000-000065950000}"/>
    <cellStyle name="输入 2 4 8 9 2" xfId="47221" xr:uid="{00000000-0005-0000-0000-0000A5B80000}"/>
    <cellStyle name="输入 2 4 9" xfId="47222" xr:uid="{00000000-0005-0000-0000-0000A6B80000}"/>
    <cellStyle name="输入 2 4 9 10" xfId="47223" xr:uid="{00000000-0005-0000-0000-0000A7B80000}"/>
    <cellStyle name="输入 2 4 9 10 2" xfId="47224" xr:uid="{00000000-0005-0000-0000-0000A8B80000}"/>
    <cellStyle name="输入 2 4 9 11" xfId="7952" xr:uid="{00000000-0005-0000-0000-0000401F0000}"/>
    <cellStyle name="输入 2 4 9 11 2" xfId="47225" xr:uid="{00000000-0005-0000-0000-0000A9B80000}"/>
    <cellStyle name="输入 2 4 9 12" xfId="47226" xr:uid="{00000000-0005-0000-0000-0000AAB80000}"/>
    <cellStyle name="输入 2 4 9 12 2" xfId="47227" xr:uid="{00000000-0005-0000-0000-0000ABB80000}"/>
    <cellStyle name="输入 2 4 9 13" xfId="11280" xr:uid="{00000000-0005-0000-0000-0000402C0000}"/>
    <cellStyle name="输入 2 4 9 14" xfId="47228" xr:uid="{00000000-0005-0000-0000-0000ACB80000}"/>
    <cellStyle name="输入 2 4 9 15" xfId="47229" xr:uid="{00000000-0005-0000-0000-0000ADB80000}"/>
    <cellStyle name="输入 2 4 9 16" xfId="47230" xr:uid="{00000000-0005-0000-0000-0000AEB80000}"/>
    <cellStyle name="输入 2 4 9 2" xfId="47231" xr:uid="{00000000-0005-0000-0000-0000AFB80000}"/>
    <cellStyle name="输入 2 4 9 2 2" xfId="47232" xr:uid="{00000000-0005-0000-0000-0000B0B80000}"/>
    <cellStyle name="输入 2 4 9 2 2 2" xfId="47233" xr:uid="{00000000-0005-0000-0000-0000B1B80000}"/>
    <cellStyle name="输入 2 4 9 2 3" xfId="47235" xr:uid="{00000000-0005-0000-0000-0000B3B80000}"/>
    <cellStyle name="输入 2 4 9 2 3 2" xfId="47236" xr:uid="{00000000-0005-0000-0000-0000B4B80000}"/>
    <cellStyle name="输入 2 4 9 2 4" xfId="47237" xr:uid="{00000000-0005-0000-0000-0000B5B80000}"/>
    <cellStyle name="输入 2 4 9 2 4 2" xfId="47239" xr:uid="{00000000-0005-0000-0000-0000B7B80000}"/>
    <cellStyle name="输入 2 4 9 2 5" xfId="17191" xr:uid="{00000000-0005-0000-0000-000057430000}"/>
    <cellStyle name="输入 2 4 9 2 5 2" xfId="47240" xr:uid="{00000000-0005-0000-0000-0000B8B80000}"/>
    <cellStyle name="输入 2 4 9 2 6" xfId="47241" xr:uid="{00000000-0005-0000-0000-0000B9B80000}"/>
    <cellStyle name="输入 2 4 9 2 7" xfId="36642" xr:uid="{00000000-0005-0000-0000-0000528F0000}"/>
    <cellStyle name="输入 2 4 9 2 8" xfId="35263" xr:uid="{00000000-0005-0000-0000-0000EF890000}"/>
    <cellStyle name="输入 2 4 9 2 9" xfId="36644" xr:uid="{00000000-0005-0000-0000-0000548F0000}"/>
    <cellStyle name="输入 2 4 9 3" xfId="47242" xr:uid="{00000000-0005-0000-0000-0000BAB80000}"/>
    <cellStyle name="输入 2 4 9 3 2" xfId="47243" xr:uid="{00000000-0005-0000-0000-0000BBB80000}"/>
    <cellStyle name="输入 2 4 9 3 2 2" xfId="47244" xr:uid="{00000000-0005-0000-0000-0000BCB80000}"/>
    <cellStyle name="输入 2 4 9 3 3" xfId="47245" xr:uid="{00000000-0005-0000-0000-0000BDB80000}"/>
    <cellStyle name="输入 2 4 9 3 3 2" xfId="47246" xr:uid="{00000000-0005-0000-0000-0000BEB80000}"/>
    <cellStyle name="输入 2 4 9 3 4" xfId="47247" xr:uid="{00000000-0005-0000-0000-0000BFB80000}"/>
    <cellStyle name="输入 2 4 9 3 4 2" xfId="47249" xr:uid="{00000000-0005-0000-0000-0000C1B80000}"/>
    <cellStyle name="输入 2 4 9 3 5" xfId="47250" xr:uid="{00000000-0005-0000-0000-0000C2B80000}"/>
    <cellStyle name="输入 2 4 9 3 5 2" xfId="47251" xr:uid="{00000000-0005-0000-0000-0000C3B80000}"/>
    <cellStyle name="输入 2 4 9 3 6" xfId="47252" xr:uid="{00000000-0005-0000-0000-0000C4B80000}"/>
    <cellStyle name="输入 2 4 9 4" xfId="39544" xr:uid="{00000000-0005-0000-0000-0000A89A0000}"/>
    <cellStyle name="输入 2 4 9 4 2" xfId="47253" xr:uid="{00000000-0005-0000-0000-0000C5B80000}"/>
    <cellStyle name="输入 2 4 9 4 2 2" xfId="47254" xr:uid="{00000000-0005-0000-0000-0000C6B80000}"/>
    <cellStyle name="输入 2 4 9 4 3" xfId="23090" xr:uid="{00000000-0005-0000-0000-0000625A0000}"/>
    <cellStyle name="输入 2 4 9 4 3 2" xfId="47255" xr:uid="{00000000-0005-0000-0000-0000C7B80000}"/>
    <cellStyle name="输入 2 4 9 4 4" xfId="47256" xr:uid="{00000000-0005-0000-0000-0000C8B80000}"/>
    <cellStyle name="输入 2 4 9 4 4 2" xfId="47258" xr:uid="{00000000-0005-0000-0000-0000CAB80000}"/>
    <cellStyle name="输入 2 4 9 4 5" xfId="47259" xr:uid="{00000000-0005-0000-0000-0000CBB80000}"/>
    <cellStyle name="输入 2 4 9 4 5 2" xfId="47260" xr:uid="{00000000-0005-0000-0000-0000CCB80000}"/>
    <cellStyle name="输入 2 4 9 4 6" xfId="47261" xr:uid="{00000000-0005-0000-0000-0000CDB80000}"/>
    <cellStyle name="输入 2 4 9 5" xfId="47262" xr:uid="{00000000-0005-0000-0000-0000CEB80000}"/>
    <cellStyle name="输入 2 4 9 5 2" xfId="47263" xr:uid="{00000000-0005-0000-0000-0000CFB80000}"/>
    <cellStyle name="输入 2 4 9 5 2 2" xfId="47264" xr:uid="{00000000-0005-0000-0000-0000D0B80000}"/>
    <cellStyle name="输入 2 4 9 5 3" xfId="23210" xr:uid="{00000000-0005-0000-0000-0000DA5A0000}"/>
    <cellStyle name="输入 2 4 9 5 3 2" xfId="47265" xr:uid="{00000000-0005-0000-0000-0000D1B80000}"/>
    <cellStyle name="输入 2 4 9 5 4" xfId="47266" xr:uid="{00000000-0005-0000-0000-0000D2B80000}"/>
    <cellStyle name="输入 2 4 9 5 4 2" xfId="47268" xr:uid="{00000000-0005-0000-0000-0000D4B80000}"/>
    <cellStyle name="输入 2 4 9 5 5" xfId="15817" xr:uid="{00000000-0005-0000-0000-0000F93D0000}"/>
    <cellStyle name="输入 2 4 9 5 5 2" xfId="47269" xr:uid="{00000000-0005-0000-0000-0000D5B80000}"/>
    <cellStyle name="输入 2 4 9 5 6" xfId="47270" xr:uid="{00000000-0005-0000-0000-0000D6B80000}"/>
    <cellStyle name="输入 2 4 9 6" xfId="30046" xr:uid="{00000000-0005-0000-0000-00008E750000}"/>
    <cellStyle name="输入 2 4 9 6 2" xfId="47271" xr:uid="{00000000-0005-0000-0000-0000D7B80000}"/>
    <cellStyle name="输入 2 4 9 6 2 2" xfId="47272" xr:uid="{00000000-0005-0000-0000-0000D8B80000}"/>
    <cellStyle name="输入 2 4 9 6 3" xfId="23352" xr:uid="{00000000-0005-0000-0000-0000685B0000}"/>
    <cellStyle name="输入 2 4 9 6 3 2" xfId="47273" xr:uid="{00000000-0005-0000-0000-0000D9B80000}"/>
    <cellStyle name="输入 2 4 9 6 4" xfId="47274" xr:uid="{00000000-0005-0000-0000-0000DAB80000}"/>
    <cellStyle name="输入 2 4 9 6 4 2" xfId="47275" xr:uid="{00000000-0005-0000-0000-0000DBB80000}"/>
    <cellStyle name="输入 2 4 9 6 5" xfId="15825" xr:uid="{00000000-0005-0000-0000-0000013E0000}"/>
    <cellStyle name="输入 2 4 9 6 5 2" xfId="47276" xr:uid="{00000000-0005-0000-0000-0000DCB80000}"/>
    <cellStyle name="输入 2 4 9 6 6" xfId="47277" xr:uid="{00000000-0005-0000-0000-0000DDB80000}"/>
    <cellStyle name="输入 2 4 9 7" xfId="47278" xr:uid="{00000000-0005-0000-0000-0000DEB80000}"/>
    <cellStyle name="输入 2 4 9 7 2" xfId="47279" xr:uid="{00000000-0005-0000-0000-0000DFB80000}"/>
    <cellStyle name="输入 2 4 9 7 2 2" xfId="47280" xr:uid="{00000000-0005-0000-0000-0000E0B80000}"/>
    <cellStyle name="输入 2 4 9 7 3" xfId="23438" xr:uid="{00000000-0005-0000-0000-0000BE5B0000}"/>
    <cellStyle name="输入 2 4 9 7 3 2" xfId="47282" xr:uid="{00000000-0005-0000-0000-0000E2B80000}"/>
    <cellStyle name="输入 2 4 9 7 4" xfId="43322" xr:uid="{00000000-0005-0000-0000-00006AA90000}"/>
    <cellStyle name="输入 2 4 9 7 4 2" xfId="47284" xr:uid="{00000000-0005-0000-0000-0000E4B80000}"/>
    <cellStyle name="输入 2 4 9 7 5" xfId="15834" xr:uid="{00000000-0005-0000-0000-00000A3E0000}"/>
    <cellStyle name="输入 2 4 9 7 5 2" xfId="47286" xr:uid="{00000000-0005-0000-0000-0000E6B80000}"/>
    <cellStyle name="输入 2 4 9 7 6" xfId="47288" xr:uid="{00000000-0005-0000-0000-0000E8B80000}"/>
    <cellStyle name="输入 2 4 9 8" xfId="47289" xr:uid="{00000000-0005-0000-0000-0000E9B80000}"/>
    <cellStyle name="输入 2 4 9 8 2" xfId="47290" xr:uid="{00000000-0005-0000-0000-0000EAB80000}"/>
    <cellStyle name="输入 2 4 9 8 2 2" xfId="47291" xr:uid="{00000000-0005-0000-0000-0000EBB80000}"/>
    <cellStyle name="输入 2 4 9 8 3" xfId="47292" xr:uid="{00000000-0005-0000-0000-0000ECB80000}"/>
    <cellStyle name="输入 2 4 9 8 3 2" xfId="47293" xr:uid="{00000000-0005-0000-0000-0000EDB80000}"/>
    <cellStyle name="输入 2 4 9 8 4" xfId="43325" xr:uid="{00000000-0005-0000-0000-00006DA90000}"/>
    <cellStyle name="输入 2 4 9 8 4 2" xfId="47294" xr:uid="{00000000-0005-0000-0000-0000EEB80000}"/>
    <cellStyle name="输入 2 4 9 8 5" xfId="15840" xr:uid="{00000000-0005-0000-0000-0000103E0000}"/>
    <cellStyle name="输入 2 4 9 9" xfId="47295" xr:uid="{00000000-0005-0000-0000-0000EFB80000}"/>
    <cellStyle name="输入 2 4 9 9 2" xfId="47297" xr:uid="{00000000-0005-0000-0000-0000F1B80000}"/>
    <cellStyle name="输入 2 5" xfId="36451" xr:uid="{00000000-0005-0000-0000-0000938E0000}"/>
    <cellStyle name="输入 2 5 10" xfId="47298" xr:uid="{00000000-0005-0000-0000-0000F2B80000}"/>
    <cellStyle name="输入 2 5 10 10" xfId="47299" xr:uid="{00000000-0005-0000-0000-0000F3B80000}"/>
    <cellStyle name="输入 2 5 10 10 2" xfId="16545" xr:uid="{00000000-0005-0000-0000-0000D1400000}"/>
    <cellStyle name="输入 2 5 10 11" xfId="47300" xr:uid="{00000000-0005-0000-0000-0000F4B80000}"/>
    <cellStyle name="输入 2 5 10 11 2" xfId="47301" xr:uid="{00000000-0005-0000-0000-0000F5B80000}"/>
    <cellStyle name="输入 2 5 10 12" xfId="47302" xr:uid="{00000000-0005-0000-0000-0000F6B80000}"/>
    <cellStyle name="输入 2 5 10 12 2" xfId="47303" xr:uid="{00000000-0005-0000-0000-0000F7B80000}"/>
    <cellStyle name="输入 2 5 10 13" xfId="6790" xr:uid="{00000000-0005-0000-0000-0000B61A0000}"/>
    <cellStyle name="输入 2 5 10 14" xfId="6807" xr:uid="{00000000-0005-0000-0000-0000C71A0000}"/>
    <cellStyle name="输入 2 5 10 15" xfId="6405" xr:uid="{00000000-0005-0000-0000-000035190000}"/>
    <cellStyle name="输入 2 5 10 16" xfId="454" xr:uid="{00000000-0005-0000-0000-0000F0010000}"/>
    <cellStyle name="输入 2 5 10 2" xfId="47304" xr:uid="{00000000-0005-0000-0000-0000F8B80000}"/>
    <cellStyle name="输入 2 5 10 2 2" xfId="47305" xr:uid="{00000000-0005-0000-0000-0000F9B80000}"/>
    <cellStyle name="输入 2 5 10 2 2 2" xfId="47306" xr:uid="{00000000-0005-0000-0000-0000FAB80000}"/>
    <cellStyle name="输入 2 5 10 2 3" xfId="33354" xr:uid="{00000000-0005-0000-0000-00007A820000}"/>
    <cellStyle name="输入 2 5 10 2 3 2" xfId="47307" xr:uid="{00000000-0005-0000-0000-0000FBB80000}"/>
    <cellStyle name="输入 2 5 10 2 4" xfId="47308" xr:uid="{00000000-0005-0000-0000-0000FCB80000}"/>
    <cellStyle name="输入 2 5 10 2 4 2" xfId="47309" xr:uid="{00000000-0005-0000-0000-0000FDB80000}"/>
    <cellStyle name="输入 2 5 10 2 5" xfId="47310" xr:uid="{00000000-0005-0000-0000-0000FEB80000}"/>
    <cellStyle name="输入 2 5 10 2 5 2" xfId="47311" xr:uid="{00000000-0005-0000-0000-0000FFB80000}"/>
    <cellStyle name="输入 2 5 10 2 6" xfId="47312" xr:uid="{00000000-0005-0000-0000-000000B90000}"/>
    <cellStyle name="输入 2 5 10 2 7" xfId="10585" xr:uid="{00000000-0005-0000-0000-000089290000}"/>
    <cellStyle name="输入 2 5 10 2 8" xfId="47313" xr:uid="{00000000-0005-0000-0000-000001B90000}"/>
    <cellStyle name="输入 2 5 10 2 9" xfId="47315" xr:uid="{00000000-0005-0000-0000-000003B90000}"/>
    <cellStyle name="输入 2 5 10 3" xfId="47317" xr:uid="{00000000-0005-0000-0000-000005B90000}"/>
    <cellStyle name="输入 2 5 10 3 2" xfId="47318" xr:uid="{00000000-0005-0000-0000-000006B90000}"/>
    <cellStyle name="输入 2 5 10 3 2 2" xfId="47319" xr:uid="{00000000-0005-0000-0000-000007B90000}"/>
    <cellStyle name="输入 2 5 10 3 3" xfId="47320" xr:uid="{00000000-0005-0000-0000-000008B90000}"/>
    <cellStyle name="输入 2 5 10 3 3 2" xfId="47321" xr:uid="{00000000-0005-0000-0000-000009B90000}"/>
    <cellStyle name="输入 2 5 10 3 4" xfId="47322" xr:uid="{00000000-0005-0000-0000-00000AB90000}"/>
    <cellStyle name="输入 2 5 10 3 4 2" xfId="47323" xr:uid="{00000000-0005-0000-0000-00000BB90000}"/>
    <cellStyle name="输入 2 5 10 3 5" xfId="16696" xr:uid="{00000000-0005-0000-0000-000068410000}"/>
    <cellStyle name="输入 2 5 10 3 5 2" xfId="47324" xr:uid="{00000000-0005-0000-0000-00000CB90000}"/>
    <cellStyle name="输入 2 5 10 3 6" xfId="47325" xr:uid="{00000000-0005-0000-0000-00000DB90000}"/>
    <cellStyle name="输入 2 5 10 4" xfId="47326" xr:uid="{00000000-0005-0000-0000-00000EB90000}"/>
    <cellStyle name="输入 2 5 10 4 2" xfId="47327" xr:uid="{00000000-0005-0000-0000-00000FB90000}"/>
    <cellStyle name="输入 2 5 10 4 2 2" xfId="47328" xr:uid="{00000000-0005-0000-0000-000010B90000}"/>
    <cellStyle name="输入 2 5 10 4 3" xfId="47329" xr:uid="{00000000-0005-0000-0000-000011B90000}"/>
    <cellStyle name="输入 2 5 10 4 3 2" xfId="47330" xr:uid="{00000000-0005-0000-0000-000012B90000}"/>
    <cellStyle name="输入 2 5 10 4 4" xfId="47331" xr:uid="{00000000-0005-0000-0000-000013B90000}"/>
    <cellStyle name="输入 2 5 10 4 4 2" xfId="47332" xr:uid="{00000000-0005-0000-0000-000014B90000}"/>
    <cellStyle name="输入 2 5 10 4 5" xfId="16699" xr:uid="{00000000-0005-0000-0000-00006B410000}"/>
    <cellStyle name="输入 2 5 10 4 5 2" xfId="47333" xr:uid="{00000000-0005-0000-0000-000015B90000}"/>
    <cellStyle name="输入 2 5 10 4 6" xfId="47334" xr:uid="{00000000-0005-0000-0000-000016B90000}"/>
    <cellStyle name="输入 2 5 10 5" xfId="47335" xr:uid="{00000000-0005-0000-0000-000017B90000}"/>
    <cellStyle name="输入 2 5 10 5 2" xfId="47336" xr:uid="{00000000-0005-0000-0000-000018B90000}"/>
    <cellStyle name="输入 2 5 10 5 2 2" xfId="47337" xr:uid="{00000000-0005-0000-0000-000019B90000}"/>
    <cellStyle name="输入 2 5 10 5 3" xfId="47338" xr:uid="{00000000-0005-0000-0000-00001AB90000}"/>
    <cellStyle name="输入 2 5 10 5 3 2" xfId="47339" xr:uid="{00000000-0005-0000-0000-00001BB90000}"/>
    <cellStyle name="输入 2 5 10 5 4" xfId="47340" xr:uid="{00000000-0005-0000-0000-00001CB90000}"/>
    <cellStyle name="输入 2 5 10 5 4 2" xfId="47341" xr:uid="{00000000-0005-0000-0000-00001DB90000}"/>
    <cellStyle name="输入 2 5 10 5 5" xfId="16704" xr:uid="{00000000-0005-0000-0000-000070410000}"/>
    <cellStyle name="输入 2 5 10 5 5 2" xfId="47342" xr:uid="{00000000-0005-0000-0000-00001EB90000}"/>
    <cellStyle name="输入 2 5 10 5 6" xfId="47343" xr:uid="{00000000-0005-0000-0000-00001FB90000}"/>
    <cellStyle name="输入 2 5 10 6" xfId="47344" xr:uid="{00000000-0005-0000-0000-000020B90000}"/>
    <cellStyle name="输入 2 5 10 6 2" xfId="47345" xr:uid="{00000000-0005-0000-0000-000021B90000}"/>
    <cellStyle name="输入 2 5 10 6 2 2" xfId="47346" xr:uid="{00000000-0005-0000-0000-000022B90000}"/>
    <cellStyle name="输入 2 5 10 6 3" xfId="47347" xr:uid="{00000000-0005-0000-0000-000023B90000}"/>
    <cellStyle name="输入 2 5 10 6 3 2" xfId="47348" xr:uid="{00000000-0005-0000-0000-000024B90000}"/>
    <cellStyle name="输入 2 5 10 6 4" xfId="47349" xr:uid="{00000000-0005-0000-0000-000025B90000}"/>
    <cellStyle name="输入 2 5 10 6 4 2" xfId="47351" xr:uid="{00000000-0005-0000-0000-000027B90000}"/>
    <cellStyle name="输入 2 5 10 6 5" xfId="5712" xr:uid="{00000000-0005-0000-0000-000080160000}"/>
    <cellStyle name="输入 2 5 10 6 5 2" xfId="47352" xr:uid="{00000000-0005-0000-0000-000028B90000}"/>
    <cellStyle name="输入 2 5 10 6 6" xfId="47353" xr:uid="{00000000-0005-0000-0000-000029B90000}"/>
    <cellStyle name="输入 2 5 10 7" xfId="47354" xr:uid="{00000000-0005-0000-0000-00002AB90000}"/>
    <cellStyle name="输入 2 5 10 7 2" xfId="47355" xr:uid="{00000000-0005-0000-0000-00002BB90000}"/>
    <cellStyle name="输入 2 5 10 7 2 2" xfId="36961" xr:uid="{00000000-0005-0000-0000-000091900000}"/>
    <cellStyle name="输入 2 5 10 7 3" xfId="47356" xr:uid="{00000000-0005-0000-0000-00002CB90000}"/>
    <cellStyle name="输入 2 5 10 7 3 2" xfId="36975" xr:uid="{00000000-0005-0000-0000-00009F900000}"/>
    <cellStyle name="输入 2 5 10 7 4" xfId="47357" xr:uid="{00000000-0005-0000-0000-00002DB90000}"/>
    <cellStyle name="输入 2 5 10 7 4 2" xfId="47359" xr:uid="{00000000-0005-0000-0000-00002FB90000}"/>
    <cellStyle name="输入 2 5 10 7 5" xfId="41933" xr:uid="{00000000-0005-0000-0000-0000FDA30000}"/>
    <cellStyle name="输入 2 5 10 7 5 2" xfId="47360" xr:uid="{00000000-0005-0000-0000-000030B90000}"/>
    <cellStyle name="输入 2 5 10 7 6" xfId="47361" xr:uid="{00000000-0005-0000-0000-000031B90000}"/>
    <cellStyle name="输入 2 5 10 8" xfId="39467" xr:uid="{00000000-0005-0000-0000-00005B9A0000}"/>
    <cellStyle name="输入 2 5 10 8 2" xfId="39469" xr:uid="{00000000-0005-0000-0000-00005D9A0000}"/>
    <cellStyle name="输入 2 5 10 8 2 2" xfId="37006" xr:uid="{00000000-0005-0000-0000-0000BE900000}"/>
    <cellStyle name="输入 2 5 10 8 3" xfId="47362" xr:uid="{00000000-0005-0000-0000-000032B90000}"/>
    <cellStyle name="输入 2 5 10 8 3 2" xfId="37014" xr:uid="{00000000-0005-0000-0000-0000C6900000}"/>
    <cellStyle name="输入 2 5 10 8 4" xfId="47363" xr:uid="{00000000-0005-0000-0000-000033B90000}"/>
    <cellStyle name="输入 2 5 10 8 4 2" xfId="37926" xr:uid="{00000000-0005-0000-0000-000056940000}"/>
    <cellStyle name="输入 2 5 10 8 5" xfId="41936" xr:uid="{00000000-0005-0000-0000-000000A40000}"/>
    <cellStyle name="输入 2 5 10 9" xfId="39471" xr:uid="{00000000-0005-0000-0000-00005F9A0000}"/>
    <cellStyle name="输入 2 5 10 9 2" xfId="39473" xr:uid="{00000000-0005-0000-0000-0000619A0000}"/>
    <cellStyle name="输入 2 5 11" xfId="1034" xr:uid="{00000000-0005-0000-0000-00003A040000}"/>
    <cellStyle name="输入 2 5 11 10" xfId="10312" xr:uid="{00000000-0005-0000-0000-000078280000}"/>
    <cellStyle name="输入 2 5 11 10 2" xfId="27752" xr:uid="{00000000-0005-0000-0000-0000986C0000}"/>
    <cellStyle name="输入 2 5 11 11" xfId="20775" xr:uid="{00000000-0005-0000-0000-000057510000}"/>
    <cellStyle name="输入 2 5 11 11 2" xfId="47365" xr:uid="{00000000-0005-0000-0000-000035B90000}"/>
    <cellStyle name="输入 2 5 11 12" xfId="37623" xr:uid="{00000000-0005-0000-0000-000027930000}"/>
    <cellStyle name="输入 2 5 11 12 2" xfId="47366" xr:uid="{00000000-0005-0000-0000-000036B90000}"/>
    <cellStyle name="输入 2 5 11 13" xfId="11022" xr:uid="{00000000-0005-0000-0000-00003E2B0000}"/>
    <cellStyle name="输入 2 5 11 14" xfId="47367" xr:uid="{00000000-0005-0000-0000-000037B90000}"/>
    <cellStyle name="输入 2 5 11 15" xfId="45357" xr:uid="{00000000-0005-0000-0000-00005DB10000}"/>
    <cellStyle name="输入 2 5 11 16" xfId="14475" xr:uid="{00000000-0005-0000-0000-0000BB380000}"/>
    <cellStyle name="输入 2 5 11 2" xfId="47368" xr:uid="{00000000-0005-0000-0000-000038B90000}"/>
    <cellStyle name="输入 2 5 11 2 2" xfId="47369" xr:uid="{00000000-0005-0000-0000-000039B90000}"/>
    <cellStyle name="输入 2 5 11 2 2 2" xfId="47370" xr:uid="{00000000-0005-0000-0000-00003AB90000}"/>
    <cellStyle name="输入 2 5 11 2 3" xfId="33361" xr:uid="{00000000-0005-0000-0000-000081820000}"/>
    <cellStyle name="输入 2 5 11 2 3 2" xfId="47371" xr:uid="{00000000-0005-0000-0000-00003BB90000}"/>
    <cellStyle name="输入 2 5 11 2 4" xfId="47372" xr:uid="{00000000-0005-0000-0000-00003CB90000}"/>
    <cellStyle name="输入 2 5 11 2 4 2" xfId="47373" xr:uid="{00000000-0005-0000-0000-00003DB90000}"/>
    <cellStyle name="输入 2 5 11 2 5" xfId="47374" xr:uid="{00000000-0005-0000-0000-00003EB90000}"/>
    <cellStyle name="输入 2 5 11 2 5 2" xfId="47375" xr:uid="{00000000-0005-0000-0000-00003FB90000}"/>
    <cellStyle name="输入 2 5 11 2 6" xfId="47376" xr:uid="{00000000-0005-0000-0000-000040B90000}"/>
    <cellStyle name="输入 2 5 11 3" xfId="47377" xr:uid="{00000000-0005-0000-0000-000041B90000}"/>
    <cellStyle name="输入 2 5 11 3 2" xfId="47378" xr:uid="{00000000-0005-0000-0000-000042B90000}"/>
    <cellStyle name="输入 2 5 11 3 2 2" xfId="5217" xr:uid="{00000000-0005-0000-0000-000091140000}"/>
    <cellStyle name="输入 2 5 11 3 3" xfId="47379" xr:uid="{00000000-0005-0000-0000-000043B90000}"/>
    <cellStyle name="输入 2 5 11 3 3 2" xfId="8035" xr:uid="{00000000-0005-0000-0000-0000931F0000}"/>
    <cellStyle name="输入 2 5 11 3 4" xfId="47380" xr:uid="{00000000-0005-0000-0000-000044B90000}"/>
    <cellStyle name="输入 2 5 11 3 4 2" xfId="8064" xr:uid="{00000000-0005-0000-0000-0000B01F0000}"/>
    <cellStyle name="输入 2 5 11 3 5" xfId="16713" xr:uid="{00000000-0005-0000-0000-000079410000}"/>
    <cellStyle name="输入 2 5 11 3 5 2" xfId="8115" xr:uid="{00000000-0005-0000-0000-0000E31F0000}"/>
    <cellStyle name="输入 2 5 11 3 6" xfId="47381" xr:uid="{00000000-0005-0000-0000-000045B90000}"/>
    <cellStyle name="输入 2 5 11 4" xfId="741" xr:uid="{00000000-0005-0000-0000-000015030000}"/>
    <cellStyle name="输入 2 5 11 4 2" xfId="8488" xr:uid="{00000000-0005-0000-0000-000058210000}"/>
    <cellStyle name="输入 2 5 11 4 2 2" xfId="47382" xr:uid="{00000000-0005-0000-0000-000046B90000}"/>
    <cellStyle name="输入 2 5 11 4 3" xfId="47383" xr:uid="{00000000-0005-0000-0000-000047B90000}"/>
    <cellStyle name="输入 2 5 11 4 3 2" xfId="47384" xr:uid="{00000000-0005-0000-0000-000048B90000}"/>
    <cellStyle name="输入 2 5 11 4 4" xfId="47385" xr:uid="{00000000-0005-0000-0000-000049B90000}"/>
    <cellStyle name="输入 2 5 11 4 4 2" xfId="47386" xr:uid="{00000000-0005-0000-0000-00004AB90000}"/>
    <cellStyle name="输入 2 5 11 4 5" xfId="16718" xr:uid="{00000000-0005-0000-0000-00007E410000}"/>
    <cellStyle name="输入 2 5 11 4 5 2" xfId="47387" xr:uid="{00000000-0005-0000-0000-00004BB90000}"/>
    <cellStyle name="输入 2 5 11 4 6" xfId="47388" xr:uid="{00000000-0005-0000-0000-00004CB90000}"/>
    <cellStyle name="输入 2 5 11 5" xfId="607" xr:uid="{00000000-0005-0000-0000-00008F020000}"/>
    <cellStyle name="输入 2 5 11 5 2" xfId="8497" xr:uid="{00000000-0005-0000-0000-000061210000}"/>
    <cellStyle name="输入 2 5 11 5 2 2" xfId="47389" xr:uid="{00000000-0005-0000-0000-00004DB90000}"/>
    <cellStyle name="输入 2 5 11 5 3" xfId="47390" xr:uid="{00000000-0005-0000-0000-00004EB90000}"/>
    <cellStyle name="输入 2 5 11 5 3 2" xfId="47391" xr:uid="{00000000-0005-0000-0000-00004FB90000}"/>
    <cellStyle name="输入 2 5 11 5 4" xfId="47392" xr:uid="{00000000-0005-0000-0000-000050B90000}"/>
    <cellStyle name="输入 2 5 11 5 4 2" xfId="47393" xr:uid="{00000000-0005-0000-0000-000051B90000}"/>
    <cellStyle name="输入 2 5 11 5 5" xfId="16723" xr:uid="{00000000-0005-0000-0000-000083410000}"/>
    <cellStyle name="输入 2 5 11 5 5 2" xfId="47394" xr:uid="{00000000-0005-0000-0000-000052B90000}"/>
    <cellStyle name="输入 2 5 11 5 6" xfId="47395" xr:uid="{00000000-0005-0000-0000-000053B90000}"/>
    <cellStyle name="输入 2 5 11 6" xfId="6231" xr:uid="{00000000-0005-0000-0000-000087180000}"/>
    <cellStyle name="输入 2 5 11 6 2" xfId="8504" xr:uid="{00000000-0005-0000-0000-000068210000}"/>
    <cellStyle name="输入 2 5 11 6 2 2" xfId="47396" xr:uid="{00000000-0005-0000-0000-000054B90000}"/>
    <cellStyle name="输入 2 5 11 6 3" xfId="47397" xr:uid="{00000000-0005-0000-0000-000055B90000}"/>
    <cellStyle name="输入 2 5 11 6 3 2" xfId="2318" xr:uid="{00000000-0005-0000-0000-00003E090000}"/>
    <cellStyle name="输入 2 5 11 6 4" xfId="47398" xr:uid="{00000000-0005-0000-0000-000056B90000}"/>
    <cellStyle name="输入 2 5 11 6 4 2" xfId="47400" xr:uid="{00000000-0005-0000-0000-000058B90000}"/>
    <cellStyle name="输入 2 5 11 6 5" xfId="5796" xr:uid="{00000000-0005-0000-0000-0000D4160000}"/>
    <cellStyle name="输入 2 5 11 6 5 2" xfId="47401" xr:uid="{00000000-0005-0000-0000-000059B90000}"/>
    <cellStyle name="输入 2 5 11 6 6" xfId="47402" xr:uid="{00000000-0005-0000-0000-00005AB90000}"/>
    <cellStyle name="输入 2 5 11 7" xfId="8508" xr:uid="{00000000-0005-0000-0000-00006C210000}"/>
    <cellStyle name="输入 2 5 11 7 2" xfId="47403" xr:uid="{00000000-0005-0000-0000-00005BB90000}"/>
    <cellStyle name="输入 2 5 11 7 2 2" xfId="47404" xr:uid="{00000000-0005-0000-0000-00005CB90000}"/>
    <cellStyle name="输入 2 5 11 7 3" xfId="47405" xr:uid="{00000000-0005-0000-0000-00005DB90000}"/>
    <cellStyle name="输入 2 5 11 7 3 2" xfId="47406" xr:uid="{00000000-0005-0000-0000-00005EB90000}"/>
    <cellStyle name="输入 2 5 11 7 4" xfId="47407" xr:uid="{00000000-0005-0000-0000-00005FB90000}"/>
    <cellStyle name="输入 2 5 11 7 4 2" xfId="47409" xr:uid="{00000000-0005-0000-0000-000061B90000}"/>
    <cellStyle name="输入 2 5 11 7 5" xfId="47410" xr:uid="{00000000-0005-0000-0000-000062B90000}"/>
    <cellStyle name="输入 2 5 11 7 5 2" xfId="47411" xr:uid="{00000000-0005-0000-0000-000063B90000}"/>
    <cellStyle name="输入 2 5 11 7 6" xfId="47412" xr:uid="{00000000-0005-0000-0000-000064B90000}"/>
    <cellStyle name="输入 2 5 11 8" xfId="2331" xr:uid="{00000000-0005-0000-0000-00004B090000}"/>
    <cellStyle name="输入 2 5 11 8 2" xfId="39479" xr:uid="{00000000-0005-0000-0000-0000679A0000}"/>
    <cellStyle name="输入 2 5 11 8 2 2" xfId="47413" xr:uid="{00000000-0005-0000-0000-000065B90000}"/>
    <cellStyle name="输入 2 5 11 8 3" xfId="47415" xr:uid="{00000000-0005-0000-0000-000067B90000}"/>
    <cellStyle name="输入 2 5 11 8 3 2" xfId="47416" xr:uid="{00000000-0005-0000-0000-000068B90000}"/>
    <cellStyle name="输入 2 5 11 8 4" xfId="47417" xr:uid="{00000000-0005-0000-0000-000069B90000}"/>
    <cellStyle name="输入 2 5 11 8 4 2" xfId="47419" xr:uid="{00000000-0005-0000-0000-00006BB90000}"/>
    <cellStyle name="输入 2 5 11 8 5" xfId="47420" xr:uid="{00000000-0005-0000-0000-00006CB90000}"/>
    <cellStyle name="输入 2 5 11 9" xfId="6141" xr:uid="{00000000-0005-0000-0000-00002D180000}"/>
    <cellStyle name="输入 2 5 11 9 2" xfId="39481" xr:uid="{00000000-0005-0000-0000-0000699A0000}"/>
    <cellStyle name="输入 2 5 12" xfId="47421" xr:uid="{00000000-0005-0000-0000-00006DB90000}"/>
    <cellStyle name="输入 2 5 12 2" xfId="47422" xr:uid="{00000000-0005-0000-0000-00006EB90000}"/>
    <cellStyle name="输入 2 5 12 2 2" xfId="47423" xr:uid="{00000000-0005-0000-0000-00006FB90000}"/>
    <cellStyle name="输入 2 5 12 3" xfId="47424" xr:uid="{00000000-0005-0000-0000-000070B90000}"/>
    <cellStyle name="输入 2 5 12 3 2" xfId="47425" xr:uid="{00000000-0005-0000-0000-000071B90000}"/>
    <cellStyle name="输入 2 5 12 4" xfId="47426" xr:uid="{00000000-0005-0000-0000-000072B90000}"/>
    <cellStyle name="输入 2 5 12 4 2" xfId="47427" xr:uid="{00000000-0005-0000-0000-000073B90000}"/>
    <cellStyle name="输入 2 5 12 5" xfId="47428" xr:uid="{00000000-0005-0000-0000-000074B90000}"/>
    <cellStyle name="输入 2 5 12 5 2" xfId="47429" xr:uid="{00000000-0005-0000-0000-000075B90000}"/>
    <cellStyle name="输入 2 5 12 6" xfId="47430" xr:uid="{00000000-0005-0000-0000-000076B90000}"/>
    <cellStyle name="输入 2 5 12 7" xfId="1020" xr:uid="{00000000-0005-0000-0000-00002C040000}"/>
    <cellStyle name="输入 2 5 12 8" xfId="39486" xr:uid="{00000000-0005-0000-0000-00006E9A0000}"/>
    <cellStyle name="输入 2 5 12 9" xfId="39489" xr:uid="{00000000-0005-0000-0000-0000719A0000}"/>
    <cellStyle name="输入 2 5 13" xfId="47431" xr:uid="{00000000-0005-0000-0000-000077B90000}"/>
    <cellStyle name="输入 2 5 13 2" xfId="47432" xr:uid="{00000000-0005-0000-0000-000078B90000}"/>
    <cellStyle name="输入 2 5 13 2 2" xfId="47433" xr:uid="{00000000-0005-0000-0000-000079B90000}"/>
    <cellStyle name="输入 2 5 13 3" xfId="47434" xr:uid="{00000000-0005-0000-0000-00007AB90000}"/>
    <cellStyle name="输入 2 5 13 3 2" xfId="47435" xr:uid="{00000000-0005-0000-0000-00007BB90000}"/>
    <cellStyle name="输入 2 5 13 4" xfId="47436" xr:uid="{00000000-0005-0000-0000-00007CB90000}"/>
    <cellStyle name="输入 2 5 13 4 2" xfId="47437" xr:uid="{00000000-0005-0000-0000-00007DB90000}"/>
    <cellStyle name="输入 2 5 13 5" xfId="47438" xr:uid="{00000000-0005-0000-0000-00007EB90000}"/>
    <cellStyle name="输入 2 5 13 5 2" xfId="47439" xr:uid="{00000000-0005-0000-0000-00007FB90000}"/>
    <cellStyle name="输入 2 5 13 6" xfId="47440" xr:uid="{00000000-0005-0000-0000-000080B90000}"/>
    <cellStyle name="输入 2 5 14" xfId="28906" xr:uid="{00000000-0005-0000-0000-00001A710000}"/>
    <cellStyle name="输入 2 5 14 2" xfId="47441" xr:uid="{00000000-0005-0000-0000-000081B90000}"/>
    <cellStyle name="输入 2 5 14 2 2" xfId="47443" xr:uid="{00000000-0005-0000-0000-000083B90000}"/>
    <cellStyle name="输入 2 5 14 3" xfId="47444" xr:uid="{00000000-0005-0000-0000-000084B90000}"/>
    <cellStyle name="输入 2 5 14 3 2" xfId="47445" xr:uid="{00000000-0005-0000-0000-000085B90000}"/>
    <cellStyle name="输入 2 5 14 4" xfId="47446" xr:uid="{00000000-0005-0000-0000-000086B90000}"/>
    <cellStyle name="输入 2 5 14 4 2" xfId="47447" xr:uid="{00000000-0005-0000-0000-000087B90000}"/>
    <cellStyle name="输入 2 5 14 5" xfId="47448" xr:uid="{00000000-0005-0000-0000-000088B90000}"/>
    <cellStyle name="输入 2 5 14 5 2" xfId="47449" xr:uid="{00000000-0005-0000-0000-000089B90000}"/>
    <cellStyle name="输入 2 5 14 6" xfId="47450" xr:uid="{00000000-0005-0000-0000-00008AB90000}"/>
    <cellStyle name="输入 2 5 15" xfId="47451" xr:uid="{00000000-0005-0000-0000-00008BB90000}"/>
    <cellStyle name="输入 2 5 15 2" xfId="47455" xr:uid="{00000000-0005-0000-0000-00008FB90000}"/>
    <cellStyle name="输入 2 5 15 2 2" xfId="47458" xr:uid="{00000000-0005-0000-0000-000092B90000}"/>
    <cellStyle name="输入 2 5 15 3" xfId="47459" xr:uid="{00000000-0005-0000-0000-000093B90000}"/>
    <cellStyle name="输入 2 5 15 3 2" xfId="47460" xr:uid="{00000000-0005-0000-0000-000094B90000}"/>
    <cellStyle name="输入 2 5 15 4" xfId="47461" xr:uid="{00000000-0005-0000-0000-000095B90000}"/>
    <cellStyle name="输入 2 5 15 4 2" xfId="47462" xr:uid="{00000000-0005-0000-0000-000096B90000}"/>
    <cellStyle name="输入 2 5 15 5" xfId="47463" xr:uid="{00000000-0005-0000-0000-000097B90000}"/>
    <cellStyle name="输入 2 5 15 5 2" xfId="47464" xr:uid="{00000000-0005-0000-0000-000098B90000}"/>
    <cellStyle name="输入 2 5 15 6" xfId="47466" xr:uid="{00000000-0005-0000-0000-00009AB90000}"/>
    <cellStyle name="输入 2 5 16" xfId="36334" xr:uid="{00000000-0005-0000-0000-00001E8E0000}"/>
    <cellStyle name="输入 2 5 16 2" xfId="47467" xr:uid="{00000000-0005-0000-0000-00009BB90000}"/>
    <cellStyle name="输入 2 5 16 2 2" xfId="47470" xr:uid="{00000000-0005-0000-0000-00009EB90000}"/>
    <cellStyle name="输入 2 5 16 3" xfId="47471" xr:uid="{00000000-0005-0000-0000-00009FB90000}"/>
    <cellStyle name="输入 2 5 16 3 2" xfId="47472" xr:uid="{00000000-0005-0000-0000-0000A0B90000}"/>
    <cellStyle name="输入 2 5 16 4" xfId="7753" xr:uid="{00000000-0005-0000-0000-0000791E0000}"/>
    <cellStyle name="输入 2 5 16 4 2" xfId="8710" xr:uid="{00000000-0005-0000-0000-000036220000}"/>
    <cellStyle name="输入 2 5 16 5" xfId="3170" xr:uid="{00000000-0005-0000-0000-0000920C0000}"/>
    <cellStyle name="输入 2 5 16 5 2" xfId="1391" xr:uid="{00000000-0005-0000-0000-00009F050000}"/>
    <cellStyle name="输入 2 5 16 6" xfId="3182" xr:uid="{00000000-0005-0000-0000-00009E0C0000}"/>
    <cellStyle name="输入 2 5 17" xfId="47473" xr:uid="{00000000-0005-0000-0000-0000A1B90000}"/>
    <cellStyle name="输入 2 5 17 2" xfId="47476" xr:uid="{00000000-0005-0000-0000-0000A4B90000}"/>
    <cellStyle name="输入 2 5 17 2 2" xfId="47479" xr:uid="{00000000-0005-0000-0000-0000A7B90000}"/>
    <cellStyle name="输入 2 5 17 3" xfId="47480" xr:uid="{00000000-0005-0000-0000-0000A8B90000}"/>
    <cellStyle name="输入 2 5 17 3 2" xfId="47481" xr:uid="{00000000-0005-0000-0000-0000A9B90000}"/>
    <cellStyle name="输入 2 5 17 4" xfId="47482" xr:uid="{00000000-0005-0000-0000-0000AAB90000}"/>
    <cellStyle name="输入 2 5 17 4 2" xfId="47483" xr:uid="{00000000-0005-0000-0000-0000ABB90000}"/>
    <cellStyle name="输入 2 5 17 5" xfId="47484" xr:uid="{00000000-0005-0000-0000-0000ACB90000}"/>
    <cellStyle name="输入 2 5 17 5 2" xfId="47485" xr:uid="{00000000-0005-0000-0000-0000ADB90000}"/>
    <cellStyle name="输入 2 5 17 6" xfId="1183" xr:uid="{00000000-0005-0000-0000-0000CF040000}"/>
    <cellStyle name="输入 2 5 18" xfId="23095" xr:uid="{00000000-0005-0000-0000-0000675A0000}"/>
    <cellStyle name="输入 2 5 18 2" xfId="23100" xr:uid="{00000000-0005-0000-0000-00006C5A0000}"/>
    <cellStyle name="输入 2 5 18 2 2" xfId="47486" xr:uid="{00000000-0005-0000-0000-0000AEB90000}"/>
    <cellStyle name="输入 2 5 18 3" xfId="47487" xr:uid="{00000000-0005-0000-0000-0000AFB90000}"/>
    <cellStyle name="输入 2 5 18 3 2" xfId="47488" xr:uid="{00000000-0005-0000-0000-0000B0B90000}"/>
    <cellStyle name="输入 2 5 18 4" xfId="47489" xr:uid="{00000000-0005-0000-0000-0000B1B90000}"/>
    <cellStyle name="输入 2 5 18 4 2" xfId="47490" xr:uid="{00000000-0005-0000-0000-0000B2B90000}"/>
    <cellStyle name="输入 2 5 18 5" xfId="47491" xr:uid="{00000000-0005-0000-0000-0000B3B90000}"/>
    <cellStyle name="输入 2 5 18 5 2" xfId="47493" xr:uid="{00000000-0005-0000-0000-0000B5B90000}"/>
    <cellStyle name="输入 2 5 18 6" xfId="2944" xr:uid="{00000000-0005-0000-0000-0000B00B0000}"/>
    <cellStyle name="输入 2 5 19" xfId="23080" xr:uid="{00000000-0005-0000-0000-0000585A0000}"/>
    <cellStyle name="输入 2 5 19 2" xfId="23105" xr:uid="{00000000-0005-0000-0000-0000715A0000}"/>
    <cellStyle name="输入 2 5 19 2 2" xfId="47494" xr:uid="{00000000-0005-0000-0000-0000B6B90000}"/>
    <cellStyle name="输入 2 5 19 3" xfId="47495" xr:uid="{00000000-0005-0000-0000-0000B7B90000}"/>
    <cellStyle name="输入 2 5 19 3 2" xfId="37428" xr:uid="{00000000-0005-0000-0000-000064920000}"/>
    <cellStyle name="输入 2 5 19 4" xfId="47496" xr:uid="{00000000-0005-0000-0000-0000B8B90000}"/>
    <cellStyle name="输入 2 5 19 4 2" xfId="47497" xr:uid="{00000000-0005-0000-0000-0000B9B90000}"/>
    <cellStyle name="输入 2 5 19 5" xfId="47498" xr:uid="{00000000-0005-0000-0000-0000BAB90000}"/>
    <cellStyle name="输入 2 5 2" xfId="47500" xr:uid="{00000000-0005-0000-0000-0000BCB90000}"/>
    <cellStyle name="输入 2 5 2 10" xfId="47502" xr:uid="{00000000-0005-0000-0000-0000BEB90000}"/>
    <cellStyle name="输入 2 5 2 10 2" xfId="47503" xr:uid="{00000000-0005-0000-0000-0000BFB90000}"/>
    <cellStyle name="输入 2 5 2 11" xfId="47504" xr:uid="{00000000-0005-0000-0000-0000C0B90000}"/>
    <cellStyle name="输入 2 5 2 11 2" xfId="47505" xr:uid="{00000000-0005-0000-0000-0000C1B90000}"/>
    <cellStyle name="输入 2 5 2 12" xfId="47506" xr:uid="{00000000-0005-0000-0000-0000C2B90000}"/>
    <cellStyle name="输入 2 5 2 12 2" xfId="47507" xr:uid="{00000000-0005-0000-0000-0000C3B90000}"/>
    <cellStyle name="输入 2 5 2 13" xfId="47508" xr:uid="{00000000-0005-0000-0000-0000C4B90000}"/>
    <cellStyle name="输入 2 5 2 14" xfId="4470" xr:uid="{00000000-0005-0000-0000-0000A6110000}"/>
    <cellStyle name="输入 2 5 2 15" xfId="47509" xr:uid="{00000000-0005-0000-0000-0000C5B90000}"/>
    <cellStyle name="输入 2 5 2 16" xfId="47510" xr:uid="{00000000-0005-0000-0000-0000C6B90000}"/>
    <cellStyle name="输入 2 5 2 2" xfId="47511" xr:uid="{00000000-0005-0000-0000-0000C7B90000}"/>
    <cellStyle name="输入 2 5 2 2 2" xfId="47512" xr:uid="{00000000-0005-0000-0000-0000C8B90000}"/>
    <cellStyle name="输入 2 5 2 2 2 2" xfId="47513" xr:uid="{00000000-0005-0000-0000-0000C9B90000}"/>
    <cellStyle name="输入 2 5 2 2 3" xfId="47514" xr:uid="{00000000-0005-0000-0000-0000CAB90000}"/>
    <cellStyle name="输入 2 5 2 2 3 2" xfId="47515" xr:uid="{00000000-0005-0000-0000-0000CBB90000}"/>
    <cellStyle name="输入 2 5 2 2 4" xfId="47516" xr:uid="{00000000-0005-0000-0000-0000CCB90000}"/>
    <cellStyle name="输入 2 5 2 2 4 2" xfId="47517" xr:uid="{00000000-0005-0000-0000-0000CDB90000}"/>
    <cellStyle name="输入 2 5 2 2 5" xfId="21029" xr:uid="{00000000-0005-0000-0000-000055520000}"/>
    <cellStyle name="输入 2 5 2 2 5 2" xfId="20657" xr:uid="{00000000-0005-0000-0000-0000E1500000}"/>
    <cellStyle name="输入 2 5 2 2 6" xfId="4152" xr:uid="{00000000-0005-0000-0000-000068100000}"/>
    <cellStyle name="输入 2 5 2 2 7" xfId="4162" xr:uid="{00000000-0005-0000-0000-000072100000}"/>
    <cellStyle name="输入 2 5 2 2 8" xfId="2498" xr:uid="{00000000-0005-0000-0000-0000F2090000}"/>
    <cellStyle name="输入 2 5 2 2 9" xfId="4201" xr:uid="{00000000-0005-0000-0000-000099100000}"/>
    <cellStyle name="输入 2 5 2 3" xfId="47518" xr:uid="{00000000-0005-0000-0000-0000CEB90000}"/>
    <cellStyle name="输入 2 5 2 3 2" xfId="47519" xr:uid="{00000000-0005-0000-0000-0000CFB90000}"/>
    <cellStyle name="输入 2 5 2 3 2 2" xfId="47520" xr:uid="{00000000-0005-0000-0000-0000D0B90000}"/>
    <cellStyle name="输入 2 5 2 3 3" xfId="47521" xr:uid="{00000000-0005-0000-0000-0000D1B90000}"/>
    <cellStyle name="输入 2 5 2 3 3 2" xfId="47522" xr:uid="{00000000-0005-0000-0000-0000D2B90000}"/>
    <cellStyle name="输入 2 5 2 3 4" xfId="47523" xr:uid="{00000000-0005-0000-0000-0000D3B90000}"/>
    <cellStyle name="输入 2 5 2 3 4 2" xfId="47524" xr:uid="{00000000-0005-0000-0000-0000D4B90000}"/>
    <cellStyle name="输入 2 5 2 3 5" xfId="21032" xr:uid="{00000000-0005-0000-0000-000058520000}"/>
    <cellStyle name="输入 2 5 2 3 5 2" xfId="20779" xr:uid="{00000000-0005-0000-0000-00005B510000}"/>
    <cellStyle name="输入 2 5 2 3 6" xfId="4048" xr:uid="{00000000-0005-0000-0000-000000100000}"/>
    <cellStyle name="输入 2 5 2 4" xfId="47525" xr:uid="{00000000-0005-0000-0000-0000D5B90000}"/>
    <cellStyle name="输入 2 5 2 4 2" xfId="47526" xr:uid="{00000000-0005-0000-0000-0000D6B90000}"/>
    <cellStyle name="输入 2 5 2 4 2 2" xfId="47527" xr:uid="{00000000-0005-0000-0000-0000D7B90000}"/>
    <cellStyle name="输入 2 5 2 4 3" xfId="47528" xr:uid="{00000000-0005-0000-0000-0000D8B90000}"/>
    <cellStyle name="输入 2 5 2 4 3 2" xfId="47529" xr:uid="{00000000-0005-0000-0000-0000D9B90000}"/>
    <cellStyle name="输入 2 5 2 4 4" xfId="47530" xr:uid="{00000000-0005-0000-0000-0000DAB90000}"/>
    <cellStyle name="输入 2 5 2 4 4 2" xfId="47531" xr:uid="{00000000-0005-0000-0000-0000DBB90000}"/>
    <cellStyle name="输入 2 5 2 4 5" xfId="21039" xr:uid="{00000000-0005-0000-0000-00005F520000}"/>
    <cellStyle name="输入 2 5 2 4 5 2" xfId="20885" xr:uid="{00000000-0005-0000-0000-0000C5510000}"/>
    <cellStyle name="输入 2 5 2 4 6" xfId="4064" xr:uid="{00000000-0005-0000-0000-000010100000}"/>
    <cellStyle name="输入 2 5 2 5" xfId="47532" xr:uid="{00000000-0005-0000-0000-0000DCB90000}"/>
    <cellStyle name="输入 2 5 2 5 2" xfId="47533" xr:uid="{00000000-0005-0000-0000-0000DDB90000}"/>
    <cellStyle name="输入 2 5 2 5 2 2" xfId="1337" xr:uid="{00000000-0005-0000-0000-000069050000}"/>
    <cellStyle name="输入 2 5 2 5 3" xfId="47534" xr:uid="{00000000-0005-0000-0000-0000DEB90000}"/>
    <cellStyle name="输入 2 5 2 5 3 2" xfId="3541" xr:uid="{00000000-0005-0000-0000-0000050E0000}"/>
    <cellStyle name="输入 2 5 2 5 4" xfId="47535" xr:uid="{00000000-0005-0000-0000-0000DFB90000}"/>
    <cellStyle name="输入 2 5 2 5 4 2" xfId="3667" xr:uid="{00000000-0005-0000-0000-0000830E0000}"/>
    <cellStyle name="输入 2 5 2 5 5" xfId="17315" xr:uid="{00000000-0005-0000-0000-0000D3430000}"/>
    <cellStyle name="输入 2 5 2 5 5 2" xfId="1513" xr:uid="{00000000-0005-0000-0000-000019060000}"/>
    <cellStyle name="输入 2 5 2 5 6" xfId="4093" xr:uid="{00000000-0005-0000-0000-00002D100000}"/>
    <cellStyle name="输入 2 5 2 6" xfId="47536" xr:uid="{00000000-0005-0000-0000-0000E0B90000}"/>
    <cellStyle name="输入 2 5 2 6 2" xfId="47537" xr:uid="{00000000-0005-0000-0000-0000E1B90000}"/>
    <cellStyle name="输入 2 5 2 6 2 2" xfId="47538" xr:uid="{00000000-0005-0000-0000-0000E2B90000}"/>
    <cellStyle name="输入 2 5 2 6 3" xfId="29201" xr:uid="{00000000-0005-0000-0000-000041720000}"/>
    <cellStyle name="输入 2 5 2 6 3 2" xfId="47539" xr:uid="{00000000-0005-0000-0000-0000E3B90000}"/>
    <cellStyle name="输入 2 5 2 6 4" xfId="20426" xr:uid="{00000000-0005-0000-0000-0000FA4F0000}"/>
    <cellStyle name="输入 2 5 2 6 4 2" xfId="47540" xr:uid="{00000000-0005-0000-0000-0000E4B90000}"/>
    <cellStyle name="输入 2 5 2 6 5" xfId="21041" xr:uid="{00000000-0005-0000-0000-000061520000}"/>
    <cellStyle name="输入 2 5 2 6 5 2" xfId="1943" xr:uid="{00000000-0005-0000-0000-0000C7070000}"/>
    <cellStyle name="输入 2 5 2 6 6" xfId="4113" xr:uid="{00000000-0005-0000-0000-000041100000}"/>
    <cellStyle name="输入 2 5 2 7" xfId="47542" xr:uid="{00000000-0005-0000-0000-0000E6B90000}"/>
    <cellStyle name="输入 2 5 2 7 2" xfId="47543" xr:uid="{00000000-0005-0000-0000-0000E7B90000}"/>
    <cellStyle name="输入 2 5 2 7 2 2" xfId="47544" xr:uid="{00000000-0005-0000-0000-0000E8B90000}"/>
    <cellStyle name="输入 2 5 2 7 3" xfId="29204" xr:uid="{00000000-0005-0000-0000-000044720000}"/>
    <cellStyle name="输入 2 5 2 7 3 2" xfId="47545" xr:uid="{00000000-0005-0000-0000-0000E9B90000}"/>
    <cellStyle name="输入 2 5 2 7 4" xfId="20429" xr:uid="{00000000-0005-0000-0000-0000FD4F0000}"/>
    <cellStyle name="输入 2 5 2 7 4 2" xfId="47546" xr:uid="{00000000-0005-0000-0000-0000EAB90000}"/>
    <cellStyle name="输入 2 5 2 7 5" xfId="21044" xr:uid="{00000000-0005-0000-0000-000064520000}"/>
    <cellStyle name="输入 2 5 2 7 5 2" xfId="47548" xr:uid="{00000000-0005-0000-0000-0000ECB90000}"/>
    <cellStyle name="输入 2 5 2 7 6" xfId="47550" xr:uid="{00000000-0005-0000-0000-0000EEB90000}"/>
    <cellStyle name="输入 2 5 2 8" xfId="47551" xr:uid="{00000000-0005-0000-0000-0000EFB90000}"/>
    <cellStyle name="输入 2 5 2 8 2" xfId="47552" xr:uid="{00000000-0005-0000-0000-0000F0B90000}"/>
    <cellStyle name="输入 2 5 2 8 2 2" xfId="4741" xr:uid="{00000000-0005-0000-0000-0000B5120000}"/>
    <cellStyle name="输入 2 5 2 8 3" xfId="29206" xr:uid="{00000000-0005-0000-0000-000046720000}"/>
    <cellStyle name="输入 2 5 2 8 3 2" xfId="47553" xr:uid="{00000000-0005-0000-0000-0000F1B90000}"/>
    <cellStyle name="输入 2 5 2 8 4" xfId="20432" xr:uid="{00000000-0005-0000-0000-000000500000}"/>
    <cellStyle name="输入 2 5 2 8 4 2" xfId="47554" xr:uid="{00000000-0005-0000-0000-0000F2B90000}"/>
    <cellStyle name="输入 2 5 2 8 5" xfId="47555" xr:uid="{00000000-0005-0000-0000-0000F3B90000}"/>
    <cellStyle name="输入 2 5 2 9" xfId="47556" xr:uid="{00000000-0005-0000-0000-0000F4B90000}"/>
    <cellStyle name="输入 2 5 2 9 2" xfId="47557" xr:uid="{00000000-0005-0000-0000-0000F5B90000}"/>
    <cellStyle name="输入 2 5 20" xfId="47452" xr:uid="{00000000-0005-0000-0000-00008CB90000}"/>
    <cellStyle name="输入 2 5 20 2" xfId="47456" xr:uid="{00000000-0005-0000-0000-000090B90000}"/>
    <cellStyle name="输入 2 5 21" xfId="36335" xr:uid="{00000000-0005-0000-0000-00001F8E0000}"/>
    <cellStyle name="输入 2 5 21 2" xfId="47468" xr:uid="{00000000-0005-0000-0000-00009CB90000}"/>
    <cellStyle name="输入 2 5 22" xfId="47474" xr:uid="{00000000-0005-0000-0000-0000A2B90000}"/>
    <cellStyle name="输入 2 5 22 2" xfId="47477" xr:uid="{00000000-0005-0000-0000-0000A5B90000}"/>
    <cellStyle name="输入 2 5 23" xfId="23094" xr:uid="{00000000-0005-0000-0000-0000665A0000}"/>
    <cellStyle name="输入 2 5 23 2" xfId="23099" xr:uid="{00000000-0005-0000-0000-00006B5A0000}"/>
    <cellStyle name="输入 2 5 24" xfId="23079" xr:uid="{00000000-0005-0000-0000-0000575A0000}"/>
    <cellStyle name="输入 2 5 25" xfId="23107" xr:uid="{00000000-0005-0000-0000-0000735A0000}"/>
    <cellStyle name="输入 2 5 26" xfId="11300" xr:uid="{00000000-0005-0000-0000-0000542C0000}"/>
    <cellStyle name="输入 2 5 27" xfId="21234" xr:uid="{00000000-0005-0000-0000-000022530000}"/>
    <cellStyle name="输入 2 5 3" xfId="47558" xr:uid="{00000000-0005-0000-0000-0000F6B90000}"/>
    <cellStyle name="输入 2 5 3 10" xfId="47559" xr:uid="{00000000-0005-0000-0000-0000F7B90000}"/>
    <cellStyle name="输入 2 5 3 10 2" xfId="47560" xr:uid="{00000000-0005-0000-0000-0000F8B90000}"/>
    <cellStyle name="输入 2 5 3 11" xfId="47561" xr:uid="{00000000-0005-0000-0000-0000F9B90000}"/>
    <cellStyle name="输入 2 5 3 11 2" xfId="47562" xr:uid="{00000000-0005-0000-0000-0000FAB90000}"/>
    <cellStyle name="输入 2 5 3 12" xfId="47563" xr:uid="{00000000-0005-0000-0000-0000FBB90000}"/>
    <cellStyle name="输入 2 5 3 12 2" xfId="47565" xr:uid="{00000000-0005-0000-0000-0000FDB90000}"/>
    <cellStyle name="输入 2 5 3 13" xfId="38160" xr:uid="{00000000-0005-0000-0000-000040950000}"/>
    <cellStyle name="输入 2 5 3 14" xfId="47566" xr:uid="{00000000-0005-0000-0000-0000FEB90000}"/>
    <cellStyle name="输入 2 5 3 15" xfId="47567" xr:uid="{00000000-0005-0000-0000-0000FFB90000}"/>
    <cellStyle name="输入 2 5 3 16" xfId="47568" xr:uid="{00000000-0005-0000-0000-000000BA0000}"/>
    <cellStyle name="输入 2 5 3 2" xfId="47569" xr:uid="{00000000-0005-0000-0000-000001BA0000}"/>
    <cellStyle name="输入 2 5 3 2 2" xfId="47570" xr:uid="{00000000-0005-0000-0000-000002BA0000}"/>
    <cellStyle name="输入 2 5 3 2 2 2" xfId="38415" xr:uid="{00000000-0005-0000-0000-00003F960000}"/>
    <cellStyle name="输入 2 5 3 2 3" xfId="47571" xr:uid="{00000000-0005-0000-0000-000003BA0000}"/>
    <cellStyle name="输入 2 5 3 2 3 2" xfId="47572" xr:uid="{00000000-0005-0000-0000-000004BA0000}"/>
    <cellStyle name="输入 2 5 3 2 4" xfId="47573" xr:uid="{00000000-0005-0000-0000-000005BA0000}"/>
    <cellStyle name="输入 2 5 3 2 4 2" xfId="47574" xr:uid="{00000000-0005-0000-0000-000006BA0000}"/>
    <cellStyle name="输入 2 5 3 2 5" xfId="12882" xr:uid="{00000000-0005-0000-0000-000082320000}"/>
    <cellStyle name="输入 2 5 3 2 5 2" xfId="21141" xr:uid="{00000000-0005-0000-0000-0000C5520000}"/>
    <cellStyle name="输入 2 5 3 2 6" xfId="4508" xr:uid="{00000000-0005-0000-0000-0000CC110000}"/>
    <cellStyle name="输入 2 5 3 2 7" xfId="4516" xr:uid="{00000000-0005-0000-0000-0000D4110000}"/>
    <cellStyle name="输入 2 5 3 2 8" xfId="2573" xr:uid="{00000000-0005-0000-0000-00003D0A0000}"/>
    <cellStyle name="输入 2 5 3 2 9" xfId="4525" xr:uid="{00000000-0005-0000-0000-0000DD110000}"/>
    <cellStyle name="输入 2 5 3 3" xfId="47575" xr:uid="{00000000-0005-0000-0000-000007BA0000}"/>
    <cellStyle name="输入 2 5 3 3 2" xfId="47576" xr:uid="{00000000-0005-0000-0000-000008BA0000}"/>
    <cellStyle name="输入 2 5 3 3 2 2" xfId="47577" xr:uid="{00000000-0005-0000-0000-000009BA0000}"/>
    <cellStyle name="输入 2 5 3 3 3" xfId="47578" xr:uid="{00000000-0005-0000-0000-00000ABA0000}"/>
    <cellStyle name="输入 2 5 3 3 3 2" xfId="47579" xr:uid="{00000000-0005-0000-0000-00000BBA0000}"/>
    <cellStyle name="输入 2 5 3 3 4" xfId="47580" xr:uid="{00000000-0005-0000-0000-00000CBA0000}"/>
    <cellStyle name="输入 2 5 3 3 4 2" xfId="47581" xr:uid="{00000000-0005-0000-0000-00000DBA0000}"/>
    <cellStyle name="输入 2 5 3 3 5" xfId="21149" xr:uid="{00000000-0005-0000-0000-0000CD520000}"/>
    <cellStyle name="输入 2 5 3 3 5 2" xfId="21152" xr:uid="{00000000-0005-0000-0000-0000D0520000}"/>
    <cellStyle name="输入 2 5 3 3 6" xfId="275" xr:uid="{00000000-0005-0000-0000-00002F010000}"/>
    <cellStyle name="输入 2 5 3 4" xfId="47582" xr:uid="{00000000-0005-0000-0000-00000EBA0000}"/>
    <cellStyle name="输入 2 5 3 4 2" xfId="12915" xr:uid="{00000000-0005-0000-0000-0000A3320000}"/>
    <cellStyle name="输入 2 5 3 4 2 2" xfId="12919" xr:uid="{00000000-0005-0000-0000-0000A7320000}"/>
    <cellStyle name="输入 2 5 3 4 3" xfId="5105" xr:uid="{00000000-0005-0000-0000-000021140000}"/>
    <cellStyle name="输入 2 5 3 4 3 2" xfId="12924" xr:uid="{00000000-0005-0000-0000-0000AC320000}"/>
    <cellStyle name="输入 2 5 3 4 4" xfId="12929" xr:uid="{00000000-0005-0000-0000-0000B1320000}"/>
    <cellStyle name="输入 2 5 3 4 4 2" xfId="22202" xr:uid="{00000000-0005-0000-0000-0000EA560000}"/>
    <cellStyle name="输入 2 5 3 4 5" xfId="21161" xr:uid="{00000000-0005-0000-0000-0000D9520000}"/>
    <cellStyle name="输入 2 5 3 4 5 2" xfId="21165" xr:uid="{00000000-0005-0000-0000-0000DD520000}"/>
    <cellStyle name="输入 2 5 3 4 6" xfId="4167" xr:uid="{00000000-0005-0000-0000-000077100000}"/>
    <cellStyle name="输入 2 5 3 5" xfId="47583" xr:uid="{00000000-0005-0000-0000-00000FBA0000}"/>
    <cellStyle name="输入 2 5 3 5 2" xfId="47584" xr:uid="{00000000-0005-0000-0000-000010BA0000}"/>
    <cellStyle name="输入 2 5 3 5 2 2" xfId="47585" xr:uid="{00000000-0005-0000-0000-000011BA0000}"/>
    <cellStyle name="输入 2 5 3 5 3" xfId="47586" xr:uid="{00000000-0005-0000-0000-000012BA0000}"/>
    <cellStyle name="输入 2 5 3 5 3 2" xfId="47587" xr:uid="{00000000-0005-0000-0000-000013BA0000}"/>
    <cellStyle name="输入 2 5 3 5 4" xfId="47589" xr:uid="{00000000-0005-0000-0000-000015BA0000}"/>
    <cellStyle name="输入 2 5 3 5 4 2" xfId="47590" xr:uid="{00000000-0005-0000-0000-000016BA0000}"/>
    <cellStyle name="输入 2 5 3 5 5" xfId="21172" xr:uid="{00000000-0005-0000-0000-0000E4520000}"/>
    <cellStyle name="输入 2 5 3 5 5 2" xfId="7534" xr:uid="{00000000-0005-0000-0000-00009E1D0000}"/>
    <cellStyle name="输入 2 5 3 5 6" xfId="4182" xr:uid="{00000000-0005-0000-0000-000086100000}"/>
    <cellStyle name="输入 2 5 3 6" xfId="47591" xr:uid="{00000000-0005-0000-0000-000017BA0000}"/>
    <cellStyle name="输入 2 5 3 6 2" xfId="47592" xr:uid="{00000000-0005-0000-0000-000018BA0000}"/>
    <cellStyle name="输入 2 5 3 6 2 2" xfId="47593" xr:uid="{00000000-0005-0000-0000-000019BA0000}"/>
    <cellStyle name="输入 2 5 3 6 3" xfId="5134" xr:uid="{00000000-0005-0000-0000-00003E140000}"/>
    <cellStyle name="输入 2 5 3 6 3 2" xfId="47594" xr:uid="{00000000-0005-0000-0000-00001ABA0000}"/>
    <cellStyle name="输入 2 5 3 6 4" xfId="12951" xr:uid="{00000000-0005-0000-0000-0000C7320000}"/>
    <cellStyle name="输入 2 5 3 6 4 2" xfId="47595" xr:uid="{00000000-0005-0000-0000-00001BBA0000}"/>
    <cellStyle name="输入 2 5 3 6 5" xfId="21179" xr:uid="{00000000-0005-0000-0000-0000EB520000}"/>
    <cellStyle name="输入 2 5 3 6 5 2" xfId="7848" xr:uid="{00000000-0005-0000-0000-0000D81E0000}"/>
    <cellStyle name="输入 2 5 3 6 6" xfId="4206" xr:uid="{00000000-0005-0000-0000-00009E100000}"/>
    <cellStyle name="输入 2 5 3 7" xfId="47596" xr:uid="{00000000-0005-0000-0000-00001CBA0000}"/>
    <cellStyle name="输入 2 5 3 7 2" xfId="47597" xr:uid="{00000000-0005-0000-0000-00001DBA0000}"/>
    <cellStyle name="输入 2 5 3 7 2 2" xfId="7990" xr:uid="{00000000-0005-0000-0000-0000661F0000}"/>
    <cellStyle name="输入 2 5 3 7 3" xfId="9562" xr:uid="{00000000-0005-0000-0000-00008A250000}"/>
    <cellStyle name="输入 2 5 3 7 3 2" xfId="47598" xr:uid="{00000000-0005-0000-0000-00001EBA0000}"/>
    <cellStyle name="输入 2 5 3 7 4" xfId="12978" xr:uid="{00000000-0005-0000-0000-0000E2320000}"/>
    <cellStyle name="输入 2 5 3 7 4 2" xfId="47600" xr:uid="{00000000-0005-0000-0000-000020BA0000}"/>
    <cellStyle name="输入 2 5 3 7 5" xfId="21187" xr:uid="{00000000-0005-0000-0000-0000F3520000}"/>
    <cellStyle name="输入 2 5 3 7 5 2" xfId="47601" xr:uid="{00000000-0005-0000-0000-000021BA0000}"/>
    <cellStyle name="输入 2 5 3 7 6" xfId="47602" xr:uid="{00000000-0005-0000-0000-000022BA0000}"/>
    <cellStyle name="输入 2 5 3 8" xfId="47603" xr:uid="{00000000-0005-0000-0000-000023BA0000}"/>
    <cellStyle name="输入 2 5 3 8 2" xfId="35542" xr:uid="{00000000-0005-0000-0000-0000068B0000}"/>
    <cellStyle name="输入 2 5 3 8 2 2" xfId="8183" xr:uid="{00000000-0005-0000-0000-000027200000}"/>
    <cellStyle name="输入 2 5 3 8 3" xfId="9574" xr:uid="{00000000-0005-0000-0000-000096250000}"/>
    <cellStyle name="输入 2 5 3 8 3 2" xfId="47604" xr:uid="{00000000-0005-0000-0000-000024BA0000}"/>
    <cellStyle name="输入 2 5 3 8 4" xfId="20440" xr:uid="{00000000-0005-0000-0000-000008500000}"/>
    <cellStyle name="输入 2 5 3 8 4 2" xfId="47606" xr:uid="{00000000-0005-0000-0000-000026BA0000}"/>
    <cellStyle name="输入 2 5 3 8 5" xfId="47607" xr:uid="{00000000-0005-0000-0000-000027BA0000}"/>
    <cellStyle name="输入 2 5 3 9" xfId="47608" xr:uid="{00000000-0005-0000-0000-000028BA0000}"/>
    <cellStyle name="输入 2 5 3 9 2" xfId="27302" xr:uid="{00000000-0005-0000-0000-0000D66A0000}"/>
    <cellStyle name="输入 2 5 4" xfId="47609" xr:uid="{00000000-0005-0000-0000-000029BA0000}"/>
    <cellStyle name="输入 2 5 4 10" xfId="39492" xr:uid="{00000000-0005-0000-0000-0000749A0000}"/>
    <cellStyle name="输入 2 5 4 10 2" xfId="39494" xr:uid="{00000000-0005-0000-0000-0000769A0000}"/>
    <cellStyle name="输入 2 5 4 11" xfId="19213" xr:uid="{00000000-0005-0000-0000-00003D4B0000}"/>
    <cellStyle name="输入 2 5 4 11 2" xfId="21404" xr:uid="{00000000-0005-0000-0000-0000CC530000}"/>
    <cellStyle name="输入 2 5 4 12" xfId="19321" xr:uid="{00000000-0005-0000-0000-0000A94B0000}"/>
    <cellStyle name="输入 2 5 4 12 2" xfId="47610" xr:uid="{00000000-0005-0000-0000-00002ABA0000}"/>
    <cellStyle name="输入 2 5 4 13" xfId="47611" xr:uid="{00000000-0005-0000-0000-00002BBA0000}"/>
    <cellStyle name="输入 2 5 4 14" xfId="47612" xr:uid="{00000000-0005-0000-0000-00002CBA0000}"/>
    <cellStyle name="输入 2 5 4 15" xfId="47613" xr:uid="{00000000-0005-0000-0000-00002DBA0000}"/>
    <cellStyle name="输入 2 5 4 16" xfId="47614" xr:uid="{00000000-0005-0000-0000-00002EBA0000}"/>
    <cellStyle name="输入 2 5 4 2" xfId="47615" xr:uid="{00000000-0005-0000-0000-00002FBA0000}"/>
    <cellStyle name="输入 2 5 4 2 2" xfId="47616" xr:uid="{00000000-0005-0000-0000-000030BA0000}"/>
    <cellStyle name="输入 2 5 4 2 2 2" xfId="47617" xr:uid="{00000000-0005-0000-0000-000031BA0000}"/>
    <cellStyle name="输入 2 5 4 2 3" xfId="47618" xr:uid="{00000000-0005-0000-0000-000032BA0000}"/>
    <cellStyle name="输入 2 5 4 2 3 2" xfId="47619" xr:uid="{00000000-0005-0000-0000-000033BA0000}"/>
    <cellStyle name="输入 2 5 4 2 4" xfId="47620" xr:uid="{00000000-0005-0000-0000-000034BA0000}"/>
    <cellStyle name="输入 2 5 4 2 4 2" xfId="47622" xr:uid="{00000000-0005-0000-0000-000036BA0000}"/>
    <cellStyle name="输入 2 5 4 2 5" xfId="562" xr:uid="{00000000-0005-0000-0000-000062020000}"/>
    <cellStyle name="输入 2 5 4 2 5 2" xfId="21237" xr:uid="{00000000-0005-0000-0000-000025530000}"/>
    <cellStyle name="输入 2 5 4 2 6" xfId="771" xr:uid="{00000000-0005-0000-0000-000033030000}"/>
    <cellStyle name="输入 2 5 4 2 7" xfId="4772" xr:uid="{00000000-0005-0000-0000-0000D4120000}"/>
    <cellStyle name="输入 2 5 4 2 8" xfId="2667" xr:uid="{00000000-0005-0000-0000-00009B0A0000}"/>
    <cellStyle name="输入 2 5 4 2 9" xfId="4783" xr:uid="{00000000-0005-0000-0000-0000DF120000}"/>
    <cellStyle name="输入 2 5 4 3" xfId="47623" xr:uid="{00000000-0005-0000-0000-000037BA0000}"/>
    <cellStyle name="输入 2 5 4 3 2" xfId="35621" xr:uid="{00000000-0005-0000-0000-0000558B0000}"/>
    <cellStyle name="输入 2 5 4 3 2 2" xfId="47624" xr:uid="{00000000-0005-0000-0000-000038BA0000}"/>
    <cellStyle name="输入 2 5 4 3 3" xfId="35623" xr:uid="{00000000-0005-0000-0000-0000578B0000}"/>
    <cellStyle name="输入 2 5 4 3 3 2" xfId="47625" xr:uid="{00000000-0005-0000-0000-000039BA0000}"/>
    <cellStyle name="输入 2 5 4 3 4" xfId="35625" xr:uid="{00000000-0005-0000-0000-0000598B0000}"/>
    <cellStyle name="输入 2 5 4 3 4 2" xfId="47626" xr:uid="{00000000-0005-0000-0000-00003ABA0000}"/>
    <cellStyle name="输入 2 5 4 3 5" xfId="583" xr:uid="{00000000-0005-0000-0000-000077020000}"/>
    <cellStyle name="输入 2 5 4 3 5 2" xfId="21243" xr:uid="{00000000-0005-0000-0000-00002B530000}"/>
    <cellStyle name="输入 2 5 4 3 6" xfId="798" xr:uid="{00000000-0005-0000-0000-00004E030000}"/>
    <cellStyle name="输入 2 5 4 4" xfId="47627" xr:uid="{00000000-0005-0000-0000-00003BBA0000}"/>
    <cellStyle name="输入 2 5 4 4 2" xfId="3291" xr:uid="{00000000-0005-0000-0000-00000B0D0000}"/>
    <cellStyle name="输入 2 5 4 4 2 2" xfId="170" xr:uid="{00000000-0005-0000-0000-0000B8000000}"/>
    <cellStyle name="输入 2 5 4 4 3" xfId="3300" xr:uid="{00000000-0005-0000-0000-0000140D0000}"/>
    <cellStyle name="输入 2 5 4 4 3 2" xfId="13037" xr:uid="{00000000-0005-0000-0000-00001D330000}"/>
    <cellStyle name="输入 2 5 4 4 4" xfId="3313" xr:uid="{00000000-0005-0000-0000-0000210D0000}"/>
    <cellStyle name="输入 2 5 4 4 4 2" xfId="23346" xr:uid="{00000000-0005-0000-0000-0000625B0000}"/>
    <cellStyle name="输入 2 5 4 4 5" xfId="21246" xr:uid="{00000000-0005-0000-0000-00002E530000}"/>
    <cellStyle name="输入 2 5 4 4 5 2" xfId="21254" xr:uid="{00000000-0005-0000-0000-000036530000}"/>
    <cellStyle name="输入 2 5 4 4 6" xfId="835" xr:uid="{00000000-0005-0000-0000-000073030000}"/>
    <cellStyle name="输入 2 5 4 5" xfId="47628" xr:uid="{00000000-0005-0000-0000-00003CBA0000}"/>
    <cellStyle name="输入 2 5 4 5 2" xfId="47629" xr:uid="{00000000-0005-0000-0000-00003DBA0000}"/>
    <cellStyle name="输入 2 5 4 5 2 2" xfId="44094" xr:uid="{00000000-0005-0000-0000-00006EAC0000}"/>
    <cellStyle name="输入 2 5 4 5 3" xfId="47630" xr:uid="{00000000-0005-0000-0000-00003EBA0000}"/>
    <cellStyle name="输入 2 5 4 5 3 2" xfId="44172" xr:uid="{00000000-0005-0000-0000-0000BCAC0000}"/>
    <cellStyle name="输入 2 5 4 5 4" xfId="47631" xr:uid="{00000000-0005-0000-0000-00003FBA0000}"/>
    <cellStyle name="输入 2 5 4 5 4 2" xfId="44197" xr:uid="{00000000-0005-0000-0000-0000D5AC0000}"/>
    <cellStyle name="输入 2 5 4 5 5" xfId="21256" xr:uid="{00000000-0005-0000-0000-000038530000}"/>
    <cellStyle name="输入 2 5 4 5 5 2" xfId="9687" xr:uid="{00000000-0005-0000-0000-000007260000}"/>
    <cellStyle name="输入 2 5 4 5 6" xfId="863" xr:uid="{00000000-0005-0000-0000-00008F030000}"/>
    <cellStyle name="输入 2 5 4 6" xfId="47633" xr:uid="{00000000-0005-0000-0000-000041BA0000}"/>
    <cellStyle name="输入 2 5 4 6 2" xfId="47634" xr:uid="{00000000-0005-0000-0000-000042BA0000}"/>
    <cellStyle name="输入 2 5 4 6 2 2" xfId="47635" xr:uid="{00000000-0005-0000-0000-000043BA0000}"/>
    <cellStyle name="输入 2 5 4 6 3" xfId="3415" xr:uid="{00000000-0005-0000-0000-0000870D0000}"/>
    <cellStyle name="输入 2 5 4 6 3 2" xfId="47636" xr:uid="{00000000-0005-0000-0000-000044BA0000}"/>
    <cellStyle name="输入 2 5 4 6 4" xfId="13048" xr:uid="{00000000-0005-0000-0000-000028330000}"/>
    <cellStyle name="输入 2 5 4 6 4 2" xfId="47637" xr:uid="{00000000-0005-0000-0000-000045BA0000}"/>
    <cellStyle name="输入 2 5 4 6 5" xfId="21260" xr:uid="{00000000-0005-0000-0000-00003C530000}"/>
    <cellStyle name="输入 2 5 4 6 5 2" xfId="10020" xr:uid="{00000000-0005-0000-0000-000054270000}"/>
    <cellStyle name="输入 2 5 4 6 6" xfId="903" xr:uid="{00000000-0005-0000-0000-0000B7030000}"/>
    <cellStyle name="输入 2 5 4 7" xfId="47638" xr:uid="{00000000-0005-0000-0000-000046BA0000}"/>
    <cellStyle name="输入 2 5 4 7 2" xfId="47639" xr:uid="{00000000-0005-0000-0000-000047BA0000}"/>
    <cellStyle name="输入 2 5 4 7 2 2" xfId="47640" xr:uid="{00000000-0005-0000-0000-000048BA0000}"/>
    <cellStyle name="输入 2 5 4 7 3" xfId="3451" xr:uid="{00000000-0005-0000-0000-0000AB0D0000}"/>
    <cellStyle name="输入 2 5 4 7 3 2" xfId="47641" xr:uid="{00000000-0005-0000-0000-000049BA0000}"/>
    <cellStyle name="输入 2 5 4 7 4" xfId="13059" xr:uid="{00000000-0005-0000-0000-000033330000}"/>
    <cellStyle name="输入 2 5 4 7 4 2" xfId="47642" xr:uid="{00000000-0005-0000-0000-00004ABA0000}"/>
    <cellStyle name="输入 2 5 4 7 5" xfId="21262" xr:uid="{00000000-0005-0000-0000-00003E530000}"/>
    <cellStyle name="输入 2 5 4 7 5 2" xfId="47643" xr:uid="{00000000-0005-0000-0000-00004BBA0000}"/>
    <cellStyle name="输入 2 5 4 7 6" xfId="47644" xr:uid="{00000000-0005-0000-0000-00004CBA0000}"/>
    <cellStyle name="输入 2 5 4 8" xfId="47645" xr:uid="{00000000-0005-0000-0000-00004DBA0000}"/>
    <cellStyle name="输入 2 5 4 8 2" xfId="35650" xr:uid="{00000000-0005-0000-0000-0000728B0000}"/>
    <cellStyle name="输入 2 5 4 8 2 2" xfId="1231" xr:uid="{00000000-0005-0000-0000-0000FF040000}"/>
    <cellStyle name="输入 2 5 4 8 3" xfId="1286" xr:uid="{00000000-0005-0000-0000-000036050000}"/>
    <cellStyle name="输入 2 5 4 8 3 2" xfId="47646" xr:uid="{00000000-0005-0000-0000-00004EBA0000}"/>
    <cellStyle name="输入 2 5 4 8 4" xfId="20453" xr:uid="{00000000-0005-0000-0000-000015500000}"/>
    <cellStyle name="输入 2 5 4 8 4 2" xfId="47647" xr:uid="{00000000-0005-0000-0000-00004FBA0000}"/>
    <cellStyle name="输入 2 5 4 8 5" xfId="47648" xr:uid="{00000000-0005-0000-0000-000050BA0000}"/>
    <cellStyle name="输入 2 5 4 9" xfId="47649" xr:uid="{00000000-0005-0000-0000-000051BA0000}"/>
    <cellStyle name="输入 2 5 4 9 2" xfId="27720" xr:uid="{00000000-0005-0000-0000-0000786C0000}"/>
    <cellStyle name="输入 2 5 5" xfId="47650" xr:uid="{00000000-0005-0000-0000-000052BA0000}"/>
    <cellStyle name="输入 2 5 5 10" xfId="47651" xr:uid="{00000000-0005-0000-0000-000053BA0000}"/>
    <cellStyle name="输入 2 5 5 10 2" xfId="47652" xr:uid="{00000000-0005-0000-0000-000054BA0000}"/>
    <cellStyle name="输入 2 5 5 11" xfId="47653" xr:uid="{00000000-0005-0000-0000-000055BA0000}"/>
    <cellStyle name="输入 2 5 5 11 2" xfId="47654" xr:uid="{00000000-0005-0000-0000-000056BA0000}"/>
    <cellStyle name="输入 2 5 5 12" xfId="47655" xr:uid="{00000000-0005-0000-0000-000057BA0000}"/>
    <cellStyle name="输入 2 5 5 12 2" xfId="47656" xr:uid="{00000000-0005-0000-0000-000058BA0000}"/>
    <cellStyle name="输入 2 5 5 13" xfId="37447" xr:uid="{00000000-0005-0000-0000-000077920000}"/>
    <cellStyle name="输入 2 5 5 14" xfId="37449" xr:uid="{00000000-0005-0000-0000-000079920000}"/>
    <cellStyle name="输入 2 5 5 15" xfId="37451" xr:uid="{00000000-0005-0000-0000-00007B920000}"/>
    <cellStyle name="输入 2 5 5 16" xfId="37453" xr:uid="{00000000-0005-0000-0000-00007D920000}"/>
    <cellStyle name="输入 2 5 5 2" xfId="47657" xr:uid="{00000000-0005-0000-0000-000059BA0000}"/>
    <cellStyle name="输入 2 5 5 2 2" xfId="47658" xr:uid="{00000000-0005-0000-0000-00005ABA0000}"/>
    <cellStyle name="输入 2 5 5 2 2 2" xfId="47659" xr:uid="{00000000-0005-0000-0000-00005BBA0000}"/>
    <cellStyle name="输入 2 5 5 2 3" xfId="47660" xr:uid="{00000000-0005-0000-0000-00005CBA0000}"/>
    <cellStyle name="输入 2 5 5 2 3 2" xfId="47661" xr:uid="{00000000-0005-0000-0000-00005DBA0000}"/>
    <cellStyle name="输入 2 5 5 2 4" xfId="47662" xr:uid="{00000000-0005-0000-0000-00005EBA0000}"/>
    <cellStyle name="输入 2 5 5 2 4 2" xfId="47664" xr:uid="{00000000-0005-0000-0000-000060BA0000}"/>
    <cellStyle name="输入 2 5 5 2 5" xfId="47665" xr:uid="{00000000-0005-0000-0000-000061BA0000}"/>
    <cellStyle name="输入 2 5 5 2 5 2" xfId="47666" xr:uid="{00000000-0005-0000-0000-000062BA0000}"/>
    <cellStyle name="输入 2 5 5 2 6" xfId="37713" xr:uid="{00000000-0005-0000-0000-000081930000}"/>
    <cellStyle name="输入 2 5 5 2 7" xfId="37716" xr:uid="{00000000-0005-0000-0000-000084930000}"/>
    <cellStyle name="输入 2 5 5 2 8" xfId="2760" xr:uid="{00000000-0005-0000-0000-0000F80A0000}"/>
    <cellStyle name="输入 2 5 5 2 9" xfId="37720" xr:uid="{00000000-0005-0000-0000-000088930000}"/>
    <cellStyle name="输入 2 5 5 3" xfId="47667" xr:uid="{00000000-0005-0000-0000-000063BA0000}"/>
    <cellStyle name="输入 2 5 5 3 2" xfId="47668" xr:uid="{00000000-0005-0000-0000-000064BA0000}"/>
    <cellStyle name="输入 2 5 5 3 2 2" xfId="47669" xr:uid="{00000000-0005-0000-0000-000065BA0000}"/>
    <cellStyle name="输入 2 5 5 3 3" xfId="47670" xr:uid="{00000000-0005-0000-0000-000066BA0000}"/>
    <cellStyle name="输入 2 5 5 3 3 2" xfId="47671" xr:uid="{00000000-0005-0000-0000-000067BA0000}"/>
    <cellStyle name="输入 2 5 5 3 4" xfId="47672" xr:uid="{00000000-0005-0000-0000-000068BA0000}"/>
    <cellStyle name="输入 2 5 5 3 4 2" xfId="47674" xr:uid="{00000000-0005-0000-0000-00006ABA0000}"/>
    <cellStyle name="输入 2 5 5 3 5" xfId="47675" xr:uid="{00000000-0005-0000-0000-00006BBA0000}"/>
    <cellStyle name="输入 2 5 5 3 5 2" xfId="43079" xr:uid="{00000000-0005-0000-0000-000077A80000}"/>
    <cellStyle name="输入 2 5 5 3 6" xfId="37729" xr:uid="{00000000-0005-0000-0000-000091930000}"/>
    <cellStyle name="输入 2 5 5 4" xfId="47676" xr:uid="{00000000-0005-0000-0000-00006CBA0000}"/>
    <cellStyle name="输入 2 5 5 4 2" xfId="47677" xr:uid="{00000000-0005-0000-0000-00006DBA0000}"/>
    <cellStyle name="输入 2 5 5 4 2 2" xfId="47678" xr:uid="{00000000-0005-0000-0000-00006EBA0000}"/>
    <cellStyle name="输入 2 5 5 4 3" xfId="5175" xr:uid="{00000000-0005-0000-0000-000067140000}"/>
    <cellStyle name="输入 2 5 5 4 3 2" xfId="47679" xr:uid="{00000000-0005-0000-0000-00006FBA0000}"/>
    <cellStyle name="输入 2 5 5 4 4" xfId="47680" xr:uid="{00000000-0005-0000-0000-000070BA0000}"/>
    <cellStyle name="输入 2 5 5 4 4 2" xfId="47682" xr:uid="{00000000-0005-0000-0000-000072BA0000}"/>
    <cellStyle name="输入 2 5 5 4 5" xfId="47683" xr:uid="{00000000-0005-0000-0000-000073BA0000}"/>
    <cellStyle name="输入 2 5 5 4 5 2" xfId="47684" xr:uid="{00000000-0005-0000-0000-000074BA0000}"/>
    <cellStyle name="输入 2 5 5 4 6" xfId="37741" xr:uid="{00000000-0005-0000-0000-00009D930000}"/>
    <cellStyle name="输入 2 5 5 5" xfId="47685" xr:uid="{00000000-0005-0000-0000-000075BA0000}"/>
    <cellStyle name="输入 2 5 5 5 2" xfId="47686" xr:uid="{00000000-0005-0000-0000-000076BA0000}"/>
    <cellStyle name="输入 2 5 5 5 2 2" xfId="47687" xr:uid="{00000000-0005-0000-0000-000077BA0000}"/>
    <cellStyle name="输入 2 5 5 5 3" xfId="5183" xr:uid="{00000000-0005-0000-0000-00006F140000}"/>
    <cellStyle name="输入 2 5 5 5 3 2" xfId="47688" xr:uid="{00000000-0005-0000-0000-000078BA0000}"/>
    <cellStyle name="输入 2 5 5 5 4" xfId="47689" xr:uid="{00000000-0005-0000-0000-000079BA0000}"/>
    <cellStyle name="输入 2 5 5 5 4 2" xfId="47691" xr:uid="{00000000-0005-0000-0000-00007BBA0000}"/>
    <cellStyle name="输入 2 5 5 5 5" xfId="47692" xr:uid="{00000000-0005-0000-0000-00007CBA0000}"/>
    <cellStyle name="输入 2 5 5 5 5 2" xfId="47693" xr:uid="{00000000-0005-0000-0000-00007DBA0000}"/>
    <cellStyle name="输入 2 5 5 5 6" xfId="43455" xr:uid="{00000000-0005-0000-0000-0000EFA90000}"/>
    <cellStyle name="输入 2 5 5 6" xfId="47694" xr:uid="{00000000-0005-0000-0000-00007EBA0000}"/>
    <cellStyle name="输入 2 5 5 6 2" xfId="47695" xr:uid="{00000000-0005-0000-0000-00007FBA0000}"/>
    <cellStyle name="输入 2 5 5 6 2 2" xfId="47696" xr:uid="{00000000-0005-0000-0000-000080BA0000}"/>
    <cellStyle name="输入 2 5 5 6 3" xfId="5196" xr:uid="{00000000-0005-0000-0000-00007C140000}"/>
    <cellStyle name="输入 2 5 5 6 3 2" xfId="47697" xr:uid="{00000000-0005-0000-0000-000081BA0000}"/>
    <cellStyle name="输入 2 5 5 6 4" xfId="13157" xr:uid="{00000000-0005-0000-0000-000095330000}"/>
    <cellStyle name="输入 2 5 5 6 4 2" xfId="47698" xr:uid="{00000000-0005-0000-0000-000082BA0000}"/>
    <cellStyle name="输入 2 5 5 6 5" xfId="47700" xr:uid="{00000000-0005-0000-0000-000084BA0000}"/>
    <cellStyle name="输入 2 5 5 6 5 2" xfId="47701" xr:uid="{00000000-0005-0000-0000-000085BA0000}"/>
    <cellStyle name="输入 2 5 5 6 6" xfId="47703" xr:uid="{00000000-0005-0000-0000-000087BA0000}"/>
    <cellStyle name="输入 2 5 5 7" xfId="47704" xr:uid="{00000000-0005-0000-0000-000088BA0000}"/>
    <cellStyle name="输入 2 5 5 7 2" xfId="47705" xr:uid="{00000000-0005-0000-0000-000089BA0000}"/>
    <cellStyle name="输入 2 5 5 7 2 2" xfId="47706" xr:uid="{00000000-0005-0000-0000-00008ABA0000}"/>
    <cellStyle name="输入 2 5 5 7 3" xfId="9614" xr:uid="{00000000-0005-0000-0000-0000BE250000}"/>
    <cellStyle name="输入 2 5 5 7 3 2" xfId="47707" xr:uid="{00000000-0005-0000-0000-00008BBA0000}"/>
    <cellStyle name="输入 2 5 5 7 4" xfId="13172" xr:uid="{00000000-0005-0000-0000-0000A4330000}"/>
    <cellStyle name="输入 2 5 5 7 4 2" xfId="47708" xr:uid="{00000000-0005-0000-0000-00008CBA0000}"/>
    <cellStyle name="输入 2 5 5 7 5" xfId="47709" xr:uid="{00000000-0005-0000-0000-00008DBA0000}"/>
    <cellStyle name="输入 2 5 5 7 5 2" xfId="47710" xr:uid="{00000000-0005-0000-0000-00008EBA0000}"/>
    <cellStyle name="输入 2 5 5 7 6" xfId="47711" xr:uid="{00000000-0005-0000-0000-00008FBA0000}"/>
    <cellStyle name="输入 2 5 5 8" xfId="47712" xr:uid="{00000000-0005-0000-0000-000090BA0000}"/>
    <cellStyle name="输入 2 5 5 8 2" xfId="47713" xr:uid="{00000000-0005-0000-0000-000091BA0000}"/>
    <cellStyle name="输入 2 5 5 8 2 2" xfId="41085" xr:uid="{00000000-0005-0000-0000-0000ADA00000}"/>
    <cellStyle name="输入 2 5 5 8 3" xfId="9628" xr:uid="{00000000-0005-0000-0000-0000CC250000}"/>
    <cellStyle name="输入 2 5 5 8 3 2" xfId="47714" xr:uid="{00000000-0005-0000-0000-000092BA0000}"/>
    <cellStyle name="输入 2 5 5 8 4" xfId="20468" xr:uid="{00000000-0005-0000-0000-000024500000}"/>
    <cellStyle name="输入 2 5 5 8 4 2" xfId="47715" xr:uid="{00000000-0005-0000-0000-000093BA0000}"/>
    <cellStyle name="输入 2 5 5 8 5" xfId="47716" xr:uid="{00000000-0005-0000-0000-000094BA0000}"/>
    <cellStyle name="输入 2 5 5 9" xfId="38202" xr:uid="{00000000-0005-0000-0000-00006A950000}"/>
    <cellStyle name="输入 2 5 5 9 2" xfId="47717" xr:uid="{00000000-0005-0000-0000-000095BA0000}"/>
    <cellStyle name="输入 2 5 6" xfId="47718" xr:uid="{00000000-0005-0000-0000-000096BA0000}"/>
    <cellStyle name="输入 2 5 6 10" xfId="21923" xr:uid="{00000000-0005-0000-0000-0000D3550000}"/>
    <cellStyle name="输入 2 5 6 10 2" xfId="21925" xr:uid="{00000000-0005-0000-0000-0000D5550000}"/>
    <cellStyle name="输入 2 5 6 11" xfId="21927" xr:uid="{00000000-0005-0000-0000-0000D7550000}"/>
    <cellStyle name="输入 2 5 6 11 2" xfId="21929" xr:uid="{00000000-0005-0000-0000-0000D9550000}"/>
    <cellStyle name="输入 2 5 6 12" xfId="21931" xr:uid="{00000000-0005-0000-0000-0000DB550000}"/>
    <cellStyle name="输入 2 5 6 12 2" xfId="21933" xr:uid="{00000000-0005-0000-0000-0000DD550000}"/>
    <cellStyle name="输入 2 5 6 13" xfId="21935" xr:uid="{00000000-0005-0000-0000-0000DF550000}"/>
    <cellStyle name="输入 2 5 6 14" xfId="21939" xr:uid="{00000000-0005-0000-0000-0000E3550000}"/>
    <cellStyle name="输入 2 5 6 15" xfId="47719" xr:uid="{00000000-0005-0000-0000-000097BA0000}"/>
    <cellStyle name="输入 2 5 6 16" xfId="47720" xr:uid="{00000000-0005-0000-0000-000098BA0000}"/>
    <cellStyle name="输入 2 5 6 2" xfId="47721" xr:uid="{00000000-0005-0000-0000-000099BA0000}"/>
    <cellStyle name="输入 2 5 6 2 2" xfId="47722" xr:uid="{00000000-0005-0000-0000-00009ABA0000}"/>
    <cellStyle name="输入 2 5 6 2 2 2" xfId="47723" xr:uid="{00000000-0005-0000-0000-00009BBA0000}"/>
    <cellStyle name="输入 2 5 6 2 3" xfId="47724" xr:uid="{00000000-0005-0000-0000-00009CBA0000}"/>
    <cellStyle name="输入 2 5 6 2 3 2" xfId="47725" xr:uid="{00000000-0005-0000-0000-00009DBA0000}"/>
    <cellStyle name="输入 2 5 6 2 4" xfId="47726" xr:uid="{00000000-0005-0000-0000-00009EBA0000}"/>
    <cellStyle name="输入 2 5 6 2 4 2" xfId="47728" xr:uid="{00000000-0005-0000-0000-0000A0BA0000}"/>
    <cellStyle name="输入 2 5 6 2 5" xfId="47729" xr:uid="{00000000-0005-0000-0000-0000A1BA0000}"/>
    <cellStyle name="输入 2 5 6 2 5 2" xfId="47730" xr:uid="{00000000-0005-0000-0000-0000A2BA0000}"/>
    <cellStyle name="输入 2 5 6 2 6" xfId="37807" xr:uid="{00000000-0005-0000-0000-0000DF930000}"/>
    <cellStyle name="输入 2 5 6 2 7" xfId="37810" xr:uid="{00000000-0005-0000-0000-0000E2930000}"/>
    <cellStyle name="输入 2 5 6 2 8" xfId="37813" xr:uid="{00000000-0005-0000-0000-0000E5930000}"/>
    <cellStyle name="输入 2 5 6 2 9" xfId="37816" xr:uid="{00000000-0005-0000-0000-0000E8930000}"/>
    <cellStyle name="输入 2 5 6 3" xfId="47731" xr:uid="{00000000-0005-0000-0000-0000A3BA0000}"/>
    <cellStyle name="输入 2 5 6 3 2" xfId="47732" xr:uid="{00000000-0005-0000-0000-0000A4BA0000}"/>
    <cellStyle name="输入 2 5 6 3 2 2" xfId="47733" xr:uid="{00000000-0005-0000-0000-0000A5BA0000}"/>
    <cellStyle name="输入 2 5 6 3 3" xfId="47734" xr:uid="{00000000-0005-0000-0000-0000A6BA0000}"/>
    <cellStyle name="输入 2 5 6 3 3 2" xfId="47735" xr:uid="{00000000-0005-0000-0000-0000A7BA0000}"/>
    <cellStyle name="输入 2 5 6 3 4" xfId="47736" xr:uid="{00000000-0005-0000-0000-0000A8BA0000}"/>
    <cellStyle name="输入 2 5 6 3 4 2" xfId="47738" xr:uid="{00000000-0005-0000-0000-0000AABA0000}"/>
    <cellStyle name="输入 2 5 6 3 5" xfId="47739" xr:uid="{00000000-0005-0000-0000-0000ABBA0000}"/>
    <cellStyle name="输入 2 5 6 3 5 2" xfId="47740" xr:uid="{00000000-0005-0000-0000-0000ACBA0000}"/>
    <cellStyle name="输入 2 5 6 3 6" xfId="37824" xr:uid="{00000000-0005-0000-0000-0000F0930000}"/>
    <cellStyle name="输入 2 5 6 4" xfId="47741" xr:uid="{00000000-0005-0000-0000-0000ADBA0000}"/>
    <cellStyle name="输入 2 5 6 4 2" xfId="47742" xr:uid="{00000000-0005-0000-0000-0000AEBA0000}"/>
    <cellStyle name="输入 2 5 6 4 2 2" xfId="47743" xr:uid="{00000000-0005-0000-0000-0000AFBA0000}"/>
    <cellStyle name="输入 2 5 6 4 3" xfId="642" xr:uid="{00000000-0005-0000-0000-0000B2020000}"/>
    <cellStyle name="输入 2 5 6 4 3 2" xfId="47744" xr:uid="{00000000-0005-0000-0000-0000B0BA0000}"/>
    <cellStyle name="输入 2 5 6 4 4" xfId="47745" xr:uid="{00000000-0005-0000-0000-0000B1BA0000}"/>
    <cellStyle name="输入 2 5 6 4 4 2" xfId="47747" xr:uid="{00000000-0005-0000-0000-0000B3BA0000}"/>
    <cellStyle name="输入 2 5 6 4 5" xfId="47748" xr:uid="{00000000-0005-0000-0000-0000B4BA0000}"/>
    <cellStyle name="输入 2 5 6 4 5 2" xfId="47749" xr:uid="{00000000-0005-0000-0000-0000B5BA0000}"/>
    <cellStyle name="输入 2 5 6 4 6" xfId="37833" xr:uid="{00000000-0005-0000-0000-0000F9930000}"/>
    <cellStyle name="输入 2 5 6 5" xfId="47750" xr:uid="{00000000-0005-0000-0000-0000B6BA0000}"/>
    <cellStyle name="输入 2 5 6 5 2" xfId="47751" xr:uid="{00000000-0005-0000-0000-0000B7BA0000}"/>
    <cellStyle name="输入 2 5 6 5 2 2" xfId="47752" xr:uid="{00000000-0005-0000-0000-0000B8BA0000}"/>
    <cellStyle name="输入 2 5 6 5 3" xfId="3896" xr:uid="{00000000-0005-0000-0000-0000680F0000}"/>
    <cellStyle name="输入 2 5 6 5 3 2" xfId="47753" xr:uid="{00000000-0005-0000-0000-0000B9BA0000}"/>
    <cellStyle name="输入 2 5 6 5 4" xfId="47754" xr:uid="{00000000-0005-0000-0000-0000BABA0000}"/>
    <cellStyle name="输入 2 5 6 5 4 2" xfId="47756" xr:uid="{00000000-0005-0000-0000-0000BCBA0000}"/>
    <cellStyle name="输入 2 5 6 5 5" xfId="47757" xr:uid="{00000000-0005-0000-0000-0000BDBA0000}"/>
    <cellStyle name="输入 2 5 6 5 5 2" xfId="47564" xr:uid="{00000000-0005-0000-0000-0000FCB90000}"/>
    <cellStyle name="输入 2 5 6 5 6" xfId="47758" xr:uid="{00000000-0005-0000-0000-0000BEBA0000}"/>
    <cellStyle name="输入 2 5 6 6" xfId="30062" xr:uid="{00000000-0005-0000-0000-00009E750000}"/>
    <cellStyle name="输入 2 5 6 6 2" xfId="47759" xr:uid="{00000000-0005-0000-0000-0000BFBA0000}"/>
    <cellStyle name="输入 2 5 6 6 2 2" xfId="45725" xr:uid="{00000000-0005-0000-0000-0000CDB20000}"/>
    <cellStyle name="输入 2 5 6 6 3" xfId="9653" xr:uid="{00000000-0005-0000-0000-0000E5250000}"/>
    <cellStyle name="输入 2 5 6 6 3 2" xfId="45777" xr:uid="{00000000-0005-0000-0000-000001B30000}"/>
    <cellStyle name="输入 2 5 6 6 4" xfId="13279" xr:uid="{00000000-0005-0000-0000-00000F340000}"/>
    <cellStyle name="输入 2 5 6 6 4 2" xfId="45810" xr:uid="{00000000-0005-0000-0000-000022B30000}"/>
    <cellStyle name="输入 2 5 6 6 5" xfId="47760" xr:uid="{00000000-0005-0000-0000-0000C0BA0000}"/>
    <cellStyle name="输入 2 5 6 6 5 2" xfId="45849" xr:uid="{00000000-0005-0000-0000-000049B30000}"/>
    <cellStyle name="输入 2 5 6 6 6" xfId="47761" xr:uid="{00000000-0005-0000-0000-0000C1BA0000}"/>
    <cellStyle name="输入 2 5 6 7" xfId="47762" xr:uid="{00000000-0005-0000-0000-0000C2BA0000}"/>
    <cellStyle name="输入 2 5 6 7 2" xfId="47763" xr:uid="{00000000-0005-0000-0000-0000C3BA0000}"/>
    <cellStyle name="输入 2 5 6 7 2 2" xfId="46262" xr:uid="{00000000-0005-0000-0000-0000E6B40000}"/>
    <cellStyle name="输入 2 5 6 7 3" xfId="9666" xr:uid="{00000000-0005-0000-0000-0000F2250000}"/>
    <cellStyle name="输入 2 5 6 7 3 2" xfId="46319" xr:uid="{00000000-0005-0000-0000-00001FB50000}"/>
    <cellStyle name="输入 2 5 6 7 4" xfId="13302" xr:uid="{00000000-0005-0000-0000-000026340000}"/>
    <cellStyle name="输入 2 5 6 7 4 2" xfId="46373" xr:uid="{00000000-0005-0000-0000-000055B50000}"/>
    <cellStyle name="输入 2 5 6 7 5" xfId="47764" xr:uid="{00000000-0005-0000-0000-0000C4BA0000}"/>
    <cellStyle name="输入 2 5 6 7 5 2" xfId="46428" xr:uid="{00000000-0005-0000-0000-00008CB50000}"/>
    <cellStyle name="输入 2 5 6 7 6" xfId="47765" xr:uid="{00000000-0005-0000-0000-0000C5BA0000}"/>
    <cellStyle name="输入 2 5 6 8" xfId="47766" xr:uid="{00000000-0005-0000-0000-0000C6BA0000}"/>
    <cellStyle name="输入 2 5 6 8 2" xfId="47767" xr:uid="{00000000-0005-0000-0000-0000C7BA0000}"/>
    <cellStyle name="输入 2 5 6 8 2 2" xfId="41368" xr:uid="{00000000-0005-0000-0000-0000C8A10000}"/>
    <cellStyle name="输入 2 5 6 8 3" xfId="9683" xr:uid="{00000000-0005-0000-0000-000003260000}"/>
    <cellStyle name="输入 2 5 6 8 3 2" xfId="47013" xr:uid="{00000000-0005-0000-0000-0000D5B70000}"/>
    <cellStyle name="输入 2 5 6 8 4" xfId="20485" xr:uid="{00000000-0005-0000-0000-000035500000}"/>
    <cellStyle name="输入 2 5 6 8 4 2" xfId="47051" xr:uid="{00000000-0005-0000-0000-0000FBB70000}"/>
    <cellStyle name="输入 2 5 6 8 5" xfId="47768" xr:uid="{00000000-0005-0000-0000-0000C8BA0000}"/>
    <cellStyle name="输入 2 5 6 9" xfId="38204" xr:uid="{00000000-0005-0000-0000-00006C950000}"/>
    <cellStyle name="输入 2 5 6 9 2" xfId="47769" xr:uid="{00000000-0005-0000-0000-0000C9BA0000}"/>
    <cellStyle name="输入 2 5 7" xfId="47770" xr:uid="{00000000-0005-0000-0000-0000CABA0000}"/>
    <cellStyle name="输入 2 5 7 10" xfId="47771" xr:uid="{00000000-0005-0000-0000-0000CBBA0000}"/>
    <cellStyle name="输入 2 5 7 10 2" xfId="47772" xr:uid="{00000000-0005-0000-0000-0000CCBA0000}"/>
    <cellStyle name="输入 2 5 7 11" xfId="47773" xr:uid="{00000000-0005-0000-0000-0000CDBA0000}"/>
    <cellStyle name="输入 2 5 7 11 2" xfId="47774" xr:uid="{00000000-0005-0000-0000-0000CEBA0000}"/>
    <cellStyle name="输入 2 5 7 12" xfId="47775" xr:uid="{00000000-0005-0000-0000-0000CFBA0000}"/>
    <cellStyle name="输入 2 5 7 12 2" xfId="47776" xr:uid="{00000000-0005-0000-0000-0000D0BA0000}"/>
    <cellStyle name="输入 2 5 7 13" xfId="47777" xr:uid="{00000000-0005-0000-0000-0000D1BA0000}"/>
    <cellStyle name="输入 2 5 7 14" xfId="4528" xr:uid="{00000000-0005-0000-0000-0000E0110000}"/>
    <cellStyle name="输入 2 5 7 15" xfId="47778" xr:uid="{00000000-0005-0000-0000-0000D2BA0000}"/>
    <cellStyle name="输入 2 5 7 16" xfId="47779" xr:uid="{00000000-0005-0000-0000-0000D3BA0000}"/>
    <cellStyle name="输入 2 5 7 2" xfId="47780" xr:uid="{00000000-0005-0000-0000-0000D4BA0000}"/>
    <cellStyle name="输入 2 5 7 2 2" xfId="47781" xr:uid="{00000000-0005-0000-0000-0000D5BA0000}"/>
    <cellStyle name="输入 2 5 7 2 2 2" xfId="47782" xr:uid="{00000000-0005-0000-0000-0000D6BA0000}"/>
    <cellStyle name="输入 2 5 7 2 3" xfId="47784" xr:uid="{00000000-0005-0000-0000-0000D8BA0000}"/>
    <cellStyle name="输入 2 5 7 2 3 2" xfId="39716" xr:uid="{00000000-0005-0000-0000-0000549B0000}"/>
    <cellStyle name="输入 2 5 7 2 4" xfId="1851" xr:uid="{00000000-0005-0000-0000-00006B070000}"/>
    <cellStyle name="输入 2 5 7 2 4 2" xfId="1881" xr:uid="{00000000-0005-0000-0000-000089070000}"/>
    <cellStyle name="输入 2 5 7 2 5" xfId="1918" xr:uid="{00000000-0005-0000-0000-0000AE070000}"/>
    <cellStyle name="输入 2 5 7 2 5 2" xfId="40574" xr:uid="{00000000-0005-0000-0000-0000AE9E0000}"/>
    <cellStyle name="输入 2 5 7 2 6" xfId="1938" xr:uid="{00000000-0005-0000-0000-0000C2070000}"/>
    <cellStyle name="输入 2 5 7 2 7" xfId="1954" xr:uid="{00000000-0005-0000-0000-0000D2070000}"/>
    <cellStyle name="输入 2 5 7 2 8" xfId="1965" xr:uid="{00000000-0005-0000-0000-0000DD070000}"/>
    <cellStyle name="输入 2 5 7 2 9" xfId="1270" xr:uid="{00000000-0005-0000-0000-000026050000}"/>
    <cellStyle name="输入 2 5 7 3" xfId="47785" xr:uid="{00000000-0005-0000-0000-0000D9BA0000}"/>
    <cellStyle name="输入 2 5 7 3 2" xfId="47786" xr:uid="{00000000-0005-0000-0000-0000DABA0000}"/>
    <cellStyle name="输入 2 5 7 3 2 2" xfId="47787" xr:uid="{00000000-0005-0000-0000-0000DBBA0000}"/>
    <cellStyle name="输入 2 5 7 3 3" xfId="47789" xr:uid="{00000000-0005-0000-0000-0000DDBA0000}"/>
    <cellStyle name="输入 2 5 7 3 3 2" xfId="47790" xr:uid="{00000000-0005-0000-0000-0000DEBA0000}"/>
    <cellStyle name="输入 2 5 7 3 4" xfId="47792" xr:uid="{00000000-0005-0000-0000-0000E0BA0000}"/>
    <cellStyle name="输入 2 5 7 3 4 2" xfId="47794" xr:uid="{00000000-0005-0000-0000-0000E2BA0000}"/>
    <cellStyle name="输入 2 5 7 3 5" xfId="47796" xr:uid="{00000000-0005-0000-0000-0000E4BA0000}"/>
    <cellStyle name="输入 2 5 7 3 5 2" xfId="47797" xr:uid="{00000000-0005-0000-0000-0000E5BA0000}"/>
    <cellStyle name="输入 2 5 7 3 6" xfId="37919" xr:uid="{00000000-0005-0000-0000-00004F940000}"/>
    <cellStyle name="输入 2 5 7 4" xfId="47799" xr:uid="{00000000-0005-0000-0000-0000E7BA0000}"/>
    <cellStyle name="输入 2 5 7 4 2" xfId="47800" xr:uid="{00000000-0005-0000-0000-0000E8BA0000}"/>
    <cellStyle name="输入 2 5 7 4 2 2" xfId="1932" xr:uid="{00000000-0005-0000-0000-0000BC070000}"/>
    <cellStyle name="输入 2 5 7 4 3" xfId="4106" xr:uid="{00000000-0005-0000-0000-00003A100000}"/>
    <cellStyle name="输入 2 5 7 4 3 2" xfId="4286" xr:uid="{00000000-0005-0000-0000-0000EE100000}"/>
    <cellStyle name="输入 2 5 7 4 4" xfId="47801" xr:uid="{00000000-0005-0000-0000-0000E9BA0000}"/>
    <cellStyle name="输入 2 5 7 4 4 2" xfId="5509" xr:uid="{00000000-0005-0000-0000-0000B5150000}"/>
    <cellStyle name="输入 2 5 7 4 5" xfId="47803" xr:uid="{00000000-0005-0000-0000-0000EBBA0000}"/>
    <cellStyle name="输入 2 5 7 4 5 2" xfId="5547" xr:uid="{00000000-0005-0000-0000-0000DB150000}"/>
    <cellStyle name="输入 2 5 7 4 6" xfId="37924" xr:uid="{00000000-0005-0000-0000-000054940000}"/>
    <cellStyle name="输入 2 5 7 5" xfId="47804" xr:uid="{00000000-0005-0000-0000-0000ECBA0000}"/>
    <cellStyle name="输入 2 5 7 5 2" xfId="47805" xr:uid="{00000000-0005-0000-0000-0000EDBA0000}"/>
    <cellStyle name="输入 2 5 7 5 2 2" xfId="5660" xr:uid="{00000000-0005-0000-0000-00004C160000}"/>
    <cellStyle name="输入 2 5 7 5 3" xfId="5736" xr:uid="{00000000-0005-0000-0000-000098160000}"/>
    <cellStyle name="输入 2 5 7 5 3 2" xfId="5756" xr:uid="{00000000-0005-0000-0000-0000AC160000}"/>
    <cellStyle name="输入 2 5 7 5 4" xfId="47806" xr:uid="{00000000-0005-0000-0000-0000EEBA0000}"/>
    <cellStyle name="输入 2 5 7 5 4 2" xfId="5832" xr:uid="{00000000-0005-0000-0000-0000F8160000}"/>
    <cellStyle name="输入 2 5 7 5 5" xfId="47808" xr:uid="{00000000-0005-0000-0000-0000F0BA0000}"/>
    <cellStyle name="输入 2 5 7 5 5 2" xfId="5971" xr:uid="{00000000-0005-0000-0000-000083170000}"/>
    <cellStyle name="输入 2 5 7 5 6" xfId="47809" xr:uid="{00000000-0005-0000-0000-0000F1BA0000}"/>
    <cellStyle name="输入 2 5 7 6" xfId="30066" xr:uid="{00000000-0005-0000-0000-0000A2750000}"/>
    <cellStyle name="输入 2 5 7 6 2" xfId="47810" xr:uid="{00000000-0005-0000-0000-0000F2BA0000}"/>
    <cellStyle name="输入 2 5 7 6 2 2" xfId="6509" xr:uid="{00000000-0005-0000-0000-00009D190000}"/>
    <cellStyle name="输入 2 5 7 6 3" xfId="9712" xr:uid="{00000000-0005-0000-0000-000020260000}"/>
    <cellStyle name="输入 2 5 7 6 3 2" xfId="6895" xr:uid="{00000000-0005-0000-0000-00001F1B0000}"/>
    <cellStyle name="输入 2 5 7 6 4" xfId="13349" xr:uid="{00000000-0005-0000-0000-000055340000}"/>
    <cellStyle name="输入 2 5 7 6 4 2" xfId="6959" xr:uid="{00000000-0005-0000-0000-00005F1B0000}"/>
    <cellStyle name="输入 2 5 7 6 5" xfId="47811" xr:uid="{00000000-0005-0000-0000-0000F3BA0000}"/>
    <cellStyle name="输入 2 5 7 6 5 2" xfId="11457" xr:uid="{00000000-0005-0000-0000-0000F12C0000}"/>
    <cellStyle name="输入 2 5 7 6 6" xfId="47812" xr:uid="{00000000-0005-0000-0000-0000F4BA0000}"/>
    <cellStyle name="输入 2 5 7 7" xfId="47813" xr:uid="{00000000-0005-0000-0000-0000F5BA0000}"/>
    <cellStyle name="输入 2 5 7 7 2" xfId="47814" xr:uid="{00000000-0005-0000-0000-0000F6BA0000}"/>
    <cellStyle name="输入 2 5 7 7 2 2" xfId="47815" xr:uid="{00000000-0005-0000-0000-0000F7BA0000}"/>
    <cellStyle name="输入 2 5 7 7 3" xfId="9725" xr:uid="{00000000-0005-0000-0000-00002D260000}"/>
    <cellStyle name="输入 2 5 7 7 3 2" xfId="47816" xr:uid="{00000000-0005-0000-0000-0000F8BA0000}"/>
    <cellStyle name="输入 2 5 7 7 4" xfId="13373" xr:uid="{00000000-0005-0000-0000-00006D340000}"/>
    <cellStyle name="输入 2 5 7 7 4 2" xfId="47817" xr:uid="{00000000-0005-0000-0000-0000F9BA0000}"/>
    <cellStyle name="输入 2 5 7 7 5" xfId="47819" xr:uid="{00000000-0005-0000-0000-0000FBBA0000}"/>
    <cellStyle name="输入 2 5 7 7 5 2" xfId="47820" xr:uid="{00000000-0005-0000-0000-0000FCBA0000}"/>
    <cellStyle name="输入 2 5 7 7 6" xfId="47822" xr:uid="{00000000-0005-0000-0000-0000FEBA0000}"/>
    <cellStyle name="输入 2 5 7 8" xfId="47823" xr:uid="{00000000-0005-0000-0000-0000FFBA0000}"/>
    <cellStyle name="输入 2 5 7 8 2" xfId="47824" xr:uid="{00000000-0005-0000-0000-000000BB0000}"/>
    <cellStyle name="输入 2 5 7 8 2 2" xfId="41939" xr:uid="{00000000-0005-0000-0000-000003A40000}"/>
    <cellStyle name="输入 2 5 7 8 3" xfId="9743" xr:uid="{00000000-0005-0000-0000-00003F260000}"/>
    <cellStyle name="输入 2 5 7 8 3 2" xfId="47825" xr:uid="{00000000-0005-0000-0000-000001BB0000}"/>
    <cellStyle name="输入 2 5 7 8 4" xfId="20500" xr:uid="{00000000-0005-0000-0000-000044500000}"/>
    <cellStyle name="输入 2 5 7 8 4 2" xfId="47826" xr:uid="{00000000-0005-0000-0000-000002BB0000}"/>
    <cellStyle name="输入 2 5 7 8 5" xfId="45613" xr:uid="{00000000-0005-0000-0000-00005DB20000}"/>
    <cellStyle name="输入 2 5 7 9" xfId="38207" xr:uid="{00000000-0005-0000-0000-00006F950000}"/>
    <cellStyle name="输入 2 5 7 9 2" xfId="47827" xr:uid="{00000000-0005-0000-0000-000003BB0000}"/>
    <cellStyle name="输入 2 5 8" xfId="47828" xr:uid="{00000000-0005-0000-0000-000004BB0000}"/>
    <cellStyle name="输入 2 5 8 10" xfId="45833" xr:uid="{00000000-0005-0000-0000-000039B30000}"/>
    <cellStyle name="输入 2 5 8 10 2" xfId="30122" xr:uid="{00000000-0005-0000-0000-0000DA750000}"/>
    <cellStyle name="输入 2 5 8 11" xfId="43966" xr:uid="{00000000-0005-0000-0000-0000EEAB0000}"/>
    <cellStyle name="输入 2 5 8 11 2" xfId="45837" xr:uid="{00000000-0005-0000-0000-00003DB30000}"/>
    <cellStyle name="输入 2 5 8 12" xfId="45850" xr:uid="{00000000-0005-0000-0000-00004AB30000}"/>
    <cellStyle name="输入 2 5 8 12 2" xfId="45852" xr:uid="{00000000-0005-0000-0000-00004CB30000}"/>
    <cellStyle name="输入 2 5 8 13" xfId="38171" xr:uid="{00000000-0005-0000-0000-00004B950000}"/>
    <cellStyle name="输入 2 5 8 14" xfId="47830" xr:uid="{00000000-0005-0000-0000-000006BB0000}"/>
    <cellStyle name="输入 2 5 8 15" xfId="47831" xr:uid="{00000000-0005-0000-0000-000007BB0000}"/>
    <cellStyle name="输入 2 5 8 16" xfId="47832" xr:uid="{00000000-0005-0000-0000-000008BB0000}"/>
    <cellStyle name="输入 2 5 8 2" xfId="47833" xr:uid="{00000000-0005-0000-0000-000009BB0000}"/>
    <cellStyle name="输入 2 5 8 2 2" xfId="47834" xr:uid="{00000000-0005-0000-0000-00000ABB0000}"/>
    <cellStyle name="输入 2 5 8 2 2 2" xfId="8539" xr:uid="{00000000-0005-0000-0000-00008B210000}"/>
    <cellStyle name="输入 2 5 8 2 3" xfId="47835" xr:uid="{00000000-0005-0000-0000-00000BBB0000}"/>
    <cellStyle name="输入 2 5 8 2 3 2" xfId="8579" xr:uid="{00000000-0005-0000-0000-0000B3210000}"/>
    <cellStyle name="输入 2 5 8 2 4" xfId="47836" xr:uid="{00000000-0005-0000-0000-00000CBB0000}"/>
    <cellStyle name="输入 2 5 8 2 4 2" xfId="8600" xr:uid="{00000000-0005-0000-0000-0000C8210000}"/>
    <cellStyle name="输入 2 5 8 2 5" xfId="47838" xr:uid="{00000000-0005-0000-0000-00000EBB0000}"/>
    <cellStyle name="输入 2 5 8 2 5 2" xfId="8634" xr:uid="{00000000-0005-0000-0000-0000EA210000}"/>
    <cellStyle name="输入 2 5 8 2 6" xfId="5656" xr:uid="{00000000-0005-0000-0000-000048160000}"/>
    <cellStyle name="输入 2 5 8 2 7" xfId="5678" xr:uid="{00000000-0005-0000-0000-00005E160000}"/>
    <cellStyle name="输入 2 5 8 2 8" xfId="5696" xr:uid="{00000000-0005-0000-0000-000070160000}"/>
    <cellStyle name="输入 2 5 8 2 9" xfId="5722" xr:uid="{00000000-0005-0000-0000-00008A160000}"/>
    <cellStyle name="输入 2 5 8 3" xfId="47839" xr:uid="{00000000-0005-0000-0000-00000FBB0000}"/>
    <cellStyle name="输入 2 5 8 3 2" xfId="47840" xr:uid="{00000000-0005-0000-0000-000010BB0000}"/>
    <cellStyle name="输入 2 5 8 3 2 2" xfId="47841" xr:uid="{00000000-0005-0000-0000-000011BB0000}"/>
    <cellStyle name="输入 2 5 8 3 3" xfId="47842" xr:uid="{00000000-0005-0000-0000-000012BB0000}"/>
    <cellStyle name="输入 2 5 8 3 3 2" xfId="47843" xr:uid="{00000000-0005-0000-0000-000013BB0000}"/>
    <cellStyle name="输入 2 5 8 3 4" xfId="47844" xr:uid="{00000000-0005-0000-0000-000014BB0000}"/>
    <cellStyle name="输入 2 5 8 3 4 2" xfId="47846" xr:uid="{00000000-0005-0000-0000-000016BB0000}"/>
    <cellStyle name="输入 2 5 8 3 5" xfId="45820" xr:uid="{00000000-0005-0000-0000-00002CB30000}"/>
    <cellStyle name="输入 2 5 8 3 5 2" xfId="45822" xr:uid="{00000000-0005-0000-0000-00002EB30000}"/>
    <cellStyle name="输入 2 5 8 3 6" xfId="5746" xr:uid="{00000000-0005-0000-0000-0000A2160000}"/>
    <cellStyle name="输入 2 5 8 4" xfId="39550" xr:uid="{00000000-0005-0000-0000-0000AE9A0000}"/>
    <cellStyle name="输入 2 5 8 4 2" xfId="8920" xr:uid="{00000000-0005-0000-0000-000008230000}"/>
    <cellStyle name="输入 2 5 8 4 2 2" xfId="8930" xr:uid="{00000000-0005-0000-0000-000012230000}"/>
    <cellStyle name="输入 2 5 8 4 3" xfId="4212" xr:uid="{00000000-0005-0000-0000-0000A4100000}"/>
    <cellStyle name="输入 2 5 8 4 3 2" xfId="8978" xr:uid="{00000000-0005-0000-0000-000042230000}"/>
    <cellStyle name="输入 2 5 8 4 4" xfId="9000" xr:uid="{00000000-0005-0000-0000-000058230000}"/>
    <cellStyle name="输入 2 5 8 4 4 2" xfId="28220" xr:uid="{00000000-0005-0000-0000-00006C6E0000}"/>
    <cellStyle name="输入 2 5 8 4 5" xfId="25750" xr:uid="{00000000-0005-0000-0000-0000C6640000}"/>
    <cellStyle name="输入 2 5 8 4 5 2" xfId="47847" xr:uid="{00000000-0005-0000-0000-000017BB0000}"/>
    <cellStyle name="输入 2 5 8 4 6" xfId="5826" xr:uid="{00000000-0005-0000-0000-0000F2160000}"/>
    <cellStyle name="输入 2 5 8 5" xfId="47848" xr:uid="{00000000-0005-0000-0000-000018BB0000}"/>
    <cellStyle name="输入 2 5 8 5 2" xfId="47849" xr:uid="{00000000-0005-0000-0000-000019BB0000}"/>
    <cellStyle name="输入 2 5 8 5 2 2" xfId="47850" xr:uid="{00000000-0005-0000-0000-00001ABB0000}"/>
    <cellStyle name="输入 2 5 8 5 3" xfId="6548" xr:uid="{00000000-0005-0000-0000-0000C4190000}"/>
    <cellStyle name="输入 2 5 8 5 3 2" xfId="47851" xr:uid="{00000000-0005-0000-0000-00001BBB0000}"/>
    <cellStyle name="输入 2 5 8 5 4" xfId="47852" xr:uid="{00000000-0005-0000-0000-00001CBB0000}"/>
    <cellStyle name="输入 2 5 8 5 4 2" xfId="47854" xr:uid="{00000000-0005-0000-0000-00001EBB0000}"/>
    <cellStyle name="输入 2 5 8 5 5" xfId="47855" xr:uid="{00000000-0005-0000-0000-00001FBB0000}"/>
    <cellStyle name="输入 2 5 8 5 5 2" xfId="47856" xr:uid="{00000000-0005-0000-0000-000020BB0000}"/>
    <cellStyle name="输入 2 5 8 5 6" xfId="5975" xr:uid="{00000000-0005-0000-0000-000087170000}"/>
    <cellStyle name="输入 2 5 8 6" xfId="30073" xr:uid="{00000000-0005-0000-0000-0000A9750000}"/>
    <cellStyle name="输入 2 5 8 6 2" xfId="47857" xr:uid="{00000000-0005-0000-0000-000021BB0000}"/>
    <cellStyle name="输入 2 5 8 6 2 2" xfId="47858" xr:uid="{00000000-0005-0000-0000-000022BB0000}"/>
    <cellStyle name="输入 2 5 8 6 3" xfId="9764" xr:uid="{00000000-0005-0000-0000-000054260000}"/>
    <cellStyle name="输入 2 5 8 6 3 2" xfId="47859" xr:uid="{00000000-0005-0000-0000-000023BB0000}"/>
    <cellStyle name="输入 2 5 8 6 4" xfId="13433" xr:uid="{00000000-0005-0000-0000-0000A9340000}"/>
    <cellStyle name="输入 2 5 8 6 4 2" xfId="47860" xr:uid="{00000000-0005-0000-0000-000024BB0000}"/>
    <cellStyle name="输入 2 5 8 6 5" xfId="47861" xr:uid="{00000000-0005-0000-0000-000025BB0000}"/>
    <cellStyle name="输入 2 5 8 6 5 2" xfId="47862" xr:uid="{00000000-0005-0000-0000-000026BB0000}"/>
    <cellStyle name="输入 2 5 8 6 6" xfId="5425" xr:uid="{00000000-0005-0000-0000-000061150000}"/>
    <cellStyle name="输入 2 5 8 7" xfId="47863" xr:uid="{00000000-0005-0000-0000-000027BB0000}"/>
    <cellStyle name="输入 2 5 8 7 2" xfId="47864" xr:uid="{00000000-0005-0000-0000-000028BB0000}"/>
    <cellStyle name="输入 2 5 8 7 2 2" xfId="47865" xr:uid="{00000000-0005-0000-0000-000029BB0000}"/>
    <cellStyle name="输入 2 5 8 7 3" xfId="9778" xr:uid="{00000000-0005-0000-0000-000062260000}"/>
    <cellStyle name="输入 2 5 8 7 3 2" xfId="47867" xr:uid="{00000000-0005-0000-0000-00002BBB0000}"/>
    <cellStyle name="输入 2 5 8 7 4" xfId="13443" xr:uid="{00000000-0005-0000-0000-0000B3340000}"/>
    <cellStyle name="输入 2 5 8 7 4 2" xfId="47869" xr:uid="{00000000-0005-0000-0000-00002DBB0000}"/>
    <cellStyle name="输入 2 5 8 7 5" xfId="47870" xr:uid="{00000000-0005-0000-0000-00002EBB0000}"/>
    <cellStyle name="输入 2 5 8 7 5 2" xfId="47871" xr:uid="{00000000-0005-0000-0000-00002FBB0000}"/>
    <cellStyle name="输入 2 5 8 7 6" xfId="5560" xr:uid="{00000000-0005-0000-0000-0000E8150000}"/>
    <cellStyle name="输入 2 5 8 8" xfId="47872" xr:uid="{00000000-0005-0000-0000-000030BB0000}"/>
    <cellStyle name="输入 2 5 8 8 2" xfId="35745" xr:uid="{00000000-0005-0000-0000-0000D18B0000}"/>
    <cellStyle name="输入 2 5 8 8 2 2" xfId="42661" xr:uid="{00000000-0005-0000-0000-0000D5A60000}"/>
    <cellStyle name="输入 2 5 8 8 3" xfId="9801" xr:uid="{00000000-0005-0000-0000-000079260000}"/>
    <cellStyle name="输入 2 5 8 8 3 2" xfId="47873" xr:uid="{00000000-0005-0000-0000-000031BB0000}"/>
    <cellStyle name="输入 2 5 8 8 4" xfId="20511" xr:uid="{00000000-0005-0000-0000-00004F500000}"/>
    <cellStyle name="输入 2 5 8 8 4 2" xfId="47875" xr:uid="{00000000-0005-0000-0000-000033BB0000}"/>
    <cellStyle name="输入 2 5 8 8 5" xfId="45860" xr:uid="{00000000-0005-0000-0000-000054B30000}"/>
    <cellStyle name="输入 2 5 8 9" xfId="38209" xr:uid="{00000000-0005-0000-0000-000071950000}"/>
    <cellStyle name="输入 2 5 8 9 2" xfId="28265" xr:uid="{00000000-0005-0000-0000-0000996E0000}"/>
    <cellStyle name="输入 2 5 9" xfId="47876" xr:uid="{00000000-0005-0000-0000-000034BB0000}"/>
    <cellStyle name="输入 2 5 9 10" xfId="47877" xr:uid="{00000000-0005-0000-0000-000035BB0000}"/>
    <cellStyle name="输入 2 5 9 10 2" xfId="42639" xr:uid="{00000000-0005-0000-0000-0000BFA60000}"/>
    <cellStyle name="输入 2 5 9 11" xfId="47878" xr:uid="{00000000-0005-0000-0000-000036BB0000}"/>
    <cellStyle name="输入 2 5 9 11 2" xfId="47879" xr:uid="{00000000-0005-0000-0000-000037BB0000}"/>
    <cellStyle name="输入 2 5 9 12" xfId="47880" xr:uid="{00000000-0005-0000-0000-000038BB0000}"/>
    <cellStyle name="输入 2 5 9 12 2" xfId="47881" xr:uid="{00000000-0005-0000-0000-000039BB0000}"/>
    <cellStyle name="输入 2 5 9 13" xfId="47882" xr:uid="{00000000-0005-0000-0000-00003ABB0000}"/>
    <cellStyle name="输入 2 5 9 14" xfId="47883" xr:uid="{00000000-0005-0000-0000-00003BBB0000}"/>
    <cellStyle name="输入 2 5 9 15" xfId="47884" xr:uid="{00000000-0005-0000-0000-00003CBB0000}"/>
    <cellStyle name="输入 2 5 9 16" xfId="47885" xr:uid="{00000000-0005-0000-0000-00003DBB0000}"/>
    <cellStyle name="输入 2 5 9 2" xfId="47886" xr:uid="{00000000-0005-0000-0000-00003EBB0000}"/>
    <cellStyle name="输入 2 5 9 2 2" xfId="47887" xr:uid="{00000000-0005-0000-0000-00003FBB0000}"/>
    <cellStyle name="输入 2 5 9 2 2 2" xfId="47165" xr:uid="{00000000-0005-0000-0000-00006DB80000}"/>
    <cellStyle name="输入 2 5 9 2 3" xfId="47888" xr:uid="{00000000-0005-0000-0000-000040BB0000}"/>
    <cellStyle name="输入 2 5 9 2 3 2" xfId="47829" xr:uid="{00000000-0005-0000-0000-000005BB0000}"/>
    <cellStyle name="输入 2 5 9 2 4" xfId="47889" xr:uid="{00000000-0005-0000-0000-000041BB0000}"/>
    <cellStyle name="输入 2 5 9 2 4 2" xfId="47891" xr:uid="{00000000-0005-0000-0000-000043BB0000}"/>
    <cellStyle name="输入 2 5 9 2 5" xfId="47893" xr:uid="{00000000-0005-0000-0000-000045BB0000}"/>
    <cellStyle name="输入 2 5 9 2 5 2" xfId="47894" xr:uid="{00000000-0005-0000-0000-000046BB0000}"/>
    <cellStyle name="输入 2 5 9 2 6" xfId="37986" xr:uid="{00000000-0005-0000-0000-000092940000}"/>
    <cellStyle name="输入 2 5 9 2 7" xfId="37044" xr:uid="{00000000-0005-0000-0000-0000E4900000}"/>
    <cellStyle name="输入 2 5 9 2 8" xfId="35321" xr:uid="{00000000-0005-0000-0000-0000298A0000}"/>
    <cellStyle name="输入 2 5 9 2 9" xfId="37052" xr:uid="{00000000-0005-0000-0000-0000EC900000}"/>
    <cellStyle name="输入 2 5 9 3" xfId="47896" xr:uid="{00000000-0005-0000-0000-000048BB0000}"/>
    <cellStyle name="输入 2 5 9 3 2" xfId="35948" xr:uid="{00000000-0005-0000-0000-00009C8C0000}"/>
    <cellStyle name="输入 2 5 9 3 2 2" xfId="47897" xr:uid="{00000000-0005-0000-0000-000049BB0000}"/>
    <cellStyle name="输入 2 5 9 3 3" xfId="35950" xr:uid="{00000000-0005-0000-0000-00009E8C0000}"/>
    <cellStyle name="输入 2 5 9 3 3 2" xfId="47898" xr:uid="{00000000-0005-0000-0000-00004ABB0000}"/>
    <cellStyle name="输入 2 5 9 3 4" xfId="35952" xr:uid="{00000000-0005-0000-0000-0000A08C0000}"/>
    <cellStyle name="输入 2 5 9 3 4 2" xfId="47899" xr:uid="{00000000-0005-0000-0000-00004BBB0000}"/>
    <cellStyle name="输入 2 5 9 3 5" xfId="47900" xr:uid="{00000000-0005-0000-0000-00004CBB0000}"/>
    <cellStyle name="输入 2 5 9 3 5 2" xfId="47901" xr:uid="{00000000-0005-0000-0000-00004DBB0000}"/>
    <cellStyle name="输入 2 5 9 3 6" xfId="37990" xr:uid="{00000000-0005-0000-0000-000096940000}"/>
    <cellStyle name="输入 2 5 9 4" xfId="39554" xr:uid="{00000000-0005-0000-0000-0000B29A0000}"/>
    <cellStyle name="输入 2 5 9 4 2" xfId="6925" xr:uid="{00000000-0005-0000-0000-00003D1B0000}"/>
    <cellStyle name="输入 2 5 9 4 2 2" xfId="6933" xr:uid="{00000000-0005-0000-0000-0000451B0000}"/>
    <cellStyle name="输入 2 5 9 4 3" xfId="877" xr:uid="{00000000-0005-0000-0000-00009D030000}"/>
    <cellStyle name="输入 2 5 9 4 3 2" xfId="11132" xr:uid="{00000000-0005-0000-0000-0000AC2B0000}"/>
    <cellStyle name="输入 2 5 9 4 4" xfId="6944" xr:uid="{00000000-0005-0000-0000-0000501B0000}"/>
    <cellStyle name="输入 2 5 9 4 4 2" xfId="11153" xr:uid="{00000000-0005-0000-0000-0000C12B0000}"/>
    <cellStyle name="输入 2 5 9 4 5" xfId="28573" xr:uid="{00000000-0005-0000-0000-0000CD6F0000}"/>
    <cellStyle name="输入 2 5 9 4 5 2" xfId="47902" xr:uid="{00000000-0005-0000-0000-00004EBB0000}"/>
    <cellStyle name="输入 2 5 9 4 6" xfId="28577" xr:uid="{00000000-0005-0000-0000-0000D16F0000}"/>
    <cellStyle name="输入 2 5 9 5" xfId="47903" xr:uid="{00000000-0005-0000-0000-00004FBB0000}"/>
    <cellStyle name="输入 2 5 9 5 2" xfId="47904" xr:uid="{00000000-0005-0000-0000-000050BB0000}"/>
    <cellStyle name="输入 2 5 9 5 2 2" xfId="6998" xr:uid="{00000000-0005-0000-0000-0000861B0000}"/>
    <cellStyle name="输入 2 5 9 5 3" xfId="7007" xr:uid="{00000000-0005-0000-0000-00008F1B0000}"/>
    <cellStyle name="输入 2 5 9 5 3 2" xfId="11331" xr:uid="{00000000-0005-0000-0000-0000732C0000}"/>
    <cellStyle name="输入 2 5 9 5 4" xfId="47905" xr:uid="{00000000-0005-0000-0000-000051BB0000}"/>
    <cellStyle name="输入 2 5 9 5 4 2" xfId="11392" xr:uid="{00000000-0005-0000-0000-0000B02C0000}"/>
    <cellStyle name="输入 2 5 9 5 5" xfId="47907" xr:uid="{00000000-0005-0000-0000-000053BB0000}"/>
    <cellStyle name="输入 2 5 9 5 5 2" xfId="11443" xr:uid="{00000000-0005-0000-0000-0000E32C0000}"/>
    <cellStyle name="输入 2 5 9 5 6" xfId="47908" xr:uid="{00000000-0005-0000-0000-000054BB0000}"/>
    <cellStyle name="输入 2 5 9 6" xfId="30079" xr:uid="{00000000-0005-0000-0000-0000AF750000}"/>
    <cellStyle name="输入 2 5 9 6 2" xfId="47909" xr:uid="{00000000-0005-0000-0000-000055BB0000}"/>
    <cellStyle name="输入 2 5 9 6 2 2" xfId="7060" xr:uid="{00000000-0005-0000-0000-0000C41B0000}"/>
    <cellStyle name="输入 2 5 9 6 3" xfId="7071" xr:uid="{00000000-0005-0000-0000-0000CF1B0000}"/>
    <cellStyle name="输入 2 5 9 6 3 2" xfId="12586" xr:uid="{00000000-0005-0000-0000-00005A310000}"/>
    <cellStyle name="输入 2 5 9 6 4" xfId="47910" xr:uid="{00000000-0005-0000-0000-000056BB0000}"/>
    <cellStyle name="输入 2 5 9 6 4 2" xfId="12614" xr:uid="{00000000-0005-0000-0000-000076310000}"/>
    <cellStyle name="输入 2 5 9 6 5" xfId="47911" xr:uid="{00000000-0005-0000-0000-000057BB0000}"/>
    <cellStyle name="输入 2 5 9 6 5 2" xfId="12667" xr:uid="{00000000-0005-0000-0000-0000AB310000}"/>
    <cellStyle name="输入 2 5 9 6 6" xfId="47912" xr:uid="{00000000-0005-0000-0000-000058BB0000}"/>
    <cellStyle name="输入 2 5 9 7" xfId="47913" xr:uid="{00000000-0005-0000-0000-000059BB0000}"/>
    <cellStyle name="输入 2 5 9 7 2" xfId="47914" xr:uid="{00000000-0005-0000-0000-00005ABB0000}"/>
    <cellStyle name="输入 2 5 9 7 2 2" xfId="47915" xr:uid="{00000000-0005-0000-0000-00005BBB0000}"/>
    <cellStyle name="输入 2 5 9 7 3" xfId="2238" xr:uid="{00000000-0005-0000-0000-0000EE080000}"/>
    <cellStyle name="输入 2 5 9 7 3 2" xfId="47916" xr:uid="{00000000-0005-0000-0000-00005CBB0000}"/>
    <cellStyle name="输入 2 5 9 7 4" xfId="43367" xr:uid="{00000000-0005-0000-0000-000097A90000}"/>
    <cellStyle name="输入 2 5 9 7 4 2" xfId="47917" xr:uid="{00000000-0005-0000-0000-00005DBB0000}"/>
    <cellStyle name="输入 2 5 9 7 5" xfId="47918" xr:uid="{00000000-0005-0000-0000-00005EBB0000}"/>
    <cellStyle name="输入 2 5 9 7 5 2" xfId="47919" xr:uid="{00000000-0005-0000-0000-00005FBB0000}"/>
    <cellStyle name="输入 2 5 9 7 6" xfId="47920" xr:uid="{00000000-0005-0000-0000-000060BB0000}"/>
    <cellStyle name="输入 2 5 9 8" xfId="47921" xr:uid="{00000000-0005-0000-0000-000061BB0000}"/>
    <cellStyle name="输入 2 5 9 8 2" xfId="35996" xr:uid="{00000000-0005-0000-0000-0000CC8C0000}"/>
    <cellStyle name="输入 2 5 9 8 2 2" xfId="47922" xr:uid="{00000000-0005-0000-0000-000062BB0000}"/>
    <cellStyle name="输入 2 5 9 8 3" xfId="35998" xr:uid="{00000000-0005-0000-0000-0000CE8C0000}"/>
    <cellStyle name="输入 2 5 9 8 3 2" xfId="47923" xr:uid="{00000000-0005-0000-0000-000063BB0000}"/>
    <cellStyle name="输入 2 5 9 8 4" xfId="36001" xr:uid="{00000000-0005-0000-0000-0000D18C0000}"/>
    <cellStyle name="输入 2 5 9 8 4 2" xfId="47924" xr:uid="{00000000-0005-0000-0000-000064BB0000}"/>
    <cellStyle name="输入 2 5 9 8 5" xfId="47925" xr:uid="{00000000-0005-0000-0000-000065BB0000}"/>
    <cellStyle name="输入 2 5 9 9" xfId="47926" xr:uid="{00000000-0005-0000-0000-000066BB0000}"/>
    <cellStyle name="输入 2 5 9 9 2" xfId="7221" xr:uid="{00000000-0005-0000-0000-0000651C0000}"/>
    <cellStyle name="输入 2 6" xfId="47928" xr:uid="{00000000-0005-0000-0000-000068BB0000}"/>
    <cellStyle name="输入 2 6 10" xfId="47930" xr:uid="{00000000-0005-0000-0000-00006ABB0000}"/>
    <cellStyle name="输入 2 6 10 10" xfId="16253" xr:uid="{00000000-0005-0000-0000-0000AD3F0000}"/>
    <cellStyle name="输入 2 6 10 10 2" xfId="18258" xr:uid="{00000000-0005-0000-0000-000082470000}"/>
    <cellStyle name="输入 2 6 10 11" xfId="18264" xr:uid="{00000000-0005-0000-0000-000088470000}"/>
    <cellStyle name="输入 2 6 10 11 2" xfId="3011" xr:uid="{00000000-0005-0000-0000-0000F30B0000}"/>
    <cellStyle name="输入 2 6 10 12" xfId="22546" xr:uid="{00000000-0005-0000-0000-000042580000}"/>
    <cellStyle name="输入 2 6 10 12 2" xfId="5719" xr:uid="{00000000-0005-0000-0000-000087160000}"/>
    <cellStyle name="输入 2 6 10 13" xfId="11667" xr:uid="{00000000-0005-0000-0000-0000C32D0000}"/>
    <cellStyle name="输入 2 6 10 14" xfId="46396" xr:uid="{00000000-0005-0000-0000-00006CB50000}"/>
    <cellStyle name="输入 2 6 10 15" xfId="47931" xr:uid="{00000000-0005-0000-0000-00006BBB0000}"/>
    <cellStyle name="输入 2 6 10 16" xfId="47932" xr:uid="{00000000-0005-0000-0000-00006CBB0000}"/>
    <cellStyle name="输入 2 6 10 2" xfId="47933" xr:uid="{00000000-0005-0000-0000-00006DBB0000}"/>
    <cellStyle name="输入 2 6 10 2 2" xfId="47934" xr:uid="{00000000-0005-0000-0000-00006EBB0000}"/>
    <cellStyle name="输入 2 6 10 2 2 2" xfId="2083" xr:uid="{00000000-0005-0000-0000-000053080000}"/>
    <cellStyle name="输入 2 6 10 2 3" xfId="25794" xr:uid="{00000000-0005-0000-0000-0000F2640000}"/>
    <cellStyle name="输入 2 6 10 2 3 2" xfId="15646" xr:uid="{00000000-0005-0000-0000-00004E3D0000}"/>
    <cellStyle name="输入 2 6 10 2 4" xfId="47935" xr:uid="{00000000-0005-0000-0000-00006FBB0000}"/>
    <cellStyle name="输入 2 6 10 2 4 2" xfId="15685" xr:uid="{00000000-0005-0000-0000-0000753D0000}"/>
    <cellStyle name="输入 2 6 10 2 5" xfId="25194" xr:uid="{00000000-0005-0000-0000-00009A620000}"/>
    <cellStyle name="输入 2 6 10 2 5 2" xfId="15732" xr:uid="{00000000-0005-0000-0000-0000A43D0000}"/>
    <cellStyle name="输入 2 6 10 2 6" xfId="25832" xr:uid="{00000000-0005-0000-0000-000018650000}"/>
    <cellStyle name="输入 2 6 10 2 7" xfId="15515" xr:uid="{00000000-0005-0000-0000-0000CB3C0000}"/>
    <cellStyle name="输入 2 6 10 2 8" xfId="29872" xr:uid="{00000000-0005-0000-0000-0000E0740000}"/>
    <cellStyle name="输入 2 6 10 2 9" xfId="18587" xr:uid="{00000000-0005-0000-0000-0000CB480000}"/>
    <cellStyle name="输入 2 6 10 3" xfId="47099" xr:uid="{00000000-0005-0000-0000-00002BB80000}"/>
    <cellStyle name="输入 2 6 10 3 2" xfId="19201" xr:uid="{00000000-0005-0000-0000-0000314B0000}"/>
    <cellStyle name="输入 2 6 10 3 2 2" xfId="490" xr:uid="{00000000-0005-0000-0000-000016020000}"/>
    <cellStyle name="输入 2 6 10 3 3" xfId="25840" xr:uid="{00000000-0005-0000-0000-000020650000}"/>
    <cellStyle name="输入 2 6 10 3 3 2" xfId="25845" xr:uid="{00000000-0005-0000-0000-000025650000}"/>
    <cellStyle name="输入 2 6 10 3 4" xfId="25849" xr:uid="{00000000-0005-0000-0000-000029650000}"/>
    <cellStyle name="输入 2 6 10 3 4 2" xfId="25857" xr:uid="{00000000-0005-0000-0000-000031650000}"/>
    <cellStyle name="输入 2 6 10 3 5" xfId="25865" xr:uid="{00000000-0005-0000-0000-000039650000}"/>
    <cellStyle name="输入 2 6 10 3 5 2" xfId="25870" xr:uid="{00000000-0005-0000-0000-00003E650000}"/>
    <cellStyle name="输入 2 6 10 3 6" xfId="25873" xr:uid="{00000000-0005-0000-0000-000041650000}"/>
    <cellStyle name="输入 2 6 10 4" xfId="47936" xr:uid="{00000000-0005-0000-0000-000070BB0000}"/>
    <cellStyle name="输入 2 6 10 4 2" xfId="47937" xr:uid="{00000000-0005-0000-0000-000071BB0000}"/>
    <cellStyle name="输入 2 6 10 4 2 2" xfId="47938" xr:uid="{00000000-0005-0000-0000-000072BB0000}"/>
    <cellStyle name="输入 2 6 10 4 3" xfId="25881" xr:uid="{00000000-0005-0000-0000-000049650000}"/>
    <cellStyle name="输入 2 6 10 4 3 2" xfId="47939" xr:uid="{00000000-0005-0000-0000-000073BB0000}"/>
    <cellStyle name="输入 2 6 10 4 4" xfId="47940" xr:uid="{00000000-0005-0000-0000-000074BB0000}"/>
    <cellStyle name="输入 2 6 10 4 4 2" xfId="47941" xr:uid="{00000000-0005-0000-0000-000075BB0000}"/>
    <cellStyle name="输入 2 6 10 4 5" xfId="47942" xr:uid="{00000000-0005-0000-0000-000076BB0000}"/>
    <cellStyle name="输入 2 6 10 4 5 2" xfId="47943" xr:uid="{00000000-0005-0000-0000-000077BB0000}"/>
    <cellStyle name="输入 2 6 10 4 6" xfId="25888" xr:uid="{00000000-0005-0000-0000-000050650000}"/>
    <cellStyle name="输入 2 6 10 5" xfId="47944" xr:uid="{00000000-0005-0000-0000-000078BB0000}"/>
    <cellStyle name="输入 2 6 10 5 2" xfId="47945" xr:uid="{00000000-0005-0000-0000-000079BB0000}"/>
    <cellStyle name="输入 2 6 10 5 2 2" xfId="47946" xr:uid="{00000000-0005-0000-0000-00007ABB0000}"/>
    <cellStyle name="输入 2 6 10 5 3" xfId="47947" xr:uid="{00000000-0005-0000-0000-00007BBB0000}"/>
    <cellStyle name="输入 2 6 10 5 3 2" xfId="47948" xr:uid="{00000000-0005-0000-0000-00007CBB0000}"/>
    <cellStyle name="输入 2 6 10 5 4" xfId="47949" xr:uid="{00000000-0005-0000-0000-00007DBB0000}"/>
    <cellStyle name="输入 2 6 10 5 4 2" xfId="47950" xr:uid="{00000000-0005-0000-0000-00007EBB0000}"/>
    <cellStyle name="输入 2 6 10 5 5" xfId="47951" xr:uid="{00000000-0005-0000-0000-00007FBB0000}"/>
    <cellStyle name="输入 2 6 10 5 5 2" xfId="47952" xr:uid="{00000000-0005-0000-0000-000080BB0000}"/>
    <cellStyle name="输入 2 6 10 5 6" xfId="25906" xr:uid="{00000000-0005-0000-0000-000062650000}"/>
    <cellStyle name="输入 2 6 10 6" xfId="47953" xr:uid="{00000000-0005-0000-0000-000081BB0000}"/>
    <cellStyle name="输入 2 6 10 6 2" xfId="47955" xr:uid="{00000000-0005-0000-0000-000083BB0000}"/>
    <cellStyle name="输入 2 6 10 6 2 2" xfId="47957" xr:uid="{00000000-0005-0000-0000-000085BB0000}"/>
    <cellStyle name="输入 2 6 10 6 3" xfId="47959" xr:uid="{00000000-0005-0000-0000-000087BB0000}"/>
    <cellStyle name="输入 2 6 10 6 3 2" xfId="47961" xr:uid="{00000000-0005-0000-0000-000089BB0000}"/>
    <cellStyle name="输入 2 6 10 6 4" xfId="47963" xr:uid="{00000000-0005-0000-0000-00008BBB0000}"/>
    <cellStyle name="输入 2 6 10 6 4 2" xfId="47966" xr:uid="{00000000-0005-0000-0000-00008EBB0000}"/>
    <cellStyle name="输入 2 6 10 6 5" xfId="47968" xr:uid="{00000000-0005-0000-0000-000090BB0000}"/>
    <cellStyle name="输入 2 6 10 6 5 2" xfId="41794" xr:uid="{00000000-0005-0000-0000-000072A30000}"/>
    <cellStyle name="输入 2 6 10 6 6" xfId="38573" xr:uid="{00000000-0005-0000-0000-0000DD960000}"/>
    <cellStyle name="输入 2 6 10 7" xfId="47970" xr:uid="{00000000-0005-0000-0000-000092BB0000}"/>
    <cellStyle name="输入 2 6 10 7 2" xfId="47972" xr:uid="{00000000-0005-0000-0000-000094BB0000}"/>
    <cellStyle name="输入 2 6 10 7 2 2" xfId="47974" xr:uid="{00000000-0005-0000-0000-000096BB0000}"/>
    <cellStyle name="输入 2 6 10 7 3" xfId="47976" xr:uid="{00000000-0005-0000-0000-000098BB0000}"/>
    <cellStyle name="输入 2 6 10 7 3 2" xfId="47978" xr:uid="{00000000-0005-0000-0000-00009ABB0000}"/>
    <cellStyle name="输入 2 6 10 7 4" xfId="47980" xr:uid="{00000000-0005-0000-0000-00009CBB0000}"/>
    <cellStyle name="输入 2 6 10 7 4 2" xfId="47983" xr:uid="{00000000-0005-0000-0000-00009FBB0000}"/>
    <cellStyle name="输入 2 6 10 7 5" xfId="47985" xr:uid="{00000000-0005-0000-0000-0000A1BB0000}"/>
    <cellStyle name="输入 2 6 10 7 5 2" xfId="47987" xr:uid="{00000000-0005-0000-0000-0000A3BB0000}"/>
    <cellStyle name="输入 2 6 10 7 6" xfId="38582" xr:uid="{00000000-0005-0000-0000-0000E6960000}"/>
    <cellStyle name="输入 2 6 10 8" xfId="39561" xr:uid="{00000000-0005-0000-0000-0000B99A0000}"/>
    <cellStyle name="输入 2 6 10 8 2" xfId="33376" xr:uid="{00000000-0005-0000-0000-000090820000}"/>
    <cellStyle name="输入 2 6 10 8 2 2" xfId="33379" xr:uid="{00000000-0005-0000-0000-000093820000}"/>
    <cellStyle name="输入 2 6 10 8 3" xfId="12067" xr:uid="{00000000-0005-0000-0000-0000532F0000}"/>
    <cellStyle name="输入 2 6 10 8 3 2" xfId="33383" xr:uid="{00000000-0005-0000-0000-000097820000}"/>
    <cellStyle name="输入 2 6 10 8 4" xfId="33387" xr:uid="{00000000-0005-0000-0000-00009B820000}"/>
    <cellStyle name="输入 2 6 10 8 4 2" xfId="33392" xr:uid="{00000000-0005-0000-0000-0000A0820000}"/>
    <cellStyle name="输入 2 6 10 8 5" xfId="33396" xr:uid="{00000000-0005-0000-0000-0000A4820000}"/>
    <cellStyle name="输入 2 6 10 9" xfId="47989" xr:uid="{00000000-0005-0000-0000-0000A5BB0000}"/>
    <cellStyle name="输入 2 6 10 9 2" xfId="47991" xr:uid="{00000000-0005-0000-0000-0000A7BB0000}"/>
    <cellStyle name="输入 2 6 11" xfId="6097" xr:uid="{00000000-0005-0000-0000-000001180000}"/>
    <cellStyle name="输入 2 6 11 10" xfId="10696" xr:uid="{00000000-0005-0000-0000-0000F8290000}"/>
    <cellStyle name="输入 2 6 11 10 2" xfId="47993" xr:uid="{00000000-0005-0000-0000-0000A9BB0000}"/>
    <cellStyle name="输入 2 6 11 11" xfId="20879" xr:uid="{00000000-0005-0000-0000-0000BF510000}"/>
    <cellStyle name="输入 2 6 11 11 2" xfId="47994" xr:uid="{00000000-0005-0000-0000-0000AABB0000}"/>
    <cellStyle name="输入 2 6 11 12" xfId="38250" xr:uid="{00000000-0005-0000-0000-00009A950000}"/>
    <cellStyle name="输入 2 6 11 12 2" xfId="47995" xr:uid="{00000000-0005-0000-0000-0000ABBB0000}"/>
    <cellStyle name="输入 2 6 11 13" xfId="38252" xr:uid="{00000000-0005-0000-0000-00009C950000}"/>
    <cellStyle name="输入 2 6 11 14" xfId="47996" xr:uid="{00000000-0005-0000-0000-0000ACBB0000}"/>
    <cellStyle name="输入 2 6 11 15" xfId="46705" xr:uid="{00000000-0005-0000-0000-0000A1B60000}"/>
    <cellStyle name="输入 2 6 11 16" xfId="16350" xr:uid="{00000000-0005-0000-0000-00000E400000}"/>
    <cellStyle name="输入 2 6 11 2" xfId="47997" xr:uid="{00000000-0005-0000-0000-0000ADBB0000}"/>
    <cellStyle name="输入 2 6 11 2 2" xfId="47998" xr:uid="{00000000-0005-0000-0000-0000AEBB0000}"/>
    <cellStyle name="输入 2 6 11 2 2 2" xfId="47999" xr:uid="{00000000-0005-0000-0000-0000AFBB0000}"/>
    <cellStyle name="输入 2 6 11 2 3" xfId="48000" xr:uid="{00000000-0005-0000-0000-0000B0BB0000}"/>
    <cellStyle name="输入 2 6 11 2 3 2" xfId="48001" xr:uid="{00000000-0005-0000-0000-0000B1BB0000}"/>
    <cellStyle name="输入 2 6 11 2 4" xfId="48002" xr:uid="{00000000-0005-0000-0000-0000B2BB0000}"/>
    <cellStyle name="输入 2 6 11 2 4 2" xfId="48003" xr:uid="{00000000-0005-0000-0000-0000B3BB0000}"/>
    <cellStyle name="输入 2 6 11 2 5" xfId="21453" xr:uid="{00000000-0005-0000-0000-0000FD530000}"/>
    <cellStyle name="输入 2 6 11 2 5 2" xfId="48004" xr:uid="{00000000-0005-0000-0000-0000B4BB0000}"/>
    <cellStyle name="输入 2 6 11 2 6" xfId="26012" xr:uid="{00000000-0005-0000-0000-0000CC650000}"/>
    <cellStyle name="输入 2 6 11 3" xfId="47101" xr:uid="{00000000-0005-0000-0000-00002DB80000}"/>
    <cellStyle name="输入 2 6 11 3 2" xfId="48005" xr:uid="{00000000-0005-0000-0000-0000B5BB0000}"/>
    <cellStyle name="输入 2 6 11 3 2 2" xfId="48006" xr:uid="{00000000-0005-0000-0000-0000B6BB0000}"/>
    <cellStyle name="输入 2 6 11 3 3" xfId="48007" xr:uid="{00000000-0005-0000-0000-0000B7BB0000}"/>
    <cellStyle name="输入 2 6 11 3 3 2" xfId="48008" xr:uid="{00000000-0005-0000-0000-0000B8BB0000}"/>
    <cellStyle name="输入 2 6 11 3 4" xfId="21467" xr:uid="{00000000-0005-0000-0000-00000B540000}"/>
    <cellStyle name="输入 2 6 11 3 4 2" xfId="48009" xr:uid="{00000000-0005-0000-0000-0000B9BB0000}"/>
    <cellStyle name="输入 2 6 11 3 5" xfId="45830" xr:uid="{00000000-0005-0000-0000-000036B30000}"/>
    <cellStyle name="输入 2 6 11 3 5 2" xfId="45673" xr:uid="{00000000-0005-0000-0000-000099B20000}"/>
    <cellStyle name="输入 2 6 11 3 6" xfId="26019" xr:uid="{00000000-0005-0000-0000-0000D3650000}"/>
    <cellStyle name="输入 2 6 11 4" xfId="10867" xr:uid="{00000000-0005-0000-0000-0000A32A0000}"/>
    <cellStyle name="输入 2 6 11 4 2" xfId="10881" xr:uid="{00000000-0005-0000-0000-0000B12A0000}"/>
    <cellStyle name="输入 2 6 11 4 2 2" xfId="48010" xr:uid="{00000000-0005-0000-0000-0000BABB0000}"/>
    <cellStyle name="输入 2 6 11 4 3" xfId="48011" xr:uid="{00000000-0005-0000-0000-0000BBBB0000}"/>
    <cellStyle name="输入 2 6 11 4 3 2" xfId="48012" xr:uid="{00000000-0005-0000-0000-0000BCBB0000}"/>
    <cellStyle name="输入 2 6 11 4 4" xfId="21497" xr:uid="{00000000-0005-0000-0000-000029540000}"/>
    <cellStyle name="输入 2 6 11 4 4 2" xfId="48013" xr:uid="{00000000-0005-0000-0000-0000BDBB0000}"/>
    <cellStyle name="输入 2 6 11 4 5" xfId="48014" xr:uid="{00000000-0005-0000-0000-0000BEBB0000}"/>
    <cellStyle name="输入 2 6 11 4 5 2" xfId="45890" xr:uid="{00000000-0005-0000-0000-000072B30000}"/>
    <cellStyle name="输入 2 6 11 4 6" xfId="26028" xr:uid="{00000000-0005-0000-0000-0000DC650000}"/>
    <cellStyle name="输入 2 6 11 5" xfId="10886" xr:uid="{00000000-0005-0000-0000-0000B62A0000}"/>
    <cellStyle name="输入 2 6 11 5 2" xfId="10889" xr:uid="{00000000-0005-0000-0000-0000B92A0000}"/>
    <cellStyle name="输入 2 6 11 5 2 2" xfId="48015" xr:uid="{00000000-0005-0000-0000-0000BFBB0000}"/>
    <cellStyle name="输入 2 6 11 5 3" xfId="48016" xr:uid="{00000000-0005-0000-0000-0000C0BB0000}"/>
    <cellStyle name="输入 2 6 11 5 3 2" xfId="48017" xr:uid="{00000000-0005-0000-0000-0000C1BB0000}"/>
    <cellStyle name="输入 2 6 11 5 4" xfId="26041" xr:uid="{00000000-0005-0000-0000-0000E9650000}"/>
    <cellStyle name="输入 2 6 11 5 4 2" xfId="48018" xr:uid="{00000000-0005-0000-0000-0000C2BB0000}"/>
    <cellStyle name="输入 2 6 11 5 5" xfId="48019" xr:uid="{00000000-0005-0000-0000-0000C3BB0000}"/>
    <cellStyle name="输入 2 6 11 5 5 2" xfId="26045" xr:uid="{00000000-0005-0000-0000-0000ED650000}"/>
    <cellStyle name="输入 2 6 11 5 6" xfId="26049" xr:uid="{00000000-0005-0000-0000-0000F1650000}"/>
    <cellStyle name="输入 2 6 11 6" xfId="6471" xr:uid="{00000000-0005-0000-0000-000077190000}"/>
    <cellStyle name="输入 2 6 11 6 2" xfId="10895" xr:uid="{00000000-0005-0000-0000-0000BF2A0000}"/>
    <cellStyle name="输入 2 6 11 6 2 2" xfId="48020" xr:uid="{00000000-0005-0000-0000-0000C4BB0000}"/>
    <cellStyle name="输入 2 6 11 6 3" xfId="48021" xr:uid="{00000000-0005-0000-0000-0000C5BB0000}"/>
    <cellStyle name="输入 2 6 11 6 3 2" xfId="48022" xr:uid="{00000000-0005-0000-0000-0000C6BB0000}"/>
    <cellStyle name="输入 2 6 11 6 4" xfId="41136" xr:uid="{00000000-0005-0000-0000-0000E0A00000}"/>
    <cellStyle name="输入 2 6 11 6 4 2" xfId="48023" xr:uid="{00000000-0005-0000-0000-0000C7BB0000}"/>
    <cellStyle name="输入 2 6 11 6 5" xfId="48024" xr:uid="{00000000-0005-0000-0000-0000C8BB0000}"/>
    <cellStyle name="输入 2 6 11 6 5 2" xfId="48025" xr:uid="{00000000-0005-0000-0000-0000C9BB0000}"/>
    <cellStyle name="输入 2 6 11 6 6" xfId="38635" xr:uid="{00000000-0005-0000-0000-00001B970000}"/>
    <cellStyle name="输入 2 6 11 7" xfId="3701" xr:uid="{00000000-0005-0000-0000-0000A50E0000}"/>
    <cellStyle name="输入 2 6 11 7 2" xfId="15307" xr:uid="{00000000-0005-0000-0000-0000FB3B0000}"/>
    <cellStyle name="输入 2 6 11 7 2 2" xfId="48026" xr:uid="{00000000-0005-0000-0000-0000CABB0000}"/>
    <cellStyle name="输入 2 6 11 7 3" xfId="12107" xr:uid="{00000000-0005-0000-0000-00007B2F0000}"/>
    <cellStyle name="输入 2 6 11 7 3 2" xfId="48027" xr:uid="{00000000-0005-0000-0000-0000CBBB0000}"/>
    <cellStyle name="输入 2 6 11 7 4" xfId="15320" xr:uid="{00000000-0005-0000-0000-0000083C0000}"/>
    <cellStyle name="输入 2 6 11 7 4 2" xfId="48028" xr:uid="{00000000-0005-0000-0000-0000CCBB0000}"/>
    <cellStyle name="输入 2 6 11 7 5" xfId="28187" xr:uid="{00000000-0005-0000-0000-00004B6E0000}"/>
    <cellStyle name="输入 2 6 11 7 5 2" xfId="48029" xr:uid="{00000000-0005-0000-0000-0000CDBB0000}"/>
    <cellStyle name="输入 2 6 11 7 6" xfId="38642" xr:uid="{00000000-0005-0000-0000-000022970000}"/>
    <cellStyle name="输入 2 6 11 8" xfId="10900" xr:uid="{00000000-0005-0000-0000-0000C42A0000}"/>
    <cellStyle name="输入 2 6 11 8 2" xfId="15336" xr:uid="{00000000-0005-0000-0000-0000183C0000}"/>
    <cellStyle name="输入 2 6 11 8 2 2" xfId="48030" xr:uid="{00000000-0005-0000-0000-0000CEBB0000}"/>
    <cellStyle name="输入 2 6 11 8 3" xfId="12117" xr:uid="{00000000-0005-0000-0000-0000852F0000}"/>
    <cellStyle name="输入 2 6 11 8 3 2" xfId="48031" xr:uid="{00000000-0005-0000-0000-0000CFBB0000}"/>
    <cellStyle name="输入 2 6 11 8 4" xfId="48033" xr:uid="{00000000-0005-0000-0000-0000D1BB0000}"/>
    <cellStyle name="输入 2 6 11 8 4 2" xfId="48035" xr:uid="{00000000-0005-0000-0000-0000D3BB0000}"/>
    <cellStyle name="输入 2 6 11 8 5" xfId="48036" xr:uid="{00000000-0005-0000-0000-0000D4BB0000}"/>
    <cellStyle name="输入 2 6 11 9" xfId="200" xr:uid="{00000000-0005-0000-0000-0000D8000000}"/>
    <cellStyle name="输入 2 6 11 9 2" xfId="225" xr:uid="{00000000-0005-0000-0000-0000F4000000}"/>
    <cellStyle name="输入 2 6 12" xfId="48037" xr:uid="{00000000-0005-0000-0000-0000D5BB0000}"/>
    <cellStyle name="输入 2 6 12 2" xfId="48038" xr:uid="{00000000-0005-0000-0000-0000D6BB0000}"/>
    <cellStyle name="输入 2 6 12 2 2" xfId="48039" xr:uid="{00000000-0005-0000-0000-0000D7BB0000}"/>
    <cellStyle name="输入 2 6 12 3" xfId="48040" xr:uid="{00000000-0005-0000-0000-0000D8BB0000}"/>
    <cellStyle name="输入 2 6 12 3 2" xfId="48041" xr:uid="{00000000-0005-0000-0000-0000D9BB0000}"/>
    <cellStyle name="输入 2 6 12 4" xfId="48042" xr:uid="{00000000-0005-0000-0000-0000DABB0000}"/>
    <cellStyle name="输入 2 6 12 4 2" xfId="48043" xr:uid="{00000000-0005-0000-0000-0000DBBB0000}"/>
    <cellStyle name="输入 2 6 12 5" xfId="48044" xr:uid="{00000000-0005-0000-0000-0000DCBB0000}"/>
    <cellStyle name="输入 2 6 12 5 2" xfId="48045" xr:uid="{00000000-0005-0000-0000-0000DDBB0000}"/>
    <cellStyle name="输入 2 6 12 6" xfId="45089" xr:uid="{00000000-0005-0000-0000-000051B00000}"/>
    <cellStyle name="输入 2 6 12 7" xfId="3709" xr:uid="{00000000-0005-0000-0000-0000AD0E0000}"/>
    <cellStyle name="输入 2 6 12 8" xfId="39566" xr:uid="{00000000-0005-0000-0000-0000BE9A0000}"/>
    <cellStyle name="输入 2 6 12 9" xfId="48046" xr:uid="{00000000-0005-0000-0000-0000DEBB0000}"/>
    <cellStyle name="输入 2 6 13" xfId="48047" xr:uid="{00000000-0005-0000-0000-0000DFBB0000}"/>
    <cellStyle name="输入 2 6 13 2" xfId="48048" xr:uid="{00000000-0005-0000-0000-0000E0BB0000}"/>
    <cellStyle name="输入 2 6 13 2 2" xfId="48049" xr:uid="{00000000-0005-0000-0000-0000E1BB0000}"/>
    <cellStyle name="输入 2 6 13 3" xfId="48050" xr:uid="{00000000-0005-0000-0000-0000E2BB0000}"/>
    <cellStyle name="输入 2 6 13 3 2" xfId="48051" xr:uid="{00000000-0005-0000-0000-0000E3BB0000}"/>
    <cellStyle name="输入 2 6 13 4" xfId="48052" xr:uid="{00000000-0005-0000-0000-0000E4BB0000}"/>
    <cellStyle name="输入 2 6 13 4 2" xfId="48053" xr:uid="{00000000-0005-0000-0000-0000E5BB0000}"/>
    <cellStyle name="输入 2 6 13 5" xfId="48054" xr:uid="{00000000-0005-0000-0000-0000E6BB0000}"/>
    <cellStyle name="输入 2 6 13 5 2" xfId="48055" xr:uid="{00000000-0005-0000-0000-0000E7BB0000}"/>
    <cellStyle name="输入 2 6 13 6" xfId="45092" xr:uid="{00000000-0005-0000-0000-000054B00000}"/>
    <cellStyle name="输入 2 6 14" xfId="48056" xr:uid="{00000000-0005-0000-0000-0000E8BB0000}"/>
    <cellStyle name="输入 2 6 14 2" xfId="41808" xr:uid="{00000000-0005-0000-0000-000080A30000}"/>
    <cellStyle name="输入 2 6 14 2 2" xfId="41810" xr:uid="{00000000-0005-0000-0000-000082A30000}"/>
    <cellStyle name="输入 2 6 14 3" xfId="41812" xr:uid="{00000000-0005-0000-0000-000084A30000}"/>
    <cellStyle name="输入 2 6 14 3 2" xfId="33842" xr:uid="{00000000-0005-0000-0000-000062840000}"/>
    <cellStyle name="输入 2 6 14 4" xfId="41814" xr:uid="{00000000-0005-0000-0000-000086A30000}"/>
    <cellStyle name="输入 2 6 14 4 2" xfId="48059" xr:uid="{00000000-0005-0000-0000-0000EBBB0000}"/>
    <cellStyle name="输入 2 6 14 5" xfId="41816" xr:uid="{00000000-0005-0000-0000-000088A30000}"/>
    <cellStyle name="输入 2 6 14 5 2" xfId="48060" xr:uid="{00000000-0005-0000-0000-0000ECBB0000}"/>
    <cellStyle name="输入 2 6 14 6" xfId="41819" xr:uid="{00000000-0005-0000-0000-00008BA30000}"/>
    <cellStyle name="输入 2 6 15" xfId="8059" xr:uid="{00000000-0005-0000-0000-0000AB1F0000}"/>
    <cellStyle name="输入 2 6 15 2" xfId="5920" xr:uid="{00000000-0005-0000-0000-000050170000}"/>
    <cellStyle name="输入 2 6 15 2 2" xfId="5938" xr:uid="{00000000-0005-0000-0000-000062170000}"/>
    <cellStyle name="输入 2 6 15 3" xfId="5954" xr:uid="{00000000-0005-0000-0000-000072170000}"/>
    <cellStyle name="输入 2 6 15 3 2" xfId="10491" xr:uid="{00000000-0005-0000-0000-00002B290000}"/>
    <cellStyle name="输入 2 6 15 4" xfId="10500" xr:uid="{00000000-0005-0000-0000-000034290000}"/>
    <cellStyle name="输入 2 6 15 4 2" xfId="10514" xr:uid="{00000000-0005-0000-0000-000042290000}"/>
    <cellStyle name="输入 2 6 15 5" xfId="1228" xr:uid="{00000000-0005-0000-0000-0000FC040000}"/>
    <cellStyle name="输入 2 6 15 5 2" xfId="10516" xr:uid="{00000000-0005-0000-0000-000044290000}"/>
    <cellStyle name="输入 2 6 15 6" xfId="10523" xr:uid="{00000000-0005-0000-0000-00004B290000}"/>
    <cellStyle name="输入 2 6 16" xfId="10551" xr:uid="{00000000-0005-0000-0000-000067290000}"/>
    <cellStyle name="输入 2 6 16 2" xfId="6026" xr:uid="{00000000-0005-0000-0000-0000BA170000}"/>
    <cellStyle name="输入 2 6 16 2 2" xfId="6043" xr:uid="{00000000-0005-0000-0000-0000CB170000}"/>
    <cellStyle name="输入 2 6 16 3" xfId="6059" xr:uid="{00000000-0005-0000-0000-0000DB170000}"/>
    <cellStyle name="输入 2 6 16 3 2" xfId="10558" xr:uid="{00000000-0005-0000-0000-00006E290000}"/>
    <cellStyle name="输入 2 6 16 4" xfId="10566" xr:uid="{00000000-0005-0000-0000-000076290000}"/>
    <cellStyle name="输入 2 6 16 4 2" xfId="10580" xr:uid="{00000000-0005-0000-0000-000084290000}"/>
    <cellStyle name="输入 2 6 16 5" xfId="10591" xr:uid="{00000000-0005-0000-0000-00008F290000}"/>
    <cellStyle name="输入 2 6 16 5 2" xfId="10600" xr:uid="{00000000-0005-0000-0000-000098290000}"/>
    <cellStyle name="输入 2 6 16 6" xfId="10604" xr:uid="{00000000-0005-0000-0000-00009C290000}"/>
    <cellStyle name="输入 2 6 17" xfId="10606" xr:uid="{00000000-0005-0000-0000-00009E290000}"/>
    <cellStyle name="输入 2 6 17 2" xfId="3224" xr:uid="{00000000-0005-0000-0000-0000C80C0000}"/>
    <cellStyle name="输入 2 6 17 2 2" xfId="6084" xr:uid="{00000000-0005-0000-0000-0000F4170000}"/>
    <cellStyle name="输入 2 6 17 3" xfId="5469" xr:uid="{00000000-0005-0000-0000-00008D150000}"/>
    <cellStyle name="输入 2 6 17 3 2" xfId="10617" xr:uid="{00000000-0005-0000-0000-0000A9290000}"/>
    <cellStyle name="输入 2 6 17 4" xfId="10622" xr:uid="{00000000-0005-0000-0000-0000AE290000}"/>
    <cellStyle name="输入 2 6 17 4 2" xfId="10633" xr:uid="{00000000-0005-0000-0000-0000B9290000}"/>
    <cellStyle name="输入 2 6 17 5" xfId="10642" xr:uid="{00000000-0005-0000-0000-0000C2290000}"/>
    <cellStyle name="输入 2 6 17 5 2" xfId="162" xr:uid="{00000000-0005-0000-0000-0000AF000000}"/>
    <cellStyle name="输入 2 6 17 6" xfId="10648" xr:uid="{00000000-0005-0000-0000-0000C8290000}"/>
    <cellStyle name="输入 2 6 18" xfId="10651" xr:uid="{00000000-0005-0000-0000-0000CB290000}"/>
    <cellStyle name="输入 2 6 18 2" xfId="6130" xr:uid="{00000000-0005-0000-0000-000022180000}"/>
    <cellStyle name="输入 2 6 18 2 2" xfId="10667" xr:uid="{00000000-0005-0000-0000-0000DB290000}"/>
    <cellStyle name="输入 2 6 18 3" xfId="7825" xr:uid="{00000000-0005-0000-0000-0000C11E0000}"/>
    <cellStyle name="输入 2 6 18 3 2" xfId="10682" xr:uid="{00000000-0005-0000-0000-0000EA290000}"/>
    <cellStyle name="输入 2 6 18 4" xfId="10687" xr:uid="{00000000-0005-0000-0000-0000EF290000}"/>
    <cellStyle name="输入 2 6 18 4 2" xfId="10702" xr:uid="{00000000-0005-0000-0000-0000FE290000}"/>
    <cellStyle name="输入 2 6 18 5" xfId="10707" xr:uid="{00000000-0005-0000-0000-0000032A0000}"/>
    <cellStyle name="输入 2 6 18 5 2" xfId="10712" xr:uid="{00000000-0005-0000-0000-0000082A0000}"/>
    <cellStyle name="输入 2 6 18 6" xfId="10717" xr:uid="{00000000-0005-0000-0000-00000D2A0000}"/>
    <cellStyle name="输入 2 6 19" xfId="2695" xr:uid="{00000000-0005-0000-0000-0000B70A0000}"/>
    <cellStyle name="输入 2 6 19 2" xfId="10721" xr:uid="{00000000-0005-0000-0000-0000112A0000}"/>
    <cellStyle name="输入 2 6 19 2 2" xfId="10739" xr:uid="{00000000-0005-0000-0000-0000232A0000}"/>
    <cellStyle name="输入 2 6 19 3" xfId="10747" xr:uid="{00000000-0005-0000-0000-00002B2A0000}"/>
    <cellStyle name="输入 2 6 19 3 2" xfId="10759" xr:uid="{00000000-0005-0000-0000-0000372A0000}"/>
    <cellStyle name="输入 2 6 19 4" xfId="10763" xr:uid="{00000000-0005-0000-0000-00003B2A0000}"/>
    <cellStyle name="输入 2 6 19 4 2" xfId="10774" xr:uid="{00000000-0005-0000-0000-0000462A0000}"/>
    <cellStyle name="输入 2 6 19 5" xfId="10778" xr:uid="{00000000-0005-0000-0000-00004A2A0000}"/>
    <cellStyle name="输入 2 6 2" xfId="48061" xr:uid="{00000000-0005-0000-0000-0000EDBB0000}"/>
    <cellStyle name="输入 2 6 2 10" xfId="48063" xr:uid="{00000000-0005-0000-0000-0000EFBB0000}"/>
    <cellStyle name="输入 2 6 2 10 2" xfId="48065" xr:uid="{00000000-0005-0000-0000-0000F1BB0000}"/>
    <cellStyle name="输入 2 6 2 11" xfId="48066" xr:uid="{00000000-0005-0000-0000-0000F2BB0000}"/>
    <cellStyle name="输入 2 6 2 11 2" xfId="48067" xr:uid="{00000000-0005-0000-0000-0000F3BB0000}"/>
    <cellStyle name="输入 2 6 2 12" xfId="48068" xr:uid="{00000000-0005-0000-0000-0000F4BB0000}"/>
    <cellStyle name="输入 2 6 2 12 2" xfId="48069" xr:uid="{00000000-0005-0000-0000-0000F5BB0000}"/>
    <cellStyle name="输入 2 6 2 13" xfId="48070" xr:uid="{00000000-0005-0000-0000-0000F6BB0000}"/>
    <cellStyle name="输入 2 6 2 14" xfId="4654" xr:uid="{00000000-0005-0000-0000-00005E120000}"/>
    <cellStyle name="输入 2 6 2 15" xfId="48071" xr:uid="{00000000-0005-0000-0000-0000F7BB0000}"/>
    <cellStyle name="输入 2 6 2 16" xfId="48072" xr:uid="{00000000-0005-0000-0000-0000F8BB0000}"/>
    <cellStyle name="输入 2 6 2 2" xfId="48073" xr:uid="{00000000-0005-0000-0000-0000F9BB0000}"/>
    <cellStyle name="输入 2 6 2 2 2" xfId="9850" xr:uid="{00000000-0005-0000-0000-0000AA260000}"/>
    <cellStyle name="输入 2 6 2 2 2 2" xfId="48074" xr:uid="{00000000-0005-0000-0000-0000FABB0000}"/>
    <cellStyle name="输入 2 6 2 2 3" xfId="9852" xr:uid="{00000000-0005-0000-0000-0000AC260000}"/>
    <cellStyle name="输入 2 6 2 2 3 2" xfId="48076" xr:uid="{00000000-0005-0000-0000-0000FCBB0000}"/>
    <cellStyle name="输入 2 6 2 2 4" xfId="20" xr:uid="{00000000-0005-0000-0000-000016000000}"/>
    <cellStyle name="输入 2 6 2 2 4 2" xfId="48078" xr:uid="{00000000-0005-0000-0000-0000FEBB0000}"/>
    <cellStyle name="输入 2 6 2 2 5" xfId="9859" xr:uid="{00000000-0005-0000-0000-0000B3260000}"/>
    <cellStyle name="输入 2 6 2 2 5 2" xfId="22409" xr:uid="{00000000-0005-0000-0000-0000B9570000}"/>
    <cellStyle name="输入 2 6 2 2 6" xfId="7794" xr:uid="{00000000-0005-0000-0000-0000A21E0000}"/>
    <cellStyle name="输入 2 6 2 2 7" xfId="7345" xr:uid="{00000000-0005-0000-0000-0000E11C0000}"/>
    <cellStyle name="输入 2 6 2 2 8" xfId="5725" xr:uid="{00000000-0005-0000-0000-00008D160000}"/>
    <cellStyle name="输入 2 6 2 2 9" xfId="7800" xr:uid="{00000000-0005-0000-0000-0000A81E0000}"/>
    <cellStyle name="输入 2 6 2 3" xfId="48080" xr:uid="{00000000-0005-0000-0000-000000BC0000}"/>
    <cellStyle name="输入 2 6 2 3 2" xfId="48082" xr:uid="{00000000-0005-0000-0000-000002BC0000}"/>
    <cellStyle name="输入 2 6 2 3 2 2" xfId="48083" xr:uid="{00000000-0005-0000-0000-000003BC0000}"/>
    <cellStyle name="输入 2 6 2 3 3" xfId="48085" xr:uid="{00000000-0005-0000-0000-000005BC0000}"/>
    <cellStyle name="输入 2 6 2 3 3 2" xfId="48086" xr:uid="{00000000-0005-0000-0000-000006BC0000}"/>
    <cellStyle name="输入 2 6 2 3 4" xfId="48088" xr:uid="{00000000-0005-0000-0000-000008BC0000}"/>
    <cellStyle name="输入 2 6 2 3 4 2" xfId="48089" xr:uid="{00000000-0005-0000-0000-000009BC0000}"/>
    <cellStyle name="输入 2 6 2 3 5" xfId="22414" xr:uid="{00000000-0005-0000-0000-0000BE570000}"/>
    <cellStyle name="输入 2 6 2 3 5 2" xfId="22417" xr:uid="{00000000-0005-0000-0000-0000C1570000}"/>
    <cellStyle name="输入 2 6 2 3 6" xfId="7813" xr:uid="{00000000-0005-0000-0000-0000B51E0000}"/>
    <cellStyle name="输入 2 6 2 4" xfId="13722" xr:uid="{00000000-0005-0000-0000-0000CA350000}"/>
    <cellStyle name="输入 2 6 2 4 2" xfId="48091" xr:uid="{00000000-0005-0000-0000-00000BBC0000}"/>
    <cellStyle name="输入 2 6 2 4 2 2" xfId="48092" xr:uid="{00000000-0005-0000-0000-00000CBC0000}"/>
    <cellStyle name="输入 2 6 2 4 3" xfId="48094" xr:uid="{00000000-0005-0000-0000-00000EBC0000}"/>
    <cellStyle name="输入 2 6 2 4 3 2" xfId="48095" xr:uid="{00000000-0005-0000-0000-00000FBC0000}"/>
    <cellStyle name="输入 2 6 2 4 4" xfId="48097" xr:uid="{00000000-0005-0000-0000-000011BC0000}"/>
    <cellStyle name="输入 2 6 2 4 4 2" xfId="48098" xr:uid="{00000000-0005-0000-0000-000012BC0000}"/>
    <cellStyle name="输入 2 6 2 4 5" xfId="22425" xr:uid="{00000000-0005-0000-0000-0000C9570000}"/>
    <cellStyle name="输入 2 6 2 4 5 2" xfId="16176" xr:uid="{00000000-0005-0000-0000-0000603F0000}"/>
    <cellStyle name="输入 2 6 2 4 6" xfId="7836" xr:uid="{00000000-0005-0000-0000-0000CC1E0000}"/>
    <cellStyle name="输入 2 6 2 5" xfId="20567" xr:uid="{00000000-0005-0000-0000-000087500000}"/>
    <cellStyle name="输入 2 6 2 5 2" xfId="48100" xr:uid="{00000000-0005-0000-0000-000014BC0000}"/>
    <cellStyle name="输入 2 6 2 5 2 2" xfId="48101" xr:uid="{00000000-0005-0000-0000-000015BC0000}"/>
    <cellStyle name="输入 2 6 2 5 3" xfId="48103" xr:uid="{00000000-0005-0000-0000-000017BC0000}"/>
    <cellStyle name="输入 2 6 2 5 3 2" xfId="30994" xr:uid="{00000000-0005-0000-0000-000042790000}"/>
    <cellStyle name="输入 2 6 2 5 4" xfId="48104" xr:uid="{00000000-0005-0000-0000-000018BC0000}"/>
    <cellStyle name="输入 2 6 2 5 4 2" xfId="48105" xr:uid="{00000000-0005-0000-0000-000019BC0000}"/>
    <cellStyle name="输入 2 6 2 5 5" xfId="22428" xr:uid="{00000000-0005-0000-0000-0000CC570000}"/>
    <cellStyle name="输入 2 6 2 5 5 2" xfId="16890" xr:uid="{00000000-0005-0000-0000-00002A420000}"/>
    <cellStyle name="输入 2 6 2 5 6" xfId="7854" xr:uid="{00000000-0005-0000-0000-0000DE1E0000}"/>
    <cellStyle name="输入 2 6 2 6" xfId="48107" xr:uid="{00000000-0005-0000-0000-00001BBC0000}"/>
    <cellStyle name="输入 2 6 2 6 2" xfId="48108" xr:uid="{00000000-0005-0000-0000-00001CBC0000}"/>
    <cellStyle name="输入 2 6 2 6 2 2" xfId="37169" xr:uid="{00000000-0005-0000-0000-000061910000}"/>
    <cellStyle name="输入 2 6 2 6 3" xfId="17789" xr:uid="{00000000-0005-0000-0000-0000AD450000}"/>
    <cellStyle name="输入 2 6 2 6 3 2" xfId="31710" xr:uid="{00000000-0005-0000-0000-00000E7C0000}"/>
    <cellStyle name="输入 2 6 2 6 4" xfId="17797" xr:uid="{00000000-0005-0000-0000-0000B5450000}"/>
    <cellStyle name="输入 2 6 2 6 4 2" xfId="48109" xr:uid="{00000000-0005-0000-0000-00001DBC0000}"/>
    <cellStyle name="输入 2 6 2 6 5" xfId="17803" xr:uid="{00000000-0005-0000-0000-0000BB450000}"/>
    <cellStyle name="输入 2 6 2 6 5 2" xfId="22433" xr:uid="{00000000-0005-0000-0000-0000D1570000}"/>
    <cellStyle name="输入 2 6 2 6 6" xfId="7870" xr:uid="{00000000-0005-0000-0000-0000EE1E0000}"/>
    <cellStyle name="输入 2 6 2 7" xfId="48112" xr:uid="{00000000-0005-0000-0000-000020BC0000}"/>
    <cellStyle name="输入 2 6 2 7 2" xfId="2089" xr:uid="{00000000-0005-0000-0000-000059080000}"/>
    <cellStyle name="输入 2 6 2 7 2 2" xfId="48113" xr:uid="{00000000-0005-0000-0000-000021BC0000}"/>
    <cellStyle name="输入 2 6 2 7 3" xfId="2101" xr:uid="{00000000-0005-0000-0000-000065080000}"/>
    <cellStyle name="输入 2 6 2 7 3 2" xfId="48114" xr:uid="{00000000-0005-0000-0000-000022BC0000}"/>
    <cellStyle name="输入 2 6 2 7 4" xfId="2125" xr:uid="{00000000-0005-0000-0000-00007D080000}"/>
    <cellStyle name="输入 2 6 2 7 4 2" xfId="48115" xr:uid="{00000000-0005-0000-0000-000023BC0000}"/>
    <cellStyle name="输入 2 6 2 7 5" xfId="1857" xr:uid="{00000000-0005-0000-0000-000071070000}"/>
    <cellStyle name="输入 2 6 2 7 5 2" xfId="48117" xr:uid="{00000000-0005-0000-0000-000025BC0000}"/>
    <cellStyle name="输入 2 6 2 7 6" xfId="48119" xr:uid="{00000000-0005-0000-0000-000027BC0000}"/>
    <cellStyle name="输入 2 6 2 8" xfId="48120" xr:uid="{00000000-0005-0000-0000-000028BC0000}"/>
    <cellStyle name="输入 2 6 2 8 2" xfId="48121" xr:uid="{00000000-0005-0000-0000-000029BC0000}"/>
    <cellStyle name="输入 2 6 2 8 2 2" xfId="48122" xr:uid="{00000000-0005-0000-0000-00002ABC0000}"/>
    <cellStyle name="输入 2 6 2 8 3" xfId="29230" xr:uid="{00000000-0005-0000-0000-00005E720000}"/>
    <cellStyle name="输入 2 6 2 8 3 2" xfId="48123" xr:uid="{00000000-0005-0000-0000-00002BBC0000}"/>
    <cellStyle name="输入 2 6 2 8 4" xfId="20561" xr:uid="{00000000-0005-0000-0000-000081500000}"/>
    <cellStyle name="输入 2 6 2 8 4 2" xfId="48124" xr:uid="{00000000-0005-0000-0000-00002CBC0000}"/>
    <cellStyle name="输入 2 6 2 8 5" xfId="48064" xr:uid="{00000000-0005-0000-0000-0000F0BB0000}"/>
    <cellStyle name="输入 2 6 2 9" xfId="48125" xr:uid="{00000000-0005-0000-0000-00002DBC0000}"/>
    <cellStyle name="输入 2 6 2 9 2" xfId="48081" xr:uid="{00000000-0005-0000-0000-000001BC0000}"/>
    <cellStyle name="输入 2 6 20" xfId="8058" xr:uid="{00000000-0005-0000-0000-0000AA1F0000}"/>
    <cellStyle name="输入 2 6 20 2" xfId="5919" xr:uid="{00000000-0005-0000-0000-00004F170000}"/>
    <cellStyle name="输入 2 6 21" xfId="10552" xr:uid="{00000000-0005-0000-0000-000068290000}"/>
    <cellStyle name="输入 2 6 21 2" xfId="6025" xr:uid="{00000000-0005-0000-0000-0000B9170000}"/>
    <cellStyle name="输入 2 6 22" xfId="10607" xr:uid="{00000000-0005-0000-0000-00009F290000}"/>
    <cellStyle name="输入 2 6 22 2" xfId="3225" xr:uid="{00000000-0005-0000-0000-0000C90C0000}"/>
    <cellStyle name="输入 2 6 23" xfId="10652" xr:uid="{00000000-0005-0000-0000-0000CC290000}"/>
    <cellStyle name="输入 2 6 23 2" xfId="6129" xr:uid="{00000000-0005-0000-0000-000021180000}"/>
    <cellStyle name="输入 2 6 24" xfId="2696" xr:uid="{00000000-0005-0000-0000-0000B80A0000}"/>
    <cellStyle name="输入 2 6 25" xfId="10786" xr:uid="{00000000-0005-0000-0000-0000522A0000}"/>
    <cellStyle name="输入 2 6 26" xfId="10834" xr:uid="{00000000-0005-0000-0000-0000822A0000}"/>
    <cellStyle name="输入 2 6 27" xfId="10862" xr:uid="{00000000-0005-0000-0000-00009E2A0000}"/>
    <cellStyle name="输入 2 6 3" xfId="48126" xr:uid="{00000000-0005-0000-0000-00002EBC0000}"/>
    <cellStyle name="输入 2 6 3 10" xfId="30091" xr:uid="{00000000-0005-0000-0000-0000BB750000}"/>
    <cellStyle name="输入 2 6 3 10 2" xfId="48127" xr:uid="{00000000-0005-0000-0000-00002FBC0000}"/>
    <cellStyle name="输入 2 6 3 11" xfId="48129" xr:uid="{00000000-0005-0000-0000-000031BC0000}"/>
    <cellStyle name="输入 2 6 3 11 2" xfId="48131" xr:uid="{00000000-0005-0000-0000-000033BC0000}"/>
    <cellStyle name="输入 2 6 3 12" xfId="48133" xr:uid="{00000000-0005-0000-0000-000035BC0000}"/>
    <cellStyle name="输入 2 6 3 12 2" xfId="48135" xr:uid="{00000000-0005-0000-0000-000037BC0000}"/>
    <cellStyle name="输入 2 6 3 13" xfId="38216" xr:uid="{00000000-0005-0000-0000-000078950000}"/>
    <cellStyle name="输入 2 6 3 14" xfId="20026" xr:uid="{00000000-0005-0000-0000-00006A4E0000}"/>
    <cellStyle name="输入 2 6 3 15" xfId="48137" xr:uid="{00000000-0005-0000-0000-000039BC0000}"/>
    <cellStyle name="输入 2 6 3 16" xfId="48138" xr:uid="{00000000-0005-0000-0000-00003ABC0000}"/>
    <cellStyle name="输入 2 6 3 2" xfId="48139" xr:uid="{00000000-0005-0000-0000-00003BBC0000}"/>
    <cellStyle name="输入 2 6 3 2 2" xfId="11043" xr:uid="{00000000-0005-0000-0000-0000532B0000}"/>
    <cellStyle name="输入 2 6 3 2 2 2" xfId="48140" xr:uid="{00000000-0005-0000-0000-00003CBC0000}"/>
    <cellStyle name="输入 2 6 3 2 3" xfId="11049" xr:uid="{00000000-0005-0000-0000-0000592B0000}"/>
    <cellStyle name="输入 2 6 3 2 3 2" xfId="48142" xr:uid="{00000000-0005-0000-0000-00003EBC0000}"/>
    <cellStyle name="输入 2 6 3 2 4" xfId="11055" xr:uid="{00000000-0005-0000-0000-00005F2B0000}"/>
    <cellStyle name="输入 2 6 3 2 4 2" xfId="48144" xr:uid="{00000000-0005-0000-0000-000040BC0000}"/>
    <cellStyle name="输入 2 6 3 2 5" xfId="11061" xr:uid="{00000000-0005-0000-0000-0000652B0000}"/>
    <cellStyle name="输入 2 6 3 2 5 2" xfId="22477" xr:uid="{00000000-0005-0000-0000-0000FD570000}"/>
    <cellStyle name="输入 2 6 3 2 6" xfId="6184" xr:uid="{00000000-0005-0000-0000-000058180000}"/>
    <cellStyle name="输入 2 6 3 2 7" xfId="7086" xr:uid="{00000000-0005-0000-0000-0000DE1B0000}"/>
    <cellStyle name="输入 2 6 3 2 8" xfId="5805" xr:uid="{00000000-0005-0000-0000-0000DD160000}"/>
    <cellStyle name="输入 2 6 3 2 9" xfId="7177" xr:uid="{00000000-0005-0000-0000-0000391C0000}"/>
    <cellStyle name="输入 2 6 3 3" xfId="48146" xr:uid="{00000000-0005-0000-0000-000042BC0000}"/>
    <cellStyle name="输入 2 6 3 3 2" xfId="48147" xr:uid="{00000000-0005-0000-0000-000043BC0000}"/>
    <cellStyle name="输入 2 6 3 3 2 2" xfId="48148" xr:uid="{00000000-0005-0000-0000-000044BC0000}"/>
    <cellStyle name="输入 2 6 3 3 3" xfId="48150" xr:uid="{00000000-0005-0000-0000-000046BC0000}"/>
    <cellStyle name="输入 2 6 3 3 3 2" xfId="48151" xr:uid="{00000000-0005-0000-0000-000047BC0000}"/>
    <cellStyle name="输入 2 6 3 3 4" xfId="48153" xr:uid="{00000000-0005-0000-0000-000049BC0000}"/>
    <cellStyle name="输入 2 6 3 3 4 2" xfId="48154" xr:uid="{00000000-0005-0000-0000-00004ABC0000}"/>
    <cellStyle name="输入 2 6 3 3 5" xfId="3553" xr:uid="{00000000-0005-0000-0000-0000110E0000}"/>
    <cellStyle name="输入 2 6 3 3 5 2" xfId="3605" xr:uid="{00000000-0005-0000-0000-0000450E0000}"/>
    <cellStyle name="输入 2 6 3 3 6" xfId="3953" xr:uid="{00000000-0005-0000-0000-0000A10F0000}"/>
    <cellStyle name="输入 2 6 3 4" xfId="48156" xr:uid="{00000000-0005-0000-0000-00004CBC0000}"/>
    <cellStyle name="输入 2 6 3 4 2" xfId="32265" xr:uid="{00000000-0005-0000-0000-0000397E0000}"/>
    <cellStyle name="输入 2 6 3 4 2 2" xfId="32270" xr:uid="{00000000-0005-0000-0000-00003E7E0000}"/>
    <cellStyle name="输入 2 6 3 4 3" xfId="32272" xr:uid="{00000000-0005-0000-0000-0000407E0000}"/>
    <cellStyle name="输入 2 6 3 4 3 2" xfId="32276" xr:uid="{00000000-0005-0000-0000-0000447E0000}"/>
    <cellStyle name="输入 2 6 3 4 4" xfId="32278" xr:uid="{00000000-0005-0000-0000-0000467E0000}"/>
    <cellStyle name="输入 2 6 3 4 4 2" xfId="32281" xr:uid="{00000000-0005-0000-0000-0000497E0000}"/>
    <cellStyle name="输入 2 6 3 4 5" xfId="1622" xr:uid="{00000000-0005-0000-0000-000086060000}"/>
    <cellStyle name="输入 2 6 3 4 5 2" xfId="7311" xr:uid="{00000000-0005-0000-0000-0000BF1C0000}"/>
    <cellStyle name="输入 2 6 3 4 6" xfId="1633" xr:uid="{00000000-0005-0000-0000-000091060000}"/>
    <cellStyle name="输入 2 6 3 5" xfId="48157" xr:uid="{00000000-0005-0000-0000-00004DBC0000}"/>
    <cellStyle name="输入 2 6 3 5 2" xfId="48158" xr:uid="{00000000-0005-0000-0000-00004EBC0000}"/>
    <cellStyle name="输入 2 6 3 5 2 2" xfId="48159" xr:uid="{00000000-0005-0000-0000-00004FBC0000}"/>
    <cellStyle name="输入 2 6 3 5 3" xfId="48161" xr:uid="{00000000-0005-0000-0000-000051BC0000}"/>
    <cellStyle name="输入 2 6 3 5 3 2" xfId="47453" xr:uid="{00000000-0005-0000-0000-00008DB90000}"/>
    <cellStyle name="输入 2 6 3 5 4" xfId="48162" xr:uid="{00000000-0005-0000-0000-000052BC0000}"/>
    <cellStyle name="输入 2 6 3 5 4 2" xfId="48163" xr:uid="{00000000-0005-0000-0000-000053BC0000}"/>
    <cellStyle name="输入 2 6 3 5 5" xfId="9480" xr:uid="{00000000-0005-0000-0000-000038250000}"/>
    <cellStyle name="输入 2 6 3 5 5 2" xfId="9550" xr:uid="{00000000-0005-0000-0000-00007E250000}"/>
    <cellStyle name="输入 2 6 3 5 6" xfId="8037" xr:uid="{00000000-0005-0000-0000-0000951F0000}"/>
    <cellStyle name="输入 2 6 3 6" xfId="48165" xr:uid="{00000000-0005-0000-0000-000055BC0000}"/>
    <cellStyle name="输入 2 6 3 6 2" xfId="48166" xr:uid="{00000000-0005-0000-0000-000056BC0000}"/>
    <cellStyle name="输入 2 6 3 6 2 2" xfId="48167" xr:uid="{00000000-0005-0000-0000-000057BC0000}"/>
    <cellStyle name="输入 2 6 3 6 3" xfId="5328" xr:uid="{00000000-0005-0000-0000-000000150000}"/>
    <cellStyle name="输入 2 6 3 6 3 2" xfId="48169" xr:uid="{00000000-0005-0000-0000-000059BC0000}"/>
    <cellStyle name="输入 2 6 3 6 4" xfId="14264" xr:uid="{00000000-0005-0000-0000-0000E8370000}"/>
    <cellStyle name="输入 2 6 3 6 4 2" xfId="48171" xr:uid="{00000000-0005-0000-0000-00005BBC0000}"/>
    <cellStyle name="输入 2 6 3 6 5" xfId="11533" xr:uid="{00000000-0005-0000-0000-00003D2D0000}"/>
    <cellStyle name="输入 2 6 3 6 5 2" xfId="11537" xr:uid="{00000000-0005-0000-0000-0000412D0000}"/>
    <cellStyle name="输入 2 6 3 6 6" xfId="8069" xr:uid="{00000000-0005-0000-0000-0000B51F0000}"/>
    <cellStyle name="输入 2 6 3 7" xfId="48173" xr:uid="{00000000-0005-0000-0000-00005DBC0000}"/>
    <cellStyle name="输入 2 6 3 7 2" xfId="496" xr:uid="{00000000-0005-0000-0000-00001C020000}"/>
    <cellStyle name="输入 2 6 3 7 2 2" xfId="48174" xr:uid="{00000000-0005-0000-0000-00005EBC0000}"/>
    <cellStyle name="输入 2 6 3 7 3" xfId="539" xr:uid="{00000000-0005-0000-0000-00004A020000}"/>
    <cellStyle name="输入 2 6 3 7 3 2" xfId="48175" xr:uid="{00000000-0005-0000-0000-00005FBC0000}"/>
    <cellStyle name="输入 2 6 3 7 4" xfId="11251" xr:uid="{00000000-0005-0000-0000-0000232C0000}"/>
    <cellStyle name="输入 2 6 3 7 4 2" xfId="48176" xr:uid="{00000000-0005-0000-0000-000060BC0000}"/>
    <cellStyle name="输入 2 6 3 7 5" xfId="11256" xr:uid="{00000000-0005-0000-0000-0000282C0000}"/>
    <cellStyle name="输入 2 6 3 7 5 2" xfId="11748" xr:uid="{00000000-0005-0000-0000-0000142E0000}"/>
    <cellStyle name="输入 2 6 3 7 6" xfId="8120" xr:uid="{00000000-0005-0000-0000-0000E81F0000}"/>
    <cellStyle name="输入 2 6 3 8" xfId="48177" xr:uid="{00000000-0005-0000-0000-000061BC0000}"/>
    <cellStyle name="输入 2 6 3 8 2" xfId="48178" xr:uid="{00000000-0005-0000-0000-000062BC0000}"/>
    <cellStyle name="输入 2 6 3 8 2 2" xfId="48179" xr:uid="{00000000-0005-0000-0000-000063BC0000}"/>
    <cellStyle name="输入 2 6 3 8 3" xfId="9871" xr:uid="{00000000-0005-0000-0000-0000BF260000}"/>
    <cellStyle name="输入 2 6 3 8 3 2" xfId="48180" xr:uid="{00000000-0005-0000-0000-000064BC0000}"/>
    <cellStyle name="输入 2 6 3 8 4" xfId="20576" xr:uid="{00000000-0005-0000-0000-000090500000}"/>
    <cellStyle name="输入 2 6 3 8 4 2" xfId="48181" xr:uid="{00000000-0005-0000-0000-000065BC0000}"/>
    <cellStyle name="输入 2 6 3 8 5" xfId="11865" xr:uid="{00000000-0005-0000-0000-0000892E0000}"/>
    <cellStyle name="输入 2 6 3 9" xfId="48182" xr:uid="{00000000-0005-0000-0000-000066BC0000}"/>
    <cellStyle name="输入 2 6 3 9 2" xfId="32346" xr:uid="{00000000-0005-0000-0000-00008A7E0000}"/>
    <cellStyle name="输入 2 6 4" xfId="34856" xr:uid="{00000000-0005-0000-0000-000058880000}"/>
    <cellStyle name="输入 2 6 4 10" xfId="48183" xr:uid="{00000000-0005-0000-0000-000067BC0000}"/>
    <cellStyle name="输入 2 6 4 10 2" xfId="23791" xr:uid="{00000000-0005-0000-0000-00001F5D0000}"/>
    <cellStyle name="输入 2 6 4 11" xfId="48184" xr:uid="{00000000-0005-0000-0000-000068BC0000}"/>
    <cellStyle name="输入 2 6 4 11 2" xfId="28249" xr:uid="{00000000-0005-0000-0000-0000896E0000}"/>
    <cellStyle name="输入 2 6 4 12" xfId="48185" xr:uid="{00000000-0005-0000-0000-000069BC0000}"/>
    <cellStyle name="输入 2 6 4 12 2" xfId="18012" xr:uid="{00000000-0005-0000-0000-00008C460000}"/>
    <cellStyle name="输入 2 6 4 13" xfId="48186" xr:uid="{00000000-0005-0000-0000-00006ABC0000}"/>
    <cellStyle name="输入 2 6 4 14" xfId="48188" xr:uid="{00000000-0005-0000-0000-00006CBC0000}"/>
    <cellStyle name="输入 2 6 4 15" xfId="48189" xr:uid="{00000000-0005-0000-0000-00006DBC0000}"/>
    <cellStyle name="输入 2 6 4 16" xfId="48190" xr:uid="{00000000-0005-0000-0000-00006EBC0000}"/>
    <cellStyle name="输入 2 6 4 2" xfId="48191" xr:uid="{00000000-0005-0000-0000-00006FBC0000}"/>
    <cellStyle name="输入 2 6 4 2 2" xfId="48192" xr:uid="{00000000-0005-0000-0000-000070BC0000}"/>
    <cellStyle name="输入 2 6 4 2 2 2" xfId="48193" xr:uid="{00000000-0005-0000-0000-000071BC0000}"/>
    <cellStyle name="输入 2 6 4 2 3" xfId="48195" xr:uid="{00000000-0005-0000-0000-000073BC0000}"/>
    <cellStyle name="输入 2 6 4 2 3 2" xfId="48196" xr:uid="{00000000-0005-0000-0000-000074BC0000}"/>
    <cellStyle name="输入 2 6 4 2 4" xfId="48198" xr:uid="{00000000-0005-0000-0000-000076BC0000}"/>
    <cellStyle name="输入 2 6 4 2 4 2" xfId="48200" xr:uid="{00000000-0005-0000-0000-000078BC0000}"/>
    <cellStyle name="输入 2 6 4 2 5" xfId="2933" xr:uid="{00000000-0005-0000-0000-0000A50B0000}"/>
    <cellStyle name="输入 2 6 4 2 5 2" xfId="22504" xr:uid="{00000000-0005-0000-0000-000018580000}"/>
    <cellStyle name="输入 2 6 4 2 6" xfId="8218" xr:uid="{00000000-0005-0000-0000-00004A200000}"/>
    <cellStyle name="输入 2 6 4 2 7" xfId="7450" xr:uid="{00000000-0005-0000-0000-00004A1D0000}"/>
    <cellStyle name="输入 2 6 4 2 8" xfId="5930" xr:uid="{00000000-0005-0000-0000-00005A170000}"/>
    <cellStyle name="输入 2 6 4 2 9" xfId="8246" xr:uid="{00000000-0005-0000-0000-000066200000}"/>
    <cellStyle name="输入 2 6 4 3" xfId="48202" xr:uid="{00000000-0005-0000-0000-00007ABC0000}"/>
    <cellStyle name="输入 2 6 4 3 2" xfId="48203" xr:uid="{00000000-0005-0000-0000-00007BBC0000}"/>
    <cellStyle name="输入 2 6 4 3 2 2" xfId="48204" xr:uid="{00000000-0005-0000-0000-00007CBC0000}"/>
    <cellStyle name="输入 2 6 4 3 3" xfId="48206" xr:uid="{00000000-0005-0000-0000-00007EBC0000}"/>
    <cellStyle name="输入 2 6 4 3 3 2" xfId="48207" xr:uid="{00000000-0005-0000-0000-00007FBC0000}"/>
    <cellStyle name="输入 2 6 4 3 4" xfId="48209" xr:uid="{00000000-0005-0000-0000-000081BC0000}"/>
    <cellStyle name="输入 2 6 4 3 4 2" xfId="48211" xr:uid="{00000000-0005-0000-0000-000083BC0000}"/>
    <cellStyle name="输入 2 6 4 3 5" xfId="138" xr:uid="{00000000-0005-0000-0000-000095000000}"/>
    <cellStyle name="输入 2 6 4 3 5 2" xfId="22507" xr:uid="{00000000-0005-0000-0000-00001B580000}"/>
    <cellStyle name="输入 2 6 4 3 6" xfId="8265" xr:uid="{00000000-0005-0000-0000-000079200000}"/>
    <cellStyle name="输入 2 6 4 4" xfId="48213" xr:uid="{00000000-0005-0000-0000-000085BC0000}"/>
    <cellStyle name="输入 2 6 4 4 2" xfId="32551" xr:uid="{00000000-0005-0000-0000-0000577F0000}"/>
    <cellStyle name="输入 2 6 4 4 2 2" xfId="32554" xr:uid="{00000000-0005-0000-0000-00005A7F0000}"/>
    <cellStyle name="输入 2 6 4 4 3" xfId="32556" xr:uid="{00000000-0005-0000-0000-00005C7F0000}"/>
    <cellStyle name="输入 2 6 4 4 3 2" xfId="32559" xr:uid="{00000000-0005-0000-0000-00005F7F0000}"/>
    <cellStyle name="输入 2 6 4 4 4" xfId="32563" xr:uid="{00000000-0005-0000-0000-0000637F0000}"/>
    <cellStyle name="输入 2 6 4 4 4 2" xfId="32566" xr:uid="{00000000-0005-0000-0000-0000667F0000}"/>
    <cellStyle name="输入 2 6 4 4 5" xfId="22510" xr:uid="{00000000-0005-0000-0000-00001E580000}"/>
    <cellStyle name="输入 2 6 4 4 5 2" xfId="22514" xr:uid="{00000000-0005-0000-0000-000022580000}"/>
    <cellStyle name="输入 2 6 4 4 6" xfId="8316" xr:uid="{00000000-0005-0000-0000-0000AC200000}"/>
    <cellStyle name="输入 2 6 4 5" xfId="48214" xr:uid="{00000000-0005-0000-0000-000086BC0000}"/>
    <cellStyle name="输入 2 6 4 5 2" xfId="48215" xr:uid="{00000000-0005-0000-0000-000087BC0000}"/>
    <cellStyle name="输入 2 6 4 5 2 2" xfId="14374" xr:uid="{00000000-0005-0000-0000-000056380000}"/>
    <cellStyle name="输入 2 6 4 5 3" xfId="48216" xr:uid="{00000000-0005-0000-0000-000088BC0000}"/>
    <cellStyle name="输入 2 6 4 5 3 2" xfId="1870" xr:uid="{00000000-0005-0000-0000-00007E070000}"/>
    <cellStyle name="输入 2 6 4 5 4" xfId="48217" xr:uid="{00000000-0005-0000-0000-000089BC0000}"/>
    <cellStyle name="输入 2 6 4 5 4 2" xfId="15670" xr:uid="{00000000-0005-0000-0000-0000663D0000}"/>
    <cellStyle name="输入 2 6 4 5 5" xfId="22517" xr:uid="{00000000-0005-0000-0000-000025580000}"/>
    <cellStyle name="输入 2 6 4 5 5 2" xfId="15718" xr:uid="{00000000-0005-0000-0000-0000963D0000}"/>
    <cellStyle name="输入 2 6 4 5 6" xfId="4545" xr:uid="{00000000-0005-0000-0000-0000F1110000}"/>
    <cellStyle name="输入 2 6 4 6" xfId="48219" xr:uid="{00000000-0005-0000-0000-00008BBC0000}"/>
    <cellStyle name="输入 2 6 4 6 2" xfId="48220" xr:uid="{00000000-0005-0000-0000-00008CBC0000}"/>
    <cellStyle name="输入 2 6 4 6 2 2" xfId="14398" xr:uid="{00000000-0005-0000-0000-00006E380000}"/>
    <cellStyle name="输入 2 6 4 6 3" xfId="5348" xr:uid="{00000000-0005-0000-0000-000014150000}"/>
    <cellStyle name="输入 2 6 4 6 3 2" xfId="14403" xr:uid="{00000000-0005-0000-0000-000073380000}"/>
    <cellStyle name="输入 2 6 4 6 4" xfId="14416" xr:uid="{00000000-0005-0000-0000-000080380000}"/>
    <cellStyle name="输入 2 6 4 6 4 2" xfId="19249" xr:uid="{00000000-0005-0000-0000-0000614B0000}"/>
    <cellStyle name="输入 2 6 4 6 5" xfId="22521" xr:uid="{00000000-0005-0000-0000-000029580000}"/>
    <cellStyle name="输入 2 6 4 6 5 2" xfId="19266" xr:uid="{00000000-0005-0000-0000-0000724B0000}"/>
    <cellStyle name="输入 2 6 4 6 6" xfId="4570" xr:uid="{00000000-0005-0000-0000-00000A120000}"/>
    <cellStyle name="输入 2 6 4 7" xfId="48221" xr:uid="{00000000-0005-0000-0000-00008DBC0000}"/>
    <cellStyle name="输入 2 6 4 7 2" xfId="48222" xr:uid="{00000000-0005-0000-0000-00008EBC0000}"/>
    <cellStyle name="输入 2 6 4 7 2 2" xfId="48223" xr:uid="{00000000-0005-0000-0000-00008FBC0000}"/>
    <cellStyle name="输入 2 6 4 7 3" xfId="9898" xr:uid="{00000000-0005-0000-0000-0000DA260000}"/>
    <cellStyle name="输入 2 6 4 7 3 2" xfId="48224" xr:uid="{00000000-0005-0000-0000-000090BC0000}"/>
    <cellStyle name="输入 2 6 4 7 4" xfId="14436" xr:uid="{00000000-0005-0000-0000-000094380000}"/>
    <cellStyle name="输入 2 6 4 7 4 2" xfId="48225" xr:uid="{00000000-0005-0000-0000-000091BC0000}"/>
    <cellStyle name="输入 2 6 4 7 5" xfId="22525" xr:uid="{00000000-0005-0000-0000-00002D580000}"/>
    <cellStyle name="输入 2 6 4 7 5 2" xfId="48226" xr:uid="{00000000-0005-0000-0000-000092BC0000}"/>
    <cellStyle name="输入 2 6 4 7 6" xfId="48227" xr:uid="{00000000-0005-0000-0000-000093BC0000}"/>
    <cellStyle name="输入 2 6 4 8" xfId="48228" xr:uid="{00000000-0005-0000-0000-000094BC0000}"/>
    <cellStyle name="输入 2 6 4 8 2" xfId="48229" xr:uid="{00000000-0005-0000-0000-000095BC0000}"/>
    <cellStyle name="输入 2 6 4 8 2 2" xfId="48230" xr:uid="{00000000-0005-0000-0000-000096BC0000}"/>
    <cellStyle name="输入 2 6 4 8 3" xfId="9911" xr:uid="{00000000-0005-0000-0000-0000E7260000}"/>
    <cellStyle name="输入 2 6 4 8 3 2" xfId="48231" xr:uid="{00000000-0005-0000-0000-000097BC0000}"/>
    <cellStyle name="输入 2 6 4 8 4" xfId="20600" xr:uid="{00000000-0005-0000-0000-0000A8500000}"/>
    <cellStyle name="输入 2 6 4 8 4 2" xfId="48232" xr:uid="{00000000-0005-0000-0000-000098BC0000}"/>
    <cellStyle name="输入 2 6 4 8 5" xfId="48233" xr:uid="{00000000-0005-0000-0000-000099BC0000}"/>
    <cellStyle name="输入 2 6 4 9" xfId="48234" xr:uid="{00000000-0005-0000-0000-00009ABC0000}"/>
    <cellStyle name="输入 2 6 4 9 2" xfId="32614" xr:uid="{00000000-0005-0000-0000-0000967F0000}"/>
    <cellStyle name="输入 2 6 5" xfId="48235" xr:uid="{00000000-0005-0000-0000-00009BBC0000}"/>
    <cellStyle name="输入 2 6 5 10" xfId="48236" xr:uid="{00000000-0005-0000-0000-00009CBC0000}"/>
    <cellStyle name="输入 2 6 5 10 2" xfId="5210" xr:uid="{00000000-0005-0000-0000-00008A140000}"/>
    <cellStyle name="输入 2 6 5 11" xfId="48237" xr:uid="{00000000-0005-0000-0000-00009DBC0000}"/>
    <cellStyle name="输入 2 6 5 11 2" xfId="28611" xr:uid="{00000000-0005-0000-0000-0000F36F0000}"/>
    <cellStyle name="输入 2 6 5 12" xfId="31098" xr:uid="{00000000-0005-0000-0000-0000AA790000}"/>
    <cellStyle name="输入 2 6 5 12 2" xfId="28616" xr:uid="{00000000-0005-0000-0000-0000F86F0000}"/>
    <cellStyle name="输入 2 6 5 13" xfId="37561" xr:uid="{00000000-0005-0000-0000-0000E9920000}"/>
    <cellStyle name="输入 2 6 5 14" xfId="228" xr:uid="{00000000-0005-0000-0000-0000F9000000}"/>
    <cellStyle name="输入 2 6 5 15" xfId="166" xr:uid="{00000000-0005-0000-0000-0000B4000000}"/>
    <cellStyle name="输入 2 6 5 16" xfId="105" xr:uid="{00000000-0005-0000-0000-000072000000}"/>
    <cellStyle name="输入 2 6 5 2" xfId="10464" xr:uid="{00000000-0005-0000-0000-000010290000}"/>
    <cellStyle name="输入 2 6 5 2 2" xfId="10475" xr:uid="{00000000-0005-0000-0000-00001B290000}"/>
    <cellStyle name="输入 2 6 5 2 2 2" xfId="48238" xr:uid="{00000000-0005-0000-0000-00009EBC0000}"/>
    <cellStyle name="输入 2 6 5 2 3" xfId="48240" xr:uid="{00000000-0005-0000-0000-0000A0BC0000}"/>
    <cellStyle name="输入 2 6 5 2 3 2" xfId="48241" xr:uid="{00000000-0005-0000-0000-0000A1BC0000}"/>
    <cellStyle name="输入 2 6 5 2 4" xfId="48243" xr:uid="{00000000-0005-0000-0000-0000A3BC0000}"/>
    <cellStyle name="输入 2 6 5 2 4 2" xfId="48245" xr:uid="{00000000-0005-0000-0000-0000A5BC0000}"/>
    <cellStyle name="输入 2 6 5 2 5" xfId="48247" xr:uid="{00000000-0005-0000-0000-0000A7BC0000}"/>
    <cellStyle name="输入 2 6 5 2 5 2" xfId="48249" xr:uid="{00000000-0005-0000-0000-0000A9BC0000}"/>
    <cellStyle name="输入 2 6 5 2 6" xfId="38302" xr:uid="{00000000-0005-0000-0000-0000CE950000}"/>
    <cellStyle name="输入 2 6 5 2 7" xfId="38306" xr:uid="{00000000-0005-0000-0000-0000D2950000}"/>
    <cellStyle name="输入 2 6 5 2 8" xfId="6036" xr:uid="{00000000-0005-0000-0000-0000C4170000}"/>
    <cellStyle name="输入 2 6 5 2 9" xfId="38311" xr:uid="{00000000-0005-0000-0000-0000D7950000}"/>
    <cellStyle name="输入 2 6 5 3" xfId="10480" xr:uid="{00000000-0005-0000-0000-000020290000}"/>
    <cellStyle name="输入 2 6 5 3 2" xfId="48251" xr:uid="{00000000-0005-0000-0000-0000ABBC0000}"/>
    <cellStyle name="输入 2 6 5 3 2 2" xfId="48252" xr:uid="{00000000-0005-0000-0000-0000ACBC0000}"/>
    <cellStyle name="输入 2 6 5 3 3" xfId="48254" xr:uid="{00000000-0005-0000-0000-0000AEBC0000}"/>
    <cellStyle name="输入 2 6 5 3 3 2" xfId="48255" xr:uid="{00000000-0005-0000-0000-0000AFBC0000}"/>
    <cellStyle name="输入 2 6 5 3 4" xfId="48257" xr:uid="{00000000-0005-0000-0000-0000B1BC0000}"/>
    <cellStyle name="输入 2 6 5 3 4 2" xfId="48259" xr:uid="{00000000-0005-0000-0000-0000B3BC0000}"/>
    <cellStyle name="输入 2 6 5 3 5" xfId="48261" xr:uid="{00000000-0005-0000-0000-0000B5BC0000}"/>
    <cellStyle name="输入 2 6 5 3 5 2" xfId="48263" xr:uid="{00000000-0005-0000-0000-0000B7BC0000}"/>
    <cellStyle name="输入 2 6 5 3 6" xfId="38316" xr:uid="{00000000-0005-0000-0000-0000DC950000}"/>
    <cellStyle name="输入 2 6 5 4" xfId="10484" xr:uid="{00000000-0005-0000-0000-000024290000}"/>
    <cellStyle name="输入 2 6 5 4 2" xfId="48265" xr:uid="{00000000-0005-0000-0000-0000B9BC0000}"/>
    <cellStyle name="输入 2 6 5 4 2 2" xfId="48266" xr:uid="{00000000-0005-0000-0000-0000BABC0000}"/>
    <cellStyle name="输入 2 6 5 4 3" xfId="14504" xr:uid="{00000000-0005-0000-0000-0000D8380000}"/>
    <cellStyle name="输入 2 6 5 4 3 2" xfId="46632" xr:uid="{00000000-0005-0000-0000-000058B60000}"/>
    <cellStyle name="输入 2 6 5 4 4" xfId="48268" xr:uid="{00000000-0005-0000-0000-0000BCBC0000}"/>
    <cellStyle name="输入 2 6 5 4 4 2" xfId="48270" xr:uid="{00000000-0005-0000-0000-0000BEBC0000}"/>
    <cellStyle name="输入 2 6 5 4 5" xfId="48272" xr:uid="{00000000-0005-0000-0000-0000C0BC0000}"/>
    <cellStyle name="输入 2 6 5 4 5 2" xfId="48274" xr:uid="{00000000-0005-0000-0000-0000C2BC0000}"/>
    <cellStyle name="输入 2 6 5 4 6" xfId="38326" xr:uid="{00000000-0005-0000-0000-0000E6950000}"/>
    <cellStyle name="输入 2 6 5 5" xfId="4925" xr:uid="{00000000-0005-0000-0000-00006D130000}"/>
    <cellStyle name="输入 2 6 5 5 2" xfId="48276" xr:uid="{00000000-0005-0000-0000-0000C4BC0000}"/>
    <cellStyle name="输入 2 6 5 5 2 2" xfId="48277" xr:uid="{00000000-0005-0000-0000-0000C5BC0000}"/>
    <cellStyle name="输入 2 6 5 5 3" xfId="14545" xr:uid="{00000000-0005-0000-0000-000001390000}"/>
    <cellStyle name="输入 2 6 5 5 3 2" xfId="48279" xr:uid="{00000000-0005-0000-0000-0000C7BC0000}"/>
    <cellStyle name="输入 2 6 5 5 4" xfId="48281" xr:uid="{00000000-0005-0000-0000-0000C9BC0000}"/>
    <cellStyle name="输入 2 6 5 5 4 2" xfId="48283" xr:uid="{00000000-0005-0000-0000-0000CBBC0000}"/>
    <cellStyle name="输入 2 6 5 5 5" xfId="48285" xr:uid="{00000000-0005-0000-0000-0000CDBC0000}"/>
    <cellStyle name="输入 2 6 5 5 5 2" xfId="48286" xr:uid="{00000000-0005-0000-0000-0000CEBC0000}"/>
    <cellStyle name="输入 2 6 5 5 6" xfId="48288" xr:uid="{00000000-0005-0000-0000-0000D0BC0000}"/>
    <cellStyle name="输入 2 6 5 6" xfId="8387" xr:uid="{00000000-0005-0000-0000-0000F3200000}"/>
    <cellStyle name="输入 2 6 5 6 2" xfId="48289" xr:uid="{00000000-0005-0000-0000-0000D1BC0000}"/>
    <cellStyle name="输入 2 6 5 6 2 2" xfId="48290" xr:uid="{00000000-0005-0000-0000-0000D2BC0000}"/>
    <cellStyle name="输入 2 6 5 6 3" xfId="5362" xr:uid="{00000000-0005-0000-0000-000022150000}"/>
    <cellStyle name="输入 2 6 5 6 3 2" xfId="48292" xr:uid="{00000000-0005-0000-0000-0000D4BC0000}"/>
    <cellStyle name="输入 2 6 5 6 4" xfId="14583" xr:uid="{00000000-0005-0000-0000-000027390000}"/>
    <cellStyle name="输入 2 6 5 6 4 2" xfId="48294" xr:uid="{00000000-0005-0000-0000-0000D6BC0000}"/>
    <cellStyle name="输入 2 6 5 6 5" xfId="48296" xr:uid="{00000000-0005-0000-0000-0000D8BC0000}"/>
    <cellStyle name="输入 2 6 5 6 5 2" xfId="48297" xr:uid="{00000000-0005-0000-0000-0000D9BC0000}"/>
    <cellStyle name="输入 2 6 5 6 6" xfId="48299" xr:uid="{00000000-0005-0000-0000-0000DBBC0000}"/>
    <cellStyle name="输入 2 6 5 7" xfId="48300" xr:uid="{00000000-0005-0000-0000-0000DCBC0000}"/>
    <cellStyle name="输入 2 6 5 7 2" xfId="48301" xr:uid="{00000000-0005-0000-0000-0000DDBC0000}"/>
    <cellStyle name="输入 2 6 5 7 2 2" xfId="48302" xr:uid="{00000000-0005-0000-0000-0000DEBC0000}"/>
    <cellStyle name="输入 2 6 5 7 3" xfId="9942" xr:uid="{00000000-0005-0000-0000-000006270000}"/>
    <cellStyle name="输入 2 6 5 7 3 2" xfId="48303" xr:uid="{00000000-0005-0000-0000-0000DFBC0000}"/>
    <cellStyle name="输入 2 6 5 7 4" xfId="14605" xr:uid="{00000000-0005-0000-0000-00003D390000}"/>
    <cellStyle name="输入 2 6 5 7 4 2" xfId="48304" xr:uid="{00000000-0005-0000-0000-0000E0BC0000}"/>
    <cellStyle name="输入 2 6 5 7 5" xfId="48305" xr:uid="{00000000-0005-0000-0000-0000E1BC0000}"/>
    <cellStyle name="输入 2 6 5 7 5 2" xfId="48306" xr:uid="{00000000-0005-0000-0000-0000E2BC0000}"/>
    <cellStyle name="输入 2 6 5 7 6" xfId="48307" xr:uid="{00000000-0005-0000-0000-0000E3BC0000}"/>
    <cellStyle name="输入 2 6 5 8" xfId="48308" xr:uid="{00000000-0005-0000-0000-0000E4BC0000}"/>
    <cellStyle name="输入 2 6 5 8 2" xfId="48309" xr:uid="{00000000-0005-0000-0000-0000E5BC0000}"/>
    <cellStyle name="输入 2 6 5 8 2 2" xfId="48310" xr:uid="{00000000-0005-0000-0000-0000E6BC0000}"/>
    <cellStyle name="输入 2 6 5 8 3" xfId="9954" xr:uid="{00000000-0005-0000-0000-000012270000}"/>
    <cellStyle name="输入 2 6 5 8 3 2" xfId="48311" xr:uid="{00000000-0005-0000-0000-0000E7BC0000}"/>
    <cellStyle name="输入 2 6 5 8 4" xfId="20624" xr:uid="{00000000-0005-0000-0000-0000C0500000}"/>
    <cellStyle name="输入 2 6 5 8 4 2" xfId="48312" xr:uid="{00000000-0005-0000-0000-0000E8BC0000}"/>
    <cellStyle name="输入 2 6 5 8 5" xfId="48313" xr:uid="{00000000-0005-0000-0000-0000E9BC0000}"/>
    <cellStyle name="输入 2 6 5 9" xfId="38214" xr:uid="{00000000-0005-0000-0000-000076950000}"/>
    <cellStyle name="输入 2 6 5 9 2" xfId="48314" xr:uid="{00000000-0005-0000-0000-0000EABC0000}"/>
    <cellStyle name="输入 2 6 6" xfId="48316" xr:uid="{00000000-0005-0000-0000-0000ECBC0000}"/>
    <cellStyle name="输入 2 6 6 10" xfId="3554" xr:uid="{00000000-0005-0000-0000-0000120E0000}"/>
    <cellStyle name="输入 2 6 6 10 2" xfId="3606" xr:uid="{00000000-0005-0000-0000-0000460E0000}"/>
    <cellStyle name="输入 2 6 6 11" xfId="3954" xr:uid="{00000000-0005-0000-0000-0000A20F0000}"/>
    <cellStyle name="输入 2 6 6 11 2" xfId="4016" xr:uid="{00000000-0005-0000-0000-0000E00F0000}"/>
    <cellStyle name="输入 2 6 6 12" xfId="4361" xr:uid="{00000000-0005-0000-0000-000039110000}"/>
    <cellStyle name="输入 2 6 6 12 2" xfId="4426" xr:uid="{00000000-0005-0000-0000-00007A110000}"/>
    <cellStyle name="输入 2 6 6 13" xfId="3191" xr:uid="{00000000-0005-0000-0000-0000A70C0000}"/>
    <cellStyle name="输入 2 6 6 14" xfId="4914" xr:uid="{00000000-0005-0000-0000-000062130000}"/>
    <cellStyle name="输入 2 6 6 15" xfId="5216" xr:uid="{00000000-0005-0000-0000-000090140000}"/>
    <cellStyle name="输入 2 6 6 16" xfId="5416" xr:uid="{00000000-0005-0000-0000-000058150000}"/>
    <cellStyle name="输入 2 6 6 2" xfId="48317" xr:uid="{00000000-0005-0000-0000-0000EDBC0000}"/>
    <cellStyle name="输入 2 6 6 2 2" xfId="48318" xr:uid="{00000000-0005-0000-0000-0000EEBC0000}"/>
    <cellStyle name="输入 2 6 6 2 2 2" xfId="48319" xr:uid="{00000000-0005-0000-0000-0000EFBC0000}"/>
    <cellStyle name="输入 2 6 6 2 3" xfId="48321" xr:uid="{00000000-0005-0000-0000-0000F1BC0000}"/>
    <cellStyle name="输入 2 6 6 2 3 2" xfId="48322" xr:uid="{00000000-0005-0000-0000-0000F2BC0000}"/>
    <cellStyle name="输入 2 6 6 2 4" xfId="48324" xr:uid="{00000000-0005-0000-0000-0000F4BC0000}"/>
    <cellStyle name="输入 2 6 6 2 4 2" xfId="48326" xr:uid="{00000000-0005-0000-0000-0000F6BC0000}"/>
    <cellStyle name="输入 2 6 6 2 5" xfId="48328" xr:uid="{00000000-0005-0000-0000-0000F8BC0000}"/>
    <cellStyle name="输入 2 6 6 2 5 2" xfId="48329" xr:uid="{00000000-0005-0000-0000-0000F9BC0000}"/>
    <cellStyle name="输入 2 6 6 2 6" xfId="8751" xr:uid="{00000000-0005-0000-0000-00005F220000}"/>
    <cellStyle name="输入 2 6 6 2 7" xfId="38390" xr:uid="{00000000-0005-0000-0000-000026960000}"/>
    <cellStyle name="输入 2 6 6 2 8" xfId="38394" xr:uid="{00000000-0005-0000-0000-00002A960000}"/>
    <cellStyle name="输入 2 6 6 2 9" xfId="38397" xr:uid="{00000000-0005-0000-0000-00002D960000}"/>
    <cellStyle name="输入 2 6 6 3" xfId="48331" xr:uid="{00000000-0005-0000-0000-0000FBBC0000}"/>
    <cellStyle name="输入 2 6 6 3 2" xfId="48332" xr:uid="{00000000-0005-0000-0000-0000FCBC0000}"/>
    <cellStyle name="输入 2 6 6 3 2 2" xfId="48333" xr:uid="{00000000-0005-0000-0000-0000FDBC0000}"/>
    <cellStyle name="输入 2 6 6 3 3" xfId="48335" xr:uid="{00000000-0005-0000-0000-0000FFBC0000}"/>
    <cellStyle name="输入 2 6 6 3 3 2" xfId="48336" xr:uid="{00000000-0005-0000-0000-000000BD0000}"/>
    <cellStyle name="输入 2 6 6 3 4" xfId="48338" xr:uid="{00000000-0005-0000-0000-000002BD0000}"/>
    <cellStyle name="输入 2 6 6 3 4 2" xfId="48340" xr:uid="{00000000-0005-0000-0000-000004BD0000}"/>
    <cellStyle name="输入 2 6 6 3 5" xfId="48342" xr:uid="{00000000-0005-0000-0000-000006BD0000}"/>
    <cellStyle name="输入 2 6 6 3 5 2" xfId="48343" xr:uid="{00000000-0005-0000-0000-000007BD0000}"/>
    <cellStyle name="输入 2 6 6 3 6" xfId="38401" xr:uid="{00000000-0005-0000-0000-000031960000}"/>
    <cellStyle name="输入 2 6 6 4" xfId="48345" xr:uid="{00000000-0005-0000-0000-000009BD0000}"/>
    <cellStyle name="输入 2 6 6 4 2" xfId="780" xr:uid="{00000000-0005-0000-0000-00003C030000}"/>
    <cellStyle name="输入 2 6 6 4 2 2" xfId="3215" xr:uid="{00000000-0005-0000-0000-0000BF0C0000}"/>
    <cellStyle name="输入 2 6 6 4 3" xfId="3325" xr:uid="{00000000-0005-0000-0000-00002D0D0000}"/>
    <cellStyle name="输入 2 6 6 4 3 2" xfId="3337" xr:uid="{00000000-0005-0000-0000-0000390D0000}"/>
    <cellStyle name="输入 2 6 6 4 4" xfId="2685" xr:uid="{00000000-0005-0000-0000-0000AD0A0000}"/>
    <cellStyle name="输入 2 6 6 4 4 2" xfId="3384" xr:uid="{00000000-0005-0000-0000-0000680D0000}"/>
    <cellStyle name="输入 2 6 6 4 5" xfId="3418" xr:uid="{00000000-0005-0000-0000-00008A0D0000}"/>
    <cellStyle name="输入 2 6 6 4 5 2" xfId="3428" xr:uid="{00000000-0005-0000-0000-0000940D0000}"/>
    <cellStyle name="输入 2 6 6 4 6" xfId="3464" xr:uid="{00000000-0005-0000-0000-0000B80D0000}"/>
    <cellStyle name="输入 2 6 6 5" xfId="48346" xr:uid="{00000000-0005-0000-0000-00000ABD0000}"/>
    <cellStyle name="输入 2 6 6 5 2" xfId="48347" xr:uid="{00000000-0005-0000-0000-00000BBD0000}"/>
    <cellStyle name="输入 2 6 6 5 2 2" xfId="48348" xr:uid="{00000000-0005-0000-0000-00000CBD0000}"/>
    <cellStyle name="输入 2 6 6 5 3" xfId="14703" xr:uid="{00000000-0005-0000-0000-00009F390000}"/>
    <cellStyle name="输入 2 6 6 5 3 2" xfId="48350" xr:uid="{00000000-0005-0000-0000-00000EBD0000}"/>
    <cellStyle name="输入 2 6 6 5 4" xfId="48352" xr:uid="{00000000-0005-0000-0000-000010BD0000}"/>
    <cellStyle name="输入 2 6 6 5 4 2" xfId="48354" xr:uid="{00000000-0005-0000-0000-000012BD0000}"/>
    <cellStyle name="输入 2 6 6 5 5" xfId="48356" xr:uid="{00000000-0005-0000-0000-000014BD0000}"/>
    <cellStyle name="输入 2 6 6 5 5 2" xfId="48357" xr:uid="{00000000-0005-0000-0000-000015BD0000}"/>
    <cellStyle name="输入 2 6 6 5 6" xfId="48359" xr:uid="{00000000-0005-0000-0000-000017BD0000}"/>
    <cellStyle name="输入 2 6 6 6" xfId="30090" xr:uid="{00000000-0005-0000-0000-0000BA750000}"/>
    <cellStyle name="输入 2 6 6 6 2" xfId="48128" xr:uid="{00000000-0005-0000-0000-000030BC0000}"/>
    <cellStyle name="输入 2 6 6 6 2 2" xfId="48360" xr:uid="{00000000-0005-0000-0000-000018BD0000}"/>
    <cellStyle name="输入 2 6 6 6 3" xfId="9983" xr:uid="{00000000-0005-0000-0000-00002F270000}"/>
    <cellStyle name="输入 2 6 6 6 3 2" xfId="48362" xr:uid="{00000000-0005-0000-0000-00001ABD0000}"/>
    <cellStyle name="输入 2 6 6 6 4" xfId="14730" xr:uid="{00000000-0005-0000-0000-0000BA390000}"/>
    <cellStyle name="输入 2 6 6 6 4 2" xfId="48364" xr:uid="{00000000-0005-0000-0000-00001CBD0000}"/>
    <cellStyle name="输入 2 6 6 6 5" xfId="48366" xr:uid="{00000000-0005-0000-0000-00001EBD0000}"/>
    <cellStyle name="输入 2 6 6 6 5 2" xfId="48367" xr:uid="{00000000-0005-0000-0000-00001FBD0000}"/>
    <cellStyle name="输入 2 6 6 6 6" xfId="48369" xr:uid="{00000000-0005-0000-0000-000021BD0000}"/>
    <cellStyle name="输入 2 6 6 7" xfId="48130" xr:uid="{00000000-0005-0000-0000-000032BC0000}"/>
    <cellStyle name="输入 2 6 6 7 2" xfId="48132" xr:uid="{00000000-0005-0000-0000-000034BC0000}"/>
    <cellStyle name="输入 2 6 6 7 2 2" xfId="48370" xr:uid="{00000000-0005-0000-0000-000022BD0000}"/>
    <cellStyle name="输入 2 6 6 7 3" xfId="9995" xr:uid="{00000000-0005-0000-0000-00003B270000}"/>
    <cellStyle name="输入 2 6 6 7 3 2" xfId="48371" xr:uid="{00000000-0005-0000-0000-000023BD0000}"/>
    <cellStyle name="输入 2 6 6 7 4" xfId="14747" xr:uid="{00000000-0005-0000-0000-0000CB390000}"/>
    <cellStyle name="输入 2 6 6 7 4 2" xfId="48372" xr:uid="{00000000-0005-0000-0000-000024BD0000}"/>
    <cellStyle name="输入 2 6 6 7 5" xfId="48373" xr:uid="{00000000-0005-0000-0000-000025BD0000}"/>
    <cellStyle name="输入 2 6 6 7 5 2" xfId="48374" xr:uid="{00000000-0005-0000-0000-000026BD0000}"/>
    <cellStyle name="输入 2 6 6 7 6" xfId="48375" xr:uid="{00000000-0005-0000-0000-000027BD0000}"/>
    <cellStyle name="输入 2 6 6 8" xfId="48134" xr:uid="{00000000-0005-0000-0000-000036BC0000}"/>
    <cellStyle name="输入 2 6 6 8 2" xfId="48136" xr:uid="{00000000-0005-0000-0000-000038BC0000}"/>
    <cellStyle name="输入 2 6 6 8 2 2" xfId="48376" xr:uid="{00000000-0005-0000-0000-000028BD0000}"/>
    <cellStyle name="输入 2 6 6 8 3" xfId="10012" xr:uid="{00000000-0005-0000-0000-00004C270000}"/>
    <cellStyle name="输入 2 6 6 8 3 2" xfId="48377" xr:uid="{00000000-0005-0000-0000-000029BD0000}"/>
    <cellStyle name="输入 2 6 6 8 4" xfId="20649" xr:uid="{00000000-0005-0000-0000-0000D9500000}"/>
    <cellStyle name="输入 2 6 6 8 4 2" xfId="48378" xr:uid="{00000000-0005-0000-0000-00002ABD0000}"/>
    <cellStyle name="输入 2 6 6 8 5" xfId="48379" xr:uid="{00000000-0005-0000-0000-00002BBD0000}"/>
    <cellStyle name="输入 2 6 6 9" xfId="38217" xr:uid="{00000000-0005-0000-0000-000079950000}"/>
    <cellStyle name="输入 2 6 6 9 2" xfId="6897" xr:uid="{00000000-0005-0000-0000-0000211B0000}"/>
    <cellStyle name="输入 2 6 7" xfId="48380" xr:uid="{00000000-0005-0000-0000-00002CBD0000}"/>
    <cellStyle name="输入 2 6 7 10" xfId="11866" xr:uid="{00000000-0005-0000-0000-00008A2E0000}"/>
    <cellStyle name="输入 2 6 7 10 2" xfId="11869" xr:uid="{00000000-0005-0000-0000-00008D2E0000}"/>
    <cellStyle name="输入 2 6 7 11" xfId="8136" xr:uid="{00000000-0005-0000-0000-0000F81F0000}"/>
    <cellStyle name="输入 2 6 7 11 2" xfId="11876" xr:uid="{00000000-0005-0000-0000-0000942E0000}"/>
    <cellStyle name="输入 2 6 7 12" xfId="11886" xr:uid="{00000000-0005-0000-0000-00009E2E0000}"/>
    <cellStyle name="输入 2 6 7 12 2" xfId="11888" xr:uid="{00000000-0005-0000-0000-0000A02E0000}"/>
    <cellStyle name="输入 2 6 7 13" xfId="11900" xr:uid="{00000000-0005-0000-0000-0000AC2E0000}"/>
    <cellStyle name="输入 2 6 7 14" xfId="11929" xr:uid="{00000000-0005-0000-0000-0000C92E0000}"/>
    <cellStyle name="输入 2 6 7 15" xfId="968" xr:uid="{00000000-0005-0000-0000-0000F8030000}"/>
    <cellStyle name="输入 2 6 7 16" xfId="155" xr:uid="{00000000-0005-0000-0000-0000A8000000}"/>
    <cellStyle name="输入 2 6 7 2" xfId="48381" xr:uid="{00000000-0005-0000-0000-00002DBD0000}"/>
    <cellStyle name="输入 2 6 7 2 2" xfId="48382" xr:uid="{00000000-0005-0000-0000-00002EBD0000}"/>
    <cellStyle name="输入 2 6 7 2 2 2" xfId="48383" xr:uid="{00000000-0005-0000-0000-00002FBD0000}"/>
    <cellStyle name="输入 2 6 7 2 3" xfId="48384" xr:uid="{00000000-0005-0000-0000-000030BD0000}"/>
    <cellStyle name="输入 2 6 7 2 3 2" xfId="48385" xr:uid="{00000000-0005-0000-0000-000031BD0000}"/>
    <cellStyle name="输入 2 6 7 2 4" xfId="48386" xr:uid="{00000000-0005-0000-0000-000032BD0000}"/>
    <cellStyle name="输入 2 6 7 2 4 2" xfId="48388" xr:uid="{00000000-0005-0000-0000-000034BD0000}"/>
    <cellStyle name="输入 2 6 7 2 5" xfId="48389" xr:uid="{00000000-0005-0000-0000-000035BD0000}"/>
    <cellStyle name="输入 2 6 7 2 5 2" xfId="48390" xr:uid="{00000000-0005-0000-0000-000036BD0000}"/>
    <cellStyle name="输入 2 6 7 2 6" xfId="38485" xr:uid="{00000000-0005-0000-0000-000085960000}"/>
    <cellStyle name="输入 2 6 7 2 7" xfId="38488" xr:uid="{00000000-0005-0000-0000-000088960000}"/>
    <cellStyle name="输入 2 6 7 2 8" xfId="35348" xr:uid="{00000000-0005-0000-0000-0000448A0000}"/>
    <cellStyle name="输入 2 6 7 2 9" xfId="34139" xr:uid="{00000000-0005-0000-0000-00008B850000}"/>
    <cellStyle name="输入 2 6 7 3" xfId="48391" xr:uid="{00000000-0005-0000-0000-000037BD0000}"/>
    <cellStyle name="输入 2 6 7 3 2" xfId="48392" xr:uid="{00000000-0005-0000-0000-000038BD0000}"/>
    <cellStyle name="输入 2 6 7 3 2 2" xfId="48393" xr:uid="{00000000-0005-0000-0000-000039BD0000}"/>
    <cellStyle name="输入 2 6 7 3 3" xfId="48394" xr:uid="{00000000-0005-0000-0000-00003ABD0000}"/>
    <cellStyle name="输入 2 6 7 3 3 2" xfId="48395" xr:uid="{00000000-0005-0000-0000-00003BBD0000}"/>
    <cellStyle name="输入 2 6 7 3 4" xfId="48397" xr:uid="{00000000-0005-0000-0000-00003DBD0000}"/>
    <cellStyle name="输入 2 6 7 3 4 2" xfId="48399" xr:uid="{00000000-0005-0000-0000-00003FBD0000}"/>
    <cellStyle name="输入 2 6 7 3 5" xfId="48400" xr:uid="{00000000-0005-0000-0000-000040BD0000}"/>
    <cellStyle name="输入 2 6 7 3 5 2" xfId="48401" xr:uid="{00000000-0005-0000-0000-000041BD0000}"/>
    <cellStyle name="输入 2 6 7 3 6" xfId="38497" xr:uid="{00000000-0005-0000-0000-000091960000}"/>
    <cellStyle name="输入 2 6 7 4" xfId="48402" xr:uid="{00000000-0005-0000-0000-000042BD0000}"/>
    <cellStyle name="输入 2 6 7 4 2" xfId="11844" xr:uid="{00000000-0005-0000-0000-0000742E0000}"/>
    <cellStyle name="输入 2 6 7 4 2 2" xfId="11847" xr:uid="{00000000-0005-0000-0000-0000772E0000}"/>
    <cellStyle name="输入 2 6 7 4 3" xfId="11854" xr:uid="{00000000-0005-0000-0000-00007E2E0000}"/>
    <cellStyle name="输入 2 6 7 4 3 2" xfId="48403" xr:uid="{00000000-0005-0000-0000-000043BD0000}"/>
    <cellStyle name="输入 2 6 7 4 4" xfId="11859" xr:uid="{00000000-0005-0000-0000-0000832E0000}"/>
    <cellStyle name="输入 2 6 7 4 4 2" xfId="48405" xr:uid="{00000000-0005-0000-0000-000045BD0000}"/>
    <cellStyle name="输入 2 6 7 4 5" xfId="11862" xr:uid="{00000000-0005-0000-0000-0000862E0000}"/>
    <cellStyle name="输入 2 6 7 4 5 2" xfId="48406" xr:uid="{00000000-0005-0000-0000-000046BD0000}"/>
    <cellStyle name="输入 2 6 7 4 6" xfId="9011" xr:uid="{00000000-0005-0000-0000-000063230000}"/>
    <cellStyle name="输入 2 6 7 5" xfId="48407" xr:uid="{00000000-0005-0000-0000-000047BD0000}"/>
    <cellStyle name="输入 2 6 7 5 2" xfId="48408" xr:uid="{00000000-0005-0000-0000-000048BD0000}"/>
    <cellStyle name="输入 2 6 7 5 2 2" xfId="14167" xr:uid="{00000000-0005-0000-0000-000087370000}"/>
    <cellStyle name="输入 2 6 7 5 3" xfId="14869" xr:uid="{00000000-0005-0000-0000-0000453A0000}"/>
    <cellStyle name="输入 2 6 7 5 3 2" xfId="48409" xr:uid="{00000000-0005-0000-0000-000049BD0000}"/>
    <cellStyle name="输入 2 6 7 5 4" xfId="48410" xr:uid="{00000000-0005-0000-0000-00004ABD0000}"/>
    <cellStyle name="输入 2 6 7 5 4 2" xfId="48412" xr:uid="{00000000-0005-0000-0000-00004CBD0000}"/>
    <cellStyle name="输入 2 6 7 5 5" xfId="48413" xr:uid="{00000000-0005-0000-0000-00004DBD0000}"/>
    <cellStyle name="输入 2 6 7 5 5 2" xfId="48414" xr:uid="{00000000-0005-0000-0000-00004EBD0000}"/>
    <cellStyle name="输入 2 6 7 5 6" xfId="48415" xr:uid="{00000000-0005-0000-0000-00004FBD0000}"/>
    <cellStyle name="输入 2 6 7 6" xfId="30095" xr:uid="{00000000-0005-0000-0000-0000BF750000}"/>
    <cellStyle name="输入 2 6 7 6 2" xfId="48416" xr:uid="{00000000-0005-0000-0000-000050BD0000}"/>
    <cellStyle name="输入 2 6 7 6 2 2" xfId="14891" xr:uid="{00000000-0005-0000-0000-00005B3A0000}"/>
    <cellStyle name="输入 2 6 7 6 3" xfId="10045" xr:uid="{00000000-0005-0000-0000-00006D270000}"/>
    <cellStyle name="输入 2 6 7 6 3 2" xfId="48417" xr:uid="{00000000-0005-0000-0000-000051BD0000}"/>
    <cellStyle name="输入 2 6 7 6 4" xfId="14904" xr:uid="{00000000-0005-0000-0000-0000683A0000}"/>
    <cellStyle name="输入 2 6 7 6 4 2" xfId="48418" xr:uid="{00000000-0005-0000-0000-000052BD0000}"/>
    <cellStyle name="输入 2 6 7 6 5" xfId="48420" xr:uid="{00000000-0005-0000-0000-000054BD0000}"/>
    <cellStyle name="输入 2 6 7 6 5 2" xfId="48421" xr:uid="{00000000-0005-0000-0000-000055BD0000}"/>
    <cellStyle name="输入 2 6 7 6 6" xfId="48423" xr:uid="{00000000-0005-0000-0000-000057BD0000}"/>
    <cellStyle name="输入 2 6 7 7" xfId="48424" xr:uid="{00000000-0005-0000-0000-000058BD0000}"/>
    <cellStyle name="输入 2 6 7 7 2" xfId="48425" xr:uid="{00000000-0005-0000-0000-000059BD0000}"/>
    <cellStyle name="输入 2 6 7 7 2 2" xfId="48426" xr:uid="{00000000-0005-0000-0000-00005ABD0000}"/>
    <cellStyle name="输入 2 6 7 7 3" xfId="10058" xr:uid="{00000000-0005-0000-0000-00007A270000}"/>
    <cellStyle name="输入 2 6 7 7 3 2" xfId="48427" xr:uid="{00000000-0005-0000-0000-00005BBD0000}"/>
    <cellStyle name="输入 2 6 7 7 4" xfId="14918" xr:uid="{00000000-0005-0000-0000-0000763A0000}"/>
    <cellStyle name="输入 2 6 7 7 4 2" xfId="48428" xr:uid="{00000000-0005-0000-0000-00005CBD0000}"/>
    <cellStyle name="输入 2 6 7 7 5" xfId="48430" xr:uid="{00000000-0005-0000-0000-00005EBD0000}"/>
    <cellStyle name="输入 2 6 7 7 5 2" xfId="48431" xr:uid="{00000000-0005-0000-0000-00005FBD0000}"/>
    <cellStyle name="输入 2 6 7 7 6" xfId="48433" xr:uid="{00000000-0005-0000-0000-000061BD0000}"/>
    <cellStyle name="输入 2 6 7 8" xfId="48434" xr:uid="{00000000-0005-0000-0000-000062BD0000}"/>
    <cellStyle name="输入 2 6 7 8 2" xfId="48435" xr:uid="{00000000-0005-0000-0000-000063BD0000}"/>
    <cellStyle name="输入 2 6 7 8 2 2" xfId="48436" xr:uid="{00000000-0005-0000-0000-000064BD0000}"/>
    <cellStyle name="输入 2 6 7 8 3" xfId="10074" xr:uid="{00000000-0005-0000-0000-00008A270000}"/>
    <cellStyle name="输入 2 6 7 8 3 2" xfId="48437" xr:uid="{00000000-0005-0000-0000-000065BD0000}"/>
    <cellStyle name="输入 2 6 7 8 4" xfId="20675" xr:uid="{00000000-0005-0000-0000-0000F3500000}"/>
    <cellStyle name="输入 2 6 7 8 4 2" xfId="48439" xr:uid="{00000000-0005-0000-0000-000067BD0000}"/>
    <cellStyle name="输入 2 6 7 8 5" xfId="48440" xr:uid="{00000000-0005-0000-0000-000068BD0000}"/>
    <cellStyle name="输入 2 6 7 9" xfId="38220" xr:uid="{00000000-0005-0000-0000-00007C950000}"/>
    <cellStyle name="输入 2 6 7 9 2" xfId="11989" xr:uid="{00000000-0005-0000-0000-0000052F0000}"/>
    <cellStyle name="输入 2 6 8" xfId="47892" xr:uid="{00000000-0005-0000-0000-000044BB0000}"/>
    <cellStyle name="输入 2 6 8 10" xfId="26075" xr:uid="{00000000-0005-0000-0000-00000B660000}"/>
    <cellStyle name="输入 2 6 8 10 2" xfId="48442" xr:uid="{00000000-0005-0000-0000-00006ABD0000}"/>
    <cellStyle name="输入 2 6 8 11" xfId="48444" xr:uid="{00000000-0005-0000-0000-00006CBD0000}"/>
    <cellStyle name="输入 2 6 8 11 2" xfId="48446" xr:uid="{00000000-0005-0000-0000-00006EBD0000}"/>
    <cellStyle name="输入 2 6 8 12" xfId="48448" xr:uid="{00000000-0005-0000-0000-000070BD0000}"/>
    <cellStyle name="输入 2 6 8 12 2" xfId="48450" xr:uid="{00000000-0005-0000-0000-000072BD0000}"/>
    <cellStyle name="输入 2 6 8 13" xfId="38229" xr:uid="{00000000-0005-0000-0000-000085950000}"/>
    <cellStyle name="输入 2 6 8 14" xfId="20042" xr:uid="{00000000-0005-0000-0000-00007A4E0000}"/>
    <cellStyle name="输入 2 6 8 15" xfId="48452" xr:uid="{00000000-0005-0000-0000-000074BD0000}"/>
    <cellStyle name="输入 2 6 8 16" xfId="48453" xr:uid="{00000000-0005-0000-0000-000075BD0000}"/>
    <cellStyle name="输入 2 6 8 2" xfId="48454" xr:uid="{00000000-0005-0000-0000-000076BD0000}"/>
    <cellStyle name="输入 2 6 8 2 2" xfId="48455" xr:uid="{00000000-0005-0000-0000-000077BD0000}"/>
    <cellStyle name="输入 2 6 8 2 2 2" xfId="48456" xr:uid="{00000000-0005-0000-0000-000078BD0000}"/>
    <cellStyle name="输入 2 6 8 2 3" xfId="48457" xr:uid="{00000000-0005-0000-0000-000079BD0000}"/>
    <cellStyle name="输入 2 6 8 2 3 2" xfId="48458" xr:uid="{00000000-0005-0000-0000-00007ABD0000}"/>
    <cellStyle name="输入 2 6 8 2 4" xfId="48459" xr:uid="{00000000-0005-0000-0000-00007BBD0000}"/>
    <cellStyle name="输入 2 6 8 2 4 2" xfId="48461" xr:uid="{00000000-0005-0000-0000-00007DBD0000}"/>
    <cellStyle name="输入 2 6 8 2 5" xfId="48462" xr:uid="{00000000-0005-0000-0000-00007EBD0000}"/>
    <cellStyle name="输入 2 6 8 2 5 2" xfId="25836" xr:uid="{00000000-0005-0000-0000-00001C650000}"/>
    <cellStyle name="输入 2 6 8 2 6" xfId="38535" xr:uid="{00000000-0005-0000-0000-0000B7960000}"/>
    <cellStyle name="输入 2 6 8 2 7" xfId="7707" xr:uid="{00000000-0005-0000-0000-00004B1E0000}"/>
    <cellStyle name="输入 2 6 8 2 8" xfId="35366" xr:uid="{00000000-0005-0000-0000-0000568A0000}"/>
    <cellStyle name="输入 2 6 8 2 9" xfId="9247" xr:uid="{00000000-0005-0000-0000-00004F240000}"/>
    <cellStyle name="输入 2 6 8 3" xfId="48463" xr:uid="{00000000-0005-0000-0000-00007FBD0000}"/>
    <cellStyle name="输入 2 6 8 3 2" xfId="48464" xr:uid="{00000000-0005-0000-0000-000080BD0000}"/>
    <cellStyle name="输入 2 6 8 3 2 2" xfId="48465" xr:uid="{00000000-0005-0000-0000-000081BD0000}"/>
    <cellStyle name="输入 2 6 8 3 3" xfId="48466" xr:uid="{00000000-0005-0000-0000-000082BD0000}"/>
    <cellStyle name="输入 2 6 8 3 3 2" xfId="48467" xr:uid="{00000000-0005-0000-0000-000083BD0000}"/>
    <cellStyle name="输入 2 6 8 3 4" xfId="48469" xr:uid="{00000000-0005-0000-0000-000085BD0000}"/>
    <cellStyle name="输入 2 6 8 3 4 2" xfId="48471" xr:uid="{00000000-0005-0000-0000-000087BD0000}"/>
    <cellStyle name="输入 2 6 8 3 5" xfId="48472" xr:uid="{00000000-0005-0000-0000-000088BD0000}"/>
    <cellStyle name="输入 2 6 8 3 5 2" xfId="48474" xr:uid="{00000000-0005-0000-0000-00008ABD0000}"/>
    <cellStyle name="输入 2 6 8 3 6" xfId="38539" xr:uid="{00000000-0005-0000-0000-0000BB960000}"/>
    <cellStyle name="输入 2 6 8 4" xfId="39559" xr:uid="{00000000-0005-0000-0000-0000B79A0000}"/>
    <cellStyle name="输入 2 6 8 4 2" xfId="33055" xr:uid="{00000000-0005-0000-0000-00004F810000}"/>
    <cellStyle name="输入 2 6 8 4 2 2" xfId="33057" xr:uid="{00000000-0005-0000-0000-000051810000}"/>
    <cellStyle name="输入 2 6 8 4 3" xfId="12021" xr:uid="{00000000-0005-0000-0000-0000252F0000}"/>
    <cellStyle name="输入 2 6 8 4 3 2" xfId="33059" xr:uid="{00000000-0005-0000-0000-000053810000}"/>
    <cellStyle name="输入 2 6 8 4 4" xfId="33062" xr:uid="{00000000-0005-0000-0000-000056810000}"/>
    <cellStyle name="输入 2 6 8 4 4 2" xfId="33066" xr:uid="{00000000-0005-0000-0000-00005A810000}"/>
    <cellStyle name="输入 2 6 8 4 5" xfId="33068" xr:uid="{00000000-0005-0000-0000-00005C810000}"/>
    <cellStyle name="输入 2 6 8 4 5 2" xfId="48476" xr:uid="{00000000-0005-0000-0000-00008CBD0000}"/>
    <cellStyle name="输入 2 6 8 4 6" xfId="33071" xr:uid="{00000000-0005-0000-0000-00005F810000}"/>
    <cellStyle name="输入 2 6 8 5" xfId="48477" xr:uid="{00000000-0005-0000-0000-00008DBD0000}"/>
    <cellStyle name="输入 2 6 8 5 2" xfId="48478" xr:uid="{00000000-0005-0000-0000-00008EBD0000}"/>
    <cellStyle name="输入 2 6 8 5 2 2" xfId="15001" xr:uid="{00000000-0005-0000-0000-0000C93A0000}"/>
    <cellStyle name="输入 2 6 8 5 3" xfId="12031" xr:uid="{00000000-0005-0000-0000-00002F2F0000}"/>
    <cellStyle name="输入 2 6 8 5 3 2" xfId="48479" xr:uid="{00000000-0005-0000-0000-00008FBD0000}"/>
    <cellStyle name="输入 2 6 8 5 4" xfId="48480" xr:uid="{00000000-0005-0000-0000-000090BD0000}"/>
    <cellStyle name="输入 2 6 8 5 4 2" xfId="48482" xr:uid="{00000000-0005-0000-0000-000092BD0000}"/>
    <cellStyle name="输入 2 6 8 5 5" xfId="48483" xr:uid="{00000000-0005-0000-0000-000093BD0000}"/>
    <cellStyle name="输入 2 6 8 5 5 2" xfId="48484" xr:uid="{00000000-0005-0000-0000-000094BD0000}"/>
    <cellStyle name="输入 2 6 8 5 6" xfId="48485" xr:uid="{00000000-0005-0000-0000-000095BD0000}"/>
    <cellStyle name="输入 2 6 8 6" xfId="30101" xr:uid="{00000000-0005-0000-0000-0000C5750000}"/>
    <cellStyle name="输入 2 6 8 6 2" xfId="48486" xr:uid="{00000000-0005-0000-0000-000096BD0000}"/>
    <cellStyle name="输入 2 6 8 6 2 2" xfId="15022" xr:uid="{00000000-0005-0000-0000-0000DE3A0000}"/>
    <cellStyle name="输入 2 6 8 6 3" xfId="10105" xr:uid="{00000000-0005-0000-0000-0000A9270000}"/>
    <cellStyle name="输入 2 6 8 6 3 2" xfId="48487" xr:uid="{00000000-0005-0000-0000-000097BD0000}"/>
    <cellStyle name="输入 2 6 8 6 4" xfId="15031" xr:uid="{00000000-0005-0000-0000-0000E73A0000}"/>
    <cellStyle name="输入 2 6 8 6 4 2" xfId="48488" xr:uid="{00000000-0005-0000-0000-000098BD0000}"/>
    <cellStyle name="输入 2 6 8 6 5" xfId="48489" xr:uid="{00000000-0005-0000-0000-000099BD0000}"/>
    <cellStyle name="输入 2 6 8 6 5 2" xfId="48490" xr:uid="{00000000-0005-0000-0000-00009ABD0000}"/>
    <cellStyle name="输入 2 6 8 6 6" xfId="48491" xr:uid="{00000000-0005-0000-0000-00009BBD0000}"/>
    <cellStyle name="输入 2 6 8 7" xfId="48492" xr:uid="{00000000-0005-0000-0000-00009CBD0000}"/>
    <cellStyle name="输入 2 6 8 7 2" xfId="48493" xr:uid="{00000000-0005-0000-0000-00009DBD0000}"/>
    <cellStyle name="输入 2 6 8 7 2 2" xfId="48494" xr:uid="{00000000-0005-0000-0000-00009EBD0000}"/>
    <cellStyle name="输入 2 6 8 7 3" xfId="10117" xr:uid="{00000000-0005-0000-0000-0000B5270000}"/>
    <cellStyle name="输入 2 6 8 7 3 2" xfId="48495" xr:uid="{00000000-0005-0000-0000-00009FBD0000}"/>
    <cellStyle name="输入 2 6 8 7 4" xfId="15050" xr:uid="{00000000-0005-0000-0000-0000FA3A0000}"/>
    <cellStyle name="输入 2 6 8 7 4 2" xfId="48496" xr:uid="{00000000-0005-0000-0000-0000A0BD0000}"/>
    <cellStyle name="输入 2 6 8 7 5" xfId="48497" xr:uid="{00000000-0005-0000-0000-0000A1BD0000}"/>
    <cellStyle name="输入 2 6 8 7 5 2" xfId="40332" xr:uid="{00000000-0005-0000-0000-0000BC9D0000}"/>
    <cellStyle name="输入 2 6 8 7 6" xfId="48498" xr:uid="{00000000-0005-0000-0000-0000A2BD0000}"/>
    <cellStyle name="输入 2 6 8 8" xfId="48499" xr:uid="{00000000-0005-0000-0000-0000A3BD0000}"/>
    <cellStyle name="输入 2 6 8 8 2" xfId="48500" xr:uid="{00000000-0005-0000-0000-0000A4BD0000}"/>
    <cellStyle name="输入 2 6 8 8 2 2" xfId="48501" xr:uid="{00000000-0005-0000-0000-0000A5BD0000}"/>
    <cellStyle name="输入 2 6 8 8 3" xfId="10133" xr:uid="{00000000-0005-0000-0000-0000C5270000}"/>
    <cellStyle name="输入 2 6 8 8 3 2" xfId="48502" xr:uid="{00000000-0005-0000-0000-0000A6BD0000}"/>
    <cellStyle name="输入 2 6 8 8 4" xfId="20695" xr:uid="{00000000-0005-0000-0000-000007510000}"/>
    <cellStyle name="输入 2 6 8 8 4 2" xfId="48503" xr:uid="{00000000-0005-0000-0000-0000A7BD0000}"/>
    <cellStyle name="输入 2 6 8 8 5" xfId="48504" xr:uid="{00000000-0005-0000-0000-0000A8BD0000}"/>
    <cellStyle name="输入 2 6 8 9" xfId="38223" xr:uid="{00000000-0005-0000-0000-00007F950000}"/>
    <cellStyle name="输入 2 6 8 9 2" xfId="33151" xr:uid="{00000000-0005-0000-0000-0000AF810000}"/>
    <cellStyle name="输入 2 6 9" xfId="48506" xr:uid="{00000000-0005-0000-0000-0000AABD0000}"/>
    <cellStyle name="输入 2 6 9 10" xfId="40180" xr:uid="{00000000-0005-0000-0000-0000249D0000}"/>
    <cellStyle name="输入 2 6 9 10 2" xfId="2679" xr:uid="{00000000-0005-0000-0000-0000A70A0000}"/>
    <cellStyle name="输入 2 6 9 11" xfId="22552" xr:uid="{00000000-0005-0000-0000-000048580000}"/>
    <cellStyle name="输入 2 6 9 11 2" xfId="2777" xr:uid="{00000000-0005-0000-0000-0000090B0000}"/>
    <cellStyle name="输入 2 6 9 12" xfId="18274" xr:uid="{00000000-0005-0000-0000-000092470000}"/>
    <cellStyle name="输入 2 6 9 12 2" xfId="18280" xr:uid="{00000000-0005-0000-0000-000098470000}"/>
    <cellStyle name="输入 2 6 9 13" xfId="18287" xr:uid="{00000000-0005-0000-0000-00009F470000}"/>
    <cellStyle name="输入 2 6 9 14" xfId="18295" xr:uid="{00000000-0005-0000-0000-0000A7470000}"/>
    <cellStyle name="输入 2 6 9 15" xfId="18305" xr:uid="{00000000-0005-0000-0000-0000B1470000}"/>
    <cellStyle name="输入 2 6 9 16" xfId="48507" xr:uid="{00000000-0005-0000-0000-0000ABBD0000}"/>
    <cellStyle name="输入 2 6 9 2" xfId="47954" xr:uid="{00000000-0005-0000-0000-000082BB0000}"/>
    <cellStyle name="输入 2 6 9 2 2" xfId="47956" xr:uid="{00000000-0005-0000-0000-000084BB0000}"/>
    <cellStyle name="输入 2 6 9 2 2 2" xfId="47958" xr:uid="{00000000-0005-0000-0000-000086BB0000}"/>
    <cellStyle name="输入 2 6 9 2 3" xfId="47960" xr:uid="{00000000-0005-0000-0000-000088BB0000}"/>
    <cellStyle name="输入 2 6 9 2 3 2" xfId="47962" xr:uid="{00000000-0005-0000-0000-00008ABB0000}"/>
    <cellStyle name="输入 2 6 9 2 4" xfId="47964" xr:uid="{00000000-0005-0000-0000-00008CBB0000}"/>
    <cellStyle name="输入 2 6 9 2 4 2" xfId="47967" xr:uid="{00000000-0005-0000-0000-00008FBB0000}"/>
    <cellStyle name="输入 2 6 9 2 5" xfId="47969" xr:uid="{00000000-0005-0000-0000-000091BB0000}"/>
    <cellStyle name="输入 2 6 9 2 5 2" xfId="41795" xr:uid="{00000000-0005-0000-0000-000073A30000}"/>
    <cellStyle name="输入 2 6 9 2 6" xfId="38574" xr:uid="{00000000-0005-0000-0000-0000DE960000}"/>
    <cellStyle name="输入 2 6 9 2 7" xfId="38577" xr:uid="{00000000-0005-0000-0000-0000E1960000}"/>
    <cellStyle name="输入 2 6 9 2 8" xfId="35379" xr:uid="{00000000-0005-0000-0000-0000638A0000}"/>
    <cellStyle name="输入 2 6 9 2 9" xfId="28348" xr:uid="{00000000-0005-0000-0000-0000EC6E0000}"/>
    <cellStyle name="输入 2 6 9 3" xfId="47971" xr:uid="{00000000-0005-0000-0000-000093BB0000}"/>
    <cellStyle name="输入 2 6 9 3 2" xfId="47973" xr:uid="{00000000-0005-0000-0000-000095BB0000}"/>
    <cellStyle name="输入 2 6 9 3 2 2" xfId="47975" xr:uid="{00000000-0005-0000-0000-000097BB0000}"/>
    <cellStyle name="输入 2 6 9 3 3" xfId="47977" xr:uid="{00000000-0005-0000-0000-000099BB0000}"/>
    <cellStyle name="输入 2 6 9 3 3 2" xfId="47979" xr:uid="{00000000-0005-0000-0000-00009BBB0000}"/>
    <cellStyle name="输入 2 6 9 3 4" xfId="47981" xr:uid="{00000000-0005-0000-0000-00009DBB0000}"/>
    <cellStyle name="输入 2 6 9 3 4 2" xfId="47984" xr:uid="{00000000-0005-0000-0000-0000A0BB0000}"/>
    <cellStyle name="输入 2 6 9 3 5" xfId="47986" xr:uid="{00000000-0005-0000-0000-0000A2BB0000}"/>
    <cellStyle name="输入 2 6 9 3 5 2" xfId="47988" xr:uid="{00000000-0005-0000-0000-0000A4BB0000}"/>
    <cellStyle name="输入 2 6 9 3 6" xfId="38583" xr:uid="{00000000-0005-0000-0000-0000E7960000}"/>
    <cellStyle name="输入 2 6 9 4" xfId="39562" xr:uid="{00000000-0005-0000-0000-0000BA9A0000}"/>
    <cellStyle name="输入 2 6 9 4 2" xfId="33377" xr:uid="{00000000-0005-0000-0000-000091820000}"/>
    <cellStyle name="输入 2 6 9 4 2 2" xfId="33380" xr:uid="{00000000-0005-0000-0000-000094820000}"/>
    <cellStyle name="输入 2 6 9 4 3" xfId="12068" xr:uid="{00000000-0005-0000-0000-0000542F0000}"/>
    <cellStyle name="输入 2 6 9 4 3 2" xfId="33384" xr:uid="{00000000-0005-0000-0000-000098820000}"/>
    <cellStyle name="输入 2 6 9 4 4" xfId="33388" xr:uid="{00000000-0005-0000-0000-00009C820000}"/>
    <cellStyle name="输入 2 6 9 4 4 2" xfId="33393" xr:uid="{00000000-0005-0000-0000-0000A1820000}"/>
    <cellStyle name="输入 2 6 9 4 5" xfId="33397" xr:uid="{00000000-0005-0000-0000-0000A5820000}"/>
    <cellStyle name="输入 2 6 9 4 5 2" xfId="48508" xr:uid="{00000000-0005-0000-0000-0000ACBD0000}"/>
    <cellStyle name="输入 2 6 9 4 6" xfId="33400" xr:uid="{00000000-0005-0000-0000-0000A8820000}"/>
    <cellStyle name="输入 2 6 9 5" xfId="47990" xr:uid="{00000000-0005-0000-0000-0000A6BB0000}"/>
    <cellStyle name="输入 2 6 9 5 2" xfId="47992" xr:uid="{00000000-0005-0000-0000-0000A8BB0000}"/>
    <cellStyle name="输入 2 6 9 5 2 2" xfId="15147" xr:uid="{00000000-0005-0000-0000-00005B3B0000}"/>
    <cellStyle name="输入 2 6 9 5 3" xfId="12079" xr:uid="{00000000-0005-0000-0000-00005F2F0000}"/>
    <cellStyle name="输入 2 6 9 5 3 2" xfId="15150" xr:uid="{00000000-0005-0000-0000-00005E3B0000}"/>
    <cellStyle name="输入 2 6 9 5 4" xfId="48510" xr:uid="{00000000-0005-0000-0000-0000AEBD0000}"/>
    <cellStyle name="输入 2 6 9 5 4 2" xfId="17389" xr:uid="{00000000-0005-0000-0000-00001D440000}"/>
    <cellStyle name="输入 2 6 9 5 5" xfId="48512" xr:uid="{00000000-0005-0000-0000-0000B0BD0000}"/>
    <cellStyle name="输入 2 6 9 5 5 2" xfId="17399" xr:uid="{00000000-0005-0000-0000-000027440000}"/>
    <cellStyle name="输入 2 6 9 5 6" xfId="48513" xr:uid="{00000000-0005-0000-0000-0000B1BD0000}"/>
    <cellStyle name="输入 2 6 9 6" xfId="30107" xr:uid="{00000000-0005-0000-0000-0000CB750000}"/>
    <cellStyle name="输入 2 6 9 6 2" xfId="48514" xr:uid="{00000000-0005-0000-0000-0000B2BD0000}"/>
    <cellStyle name="输入 2 6 9 6 2 2" xfId="15166" xr:uid="{00000000-0005-0000-0000-00006E3B0000}"/>
    <cellStyle name="输入 2 6 9 6 3" xfId="10148" xr:uid="{00000000-0005-0000-0000-0000D4270000}"/>
    <cellStyle name="输入 2 6 9 6 3 2" xfId="15169" xr:uid="{00000000-0005-0000-0000-0000713B0000}"/>
    <cellStyle name="输入 2 6 9 6 4" xfId="48515" xr:uid="{00000000-0005-0000-0000-0000B3BD0000}"/>
    <cellStyle name="输入 2 6 9 6 4 2" xfId="20288" xr:uid="{00000000-0005-0000-0000-0000704F0000}"/>
    <cellStyle name="输入 2 6 9 6 5" xfId="48516" xr:uid="{00000000-0005-0000-0000-0000B4BD0000}"/>
    <cellStyle name="输入 2 6 9 6 5 2" xfId="20296" xr:uid="{00000000-0005-0000-0000-0000784F0000}"/>
    <cellStyle name="输入 2 6 9 6 6" xfId="48517" xr:uid="{00000000-0005-0000-0000-0000B5BD0000}"/>
    <cellStyle name="输入 2 6 9 7" xfId="48518" xr:uid="{00000000-0005-0000-0000-0000B6BD0000}"/>
    <cellStyle name="输入 2 6 9 7 2" xfId="48519" xr:uid="{00000000-0005-0000-0000-0000B7BD0000}"/>
    <cellStyle name="输入 2 6 9 7 2 2" xfId="48520" xr:uid="{00000000-0005-0000-0000-0000B8BD0000}"/>
    <cellStyle name="输入 2 6 9 7 3" xfId="10156" xr:uid="{00000000-0005-0000-0000-0000DC270000}"/>
    <cellStyle name="输入 2 6 9 7 3 2" xfId="48521" xr:uid="{00000000-0005-0000-0000-0000B9BD0000}"/>
    <cellStyle name="输入 2 6 9 7 4" xfId="48522" xr:uid="{00000000-0005-0000-0000-0000BABD0000}"/>
    <cellStyle name="输入 2 6 9 7 4 2" xfId="48523" xr:uid="{00000000-0005-0000-0000-0000BBBD0000}"/>
    <cellStyle name="输入 2 6 9 7 5" xfId="48524" xr:uid="{00000000-0005-0000-0000-0000BCBD0000}"/>
    <cellStyle name="输入 2 6 9 7 5 2" xfId="42450" xr:uid="{00000000-0005-0000-0000-000002A60000}"/>
    <cellStyle name="输入 2 6 9 7 6" xfId="48525" xr:uid="{00000000-0005-0000-0000-0000BDBD0000}"/>
    <cellStyle name="输入 2 6 9 8" xfId="48526" xr:uid="{00000000-0005-0000-0000-0000BEBD0000}"/>
    <cellStyle name="输入 2 6 9 8 2" xfId="48527" xr:uid="{00000000-0005-0000-0000-0000BFBD0000}"/>
    <cellStyle name="输入 2 6 9 8 2 2" xfId="48528" xr:uid="{00000000-0005-0000-0000-0000C0BD0000}"/>
    <cellStyle name="输入 2 6 9 8 3" xfId="48529" xr:uid="{00000000-0005-0000-0000-0000C1BD0000}"/>
    <cellStyle name="输入 2 6 9 8 3 2" xfId="48530" xr:uid="{00000000-0005-0000-0000-0000C2BD0000}"/>
    <cellStyle name="输入 2 6 9 8 4" xfId="48531" xr:uid="{00000000-0005-0000-0000-0000C3BD0000}"/>
    <cellStyle name="输入 2 6 9 8 4 2" xfId="48532" xr:uid="{00000000-0005-0000-0000-0000C4BD0000}"/>
    <cellStyle name="输入 2 6 9 8 5" xfId="48533" xr:uid="{00000000-0005-0000-0000-0000C5BD0000}"/>
    <cellStyle name="输入 2 6 9 9" xfId="48534" xr:uid="{00000000-0005-0000-0000-0000C6BD0000}"/>
    <cellStyle name="输入 2 6 9 9 2" xfId="33482" xr:uid="{00000000-0005-0000-0000-0000FA820000}"/>
    <cellStyle name="输入 2 7" xfId="33798" xr:uid="{00000000-0005-0000-0000-000036840000}"/>
    <cellStyle name="输入 2 7 10" xfId="48536" xr:uid="{00000000-0005-0000-0000-0000C8BD0000}"/>
    <cellStyle name="输入 2 7 10 10" xfId="48538" xr:uid="{00000000-0005-0000-0000-0000CABD0000}"/>
    <cellStyle name="输入 2 7 10 10 2" xfId="48539" xr:uid="{00000000-0005-0000-0000-0000CBBD0000}"/>
    <cellStyle name="输入 2 7 10 11" xfId="48540" xr:uid="{00000000-0005-0000-0000-0000CCBD0000}"/>
    <cellStyle name="输入 2 7 10 11 2" xfId="14300" xr:uid="{00000000-0005-0000-0000-00000C380000}"/>
    <cellStyle name="输入 2 7 10 12" xfId="48541" xr:uid="{00000000-0005-0000-0000-0000CDBD0000}"/>
    <cellStyle name="输入 2 7 10 12 2" xfId="48542" xr:uid="{00000000-0005-0000-0000-0000CEBD0000}"/>
    <cellStyle name="输入 2 7 10 13" xfId="48543" xr:uid="{00000000-0005-0000-0000-0000CFBD0000}"/>
    <cellStyle name="输入 2 7 10 14" xfId="46456" xr:uid="{00000000-0005-0000-0000-0000A8B50000}"/>
    <cellStyle name="输入 2 7 10 15" xfId="48544" xr:uid="{00000000-0005-0000-0000-0000D0BD0000}"/>
    <cellStyle name="输入 2 7 10 16" xfId="48545" xr:uid="{00000000-0005-0000-0000-0000D1BD0000}"/>
    <cellStyle name="输入 2 7 10 2" xfId="18128" xr:uid="{00000000-0005-0000-0000-000000470000}"/>
    <cellStyle name="输入 2 7 10 2 2" xfId="18138" xr:uid="{00000000-0005-0000-0000-00000A470000}"/>
    <cellStyle name="输入 2 7 10 2 2 2" xfId="7594" xr:uid="{00000000-0005-0000-0000-0000DA1D0000}"/>
    <cellStyle name="输入 2 7 10 2 3" xfId="18146" xr:uid="{00000000-0005-0000-0000-000012470000}"/>
    <cellStyle name="输入 2 7 10 2 3 2" xfId="7677" xr:uid="{00000000-0005-0000-0000-00002D1E0000}"/>
    <cellStyle name="输入 2 7 10 2 4" xfId="18151" xr:uid="{00000000-0005-0000-0000-000017470000}"/>
    <cellStyle name="输入 2 7 10 2 4 2" xfId="18157" xr:uid="{00000000-0005-0000-0000-00001D470000}"/>
    <cellStyle name="输入 2 7 10 2 5" xfId="10612" xr:uid="{00000000-0005-0000-0000-0000A4290000}"/>
    <cellStyle name="输入 2 7 10 2 5 2" xfId="18162" xr:uid="{00000000-0005-0000-0000-000022470000}"/>
    <cellStyle name="输入 2 7 10 2 6" xfId="18166" xr:uid="{00000000-0005-0000-0000-000026470000}"/>
    <cellStyle name="输入 2 7 10 2 7" xfId="27008" xr:uid="{00000000-0005-0000-0000-0000B0690000}"/>
    <cellStyle name="输入 2 7 10 2 8" xfId="27012" xr:uid="{00000000-0005-0000-0000-0000B4690000}"/>
    <cellStyle name="输入 2 7 10 2 9" xfId="6525" xr:uid="{00000000-0005-0000-0000-0000AD190000}"/>
    <cellStyle name="输入 2 7 10 3" xfId="15642" xr:uid="{00000000-0005-0000-0000-00004A3D0000}"/>
    <cellStyle name="输入 2 7 10 3 2" xfId="18175" xr:uid="{00000000-0005-0000-0000-00002F470000}"/>
    <cellStyle name="输入 2 7 10 3 2 2" xfId="3424" xr:uid="{00000000-0005-0000-0000-0000900D0000}"/>
    <cellStyle name="输入 2 7 10 3 3" xfId="18183" xr:uid="{00000000-0005-0000-0000-000037470000}"/>
    <cellStyle name="输入 2 7 10 3 3 2" xfId="3474" xr:uid="{00000000-0005-0000-0000-0000C20D0000}"/>
    <cellStyle name="输入 2 7 10 3 4" xfId="18186" xr:uid="{00000000-0005-0000-0000-00003A470000}"/>
    <cellStyle name="输入 2 7 10 3 4 2" xfId="18191" xr:uid="{00000000-0005-0000-0000-00003F470000}"/>
    <cellStyle name="输入 2 7 10 3 5" xfId="10629" xr:uid="{00000000-0005-0000-0000-0000B5290000}"/>
    <cellStyle name="输入 2 7 10 3 5 2" xfId="27016" xr:uid="{00000000-0005-0000-0000-0000B8690000}"/>
    <cellStyle name="输入 2 7 10 3 6" xfId="20857" xr:uid="{00000000-0005-0000-0000-0000A9510000}"/>
    <cellStyle name="输入 2 7 10 4" xfId="18196" xr:uid="{00000000-0005-0000-0000-000044470000}"/>
    <cellStyle name="输入 2 7 10 4 2" xfId="18200" xr:uid="{00000000-0005-0000-0000-000048470000}"/>
    <cellStyle name="输入 2 7 10 4 2 2" xfId="44411" xr:uid="{00000000-0005-0000-0000-0000ABAD0000}"/>
    <cellStyle name="输入 2 7 10 4 3" xfId="35615" xr:uid="{00000000-0005-0000-0000-00004F8B0000}"/>
    <cellStyle name="输入 2 7 10 4 3 2" xfId="44417" xr:uid="{00000000-0005-0000-0000-0000B1AD0000}"/>
    <cellStyle name="输入 2 7 10 4 4" xfId="229" xr:uid="{00000000-0005-0000-0000-0000FA000000}"/>
    <cellStyle name="输入 2 7 10 4 4 2" xfId="939" xr:uid="{00000000-0005-0000-0000-0000DB030000}"/>
    <cellStyle name="输入 2 7 10 4 5" xfId="167" xr:uid="{00000000-0005-0000-0000-0000B5000000}"/>
    <cellStyle name="输入 2 7 10 4 5 2" xfId="966" xr:uid="{00000000-0005-0000-0000-0000F6030000}"/>
    <cellStyle name="输入 2 7 10 4 6" xfId="106" xr:uid="{00000000-0005-0000-0000-000073000000}"/>
    <cellStyle name="输入 2 7 10 5" xfId="46177" xr:uid="{00000000-0005-0000-0000-000091B40000}"/>
    <cellStyle name="输入 2 7 10 5 2" xfId="48546" xr:uid="{00000000-0005-0000-0000-0000D2BD0000}"/>
    <cellStyle name="输入 2 7 10 5 2 2" xfId="44473" xr:uid="{00000000-0005-0000-0000-0000E9AD0000}"/>
    <cellStyle name="输入 2 7 10 5 3" xfId="48547" xr:uid="{00000000-0005-0000-0000-0000D3BD0000}"/>
    <cellStyle name="输入 2 7 10 5 3 2" xfId="44479" xr:uid="{00000000-0005-0000-0000-0000EFAD0000}"/>
    <cellStyle name="输入 2 7 10 5 4" xfId="12962" xr:uid="{00000000-0005-0000-0000-0000D2320000}"/>
    <cellStyle name="输入 2 7 10 5 4 2" xfId="27027" xr:uid="{00000000-0005-0000-0000-0000C3690000}"/>
    <cellStyle name="输入 2 7 10 5 5" xfId="27031" xr:uid="{00000000-0005-0000-0000-0000C7690000}"/>
    <cellStyle name="输入 2 7 10 5 5 2" xfId="21982" xr:uid="{00000000-0005-0000-0000-00000E560000}"/>
    <cellStyle name="输入 2 7 10 5 6" xfId="27034" xr:uid="{00000000-0005-0000-0000-0000CA690000}"/>
    <cellStyle name="输入 2 7 10 6" xfId="48548" xr:uid="{00000000-0005-0000-0000-0000D4BD0000}"/>
    <cellStyle name="输入 2 7 10 6 2" xfId="48549" xr:uid="{00000000-0005-0000-0000-0000D5BD0000}"/>
    <cellStyle name="输入 2 7 10 6 2 2" xfId="44533" xr:uid="{00000000-0005-0000-0000-000025AE0000}"/>
    <cellStyle name="输入 2 7 10 6 3" xfId="48550" xr:uid="{00000000-0005-0000-0000-0000D6BD0000}"/>
    <cellStyle name="输入 2 7 10 6 3 2" xfId="44539" xr:uid="{00000000-0005-0000-0000-00002BAE0000}"/>
    <cellStyle name="输入 2 7 10 6 4" xfId="12973" xr:uid="{00000000-0005-0000-0000-0000DD320000}"/>
    <cellStyle name="输入 2 7 10 6 4 2" xfId="44547" xr:uid="{00000000-0005-0000-0000-000033AE0000}"/>
    <cellStyle name="输入 2 7 10 6 5" xfId="35985" xr:uid="{00000000-0005-0000-0000-0000C18C0000}"/>
    <cellStyle name="输入 2 7 10 6 5 2" xfId="2997" xr:uid="{00000000-0005-0000-0000-0000E50B0000}"/>
    <cellStyle name="输入 2 7 10 6 6" xfId="48551" xr:uid="{00000000-0005-0000-0000-0000D7BD0000}"/>
    <cellStyle name="输入 2 7 10 7" xfId="48552" xr:uid="{00000000-0005-0000-0000-0000D8BD0000}"/>
    <cellStyle name="输入 2 7 10 7 2" xfId="7399" xr:uid="{00000000-0005-0000-0000-0000171D0000}"/>
    <cellStyle name="输入 2 7 10 7 2 2" xfId="44595" xr:uid="{00000000-0005-0000-0000-000063AE0000}"/>
    <cellStyle name="输入 2 7 10 7 3" xfId="5792" xr:uid="{00000000-0005-0000-0000-0000D0160000}"/>
    <cellStyle name="输入 2 7 10 7 3 2" xfId="44601" xr:uid="{00000000-0005-0000-0000-000069AE0000}"/>
    <cellStyle name="输入 2 7 10 7 4" xfId="7989" xr:uid="{00000000-0005-0000-0000-0000651F0000}"/>
    <cellStyle name="输入 2 7 10 7 4 2" xfId="44608" xr:uid="{00000000-0005-0000-0000-000070AE0000}"/>
    <cellStyle name="输入 2 7 10 7 5" xfId="7996" xr:uid="{00000000-0005-0000-0000-00006C1F0000}"/>
    <cellStyle name="输入 2 7 10 7 5 2" xfId="44621" xr:uid="{00000000-0005-0000-0000-00007DAE0000}"/>
    <cellStyle name="输入 2 7 10 7 6" xfId="48553" xr:uid="{00000000-0005-0000-0000-0000D9BD0000}"/>
    <cellStyle name="输入 2 7 10 8" xfId="48554" xr:uid="{00000000-0005-0000-0000-0000DABD0000}"/>
    <cellStyle name="输入 2 7 10 8 2" xfId="48555" xr:uid="{00000000-0005-0000-0000-0000DBBD0000}"/>
    <cellStyle name="输入 2 7 10 8 2 2" xfId="44674" xr:uid="{00000000-0005-0000-0000-0000B2AE0000}"/>
    <cellStyle name="输入 2 7 10 8 3" xfId="48556" xr:uid="{00000000-0005-0000-0000-0000DCBD0000}"/>
    <cellStyle name="输入 2 7 10 8 3 2" xfId="44680" xr:uid="{00000000-0005-0000-0000-0000B8AE0000}"/>
    <cellStyle name="输入 2 7 10 8 4" xfId="47599" xr:uid="{00000000-0005-0000-0000-00001FBA0000}"/>
    <cellStyle name="输入 2 7 10 8 4 2" xfId="44687" xr:uid="{00000000-0005-0000-0000-0000BFAE0000}"/>
    <cellStyle name="输入 2 7 10 8 5" xfId="48557" xr:uid="{00000000-0005-0000-0000-0000DDBD0000}"/>
    <cellStyle name="输入 2 7 10 9" xfId="48558" xr:uid="{00000000-0005-0000-0000-0000DEBD0000}"/>
    <cellStyle name="输入 2 7 10 9 2" xfId="48559" xr:uid="{00000000-0005-0000-0000-0000DFBD0000}"/>
    <cellStyle name="输入 2 7 11" xfId="47121" xr:uid="{00000000-0005-0000-0000-000041B80000}"/>
    <cellStyle name="输入 2 7 11 10" xfId="35733" xr:uid="{00000000-0005-0000-0000-0000C58B0000}"/>
    <cellStyle name="输入 2 7 11 10 2" xfId="48560" xr:uid="{00000000-0005-0000-0000-0000E0BD0000}"/>
    <cellStyle name="输入 2 7 11 11" xfId="3703" xr:uid="{00000000-0005-0000-0000-0000A70E0000}"/>
    <cellStyle name="输入 2 7 11 11 2" xfId="15305" xr:uid="{00000000-0005-0000-0000-0000F93B0000}"/>
    <cellStyle name="输入 2 7 11 12" xfId="35737" xr:uid="{00000000-0005-0000-0000-0000C98B0000}"/>
    <cellStyle name="输入 2 7 11 12 2" xfId="48561" xr:uid="{00000000-0005-0000-0000-0000E1BD0000}"/>
    <cellStyle name="输入 2 7 11 13" xfId="35741" xr:uid="{00000000-0005-0000-0000-0000CD8B0000}"/>
    <cellStyle name="输入 2 7 11 14" xfId="10903" xr:uid="{00000000-0005-0000-0000-0000C72A0000}"/>
    <cellStyle name="输入 2 7 11 15" xfId="46775" xr:uid="{00000000-0005-0000-0000-0000E7B60000}"/>
    <cellStyle name="输入 2 7 11 16" xfId="17988" xr:uid="{00000000-0005-0000-0000-000074460000}"/>
    <cellStyle name="输入 2 7 11 2" xfId="18417" xr:uid="{00000000-0005-0000-0000-000021480000}"/>
    <cellStyle name="输入 2 7 11 2 2" xfId="18431" xr:uid="{00000000-0005-0000-0000-00002F480000}"/>
    <cellStyle name="输入 2 7 11 2 2 2" xfId="395" xr:uid="{00000000-0005-0000-0000-0000B1010000}"/>
    <cellStyle name="输入 2 7 11 2 3" xfId="18441" xr:uid="{00000000-0005-0000-0000-000039480000}"/>
    <cellStyle name="输入 2 7 11 2 3 2" xfId="9810" xr:uid="{00000000-0005-0000-0000-000082260000}"/>
    <cellStyle name="输入 2 7 11 2 4" xfId="18445" xr:uid="{00000000-0005-0000-0000-00003D480000}"/>
    <cellStyle name="输入 2 7 11 2 4 2" xfId="18451" xr:uid="{00000000-0005-0000-0000-000043480000}"/>
    <cellStyle name="输入 2 7 11 2 5" xfId="10674" xr:uid="{00000000-0005-0000-0000-0000E2290000}"/>
    <cellStyle name="输入 2 7 11 2 5 2" xfId="18457" xr:uid="{00000000-0005-0000-0000-000049480000}"/>
    <cellStyle name="输入 2 7 11 2 6" xfId="18461" xr:uid="{00000000-0005-0000-0000-00004D480000}"/>
    <cellStyle name="输入 2 7 11 3" xfId="15651" xr:uid="{00000000-0005-0000-0000-0000533D0000}"/>
    <cellStyle name="输入 2 7 11 3 2" xfId="18475" xr:uid="{00000000-0005-0000-0000-00005B480000}"/>
    <cellStyle name="输入 2 7 11 3 2 2" xfId="10087" xr:uid="{00000000-0005-0000-0000-000097270000}"/>
    <cellStyle name="输入 2 7 11 3 3" xfId="18486" xr:uid="{00000000-0005-0000-0000-000066480000}"/>
    <cellStyle name="输入 2 7 11 3 3 2" xfId="10138" xr:uid="{00000000-0005-0000-0000-0000CA270000}"/>
    <cellStyle name="输入 2 7 11 3 4" xfId="18490" xr:uid="{00000000-0005-0000-0000-00006A480000}"/>
    <cellStyle name="输入 2 7 11 3 4 2" xfId="18496" xr:uid="{00000000-0005-0000-0000-000070480000}"/>
    <cellStyle name="输入 2 7 11 3 5" xfId="10693" xr:uid="{00000000-0005-0000-0000-0000F5290000}"/>
    <cellStyle name="输入 2 7 11 3 5 2" xfId="27084" xr:uid="{00000000-0005-0000-0000-0000FC690000}"/>
    <cellStyle name="输入 2 7 11 3 6" xfId="20874" xr:uid="{00000000-0005-0000-0000-0000BA510000}"/>
    <cellStyle name="输入 2 7 11 4" xfId="3712" xr:uid="{00000000-0005-0000-0000-0000B00E0000}"/>
    <cellStyle name="输入 2 7 11 4 2" xfId="18508" xr:uid="{00000000-0005-0000-0000-00007C480000}"/>
    <cellStyle name="输入 2 7 11 4 2 2" xfId="44951" xr:uid="{00000000-0005-0000-0000-0000C7AF0000}"/>
    <cellStyle name="输入 2 7 11 4 3" xfId="48562" xr:uid="{00000000-0005-0000-0000-0000E2BD0000}"/>
    <cellStyle name="输入 2 7 11 4 3 2" xfId="44963" xr:uid="{00000000-0005-0000-0000-0000D3AF0000}"/>
    <cellStyle name="输入 2 7 11 4 4" xfId="22581" xr:uid="{00000000-0005-0000-0000-000065580000}"/>
    <cellStyle name="输入 2 7 11 4 4 2" xfId="27092" xr:uid="{00000000-0005-0000-0000-0000046A0000}"/>
    <cellStyle name="输入 2 7 11 4 5" xfId="27099" xr:uid="{00000000-0005-0000-0000-00000B6A0000}"/>
    <cellStyle name="输入 2 7 11 4 5 2" xfId="27101" xr:uid="{00000000-0005-0000-0000-00000D6A0000}"/>
    <cellStyle name="输入 2 7 11 4 6" xfId="20882" xr:uid="{00000000-0005-0000-0000-0000C2510000}"/>
    <cellStyle name="输入 2 7 11 5" xfId="18846" xr:uid="{00000000-0005-0000-0000-0000CE490000}"/>
    <cellStyle name="输入 2 7 11 5 2" xfId="48563" xr:uid="{00000000-0005-0000-0000-0000E3BD0000}"/>
    <cellStyle name="输入 2 7 11 5 2 2" xfId="45029" xr:uid="{00000000-0005-0000-0000-000015B00000}"/>
    <cellStyle name="输入 2 7 11 5 3" xfId="48564" xr:uid="{00000000-0005-0000-0000-0000E4BD0000}"/>
    <cellStyle name="输入 2 7 11 5 3 2" xfId="45036" xr:uid="{00000000-0005-0000-0000-00001CB00000}"/>
    <cellStyle name="输入 2 7 11 5 4" xfId="12993" xr:uid="{00000000-0005-0000-0000-0000F1320000}"/>
    <cellStyle name="输入 2 7 11 5 4 2" xfId="27111" xr:uid="{00000000-0005-0000-0000-0000176A0000}"/>
    <cellStyle name="输入 2 7 11 5 5" xfId="27115" xr:uid="{00000000-0005-0000-0000-00001B6A0000}"/>
    <cellStyle name="输入 2 7 11 5 5 2" xfId="27117" xr:uid="{00000000-0005-0000-0000-00001D6A0000}"/>
    <cellStyle name="输入 2 7 11 5 6" xfId="27120" xr:uid="{00000000-0005-0000-0000-0000206A0000}"/>
    <cellStyle name="输入 2 7 11 6" xfId="48565" xr:uid="{00000000-0005-0000-0000-0000E5BD0000}"/>
    <cellStyle name="输入 2 7 11 6 2" xfId="48566" xr:uid="{00000000-0005-0000-0000-0000E6BD0000}"/>
    <cellStyle name="输入 2 7 11 6 2 2" xfId="45097" xr:uid="{00000000-0005-0000-0000-000059B00000}"/>
    <cellStyle name="输入 2 7 11 6 3" xfId="48567" xr:uid="{00000000-0005-0000-0000-0000E7BD0000}"/>
    <cellStyle name="输入 2 7 11 6 3 2" xfId="45103" xr:uid="{00000000-0005-0000-0000-00005FB00000}"/>
    <cellStyle name="输入 2 7 11 6 4" xfId="13004" xr:uid="{00000000-0005-0000-0000-0000FC320000}"/>
    <cellStyle name="输入 2 7 11 6 4 2" xfId="45110" xr:uid="{00000000-0005-0000-0000-000066B00000}"/>
    <cellStyle name="输入 2 7 11 6 5" xfId="48568" xr:uid="{00000000-0005-0000-0000-0000E8BD0000}"/>
    <cellStyle name="输入 2 7 11 6 5 2" xfId="45117" xr:uid="{00000000-0005-0000-0000-00006DB00000}"/>
    <cellStyle name="输入 2 7 11 6 6" xfId="48569" xr:uid="{00000000-0005-0000-0000-0000E9BD0000}"/>
    <cellStyle name="输入 2 7 11 7" xfId="48570" xr:uid="{00000000-0005-0000-0000-0000EABD0000}"/>
    <cellStyle name="输入 2 7 11 7 2" xfId="7436" xr:uid="{00000000-0005-0000-0000-00003C1D0000}"/>
    <cellStyle name="输入 2 7 11 7 2 2" xfId="45157" xr:uid="{00000000-0005-0000-0000-000095B00000}"/>
    <cellStyle name="输入 2 7 11 7 3" xfId="5913" xr:uid="{00000000-0005-0000-0000-000049170000}"/>
    <cellStyle name="输入 2 7 11 7 3 2" xfId="45166" xr:uid="{00000000-0005-0000-0000-00009EB00000}"/>
    <cellStyle name="输入 2 7 11 7 4" xfId="8184" xr:uid="{00000000-0005-0000-0000-000028200000}"/>
    <cellStyle name="输入 2 7 11 7 4 2" xfId="45173" xr:uid="{00000000-0005-0000-0000-0000A5B00000}"/>
    <cellStyle name="输入 2 7 11 7 5" xfId="8206" xr:uid="{00000000-0005-0000-0000-00003E200000}"/>
    <cellStyle name="输入 2 7 11 7 5 2" xfId="45182" xr:uid="{00000000-0005-0000-0000-0000AEB00000}"/>
    <cellStyle name="输入 2 7 11 7 6" xfId="48571" xr:uid="{00000000-0005-0000-0000-0000EBBD0000}"/>
    <cellStyle name="输入 2 7 11 8" xfId="48572" xr:uid="{00000000-0005-0000-0000-0000ECBD0000}"/>
    <cellStyle name="输入 2 7 11 8 2" xfId="7453" xr:uid="{00000000-0005-0000-0000-00004D1D0000}"/>
    <cellStyle name="输入 2 7 11 8 2 2" xfId="45229" xr:uid="{00000000-0005-0000-0000-0000DDB00000}"/>
    <cellStyle name="输入 2 7 11 8 3" xfId="48573" xr:uid="{00000000-0005-0000-0000-0000EDBD0000}"/>
    <cellStyle name="输入 2 7 11 8 3 2" xfId="45237" xr:uid="{00000000-0005-0000-0000-0000E5B00000}"/>
    <cellStyle name="输入 2 7 11 8 4" xfId="47605" xr:uid="{00000000-0005-0000-0000-000025BA0000}"/>
    <cellStyle name="输入 2 7 11 8 4 2" xfId="45243" xr:uid="{00000000-0005-0000-0000-0000EBB00000}"/>
    <cellStyle name="输入 2 7 11 8 5" xfId="48574" xr:uid="{00000000-0005-0000-0000-0000EEBD0000}"/>
    <cellStyle name="输入 2 7 11 9" xfId="48575" xr:uid="{00000000-0005-0000-0000-0000EFBD0000}"/>
    <cellStyle name="输入 2 7 11 9 2" xfId="7464" xr:uid="{00000000-0005-0000-0000-0000581D0000}"/>
    <cellStyle name="输入 2 7 12" xfId="48577" xr:uid="{00000000-0005-0000-0000-0000F1BD0000}"/>
    <cellStyle name="输入 2 7 12 2" xfId="18742" xr:uid="{00000000-0005-0000-0000-000066490000}"/>
    <cellStyle name="输入 2 7 12 2 2" xfId="18748" xr:uid="{00000000-0005-0000-0000-00006C490000}"/>
    <cellStyle name="输入 2 7 12 3" xfId="15659" xr:uid="{00000000-0005-0000-0000-00005B3D0000}"/>
    <cellStyle name="输入 2 7 12 3 2" xfId="18796" xr:uid="{00000000-0005-0000-0000-00009C490000}"/>
    <cellStyle name="输入 2 7 12 4" xfId="5293" xr:uid="{00000000-0005-0000-0000-0000DD140000}"/>
    <cellStyle name="输入 2 7 12 4 2" xfId="18811" xr:uid="{00000000-0005-0000-0000-0000AB490000}"/>
    <cellStyle name="输入 2 7 12 5" xfId="18852" xr:uid="{00000000-0005-0000-0000-0000D4490000}"/>
    <cellStyle name="输入 2 7 12 5 2" xfId="48579" xr:uid="{00000000-0005-0000-0000-0000F3BD0000}"/>
    <cellStyle name="输入 2 7 12 6" xfId="45123" xr:uid="{00000000-0005-0000-0000-000073B00000}"/>
    <cellStyle name="输入 2 7 12 7" xfId="48580" xr:uid="{00000000-0005-0000-0000-0000F4BD0000}"/>
    <cellStyle name="输入 2 7 12 8" xfId="48581" xr:uid="{00000000-0005-0000-0000-0000F5BD0000}"/>
    <cellStyle name="输入 2 7 12 9" xfId="48582" xr:uid="{00000000-0005-0000-0000-0000F6BD0000}"/>
    <cellStyle name="输入 2 7 13" xfId="48584" xr:uid="{00000000-0005-0000-0000-0000F8BD0000}"/>
    <cellStyle name="输入 2 7 13 2" xfId="1241" xr:uid="{00000000-0005-0000-0000-000009050000}"/>
    <cellStyle name="输入 2 7 13 2 2" xfId="18889" xr:uid="{00000000-0005-0000-0000-0000F9490000}"/>
    <cellStyle name="输入 2 7 13 3" xfId="15668" xr:uid="{00000000-0005-0000-0000-0000643D0000}"/>
    <cellStyle name="输入 2 7 13 3 2" xfId="18916" xr:uid="{00000000-0005-0000-0000-0000144A0000}"/>
    <cellStyle name="输入 2 7 13 4" xfId="5313" xr:uid="{00000000-0005-0000-0000-0000F1140000}"/>
    <cellStyle name="输入 2 7 13 4 2" xfId="18935" xr:uid="{00000000-0005-0000-0000-0000274A0000}"/>
    <cellStyle name="输入 2 7 13 5" xfId="18858" xr:uid="{00000000-0005-0000-0000-0000DA490000}"/>
    <cellStyle name="输入 2 7 13 5 2" xfId="46209" xr:uid="{00000000-0005-0000-0000-0000B1B40000}"/>
    <cellStyle name="输入 2 7 13 6" xfId="45126" xr:uid="{00000000-0005-0000-0000-000076B00000}"/>
    <cellStyle name="输入 2 7 14" xfId="48586" xr:uid="{00000000-0005-0000-0000-0000FABD0000}"/>
    <cellStyle name="输入 2 7 14 2" xfId="3082" xr:uid="{00000000-0005-0000-0000-00003A0C0000}"/>
    <cellStyle name="输入 2 7 14 2 2" xfId="19034" xr:uid="{00000000-0005-0000-0000-00008A4A0000}"/>
    <cellStyle name="输入 2 7 14 3" xfId="19054" xr:uid="{00000000-0005-0000-0000-00009E4A0000}"/>
    <cellStyle name="输入 2 7 14 3 2" xfId="19056" xr:uid="{00000000-0005-0000-0000-0000A04A0000}"/>
    <cellStyle name="输入 2 7 14 4" xfId="2344" xr:uid="{00000000-0005-0000-0000-000058090000}"/>
    <cellStyle name="输入 2 7 14 4 2" xfId="19063" xr:uid="{00000000-0005-0000-0000-0000A74A0000}"/>
    <cellStyle name="输入 2 7 14 5" xfId="14054" xr:uid="{00000000-0005-0000-0000-000016370000}"/>
    <cellStyle name="输入 2 7 14 5 2" xfId="46270" xr:uid="{00000000-0005-0000-0000-0000EEB40000}"/>
    <cellStyle name="输入 2 7 14 6" xfId="45129" xr:uid="{00000000-0005-0000-0000-000079B00000}"/>
    <cellStyle name="输入 2 7 15" xfId="7038" xr:uid="{00000000-0005-0000-0000-0000AE1B0000}"/>
    <cellStyle name="输入 2 7 15 2" xfId="7048" xr:uid="{00000000-0005-0000-0000-0000B81B0000}"/>
    <cellStyle name="输入 2 7 15 2 2" xfId="15473" xr:uid="{00000000-0005-0000-0000-0000A13C0000}"/>
    <cellStyle name="输入 2 7 15 3" xfId="15479" xr:uid="{00000000-0005-0000-0000-0000A73C0000}"/>
    <cellStyle name="输入 2 7 15 3 2" xfId="15483" xr:uid="{00000000-0005-0000-0000-0000AB3C0000}"/>
    <cellStyle name="输入 2 7 15 4" xfId="15487" xr:uid="{00000000-0005-0000-0000-0000AF3C0000}"/>
    <cellStyle name="输入 2 7 15 4 2" xfId="15492" xr:uid="{00000000-0005-0000-0000-0000B43C0000}"/>
    <cellStyle name="输入 2 7 15 5" xfId="14064" xr:uid="{00000000-0005-0000-0000-000020370000}"/>
    <cellStyle name="输入 2 7 15 5 2" xfId="15495" xr:uid="{00000000-0005-0000-0000-0000B73C0000}"/>
    <cellStyle name="输入 2 7 15 6" xfId="14357" xr:uid="{00000000-0005-0000-0000-000045380000}"/>
    <cellStyle name="输入 2 7 16" xfId="7058" xr:uid="{00000000-0005-0000-0000-0000C21B0000}"/>
    <cellStyle name="输入 2 7 16 2" xfId="7067" xr:uid="{00000000-0005-0000-0000-0000CB1B0000}"/>
    <cellStyle name="输入 2 7 16 2 2" xfId="2157" xr:uid="{00000000-0005-0000-0000-00009D080000}"/>
    <cellStyle name="输入 2 7 16 3" xfId="12563" xr:uid="{00000000-0005-0000-0000-000043310000}"/>
    <cellStyle name="输入 2 7 16 3 2" xfId="12567" xr:uid="{00000000-0005-0000-0000-000047310000}"/>
    <cellStyle name="输入 2 7 16 4" xfId="12575" xr:uid="{00000000-0005-0000-0000-00004F310000}"/>
    <cellStyle name="输入 2 7 16 4 2" xfId="15510" xr:uid="{00000000-0005-0000-0000-0000C63C0000}"/>
    <cellStyle name="输入 2 7 16 5" xfId="14070" xr:uid="{00000000-0005-0000-0000-000026370000}"/>
    <cellStyle name="输入 2 7 16 5 2" xfId="15518" xr:uid="{00000000-0005-0000-0000-0000CE3C0000}"/>
    <cellStyle name="输入 2 7 16 6" xfId="15524" xr:uid="{00000000-0005-0000-0000-0000D43C0000}"/>
    <cellStyle name="输入 2 7 17" xfId="7081" xr:uid="{00000000-0005-0000-0000-0000D91B0000}"/>
    <cellStyle name="输入 2 7 17 2" xfId="12581" xr:uid="{00000000-0005-0000-0000-000055310000}"/>
    <cellStyle name="输入 2 7 17 2 2" xfId="953" xr:uid="{00000000-0005-0000-0000-0000E9030000}"/>
    <cellStyle name="输入 2 7 17 3" xfId="12590" xr:uid="{00000000-0005-0000-0000-00005E310000}"/>
    <cellStyle name="输入 2 7 17 3 2" xfId="152" xr:uid="{00000000-0005-0000-0000-0000A5000000}"/>
    <cellStyle name="输入 2 7 17 4" xfId="12593" xr:uid="{00000000-0005-0000-0000-000061310000}"/>
    <cellStyle name="输入 2 7 17 4 2" xfId="15530" xr:uid="{00000000-0005-0000-0000-0000DA3C0000}"/>
    <cellStyle name="输入 2 7 17 5" xfId="14077" xr:uid="{00000000-0005-0000-0000-00002D370000}"/>
    <cellStyle name="输入 2 7 17 5 2" xfId="15538" xr:uid="{00000000-0005-0000-0000-0000E23C0000}"/>
    <cellStyle name="输入 2 7 17 6" xfId="15543" xr:uid="{00000000-0005-0000-0000-0000E73C0000}"/>
    <cellStyle name="输入 2 7 18" xfId="13489" xr:uid="{00000000-0005-0000-0000-0000E1340000}"/>
    <cellStyle name="输入 2 7 18 2" xfId="12609" xr:uid="{00000000-0005-0000-0000-000071310000}"/>
    <cellStyle name="输入 2 7 18 2 2" xfId="12620" xr:uid="{00000000-0005-0000-0000-00007C310000}"/>
    <cellStyle name="输入 2 7 18 3" xfId="12634" xr:uid="{00000000-0005-0000-0000-00008A310000}"/>
    <cellStyle name="输入 2 7 18 3 2" xfId="12641" xr:uid="{00000000-0005-0000-0000-000091310000}"/>
    <cellStyle name="输入 2 7 18 4" xfId="12653" xr:uid="{00000000-0005-0000-0000-00009D310000}"/>
    <cellStyle name="输入 2 7 18 4 2" xfId="15548" xr:uid="{00000000-0005-0000-0000-0000EC3C0000}"/>
    <cellStyle name="输入 2 7 18 5" xfId="15555" xr:uid="{00000000-0005-0000-0000-0000F33C0000}"/>
    <cellStyle name="输入 2 7 18 5 2" xfId="15558" xr:uid="{00000000-0005-0000-0000-0000F63C0000}"/>
    <cellStyle name="输入 2 7 18 6" xfId="8322" xr:uid="{00000000-0005-0000-0000-0000B2200000}"/>
    <cellStyle name="输入 2 7 19" xfId="15562" xr:uid="{00000000-0005-0000-0000-0000FA3C0000}"/>
    <cellStyle name="输入 2 7 19 2" xfId="12663" xr:uid="{00000000-0005-0000-0000-0000A7310000}"/>
    <cellStyle name="输入 2 7 19 2 2" xfId="1255" xr:uid="{00000000-0005-0000-0000-000017050000}"/>
    <cellStyle name="输入 2 7 19 3" xfId="12674" xr:uid="{00000000-0005-0000-0000-0000B2310000}"/>
    <cellStyle name="输入 2 7 19 3 2" xfId="3090" xr:uid="{00000000-0005-0000-0000-0000420C0000}"/>
    <cellStyle name="输入 2 7 19 4" xfId="12678" xr:uid="{00000000-0005-0000-0000-0000B6310000}"/>
    <cellStyle name="输入 2 7 19 4 2" xfId="15567" xr:uid="{00000000-0005-0000-0000-0000FF3C0000}"/>
    <cellStyle name="输入 2 7 19 5" xfId="15574" xr:uid="{00000000-0005-0000-0000-0000063D0000}"/>
    <cellStyle name="输入 2 7 2" xfId="48588" xr:uid="{00000000-0005-0000-0000-0000FCBD0000}"/>
    <cellStyle name="输入 2 7 2 10" xfId="48441" xr:uid="{00000000-0005-0000-0000-000069BD0000}"/>
    <cellStyle name="输入 2 7 2 10 2" xfId="48589" xr:uid="{00000000-0005-0000-0000-0000FDBD0000}"/>
    <cellStyle name="输入 2 7 2 11" xfId="48590" xr:uid="{00000000-0005-0000-0000-0000FEBD0000}"/>
    <cellStyle name="输入 2 7 2 11 2" xfId="48591" xr:uid="{00000000-0005-0000-0000-0000FFBD0000}"/>
    <cellStyle name="输入 2 7 2 12" xfId="48592" xr:uid="{00000000-0005-0000-0000-000000BE0000}"/>
    <cellStyle name="输入 2 7 2 12 2" xfId="48593" xr:uid="{00000000-0005-0000-0000-000001BE0000}"/>
    <cellStyle name="输入 2 7 2 13" xfId="48594" xr:uid="{00000000-0005-0000-0000-000002BE0000}"/>
    <cellStyle name="输入 2 7 2 14" xfId="48595" xr:uid="{00000000-0005-0000-0000-000003BE0000}"/>
    <cellStyle name="输入 2 7 2 15" xfId="12814" xr:uid="{00000000-0005-0000-0000-00003E320000}"/>
    <cellStyle name="输入 2 7 2 16" xfId="48596" xr:uid="{00000000-0005-0000-0000-000004BE0000}"/>
    <cellStyle name="输入 2 7 2 2" xfId="32157" xr:uid="{00000000-0005-0000-0000-0000CD7D0000}"/>
    <cellStyle name="输入 2 7 2 2 2" xfId="48597" xr:uid="{00000000-0005-0000-0000-000005BE0000}"/>
    <cellStyle name="输入 2 7 2 2 2 2" xfId="48598" xr:uid="{00000000-0005-0000-0000-000006BE0000}"/>
    <cellStyle name="输入 2 7 2 2 3" xfId="48599" xr:uid="{00000000-0005-0000-0000-000007BE0000}"/>
    <cellStyle name="输入 2 7 2 2 3 2" xfId="48600" xr:uid="{00000000-0005-0000-0000-000008BE0000}"/>
    <cellStyle name="输入 2 7 2 2 4" xfId="37394" xr:uid="{00000000-0005-0000-0000-000042920000}"/>
    <cellStyle name="输入 2 7 2 2 4 2" xfId="48601" xr:uid="{00000000-0005-0000-0000-000009BE0000}"/>
    <cellStyle name="输入 2 7 2 2 5" xfId="23476" xr:uid="{00000000-0005-0000-0000-0000E45B0000}"/>
    <cellStyle name="输入 2 7 2 2 5 2" xfId="23478" xr:uid="{00000000-0005-0000-0000-0000E65B0000}"/>
    <cellStyle name="输入 2 7 2 2 6" xfId="679" xr:uid="{00000000-0005-0000-0000-0000D7020000}"/>
    <cellStyle name="输入 2 7 2 2 7" xfId="704" xr:uid="{00000000-0005-0000-0000-0000F0020000}"/>
    <cellStyle name="输入 2 7 2 2 8" xfId="9905" xr:uid="{00000000-0005-0000-0000-0000E1260000}"/>
    <cellStyle name="输入 2 7 2 2 9" xfId="9921" xr:uid="{00000000-0005-0000-0000-0000F1260000}"/>
    <cellStyle name="输入 2 7 2 3" xfId="32345" xr:uid="{00000000-0005-0000-0000-0000897E0000}"/>
    <cellStyle name="输入 2 7 2 3 2" xfId="32350" xr:uid="{00000000-0005-0000-0000-00008E7E0000}"/>
    <cellStyle name="输入 2 7 2 3 2 2" xfId="48602" xr:uid="{00000000-0005-0000-0000-00000ABE0000}"/>
    <cellStyle name="输入 2 7 2 3 3" xfId="48603" xr:uid="{00000000-0005-0000-0000-00000BBE0000}"/>
    <cellStyle name="输入 2 7 2 3 3 2" xfId="48604" xr:uid="{00000000-0005-0000-0000-00000CBE0000}"/>
    <cellStyle name="输入 2 7 2 3 4" xfId="48605" xr:uid="{00000000-0005-0000-0000-00000DBE0000}"/>
    <cellStyle name="输入 2 7 2 3 4 2" xfId="48606" xr:uid="{00000000-0005-0000-0000-00000EBE0000}"/>
    <cellStyle name="输入 2 7 2 3 5" xfId="23481" xr:uid="{00000000-0005-0000-0000-0000E95B0000}"/>
    <cellStyle name="输入 2 7 2 3 5 2" xfId="14539" xr:uid="{00000000-0005-0000-0000-0000FB380000}"/>
    <cellStyle name="输入 2 7 2 3 6" xfId="735" xr:uid="{00000000-0005-0000-0000-00000F030000}"/>
    <cellStyle name="输入 2 7 2 4" xfId="9879" xr:uid="{00000000-0005-0000-0000-0000C7260000}"/>
    <cellStyle name="输入 2 7 2 4 2" xfId="32352" xr:uid="{00000000-0005-0000-0000-0000907E0000}"/>
    <cellStyle name="输入 2 7 2 4 2 2" xfId="48607" xr:uid="{00000000-0005-0000-0000-00000FBE0000}"/>
    <cellStyle name="输入 2 7 2 4 3" xfId="48608" xr:uid="{00000000-0005-0000-0000-000010BE0000}"/>
    <cellStyle name="输入 2 7 2 4 3 2" xfId="48609" xr:uid="{00000000-0005-0000-0000-000011BE0000}"/>
    <cellStyle name="输入 2 7 2 4 4" xfId="48610" xr:uid="{00000000-0005-0000-0000-000012BE0000}"/>
    <cellStyle name="输入 2 7 2 4 4 2" xfId="48611" xr:uid="{00000000-0005-0000-0000-000013BE0000}"/>
    <cellStyle name="输入 2 7 2 4 5" xfId="23487" xr:uid="{00000000-0005-0000-0000-0000EF5B0000}"/>
    <cellStyle name="输入 2 7 2 4 5 2" xfId="23489" xr:uid="{00000000-0005-0000-0000-0000F15B0000}"/>
    <cellStyle name="输入 2 7 2 4 6" xfId="753" xr:uid="{00000000-0005-0000-0000-000021030000}"/>
    <cellStyle name="输入 2 7 2 5" xfId="20582" xr:uid="{00000000-0005-0000-0000-000096500000}"/>
    <cellStyle name="输入 2 7 2 5 2" xfId="23706" xr:uid="{00000000-0005-0000-0000-0000CA5C0000}"/>
    <cellStyle name="输入 2 7 2 5 2 2" xfId="48612" xr:uid="{00000000-0005-0000-0000-000014BE0000}"/>
    <cellStyle name="输入 2 7 2 5 3" xfId="48613" xr:uid="{00000000-0005-0000-0000-000015BE0000}"/>
    <cellStyle name="输入 2 7 2 5 3 2" xfId="48614" xr:uid="{00000000-0005-0000-0000-000016BE0000}"/>
    <cellStyle name="输入 2 7 2 5 4" xfId="48615" xr:uid="{00000000-0005-0000-0000-000017BE0000}"/>
    <cellStyle name="输入 2 7 2 5 4 2" xfId="48616" xr:uid="{00000000-0005-0000-0000-000018BE0000}"/>
    <cellStyle name="输入 2 7 2 5 5" xfId="23492" xr:uid="{00000000-0005-0000-0000-0000F45B0000}"/>
    <cellStyle name="输入 2 7 2 5 5 2" xfId="23494" xr:uid="{00000000-0005-0000-0000-0000F65B0000}"/>
    <cellStyle name="输入 2 7 2 5 6" xfId="10037" xr:uid="{00000000-0005-0000-0000-000065270000}"/>
    <cellStyle name="输入 2 7 2 6" xfId="11999" xr:uid="{00000000-0005-0000-0000-00000F2F0000}"/>
    <cellStyle name="输入 2 7 2 6 2" xfId="12003" xr:uid="{00000000-0005-0000-0000-0000132F0000}"/>
    <cellStyle name="输入 2 7 2 6 2 2" xfId="12008" xr:uid="{00000000-0005-0000-0000-0000182F0000}"/>
    <cellStyle name="输入 2 7 2 6 3" xfId="2570" xr:uid="{00000000-0005-0000-0000-00003A0A0000}"/>
    <cellStyle name="输入 2 7 2 6 3 2" xfId="12012" xr:uid="{00000000-0005-0000-0000-00001C2F0000}"/>
    <cellStyle name="输入 2 7 2 6 4" xfId="12015" xr:uid="{00000000-0005-0000-0000-00001F2F0000}"/>
    <cellStyle name="输入 2 7 2 6 4 2" xfId="12023" xr:uid="{00000000-0005-0000-0000-0000272F0000}"/>
    <cellStyle name="输入 2 7 2 6 5" xfId="12026" xr:uid="{00000000-0005-0000-0000-00002A2F0000}"/>
    <cellStyle name="输入 2 7 2 6 5 2" xfId="12034" xr:uid="{00000000-0005-0000-0000-0000322F0000}"/>
    <cellStyle name="输入 2 7 2 6 6" xfId="10098" xr:uid="{00000000-0005-0000-0000-0000A2270000}"/>
    <cellStyle name="输入 2 7 2 7" xfId="12037" xr:uid="{00000000-0005-0000-0000-0000352F0000}"/>
    <cellStyle name="输入 2 7 2 7 2" xfId="12042" xr:uid="{00000000-0005-0000-0000-00003A2F0000}"/>
    <cellStyle name="输入 2 7 2 7 2 2" xfId="12048" xr:uid="{00000000-0005-0000-0000-0000402F0000}"/>
    <cellStyle name="输入 2 7 2 7 3" xfId="12051" xr:uid="{00000000-0005-0000-0000-0000432F0000}"/>
    <cellStyle name="输入 2 7 2 7 3 2" xfId="12059" xr:uid="{00000000-0005-0000-0000-00004B2F0000}"/>
    <cellStyle name="输入 2 7 2 7 4" xfId="12062" xr:uid="{00000000-0005-0000-0000-00004E2F0000}"/>
    <cellStyle name="输入 2 7 2 7 4 2" xfId="12071" xr:uid="{00000000-0005-0000-0000-0000572F0000}"/>
    <cellStyle name="输入 2 7 2 7 5" xfId="12074" xr:uid="{00000000-0005-0000-0000-00005A2F0000}"/>
    <cellStyle name="输入 2 7 2 7 5 2" xfId="12082" xr:uid="{00000000-0005-0000-0000-0000622F0000}"/>
    <cellStyle name="输入 2 7 2 7 6" xfId="7734" xr:uid="{00000000-0005-0000-0000-0000661E0000}"/>
    <cellStyle name="输入 2 7 2 8" xfId="12085" xr:uid="{00000000-0005-0000-0000-0000652F0000}"/>
    <cellStyle name="输入 2 7 2 8 2" xfId="12090" xr:uid="{00000000-0005-0000-0000-00006A2F0000}"/>
    <cellStyle name="输入 2 7 2 8 2 2" xfId="12097" xr:uid="{00000000-0005-0000-0000-0000712F0000}"/>
    <cellStyle name="输入 2 7 2 8 3" xfId="12100" xr:uid="{00000000-0005-0000-0000-0000742F0000}"/>
    <cellStyle name="输入 2 7 2 8 3 2" xfId="12110" xr:uid="{00000000-0005-0000-0000-00007E2F0000}"/>
    <cellStyle name="输入 2 7 2 8 4" xfId="12113" xr:uid="{00000000-0005-0000-0000-0000812F0000}"/>
    <cellStyle name="输入 2 7 2 8 4 2" xfId="12119" xr:uid="{00000000-0005-0000-0000-0000872F0000}"/>
    <cellStyle name="输入 2 7 2 8 5" xfId="5" xr:uid="{00000000-0005-0000-0000-000006000000}"/>
    <cellStyle name="输入 2 7 2 9" xfId="12124" xr:uid="{00000000-0005-0000-0000-00008C2F0000}"/>
    <cellStyle name="输入 2 7 2 9 2" xfId="12129" xr:uid="{00000000-0005-0000-0000-0000912F0000}"/>
    <cellStyle name="输入 2 7 20" xfId="7037" xr:uid="{00000000-0005-0000-0000-0000AD1B0000}"/>
    <cellStyle name="输入 2 7 20 2" xfId="7047" xr:uid="{00000000-0005-0000-0000-0000B71B0000}"/>
    <cellStyle name="输入 2 7 21" xfId="7057" xr:uid="{00000000-0005-0000-0000-0000C11B0000}"/>
    <cellStyle name="输入 2 7 21 2" xfId="7066" xr:uid="{00000000-0005-0000-0000-0000CA1B0000}"/>
    <cellStyle name="输入 2 7 22" xfId="7080" xr:uid="{00000000-0005-0000-0000-0000D81B0000}"/>
    <cellStyle name="输入 2 7 22 2" xfId="12582" xr:uid="{00000000-0005-0000-0000-000056310000}"/>
    <cellStyle name="输入 2 7 23" xfId="13490" xr:uid="{00000000-0005-0000-0000-0000E2340000}"/>
    <cellStyle name="输入 2 7 23 2" xfId="12610" xr:uid="{00000000-0005-0000-0000-000072310000}"/>
    <cellStyle name="输入 2 7 24" xfId="15563" xr:uid="{00000000-0005-0000-0000-0000FB3C0000}"/>
    <cellStyle name="输入 2 7 25" xfId="1364" xr:uid="{00000000-0005-0000-0000-000084050000}"/>
    <cellStyle name="输入 2 7 26" xfId="15594" xr:uid="{00000000-0005-0000-0000-00001A3D0000}"/>
    <cellStyle name="输入 2 7 27" xfId="15602" xr:uid="{00000000-0005-0000-0000-0000223D0000}"/>
    <cellStyle name="输入 2 7 3" xfId="48617" xr:uid="{00000000-0005-0000-0000-000019BE0000}"/>
    <cellStyle name="输入 2 7 3 10" xfId="48618" xr:uid="{00000000-0005-0000-0000-00001ABE0000}"/>
    <cellStyle name="输入 2 7 3 10 2" xfId="48619" xr:uid="{00000000-0005-0000-0000-00001BBE0000}"/>
    <cellStyle name="输入 2 7 3 11" xfId="48620" xr:uid="{00000000-0005-0000-0000-00001CBE0000}"/>
    <cellStyle name="输入 2 7 3 11 2" xfId="48621" xr:uid="{00000000-0005-0000-0000-00001DBE0000}"/>
    <cellStyle name="输入 2 7 3 12" xfId="48622" xr:uid="{00000000-0005-0000-0000-00001EBE0000}"/>
    <cellStyle name="输入 2 7 3 12 2" xfId="48623" xr:uid="{00000000-0005-0000-0000-00001FBE0000}"/>
    <cellStyle name="输入 2 7 3 13" xfId="48624" xr:uid="{00000000-0005-0000-0000-000020BE0000}"/>
    <cellStyle name="输入 2 7 3 14" xfId="13309" xr:uid="{00000000-0005-0000-0000-00002D340000}"/>
    <cellStyle name="输入 2 7 3 15" xfId="48625" xr:uid="{00000000-0005-0000-0000-000021BE0000}"/>
    <cellStyle name="输入 2 7 3 16" xfId="48626" xr:uid="{00000000-0005-0000-0000-000022BE0000}"/>
    <cellStyle name="输入 2 7 3 2" xfId="48627" xr:uid="{00000000-0005-0000-0000-000023BE0000}"/>
    <cellStyle name="输入 2 7 3 2 2" xfId="48628" xr:uid="{00000000-0005-0000-0000-000024BE0000}"/>
    <cellStyle name="输入 2 7 3 2 2 2" xfId="42486" xr:uid="{00000000-0005-0000-0000-000026A60000}"/>
    <cellStyle name="输入 2 7 3 2 3" xfId="48629" xr:uid="{00000000-0005-0000-0000-000025BE0000}"/>
    <cellStyle name="输入 2 7 3 2 3 2" xfId="42553" xr:uid="{00000000-0005-0000-0000-000069A60000}"/>
    <cellStyle name="输入 2 7 3 2 4" xfId="48630" xr:uid="{00000000-0005-0000-0000-000026BE0000}"/>
    <cellStyle name="输入 2 7 3 2 4 2" xfId="42595" xr:uid="{00000000-0005-0000-0000-000093A60000}"/>
    <cellStyle name="输入 2 7 3 2 5" xfId="16088" xr:uid="{00000000-0005-0000-0000-0000083F0000}"/>
    <cellStyle name="输入 2 7 3 2 5 2" xfId="23528" xr:uid="{00000000-0005-0000-0000-0000185C0000}"/>
    <cellStyle name="输入 2 7 3 2 6" xfId="5564" xr:uid="{00000000-0005-0000-0000-0000EC150000}"/>
    <cellStyle name="输入 2 7 3 2 7" xfId="5572" xr:uid="{00000000-0005-0000-0000-0000F4150000}"/>
    <cellStyle name="输入 2 7 3 2 8" xfId="9488" xr:uid="{00000000-0005-0000-0000-000040250000}"/>
    <cellStyle name="输入 2 7 3 2 9" xfId="9507" xr:uid="{00000000-0005-0000-0000-000053250000}"/>
    <cellStyle name="输入 2 7 3 3" xfId="48632" xr:uid="{00000000-0005-0000-0000-000028BE0000}"/>
    <cellStyle name="输入 2 7 3 3 2" xfId="48633" xr:uid="{00000000-0005-0000-0000-000029BE0000}"/>
    <cellStyle name="输入 2 7 3 3 2 2" xfId="43103" xr:uid="{00000000-0005-0000-0000-00008FA80000}"/>
    <cellStyle name="输入 2 7 3 3 3" xfId="48634" xr:uid="{00000000-0005-0000-0000-00002ABE0000}"/>
    <cellStyle name="输入 2 7 3 3 3 2" xfId="43161" xr:uid="{00000000-0005-0000-0000-0000C9A80000}"/>
    <cellStyle name="输入 2 7 3 3 4" xfId="48635" xr:uid="{00000000-0005-0000-0000-00002BBE0000}"/>
    <cellStyle name="输入 2 7 3 3 4 2" xfId="43209" xr:uid="{00000000-0005-0000-0000-0000F9A80000}"/>
    <cellStyle name="输入 2 7 3 3 5" xfId="23533" xr:uid="{00000000-0005-0000-0000-00001D5C0000}"/>
    <cellStyle name="输入 2 7 3 3 5 2" xfId="23535" xr:uid="{00000000-0005-0000-0000-00001F5C0000}"/>
    <cellStyle name="输入 2 7 3 3 6" xfId="2812" xr:uid="{00000000-0005-0000-0000-00002C0B0000}"/>
    <cellStyle name="输入 2 7 3 4" xfId="48636" xr:uid="{00000000-0005-0000-0000-00002CBE0000}"/>
    <cellStyle name="输入 2 7 3 4 2" xfId="48637" xr:uid="{00000000-0005-0000-0000-00002DBE0000}"/>
    <cellStyle name="输入 2 7 3 4 2 2" xfId="48638" xr:uid="{00000000-0005-0000-0000-00002EBE0000}"/>
    <cellStyle name="输入 2 7 3 4 3" xfId="48639" xr:uid="{00000000-0005-0000-0000-00002FBE0000}"/>
    <cellStyle name="输入 2 7 3 4 3 2" xfId="48640" xr:uid="{00000000-0005-0000-0000-000030BE0000}"/>
    <cellStyle name="输入 2 7 3 4 4" xfId="48641" xr:uid="{00000000-0005-0000-0000-000031BE0000}"/>
    <cellStyle name="输入 2 7 3 4 4 2" xfId="48642" xr:uid="{00000000-0005-0000-0000-000032BE0000}"/>
    <cellStyle name="输入 2 7 3 4 5" xfId="23542" xr:uid="{00000000-0005-0000-0000-0000265C0000}"/>
    <cellStyle name="输入 2 7 3 4 5 2" xfId="1666" xr:uid="{00000000-0005-0000-0000-0000B2060000}"/>
    <cellStyle name="输入 2 7 3 4 6" xfId="5593" xr:uid="{00000000-0005-0000-0000-000009160000}"/>
    <cellStyle name="输入 2 7 3 5" xfId="48643" xr:uid="{00000000-0005-0000-0000-000033BE0000}"/>
    <cellStyle name="输入 2 7 3 5 2" xfId="48644" xr:uid="{00000000-0005-0000-0000-000034BE0000}"/>
    <cellStyle name="输入 2 7 3 5 2 2" xfId="37467" xr:uid="{00000000-0005-0000-0000-00008B920000}"/>
    <cellStyle name="输入 2 7 3 5 3" xfId="48645" xr:uid="{00000000-0005-0000-0000-000035BE0000}"/>
    <cellStyle name="输入 2 7 3 5 3 2" xfId="37520" xr:uid="{00000000-0005-0000-0000-0000C0920000}"/>
    <cellStyle name="输入 2 7 3 5 4" xfId="48646" xr:uid="{00000000-0005-0000-0000-000036BE0000}"/>
    <cellStyle name="输入 2 7 3 5 4 2" xfId="14785" xr:uid="{00000000-0005-0000-0000-0000F1390000}"/>
    <cellStyle name="输入 2 7 3 5 5" xfId="23545" xr:uid="{00000000-0005-0000-0000-0000295C0000}"/>
    <cellStyle name="输入 2 7 3 5 5 2" xfId="5246" xr:uid="{00000000-0005-0000-0000-0000AE140000}"/>
    <cellStyle name="输入 2 7 3 5 6" xfId="10338" xr:uid="{00000000-0005-0000-0000-000092280000}"/>
    <cellStyle name="输入 2 7 3 6" xfId="8407" xr:uid="{00000000-0005-0000-0000-000007210000}"/>
    <cellStyle name="输入 2 7 3 6 2" xfId="12236" xr:uid="{00000000-0005-0000-0000-0000FC2F0000}"/>
    <cellStyle name="输入 2 7 3 6 2 2" xfId="12243" xr:uid="{00000000-0005-0000-0000-000003300000}"/>
    <cellStyle name="输入 2 7 3 6 3" xfId="2658" xr:uid="{00000000-0005-0000-0000-0000920A0000}"/>
    <cellStyle name="输入 2 7 3 6 3 2" xfId="12250" xr:uid="{00000000-0005-0000-0000-00000A300000}"/>
    <cellStyle name="输入 2 7 3 6 4" xfId="12256" xr:uid="{00000000-0005-0000-0000-000010300000}"/>
    <cellStyle name="输入 2 7 3 6 4 2" xfId="12263" xr:uid="{00000000-0005-0000-0000-000017300000}"/>
    <cellStyle name="输入 2 7 3 6 5" xfId="12266" xr:uid="{00000000-0005-0000-0000-00001A300000}"/>
    <cellStyle name="输入 2 7 3 6 5 2" xfId="12273" xr:uid="{00000000-0005-0000-0000-000021300000}"/>
    <cellStyle name="输入 2 7 3 6 6" xfId="10395" xr:uid="{00000000-0005-0000-0000-0000CB280000}"/>
    <cellStyle name="输入 2 7 3 7" xfId="12275" xr:uid="{00000000-0005-0000-0000-000023300000}"/>
    <cellStyle name="输入 2 7 3 7 2" xfId="12281" xr:uid="{00000000-0005-0000-0000-000029300000}"/>
    <cellStyle name="输入 2 7 3 7 2 2" xfId="12287" xr:uid="{00000000-0005-0000-0000-00002F300000}"/>
    <cellStyle name="输入 2 7 3 7 3" xfId="10183" xr:uid="{00000000-0005-0000-0000-0000F7270000}"/>
    <cellStyle name="输入 2 7 3 7 3 2" xfId="12295" xr:uid="{00000000-0005-0000-0000-000037300000}"/>
    <cellStyle name="输入 2 7 3 7 4" xfId="12301" xr:uid="{00000000-0005-0000-0000-00003D300000}"/>
    <cellStyle name="输入 2 7 3 7 4 2" xfId="12310" xr:uid="{00000000-0005-0000-0000-000046300000}"/>
    <cellStyle name="输入 2 7 3 7 5" xfId="12314" xr:uid="{00000000-0005-0000-0000-00004A300000}"/>
    <cellStyle name="输入 2 7 3 7 5 2" xfId="12322" xr:uid="{00000000-0005-0000-0000-000052300000}"/>
    <cellStyle name="输入 2 7 3 7 6" xfId="10447" xr:uid="{00000000-0005-0000-0000-0000FF280000}"/>
    <cellStyle name="输入 2 7 3 8" xfId="12324" xr:uid="{00000000-0005-0000-0000-000054300000}"/>
    <cellStyle name="输入 2 7 3 8 2" xfId="12328" xr:uid="{00000000-0005-0000-0000-000058300000}"/>
    <cellStyle name="输入 2 7 3 8 2 2" xfId="12334" xr:uid="{00000000-0005-0000-0000-00005E300000}"/>
    <cellStyle name="输入 2 7 3 8 3" xfId="10198" xr:uid="{00000000-0005-0000-0000-000006280000}"/>
    <cellStyle name="输入 2 7 3 8 3 2" xfId="12340" xr:uid="{00000000-0005-0000-0000-000064300000}"/>
    <cellStyle name="输入 2 7 3 8 4" xfId="12343" xr:uid="{00000000-0005-0000-0000-000067300000}"/>
    <cellStyle name="输入 2 7 3 8 4 2" xfId="12349" xr:uid="{00000000-0005-0000-0000-00006D300000}"/>
    <cellStyle name="输入 2 7 3 8 5" xfId="12351" xr:uid="{00000000-0005-0000-0000-00006F300000}"/>
    <cellStyle name="输入 2 7 3 9" xfId="12362" xr:uid="{00000000-0005-0000-0000-00007A300000}"/>
    <cellStyle name="输入 2 7 3 9 2" xfId="12366" xr:uid="{00000000-0005-0000-0000-00007E300000}"/>
    <cellStyle name="输入 2 7 4" xfId="34858" xr:uid="{00000000-0005-0000-0000-00005A880000}"/>
    <cellStyle name="输入 2 7 4 10" xfId="29664" xr:uid="{00000000-0005-0000-0000-000010740000}"/>
    <cellStyle name="输入 2 7 4 10 2" xfId="7541" xr:uid="{00000000-0005-0000-0000-0000A51D0000}"/>
    <cellStyle name="输入 2 7 4 11" xfId="22770" xr:uid="{00000000-0005-0000-0000-000022590000}"/>
    <cellStyle name="输入 2 7 4 11 2" xfId="8649" xr:uid="{00000000-0005-0000-0000-0000F9210000}"/>
    <cellStyle name="输入 2 7 4 12" xfId="29667" xr:uid="{00000000-0005-0000-0000-000013740000}"/>
    <cellStyle name="输入 2 7 4 12 2" xfId="8681" xr:uid="{00000000-0005-0000-0000-000019220000}"/>
    <cellStyle name="输入 2 7 4 13" xfId="29670" xr:uid="{00000000-0005-0000-0000-000016740000}"/>
    <cellStyle name="输入 2 7 4 14" xfId="29673" xr:uid="{00000000-0005-0000-0000-000019740000}"/>
    <cellStyle name="输入 2 7 4 15" xfId="48647" xr:uid="{00000000-0005-0000-0000-000037BE0000}"/>
    <cellStyle name="输入 2 7 4 16" xfId="48648" xr:uid="{00000000-0005-0000-0000-000038BE0000}"/>
    <cellStyle name="输入 2 7 4 2" xfId="48649" xr:uid="{00000000-0005-0000-0000-000039BE0000}"/>
    <cellStyle name="输入 2 7 4 2 2" xfId="48650" xr:uid="{00000000-0005-0000-0000-00003ABE0000}"/>
    <cellStyle name="输入 2 7 4 2 2 2" xfId="321" xr:uid="{00000000-0005-0000-0000-000061010000}"/>
    <cellStyle name="输入 2 7 4 2 3" xfId="48651" xr:uid="{00000000-0005-0000-0000-00003BBE0000}"/>
    <cellStyle name="输入 2 7 4 2 3 2" xfId="48652" xr:uid="{00000000-0005-0000-0000-00003CBE0000}"/>
    <cellStyle name="输入 2 7 4 2 4" xfId="48653" xr:uid="{00000000-0005-0000-0000-00003DBE0000}"/>
    <cellStyle name="输入 2 7 4 2 4 2" xfId="48655" xr:uid="{00000000-0005-0000-0000-00003FBE0000}"/>
    <cellStyle name="输入 2 7 4 2 5" xfId="16206" xr:uid="{00000000-0005-0000-0000-00007E3F0000}"/>
    <cellStyle name="输入 2 7 4 2 5 2" xfId="23579" xr:uid="{00000000-0005-0000-0000-00004B5C0000}"/>
    <cellStyle name="输入 2 7 4 2 6" xfId="6021" xr:uid="{00000000-0005-0000-0000-0000B5170000}"/>
    <cellStyle name="输入 2 7 4 2 7" xfId="6055" xr:uid="{00000000-0005-0000-0000-0000D7170000}"/>
    <cellStyle name="输入 2 7 4 2 8" xfId="10570" xr:uid="{00000000-0005-0000-0000-00007A290000}"/>
    <cellStyle name="输入 2 7 4 2 9" xfId="10595" xr:uid="{00000000-0005-0000-0000-000093290000}"/>
    <cellStyle name="输入 2 7 4 3" xfId="48656" xr:uid="{00000000-0005-0000-0000-000040BE0000}"/>
    <cellStyle name="输入 2 7 4 3 2" xfId="48657" xr:uid="{00000000-0005-0000-0000-000041BE0000}"/>
    <cellStyle name="输入 2 7 4 3 2 2" xfId="48658" xr:uid="{00000000-0005-0000-0000-000042BE0000}"/>
    <cellStyle name="输入 2 7 4 3 3" xfId="48659" xr:uid="{00000000-0005-0000-0000-000043BE0000}"/>
    <cellStyle name="输入 2 7 4 3 3 2" xfId="48660" xr:uid="{00000000-0005-0000-0000-000044BE0000}"/>
    <cellStyle name="输入 2 7 4 3 4" xfId="48661" xr:uid="{00000000-0005-0000-0000-000045BE0000}"/>
    <cellStyle name="输入 2 7 4 3 4 2" xfId="48663" xr:uid="{00000000-0005-0000-0000-000047BE0000}"/>
    <cellStyle name="输入 2 7 4 3 5" xfId="23585" xr:uid="{00000000-0005-0000-0000-0000515C0000}"/>
    <cellStyle name="输入 2 7 4 3 5 2" xfId="23588" xr:uid="{00000000-0005-0000-0000-0000545C0000}"/>
    <cellStyle name="输入 2 7 4 3 6" xfId="3229" xr:uid="{00000000-0005-0000-0000-0000CD0C0000}"/>
    <cellStyle name="输入 2 7 4 4" xfId="48664" xr:uid="{00000000-0005-0000-0000-000048BE0000}"/>
    <cellStyle name="输入 2 7 4 4 2" xfId="48665" xr:uid="{00000000-0005-0000-0000-000049BE0000}"/>
    <cellStyle name="输入 2 7 4 4 2 2" xfId="48666" xr:uid="{00000000-0005-0000-0000-00004ABE0000}"/>
    <cellStyle name="输入 2 7 4 4 3" xfId="48667" xr:uid="{00000000-0005-0000-0000-00004BBE0000}"/>
    <cellStyle name="输入 2 7 4 4 3 2" xfId="48668" xr:uid="{00000000-0005-0000-0000-00004CBE0000}"/>
    <cellStyle name="输入 2 7 4 4 4" xfId="48669" xr:uid="{00000000-0005-0000-0000-00004DBE0000}"/>
    <cellStyle name="输入 2 7 4 4 4 2" xfId="48671" xr:uid="{00000000-0005-0000-0000-00004FBE0000}"/>
    <cellStyle name="输入 2 7 4 4 5" xfId="23600" xr:uid="{00000000-0005-0000-0000-0000605C0000}"/>
    <cellStyle name="输入 2 7 4 4 5 2" xfId="23604" xr:uid="{00000000-0005-0000-0000-0000645C0000}"/>
    <cellStyle name="输入 2 7 4 4 6" xfId="6125" xr:uid="{00000000-0005-0000-0000-00001D180000}"/>
    <cellStyle name="输入 2 7 4 5" xfId="48672" xr:uid="{00000000-0005-0000-0000-000050BE0000}"/>
    <cellStyle name="输入 2 7 4 5 2" xfId="48673" xr:uid="{00000000-0005-0000-0000-000051BE0000}"/>
    <cellStyle name="输入 2 7 4 5 2 2" xfId="48674" xr:uid="{00000000-0005-0000-0000-000052BE0000}"/>
    <cellStyle name="输入 2 7 4 5 3" xfId="48675" xr:uid="{00000000-0005-0000-0000-000053BE0000}"/>
    <cellStyle name="输入 2 7 4 5 3 2" xfId="48676" xr:uid="{00000000-0005-0000-0000-000054BE0000}"/>
    <cellStyle name="输入 2 7 4 5 4" xfId="48677" xr:uid="{00000000-0005-0000-0000-000055BE0000}"/>
    <cellStyle name="输入 2 7 4 5 4 2" xfId="22262" xr:uid="{00000000-0005-0000-0000-000026570000}"/>
    <cellStyle name="输入 2 7 4 5 5" xfId="23611" xr:uid="{00000000-0005-0000-0000-00006B5C0000}"/>
    <cellStyle name="输入 2 7 4 5 5 2" xfId="23615" xr:uid="{00000000-0005-0000-0000-00006F5C0000}"/>
    <cellStyle name="输入 2 7 4 5 6" xfId="10725" xr:uid="{00000000-0005-0000-0000-0000152A0000}"/>
    <cellStyle name="输入 2 7 4 6" xfId="8438" xr:uid="{00000000-0005-0000-0000-000026210000}"/>
    <cellStyle name="输入 2 7 4 6 2" xfId="12381" xr:uid="{00000000-0005-0000-0000-00008D300000}"/>
    <cellStyle name="输入 2 7 4 6 2 2" xfId="3535" xr:uid="{00000000-0005-0000-0000-0000FF0D0000}"/>
    <cellStyle name="输入 2 7 4 6 3" xfId="2753" xr:uid="{00000000-0005-0000-0000-0000F10A0000}"/>
    <cellStyle name="输入 2 7 4 6 3 2" xfId="40088" xr:uid="{00000000-0005-0000-0000-0000C89C0000}"/>
    <cellStyle name="输入 2 7 4 6 4" xfId="14041" xr:uid="{00000000-0005-0000-0000-000009370000}"/>
    <cellStyle name="输入 2 7 4 6 4 2" xfId="40101" xr:uid="{00000000-0005-0000-0000-0000D59C0000}"/>
    <cellStyle name="输入 2 7 4 6 5" xfId="14090" xr:uid="{00000000-0005-0000-0000-00003A370000}"/>
    <cellStyle name="输入 2 7 4 6 5 2" xfId="14104" xr:uid="{00000000-0005-0000-0000-000048370000}"/>
    <cellStyle name="输入 2 7 4 6 6" xfId="10798" xr:uid="{00000000-0005-0000-0000-00005E2A0000}"/>
    <cellStyle name="输入 2 7 4 7" xfId="10871" xr:uid="{00000000-0005-0000-0000-0000A72A0000}"/>
    <cellStyle name="输入 2 7 4 7 2" xfId="12386" xr:uid="{00000000-0005-0000-0000-000092300000}"/>
    <cellStyle name="输入 2 7 4 7 2 2" xfId="48679" xr:uid="{00000000-0005-0000-0000-000057BE0000}"/>
    <cellStyle name="输入 2 7 4 7 3" xfId="10243" xr:uid="{00000000-0005-0000-0000-000033280000}"/>
    <cellStyle name="输入 2 7 4 7 3 2" xfId="48680" xr:uid="{00000000-0005-0000-0000-000058BE0000}"/>
    <cellStyle name="输入 2 7 4 7 4" xfId="16305" xr:uid="{00000000-0005-0000-0000-0000E13F0000}"/>
    <cellStyle name="输入 2 7 4 7 4 2" xfId="48681" xr:uid="{00000000-0005-0000-0000-000059BE0000}"/>
    <cellStyle name="输入 2 7 4 7 5" xfId="23632" xr:uid="{00000000-0005-0000-0000-0000805C0000}"/>
    <cellStyle name="输入 2 7 4 7 5 2" xfId="48682" xr:uid="{00000000-0005-0000-0000-00005ABE0000}"/>
    <cellStyle name="输入 2 7 4 7 6" xfId="36499" xr:uid="{00000000-0005-0000-0000-0000C38E0000}"/>
    <cellStyle name="输入 2 7 4 8" xfId="12391" xr:uid="{00000000-0005-0000-0000-000097300000}"/>
    <cellStyle name="输入 2 7 4 8 2" xfId="12395" xr:uid="{00000000-0005-0000-0000-00009B300000}"/>
    <cellStyle name="输入 2 7 4 8 2 2" xfId="48683" xr:uid="{00000000-0005-0000-0000-00005BBE0000}"/>
    <cellStyle name="输入 2 7 4 8 3" xfId="9492" xr:uid="{00000000-0005-0000-0000-000044250000}"/>
    <cellStyle name="输入 2 7 4 8 3 2" xfId="48684" xr:uid="{00000000-0005-0000-0000-00005CBE0000}"/>
    <cellStyle name="输入 2 7 4 8 4" xfId="20747" xr:uid="{00000000-0005-0000-0000-00003B510000}"/>
    <cellStyle name="输入 2 7 4 8 4 2" xfId="48685" xr:uid="{00000000-0005-0000-0000-00005DBE0000}"/>
    <cellStyle name="输入 2 7 4 8 5" xfId="38745" xr:uid="{00000000-0005-0000-0000-000089970000}"/>
    <cellStyle name="输入 2 7 4 9" xfId="12398" xr:uid="{00000000-0005-0000-0000-00009E300000}"/>
    <cellStyle name="输入 2 7 4 9 2" xfId="48686" xr:uid="{00000000-0005-0000-0000-00005EBE0000}"/>
    <cellStyle name="输入 2 7 5" xfId="48687" xr:uid="{00000000-0005-0000-0000-00005FBE0000}"/>
    <cellStyle name="输入 2 7 5 10" xfId="29753" xr:uid="{00000000-0005-0000-0000-000069740000}"/>
    <cellStyle name="输入 2 7 5 10 2" xfId="29757" xr:uid="{00000000-0005-0000-0000-00006D740000}"/>
    <cellStyle name="输入 2 7 5 11" xfId="29760" xr:uid="{00000000-0005-0000-0000-000070740000}"/>
    <cellStyle name="输入 2 7 5 11 2" xfId="29763" xr:uid="{00000000-0005-0000-0000-000073740000}"/>
    <cellStyle name="输入 2 7 5 12" xfId="29766" xr:uid="{00000000-0005-0000-0000-000076740000}"/>
    <cellStyle name="输入 2 7 5 12 2" xfId="29771" xr:uid="{00000000-0005-0000-0000-00007B740000}"/>
    <cellStyle name="输入 2 7 5 13" xfId="29775" xr:uid="{00000000-0005-0000-0000-00007F740000}"/>
    <cellStyle name="输入 2 7 5 14" xfId="13668" xr:uid="{00000000-0005-0000-0000-000094350000}"/>
    <cellStyle name="输入 2 7 5 15" xfId="38523" xr:uid="{00000000-0005-0000-0000-0000AB960000}"/>
    <cellStyle name="输入 2 7 5 16" xfId="48688" xr:uid="{00000000-0005-0000-0000-000060BE0000}"/>
    <cellStyle name="输入 2 7 5 2" xfId="15454" xr:uid="{00000000-0005-0000-0000-00008E3C0000}"/>
    <cellStyle name="输入 2 7 5 2 2" xfId="15463" xr:uid="{00000000-0005-0000-0000-0000973C0000}"/>
    <cellStyle name="输入 2 7 5 2 2 2" xfId="48689" xr:uid="{00000000-0005-0000-0000-000061BE0000}"/>
    <cellStyle name="输入 2 7 5 2 3" xfId="48690" xr:uid="{00000000-0005-0000-0000-000062BE0000}"/>
    <cellStyle name="输入 2 7 5 2 3 2" xfId="48691" xr:uid="{00000000-0005-0000-0000-000063BE0000}"/>
    <cellStyle name="输入 2 7 5 2 4" xfId="48692" xr:uid="{00000000-0005-0000-0000-000064BE0000}"/>
    <cellStyle name="输入 2 7 5 2 4 2" xfId="48694" xr:uid="{00000000-0005-0000-0000-000066BE0000}"/>
    <cellStyle name="输入 2 7 5 2 5" xfId="48695" xr:uid="{00000000-0005-0000-0000-000067BE0000}"/>
    <cellStyle name="输入 2 7 5 2 5 2" xfId="48697" xr:uid="{00000000-0005-0000-0000-000069BE0000}"/>
    <cellStyle name="输入 2 7 5 2 6" xfId="6367" xr:uid="{00000000-0005-0000-0000-00000F190000}"/>
    <cellStyle name="输入 2 7 5 2 7" xfId="2353" xr:uid="{00000000-0005-0000-0000-000061090000}"/>
    <cellStyle name="输入 2 7 5 2 8" xfId="2361" xr:uid="{00000000-0005-0000-0000-000069090000}"/>
    <cellStyle name="输入 2 7 5 2 9" xfId="2381" xr:uid="{00000000-0005-0000-0000-00007D090000}"/>
    <cellStyle name="输入 2 7 5 3" xfId="15467" xr:uid="{00000000-0005-0000-0000-00009B3C0000}"/>
    <cellStyle name="输入 2 7 5 3 2" xfId="48698" xr:uid="{00000000-0005-0000-0000-00006ABE0000}"/>
    <cellStyle name="输入 2 7 5 3 2 2" xfId="48699" xr:uid="{00000000-0005-0000-0000-00006BBE0000}"/>
    <cellStyle name="输入 2 7 5 3 3" xfId="48700" xr:uid="{00000000-0005-0000-0000-00006CBE0000}"/>
    <cellStyle name="输入 2 7 5 3 3 2" xfId="48701" xr:uid="{00000000-0005-0000-0000-00006DBE0000}"/>
    <cellStyle name="输入 2 7 5 3 4" xfId="48702" xr:uid="{00000000-0005-0000-0000-00006EBE0000}"/>
    <cellStyle name="输入 2 7 5 3 4 2" xfId="48704" xr:uid="{00000000-0005-0000-0000-000070BE0000}"/>
    <cellStyle name="输入 2 7 5 3 5" xfId="48705" xr:uid="{00000000-0005-0000-0000-000071BE0000}"/>
    <cellStyle name="输入 2 7 5 3 5 2" xfId="48707" xr:uid="{00000000-0005-0000-0000-000073BE0000}"/>
    <cellStyle name="输入 2 7 5 3 6" xfId="6373" xr:uid="{00000000-0005-0000-0000-000015190000}"/>
    <cellStyle name="输入 2 7 5 4" xfId="13765" xr:uid="{00000000-0005-0000-0000-0000F5350000}"/>
    <cellStyle name="输入 2 7 5 4 2" xfId="48708" xr:uid="{00000000-0005-0000-0000-000074BE0000}"/>
    <cellStyle name="输入 2 7 5 4 2 2" xfId="48709" xr:uid="{00000000-0005-0000-0000-000075BE0000}"/>
    <cellStyle name="输入 2 7 5 4 3" xfId="16384" xr:uid="{00000000-0005-0000-0000-000030400000}"/>
    <cellStyle name="输入 2 7 5 4 3 2" xfId="48710" xr:uid="{00000000-0005-0000-0000-000076BE0000}"/>
    <cellStyle name="输入 2 7 5 4 4" xfId="48711" xr:uid="{00000000-0005-0000-0000-000077BE0000}"/>
    <cellStyle name="输入 2 7 5 4 4 2" xfId="48713" xr:uid="{00000000-0005-0000-0000-000079BE0000}"/>
    <cellStyle name="输入 2 7 5 4 5" xfId="48714" xr:uid="{00000000-0005-0000-0000-00007ABE0000}"/>
    <cellStyle name="输入 2 7 5 4 5 2" xfId="48716" xr:uid="{00000000-0005-0000-0000-00007CBE0000}"/>
    <cellStyle name="输入 2 7 5 4 6" xfId="6443" xr:uid="{00000000-0005-0000-0000-00005B190000}"/>
    <cellStyle name="输入 2 7 5 5" xfId="11812" xr:uid="{00000000-0005-0000-0000-0000542E0000}"/>
    <cellStyle name="输入 2 7 5 5 2" xfId="48719" xr:uid="{00000000-0005-0000-0000-00007FBE0000}"/>
    <cellStyle name="输入 2 7 5 5 2 2" xfId="48720" xr:uid="{00000000-0005-0000-0000-000080BE0000}"/>
    <cellStyle name="输入 2 7 5 5 3" xfId="16407" xr:uid="{00000000-0005-0000-0000-000047400000}"/>
    <cellStyle name="输入 2 7 5 5 3 2" xfId="48721" xr:uid="{00000000-0005-0000-0000-000081BE0000}"/>
    <cellStyle name="输入 2 7 5 5 4" xfId="48722" xr:uid="{00000000-0005-0000-0000-000082BE0000}"/>
    <cellStyle name="输入 2 7 5 5 4 2" xfId="48724" xr:uid="{00000000-0005-0000-0000-000084BE0000}"/>
    <cellStyle name="输入 2 7 5 5 5" xfId="48725" xr:uid="{00000000-0005-0000-0000-000085BE0000}"/>
    <cellStyle name="输入 2 7 5 5 5 2" xfId="48726" xr:uid="{00000000-0005-0000-0000-000086BE0000}"/>
    <cellStyle name="输入 2 7 5 5 6" xfId="48727" xr:uid="{00000000-0005-0000-0000-000087BE0000}"/>
    <cellStyle name="输入 2 7 5 6" xfId="8456" xr:uid="{00000000-0005-0000-0000-000038210000}"/>
    <cellStyle name="输入 2 7 5 6 2" xfId="48728" xr:uid="{00000000-0005-0000-0000-000088BE0000}"/>
    <cellStyle name="输入 2 7 5 6 2 2" xfId="42082" xr:uid="{00000000-0005-0000-0000-000092A40000}"/>
    <cellStyle name="输入 2 7 5 6 3" xfId="5298" xr:uid="{00000000-0005-0000-0000-0000E2140000}"/>
    <cellStyle name="输入 2 7 5 6 3 2" xfId="42095" xr:uid="{00000000-0005-0000-0000-00009FA40000}"/>
    <cellStyle name="输入 2 7 5 6 4" xfId="16445" xr:uid="{00000000-0005-0000-0000-00006D400000}"/>
    <cellStyle name="输入 2 7 5 6 4 2" xfId="42105" xr:uid="{00000000-0005-0000-0000-0000A9A40000}"/>
    <cellStyle name="输入 2 7 5 6 5" xfId="48729" xr:uid="{00000000-0005-0000-0000-000089BE0000}"/>
    <cellStyle name="输入 2 7 5 6 5 2" xfId="42121" xr:uid="{00000000-0005-0000-0000-0000B9A40000}"/>
    <cellStyle name="输入 2 7 5 6 6" xfId="48730" xr:uid="{00000000-0005-0000-0000-00008ABE0000}"/>
    <cellStyle name="输入 2 7 5 7" xfId="48731" xr:uid="{00000000-0005-0000-0000-00008BBE0000}"/>
    <cellStyle name="输入 2 7 5 7 2" xfId="48733" xr:uid="{00000000-0005-0000-0000-00008DBE0000}"/>
    <cellStyle name="输入 2 7 5 7 2 2" xfId="48734" xr:uid="{00000000-0005-0000-0000-00008EBE0000}"/>
    <cellStyle name="输入 2 7 5 7 3" xfId="10254" xr:uid="{00000000-0005-0000-0000-00003E280000}"/>
    <cellStyle name="输入 2 7 5 7 3 2" xfId="48735" xr:uid="{00000000-0005-0000-0000-00008FBE0000}"/>
    <cellStyle name="输入 2 7 5 7 4" xfId="16461" xr:uid="{00000000-0005-0000-0000-00007D400000}"/>
    <cellStyle name="输入 2 7 5 7 4 2" xfId="48736" xr:uid="{00000000-0005-0000-0000-000090BE0000}"/>
    <cellStyle name="输入 2 7 5 7 5" xfId="48737" xr:uid="{00000000-0005-0000-0000-000091BE0000}"/>
    <cellStyle name="输入 2 7 5 7 5 2" xfId="48738" xr:uid="{00000000-0005-0000-0000-000092BE0000}"/>
    <cellStyle name="输入 2 7 5 7 6" xfId="48739" xr:uid="{00000000-0005-0000-0000-000093BE0000}"/>
    <cellStyle name="输入 2 7 5 8" xfId="48740" xr:uid="{00000000-0005-0000-0000-000094BE0000}"/>
    <cellStyle name="输入 2 7 5 8 2" xfId="48741" xr:uid="{00000000-0005-0000-0000-000095BE0000}"/>
    <cellStyle name="输入 2 7 5 8 2 2" xfId="48742" xr:uid="{00000000-0005-0000-0000-000096BE0000}"/>
    <cellStyle name="输入 2 7 5 8 3" xfId="10264" xr:uid="{00000000-0005-0000-0000-000048280000}"/>
    <cellStyle name="输入 2 7 5 8 3 2" xfId="48743" xr:uid="{00000000-0005-0000-0000-000097BE0000}"/>
    <cellStyle name="输入 2 7 5 8 4" xfId="20759" xr:uid="{00000000-0005-0000-0000-000047510000}"/>
    <cellStyle name="输入 2 7 5 8 4 2" xfId="48744" xr:uid="{00000000-0005-0000-0000-000098BE0000}"/>
    <cellStyle name="输入 2 7 5 8 5" xfId="48745" xr:uid="{00000000-0005-0000-0000-000099BE0000}"/>
    <cellStyle name="输入 2 7 5 9" xfId="38227" xr:uid="{00000000-0005-0000-0000-000083950000}"/>
    <cellStyle name="输入 2 7 5 9 2" xfId="48746" xr:uid="{00000000-0005-0000-0000-00009ABE0000}"/>
    <cellStyle name="输入 2 7 6" xfId="48747" xr:uid="{00000000-0005-0000-0000-00009BBE0000}"/>
    <cellStyle name="输入 2 7 6 10" xfId="48473" xr:uid="{00000000-0005-0000-0000-000089BD0000}"/>
    <cellStyle name="输入 2 7 6 10 2" xfId="48475" xr:uid="{00000000-0005-0000-0000-00008BBD0000}"/>
    <cellStyle name="输入 2 7 6 11" xfId="38540" xr:uid="{00000000-0005-0000-0000-0000BC960000}"/>
    <cellStyle name="输入 2 7 6 11 2" xfId="3305" xr:uid="{00000000-0005-0000-0000-0000190D0000}"/>
    <cellStyle name="输入 2 7 6 12" xfId="38542" xr:uid="{00000000-0005-0000-0000-0000BE960000}"/>
    <cellStyle name="输入 2 7 6 12 2" xfId="9262" xr:uid="{00000000-0005-0000-0000-00005E240000}"/>
    <cellStyle name="输入 2 7 6 13" xfId="35370" xr:uid="{00000000-0005-0000-0000-00005A8A0000}"/>
    <cellStyle name="输入 2 7 6 14" xfId="2312" xr:uid="{00000000-0005-0000-0000-000038090000}"/>
    <cellStyle name="输入 2 7 6 15" xfId="47414" xr:uid="{00000000-0005-0000-0000-000066B90000}"/>
    <cellStyle name="输入 2 7 6 16" xfId="48748" xr:uid="{00000000-0005-0000-0000-00009CBE0000}"/>
    <cellStyle name="输入 2 7 6 2" xfId="48749" xr:uid="{00000000-0005-0000-0000-00009DBE0000}"/>
    <cellStyle name="输入 2 7 6 2 2" xfId="48750" xr:uid="{00000000-0005-0000-0000-00009EBE0000}"/>
    <cellStyle name="输入 2 7 6 2 2 2" xfId="16504" xr:uid="{00000000-0005-0000-0000-0000A8400000}"/>
    <cellStyle name="输入 2 7 6 2 3" xfId="48751" xr:uid="{00000000-0005-0000-0000-00009FBE0000}"/>
    <cellStyle name="输入 2 7 6 2 3 2" xfId="16508" xr:uid="{00000000-0005-0000-0000-0000AC400000}"/>
    <cellStyle name="输入 2 7 6 2 4" xfId="48752" xr:uid="{00000000-0005-0000-0000-0000A0BE0000}"/>
    <cellStyle name="输入 2 7 6 2 4 2" xfId="24711" xr:uid="{00000000-0005-0000-0000-0000B7600000}"/>
    <cellStyle name="输入 2 7 6 2 5" xfId="35751" xr:uid="{00000000-0005-0000-0000-0000D78B0000}"/>
    <cellStyle name="输入 2 7 6 2 5 2" xfId="24729" xr:uid="{00000000-0005-0000-0000-0000C9600000}"/>
    <cellStyle name="输入 2 7 6 2 6" xfId="6733" xr:uid="{00000000-0005-0000-0000-00007D1A0000}"/>
    <cellStyle name="输入 2 7 6 2 7" xfId="6748" xr:uid="{00000000-0005-0000-0000-00008C1A0000}"/>
    <cellStyle name="输入 2 7 6 2 8" xfId="6382" xr:uid="{00000000-0005-0000-0000-00001E190000}"/>
    <cellStyle name="输入 2 7 6 2 9" xfId="6773" xr:uid="{00000000-0005-0000-0000-0000A51A0000}"/>
    <cellStyle name="输入 2 7 6 3" xfId="48754" xr:uid="{00000000-0005-0000-0000-0000A2BE0000}"/>
    <cellStyle name="输入 2 7 6 3 2" xfId="48755" xr:uid="{00000000-0005-0000-0000-0000A3BE0000}"/>
    <cellStyle name="输入 2 7 6 3 2 2" xfId="16538" xr:uid="{00000000-0005-0000-0000-0000CA400000}"/>
    <cellStyle name="输入 2 7 6 3 3" xfId="48756" xr:uid="{00000000-0005-0000-0000-0000A4BE0000}"/>
    <cellStyle name="输入 2 7 6 3 3 2" xfId="16542" xr:uid="{00000000-0005-0000-0000-0000CE400000}"/>
    <cellStyle name="输入 2 7 6 3 4" xfId="48757" xr:uid="{00000000-0005-0000-0000-0000A5BE0000}"/>
    <cellStyle name="输入 2 7 6 3 4 2" xfId="25660" xr:uid="{00000000-0005-0000-0000-00006C640000}"/>
    <cellStyle name="输入 2 7 6 3 5" xfId="35755" xr:uid="{00000000-0005-0000-0000-0000DB8B0000}"/>
    <cellStyle name="输入 2 7 6 3 5 2" xfId="25721" xr:uid="{00000000-0005-0000-0000-0000A9640000}"/>
    <cellStyle name="输入 2 7 6 3 6" xfId="6792" xr:uid="{00000000-0005-0000-0000-0000B81A0000}"/>
    <cellStyle name="输入 2 7 6 4" xfId="48759" xr:uid="{00000000-0005-0000-0000-0000A7BE0000}"/>
    <cellStyle name="输入 2 7 6 4 2" xfId="48760" xr:uid="{00000000-0005-0000-0000-0000A8BE0000}"/>
    <cellStyle name="输入 2 7 6 4 2 2" xfId="16568" xr:uid="{00000000-0005-0000-0000-0000E8400000}"/>
    <cellStyle name="输入 2 7 6 4 3" xfId="16572" xr:uid="{00000000-0005-0000-0000-0000EC400000}"/>
    <cellStyle name="输入 2 7 6 4 3 2" xfId="16578" xr:uid="{00000000-0005-0000-0000-0000F2400000}"/>
    <cellStyle name="输入 2 7 6 4 4" xfId="48761" xr:uid="{00000000-0005-0000-0000-0000A9BE0000}"/>
    <cellStyle name="输入 2 7 6 4 4 2" xfId="26713" xr:uid="{00000000-0005-0000-0000-000089680000}"/>
    <cellStyle name="输入 2 7 6 4 5" xfId="35758" xr:uid="{00000000-0005-0000-0000-0000DE8B0000}"/>
    <cellStyle name="输入 2 7 6 4 5 2" xfId="26860" xr:uid="{00000000-0005-0000-0000-00001C690000}"/>
    <cellStyle name="输入 2 7 6 4 6" xfId="6845" xr:uid="{00000000-0005-0000-0000-0000ED1A0000}"/>
    <cellStyle name="输入 2 7 6 5" xfId="48763" xr:uid="{00000000-0005-0000-0000-0000ABBE0000}"/>
    <cellStyle name="输入 2 7 6 5 2" xfId="48764" xr:uid="{00000000-0005-0000-0000-0000ACBE0000}"/>
    <cellStyle name="输入 2 7 6 5 2 2" xfId="915" xr:uid="{00000000-0005-0000-0000-0000C3030000}"/>
    <cellStyle name="输入 2 7 6 5 3" xfId="1670" xr:uid="{00000000-0005-0000-0000-0000B6060000}"/>
    <cellStyle name="输入 2 7 6 5 3 2" xfId="1322" xr:uid="{00000000-0005-0000-0000-00005A050000}"/>
    <cellStyle name="输入 2 7 6 5 4" xfId="48765" xr:uid="{00000000-0005-0000-0000-0000ADBE0000}"/>
    <cellStyle name="输入 2 7 6 5 4 2" xfId="27458" xr:uid="{00000000-0005-0000-0000-0000726B0000}"/>
    <cellStyle name="输入 2 7 6 5 5" xfId="48767" xr:uid="{00000000-0005-0000-0000-0000AFBE0000}"/>
    <cellStyle name="输入 2 7 6 5 5 2" xfId="27471" xr:uid="{00000000-0005-0000-0000-00007F6B0000}"/>
    <cellStyle name="输入 2 7 6 5 6" xfId="48768" xr:uid="{00000000-0005-0000-0000-0000B0BE0000}"/>
    <cellStyle name="输入 2 7 6 6" xfId="26074" xr:uid="{00000000-0005-0000-0000-00000A660000}"/>
    <cellStyle name="输入 2 7 6 6 2" xfId="48443" xr:uid="{00000000-0005-0000-0000-00006BBD0000}"/>
    <cellStyle name="输入 2 7 6 6 2 2" xfId="15897" xr:uid="{00000000-0005-0000-0000-0000493E0000}"/>
    <cellStyle name="输入 2 7 6 6 3" xfId="10288" xr:uid="{00000000-0005-0000-0000-000060280000}"/>
    <cellStyle name="输入 2 7 6 6 3 2" xfId="4072" xr:uid="{00000000-0005-0000-0000-000018100000}"/>
    <cellStyle name="输入 2 7 6 6 4" xfId="16603" xr:uid="{00000000-0005-0000-0000-00000B410000}"/>
    <cellStyle name="输入 2 7 6 6 4 2" xfId="27547" xr:uid="{00000000-0005-0000-0000-0000CB6B0000}"/>
    <cellStyle name="输入 2 7 6 6 5" xfId="48769" xr:uid="{00000000-0005-0000-0000-0000B1BE0000}"/>
    <cellStyle name="输入 2 7 6 6 5 2" xfId="27556" xr:uid="{00000000-0005-0000-0000-0000D46B0000}"/>
    <cellStyle name="输入 2 7 6 6 6" xfId="48770" xr:uid="{00000000-0005-0000-0000-0000B2BE0000}"/>
    <cellStyle name="输入 2 7 6 7" xfId="48445" xr:uid="{00000000-0005-0000-0000-00006DBD0000}"/>
    <cellStyle name="输入 2 7 6 7 2" xfId="48447" xr:uid="{00000000-0005-0000-0000-00006FBD0000}"/>
    <cellStyle name="输入 2 7 6 7 2 2" xfId="16617" xr:uid="{00000000-0005-0000-0000-000019410000}"/>
    <cellStyle name="输入 2 7 6 7 3" xfId="10298" xr:uid="{00000000-0005-0000-0000-00006A280000}"/>
    <cellStyle name="输入 2 7 6 7 3 2" xfId="4459" xr:uid="{00000000-0005-0000-0000-00009B110000}"/>
    <cellStyle name="输入 2 7 6 7 4" xfId="16620" xr:uid="{00000000-0005-0000-0000-00001C410000}"/>
    <cellStyle name="输入 2 7 6 7 4 2" xfId="27628" xr:uid="{00000000-0005-0000-0000-00001C6C0000}"/>
    <cellStyle name="输入 2 7 6 7 5" xfId="48771" xr:uid="{00000000-0005-0000-0000-0000B3BE0000}"/>
    <cellStyle name="输入 2 7 6 7 5 2" xfId="27642" xr:uid="{00000000-0005-0000-0000-00002A6C0000}"/>
    <cellStyle name="输入 2 7 6 7 6" xfId="48772" xr:uid="{00000000-0005-0000-0000-0000B4BE0000}"/>
    <cellStyle name="输入 2 7 6 8" xfId="48449" xr:uid="{00000000-0005-0000-0000-000071BD0000}"/>
    <cellStyle name="输入 2 7 6 8 2" xfId="48451" xr:uid="{00000000-0005-0000-0000-000073BD0000}"/>
    <cellStyle name="输入 2 7 6 8 2 2" xfId="16633" xr:uid="{00000000-0005-0000-0000-000029410000}"/>
    <cellStyle name="输入 2 7 6 8 3" xfId="10314" xr:uid="{00000000-0005-0000-0000-00007A280000}"/>
    <cellStyle name="输入 2 7 6 8 3 2" xfId="27750" xr:uid="{00000000-0005-0000-0000-0000966C0000}"/>
    <cellStyle name="输入 2 7 6 8 4" xfId="20773" xr:uid="{00000000-0005-0000-0000-000055510000}"/>
    <cellStyle name="输入 2 7 6 8 4 2" xfId="27764" xr:uid="{00000000-0005-0000-0000-0000A46C0000}"/>
    <cellStyle name="输入 2 7 6 8 5" xfId="48773" xr:uid="{00000000-0005-0000-0000-0000B5BE0000}"/>
    <cellStyle name="输入 2 7 6 9" xfId="38230" xr:uid="{00000000-0005-0000-0000-000086950000}"/>
    <cellStyle name="输入 2 7 6 9 2" xfId="48774" xr:uid="{00000000-0005-0000-0000-0000B6BE0000}"/>
    <cellStyle name="输入 2 7 7" xfId="48775" xr:uid="{00000000-0005-0000-0000-0000B7BE0000}"/>
    <cellStyle name="输入 2 7 7 10" xfId="48505" xr:uid="{00000000-0005-0000-0000-0000A9BD0000}"/>
    <cellStyle name="输入 2 7 7 10 2" xfId="48776" xr:uid="{00000000-0005-0000-0000-0000B8BE0000}"/>
    <cellStyle name="输入 2 7 7 11" xfId="48777" xr:uid="{00000000-0005-0000-0000-0000B9BE0000}"/>
    <cellStyle name="输入 2 7 7 11 2" xfId="48778" xr:uid="{00000000-0005-0000-0000-0000BABE0000}"/>
    <cellStyle name="输入 2 7 7 12" xfId="48779" xr:uid="{00000000-0005-0000-0000-0000BBBE0000}"/>
    <cellStyle name="输入 2 7 7 12 2" xfId="48780" xr:uid="{00000000-0005-0000-0000-0000BCBE0000}"/>
    <cellStyle name="输入 2 7 7 13" xfId="48781" xr:uid="{00000000-0005-0000-0000-0000BDBE0000}"/>
    <cellStyle name="输入 2 7 7 14" xfId="48782" xr:uid="{00000000-0005-0000-0000-0000BEBE0000}"/>
    <cellStyle name="输入 2 7 7 15" xfId="5260" xr:uid="{00000000-0005-0000-0000-0000BC140000}"/>
    <cellStyle name="输入 2 7 7 16" xfId="48783" xr:uid="{00000000-0005-0000-0000-0000BFBE0000}"/>
    <cellStyle name="输入 2 7 7 2" xfId="48784" xr:uid="{00000000-0005-0000-0000-0000C0BE0000}"/>
    <cellStyle name="输入 2 7 7 2 2" xfId="48785" xr:uid="{00000000-0005-0000-0000-0000C1BE0000}"/>
    <cellStyle name="输入 2 7 7 2 2 2" xfId="16663" xr:uid="{00000000-0005-0000-0000-000047410000}"/>
    <cellStyle name="输入 2 7 7 2 3" xfId="48786" xr:uid="{00000000-0005-0000-0000-0000C2BE0000}"/>
    <cellStyle name="输入 2 7 7 2 3 2" xfId="16666" xr:uid="{00000000-0005-0000-0000-00004A410000}"/>
    <cellStyle name="输入 2 7 7 2 4" xfId="48787" xr:uid="{00000000-0005-0000-0000-0000C3BE0000}"/>
    <cellStyle name="输入 2 7 7 2 4 2" xfId="28243" xr:uid="{00000000-0005-0000-0000-0000836E0000}"/>
    <cellStyle name="输入 2 7 7 2 5" xfId="35765" xr:uid="{00000000-0005-0000-0000-0000E58B0000}"/>
    <cellStyle name="输入 2 7 7 2 5 2" xfId="23786" xr:uid="{00000000-0005-0000-0000-00001A5D0000}"/>
    <cellStyle name="输入 2 7 7 2 6" xfId="6941" xr:uid="{00000000-0005-0000-0000-00004D1B0000}"/>
    <cellStyle name="输入 2 7 7 2 7" xfId="38867" xr:uid="{00000000-0005-0000-0000-000003980000}"/>
    <cellStyle name="输入 2 7 7 2 8" xfId="35417" xr:uid="{00000000-0005-0000-0000-0000898A0000}"/>
    <cellStyle name="输入 2 7 7 2 9" xfId="38869" xr:uid="{00000000-0005-0000-0000-000005980000}"/>
    <cellStyle name="输入 2 7 7 3" xfId="19967" xr:uid="{00000000-0005-0000-0000-00002F4E0000}"/>
    <cellStyle name="输入 2 7 7 3 2" xfId="32414" xr:uid="{00000000-0005-0000-0000-0000CE7E0000}"/>
    <cellStyle name="输入 2 7 7 3 2 2" xfId="12416" xr:uid="{00000000-0005-0000-0000-0000B0300000}"/>
    <cellStyle name="输入 2 7 7 3 3" xfId="48789" xr:uid="{00000000-0005-0000-0000-0000C5BE0000}"/>
    <cellStyle name="输入 2 7 7 3 3 2" xfId="12429" xr:uid="{00000000-0005-0000-0000-0000BD300000}"/>
    <cellStyle name="输入 2 7 7 3 4" xfId="48790" xr:uid="{00000000-0005-0000-0000-0000C6BE0000}"/>
    <cellStyle name="输入 2 7 7 3 4 2" xfId="28308" xr:uid="{00000000-0005-0000-0000-0000C46E0000}"/>
    <cellStyle name="输入 2 7 7 3 5" xfId="35770" xr:uid="{00000000-0005-0000-0000-0000EA8B0000}"/>
    <cellStyle name="输入 2 7 7 3 5 2" xfId="23950" xr:uid="{00000000-0005-0000-0000-0000BE5D0000}"/>
    <cellStyle name="输入 2 7 7 3 6" xfId="38873" xr:uid="{00000000-0005-0000-0000-000009980000}"/>
    <cellStyle name="输入 2 7 7 4" xfId="32418" xr:uid="{00000000-0005-0000-0000-0000D27E0000}"/>
    <cellStyle name="输入 2 7 7 4 2" xfId="32422" xr:uid="{00000000-0005-0000-0000-0000D67E0000}"/>
    <cellStyle name="输入 2 7 7 4 2 2" xfId="14775" xr:uid="{00000000-0005-0000-0000-0000E7390000}"/>
    <cellStyle name="输入 2 7 7 4 3" xfId="14782" xr:uid="{00000000-0005-0000-0000-0000EE390000}"/>
    <cellStyle name="输入 2 7 7 4 3 2" xfId="14790" xr:uid="{00000000-0005-0000-0000-0000F6390000}"/>
    <cellStyle name="输入 2 7 7 4 4" xfId="48792" xr:uid="{00000000-0005-0000-0000-0000C8BE0000}"/>
    <cellStyle name="输入 2 7 7 4 4 2" xfId="28390" xr:uid="{00000000-0005-0000-0000-0000166F0000}"/>
    <cellStyle name="输入 2 7 7 4 5" xfId="35773" xr:uid="{00000000-0005-0000-0000-0000ED8B0000}"/>
    <cellStyle name="输入 2 7 7 4 5 2" xfId="24047" xr:uid="{00000000-0005-0000-0000-00001F5E0000}"/>
    <cellStyle name="输入 2 7 7 4 6" xfId="38876" xr:uid="{00000000-0005-0000-0000-00000C980000}"/>
    <cellStyle name="输入 2 7 7 5" xfId="32426" xr:uid="{00000000-0005-0000-0000-0000DA7E0000}"/>
    <cellStyle name="输入 2 7 7 5 2" xfId="32428" xr:uid="{00000000-0005-0000-0000-0000DC7E0000}"/>
    <cellStyle name="输入 2 7 7 5 2 2" xfId="5235" xr:uid="{00000000-0005-0000-0000-0000A3140000}"/>
    <cellStyle name="输入 2 7 7 5 3" xfId="5250" xr:uid="{00000000-0005-0000-0000-0000B2140000}"/>
    <cellStyle name="输入 2 7 7 5 3 2" xfId="5632" xr:uid="{00000000-0005-0000-0000-000030160000}"/>
    <cellStyle name="输入 2 7 7 5 4" xfId="48794" xr:uid="{00000000-0005-0000-0000-0000CABE0000}"/>
    <cellStyle name="输入 2 7 7 5 4 2" xfId="28139" xr:uid="{00000000-0005-0000-0000-00001B6E0000}"/>
    <cellStyle name="输入 2 7 7 5 5" xfId="48796" xr:uid="{00000000-0005-0000-0000-0000CCBE0000}"/>
    <cellStyle name="输入 2 7 7 5 5 2" xfId="24230" xr:uid="{00000000-0005-0000-0000-0000D65E0000}"/>
    <cellStyle name="输入 2 7 7 5 6" xfId="48797" xr:uid="{00000000-0005-0000-0000-0000CDBE0000}"/>
    <cellStyle name="输入 2 7 7 6" xfId="26080" xr:uid="{00000000-0005-0000-0000-000010660000}"/>
    <cellStyle name="输入 2 7 7 6 2" xfId="48798" xr:uid="{00000000-0005-0000-0000-0000CEBE0000}"/>
    <cellStyle name="输入 2 7 7 6 2 2" xfId="16702" xr:uid="{00000000-0005-0000-0000-00006E410000}"/>
    <cellStyle name="输入 2 7 7 6 3" xfId="10344" xr:uid="{00000000-0005-0000-0000-000098280000}"/>
    <cellStyle name="输入 2 7 7 6 3 2" xfId="5710" xr:uid="{00000000-0005-0000-0000-00007E160000}"/>
    <cellStyle name="输入 2 7 7 6 4" xfId="16706" xr:uid="{00000000-0005-0000-0000-000072410000}"/>
    <cellStyle name="输入 2 7 7 6 4 2" xfId="28549" xr:uid="{00000000-0005-0000-0000-0000B56F0000}"/>
    <cellStyle name="输入 2 7 7 6 5" xfId="48799" xr:uid="{00000000-0005-0000-0000-0000CFBE0000}"/>
    <cellStyle name="输入 2 7 7 6 5 2" xfId="24368" xr:uid="{00000000-0005-0000-0000-0000605F0000}"/>
    <cellStyle name="输入 2 7 7 6 6" xfId="48800" xr:uid="{00000000-0005-0000-0000-0000D0BE0000}"/>
    <cellStyle name="输入 2 7 7 7" xfId="32432" xr:uid="{00000000-0005-0000-0000-0000E07E0000}"/>
    <cellStyle name="输入 2 7 7 7 2" xfId="48801" xr:uid="{00000000-0005-0000-0000-0000D1BE0000}"/>
    <cellStyle name="输入 2 7 7 7 2 2" xfId="16721" xr:uid="{00000000-0005-0000-0000-000081410000}"/>
    <cellStyle name="输入 2 7 7 7 3" xfId="10357" xr:uid="{00000000-0005-0000-0000-0000A5280000}"/>
    <cellStyle name="输入 2 7 7 7 3 2" xfId="5794" xr:uid="{00000000-0005-0000-0000-0000D2160000}"/>
    <cellStyle name="输入 2 7 7 7 4" xfId="16725" xr:uid="{00000000-0005-0000-0000-000085410000}"/>
    <cellStyle name="输入 2 7 7 7 4 2" xfId="28599" xr:uid="{00000000-0005-0000-0000-0000E76F0000}"/>
    <cellStyle name="输入 2 7 7 7 5" xfId="48802" xr:uid="{00000000-0005-0000-0000-0000D2BE0000}"/>
    <cellStyle name="输入 2 7 7 7 5 2" xfId="24510" xr:uid="{00000000-0005-0000-0000-0000EE5F0000}"/>
    <cellStyle name="输入 2 7 7 7 6" xfId="48803" xr:uid="{00000000-0005-0000-0000-0000D3BE0000}"/>
    <cellStyle name="输入 2 7 7 8" xfId="32434" xr:uid="{00000000-0005-0000-0000-0000E27E0000}"/>
    <cellStyle name="输入 2 7 7 8 2" xfId="48804" xr:uid="{00000000-0005-0000-0000-0000D4BE0000}"/>
    <cellStyle name="输入 2 7 7 8 2 2" xfId="12548" xr:uid="{00000000-0005-0000-0000-000034310000}"/>
    <cellStyle name="输入 2 7 7 8 3" xfId="10375" xr:uid="{00000000-0005-0000-0000-0000B7280000}"/>
    <cellStyle name="输入 2 7 7 8 3 2" xfId="5906" xr:uid="{00000000-0005-0000-0000-000042170000}"/>
    <cellStyle name="输入 2 7 7 8 4" xfId="12552" xr:uid="{00000000-0005-0000-0000-000038310000}"/>
    <cellStyle name="输入 2 7 7 8 4 2" xfId="28651" xr:uid="{00000000-0005-0000-0000-00001B700000}"/>
    <cellStyle name="输入 2 7 7 8 5" xfId="48805" xr:uid="{00000000-0005-0000-0000-0000D5BE0000}"/>
    <cellStyle name="输入 2 7 7 9" xfId="32436" xr:uid="{00000000-0005-0000-0000-0000E47E0000}"/>
    <cellStyle name="输入 2 7 7 9 2" xfId="48806" xr:uid="{00000000-0005-0000-0000-0000D6BE0000}"/>
    <cellStyle name="输入 2 7 8" xfId="47895" xr:uid="{00000000-0005-0000-0000-000047BB0000}"/>
    <cellStyle name="输入 2 7 8 10" xfId="48807" xr:uid="{00000000-0005-0000-0000-0000D7BE0000}"/>
    <cellStyle name="输入 2 7 8 10 2" xfId="48808" xr:uid="{00000000-0005-0000-0000-0000D8BE0000}"/>
    <cellStyle name="输入 2 7 8 11" xfId="48809" xr:uid="{00000000-0005-0000-0000-0000D9BE0000}"/>
    <cellStyle name="输入 2 7 8 11 2" xfId="48810" xr:uid="{00000000-0005-0000-0000-0000DABE0000}"/>
    <cellStyle name="输入 2 7 8 12" xfId="39800" xr:uid="{00000000-0005-0000-0000-0000A89B0000}"/>
    <cellStyle name="输入 2 7 8 12 2" xfId="48811" xr:uid="{00000000-0005-0000-0000-0000DBBE0000}"/>
    <cellStyle name="输入 2 7 8 13" xfId="48812" xr:uid="{00000000-0005-0000-0000-0000DCBE0000}"/>
    <cellStyle name="输入 2 7 8 14" xfId="46902" xr:uid="{00000000-0005-0000-0000-000066B70000}"/>
    <cellStyle name="输入 2 7 8 15" xfId="48813" xr:uid="{00000000-0005-0000-0000-0000DDBE0000}"/>
    <cellStyle name="输入 2 7 8 16" xfId="48814" xr:uid="{00000000-0005-0000-0000-0000DEBE0000}"/>
    <cellStyle name="输入 2 7 8 2" xfId="48815" xr:uid="{00000000-0005-0000-0000-0000DFBE0000}"/>
    <cellStyle name="输入 2 7 8 2 2" xfId="48816" xr:uid="{00000000-0005-0000-0000-0000E0BE0000}"/>
    <cellStyle name="输入 2 7 8 2 2 2" xfId="16763" xr:uid="{00000000-0005-0000-0000-0000AB410000}"/>
    <cellStyle name="输入 2 7 8 2 3" xfId="48817" xr:uid="{00000000-0005-0000-0000-0000E1BE0000}"/>
    <cellStyle name="输入 2 7 8 2 3 2" xfId="16767" xr:uid="{00000000-0005-0000-0000-0000AF410000}"/>
    <cellStyle name="输入 2 7 8 2 4" xfId="48818" xr:uid="{00000000-0005-0000-0000-0000E2BE0000}"/>
    <cellStyle name="输入 2 7 8 2 4 2" xfId="28466" xr:uid="{00000000-0005-0000-0000-0000626F0000}"/>
    <cellStyle name="输入 2 7 8 2 5" xfId="35779" xr:uid="{00000000-0005-0000-0000-0000F38B0000}"/>
    <cellStyle name="输入 2 7 8 2 5 2" xfId="24906" xr:uid="{00000000-0005-0000-0000-00007A610000}"/>
    <cellStyle name="输入 2 7 8 2 6" xfId="7005" xr:uid="{00000000-0005-0000-0000-00008D1B0000}"/>
    <cellStyle name="输入 2 7 8 2 7" xfId="38912" xr:uid="{00000000-0005-0000-0000-000030980000}"/>
    <cellStyle name="输入 2 7 8 2 8" xfId="35435" xr:uid="{00000000-0005-0000-0000-00009B8A0000}"/>
    <cellStyle name="输入 2 7 8 2 9" xfId="38914" xr:uid="{00000000-0005-0000-0000-000032980000}"/>
    <cellStyle name="输入 2 7 8 3" xfId="48820" xr:uid="{00000000-0005-0000-0000-0000E4BE0000}"/>
    <cellStyle name="输入 2 7 8 3 2" xfId="48821" xr:uid="{00000000-0005-0000-0000-0000E5BE0000}"/>
    <cellStyle name="输入 2 7 8 3 2 2" xfId="16787" xr:uid="{00000000-0005-0000-0000-0000C3410000}"/>
    <cellStyle name="输入 2 7 8 3 3" xfId="48822" xr:uid="{00000000-0005-0000-0000-0000E6BE0000}"/>
    <cellStyle name="输入 2 7 8 3 3 2" xfId="16791" xr:uid="{00000000-0005-0000-0000-0000C7410000}"/>
    <cellStyle name="输入 2 7 8 3 4" xfId="48823" xr:uid="{00000000-0005-0000-0000-0000E7BE0000}"/>
    <cellStyle name="输入 2 7 8 3 4 2" xfId="29132" xr:uid="{00000000-0005-0000-0000-0000FC710000}"/>
    <cellStyle name="输入 2 7 8 3 5" xfId="35782" xr:uid="{00000000-0005-0000-0000-0000F68B0000}"/>
    <cellStyle name="输入 2 7 8 3 5 2" xfId="25197" xr:uid="{00000000-0005-0000-0000-00009D620000}"/>
    <cellStyle name="输入 2 7 8 3 6" xfId="38918" xr:uid="{00000000-0005-0000-0000-000036980000}"/>
    <cellStyle name="输入 2 7 8 4" xfId="39568" xr:uid="{00000000-0005-0000-0000-0000C09A0000}"/>
    <cellStyle name="输入 2 7 8 4 2" xfId="48825" xr:uid="{00000000-0005-0000-0000-0000E9BE0000}"/>
    <cellStyle name="输入 2 7 8 4 2 2" xfId="16810" xr:uid="{00000000-0005-0000-0000-0000DA410000}"/>
    <cellStyle name="输入 2 7 8 4 3" xfId="12261" xr:uid="{00000000-0005-0000-0000-000015300000}"/>
    <cellStyle name="输入 2 7 8 4 3 2" xfId="16815" xr:uid="{00000000-0005-0000-0000-0000DF410000}"/>
    <cellStyle name="输入 2 7 8 4 4" xfId="48826" xr:uid="{00000000-0005-0000-0000-0000EABE0000}"/>
    <cellStyle name="输入 2 7 8 4 4 2" xfId="29178" xr:uid="{00000000-0005-0000-0000-00002A720000}"/>
    <cellStyle name="输入 2 7 8 4 5" xfId="35785" xr:uid="{00000000-0005-0000-0000-0000F98B0000}"/>
    <cellStyle name="输入 2 7 8 4 5 2" xfId="25326" xr:uid="{00000000-0005-0000-0000-00001E630000}"/>
    <cellStyle name="输入 2 7 8 4 6" xfId="38921" xr:uid="{00000000-0005-0000-0000-000039980000}"/>
    <cellStyle name="输入 2 7 8 5" xfId="48828" xr:uid="{00000000-0005-0000-0000-0000ECBE0000}"/>
    <cellStyle name="输入 2 7 8 5 2" xfId="48829" xr:uid="{00000000-0005-0000-0000-0000EDBE0000}"/>
    <cellStyle name="输入 2 7 8 5 2 2" xfId="16835" xr:uid="{00000000-0005-0000-0000-0000F3410000}"/>
    <cellStyle name="输入 2 7 8 5 3" xfId="12270" xr:uid="{00000000-0005-0000-0000-00001E300000}"/>
    <cellStyle name="输入 2 7 8 5 3 2" xfId="5602" xr:uid="{00000000-0005-0000-0000-000012160000}"/>
    <cellStyle name="输入 2 7 8 5 4" xfId="48830" xr:uid="{00000000-0005-0000-0000-0000EEBE0000}"/>
    <cellStyle name="输入 2 7 8 5 4 2" xfId="29219" xr:uid="{00000000-0005-0000-0000-000053720000}"/>
    <cellStyle name="输入 2 7 8 5 5" xfId="48832" xr:uid="{00000000-0005-0000-0000-0000F0BE0000}"/>
    <cellStyle name="输入 2 7 8 5 5 2" xfId="25407" xr:uid="{00000000-0005-0000-0000-00006F630000}"/>
    <cellStyle name="输入 2 7 8 5 6" xfId="48833" xr:uid="{00000000-0005-0000-0000-0000F1BE0000}"/>
    <cellStyle name="输入 2 7 8 6" xfId="30115" xr:uid="{00000000-0005-0000-0000-0000D3750000}"/>
    <cellStyle name="输入 2 7 8 6 2" xfId="48834" xr:uid="{00000000-0005-0000-0000-0000F2BE0000}"/>
    <cellStyle name="输入 2 7 8 6 2 2" xfId="16850" xr:uid="{00000000-0005-0000-0000-000002420000}"/>
    <cellStyle name="输入 2 7 8 6 3" xfId="10400" xr:uid="{00000000-0005-0000-0000-0000D0280000}"/>
    <cellStyle name="输入 2 7 8 6 3 2" xfId="9865" xr:uid="{00000000-0005-0000-0000-0000B9260000}"/>
    <cellStyle name="输入 2 7 8 6 4" xfId="12503" xr:uid="{00000000-0005-0000-0000-000007310000}"/>
    <cellStyle name="输入 2 7 8 6 4 2" xfId="29235" xr:uid="{00000000-0005-0000-0000-000063720000}"/>
    <cellStyle name="输入 2 7 8 6 5" xfId="48835" xr:uid="{00000000-0005-0000-0000-0000F3BE0000}"/>
    <cellStyle name="输入 2 7 8 6 5 2" xfId="25470" xr:uid="{00000000-0005-0000-0000-0000AE630000}"/>
    <cellStyle name="输入 2 7 8 6 6" xfId="48836" xr:uid="{00000000-0005-0000-0000-0000F4BE0000}"/>
    <cellStyle name="输入 2 7 8 7" xfId="48837" xr:uid="{00000000-0005-0000-0000-0000F5BE0000}"/>
    <cellStyle name="输入 2 7 8 7 2" xfId="48838" xr:uid="{00000000-0005-0000-0000-0000F6BE0000}"/>
    <cellStyle name="输入 2 7 8 7 2 2" xfId="16861" xr:uid="{00000000-0005-0000-0000-00000D420000}"/>
    <cellStyle name="输入 2 7 8 7 3" xfId="10411" xr:uid="{00000000-0005-0000-0000-0000DB280000}"/>
    <cellStyle name="输入 2 7 8 7 3 2" xfId="10191" xr:uid="{00000000-0005-0000-0000-0000FF270000}"/>
    <cellStyle name="输入 2 7 8 7 4" xfId="12516" xr:uid="{00000000-0005-0000-0000-000014310000}"/>
    <cellStyle name="输入 2 7 8 7 4 2" xfId="29197" xr:uid="{00000000-0005-0000-0000-00003D720000}"/>
    <cellStyle name="输入 2 7 8 7 5" xfId="48839" xr:uid="{00000000-0005-0000-0000-0000F7BE0000}"/>
    <cellStyle name="输入 2 7 8 7 5 2" xfId="25527" xr:uid="{00000000-0005-0000-0000-0000E7630000}"/>
    <cellStyle name="输入 2 7 8 7 6" xfId="48840" xr:uid="{00000000-0005-0000-0000-0000F8BE0000}"/>
    <cellStyle name="输入 2 7 8 8" xfId="48841" xr:uid="{00000000-0005-0000-0000-0000F9BE0000}"/>
    <cellStyle name="输入 2 7 8 8 2" xfId="48842" xr:uid="{00000000-0005-0000-0000-0000FABE0000}"/>
    <cellStyle name="输入 2 7 8 8 2 2" xfId="16875" xr:uid="{00000000-0005-0000-0000-00001B420000}"/>
    <cellStyle name="输入 2 7 8 8 3" xfId="10433" xr:uid="{00000000-0005-0000-0000-0000F1280000}"/>
    <cellStyle name="输入 2 7 8 8 3 2" xfId="29288" xr:uid="{00000000-0005-0000-0000-000098720000}"/>
    <cellStyle name="输入 2 7 8 8 4" xfId="20798" xr:uid="{00000000-0005-0000-0000-00006E510000}"/>
    <cellStyle name="输入 2 7 8 8 4 2" xfId="29298" xr:uid="{00000000-0005-0000-0000-0000A2720000}"/>
    <cellStyle name="输入 2 7 8 8 5" xfId="48843" xr:uid="{00000000-0005-0000-0000-0000FBBE0000}"/>
    <cellStyle name="输入 2 7 8 9" xfId="48844" xr:uid="{00000000-0005-0000-0000-0000FCBE0000}"/>
    <cellStyle name="输入 2 7 8 9 2" xfId="48845" xr:uid="{00000000-0005-0000-0000-0000FDBE0000}"/>
    <cellStyle name="输入 2 7 9" xfId="48846" xr:uid="{00000000-0005-0000-0000-0000FEBE0000}"/>
    <cellStyle name="输入 2 7 9 10" xfId="29826" xr:uid="{00000000-0005-0000-0000-0000B2740000}"/>
    <cellStyle name="输入 2 7 9 10 2" xfId="6456" xr:uid="{00000000-0005-0000-0000-000068190000}"/>
    <cellStyle name="输入 2 7 9 11" xfId="22816" xr:uid="{00000000-0005-0000-0000-000050590000}"/>
    <cellStyle name="输入 2 7 9 11 2" xfId="95" xr:uid="{00000000-0005-0000-0000-000066000000}"/>
    <cellStyle name="输入 2 7 9 12" xfId="29830" xr:uid="{00000000-0005-0000-0000-0000B6740000}"/>
    <cellStyle name="输入 2 7 9 12 2" xfId="2296" xr:uid="{00000000-0005-0000-0000-000028090000}"/>
    <cellStyle name="输入 2 7 9 13" xfId="29833" xr:uid="{00000000-0005-0000-0000-0000B9740000}"/>
    <cellStyle name="输入 2 7 9 14" xfId="29836" xr:uid="{00000000-0005-0000-0000-0000BC740000}"/>
    <cellStyle name="输入 2 7 9 15" xfId="48847" xr:uid="{00000000-0005-0000-0000-0000FFBE0000}"/>
    <cellStyle name="输入 2 7 9 16" xfId="42465" xr:uid="{00000000-0005-0000-0000-000011A60000}"/>
    <cellStyle name="输入 2 7 9 2" xfId="48848" xr:uid="{00000000-0005-0000-0000-000000BF0000}"/>
    <cellStyle name="输入 2 7 9 2 2" xfId="48849" xr:uid="{00000000-0005-0000-0000-000001BF0000}"/>
    <cellStyle name="输入 2 7 9 2 2 2" xfId="29812" xr:uid="{00000000-0005-0000-0000-0000A4740000}"/>
    <cellStyle name="输入 2 7 9 2 3" xfId="48850" xr:uid="{00000000-0005-0000-0000-000002BF0000}"/>
    <cellStyle name="输入 2 7 9 2 3 2" xfId="29828" xr:uid="{00000000-0005-0000-0000-0000B4740000}"/>
    <cellStyle name="输入 2 7 9 2 4" xfId="48851" xr:uid="{00000000-0005-0000-0000-000003BF0000}"/>
    <cellStyle name="输入 2 7 9 2 4 2" xfId="29845" xr:uid="{00000000-0005-0000-0000-0000C5740000}"/>
    <cellStyle name="输入 2 7 9 2 5" xfId="35795" xr:uid="{00000000-0005-0000-0000-0000038C0000}"/>
    <cellStyle name="输入 2 7 9 2 5 2" xfId="25805" xr:uid="{00000000-0005-0000-0000-0000FD640000}"/>
    <cellStyle name="输入 2 7 9 2 6" xfId="7064" xr:uid="{00000000-0005-0000-0000-0000C81B0000}"/>
    <cellStyle name="输入 2 7 9 2 7" xfId="38953" xr:uid="{00000000-0005-0000-0000-000059980000}"/>
    <cellStyle name="输入 2 7 9 2 8" xfId="35451" xr:uid="{00000000-0005-0000-0000-0000AB8A0000}"/>
    <cellStyle name="输入 2 7 9 2 9" xfId="38955" xr:uid="{00000000-0005-0000-0000-00005B980000}"/>
    <cellStyle name="输入 2 7 9 3" xfId="48853" xr:uid="{00000000-0005-0000-0000-000005BF0000}"/>
    <cellStyle name="输入 2 7 9 3 2" xfId="48854" xr:uid="{00000000-0005-0000-0000-000006BF0000}"/>
    <cellStyle name="输入 2 7 9 3 2 2" xfId="29900" xr:uid="{00000000-0005-0000-0000-0000FC740000}"/>
    <cellStyle name="输入 2 7 9 3 3" xfId="48855" xr:uid="{00000000-0005-0000-0000-000007BF0000}"/>
    <cellStyle name="输入 2 7 9 3 3 2" xfId="29927" xr:uid="{00000000-0005-0000-0000-000017750000}"/>
    <cellStyle name="输入 2 7 9 3 4" xfId="48856" xr:uid="{00000000-0005-0000-0000-000008BF0000}"/>
    <cellStyle name="输入 2 7 9 3 4 2" xfId="29948" xr:uid="{00000000-0005-0000-0000-00002C750000}"/>
    <cellStyle name="输入 2 7 9 3 5" xfId="35799" xr:uid="{00000000-0005-0000-0000-0000078C0000}"/>
    <cellStyle name="输入 2 7 9 3 5 2" xfId="25951" xr:uid="{00000000-0005-0000-0000-00008F650000}"/>
    <cellStyle name="输入 2 7 9 3 6" xfId="38959" xr:uid="{00000000-0005-0000-0000-00005F980000}"/>
    <cellStyle name="输入 2 7 9 4" xfId="39571" xr:uid="{00000000-0005-0000-0000-0000C39A0000}"/>
    <cellStyle name="输入 2 7 9 4 2" xfId="48858" xr:uid="{00000000-0005-0000-0000-00000ABF0000}"/>
    <cellStyle name="输入 2 7 9 4 2 2" xfId="30036" xr:uid="{00000000-0005-0000-0000-000084750000}"/>
    <cellStyle name="输入 2 7 9 4 3" xfId="12306" xr:uid="{00000000-0005-0000-0000-000042300000}"/>
    <cellStyle name="输入 2 7 9 4 3 2" xfId="30069" xr:uid="{00000000-0005-0000-0000-0000A5750000}"/>
    <cellStyle name="输入 2 7 9 4 4" xfId="48859" xr:uid="{00000000-0005-0000-0000-00000BBF0000}"/>
    <cellStyle name="输入 2 7 9 4 4 2" xfId="30097" xr:uid="{00000000-0005-0000-0000-0000C1750000}"/>
    <cellStyle name="输入 2 7 9 4 5" xfId="48861" xr:uid="{00000000-0005-0000-0000-00000DBF0000}"/>
    <cellStyle name="输入 2 7 9 4 5 2" xfId="26083" xr:uid="{00000000-0005-0000-0000-000013660000}"/>
    <cellStyle name="输入 2 7 9 4 6" xfId="38963" xr:uid="{00000000-0005-0000-0000-000063980000}"/>
    <cellStyle name="输入 2 7 9 5" xfId="48862" xr:uid="{00000000-0005-0000-0000-00000EBF0000}"/>
    <cellStyle name="输入 2 7 9 5 2" xfId="48863" xr:uid="{00000000-0005-0000-0000-00000FBF0000}"/>
    <cellStyle name="输入 2 7 9 5 2 2" xfId="30178" xr:uid="{00000000-0005-0000-0000-000012760000}"/>
    <cellStyle name="输入 2 7 9 5 3" xfId="12318" xr:uid="{00000000-0005-0000-0000-00004E300000}"/>
    <cellStyle name="输入 2 7 9 5 3 2" xfId="16978" xr:uid="{00000000-0005-0000-0000-000082420000}"/>
    <cellStyle name="输入 2 7 9 5 4" xfId="48864" xr:uid="{00000000-0005-0000-0000-000010BF0000}"/>
    <cellStyle name="输入 2 7 9 5 4 2" xfId="30197" xr:uid="{00000000-0005-0000-0000-000025760000}"/>
    <cellStyle name="输入 2 7 9 5 5" xfId="48866" xr:uid="{00000000-0005-0000-0000-000012BF0000}"/>
    <cellStyle name="输入 2 7 9 5 5 2" xfId="26218" xr:uid="{00000000-0005-0000-0000-00009A660000}"/>
    <cellStyle name="输入 2 7 9 5 6" xfId="40514" xr:uid="{00000000-0005-0000-0000-0000729E0000}"/>
    <cellStyle name="输入 2 7 9 6" xfId="30118" xr:uid="{00000000-0005-0000-0000-0000D6750000}"/>
    <cellStyle name="输入 2 7 9 6 2" xfId="39857" xr:uid="{00000000-0005-0000-0000-0000E19B0000}"/>
    <cellStyle name="输入 2 7 9 6 2 2" xfId="30233" xr:uid="{00000000-0005-0000-0000-000049760000}"/>
    <cellStyle name="输入 2 7 9 6 3" xfId="1096" xr:uid="{00000000-0005-0000-0000-000078040000}"/>
    <cellStyle name="输入 2 7 9 6 3 2" xfId="30248" xr:uid="{00000000-0005-0000-0000-000058760000}"/>
    <cellStyle name="输入 2 7 9 6 4" xfId="48867" xr:uid="{00000000-0005-0000-0000-000013BF0000}"/>
    <cellStyle name="输入 2 7 9 6 4 2" xfId="30258" xr:uid="{00000000-0005-0000-0000-000062760000}"/>
    <cellStyle name="输入 2 7 9 6 5" xfId="48868" xr:uid="{00000000-0005-0000-0000-000014BF0000}"/>
    <cellStyle name="输入 2 7 9 6 5 2" xfId="206" xr:uid="{00000000-0005-0000-0000-0000E0000000}"/>
    <cellStyle name="输入 2 7 9 6 6" xfId="40516" xr:uid="{00000000-0005-0000-0000-0000749E0000}"/>
    <cellStyle name="输入 2 7 9 7" xfId="40171" xr:uid="{00000000-0005-0000-0000-00001B9D0000}"/>
    <cellStyle name="输入 2 7 9 7 2" xfId="39870" xr:uid="{00000000-0005-0000-0000-0000EE9B0000}"/>
    <cellStyle name="输入 2 7 9 7 2 2" xfId="30301" xr:uid="{00000000-0005-0000-0000-00008D760000}"/>
    <cellStyle name="输入 2 7 9 7 3" xfId="1118" xr:uid="{00000000-0005-0000-0000-00008E040000}"/>
    <cellStyle name="输入 2 7 9 7 3 2" xfId="30319" xr:uid="{00000000-0005-0000-0000-00009F760000}"/>
    <cellStyle name="输入 2 7 9 7 4" xfId="48869" xr:uid="{00000000-0005-0000-0000-000015BF0000}"/>
    <cellStyle name="输入 2 7 9 7 4 2" xfId="30330" xr:uid="{00000000-0005-0000-0000-0000AA760000}"/>
    <cellStyle name="输入 2 7 9 7 5" xfId="48870" xr:uid="{00000000-0005-0000-0000-000016BF0000}"/>
    <cellStyle name="输入 2 7 9 7 5 2" xfId="26406" xr:uid="{00000000-0005-0000-0000-000056670000}"/>
    <cellStyle name="输入 2 7 9 7 6" xfId="40519" xr:uid="{00000000-0005-0000-0000-0000779E0000}"/>
    <cellStyle name="输入 2 7 9 8" xfId="40173" xr:uid="{00000000-0005-0000-0000-00001D9D0000}"/>
    <cellStyle name="输入 2 7 9 8 2" xfId="37857" xr:uid="{00000000-0005-0000-0000-000011940000}"/>
    <cellStyle name="输入 2 7 9 8 2 2" xfId="30392" xr:uid="{00000000-0005-0000-0000-0000E8760000}"/>
    <cellStyle name="输入 2 7 9 8 3" xfId="48871" xr:uid="{00000000-0005-0000-0000-000017BF0000}"/>
    <cellStyle name="输入 2 7 9 8 3 2" xfId="30425" xr:uid="{00000000-0005-0000-0000-000009770000}"/>
    <cellStyle name="输入 2 7 9 8 4" xfId="48872" xr:uid="{00000000-0005-0000-0000-000018BF0000}"/>
    <cellStyle name="输入 2 7 9 8 4 2" xfId="30450" xr:uid="{00000000-0005-0000-0000-000022770000}"/>
    <cellStyle name="输入 2 7 9 8 5" xfId="48873" xr:uid="{00000000-0005-0000-0000-000019BF0000}"/>
    <cellStyle name="输入 2 7 9 9" xfId="40175" xr:uid="{00000000-0005-0000-0000-00001F9D0000}"/>
    <cellStyle name="输入 2 7 9 9 2" xfId="37873" xr:uid="{00000000-0005-0000-0000-000021940000}"/>
    <cellStyle name="输入 2 8" xfId="48874" xr:uid="{00000000-0005-0000-0000-00001ABF0000}"/>
    <cellStyle name="输入 2 8 10" xfId="48875" xr:uid="{00000000-0005-0000-0000-00001BBF0000}"/>
    <cellStyle name="输入 2 8 10 10" xfId="39308" xr:uid="{00000000-0005-0000-0000-0000BC990000}"/>
    <cellStyle name="输入 2 8 10 10 2" xfId="39310" xr:uid="{00000000-0005-0000-0000-0000BE990000}"/>
    <cellStyle name="输入 2 8 10 11" xfId="39312" xr:uid="{00000000-0005-0000-0000-0000C0990000}"/>
    <cellStyle name="输入 2 8 10 11 2" xfId="48877" xr:uid="{00000000-0005-0000-0000-00001DBF0000}"/>
    <cellStyle name="输入 2 8 10 12" xfId="48878" xr:uid="{00000000-0005-0000-0000-00001EBF0000}"/>
    <cellStyle name="输入 2 8 10 12 2" xfId="48880" xr:uid="{00000000-0005-0000-0000-000020BF0000}"/>
    <cellStyle name="输入 2 8 10 13" xfId="48881" xr:uid="{00000000-0005-0000-0000-000021BF0000}"/>
    <cellStyle name="输入 2 8 10 14" xfId="46532" xr:uid="{00000000-0005-0000-0000-0000F4B50000}"/>
    <cellStyle name="输入 2 8 10 15" xfId="48882" xr:uid="{00000000-0005-0000-0000-000022BF0000}"/>
    <cellStyle name="输入 2 8 10 16" xfId="48883" xr:uid="{00000000-0005-0000-0000-000023BF0000}"/>
    <cellStyle name="输入 2 8 10 2" xfId="39257" xr:uid="{00000000-0005-0000-0000-000089990000}"/>
    <cellStyle name="输入 2 8 10 2 2" xfId="48884" xr:uid="{00000000-0005-0000-0000-000024BF0000}"/>
    <cellStyle name="输入 2 8 10 2 2 2" xfId="34422" xr:uid="{00000000-0005-0000-0000-0000A6860000}"/>
    <cellStyle name="输入 2 8 10 2 3" xfId="40772" xr:uid="{00000000-0005-0000-0000-0000749F0000}"/>
    <cellStyle name="输入 2 8 10 2 3 2" xfId="34430" xr:uid="{00000000-0005-0000-0000-0000AE860000}"/>
    <cellStyle name="输入 2 8 10 2 4" xfId="27903" xr:uid="{00000000-0005-0000-0000-00002F6D0000}"/>
    <cellStyle name="输入 2 8 10 2 4 2" xfId="27905" xr:uid="{00000000-0005-0000-0000-0000316D0000}"/>
    <cellStyle name="输入 2 8 10 2 5" xfId="144" xr:uid="{00000000-0005-0000-0000-00009C000000}"/>
    <cellStyle name="输入 2 8 10 2 5 2" xfId="27908" xr:uid="{00000000-0005-0000-0000-0000346D0000}"/>
    <cellStyle name="输入 2 8 10 2 6" xfId="2246" xr:uid="{00000000-0005-0000-0000-0000F6080000}"/>
    <cellStyle name="输入 2 8 10 2 7" xfId="27911" xr:uid="{00000000-0005-0000-0000-0000376D0000}"/>
    <cellStyle name="输入 2 8 10 2 8" xfId="27914" xr:uid="{00000000-0005-0000-0000-00003A6D0000}"/>
    <cellStyle name="输入 2 8 10 2 9" xfId="30435" xr:uid="{00000000-0005-0000-0000-000013770000}"/>
    <cellStyle name="输入 2 8 10 3" xfId="48887" xr:uid="{00000000-0005-0000-0000-000027BF0000}"/>
    <cellStyle name="输入 2 8 10 3 2" xfId="48889" xr:uid="{00000000-0005-0000-0000-000029BF0000}"/>
    <cellStyle name="输入 2 8 10 3 2 2" xfId="34485" xr:uid="{00000000-0005-0000-0000-0000E5860000}"/>
    <cellStyle name="输入 2 8 10 3 3" xfId="40775" xr:uid="{00000000-0005-0000-0000-0000779F0000}"/>
    <cellStyle name="输入 2 8 10 3 3 2" xfId="34496" xr:uid="{00000000-0005-0000-0000-0000F0860000}"/>
    <cellStyle name="输入 2 8 10 3 4" xfId="27917" xr:uid="{00000000-0005-0000-0000-00003D6D0000}"/>
    <cellStyle name="输入 2 8 10 3 4 2" xfId="27919" xr:uid="{00000000-0005-0000-0000-00003F6D0000}"/>
    <cellStyle name="输入 2 8 10 3 5" xfId="27922" xr:uid="{00000000-0005-0000-0000-0000426D0000}"/>
    <cellStyle name="输入 2 8 10 3 5 2" xfId="27924" xr:uid="{00000000-0005-0000-0000-0000446D0000}"/>
    <cellStyle name="输入 2 8 10 3 6" xfId="5062" xr:uid="{00000000-0005-0000-0000-0000F6130000}"/>
    <cellStyle name="输入 2 8 10 4" xfId="48891" xr:uid="{00000000-0005-0000-0000-00002BBF0000}"/>
    <cellStyle name="输入 2 8 10 4 2" xfId="48893" xr:uid="{00000000-0005-0000-0000-00002DBF0000}"/>
    <cellStyle name="输入 2 8 10 4 2 2" xfId="34579" xr:uid="{00000000-0005-0000-0000-000043870000}"/>
    <cellStyle name="输入 2 8 10 4 3" xfId="40778" xr:uid="{00000000-0005-0000-0000-00007A9F0000}"/>
    <cellStyle name="输入 2 8 10 4 3 2" xfId="34604" xr:uid="{00000000-0005-0000-0000-00005C870000}"/>
    <cellStyle name="输入 2 8 10 4 4" xfId="27928" xr:uid="{00000000-0005-0000-0000-0000486D0000}"/>
    <cellStyle name="输入 2 8 10 4 4 2" xfId="27931" xr:uid="{00000000-0005-0000-0000-00004B6D0000}"/>
    <cellStyle name="输入 2 8 10 4 5" xfId="27934" xr:uid="{00000000-0005-0000-0000-00004E6D0000}"/>
    <cellStyle name="输入 2 8 10 4 5 2" xfId="27937" xr:uid="{00000000-0005-0000-0000-0000516D0000}"/>
    <cellStyle name="输入 2 8 10 4 6" xfId="5068" xr:uid="{00000000-0005-0000-0000-0000FC130000}"/>
    <cellStyle name="输入 2 8 10 5" xfId="46197" xr:uid="{00000000-0005-0000-0000-0000A5B40000}"/>
    <cellStyle name="输入 2 8 10 5 2" xfId="48895" xr:uid="{00000000-0005-0000-0000-00002FBF0000}"/>
    <cellStyle name="输入 2 8 10 5 2 2" xfId="34691" xr:uid="{00000000-0005-0000-0000-0000B3870000}"/>
    <cellStyle name="输入 2 8 10 5 3" xfId="48896" xr:uid="{00000000-0005-0000-0000-000030BF0000}"/>
    <cellStyle name="输入 2 8 10 5 3 2" xfId="34705" xr:uid="{00000000-0005-0000-0000-0000C1870000}"/>
    <cellStyle name="输入 2 8 10 5 4" xfId="998" xr:uid="{00000000-0005-0000-0000-000016040000}"/>
    <cellStyle name="输入 2 8 10 5 4 2" xfId="27942" xr:uid="{00000000-0005-0000-0000-0000566D0000}"/>
    <cellStyle name="输入 2 8 10 5 5" xfId="27945" xr:uid="{00000000-0005-0000-0000-0000596D0000}"/>
    <cellStyle name="输入 2 8 10 5 5 2" xfId="27947" xr:uid="{00000000-0005-0000-0000-00005B6D0000}"/>
    <cellStyle name="输入 2 8 10 5 6" xfId="5075" xr:uid="{00000000-0005-0000-0000-000003140000}"/>
    <cellStyle name="输入 2 8 10 6" xfId="41953" xr:uid="{00000000-0005-0000-0000-000011A40000}"/>
    <cellStyle name="输入 2 8 10 6 2" xfId="41956" xr:uid="{00000000-0005-0000-0000-000014A40000}"/>
    <cellStyle name="输入 2 8 10 6 2 2" xfId="15953" xr:uid="{00000000-0005-0000-0000-0000813E0000}"/>
    <cellStyle name="输入 2 8 10 6 3" xfId="48897" xr:uid="{00000000-0005-0000-0000-000031BF0000}"/>
    <cellStyle name="输入 2 8 10 6 3 2" xfId="15986" xr:uid="{00000000-0005-0000-0000-0000A23E0000}"/>
    <cellStyle name="输入 2 8 10 6 4" xfId="1032" xr:uid="{00000000-0005-0000-0000-000038040000}"/>
    <cellStyle name="输入 2 8 10 6 4 2" xfId="16031" xr:uid="{00000000-0005-0000-0000-0000CF3E0000}"/>
    <cellStyle name="输入 2 8 10 6 5" xfId="48898" xr:uid="{00000000-0005-0000-0000-000032BF0000}"/>
    <cellStyle name="输入 2 8 10 6 5 2" xfId="48899" xr:uid="{00000000-0005-0000-0000-000033BF0000}"/>
    <cellStyle name="输入 2 8 10 6 6" xfId="48900" xr:uid="{00000000-0005-0000-0000-000034BF0000}"/>
    <cellStyle name="输入 2 8 10 7" xfId="41958" xr:uid="{00000000-0005-0000-0000-000016A40000}"/>
    <cellStyle name="输入 2 8 10 7 2" xfId="41960" xr:uid="{00000000-0005-0000-0000-000018A40000}"/>
    <cellStyle name="输入 2 8 10 7 2 2" xfId="31957" xr:uid="{00000000-0005-0000-0000-0000057D0000}"/>
    <cellStyle name="输入 2 8 10 7 3" xfId="48901" xr:uid="{00000000-0005-0000-0000-000035BF0000}"/>
    <cellStyle name="输入 2 8 10 7 3 2" xfId="31973" xr:uid="{00000000-0005-0000-0000-0000157D0000}"/>
    <cellStyle name="输入 2 8 10 7 4" xfId="47866" xr:uid="{00000000-0005-0000-0000-00002ABB0000}"/>
    <cellStyle name="输入 2 8 10 7 4 2" xfId="31988" xr:uid="{00000000-0005-0000-0000-0000247D0000}"/>
    <cellStyle name="输入 2 8 10 7 5" xfId="48902" xr:uid="{00000000-0005-0000-0000-000036BF0000}"/>
    <cellStyle name="输入 2 8 10 7 5 2" xfId="32002" xr:uid="{00000000-0005-0000-0000-0000327D0000}"/>
    <cellStyle name="输入 2 8 10 7 6" xfId="48903" xr:uid="{00000000-0005-0000-0000-000037BF0000}"/>
    <cellStyle name="输入 2 8 10 8" xfId="41962" xr:uid="{00000000-0005-0000-0000-00001AA40000}"/>
    <cellStyle name="输入 2 8 10 8 2" xfId="41964" xr:uid="{00000000-0005-0000-0000-00001CA40000}"/>
    <cellStyle name="输入 2 8 10 8 2 2" xfId="32054" xr:uid="{00000000-0005-0000-0000-0000667D0000}"/>
    <cellStyle name="输入 2 8 10 8 3" xfId="48904" xr:uid="{00000000-0005-0000-0000-000038BF0000}"/>
    <cellStyle name="输入 2 8 10 8 3 2" xfId="32069" xr:uid="{00000000-0005-0000-0000-0000757D0000}"/>
    <cellStyle name="输入 2 8 10 8 4" xfId="47868" xr:uid="{00000000-0005-0000-0000-00002CBB0000}"/>
    <cellStyle name="输入 2 8 10 8 4 2" xfId="32084" xr:uid="{00000000-0005-0000-0000-0000847D0000}"/>
    <cellStyle name="输入 2 8 10 8 5" xfId="48905" xr:uid="{00000000-0005-0000-0000-000039BF0000}"/>
    <cellStyle name="输入 2 8 10 9" xfId="41966" xr:uid="{00000000-0005-0000-0000-00001EA40000}"/>
    <cellStyle name="输入 2 8 10 9 2" xfId="41968" xr:uid="{00000000-0005-0000-0000-000020A40000}"/>
    <cellStyle name="输入 2 8 11" xfId="36532" xr:uid="{00000000-0005-0000-0000-0000E48E0000}"/>
    <cellStyle name="输入 2 8 11 10" xfId="48906" xr:uid="{00000000-0005-0000-0000-00003ABF0000}"/>
    <cellStyle name="输入 2 8 11 10 2" xfId="48907" xr:uid="{00000000-0005-0000-0000-00003BBF0000}"/>
    <cellStyle name="输入 2 8 11 11" xfId="48908" xr:uid="{00000000-0005-0000-0000-00003CBF0000}"/>
    <cellStyle name="输入 2 8 11 11 2" xfId="48909" xr:uid="{00000000-0005-0000-0000-00003DBF0000}"/>
    <cellStyle name="输入 2 8 11 12" xfId="48910" xr:uid="{00000000-0005-0000-0000-00003EBF0000}"/>
    <cellStyle name="输入 2 8 11 12 2" xfId="48911" xr:uid="{00000000-0005-0000-0000-00003FBF0000}"/>
    <cellStyle name="输入 2 8 11 13" xfId="48912" xr:uid="{00000000-0005-0000-0000-000040BF0000}"/>
    <cellStyle name="输入 2 8 11 14" xfId="29410" xr:uid="{00000000-0005-0000-0000-000012730000}"/>
    <cellStyle name="输入 2 8 11 15" xfId="48914" xr:uid="{00000000-0005-0000-0000-000042BF0000}"/>
    <cellStyle name="输入 2 8 11 16" xfId="1101" xr:uid="{00000000-0005-0000-0000-00007D040000}"/>
    <cellStyle name="输入 2 8 11 2" xfId="48915" xr:uid="{00000000-0005-0000-0000-000043BF0000}"/>
    <cellStyle name="输入 2 8 11 2 2" xfId="48917" xr:uid="{00000000-0005-0000-0000-000045BF0000}"/>
    <cellStyle name="输入 2 8 11 2 2 2" xfId="34922" xr:uid="{00000000-0005-0000-0000-00009A880000}"/>
    <cellStyle name="输入 2 8 11 2 3" xfId="48919" xr:uid="{00000000-0005-0000-0000-000047BF0000}"/>
    <cellStyle name="输入 2 8 11 2 3 2" xfId="34930" xr:uid="{00000000-0005-0000-0000-0000A2880000}"/>
    <cellStyle name="输入 2 8 11 2 4" xfId="28029" xr:uid="{00000000-0005-0000-0000-0000AD6D0000}"/>
    <cellStyle name="输入 2 8 11 2 4 2" xfId="28033" xr:uid="{00000000-0005-0000-0000-0000B16D0000}"/>
    <cellStyle name="输入 2 8 11 2 5" xfId="12649" xr:uid="{00000000-0005-0000-0000-000099310000}"/>
    <cellStyle name="输入 2 8 11 2 5 2" xfId="28038" xr:uid="{00000000-0005-0000-0000-0000B66D0000}"/>
    <cellStyle name="输入 2 8 11 2 6" xfId="5092" xr:uid="{00000000-0005-0000-0000-000014140000}"/>
    <cellStyle name="输入 2 8 11 3" xfId="48920" xr:uid="{00000000-0005-0000-0000-000048BF0000}"/>
    <cellStyle name="输入 2 8 11 3 2" xfId="48922" xr:uid="{00000000-0005-0000-0000-00004ABF0000}"/>
    <cellStyle name="输入 2 8 11 3 2 2" xfId="34970" xr:uid="{00000000-0005-0000-0000-0000CA880000}"/>
    <cellStyle name="输入 2 8 11 3 3" xfId="48923" xr:uid="{00000000-0005-0000-0000-00004BBF0000}"/>
    <cellStyle name="输入 2 8 11 3 3 2" xfId="34974" xr:uid="{00000000-0005-0000-0000-0000CE880000}"/>
    <cellStyle name="输入 2 8 11 3 4" xfId="28056" xr:uid="{00000000-0005-0000-0000-0000C86D0000}"/>
    <cellStyle name="输入 2 8 11 3 4 2" xfId="28059" xr:uid="{00000000-0005-0000-0000-0000CB6D0000}"/>
    <cellStyle name="输入 2 8 11 3 5" xfId="28065" xr:uid="{00000000-0005-0000-0000-0000D16D0000}"/>
    <cellStyle name="输入 2 8 11 3 5 2" xfId="28068" xr:uid="{00000000-0005-0000-0000-0000D46D0000}"/>
    <cellStyle name="输入 2 8 11 3 6" xfId="5109" xr:uid="{00000000-0005-0000-0000-000025140000}"/>
    <cellStyle name="输入 2 8 11 4" xfId="48924" xr:uid="{00000000-0005-0000-0000-00004CBF0000}"/>
    <cellStyle name="输入 2 8 11 4 2" xfId="48925" xr:uid="{00000000-0005-0000-0000-00004DBF0000}"/>
    <cellStyle name="输入 2 8 11 4 2 2" xfId="35008" xr:uid="{00000000-0005-0000-0000-0000F0880000}"/>
    <cellStyle name="输入 2 8 11 4 3" xfId="48926" xr:uid="{00000000-0005-0000-0000-00004EBF0000}"/>
    <cellStyle name="输入 2 8 11 4 3 2" xfId="35015" xr:uid="{00000000-0005-0000-0000-0000F7880000}"/>
    <cellStyle name="输入 2 8 11 4 4" xfId="28081" xr:uid="{00000000-0005-0000-0000-0000E16D0000}"/>
    <cellStyle name="输入 2 8 11 4 4 2" xfId="28083" xr:uid="{00000000-0005-0000-0000-0000E36D0000}"/>
    <cellStyle name="输入 2 8 11 4 5" xfId="28086" xr:uid="{00000000-0005-0000-0000-0000E66D0000}"/>
    <cellStyle name="输入 2 8 11 4 5 2" xfId="28088" xr:uid="{00000000-0005-0000-0000-0000E86D0000}"/>
    <cellStyle name="输入 2 8 11 4 6" xfId="5118" xr:uid="{00000000-0005-0000-0000-00002E140000}"/>
    <cellStyle name="输入 2 8 11 5" xfId="46200" xr:uid="{00000000-0005-0000-0000-0000A8B40000}"/>
    <cellStyle name="输入 2 8 11 5 2" xfId="48927" xr:uid="{00000000-0005-0000-0000-00004FBF0000}"/>
    <cellStyle name="输入 2 8 11 5 2 2" xfId="35057" xr:uid="{00000000-0005-0000-0000-000021890000}"/>
    <cellStyle name="输入 2 8 11 5 3" xfId="48928" xr:uid="{00000000-0005-0000-0000-000050BF0000}"/>
    <cellStyle name="输入 2 8 11 5 3 2" xfId="35069" xr:uid="{00000000-0005-0000-0000-00002D890000}"/>
    <cellStyle name="输入 2 8 11 5 4" xfId="12941" xr:uid="{00000000-0005-0000-0000-0000BD320000}"/>
    <cellStyle name="输入 2 8 11 5 4 2" xfId="28093" xr:uid="{00000000-0005-0000-0000-0000ED6D0000}"/>
    <cellStyle name="输入 2 8 11 5 5" xfId="28096" xr:uid="{00000000-0005-0000-0000-0000F06D0000}"/>
    <cellStyle name="输入 2 8 11 5 5 2" xfId="28098" xr:uid="{00000000-0005-0000-0000-0000F26D0000}"/>
    <cellStyle name="输入 2 8 11 5 6" xfId="5144" xr:uid="{00000000-0005-0000-0000-000048140000}"/>
    <cellStyle name="输入 2 8 11 6" xfId="41972" xr:uid="{00000000-0005-0000-0000-000024A40000}"/>
    <cellStyle name="输入 2 8 11 6 2" xfId="41974" xr:uid="{00000000-0005-0000-0000-000026A40000}"/>
    <cellStyle name="输入 2 8 11 6 2 2" xfId="22889" xr:uid="{00000000-0005-0000-0000-000099590000}"/>
    <cellStyle name="输入 2 8 11 6 3" xfId="48929" xr:uid="{00000000-0005-0000-0000-000051BF0000}"/>
    <cellStyle name="输入 2 8 11 6 3 2" xfId="22929" xr:uid="{00000000-0005-0000-0000-0000C1590000}"/>
    <cellStyle name="输入 2 8 11 6 4" xfId="12965" xr:uid="{00000000-0005-0000-0000-0000D5320000}"/>
    <cellStyle name="输入 2 8 11 6 4 2" xfId="22952" xr:uid="{00000000-0005-0000-0000-0000D8590000}"/>
    <cellStyle name="输入 2 8 11 6 5" xfId="48930" xr:uid="{00000000-0005-0000-0000-000052BF0000}"/>
    <cellStyle name="输入 2 8 11 6 5 2" xfId="48931" xr:uid="{00000000-0005-0000-0000-000053BF0000}"/>
    <cellStyle name="输入 2 8 11 6 6" xfId="48932" xr:uid="{00000000-0005-0000-0000-000054BF0000}"/>
    <cellStyle name="输入 2 8 11 7" xfId="41976" xr:uid="{00000000-0005-0000-0000-000028A40000}"/>
    <cellStyle name="输入 2 8 11 7 2" xfId="41979" xr:uid="{00000000-0005-0000-0000-00002BA40000}"/>
    <cellStyle name="输入 2 8 11 7 2 2" xfId="48933" xr:uid="{00000000-0005-0000-0000-000055BF0000}"/>
    <cellStyle name="输入 2 8 11 7 3" xfId="42659" xr:uid="{00000000-0005-0000-0000-0000D3A60000}"/>
    <cellStyle name="输入 2 8 11 7 3 2" xfId="48934" xr:uid="{00000000-0005-0000-0000-000056BF0000}"/>
    <cellStyle name="输入 2 8 11 7 4" xfId="42662" xr:uid="{00000000-0005-0000-0000-0000D6A60000}"/>
    <cellStyle name="输入 2 8 11 7 4 2" xfId="48935" xr:uid="{00000000-0005-0000-0000-000057BF0000}"/>
    <cellStyle name="输入 2 8 11 7 5" xfId="42664" xr:uid="{00000000-0005-0000-0000-0000D8A60000}"/>
    <cellStyle name="输入 2 8 11 7 5 2" xfId="48936" xr:uid="{00000000-0005-0000-0000-000058BF0000}"/>
    <cellStyle name="输入 2 8 11 7 6" xfId="48937" xr:uid="{00000000-0005-0000-0000-000059BF0000}"/>
    <cellStyle name="输入 2 8 11 8" xfId="41981" xr:uid="{00000000-0005-0000-0000-00002DA40000}"/>
    <cellStyle name="输入 2 8 11 8 2" xfId="41983" xr:uid="{00000000-0005-0000-0000-00002FA40000}"/>
    <cellStyle name="输入 2 8 11 8 2 2" xfId="48938" xr:uid="{00000000-0005-0000-0000-00005ABF0000}"/>
    <cellStyle name="输入 2 8 11 8 3" xfId="48939" xr:uid="{00000000-0005-0000-0000-00005BBF0000}"/>
    <cellStyle name="输入 2 8 11 8 3 2" xfId="48940" xr:uid="{00000000-0005-0000-0000-00005CBF0000}"/>
    <cellStyle name="输入 2 8 11 8 4" xfId="47874" xr:uid="{00000000-0005-0000-0000-000032BB0000}"/>
    <cellStyle name="输入 2 8 11 8 4 2" xfId="48941" xr:uid="{00000000-0005-0000-0000-00005DBF0000}"/>
    <cellStyle name="输入 2 8 11 8 5" xfId="48942" xr:uid="{00000000-0005-0000-0000-00005EBF0000}"/>
    <cellStyle name="输入 2 8 11 9" xfId="41985" xr:uid="{00000000-0005-0000-0000-000031A40000}"/>
    <cellStyle name="输入 2 8 11 9 2" xfId="41988" xr:uid="{00000000-0005-0000-0000-000034A40000}"/>
    <cellStyle name="输入 2 8 12" xfId="48943" xr:uid="{00000000-0005-0000-0000-00005FBF0000}"/>
    <cellStyle name="输入 2 8 12 2" xfId="48945" xr:uid="{00000000-0005-0000-0000-000061BF0000}"/>
    <cellStyle name="输入 2 8 12 2 2" xfId="48947" xr:uid="{00000000-0005-0000-0000-000063BF0000}"/>
    <cellStyle name="输入 2 8 12 3" xfId="48949" xr:uid="{00000000-0005-0000-0000-000065BF0000}"/>
    <cellStyle name="输入 2 8 12 3 2" xfId="48951" xr:uid="{00000000-0005-0000-0000-000067BF0000}"/>
    <cellStyle name="输入 2 8 12 4" xfId="48952" xr:uid="{00000000-0005-0000-0000-000068BF0000}"/>
    <cellStyle name="输入 2 8 12 4 2" xfId="48953" xr:uid="{00000000-0005-0000-0000-000069BF0000}"/>
    <cellStyle name="输入 2 8 12 5" xfId="48954" xr:uid="{00000000-0005-0000-0000-00006ABF0000}"/>
    <cellStyle name="输入 2 8 12 5 2" xfId="48955" xr:uid="{00000000-0005-0000-0000-00006BBF0000}"/>
    <cellStyle name="输入 2 8 12 6" xfId="41992" xr:uid="{00000000-0005-0000-0000-000038A40000}"/>
    <cellStyle name="输入 2 8 12 7" xfId="41995" xr:uid="{00000000-0005-0000-0000-00003BA40000}"/>
    <cellStyle name="输入 2 8 12 8" xfId="41999" xr:uid="{00000000-0005-0000-0000-00003FA40000}"/>
    <cellStyle name="输入 2 8 12 9" xfId="42002" xr:uid="{00000000-0005-0000-0000-000042A40000}"/>
    <cellStyle name="输入 2 8 13" xfId="48956" xr:uid="{00000000-0005-0000-0000-00006CBF0000}"/>
    <cellStyle name="输入 2 8 13 2" xfId="48958" xr:uid="{00000000-0005-0000-0000-00006EBF0000}"/>
    <cellStyle name="输入 2 8 13 2 2" xfId="48960" xr:uid="{00000000-0005-0000-0000-000070BF0000}"/>
    <cellStyle name="输入 2 8 13 3" xfId="48963" xr:uid="{00000000-0005-0000-0000-000073BF0000}"/>
    <cellStyle name="输入 2 8 13 3 2" xfId="48965" xr:uid="{00000000-0005-0000-0000-000075BF0000}"/>
    <cellStyle name="输入 2 8 13 4" xfId="48967" xr:uid="{00000000-0005-0000-0000-000077BF0000}"/>
    <cellStyle name="输入 2 8 13 4 2" xfId="48968" xr:uid="{00000000-0005-0000-0000-000078BF0000}"/>
    <cellStyle name="输入 2 8 13 5" xfId="48970" xr:uid="{00000000-0005-0000-0000-00007ABF0000}"/>
    <cellStyle name="输入 2 8 13 5 2" xfId="48971" xr:uid="{00000000-0005-0000-0000-00007BBF0000}"/>
    <cellStyle name="输入 2 8 13 6" xfId="42009" xr:uid="{00000000-0005-0000-0000-000049A40000}"/>
    <cellStyle name="输入 2 8 14" xfId="48973" xr:uid="{00000000-0005-0000-0000-00007DBF0000}"/>
    <cellStyle name="输入 2 8 14 2" xfId="48975" xr:uid="{00000000-0005-0000-0000-00007FBF0000}"/>
    <cellStyle name="输入 2 8 14 2 2" xfId="48977" xr:uid="{00000000-0005-0000-0000-000081BF0000}"/>
    <cellStyle name="输入 2 8 14 3" xfId="48980" xr:uid="{00000000-0005-0000-0000-000084BF0000}"/>
    <cellStyle name="输入 2 8 14 3 2" xfId="48982" xr:uid="{00000000-0005-0000-0000-000086BF0000}"/>
    <cellStyle name="输入 2 8 14 4" xfId="48984" xr:uid="{00000000-0005-0000-0000-000088BF0000}"/>
    <cellStyle name="输入 2 8 14 4 2" xfId="48985" xr:uid="{00000000-0005-0000-0000-000089BF0000}"/>
    <cellStyle name="输入 2 8 14 5" xfId="48987" xr:uid="{00000000-0005-0000-0000-00008BBF0000}"/>
    <cellStyle name="输入 2 8 14 5 2" xfId="48988" xr:uid="{00000000-0005-0000-0000-00008CBF0000}"/>
    <cellStyle name="输入 2 8 14 6" xfId="42021" xr:uid="{00000000-0005-0000-0000-000055A40000}"/>
    <cellStyle name="输入 2 8 15" xfId="633" xr:uid="{00000000-0005-0000-0000-0000A9020000}"/>
    <cellStyle name="输入 2 8 15 2" xfId="7285" xr:uid="{00000000-0005-0000-0000-0000A51C0000}"/>
    <cellStyle name="输入 2 8 15 2 2" xfId="48990" xr:uid="{00000000-0005-0000-0000-00008EBF0000}"/>
    <cellStyle name="输入 2 8 15 3" xfId="48993" xr:uid="{00000000-0005-0000-0000-000091BF0000}"/>
    <cellStyle name="输入 2 8 15 3 2" xfId="48995" xr:uid="{00000000-0005-0000-0000-000093BF0000}"/>
    <cellStyle name="输入 2 8 15 4" xfId="48997" xr:uid="{00000000-0005-0000-0000-000095BF0000}"/>
    <cellStyle name="输入 2 8 15 4 2" xfId="48998" xr:uid="{00000000-0005-0000-0000-000096BF0000}"/>
    <cellStyle name="输入 2 8 15 5" xfId="49000" xr:uid="{00000000-0005-0000-0000-000098BF0000}"/>
    <cellStyle name="输入 2 8 15 5 2" xfId="49001" xr:uid="{00000000-0005-0000-0000-000099BF0000}"/>
    <cellStyle name="输入 2 8 15 6" xfId="42031" xr:uid="{00000000-0005-0000-0000-00005FA40000}"/>
    <cellStyle name="输入 2 8 16" xfId="7294" xr:uid="{00000000-0005-0000-0000-0000AE1C0000}"/>
    <cellStyle name="输入 2 8 16 2" xfId="15915" xr:uid="{00000000-0005-0000-0000-00005B3E0000}"/>
    <cellStyle name="输入 2 8 16 2 2" xfId="49003" xr:uid="{00000000-0005-0000-0000-00009BBF0000}"/>
    <cellStyle name="输入 2 8 16 3" xfId="49005" xr:uid="{00000000-0005-0000-0000-00009DBF0000}"/>
    <cellStyle name="输入 2 8 16 3 2" xfId="49006" xr:uid="{00000000-0005-0000-0000-00009EBF0000}"/>
    <cellStyle name="输入 2 8 16 4" xfId="49008" xr:uid="{00000000-0005-0000-0000-0000A0BF0000}"/>
    <cellStyle name="输入 2 8 16 4 2" xfId="49009" xr:uid="{00000000-0005-0000-0000-0000A1BF0000}"/>
    <cellStyle name="输入 2 8 16 5" xfId="49011" xr:uid="{00000000-0005-0000-0000-0000A3BF0000}"/>
    <cellStyle name="输入 2 8 16 5 2" xfId="49012" xr:uid="{00000000-0005-0000-0000-0000A4BF0000}"/>
    <cellStyle name="输入 2 8 16 6" xfId="42039" xr:uid="{00000000-0005-0000-0000-000067A40000}"/>
    <cellStyle name="输入 2 8 17" xfId="15921" xr:uid="{00000000-0005-0000-0000-0000613E0000}"/>
    <cellStyle name="输入 2 8 17 2" xfId="15925" xr:uid="{00000000-0005-0000-0000-0000653E0000}"/>
    <cellStyle name="输入 2 8 17 2 2" xfId="49014" xr:uid="{00000000-0005-0000-0000-0000A6BF0000}"/>
    <cellStyle name="输入 2 8 17 3" xfId="35820" xr:uid="{00000000-0005-0000-0000-00001C8C0000}"/>
    <cellStyle name="输入 2 8 17 3 2" xfId="49016" xr:uid="{00000000-0005-0000-0000-0000A8BF0000}"/>
    <cellStyle name="输入 2 8 17 4" xfId="35822" xr:uid="{00000000-0005-0000-0000-00001E8C0000}"/>
    <cellStyle name="输入 2 8 17 4 2" xfId="49018" xr:uid="{00000000-0005-0000-0000-0000AABF0000}"/>
    <cellStyle name="输入 2 8 17 5" xfId="35824" xr:uid="{00000000-0005-0000-0000-0000208C0000}"/>
    <cellStyle name="输入 2 8 17 5 2" xfId="49020" xr:uid="{00000000-0005-0000-0000-0000ACBF0000}"/>
    <cellStyle name="输入 2 8 17 6" xfId="49022" xr:uid="{00000000-0005-0000-0000-0000AEBF0000}"/>
    <cellStyle name="输入 2 8 18" xfId="15928" xr:uid="{00000000-0005-0000-0000-0000683E0000}"/>
    <cellStyle name="输入 2 8 18 2" xfId="15933" xr:uid="{00000000-0005-0000-0000-00006D3E0000}"/>
    <cellStyle name="输入 2 8 18 2 2" xfId="49023" xr:uid="{00000000-0005-0000-0000-0000AFBF0000}"/>
    <cellStyle name="输入 2 8 18 3" xfId="49025" xr:uid="{00000000-0005-0000-0000-0000B1BF0000}"/>
    <cellStyle name="输入 2 8 18 3 2" xfId="49026" xr:uid="{00000000-0005-0000-0000-0000B2BF0000}"/>
    <cellStyle name="输入 2 8 18 4" xfId="49028" xr:uid="{00000000-0005-0000-0000-0000B4BF0000}"/>
    <cellStyle name="输入 2 8 18 4 2" xfId="49029" xr:uid="{00000000-0005-0000-0000-0000B5BF0000}"/>
    <cellStyle name="输入 2 8 18 5" xfId="49031" xr:uid="{00000000-0005-0000-0000-0000B7BF0000}"/>
    <cellStyle name="输入 2 8 18 5 2" xfId="49032" xr:uid="{00000000-0005-0000-0000-0000B8BF0000}"/>
    <cellStyle name="输入 2 8 18 6" xfId="49034" xr:uid="{00000000-0005-0000-0000-0000BABF0000}"/>
    <cellStyle name="输入 2 8 19" xfId="15936" xr:uid="{00000000-0005-0000-0000-0000703E0000}"/>
    <cellStyle name="输入 2 8 19 2" xfId="35848" xr:uid="{00000000-0005-0000-0000-0000388C0000}"/>
    <cellStyle name="输入 2 8 19 2 2" xfId="49035" xr:uid="{00000000-0005-0000-0000-0000BBBF0000}"/>
    <cellStyle name="输入 2 8 19 3" xfId="49037" xr:uid="{00000000-0005-0000-0000-0000BDBF0000}"/>
    <cellStyle name="输入 2 8 19 3 2" xfId="49038" xr:uid="{00000000-0005-0000-0000-0000BEBF0000}"/>
    <cellStyle name="输入 2 8 19 4" xfId="49040" xr:uid="{00000000-0005-0000-0000-0000C0BF0000}"/>
    <cellStyle name="输入 2 8 19 4 2" xfId="49041" xr:uid="{00000000-0005-0000-0000-0000C1BF0000}"/>
    <cellStyle name="输入 2 8 19 5" xfId="49043" xr:uid="{00000000-0005-0000-0000-0000C3BF0000}"/>
    <cellStyle name="输入 2 8 2" xfId="49044" xr:uid="{00000000-0005-0000-0000-0000C4BF0000}"/>
    <cellStyle name="输入 2 8 2 10" xfId="24401" xr:uid="{00000000-0005-0000-0000-0000815F0000}"/>
    <cellStyle name="输入 2 8 2 10 2" xfId="49045" xr:uid="{00000000-0005-0000-0000-0000C5BF0000}"/>
    <cellStyle name="输入 2 8 2 11" xfId="49046" xr:uid="{00000000-0005-0000-0000-0000C6BF0000}"/>
    <cellStyle name="输入 2 8 2 11 2" xfId="49047" xr:uid="{00000000-0005-0000-0000-0000C7BF0000}"/>
    <cellStyle name="输入 2 8 2 12" xfId="49048" xr:uid="{00000000-0005-0000-0000-0000C8BF0000}"/>
    <cellStyle name="输入 2 8 2 12 2" xfId="49049" xr:uid="{00000000-0005-0000-0000-0000C9BF0000}"/>
    <cellStyle name="输入 2 8 2 13" xfId="49051" xr:uid="{00000000-0005-0000-0000-0000CBBF0000}"/>
    <cellStyle name="输入 2 8 2 14" xfId="49052" xr:uid="{00000000-0005-0000-0000-0000CCBF0000}"/>
    <cellStyle name="输入 2 8 2 15" xfId="49053" xr:uid="{00000000-0005-0000-0000-0000CDBF0000}"/>
    <cellStyle name="输入 2 8 2 16" xfId="49054" xr:uid="{00000000-0005-0000-0000-0000CEBF0000}"/>
    <cellStyle name="输入 2 8 2 2" xfId="49055" xr:uid="{00000000-0005-0000-0000-0000CFBF0000}"/>
    <cellStyle name="输入 2 8 2 2 2" xfId="49056" xr:uid="{00000000-0005-0000-0000-0000D0BF0000}"/>
    <cellStyle name="输入 2 8 2 2 2 2" xfId="49057" xr:uid="{00000000-0005-0000-0000-0000D1BF0000}"/>
    <cellStyle name="输入 2 8 2 2 3" xfId="44039" xr:uid="{00000000-0005-0000-0000-000037AC0000}"/>
    <cellStyle name="输入 2 8 2 2 3 2" xfId="49059" xr:uid="{00000000-0005-0000-0000-0000D3BF0000}"/>
    <cellStyle name="输入 2 8 2 2 4" xfId="49061" xr:uid="{00000000-0005-0000-0000-0000D5BF0000}"/>
    <cellStyle name="输入 2 8 2 2 4 2" xfId="35546" xr:uid="{00000000-0005-0000-0000-00000A8B0000}"/>
    <cellStyle name="输入 2 8 2 2 5" xfId="49062" xr:uid="{00000000-0005-0000-0000-0000D6BF0000}"/>
    <cellStyle name="输入 2 8 2 2 5 2" xfId="24910" xr:uid="{00000000-0005-0000-0000-00007E610000}"/>
    <cellStyle name="输入 2 8 2 2 6" xfId="49064" xr:uid="{00000000-0005-0000-0000-0000D8BF0000}"/>
    <cellStyle name="输入 2 8 2 2 7" xfId="28120" xr:uid="{00000000-0005-0000-0000-0000086E0000}"/>
    <cellStyle name="输入 2 8 2 2 8" xfId="49065" xr:uid="{00000000-0005-0000-0000-0000D9BF0000}"/>
    <cellStyle name="输入 2 8 2 2 9" xfId="13150" xr:uid="{00000000-0005-0000-0000-00008E330000}"/>
    <cellStyle name="输入 2 8 2 3" xfId="32613" xr:uid="{00000000-0005-0000-0000-0000957F0000}"/>
    <cellStyle name="输入 2 8 2 3 2" xfId="32616" xr:uid="{00000000-0005-0000-0000-0000987F0000}"/>
    <cellStyle name="输入 2 8 2 3 2 2" xfId="49066" xr:uid="{00000000-0005-0000-0000-0000DABF0000}"/>
    <cellStyle name="输入 2 8 2 3 3" xfId="44042" xr:uid="{00000000-0005-0000-0000-00003AAC0000}"/>
    <cellStyle name="输入 2 8 2 3 3 2" xfId="49068" xr:uid="{00000000-0005-0000-0000-0000DCBF0000}"/>
    <cellStyle name="输入 2 8 2 3 4" xfId="49070" xr:uid="{00000000-0005-0000-0000-0000DEBF0000}"/>
    <cellStyle name="输入 2 8 2 3 4 2" xfId="35561" xr:uid="{00000000-0005-0000-0000-0000198B0000}"/>
    <cellStyle name="输入 2 8 2 3 5" xfId="49071" xr:uid="{00000000-0005-0000-0000-0000DFBF0000}"/>
    <cellStyle name="输入 2 8 2 3 5 2" xfId="25813" xr:uid="{00000000-0005-0000-0000-000005650000}"/>
    <cellStyle name="输入 2 8 2 3 6" xfId="49073" xr:uid="{00000000-0005-0000-0000-0000E1BF0000}"/>
    <cellStyle name="输入 2 8 2 4" xfId="9925" xr:uid="{00000000-0005-0000-0000-0000F5260000}"/>
    <cellStyle name="输入 2 8 2 4 2" xfId="32618" xr:uid="{00000000-0005-0000-0000-00009A7F0000}"/>
    <cellStyle name="输入 2 8 2 4 2 2" xfId="49074" xr:uid="{00000000-0005-0000-0000-0000E2BF0000}"/>
    <cellStyle name="输入 2 8 2 4 3" xfId="49076" xr:uid="{00000000-0005-0000-0000-0000E4BF0000}"/>
    <cellStyle name="输入 2 8 2 4 3 2" xfId="49077" xr:uid="{00000000-0005-0000-0000-0000E5BF0000}"/>
    <cellStyle name="输入 2 8 2 4 4" xfId="49079" xr:uid="{00000000-0005-0000-0000-0000E7BF0000}"/>
    <cellStyle name="输入 2 8 2 4 4 2" xfId="35584" xr:uid="{00000000-0005-0000-0000-0000308B0000}"/>
    <cellStyle name="输入 2 8 2 4 5" xfId="49080" xr:uid="{00000000-0005-0000-0000-0000E8BF0000}"/>
    <cellStyle name="输入 2 8 2 4 5 2" xfId="26888" xr:uid="{00000000-0005-0000-0000-000038690000}"/>
    <cellStyle name="输入 2 8 2 4 6" xfId="49082" xr:uid="{00000000-0005-0000-0000-0000EABF0000}"/>
    <cellStyle name="输入 2 8 2 5" xfId="20606" xr:uid="{00000000-0005-0000-0000-0000AE500000}"/>
    <cellStyle name="输入 2 8 2 5 2" xfId="32621" xr:uid="{00000000-0005-0000-0000-00009D7F0000}"/>
    <cellStyle name="输入 2 8 2 5 2 2" xfId="49083" xr:uid="{00000000-0005-0000-0000-0000EBBF0000}"/>
    <cellStyle name="输入 2 8 2 5 3" xfId="49085" xr:uid="{00000000-0005-0000-0000-0000EDBF0000}"/>
    <cellStyle name="输入 2 8 2 5 3 2" xfId="49086" xr:uid="{00000000-0005-0000-0000-0000EEBF0000}"/>
    <cellStyle name="输入 2 8 2 5 4" xfId="49088" xr:uid="{00000000-0005-0000-0000-0000F0BF0000}"/>
    <cellStyle name="输入 2 8 2 5 4 2" xfId="35601" xr:uid="{00000000-0005-0000-0000-0000418B0000}"/>
    <cellStyle name="输入 2 8 2 5 5" xfId="48961" xr:uid="{00000000-0005-0000-0000-000071BF0000}"/>
    <cellStyle name="输入 2 8 2 5 5 2" xfId="35606" xr:uid="{00000000-0005-0000-0000-0000468B0000}"/>
    <cellStyle name="输入 2 8 2 5 6" xfId="49089" xr:uid="{00000000-0005-0000-0000-0000F1BF0000}"/>
    <cellStyle name="输入 2 8 2 6" xfId="32623" xr:uid="{00000000-0005-0000-0000-00009F7F0000}"/>
    <cellStyle name="输入 2 8 2 6 2" xfId="49090" xr:uid="{00000000-0005-0000-0000-0000F2BF0000}"/>
    <cellStyle name="输入 2 8 2 6 2 2" xfId="49091" xr:uid="{00000000-0005-0000-0000-0000F3BF0000}"/>
    <cellStyle name="输入 2 8 2 6 3" xfId="29268" xr:uid="{00000000-0005-0000-0000-000084720000}"/>
    <cellStyle name="输入 2 8 2 6 3 2" xfId="49093" xr:uid="{00000000-0005-0000-0000-0000F5BF0000}"/>
    <cellStyle name="输入 2 8 2 6 4" xfId="20825" xr:uid="{00000000-0005-0000-0000-000089510000}"/>
    <cellStyle name="输入 2 8 2 6 4 2" xfId="35630" xr:uid="{00000000-0005-0000-0000-00005E8B0000}"/>
    <cellStyle name="输入 2 8 2 6 5" xfId="48966" xr:uid="{00000000-0005-0000-0000-000076BF0000}"/>
    <cellStyle name="输入 2 8 2 6 5 2" xfId="35637" xr:uid="{00000000-0005-0000-0000-0000658B0000}"/>
    <cellStyle name="输入 2 8 2 6 6" xfId="49095" xr:uid="{00000000-0005-0000-0000-0000F7BF0000}"/>
    <cellStyle name="输入 2 8 2 7" xfId="32625" xr:uid="{00000000-0005-0000-0000-0000A17F0000}"/>
    <cellStyle name="输入 2 8 2 7 2" xfId="49096" xr:uid="{00000000-0005-0000-0000-0000F8BF0000}"/>
    <cellStyle name="输入 2 8 2 7 2 2" xfId="49097" xr:uid="{00000000-0005-0000-0000-0000F9BF0000}"/>
    <cellStyle name="输入 2 8 2 7 3" xfId="29272" xr:uid="{00000000-0005-0000-0000-000088720000}"/>
    <cellStyle name="输入 2 8 2 7 3 2" xfId="49099" xr:uid="{00000000-0005-0000-0000-0000FBBF0000}"/>
    <cellStyle name="输入 2 8 2 7 4" xfId="20828" xr:uid="{00000000-0005-0000-0000-00008C510000}"/>
    <cellStyle name="输入 2 8 2 7 4 2" xfId="35654" xr:uid="{00000000-0005-0000-0000-0000768B0000}"/>
    <cellStyle name="输入 2 8 2 7 5" xfId="48969" xr:uid="{00000000-0005-0000-0000-000079BF0000}"/>
    <cellStyle name="输入 2 8 2 7 5 2" xfId="35661" xr:uid="{00000000-0005-0000-0000-00007D8B0000}"/>
    <cellStyle name="输入 2 8 2 7 6" xfId="49101" xr:uid="{00000000-0005-0000-0000-0000FDBF0000}"/>
    <cellStyle name="输入 2 8 2 8" xfId="19102" xr:uid="{00000000-0005-0000-0000-0000CE4A0000}"/>
    <cellStyle name="输入 2 8 2 8 2" xfId="49102" xr:uid="{00000000-0005-0000-0000-0000FEBF0000}"/>
    <cellStyle name="输入 2 8 2 8 2 2" xfId="49103" xr:uid="{00000000-0005-0000-0000-0000FFBF0000}"/>
    <cellStyle name="输入 2 8 2 8 3" xfId="29274" xr:uid="{00000000-0005-0000-0000-00008A720000}"/>
    <cellStyle name="输入 2 8 2 8 3 2" xfId="49105" xr:uid="{00000000-0005-0000-0000-000001C00000}"/>
    <cellStyle name="输入 2 8 2 8 4" xfId="20830" xr:uid="{00000000-0005-0000-0000-00008E510000}"/>
    <cellStyle name="输入 2 8 2 8 4 2" xfId="35682" xr:uid="{00000000-0005-0000-0000-0000928B0000}"/>
    <cellStyle name="输入 2 8 2 8 5" xfId="48972" xr:uid="{00000000-0005-0000-0000-00007CBF0000}"/>
    <cellStyle name="输入 2 8 2 9" xfId="32627" xr:uid="{00000000-0005-0000-0000-0000A37F0000}"/>
    <cellStyle name="输入 2 8 2 9 2" xfId="44395" xr:uid="{00000000-0005-0000-0000-00009BAD0000}"/>
    <cellStyle name="输入 2 8 20" xfId="634" xr:uid="{00000000-0005-0000-0000-0000AA020000}"/>
    <cellStyle name="输入 2 8 20 2" xfId="7284" xr:uid="{00000000-0005-0000-0000-0000A41C0000}"/>
    <cellStyle name="输入 2 8 21" xfId="7293" xr:uid="{00000000-0005-0000-0000-0000AD1C0000}"/>
    <cellStyle name="输入 2 8 21 2" xfId="15916" xr:uid="{00000000-0005-0000-0000-00005C3E0000}"/>
    <cellStyle name="输入 2 8 22" xfId="15922" xr:uid="{00000000-0005-0000-0000-0000623E0000}"/>
    <cellStyle name="输入 2 8 22 2" xfId="15926" xr:uid="{00000000-0005-0000-0000-0000663E0000}"/>
    <cellStyle name="输入 2 8 23" xfId="15929" xr:uid="{00000000-0005-0000-0000-0000693E0000}"/>
    <cellStyle name="输入 2 8 23 2" xfId="15934" xr:uid="{00000000-0005-0000-0000-00006E3E0000}"/>
    <cellStyle name="输入 2 8 24" xfId="15937" xr:uid="{00000000-0005-0000-0000-0000713E0000}"/>
    <cellStyle name="输入 2 8 25" xfId="49107" xr:uid="{00000000-0005-0000-0000-000003C00000}"/>
    <cellStyle name="输入 2 8 26" xfId="49108" xr:uid="{00000000-0005-0000-0000-000004C00000}"/>
    <cellStyle name="输入 2 8 27" xfId="45082" xr:uid="{00000000-0005-0000-0000-00004AB00000}"/>
    <cellStyle name="输入 2 8 3" xfId="49109" xr:uid="{00000000-0005-0000-0000-000005C00000}"/>
    <cellStyle name="输入 2 8 3 10" xfId="49110" xr:uid="{00000000-0005-0000-0000-000006C00000}"/>
    <cellStyle name="输入 2 8 3 10 2" xfId="49111" xr:uid="{00000000-0005-0000-0000-000007C00000}"/>
    <cellStyle name="输入 2 8 3 11" xfId="49112" xr:uid="{00000000-0005-0000-0000-000008C00000}"/>
    <cellStyle name="输入 2 8 3 11 2" xfId="49113" xr:uid="{00000000-0005-0000-0000-000009C00000}"/>
    <cellStyle name="输入 2 8 3 12" xfId="39846" xr:uid="{00000000-0005-0000-0000-0000D69B0000}"/>
    <cellStyle name="输入 2 8 3 12 2" xfId="49114" xr:uid="{00000000-0005-0000-0000-00000AC00000}"/>
    <cellStyle name="输入 2 8 3 13" xfId="49115" xr:uid="{00000000-0005-0000-0000-00000BC00000}"/>
    <cellStyle name="输入 2 8 3 14" xfId="44766" xr:uid="{00000000-0005-0000-0000-00000EAF0000}"/>
    <cellStyle name="输入 2 8 3 15" xfId="27289" xr:uid="{00000000-0005-0000-0000-0000C96A0000}"/>
    <cellStyle name="输入 2 8 3 16" xfId="17849" xr:uid="{00000000-0005-0000-0000-0000E9450000}"/>
    <cellStyle name="输入 2 8 3 2" xfId="49116" xr:uid="{00000000-0005-0000-0000-00000CC00000}"/>
    <cellStyle name="输入 2 8 3 2 2" xfId="49117" xr:uid="{00000000-0005-0000-0000-00000DC00000}"/>
    <cellStyle name="输入 2 8 3 2 2 2" xfId="17650" xr:uid="{00000000-0005-0000-0000-000022450000}"/>
    <cellStyle name="输入 2 8 3 2 3" xfId="49118" xr:uid="{00000000-0005-0000-0000-00000EC00000}"/>
    <cellStyle name="输入 2 8 3 2 3 2" xfId="49119" xr:uid="{00000000-0005-0000-0000-00000FC00000}"/>
    <cellStyle name="输入 2 8 3 2 4" xfId="49121" xr:uid="{00000000-0005-0000-0000-000011C00000}"/>
    <cellStyle name="输入 2 8 3 2 4 2" xfId="35753" xr:uid="{00000000-0005-0000-0000-0000D98B0000}"/>
    <cellStyle name="输入 2 8 3 2 5" xfId="49122" xr:uid="{00000000-0005-0000-0000-000012C00000}"/>
    <cellStyle name="输入 2 8 3 2 5 2" xfId="35768" xr:uid="{00000000-0005-0000-0000-0000E88B0000}"/>
    <cellStyle name="输入 2 8 3 2 6" xfId="49124" xr:uid="{00000000-0005-0000-0000-000014C00000}"/>
    <cellStyle name="输入 2 8 3 2 7" xfId="7099" xr:uid="{00000000-0005-0000-0000-0000EB1B0000}"/>
    <cellStyle name="输入 2 8 3 2 8" xfId="49125" xr:uid="{00000000-0005-0000-0000-000015C00000}"/>
    <cellStyle name="输入 2 8 3 2 9" xfId="13165" xr:uid="{00000000-0005-0000-0000-00009D330000}"/>
    <cellStyle name="输入 2 8 3 3" xfId="49126" xr:uid="{00000000-0005-0000-0000-000016C00000}"/>
    <cellStyle name="输入 2 8 3 3 2" xfId="49127" xr:uid="{00000000-0005-0000-0000-000017C00000}"/>
    <cellStyle name="输入 2 8 3 3 2 2" xfId="39348" xr:uid="{00000000-0005-0000-0000-0000E4990000}"/>
    <cellStyle name="输入 2 8 3 3 3" xfId="49128" xr:uid="{00000000-0005-0000-0000-000018C00000}"/>
    <cellStyle name="输入 2 8 3 3 3 2" xfId="49129" xr:uid="{00000000-0005-0000-0000-000019C00000}"/>
    <cellStyle name="输入 2 8 3 3 4" xfId="49131" xr:uid="{00000000-0005-0000-0000-00001BC00000}"/>
    <cellStyle name="输入 2 8 3 3 4 2" xfId="35815" xr:uid="{00000000-0005-0000-0000-0000178C0000}"/>
    <cellStyle name="输入 2 8 3 3 5" xfId="49132" xr:uid="{00000000-0005-0000-0000-00001CC00000}"/>
    <cellStyle name="输入 2 8 3 3 5 2" xfId="35830" xr:uid="{00000000-0005-0000-0000-0000268C0000}"/>
    <cellStyle name="输入 2 8 3 3 6" xfId="49134" xr:uid="{00000000-0005-0000-0000-00001EC00000}"/>
    <cellStyle name="输入 2 8 3 4" xfId="49135" xr:uid="{00000000-0005-0000-0000-00001FC00000}"/>
    <cellStyle name="输入 2 8 3 4 2" xfId="44660" xr:uid="{00000000-0005-0000-0000-0000A4AE0000}"/>
    <cellStyle name="输入 2 8 3 4 2 2" xfId="49136" xr:uid="{00000000-0005-0000-0000-000020C00000}"/>
    <cellStyle name="输入 2 8 3 4 3" xfId="49138" xr:uid="{00000000-0005-0000-0000-000022C00000}"/>
    <cellStyle name="输入 2 8 3 4 3 2" xfId="49139" xr:uid="{00000000-0005-0000-0000-000023C00000}"/>
    <cellStyle name="输入 2 8 3 4 4" xfId="49141" xr:uid="{00000000-0005-0000-0000-000025C00000}"/>
    <cellStyle name="输入 2 8 3 4 4 2" xfId="35877" xr:uid="{00000000-0005-0000-0000-0000558C0000}"/>
    <cellStyle name="输入 2 8 3 4 5" xfId="49142" xr:uid="{00000000-0005-0000-0000-000026C00000}"/>
    <cellStyle name="输入 2 8 3 4 5 2" xfId="35889" xr:uid="{00000000-0005-0000-0000-0000618C0000}"/>
    <cellStyle name="输入 2 8 3 4 6" xfId="49144" xr:uid="{00000000-0005-0000-0000-000028C00000}"/>
    <cellStyle name="输入 2 8 3 5" xfId="49145" xr:uid="{00000000-0005-0000-0000-000029C00000}"/>
    <cellStyle name="输入 2 8 3 5 2" xfId="49146" xr:uid="{00000000-0005-0000-0000-00002AC00000}"/>
    <cellStyle name="输入 2 8 3 5 2 2" xfId="49147" xr:uid="{00000000-0005-0000-0000-00002BC00000}"/>
    <cellStyle name="输入 2 8 3 5 3" xfId="49149" xr:uid="{00000000-0005-0000-0000-00002DC00000}"/>
    <cellStyle name="输入 2 8 3 5 3 2" xfId="49150" xr:uid="{00000000-0005-0000-0000-00002EC00000}"/>
    <cellStyle name="输入 2 8 3 5 4" xfId="49152" xr:uid="{00000000-0005-0000-0000-000030C00000}"/>
    <cellStyle name="输入 2 8 3 5 4 2" xfId="35920" xr:uid="{00000000-0005-0000-0000-0000808C0000}"/>
    <cellStyle name="输入 2 8 3 5 5" xfId="48978" xr:uid="{00000000-0005-0000-0000-000082BF0000}"/>
    <cellStyle name="输入 2 8 3 5 5 2" xfId="35928" xr:uid="{00000000-0005-0000-0000-0000888C0000}"/>
    <cellStyle name="输入 2 8 3 5 6" xfId="49153" xr:uid="{00000000-0005-0000-0000-000031C00000}"/>
    <cellStyle name="输入 2 8 3 6" xfId="49154" xr:uid="{00000000-0005-0000-0000-000032C00000}"/>
    <cellStyle name="输入 2 8 3 6 2" xfId="49155" xr:uid="{00000000-0005-0000-0000-000033C00000}"/>
    <cellStyle name="输入 2 8 3 6 2 2" xfId="49156" xr:uid="{00000000-0005-0000-0000-000034C00000}"/>
    <cellStyle name="输入 2 8 3 6 3" xfId="5945" xr:uid="{00000000-0005-0000-0000-000069170000}"/>
    <cellStyle name="输入 2 8 3 6 3 2" xfId="49158" xr:uid="{00000000-0005-0000-0000-000036C00000}"/>
    <cellStyle name="输入 2 8 3 6 4" xfId="12831" xr:uid="{00000000-0005-0000-0000-00004F320000}"/>
    <cellStyle name="输入 2 8 3 6 4 2" xfId="35965" xr:uid="{00000000-0005-0000-0000-0000AD8C0000}"/>
    <cellStyle name="输入 2 8 3 6 5" xfId="48983" xr:uid="{00000000-0005-0000-0000-000087BF0000}"/>
    <cellStyle name="输入 2 8 3 6 5 2" xfId="34326" xr:uid="{00000000-0005-0000-0000-000046860000}"/>
    <cellStyle name="输入 2 8 3 6 6" xfId="49160" xr:uid="{00000000-0005-0000-0000-000038C00000}"/>
    <cellStyle name="输入 2 8 3 7" xfId="49161" xr:uid="{00000000-0005-0000-0000-000039C00000}"/>
    <cellStyle name="输入 2 8 3 7 2" xfId="49162" xr:uid="{00000000-0005-0000-0000-00003AC00000}"/>
    <cellStyle name="输入 2 8 3 7 2 2" xfId="39958" xr:uid="{00000000-0005-0000-0000-0000469C0000}"/>
    <cellStyle name="输入 2 8 3 7 3" xfId="10488" xr:uid="{00000000-0005-0000-0000-000028290000}"/>
    <cellStyle name="输入 2 8 3 7 3 2" xfId="39972" xr:uid="{00000000-0005-0000-0000-0000549C0000}"/>
    <cellStyle name="输入 2 8 3 7 4" xfId="17741" xr:uid="{00000000-0005-0000-0000-00007D450000}"/>
    <cellStyle name="输入 2 8 3 7 4 2" xfId="36018" xr:uid="{00000000-0005-0000-0000-0000E28C0000}"/>
    <cellStyle name="输入 2 8 3 7 5" xfId="48986" xr:uid="{00000000-0005-0000-0000-00008ABF0000}"/>
    <cellStyle name="输入 2 8 3 7 5 2" xfId="36035" xr:uid="{00000000-0005-0000-0000-0000F38C0000}"/>
    <cellStyle name="输入 2 8 3 7 6" xfId="49163" xr:uid="{00000000-0005-0000-0000-00003BC00000}"/>
    <cellStyle name="输入 2 8 3 8" xfId="49164" xr:uid="{00000000-0005-0000-0000-00003CC00000}"/>
    <cellStyle name="输入 2 8 3 8 2" xfId="49165" xr:uid="{00000000-0005-0000-0000-00003DC00000}"/>
    <cellStyle name="输入 2 8 3 8 2 2" xfId="40043" xr:uid="{00000000-0005-0000-0000-00009B9C0000}"/>
    <cellStyle name="输入 2 8 3 8 3" xfId="10506" xr:uid="{00000000-0005-0000-0000-00003A290000}"/>
    <cellStyle name="输入 2 8 3 8 3 2" xfId="40057" xr:uid="{00000000-0005-0000-0000-0000A99C0000}"/>
    <cellStyle name="输入 2 8 3 8 4" xfId="20838" xr:uid="{00000000-0005-0000-0000-000096510000}"/>
    <cellStyle name="输入 2 8 3 8 4 2" xfId="36087" xr:uid="{00000000-0005-0000-0000-0000278D0000}"/>
    <cellStyle name="输入 2 8 3 8 5" xfId="48989" xr:uid="{00000000-0005-0000-0000-00008DBF0000}"/>
    <cellStyle name="输入 2 8 3 9" xfId="49166" xr:uid="{00000000-0005-0000-0000-00003EC00000}"/>
    <cellStyle name="输入 2 8 3 9 2" xfId="44746" xr:uid="{00000000-0005-0000-0000-0000FAAE0000}"/>
    <cellStyle name="输入 2 8 4" xfId="34861" xr:uid="{00000000-0005-0000-0000-00005D880000}"/>
    <cellStyle name="输入 2 8 4 10" xfId="42006" xr:uid="{00000000-0005-0000-0000-000046A40000}"/>
    <cellStyle name="输入 2 8 4 10 2" xfId="49167" xr:uid="{00000000-0005-0000-0000-00003FC00000}"/>
    <cellStyle name="输入 2 8 4 11" xfId="22960" xr:uid="{00000000-0005-0000-0000-0000E0590000}"/>
    <cellStyle name="输入 2 8 4 11 2" xfId="49168" xr:uid="{00000000-0005-0000-0000-000040C00000}"/>
    <cellStyle name="输入 2 8 4 12" xfId="49169" xr:uid="{00000000-0005-0000-0000-000041C00000}"/>
    <cellStyle name="输入 2 8 4 12 2" xfId="49170" xr:uid="{00000000-0005-0000-0000-000042C00000}"/>
    <cellStyle name="输入 2 8 4 13" xfId="49171" xr:uid="{00000000-0005-0000-0000-000043C00000}"/>
    <cellStyle name="输入 2 8 4 14" xfId="49172" xr:uid="{00000000-0005-0000-0000-000044C00000}"/>
    <cellStyle name="输入 2 8 4 15" xfId="49173" xr:uid="{00000000-0005-0000-0000-000045C00000}"/>
    <cellStyle name="输入 2 8 4 16" xfId="42496" xr:uid="{00000000-0005-0000-0000-000030A60000}"/>
    <cellStyle name="输入 2 8 4 2" xfId="49174" xr:uid="{00000000-0005-0000-0000-000046C00000}"/>
    <cellStyle name="输入 2 8 4 2 2" xfId="49175" xr:uid="{00000000-0005-0000-0000-000047C00000}"/>
    <cellStyle name="输入 2 8 4 2 2 2" xfId="49176" xr:uid="{00000000-0005-0000-0000-000048C00000}"/>
    <cellStyle name="输入 2 8 4 2 3" xfId="49178" xr:uid="{00000000-0005-0000-0000-00004AC00000}"/>
    <cellStyle name="输入 2 8 4 2 3 2" xfId="49179" xr:uid="{00000000-0005-0000-0000-00004BC00000}"/>
    <cellStyle name="输入 2 8 4 2 4" xfId="49181" xr:uid="{00000000-0005-0000-0000-00004DC00000}"/>
    <cellStyle name="输入 2 8 4 2 4 2" xfId="36180" xr:uid="{00000000-0005-0000-0000-0000848D0000}"/>
    <cellStyle name="输入 2 8 4 2 5" xfId="49182" xr:uid="{00000000-0005-0000-0000-00004EC00000}"/>
    <cellStyle name="输入 2 8 4 2 5 2" xfId="29339" xr:uid="{00000000-0005-0000-0000-0000CB720000}"/>
    <cellStyle name="输入 2 8 4 2 6" xfId="49184" xr:uid="{00000000-0005-0000-0000-000050C00000}"/>
    <cellStyle name="输入 2 8 4 2 7" xfId="17818" xr:uid="{00000000-0005-0000-0000-0000CA450000}"/>
    <cellStyle name="输入 2 8 4 2 8" xfId="49185" xr:uid="{00000000-0005-0000-0000-000051C00000}"/>
    <cellStyle name="输入 2 8 4 2 9" xfId="49186" xr:uid="{00000000-0005-0000-0000-000052C00000}"/>
    <cellStyle name="输入 2 8 4 3" xfId="49187" xr:uid="{00000000-0005-0000-0000-000053C00000}"/>
    <cellStyle name="输入 2 8 4 3 2" xfId="49188" xr:uid="{00000000-0005-0000-0000-000054C00000}"/>
    <cellStyle name="输入 2 8 4 3 2 2" xfId="49189" xr:uid="{00000000-0005-0000-0000-000055C00000}"/>
    <cellStyle name="输入 2 8 4 3 3" xfId="49191" xr:uid="{00000000-0005-0000-0000-000057C00000}"/>
    <cellStyle name="输入 2 8 4 3 3 2" xfId="49192" xr:uid="{00000000-0005-0000-0000-000058C00000}"/>
    <cellStyle name="输入 2 8 4 3 4" xfId="49194" xr:uid="{00000000-0005-0000-0000-00005AC00000}"/>
    <cellStyle name="输入 2 8 4 3 4 2" xfId="36204" xr:uid="{00000000-0005-0000-0000-00009C8D0000}"/>
    <cellStyle name="输入 2 8 4 3 5" xfId="49195" xr:uid="{00000000-0005-0000-0000-00005BC00000}"/>
    <cellStyle name="输入 2 8 4 3 5 2" xfId="27838" xr:uid="{00000000-0005-0000-0000-0000EE6C0000}"/>
    <cellStyle name="输入 2 8 4 3 6" xfId="49197" xr:uid="{00000000-0005-0000-0000-00005DC00000}"/>
    <cellStyle name="输入 2 8 4 4" xfId="49198" xr:uid="{00000000-0005-0000-0000-00005EC00000}"/>
    <cellStyle name="输入 2 8 4 4 2" xfId="49199" xr:uid="{00000000-0005-0000-0000-00005FC00000}"/>
    <cellStyle name="输入 2 8 4 4 2 2" xfId="49200" xr:uid="{00000000-0005-0000-0000-000060C00000}"/>
    <cellStyle name="输入 2 8 4 4 3" xfId="49202" xr:uid="{00000000-0005-0000-0000-000062C00000}"/>
    <cellStyle name="输入 2 8 4 4 3 2" xfId="49203" xr:uid="{00000000-0005-0000-0000-000063C00000}"/>
    <cellStyle name="输入 2 8 4 4 4" xfId="49205" xr:uid="{00000000-0005-0000-0000-000065C00000}"/>
    <cellStyle name="输入 2 8 4 4 4 2" xfId="36229" xr:uid="{00000000-0005-0000-0000-0000B58D0000}"/>
    <cellStyle name="输入 2 8 4 4 5" xfId="49206" xr:uid="{00000000-0005-0000-0000-000066C00000}"/>
    <cellStyle name="输入 2 8 4 4 5 2" xfId="36244" xr:uid="{00000000-0005-0000-0000-0000C48D0000}"/>
    <cellStyle name="输入 2 8 4 4 6" xfId="49208" xr:uid="{00000000-0005-0000-0000-000068C00000}"/>
    <cellStyle name="输入 2 8 4 5" xfId="49209" xr:uid="{00000000-0005-0000-0000-000069C00000}"/>
    <cellStyle name="输入 2 8 4 5 2" xfId="49210" xr:uid="{00000000-0005-0000-0000-00006AC00000}"/>
    <cellStyle name="输入 2 8 4 5 2 2" xfId="49211" xr:uid="{00000000-0005-0000-0000-00006BC00000}"/>
    <cellStyle name="输入 2 8 4 5 3" xfId="49213" xr:uid="{00000000-0005-0000-0000-00006DC00000}"/>
    <cellStyle name="输入 2 8 4 5 3 2" xfId="49214" xr:uid="{00000000-0005-0000-0000-00006EC00000}"/>
    <cellStyle name="输入 2 8 4 5 4" xfId="49216" xr:uid="{00000000-0005-0000-0000-000070C00000}"/>
    <cellStyle name="输入 2 8 4 5 4 2" xfId="36267" xr:uid="{00000000-0005-0000-0000-0000DB8D0000}"/>
    <cellStyle name="输入 2 8 4 5 5" xfId="48991" xr:uid="{00000000-0005-0000-0000-00008FBF0000}"/>
    <cellStyle name="输入 2 8 4 5 5 2" xfId="36279" xr:uid="{00000000-0005-0000-0000-0000E78D0000}"/>
    <cellStyle name="输入 2 8 4 5 6" xfId="40797" xr:uid="{00000000-0005-0000-0000-00008D9F0000}"/>
    <cellStyle name="输入 2 8 4 6" xfId="49217" xr:uid="{00000000-0005-0000-0000-000071C00000}"/>
    <cellStyle name="输入 2 8 4 6 2" xfId="49218" xr:uid="{00000000-0005-0000-0000-000072C00000}"/>
    <cellStyle name="输入 2 8 4 6 2 2" xfId="49219" xr:uid="{00000000-0005-0000-0000-000073C00000}"/>
    <cellStyle name="输入 2 8 4 6 3" xfId="6049" xr:uid="{00000000-0005-0000-0000-0000D1170000}"/>
    <cellStyle name="输入 2 8 4 6 3 2" xfId="49221" xr:uid="{00000000-0005-0000-0000-000075C00000}"/>
    <cellStyle name="输入 2 8 4 6 4" xfId="17900" xr:uid="{00000000-0005-0000-0000-00001C460000}"/>
    <cellStyle name="输入 2 8 4 6 4 2" xfId="36317" xr:uid="{00000000-0005-0000-0000-00000D8E0000}"/>
    <cellStyle name="输入 2 8 4 6 5" xfId="48996" xr:uid="{00000000-0005-0000-0000-000094BF0000}"/>
    <cellStyle name="输入 2 8 4 6 5 2" xfId="36194" xr:uid="{00000000-0005-0000-0000-0000928D0000}"/>
    <cellStyle name="输入 2 8 4 6 6" xfId="40799" xr:uid="{00000000-0005-0000-0000-00008F9F0000}"/>
    <cellStyle name="输入 2 8 4 7" xfId="49223" xr:uid="{00000000-0005-0000-0000-000077C00000}"/>
    <cellStyle name="输入 2 8 4 7 2" xfId="49224" xr:uid="{00000000-0005-0000-0000-000078C00000}"/>
    <cellStyle name="输入 2 8 4 7 2 2" xfId="49225" xr:uid="{00000000-0005-0000-0000-000079C00000}"/>
    <cellStyle name="输入 2 8 4 7 3" xfId="10556" xr:uid="{00000000-0005-0000-0000-00006C290000}"/>
    <cellStyle name="输入 2 8 4 7 3 2" xfId="49227" xr:uid="{00000000-0005-0000-0000-00007BC00000}"/>
    <cellStyle name="输入 2 8 4 7 4" xfId="17924" xr:uid="{00000000-0005-0000-0000-000034460000}"/>
    <cellStyle name="输入 2 8 4 7 4 2" xfId="36377" xr:uid="{00000000-0005-0000-0000-0000498E0000}"/>
    <cellStyle name="输入 2 8 4 7 5" xfId="48999" xr:uid="{00000000-0005-0000-0000-000097BF0000}"/>
    <cellStyle name="输入 2 8 4 7 5 2" xfId="36396" xr:uid="{00000000-0005-0000-0000-00005C8E0000}"/>
    <cellStyle name="输入 2 8 4 7 6" xfId="40803" xr:uid="{00000000-0005-0000-0000-0000939F0000}"/>
    <cellStyle name="输入 2 8 4 8" xfId="49229" xr:uid="{00000000-0005-0000-0000-00007DC00000}"/>
    <cellStyle name="输入 2 8 4 8 2" xfId="49230" xr:uid="{00000000-0005-0000-0000-00007EC00000}"/>
    <cellStyle name="输入 2 8 4 8 2 2" xfId="49231" xr:uid="{00000000-0005-0000-0000-00007FC00000}"/>
    <cellStyle name="输入 2 8 4 8 3" xfId="10575" xr:uid="{00000000-0005-0000-0000-00007F290000}"/>
    <cellStyle name="输入 2 8 4 8 3 2" xfId="49233" xr:uid="{00000000-0005-0000-0000-000081C00000}"/>
    <cellStyle name="输入 2 8 4 8 4" xfId="20848" xr:uid="{00000000-0005-0000-0000-0000A0510000}"/>
    <cellStyle name="输入 2 8 4 8 4 2" xfId="36446" xr:uid="{00000000-0005-0000-0000-00008E8E0000}"/>
    <cellStyle name="输入 2 8 4 8 5" xfId="49002" xr:uid="{00000000-0005-0000-0000-00009ABF0000}"/>
    <cellStyle name="输入 2 8 4 9" xfId="49235" xr:uid="{00000000-0005-0000-0000-000083C00000}"/>
    <cellStyle name="输入 2 8 4 9 2" xfId="49236" xr:uid="{00000000-0005-0000-0000-000084C00000}"/>
    <cellStyle name="输入 2 8 5" xfId="49237" xr:uid="{00000000-0005-0000-0000-000085C00000}"/>
    <cellStyle name="输入 2 8 5 10" xfId="45856" xr:uid="{00000000-0005-0000-0000-000050B30000}"/>
    <cellStyle name="输入 2 8 5 10 2" xfId="49238" xr:uid="{00000000-0005-0000-0000-000086C00000}"/>
    <cellStyle name="输入 2 8 5 11" xfId="49239" xr:uid="{00000000-0005-0000-0000-000087C00000}"/>
    <cellStyle name="输入 2 8 5 11 2" xfId="49240" xr:uid="{00000000-0005-0000-0000-000088C00000}"/>
    <cellStyle name="输入 2 8 5 12" xfId="49241" xr:uid="{00000000-0005-0000-0000-000089C00000}"/>
    <cellStyle name="输入 2 8 5 12 2" xfId="49242" xr:uid="{00000000-0005-0000-0000-00008AC00000}"/>
    <cellStyle name="输入 2 8 5 13" xfId="30278" xr:uid="{00000000-0005-0000-0000-000076760000}"/>
    <cellStyle name="输入 2 8 5 14" xfId="13834" xr:uid="{00000000-0005-0000-0000-00003A360000}"/>
    <cellStyle name="输入 2 8 5 15" xfId="41002" xr:uid="{00000000-0005-0000-0000-00005AA00000}"/>
    <cellStyle name="输入 2 8 5 16" xfId="41004" xr:uid="{00000000-0005-0000-0000-00005CA00000}"/>
    <cellStyle name="输入 2 8 5 2" xfId="49243" xr:uid="{00000000-0005-0000-0000-00008BC00000}"/>
    <cellStyle name="输入 2 8 5 2 2" xfId="49244" xr:uid="{00000000-0005-0000-0000-00008CC00000}"/>
    <cellStyle name="输入 2 8 5 2 2 2" xfId="49245" xr:uid="{00000000-0005-0000-0000-00008DC00000}"/>
    <cellStyle name="输入 2 8 5 2 3" xfId="49246" xr:uid="{00000000-0005-0000-0000-00008EC00000}"/>
    <cellStyle name="输入 2 8 5 2 3 2" xfId="49247" xr:uid="{00000000-0005-0000-0000-00008FC00000}"/>
    <cellStyle name="输入 2 8 5 2 4" xfId="49248" xr:uid="{00000000-0005-0000-0000-000090C00000}"/>
    <cellStyle name="输入 2 8 5 2 4 2" xfId="36522" xr:uid="{00000000-0005-0000-0000-0000DA8E0000}"/>
    <cellStyle name="输入 2 8 5 2 5" xfId="49249" xr:uid="{00000000-0005-0000-0000-000091C00000}"/>
    <cellStyle name="输入 2 8 5 2 5 2" xfId="36538" xr:uid="{00000000-0005-0000-0000-0000EA8E0000}"/>
    <cellStyle name="输入 2 8 5 2 6" xfId="49251" xr:uid="{00000000-0005-0000-0000-000093C00000}"/>
    <cellStyle name="输入 2 8 5 2 7" xfId="6148" xr:uid="{00000000-0005-0000-0000-000034180000}"/>
    <cellStyle name="输入 2 8 5 2 8" xfId="40897" xr:uid="{00000000-0005-0000-0000-0000F19F0000}"/>
    <cellStyle name="输入 2 8 5 2 9" xfId="40900" xr:uid="{00000000-0005-0000-0000-0000F49F0000}"/>
    <cellStyle name="输入 2 8 5 3" xfId="49252" xr:uid="{00000000-0005-0000-0000-000094C00000}"/>
    <cellStyle name="输入 2 8 5 3 2" xfId="49253" xr:uid="{00000000-0005-0000-0000-000095C00000}"/>
    <cellStyle name="输入 2 8 5 3 2 2" xfId="49254" xr:uid="{00000000-0005-0000-0000-000096C00000}"/>
    <cellStyle name="输入 2 8 5 3 3" xfId="49255" xr:uid="{00000000-0005-0000-0000-000097C00000}"/>
    <cellStyle name="输入 2 8 5 3 3 2" xfId="49256" xr:uid="{00000000-0005-0000-0000-000098C00000}"/>
    <cellStyle name="输入 2 8 5 3 4" xfId="49257" xr:uid="{00000000-0005-0000-0000-000099C00000}"/>
    <cellStyle name="输入 2 8 5 3 4 2" xfId="36574" xr:uid="{00000000-0005-0000-0000-00000E8F0000}"/>
    <cellStyle name="输入 2 8 5 3 5" xfId="49258" xr:uid="{00000000-0005-0000-0000-00009AC00000}"/>
    <cellStyle name="输入 2 8 5 3 5 2" xfId="36590" xr:uid="{00000000-0005-0000-0000-00001E8F0000}"/>
    <cellStyle name="输入 2 8 5 3 6" xfId="49260" xr:uid="{00000000-0005-0000-0000-00009CC00000}"/>
    <cellStyle name="输入 2 8 5 4" xfId="49261" xr:uid="{00000000-0005-0000-0000-00009DC00000}"/>
    <cellStyle name="输入 2 8 5 4 2" xfId="49262" xr:uid="{00000000-0005-0000-0000-00009EC00000}"/>
    <cellStyle name="输入 2 8 5 4 2 2" xfId="49263" xr:uid="{00000000-0005-0000-0000-00009FC00000}"/>
    <cellStyle name="输入 2 8 5 4 3" xfId="18037" xr:uid="{00000000-0005-0000-0000-0000A5460000}"/>
    <cellStyle name="输入 2 8 5 4 3 2" xfId="49264" xr:uid="{00000000-0005-0000-0000-0000A0C00000}"/>
    <cellStyle name="输入 2 8 5 4 4" xfId="49265" xr:uid="{00000000-0005-0000-0000-0000A1C00000}"/>
    <cellStyle name="输入 2 8 5 4 4 2" xfId="36634" xr:uid="{00000000-0005-0000-0000-00004A8F0000}"/>
    <cellStyle name="输入 2 8 5 4 5" xfId="49266" xr:uid="{00000000-0005-0000-0000-0000A2C00000}"/>
    <cellStyle name="输入 2 8 5 4 5 2" xfId="36645" xr:uid="{00000000-0005-0000-0000-0000558F0000}"/>
    <cellStyle name="输入 2 8 5 4 6" xfId="49268" xr:uid="{00000000-0005-0000-0000-0000A4C00000}"/>
    <cellStyle name="输入 2 8 5 5" xfId="49269" xr:uid="{00000000-0005-0000-0000-0000A5C00000}"/>
    <cellStyle name="输入 2 8 5 5 2" xfId="49270" xr:uid="{00000000-0005-0000-0000-0000A6C00000}"/>
    <cellStyle name="输入 2 8 5 5 2 2" xfId="49271" xr:uid="{00000000-0005-0000-0000-0000A7C00000}"/>
    <cellStyle name="输入 2 8 5 5 3" xfId="18071" xr:uid="{00000000-0005-0000-0000-0000C7460000}"/>
    <cellStyle name="输入 2 8 5 5 3 2" xfId="49272" xr:uid="{00000000-0005-0000-0000-0000A8C00000}"/>
    <cellStyle name="输入 2 8 5 5 4" xfId="49273" xr:uid="{00000000-0005-0000-0000-0000A9C00000}"/>
    <cellStyle name="输入 2 8 5 5 4 2" xfId="36675" xr:uid="{00000000-0005-0000-0000-0000738F0000}"/>
    <cellStyle name="输入 2 8 5 5 5" xfId="49004" xr:uid="{00000000-0005-0000-0000-00009CBF0000}"/>
    <cellStyle name="输入 2 8 5 5 5 2" xfId="36688" xr:uid="{00000000-0005-0000-0000-0000808F0000}"/>
    <cellStyle name="输入 2 8 5 5 6" xfId="49274" xr:uid="{00000000-0005-0000-0000-0000AAC00000}"/>
    <cellStyle name="输入 2 8 5 6" xfId="49275" xr:uid="{00000000-0005-0000-0000-0000ABC00000}"/>
    <cellStyle name="输入 2 8 5 6 2" xfId="49276" xr:uid="{00000000-0005-0000-0000-0000ACC00000}"/>
    <cellStyle name="输入 2 8 5 6 2 2" xfId="49277" xr:uid="{00000000-0005-0000-0000-0000ADC00000}"/>
    <cellStyle name="输入 2 8 5 6 3" xfId="6090" xr:uid="{00000000-0005-0000-0000-0000FA170000}"/>
    <cellStyle name="输入 2 8 5 6 3 2" xfId="49278" xr:uid="{00000000-0005-0000-0000-0000AEC00000}"/>
    <cellStyle name="输入 2 8 5 6 4" xfId="18125" xr:uid="{00000000-0005-0000-0000-0000FD460000}"/>
    <cellStyle name="输入 2 8 5 6 4 2" xfId="36740" xr:uid="{00000000-0005-0000-0000-0000B48F0000}"/>
    <cellStyle name="输入 2 8 5 6 5" xfId="49007" xr:uid="{00000000-0005-0000-0000-00009FBF0000}"/>
    <cellStyle name="输入 2 8 5 6 5 2" xfId="36756" xr:uid="{00000000-0005-0000-0000-0000C48F0000}"/>
    <cellStyle name="输入 2 8 5 6 6" xfId="49279" xr:uid="{00000000-0005-0000-0000-0000AFC00000}"/>
    <cellStyle name="输入 2 8 5 7" xfId="49280" xr:uid="{00000000-0005-0000-0000-0000B0C00000}"/>
    <cellStyle name="输入 2 8 5 7 2" xfId="49281" xr:uid="{00000000-0005-0000-0000-0000B1C00000}"/>
    <cellStyle name="输入 2 8 5 7 2 2" xfId="49282" xr:uid="{00000000-0005-0000-0000-0000B2C00000}"/>
    <cellStyle name="输入 2 8 5 7 3" xfId="10615" xr:uid="{00000000-0005-0000-0000-0000A7290000}"/>
    <cellStyle name="输入 2 8 5 7 3 2" xfId="49283" xr:uid="{00000000-0005-0000-0000-0000B3C00000}"/>
    <cellStyle name="输入 2 8 5 7 4" xfId="18171" xr:uid="{00000000-0005-0000-0000-00002B470000}"/>
    <cellStyle name="输入 2 8 5 7 4 2" xfId="36800" xr:uid="{00000000-0005-0000-0000-0000F08F0000}"/>
    <cellStyle name="输入 2 8 5 7 5" xfId="49010" xr:uid="{00000000-0005-0000-0000-0000A2BF0000}"/>
    <cellStyle name="输入 2 8 5 7 5 2" xfId="36817" xr:uid="{00000000-0005-0000-0000-000001900000}"/>
    <cellStyle name="输入 2 8 5 7 6" xfId="49284" xr:uid="{00000000-0005-0000-0000-0000B4C00000}"/>
    <cellStyle name="输入 2 8 5 8" xfId="49285" xr:uid="{00000000-0005-0000-0000-0000B5C00000}"/>
    <cellStyle name="输入 2 8 5 8 2" xfId="49286" xr:uid="{00000000-0005-0000-0000-0000B6C00000}"/>
    <cellStyle name="输入 2 8 5 8 2 2" xfId="49287" xr:uid="{00000000-0005-0000-0000-0000B7C00000}"/>
    <cellStyle name="输入 2 8 5 8 3" xfId="10631" xr:uid="{00000000-0005-0000-0000-0000B7290000}"/>
    <cellStyle name="输入 2 8 5 8 3 2" xfId="49288" xr:uid="{00000000-0005-0000-0000-0000B8C00000}"/>
    <cellStyle name="输入 2 8 5 8 4" xfId="20860" xr:uid="{00000000-0005-0000-0000-0000AC510000}"/>
    <cellStyle name="输入 2 8 5 8 4 2" xfId="36859" xr:uid="{00000000-0005-0000-0000-00002B900000}"/>
    <cellStyle name="输入 2 8 5 8 5" xfId="49013" xr:uid="{00000000-0005-0000-0000-0000A5BF0000}"/>
    <cellStyle name="输入 2 8 5 9" xfId="49289" xr:uid="{00000000-0005-0000-0000-0000B9C00000}"/>
    <cellStyle name="输入 2 8 5 9 2" xfId="49290" xr:uid="{00000000-0005-0000-0000-0000BAC00000}"/>
    <cellStyle name="输入 2 8 6" xfId="49291" xr:uid="{00000000-0005-0000-0000-0000BBC00000}"/>
    <cellStyle name="输入 2 8 6 10" xfId="28359" xr:uid="{00000000-0005-0000-0000-0000F76E0000}"/>
    <cellStyle name="输入 2 8 6 10 2" xfId="28399" xr:uid="{00000000-0005-0000-0000-00001F6F0000}"/>
    <cellStyle name="输入 2 8 6 11" xfId="49292" xr:uid="{00000000-0005-0000-0000-0000BCC00000}"/>
    <cellStyle name="输入 2 8 6 11 2" xfId="28497" xr:uid="{00000000-0005-0000-0000-0000816F0000}"/>
    <cellStyle name="输入 2 8 6 12" xfId="49294" xr:uid="{00000000-0005-0000-0000-0000BEC00000}"/>
    <cellStyle name="输入 2 8 6 12 2" xfId="28172" xr:uid="{00000000-0005-0000-0000-00003C6E0000}"/>
    <cellStyle name="输入 2 8 6 13" xfId="43778" xr:uid="{00000000-0005-0000-0000-000032AB0000}"/>
    <cellStyle name="输入 2 8 6 14" xfId="49295" xr:uid="{00000000-0005-0000-0000-0000BFC00000}"/>
    <cellStyle name="输入 2 8 6 15" xfId="49296" xr:uid="{00000000-0005-0000-0000-0000C0C00000}"/>
    <cellStyle name="输入 2 8 6 16" xfId="49297" xr:uid="{00000000-0005-0000-0000-0000C1C00000}"/>
    <cellStyle name="输入 2 8 6 2" xfId="49298" xr:uid="{00000000-0005-0000-0000-0000C2C00000}"/>
    <cellStyle name="输入 2 8 6 2 2" xfId="49299" xr:uid="{00000000-0005-0000-0000-0000C3C00000}"/>
    <cellStyle name="输入 2 8 6 2 2 2" xfId="37889" xr:uid="{00000000-0005-0000-0000-000031940000}"/>
    <cellStyle name="输入 2 8 6 2 3" xfId="49300" xr:uid="{00000000-0005-0000-0000-0000C4C00000}"/>
    <cellStyle name="输入 2 8 6 2 3 2" xfId="37903" xr:uid="{00000000-0005-0000-0000-00003F940000}"/>
    <cellStyle name="输入 2 8 6 2 4" xfId="49301" xr:uid="{00000000-0005-0000-0000-0000C5C00000}"/>
    <cellStyle name="输入 2 8 6 2 4 2" xfId="36926" xr:uid="{00000000-0005-0000-0000-00006E900000}"/>
    <cellStyle name="输入 2 8 6 2 5" xfId="35813" xr:uid="{00000000-0005-0000-0000-0000158C0000}"/>
    <cellStyle name="输入 2 8 6 2 5 2" xfId="1269" xr:uid="{00000000-0005-0000-0000-000025050000}"/>
    <cellStyle name="输入 2 8 6 2 6" xfId="49302" xr:uid="{00000000-0005-0000-0000-0000C6C00000}"/>
    <cellStyle name="输入 2 8 6 2 7" xfId="18225" xr:uid="{00000000-0005-0000-0000-000061470000}"/>
    <cellStyle name="输入 2 8 6 2 8" xfId="49303" xr:uid="{00000000-0005-0000-0000-0000C7C00000}"/>
    <cellStyle name="输入 2 8 6 2 9" xfId="49305" xr:uid="{00000000-0005-0000-0000-0000C9C00000}"/>
    <cellStyle name="输入 2 8 6 3" xfId="49306" xr:uid="{00000000-0005-0000-0000-0000CAC00000}"/>
    <cellStyle name="输入 2 8 6 3 2" xfId="49307" xr:uid="{00000000-0005-0000-0000-0000CBC00000}"/>
    <cellStyle name="输入 2 8 6 3 2 2" xfId="18255" xr:uid="{00000000-0005-0000-0000-00007F470000}"/>
    <cellStyle name="输入 2 8 6 3 3" xfId="49308" xr:uid="{00000000-0005-0000-0000-0000CCC00000}"/>
    <cellStyle name="输入 2 8 6 3 3 2" xfId="18260" xr:uid="{00000000-0005-0000-0000-000084470000}"/>
    <cellStyle name="输入 2 8 6 3 4" xfId="49309" xr:uid="{00000000-0005-0000-0000-0000CDC00000}"/>
    <cellStyle name="输入 2 8 6 3 4 2" xfId="3009" xr:uid="{00000000-0005-0000-0000-0000F10B0000}"/>
    <cellStyle name="输入 2 8 6 3 5" xfId="22548" xr:uid="{00000000-0005-0000-0000-000044580000}"/>
    <cellStyle name="输入 2 8 6 3 5 2" xfId="5721" xr:uid="{00000000-0005-0000-0000-000089160000}"/>
    <cellStyle name="输入 2 8 6 3 6" xfId="49310" xr:uid="{00000000-0005-0000-0000-0000CEC00000}"/>
    <cellStyle name="输入 2 8 6 4" xfId="49311" xr:uid="{00000000-0005-0000-0000-0000CFC00000}"/>
    <cellStyle name="输入 2 8 6 4 2" xfId="49312" xr:uid="{00000000-0005-0000-0000-0000D0C00000}"/>
    <cellStyle name="输入 2 8 6 4 2 2" xfId="7747" xr:uid="{00000000-0005-0000-0000-0000731E0000}"/>
    <cellStyle name="输入 2 8 6 4 3" xfId="18303" xr:uid="{00000000-0005-0000-0000-0000AF470000}"/>
    <cellStyle name="输入 2 8 6 4 3 2" xfId="37982" xr:uid="{00000000-0005-0000-0000-00008E940000}"/>
    <cellStyle name="输入 2 8 6 4 4" xfId="49313" xr:uid="{00000000-0005-0000-0000-0000D1C00000}"/>
    <cellStyle name="输入 2 8 6 4 4 2" xfId="37029" xr:uid="{00000000-0005-0000-0000-0000D5900000}"/>
    <cellStyle name="输入 2 8 6 4 5" xfId="35818" xr:uid="{00000000-0005-0000-0000-00001A8C0000}"/>
    <cellStyle name="输入 2 8 6 4 5 2" xfId="37053" xr:uid="{00000000-0005-0000-0000-0000ED900000}"/>
    <cellStyle name="输入 2 8 6 4 6" xfId="49314" xr:uid="{00000000-0005-0000-0000-0000D2C00000}"/>
    <cellStyle name="输入 2 8 6 5" xfId="49315" xr:uid="{00000000-0005-0000-0000-0000D3C00000}"/>
    <cellStyle name="输入 2 8 6 5 2" xfId="49316" xr:uid="{00000000-0005-0000-0000-0000D4C00000}"/>
    <cellStyle name="输入 2 8 6 5 2 2" xfId="8838" xr:uid="{00000000-0005-0000-0000-0000B6220000}"/>
    <cellStyle name="输入 2 8 6 5 3" xfId="18344" xr:uid="{00000000-0005-0000-0000-0000D8470000}"/>
    <cellStyle name="输入 2 8 6 5 3 2" xfId="38023" xr:uid="{00000000-0005-0000-0000-0000B7940000}"/>
    <cellStyle name="输入 2 8 6 5 4" xfId="49317" xr:uid="{00000000-0005-0000-0000-0000D5C00000}"/>
    <cellStyle name="输入 2 8 6 5 4 2" xfId="37097" xr:uid="{00000000-0005-0000-0000-000019910000}"/>
    <cellStyle name="输入 2 8 6 5 5" xfId="49015" xr:uid="{00000000-0005-0000-0000-0000A7BF0000}"/>
    <cellStyle name="输入 2 8 6 5 5 2" xfId="37122" xr:uid="{00000000-0005-0000-0000-000032910000}"/>
    <cellStyle name="输入 2 8 6 5 6" xfId="49318" xr:uid="{00000000-0005-0000-0000-0000D6C00000}"/>
    <cellStyle name="输入 2 8 6 6" xfId="26113" xr:uid="{00000000-0005-0000-0000-000031660000}"/>
    <cellStyle name="输入 2 8 6 6 2" xfId="49319" xr:uid="{00000000-0005-0000-0000-0000D7C00000}"/>
    <cellStyle name="输入 2 8 6 6 2 2" xfId="18404" xr:uid="{00000000-0005-0000-0000-000014480000}"/>
    <cellStyle name="输入 2 8 6 6 3" xfId="10660" xr:uid="{00000000-0005-0000-0000-0000D4290000}"/>
    <cellStyle name="输入 2 8 6 6 3 2" xfId="38055" xr:uid="{00000000-0005-0000-0000-0000D7940000}"/>
    <cellStyle name="输入 2 8 6 6 4" xfId="18415" xr:uid="{00000000-0005-0000-0000-00001F480000}"/>
    <cellStyle name="输入 2 8 6 6 4 2" xfId="37188" xr:uid="{00000000-0005-0000-0000-000074910000}"/>
    <cellStyle name="输入 2 8 6 6 5" xfId="49017" xr:uid="{00000000-0005-0000-0000-0000A9BF0000}"/>
    <cellStyle name="输入 2 8 6 6 5 2" xfId="37212" xr:uid="{00000000-0005-0000-0000-00008C910000}"/>
    <cellStyle name="输入 2 8 6 6 6" xfId="49320" xr:uid="{00000000-0005-0000-0000-0000D8C00000}"/>
    <cellStyle name="输入 2 8 6 7" xfId="49321" xr:uid="{00000000-0005-0000-0000-0000D9C00000}"/>
    <cellStyle name="输入 2 8 6 7 2" xfId="49322" xr:uid="{00000000-0005-0000-0000-0000DAC00000}"/>
    <cellStyle name="输入 2 8 6 7 2 2" xfId="49323" xr:uid="{00000000-0005-0000-0000-0000DBC00000}"/>
    <cellStyle name="输入 2 8 6 7 3" xfId="10678" xr:uid="{00000000-0005-0000-0000-0000E6290000}"/>
    <cellStyle name="输入 2 8 6 7 3 2" xfId="49324" xr:uid="{00000000-0005-0000-0000-0000DCC00000}"/>
    <cellStyle name="输入 2 8 6 7 4" xfId="18466" xr:uid="{00000000-0005-0000-0000-000052480000}"/>
    <cellStyle name="输入 2 8 6 7 4 2" xfId="37266" xr:uid="{00000000-0005-0000-0000-0000C2910000}"/>
    <cellStyle name="输入 2 8 6 7 5" xfId="49019" xr:uid="{00000000-0005-0000-0000-0000ABBF0000}"/>
    <cellStyle name="输入 2 8 6 7 5 2" xfId="37289" xr:uid="{00000000-0005-0000-0000-0000D9910000}"/>
    <cellStyle name="输入 2 8 6 7 6" xfId="49325" xr:uid="{00000000-0005-0000-0000-0000DDC00000}"/>
    <cellStyle name="输入 2 8 6 8" xfId="49326" xr:uid="{00000000-0005-0000-0000-0000DEC00000}"/>
    <cellStyle name="输入 2 8 6 8 2" xfId="49327" xr:uid="{00000000-0005-0000-0000-0000DFC00000}"/>
    <cellStyle name="输入 2 8 6 8 2 2" xfId="49328" xr:uid="{00000000-0005-0000-0000-0000E0C00000}"/>
    <cellStyle name="输入 2 8 6 8 3" xfId="10698" xr:uid="{00000000-0005-0000-0000-0000FA290000}"/>
    <cellStyle name="输入 2 8 6 8 3 2" xfId="49329" xr:uid="{00000000-0005-0000-0000-0000E1C00000}"/>
    <cellStyle name="输入 2 8 6 8 4" xfId="20877" xr:uid="{00000000-0005-0000-0000-0000BD510000}"/>
    <cellStyle name="输入 2 8 6 8 4 2" xfId="37341" xr:uid="{00000000-0005-0000-0000-00000D920000}"/>
    <cellStyle name="输入 2 8 6 8 5" xfId="49021" xr:uid="{00000000-0005-0000-0000-0000ADBF0000}"/>
    <cellStyle name="输入 2 8 6 9" xfId="49330" xr:uid="{00000000-0005-0000-0000-0000E2C00000}"/>
    <cellStyle name="输入 2 8 6 9 2" xfId="49331" xr:uid="{00000000-0005-0000-0000-0000E3C00000}"/>
    <cellStyle name="输入 2 8 7" xfId="49332" xr:uid="{00000000-0005-0000-0000-0000E4C00000}"/>
    <cellStyle name="输入 2 8 7 10" xfId="25474" xr:uid="{00000000-0005-0000-0000-0000B2630000}"/>
    <cellStyle name="输入 2 8 7 10 2" xfId="33254" xr:uid="{00000000-0005-0000-0000-000016820000}"/>
    <cellStyle name="输入 2 8 7 11" xfId="49333" xr:uid="{00000000-0005-0000-0000-0000E5C00000}"/>
    <cellStyle name="输入 2 8 7 11 2" xfId="33294" xr:uid="{00000000-0005-0000-0000-00003E820000}"/>
    <cellStyle name="输入 2 8 7 12" xfId="9216" xr:uid="{00000000-0005-0000-0000-000030240000}"/>
    <cellStyle name="输入 2 8 7 12 2" xfId="33347" xr:uid="{00000000-0005-0000-0000-000073820000}"/>
    <cellStyle name="输入 2 8 7 13" xfId="49334" xr:uid="{00000000-0005-0000-0000-0000E6C00000}"/>
    <cellStyle name="输入 2 8 7 14" xfId="49335" xr:uid="{00000000-0005-0000-0000-0000E7C00000}"/>
    <cellStyle name="输入 2 8 7 15" xfId="49336" xr:uid="{00000000-0005-0000-0000-0000E8C00000}"/>
    <cellStyle name="输入 2 8 7 16" xfId="11947" xr:uid="{00000000-0005-0000-0000-0000DB2E0000}"/>
    <cellStyle name="输入 2 8 7 2" xfId="49338" xr:uid="{00000000-0005-0000-0000-0000EAC00000}"/>
    <cellStyle name="输入 2 8 7 2 2" xfId="49339" xr:uid="{00000000-0005-0000-0000-0000EBC00000}"/>
    <cellStyle name="输入 2 8 7 2 2 2" xfId="38462" xr:uid="{00000000-0005-0000-0000-00006E960000}"/>
    <cellStyle name="输入 2 8 7 2 3" xfId="44124" xr:uid="{00000000-0005-0000-0000-00008CAC0000}"/>
    <cellStyle name="输入 2 8 7 2 3 2" xfId="38474" xr:uid="{00000000-0005-0000-0000-00007A960000}"/>
    <cellStyle name="输入 2 8 7 2 4" xfId="34129" xr:uid="{00000000-0005-0000-0000-000081850000}"/>
    <cellStyle name="输入 2 8 7 2 4 2" xfId="34132" xr:uid="{00000000-0005-0000-0000-000084850000}"/>
    <cellStyle name="输入 2 8 7 2 5" xfId="34136" xr:uid="{00000000-0005-0000-0000-000088850000}"/>
    <cellStyle name="输入 2 8 7 2 5 2" xfId="34140" xr:uid="{00000000-0005-0000-0000-00008C850000}"/>
    <cellStyle name="输入 2 8 7 2 6" xfId="30520" xr:uid="{00000000-0005-0000-0000-000068770000}"/>
    <cellStyle name="输入 2 8 7 2 7" xfId="18544" xr:uid="{00000000-0005-0000-0000-0000A0480000}"/>
    <cellStyle name="输入 2 8 7 2 8" xfId="30528" xr:uid="{00000000-0005-0000-0000-000070770000}"/>
    <cellStyle name="输入 2 8 7 2 9" xfId="49340" xr:uid="{00000000-0005-0000-0000-0000ECC00000}"/>
    <cellStyle name="输入 2 8 7 3" xfId="49342" xr:uid="{00000000-0005-0000-0000-0000EEC00000}"/>
    <cellStyle name="输入 2 8 7 3 2" xfId="49343" xr:uid="{00000000-0005-0000-0000-0000EFC00000}"/>
    <cellStyle name="输入 2 8 7 3 2 2" xfId="13678" xr:uid="{00000000-0005-0000-0000-00009E350000}"/>
    <cellStyle name="输入 2 8 7 3 3" xfId="44127" xr:uid="{00000000-0005-0000-0000-00008FAC0000}"/>
    <cellStyle name="输入 2 8 7 3 3 2" xfId="13695" xr:uid="{00000000-0005-0000-0000-0000AF350000}"/>
    <cellStyle name="输入 2 8 7 3 4" xfId="13701" xr:uid="{00000000-0005-0000-0000-0000B5350000}"/>
    <cellStyle name="输入 2 8 7 3 4 2" xfId="9213" xr:uid="{00000000-0005-0000-0000-00002D240000}"/>
    <cellStyle name="输入 2 8 7 3 5" xfId="13706" xr:uid="{00000000-0005-0000-0000-0000BA350000}"/>
    <cellStyle name="输入 2 8 7 3 5 2" xfId="9248" xr:uid="{00000000-0005-0000-0000-000050240000}"/>
    <cellStyle name="输入 2 8 7 3 6" xfId="11704" xr:uid="{00000000-0005-0000-0000-0000E82D0000}"/>
    <cellStyle name="输入 2 8 7 4" xfId="49344" xr:uid="{00000000-0005-0000-0000-0000F0C00000}"/>
    <cellStyle name="输入 2 8 7 4 2" xfId="44866" xr:uid="{00000000-0005-0000-0000-000072AF0000}"/>
    <cellStyle name="输入 2 8 7 4 2 2" xfId="18601" xr:uid="{00000000-0005-0000-0000-0000D9480000}"/>
    <cellStyle name="输入 2 8 7 4 3" xfId="18605" xr:uid="{00000000-0005-0000-0000-0000DD480000}"/>
    <cellStyle name="输入 2 8 7 4 3 2" xfId="18614" xr:uid="{00000000-0005-0000-0000-0000E6480000}"/>
    <cellStyle name="输入 2 8 7 4 4" xfId="18620" xr:uid="{00000000-0005-0000-0000-0000EC480000}"/>
    <cellStyle name="输入 2 8 7 4 4 2" xfId="28275" xr:uid="{00000000-0005-0000-0000-0000A36E0000}"/>
    <cellStyle name="输入 2 8 7 4 5" xfId="28336" xr:uid="{00000000-0005-0000-0000-0000E06E0000}"/>
    <cellStyle name="输入 2 8 7 4 5 2" xfId="28347" xr:uid="{00000000-0005-0000-0000-0000EB6E0000}"/>
    <cellStyle name="输入 2 8 7 4 6" xfId="49345" xr:uid="{00000000-0005-0000-0000-0000F1C00000}"/>
    <cellStyle name="输入 2 8 7 5" xfId="49346" xr:uid="{00000000-0005-0000-0000-0000F2C00000}"/>
    <cellStyle name="输入 2 8 7 5 2" xfId="49347" xr:uid="{00000000-0005-0000-0000-0000F3C00000}"/>
    <cellStyle name="输入 2 8 7 5 2 2" xfId="18658" xr:uid="{00000000-0005-0000-0000-000012490000}"/>
    <cellStyle name="输入 2 8 7 5 3" xfId="18662" xr:uid="{00000000-0005-0000-0000-000016490000}"/>
    <cellStyle name="输入 2 8 7 5 3 2" xfId="18670" xr:uid="{00000000-0005-0000-0000-00001E490000}"/>
    <cellStyle name="输入 2 8 7 5 4" xfId="18676" xr:uid="{00000000-0005-0000-0000-000024490000}"/>
    <cellStyle name="输入 2 8 7 5 4 2" xfId="27328" xr:uid="{00000000-0005-0000-0000-0000F06A0000}"/>
    <cellStyle name="输入 2 8 7 5 5" xfId="49024" xr:uid="{00000000-0005-0000-0000-0000B0BF0000}"/>
    <cellStyle name="输入 2 8 7 5 5 2" xfId="27337" xr:uid="{00000000-0005-0000-0000-0000F96A0000}"/>
    <cellStyle name="输入 2 8 7 5 6" xfId="49348" xr:uid="{00000000-0005-0000-0000-0000F4C00000}"/>
    <cellStyle name="输入 2 8 7 6" xfId="26121" xr:uid="{00000000-0005-0000-0000-000039660000}"/>
    <cellStyle name="输入 2 8 7 6 2" xfId="49349" xr:uid="{00000000-0005-0000-0000-0000F5C00000}"/>
    <cellStyle name="输入 2 8 7 6 2 2" xfId="18730" xr:uid="{00000000-0005-0000-0000-00005A490000}"/>
    <cellStyle name="输入 2 8 7 6 3" xfId="10733" xr:uid="{00000000-0005-0000-0000-00001D2A0000}"/>
    <cellStyle name="输入 2 8 7 6 3 2" xfId="29806" xr:uid="{00000000-0005-0000-0000-00009E740000}"/>
    <cellStyle name="输入 2 8 7 6 4" xfId="18736" xr:uid="{00000000-0005-0000-0000-000060490000}"/>
    <cellStyle name="输入 2 8 7 6 4 2" xfId="29888" xr:uid="{00000000-0005-0000-0000-0000F0740000}"/>
    <cellStyle name="输入 2 8 7 6 5" xfId="49027" xr:uid="{00000000-0005-0000-0000-0000B3BF0000}"/>
    <cellStyle name="输入 2 8 7 6 5 2" xfId="30021" xr:uid="{00000000-0005-0000-0000-000075750000}"/>
    <cellStyle name="输入 2 8 7 6 6" xfId="49350" xr:uid="{00000000-0005-0000-0000-0000F6C00000}"/>
    <cellStyle name="输入 2 8 7 7" xfId="49351" xr:uid="{00000000-0005-0000-0000-0000F7C00000}"/>
    <cellStyle name="输入 2 8 7 7 2" xfId="49352" xr:uid="{00000000-0005-0000-0000-0000F8C00000}"/>
    <cellStyle name="输入 2 8 7 7 2 2" xfId="18779" xr:uid="{00000000-0005-0000-0000-00008B490000}"/>
    <cellStyle name="输入 2 8 7 7 3" xfId="10756" xr:uid="{00000000-0005-0000-0000-0000342A0000}"/>
    <cellStyle name="输入 2 8 7 7 3 2" xfId="31010" xr:uid="{00000000-0005-0000-0000-000052790000}"/>
    <cellStyle name="输入 2 8 7 7 4" xfId="18786" xr:uid="{00000000-0005-0000-0000-000092490000}"/>
    <cellStyle name="输入 2 8 7 7 4 2" xfId="31156" xr:uid="{00000000-0005-0000-0000-0000E4790000}"/>
    <cellStyle name="输入 2 8 7 7 5" xfId="49030" xr:uid="{00000000-0005-0000-0000-0000B6BF0000}"/>
    <cellStyle name="输入 2 8 7 7 5 2" xfId="31346" xr:uid="{00000000-0005-0000-0000-0000A27A0000}"/>
    <cellStyle name="输入 2 8 7 7 6" xfId="49353" xr:uid="{00000000-0005-0000-0000-0000F9C00000}"/>
    <cellStyle name="输入 2 8 7 8" xfId="49354" xr:uid="{00000000-0005-0000-0000-0000FAC00000}"/>
    <cellStyle name="输入 2 8 7 8 2" xfId="49355" xr:uid="{00000000-0005-0000-0000-0000FBC00000}"/>
    <cellStyle name="输入 2 8 7 8 2 2" xfId="13847" xr:uid="{00000000-0005-0000-0000-000047360000}"/>
    <cellStyle name="输入 2 8 7 8 3" xfId="10772" xr:uid="{00000000-0005-0000-0000-0000442A0000}"/>
    <cellStyle name="输入 2 8 7 8 3 2" xfId="32284" xr:uid="{00000000-0005-0000-0000-00004C7E0000}"/>
    <cellStyle name="输入 2 8 7 8 4" xfId="13856" xr:uid="{00000000-0005-0000-0000-000050360000}"/>
    <cellStyle name="输入 2 8 7 8 4 2" xfId="23694" xr:uid="{00000000-0005-0000-0000-0000BE5C0000}"/>
    <cellStyle name="输入 2 8 7 8 5" xfId="49033" xr:uid="{00000000-0005-0000-0000-0000B9BF0000}"/>
    <cellStyle name="输入 2 8 7 9" xfId="49356" xr:uid="{00000000-0005-0000-0000-0000FCC00000}"/>
    <cellStyle name="输入 2 8 7 9 2" xfId="44934" xr:uid="{00000000-0005-0000-0000-0000B6AF0000}"/>
    <cellStyle name="输入 2 8 8" xfId="37988" xr:uid="{00000000-0005-0000-0000-000094940000}"/>
    <cellStyle name="输入 2 8 8 10" xfId="49357" xr:uid="{00000000-0005-0000-0000-0000FDC00000}"/>
    <cellStyle name="输入 2 8 8 10 2" xfId="49358" xr:uid="{00000000-0005-0000-0000-0000FEC00000}"/>
    <cellStyle name="输入 2 8 8 11" xfId="49359" xr:uid="{00000000-0005-0000-0000-0000FFC00000}"/>
    <cellStyle name="输入 2 8 8 11 2" xfId="49360" xr:uid="{00000000-0005-0000-0000-000000C10000}"/>
    <cellStyle name="输入 2 8 8 12" xfId="39864" xr:uid="{00000000-0005-0000-0000-0000E89B0000}"/>
    <cellStyle name="输入 2 8 8 12 2" xfId="49361" xr:uid="{00000000-0005-0000-0000-000001C10000}"/>
    <cellStyle name="输入 2 8 8 13" xfId="49362" xr:uid="{00000000-0005-0000-0000-000002C10000}"/>
    <cellStyle name="输入 2 8 8 14" xfId="44770" xr:uid="{00000000-0005-0000-0000-000012AF0000}"/>
    <cellStyle name="输入 2 8 8 15" xfId="27319" xr:uid="{00000000-0005-0000-0000-0000E76A0000}"/>
    <cellStyle name="输入 2 8 8 16" xfId="17872" xr:uid="{00000000-0005-0000-0000-000000460000}"/>
    <cellStyle name="输入 2 8 8 2" xfId="49363" xr:uid="{00000000-0005-0000-0000-000003C10000}"/>
    <cellStyle name="输入 2 8 8 2 2" xfId="49364" xr:uid="{00000000-0005-0000-0000-000004C10000}"/>
    <cellStyle name="输入 2 8 8 2 2 2" xfId="38849" xr:uid="{00000000-0005-0000-0000-0000F1970000}"/>
    <cellStyle name="输入 2 8 8 2 3" xfId="49365" xr:uid="{00000000-0005-0000-0000-000005C10000}"/>
    <cellStyle name="输入 2 8 8 2 3 2" xfId="38858" xr:uid="{00000000-0005-0000-0000-0000FA970000}"/>
    <cellStyle name="输入 2 8 8 2 4" xfId="49366" xr:uid="{00000000-0005-0000-0000-000006C10000}"/>
    <cellStyle name="输入 2 8 8 2 4 2" xfId="38863" xr:uid="{00000000-0005-0000-0000-0000FF970000}"/>
    <cellStyle name="输入 2 8 8 2 5" xfId="35840" xr:uid="{00000000-0005-0000-0000-0000308C0000}"/>
    <cellStyle name="输入 2 8 8 2 5 2" xfId="38870" xr:uid="{00000000-0005-0000-0000-000006980000}"/>
    <cellStyle name="输入 2 8 8 2 6" xfId="49367" xr:uid="{00000000-0005-0000-0000-000007C10000}"/>
    <cellStyle name="输入 2 8 8 2 7" xfId="14009" xr:uid="{00000000-0005-0000-0000-0000E9360000}"/>
    <cellStyle name="输入 2 8 8 2 8" xfId="49368" xr:uid="{00000000-0005-0000-0000-000008C10000}"/>
    <cellStyle name="输入 2 8 8 2 9" xfId="49369" xr:uid="{00000000-0005-0000-0000-000009C10000}"/>
    <cellStyle name="输入 2 8 8 3" xfId="49371" xr:uid="{00000000-0005-0000-0000-00000BC10000}"/>
    <cellStyle name="输入 2 8 8 3 2" xfId="49372" xr:uid="{00000000-0005-0000-0000-00000CC10000}"/>
    <cellStyle name="输入 2 8 8 3 2 2" xfId="38898" xr:uid="{00000000-0005-0000-0000-000022980000}"/>
    <cellStyle name="输入 2 8 8 3 3" xfId="49373" xr:uid="{00000000-0005-0000-0000-00000DC10000}"/>
    <cellStyle name="输入 2 8 8 3 3 2" xfId="38905" xr:uid="{00000000-0005-0000-0000-000029980000}"/>
    <cellStyle name="输入 2 8 8 3 4" xfId="49374" xr:uid="{00000000-0005-0000-0000-00000EC10000}"/>
    <cellStyle name="输入 2 8 8 3 4 2" xfId="38909" xr:uid="{00000000-0005-0000-0000-00002D980000}"/>
    <cellStyle name="输入 2 8 8 3 5" xfId="35843" xr:uid="{00000000-0005-0000-0000-0000338C0000}"/>
    <cellStyle name="输入 2 8 8 3 5 2" xfId="38915" xr:uid="{00000000-0005-0000-0000-000033980000}"/>
    <cellStyle name="输入 2 8 8 3 6" xfId="49375" xr:uid="{00000000-0005-0000-0000-00000FC10000}"/>
    <cellStyle name="输入 2 8 8 4" xfId="39577" xr:uid="{00000000-0005-0000-0000-0000C99A0000}"/>
    <cellStyle name="输入 2 8 8 4 2" xfId="45213" xr:uid="{00000000-0005-0000-0000-0000CDB00000}"/>
    <cellStyle name="输入 2 8 8 4 2 2" xfId="38939" xr:uid="{00000000-0005-0000-0000-00004B980000}"/>
    <cellStyle name="输入 2 8 8 4 3" xfId="14046" xr:uid="{00000000-0005-0000-0000-00000E370000}"/>
    <cellStyle name="输入 2 8 8 4 3 2" xfId="38947" xr:uid="{00000000-0005-0000-0000-000053980000}"/>
    <cellStyle name="输入 2 8 8 4 4" xfId="49376" xr:uid="{00000000-0005-0000-0000-000010C10000}"/>
    <cellStyle name="输入 2 8 8 4 4 2" xfId="38951" xr:uid="{00000000-0005-0000-0000-000057980000}"/>
    <cellStyle name="输入 2 8 8 4 5" xfId="35846" xr:uid="{00000000-0005-0000-0000-0000368C0000}"/>
    <cellStyle name="输入 2 8 8 4 5 2" xfId="38956" xr:uid="{00000000-0005-0000-0000-00005C980000}"/>
    <cellStyle name="输入 2 8 8 4 6" xfId="49377" xr:uid="{00000000-0005-0000-0000-000011C10000}"/>
    <cellStyle name="输入 2 8 8 5" xfId="49378" xr:uid="{00000000-0005-0000-0000-000012C10000}"/>
    <cellStyle name="输入 2 8 8 5 2" xfId="49379" xr:uid="{00000000-0005-0000-0000-000013C10000}"/>
    <cellStyle name="输入 2 8 8 5 2 2" xfId="38977" xr:uid="{00000000-0005-0000-0000-000071980000}"/>
    <cellStyle name="输入 2 8 8 5 3" xfId="14094" xr:uid="{00000000-0005-0000-0000-00003E370000}"/>
    <cellStyle name="输入 2 8 8 5 3 2" xfId="38985" xr:uid="{00000000-0005-0000-0000-000079980000}"/>
    <cellStyle name="输入 2 8 8 5 4" xfId="49380" xr:uid="{00000000-0005-0000-0000-000014C10000}"/>
    <cellStyle name="输入 2 8 8 5 4 2" xfId="38989" xr:uid="{00000000-0005-0000-0000-00007D980000}"/>
    <cellStyle name="输入 2 8 8 5 5" xfId="49036" xr:uid="{00000000-0005-0000-0000-0000BCBF0000}"/>
    <cellStyle name="输入 2 8 8 5 5 2" xfId="38993" xr:uid="{00000000-0005-0000-0000-000081980000}"/>
    <cellStyle name="输入 2 8 8 5 6" xfId="49381" xr:uid="{00000000-0005-0000-0000-000015C10000}"/>
    <cellStyle name="输入 2 8 8 6" xfId="30125" xr:uid="{00000000-0005-0000-0000-0000DD750000}"/>
    <cellStyle name="输入 2 8 8 6 2" xfId="49382" xr:uid="{00000000-0005-0000-0000-000016C10000}"/>
    <cellStyle name="输入 2 8 8 6 2 2" xfId="39008" xr:uid="{00000000-0005-0000-0000-000090980000}"/>
    <cellStyle name="输入 2 8 8 6 3" xfId="1786" xr:uid="{00000000-0005-0000-0000-00002A070000}"/>
    <cellStyle name="输入 2 8 8 6 3 2" xfId="39019" xr:uid="{00000000-0005-0000-0000-00009B980000}"/>
    <cellStyle name="输入 2 8 8 6 4" xfId="1812" xr:uid="{00000000-0005-0000-0000-000044070000}"/>
    <cellStyle name="输入 2 8 8 6 4 2" xfId="39025" xr:uid="{00000000-0005-0000-0000-0000A1980000}"/>
    <cellStyle name="输入 2 8 8 6 5" xfId="49039" xr:uid="{00000000-0005-0000-0000-0000BFBF0000}"/>
    <cellStyle name="输入 2 8 8 6 5 2" xfId="39031" xr:uid="{00000000-0005-0000-0000-0000A7980000}"/>
    <cellStyle name="输入 2 8 8 6 6" xfId="49383" xr:uid="{00000000-0005-0000-0000-000017C10000}"/>
    <cellStyle name="输入 2 8 8 7" xfId="49384" xr:uid="{00000000-0005-0000-0000-000018C10000}"/>
    <cellStyle name="输入 2 8 8 7 2" xfId="49385" xr:uid="{00000000-0005-0000-0000-000019C10000}"/>
    <cellStyle name="输入 2 8 8 7 2 2" xfId="40403" xr:uid="{00000000-0005-0000-0000-0000039E0000}"/>
    <cellStyle name="输入 2 8 8 7 3" xfId="10810" xr:uid="{00000000-0005-0000-0000-00006A2A0000}"/>
    <cellStyle name="输入 2 8 8 7 3 2" xfId="40412" xr:uid="{00000000-0005-0000-0000-00000C9E0000}"/>
    <cellStyle name="输入 2 8 8 7 4" xfId="18911" xr:uid="{00000000-0005-0000-0000-00000F4A0000}"/>
    <cellStyle name="输入 2 8 8 7 4 2" xfId="40418" xr:uid="{00000000-0005-0000-0000-0000129E0000}"/>
    <cellStyle name="输入 2 8 8 7 5" xfId="49042" xr:uid="{00000000-0005-0000-0000-0000C2BF0000}"/>
    <cellStyle name="输入 2 8 8 7 5 2" xfId="40424" xr:uid="{00000000-0005-0000-0000-0000189E0000}"/>
    <cellStyle name="输入 2 8 8 7 6" xfId="49386" xr:uid="{00000000-0005-0000-0000-00001AC10000}"/>
    <cellStyle name="输入 2 8 8 8" xfId="49387" xr:uid="{00000000-0005-0000-0000-00001BC10000}"/>
    <cellStyle name="输入 2 8 8 8 2" xfId="49388" xr:uid="{00000000-0005-0000-0000-00001CC10000}"/>
    <cellStyle name="输入 2 8 8 8 2 2" xfId="38346" xr:uid="{00000000-0005-0000-0000-0000FA950000}"/>
    <cellStyle name="输入 2 8 8 8 3" xfId="10823" xr:uid="{00000000-0005-0000-0000-0000772A0000}"/>
    <cellStyle name="输入 2 8 8 8 3 2" xfId="40452" xr:uid="{00000000-0005-0000-0000-0000349E0000}"/>
    <cellStyle name="输入 2 8 8 8 4" xfId="20905" xr:uid="{00000000-0005-0000-0000-0000D9510000}"/>
    <cellStyle name="输入 2 8 8 8 4 2" xfId="24741" xr:uid="{00000000-0005-0000-0000-0000D5600000}"/>
    <cellStyle name="输入 2 8 8 8 5" xfId="49389" xr:uid="{00000000-0005-0000-0000-00001DC10000}"/>
    <cellStyle name="输入 2 8 8 9" xfId="49390" xr:uid="{00000000-0005-0000-0000-00001EC10000}"/>
    <cellStyle name="输入 2 8 8 9 2" xfId="45284" xr:uid="{00000000-0005-0000-0000-000014B10000}"/>
    <cellStyle name="输入 2 8 9" xfId="49391" xr:uid="{00000000-0005-0000-0000-00001FC10000}"/>
    <cellStyle name="输入 2 8 9 10" xfId="9024" xr:uid="{00000000-0005-0000-0000-000070230000}"/>
    <cellStyle name="输入 2 8 9 10 2" xfId="342" xr:uid="{00000000-0005-0000-0000-000078010000}"/>
    <cellStyle name="输入 2 8 9 11" xfId="7017" xr:uid="{00000000-0005-0000-0000-0000991B0000}"/>
    <cellStyle name="输入 2 8 9 11 2" xfId="49392" xr:uid="{00000000-0005-0000-0000-000020C10000}"/>
    <cellStyle name="输入 2 8 9 12" xfId="49393" xr:uid="{00000000-0005-0000-0000-000021C10000}"/>
    <cellStyle name="输入 2 8 9 12 2" xfId="49394" xr:uid="{00000000-0005-0000-0000-000022C10000}"/>
    <cellStyle name="输入 2 8 9 13" xfId="49395" xr:uid="{00000000-0005-0000-0000-000023C10000}"/>
    <cellStyle name="输入 2 8 9 14" xfId="44927" xr:uid="{00000000-0005-0000-0000-0000AFAF0000}"/>
    <cellStyle name="输入 2 8 9 15" xfId="49396" xr:uid="{00000000-0005-0000-0000-000024C10000}"/>
    <cellStyle name="输入 2 8 9 16" xfId="42502" xr:uid="{00000000-0005-0000-0000-000036A60000}"/>
    <cellStyle name="输入 2 8 9 2" xfId="49397" xr:uid="{00000000-0005-0000-0000-000025C10000}"/>
    <cellStyle name="输入 2 8 9 2 2" xfId="49398" xr:uid="{00000000-0005-0000-0000-000026C10000}"/>
    <cellStyle name="输入 2 8 9 2 2 2" xfId="49399" xr:uid="{00000000-0005-0000-0000-000027C10000}"/>
    <cellStyle name="输入 2 8 9 2 3" xfId="49400" xr:uid="{00000000-0005-0000-0000-000028C10000}"/>
    <cellStyle name="输入 2 8 9 2 3 2" xfId="49401" xr:uid="{00000000-0005-0000-0000-000029C10000}"/>
    <cellStyle name="输入 2 8 9 2 4" xfId="49402" xr:uid="{00000000-0005-0000-0000-00002AC10000}"/>
    <cellStyle name="输入 2 8 9 2 4 2" xfId="49403" xr:uid="{00000000-0005-0000-0000-00002BC10000}"/>
    <cellStyle name="输入 2 8 9 2 5" xfId="35856" xr:uid="{00000000-0005-0000-0000-0000408C0000}"/>
    <cellStyle name="输入 2 8 9 2 5 2" xfId="49341" xr:uid="{00000000-0005-0000-0000-0000EDC00000}"/>
    <cellStyle name="输入 2 8 9 2 6" xfId="49404" xr:uid="{00000000-0005-0000-0000-00002CC10000}"/>
    <cellStyle name="输入 2 8 9 2 7" xfId="18960" xr:uid="{00000000-0005-0000-0000-0000404A0000}"/>
    <cellStyle name="输入 2 8 9 2 8" xfId="49405" xr:uid="{00000000-0005-0000-0000-00002DC10000}"/>
    <cellStyle name="输入 2 8 9 2 9" xfId="49406" xr:uid="{00000000-0005-0000-0000-00002EC10000}"/>
    <cellStyle name="输入 2 8 9 3" xfId="49408" xr:uid="{00000000-0005-0000-0000-000030C10000}"/>
    <cellStyle name="输入 2 8 9 3 2" xfId="49409" xr:uid="{00000000-0005-0000-0000-000031C10000}"/>
    <cellStyle name="输入 2 8 9 3 2 2" xfId="49410" xr:uid="{00000000-0005-0000-0000-000032C10000}"/>
    <cellStyle name="输入 2 8 9 3 3" xfId="49411" xr:uid="{00000000-0005-0000-0000-000033C10000}"/>
    <cellStyle name="输入 2 8 9 3 3 2" xfId="49412" xr:uid="{00000000-0005-0000-0000-000034C10000}"/>
    <cellStyle name="输入 2 8 9 3 4" xfId="49413" xr:uid="{00000000-0005-0000-0000-000035C10000}"/>
    <cellStyle name="输入 2 8 9 3 4 2" xfId="49414" xr:uid="{00000000-0005-0000-0000-000036C10000}"/>
    <cellStyle name="输入 2 8 9 3 5" xfId="35859" xr:uid="{00000000-0005-0000-0000-0000438C0000}"/>
    <cellStyle name="输入 2 8 9 3 5 2" xfId="49370" xr:uid="{00000000-0005-0000-0000-00000AC10000}"/>
    <cellStyle name="输入 2 8 9 3 6" xfId="49415" xr:uid="{00000000-0005-0000-0000-000037C10000}"/>
    <cellStyle name="输入 2 8 9 4" xfId="33673" xr:uid="{00000000-0005-0000-0000-0000B9830000}"/>
    <cellStyle name="输入 2 8 9 4 2" xfId="49416" xr:uid="{00000000-0005-0000-0000-000038C10000}"/>
    <cellStyle name="输入 2 8 9 4 2 2" xfId="49417" xr:uid="{00000000-0005-0000-0000-000039C10000}"/>
    <cellStyle name="输入 2 8 9 4 3" xfId="18991" xr:uid="{00000000-0005-0000-0000-00005F4A0000}"/>
    <cellStyle name="输入 2 8 9 4 3 2" xfId="49418" xr:uid="{00000000-0005-0000-0000-00003AC10000}"/>
    <cellStyle name="输入 2 8 9 4 4" xfId="49419" xr:uid="{00000000-0005-0000-0000-00003BC10000}"/>
    <cellStyle name="输入 2 8 9 4 4 2" xfId="49420" xr:uid="{00000000-0005-0000-0000-00003CC10000}"/>
    <cellStyle name="输入 2 8 9 4 5" xfId="49421" xr:uid="{00000000-0005-0000-0000-00003DC10000}"/>
    <cellStyle name="输入 2 8 9 4 5 2" xfId="49407" xr:uid="{00000000-0005-0000-0000-00002FC10000}"/>
    <cellStyle name="输入 2 8 9 4 6" xfId="49422" xr:uid="{00000000-0005-0000-0000-00003EC10000}"/>
    <cellStyle name="输入 2 8 9 5" xfId="49423" xr:uid="{00000000-0005-0000-0000-00003FC10000}"/>
    <cellStyle name="输入 2 8 9 5 2" xfId="49424" xr:uid="{00000000-0005-0000-0000-000040C10000}"/>
    <cellStyle name="输入 2 8 9 5 2 2" xfId="41179" xr:uid="{00000000-0005-0000-0000-00000BA10000}"/>
    <cellStyle name="输入 2 8 9 5 3" xfId="19012" xr:uid="{00000000-0005-0000-0000-0000744A0000}"/>
    <cellStyle name="输入 2 8 9 5 3 2" xfId="41187" xr:uid="{00000000-0005-0000-0000-000013A10000}"/>
    <cellStyle name="输入 2 8 9 5 4" xfId="49425" xr:uid="{00000000-0005-0000-0000-000041C10000}"/>
    <cellStyle name="输入 2 8 9 5 4 2" xfId="41193" xr:uid="{00000000-0005-0000-0000-000019A10000}"/>
    <cellStyle name="输入 2 8 9 5 5" xfId="49426" xr:uid="{00000000-0005-0000-0000-000042C10000}"/>
    <cellStyle name="输入 2 8 9 5 5 2" xfId="41199" xr:uid="{00000000-0005-0000-0000-00001FA10000}"/>
    <cellStyle name="输入 2 8 9 5 6" xfId="30661" xr:uid="{00000000-0005-0000-0000-0000F5770000}"/>
    <cellStyle name="输入 2 8 9 6" xfId="30133" xr:uid="{00000000-0005-0000-0000-0000E5750000}"/>
    <cellStyle name="输入 2 8 9 6 2" xfId="40202" xr:uid="{00000000-0005-0000-0000-00003A9D0000}"/>
    <cellStyle name="输入 2 8 9 6 2 2" xfId="49427" xr:uid="{00000000-0005-0000-0000-000043C10000}"/>
    <cellStyle name="输入 2 8 9 6 3" xfId="10839" xr:uid="{00000000-0005-0000-0000-0000872A0000}"/>
    <cellStyle name="输入 2 8 9 6 3 2" xfId="49428" xr:uid="{00000000-0005-0000-0000-000044C10000}"/>
    <cellStyle name="输入 2 8 9 6 4" xfId="49429" xr:uid="{00000000-0005-0000-0000-000045C10000}"/>
    <cellStyle name="输入 2 8 9 6 4 2" xfId="49430" xr:uid="{00000000-0005-0000-0000-000046C10000}"/>
    <cellStyle name="输入 2 8 9 6 5" xfId="49431" xr:uid="{00000000-0005-0000-0000-000047C10000}"/>
    <cellStyle name="输入 2 8 9 6 5 2" xfId="49432" xr:uid="{00000000-0005-0000-0000-000048C10000}"/>
    <cellStyle name="输入 2 8 9 6 6" xfId="40811" xr:uid="{00000000-0005-0000-0000-00009B9F0000}"/>
    <cellStyle name="输入 2 8 9 7" xfId="33683" xr:uid="{00000000-0005-0000-0000-0000C3830000}"/>
    <cellStyle name="输入 2 8 9 7 2" xfId="40205" xr:uid="{00000000-0005-0000-0000-00003D9D0000}"/>
    <cellStyle name="输入 2 8 9 7 2 2" xfId="49433" xr:uid="{00000000-0005-0000-0000-000049C10000}"/>
    <cellStyle name="输入 2 8 9 7 3" xfId="10846" xr:uid="{00000000-0005-0000-0000-00008E2A0000}"/>
    <cellStyle name="输入 2 8 9 7 3 2" xfId="49434" xr:uid="{00000000-0005-0000-0000-00004AC10000}"/>
    <cellStyle name="输入 2 8 9 7 4" xfId="49435" xr:uid="{00000000-0005-0000-0000-00004BC10000}"/>
    <cellStyle name="输入 2 8 9 7 4 2" xfId="49436" xr:uid="{00000000-0005-0000-0000-00004CC10000}"/>
    <cellStyle name="输入 2 8 9 7 5" xfId="49437" xr:uid="{00000000-0005-0000-0000-00004DC10000}"/>
    <cellStyle name="输入 2 8 9 7 5 2" xfId="49438" xr:uid="{00000000-0005-0000-0000-00004EC10000}"/>
    <cellStyle name="输入 2 8 9 7 6" xfId="40813" xr:uid="{00000000-0005-0000-0000-00009D9F0000}"/>
    <cellStyle name="输入 2 8 9 8" xfId="33685" xr:uid="{00000000-0005-0000-0000-0000C5830000}"/>
    <cellStyle name="输入 2 8 9 8 2" xfId="38428" xr:uid="{00000000-0005-0000-0000-00004C960000}"/>
    <cellStyle name="输入 2 8 9 8 2 2" xfId="49439" xr:uid="{00000000-0005-0000-0000-00004FC10000}"/>
    <cellStyle name="输入 2 8 9 8 3" xfId="49440" xr:uid="{00000000-0005-0000-0000-000050C10000}"/>
    <cellStyle name="输入 2 8 9 8 3 2" xfId="49441" xr:uid="{00000000-0005-0000-0000-000051C10000}"/>
    <cellStyle name="输入 2 8 9 8 4" xfId="49442" xr:uid="{00000000-0005-0000-0000-000052C10000}"/>
    <cellStyle name="输入 2 8 9 8 4 2" xfId="49443" xr:uid="{00000000-0005-0000-0000-000053C10000}"/>
    <cellStyle name="输入 2 8 9 8 5" xfId="49444" xr:uid="{00000000-0005-0000-0000-000054C10000}"/>
    <cellStyle name="输入 2 8 9 9" xfId="33688" xr:uid="{00000000-0005-0000-0000-0000C8830000}"/>
    <cellStyle name="输入 2 8 9 9 2" xfId="38448" xr:uid="{00000000-0005-0000-0000-000060960000}"/>
    <cellStyle name="输入 2 9" xfId="49445" xr:uid="{00000000-0005-0000-0000-000055C10000}"/>
    <cellStyle name="输入 2 9 10" xfId="23250" xr:uid="{00000000-0005-0000-0000-0000025B0000}"/>
    <cellStyle name="输入 2 9 10 10" xfId="34731" xr:uid="{00000000-0005-0000-0000-0000DB870000}"/>
    <cellStyle name="输入 2 9 10 10 2" xfId="49446" xr:uid="{00000000-0005-0000-0000-000056C10000}"/>
    <cellStyle name="输入 2 9 10 11" xfId="49447" xr:uid="{00000000-0005-0000-0000-000057C10000}"/>
    <cellStyle name="输入 2 9 10 11 2" xfId="49448" xr:uid="{00000000-0005-0000-0000-000058C10000}"/>
    <cellStyle name="输入 2 9 10 12" xfId="49449" xr:uid="{00000000-0005-0000-0000-000059C10000}"/>
    <cellStyle name="输入 2 9 10 12 2" xfId="49450" xr:uid="{00000000-0005-0000-0000-00005AC10000}"/>
    <cellStyle name="输入 2 9 10 13" xfId="49452" xr:uid="{00000000-0005-0000-0000-00005CC10000}"/>
    <cellStyle name="输入 2 9 10 14" xfId="46595" xr:uid="{00000000-0005-0000-0000-000033B60000}"/>
    <cellStyle name="输入 2 9 10 15" xfId="49453" xr:uid="{00000000-0005-0000-0000-00005DC10000}"/>
    <cellStyle name="输入 2 9 10 16" xfId="49454" xr:uid="{00000000-0005-0000-0000-00005EC10000}"/>
    <cellStyle name="输入 2 9 10 2" xfId="42226" xr:uid="{00000000-0005-0000-0000-000022A50000}"/>
    <cellStyle name="输入 2 9 10 2 2" xfId="49455" xr:uid="{00000000-0005-0000-0000-00005FC10000}"/>
    <cellStyle name="输入 2 9 10 2 2 2" xfId="49458" xr:uid="{00000000-0005-0000-0000-000062C10000}"/>
    <cellStyle name="输入 2 9 10 2 3" xfId="10663" xr:uid="{00000000-0005-0000-0000-0000D7290000}"/>
    <cellStyle name="输入 2 9 10 2 3 2" xfId="37166" xr:uid="{00000000-0005-0000-0000-00005E910000}"/>
    <cellStyle name="输入 2 9 10 2 4" xfId="28804" xr:uid="{00000000-0005-0000-0000-0000B4700000}"/>
    <cellStyle name="输入 2 9 10 2 4 2" xfId="28807" xr:uid="{00000000-0005-0000-0000-0000B7700000}"/>
    <cellStyle name="输入 2 9 10 2 5" xfId="28811" xr:uid="{00000000-0005-0000-0000-0000BB700000}"/>
    <cellStyle name="输入 2 9 10 2 5 2" xfId="28818" xr:uid="{00000000-0005-0000-0000-0000C2700000}"/>
    <cellStyle name="输入 2 9 10 2 6" xfId="28822" xr:uid="{00000000-0005-0000-0000-0000C6700000}"/>
    <cellStyle name="输入 2 9 10 2 7" xfId="27853" xr:uid="{00000000-0005-0000-0000-0000FD6C0000}"/>
    <cellStyle name="输入 2 9 10 2 8" xfId="28833" xr:uid="{00000000-0005-0000-0000-0000D1700000}"/>
    <cellStyle name="输入 2 9 10 2 9" xfId="46158" xr:uid="{00000000-0005-0000-0000-00007EB40000}"/>
    <cellStyle name="输入 2 9 10 3" xfId="49460" xr:uid="{00000000-0005-0000-0000-000064C10000}"/>
    <cellStyle name="输入 2 9 10 3 2" xfId="49462" xr:uid="{00000000-0005-0000-0000-000066C10000}"/>
    <cellStyle name="输入 2 9 10 3 2 2" xfId="49463" xr:uid="{00000000-0005-0000-0000-000067C10000}"/>
    <cellStyle name="输入 2 9 10 3 3" xfId="10680" xr:uid="{00000000-0005-0000-0000-0000E8290000}"/>
    <cellStyle name="输入 2 9 10 3 3 2" xfId="49464" xr:uid="{00000000-0005-0000-0000-000068C10000}"/>
    <cellStyle name="输入 2 9 10 3 4" xfId="27362" xr:uid="{00000000-0005-0000-0000-0000126B0000}"/>
    <cellStyle name="输入 2 9 10 3 4 2" xfId="28836" xr:uid="{00000000-0005-0000-0000-0000D4700000}"/>
    <cellStyle name="输入 2 9 10 3 5" xfId="28838" xr:uid="{00000000-0005-0000-0000-0000D6700000}"/>
    <cellStyle name="输入 2 9 10 3 5 2" xfId="28843" xr:uid="{00000000-0005-0000-0000-0000DB700000}"/>
    <cellStyle name="输入 2 9 10 3 6" xfId="28846" xr:uid="{00000000-0005-0000-0000-0000DE700000}"/>
    <cellStyle name="输入 2 9 10 4" xfId="49465" xr:uid="{00000000-0005-0000-0000-000069C10000}"/>
    <cellStyle name="输入 2 9 10 4 2" xfId="49467" xr:uid="{00000000-0005-0000-0000-00006BC10000}"/>
    <cellStyle name="输入 2 9 10 4 2 2" xfId="49468" xr:uid="{00000000-0005-0000-0000-00006CC10000}"/>
    <cellStyle name="输入 2 9 10 4 3" xfId="10700" xr:uid="{00000000-0005-0000-0000-0000FC290000}"/>
    <cellStyle name="输入 2 9 10 4 3 2" xfId="49469" xr:uid="{00000000-0005-0000-0000-00006DC10000}"/>
    <cellStyle name="输入 2 9 10 4 4" xfId="27368" xr:uid="{00000000-0005-0000-0000-0000186B0000}"/>
    <cellStyle name="输入 2 9 10 4 4 2" xfId="28852" xr:uid="{00000000-0005-0000-0000-0000E4700000}"/>
    <cellStyle name="输入 2 9 10 4 5" xfId="28854" xr:uid="{00000000-0005-0000-0000-0000E6700000}"/>
    <cellStyle name="输入 2 9 10 4 5 2" xfId="28857" xr:uid="{00000000-0005-0000-0000-0000E9700000}"/>
    <cellStyle name="输入 2 9 10 4 6" xfId="28860" xr:uid="{00000000-0005-0000-0000-0000EC700000}"/>
    <cellStyle name="输入 2 9 10 5" xfId="7673" xr:uid="{00000000-0005-0000-0000-0000291E0000}"/>
    <cellStyle name="输入 2 9 10 5 2" xfId="49470" xr:uid="{00000000-0005-0000-0000-00006EC10000}"/>
    <cellStyle name="输入 2 9 10 5 2 2" xfId="9844" xr:uid="{00000000-0005-0000-0000-0000A4260000}"/>
    <cellStyle name="输入 2 9 10 5 3" xfId="49471" xr:uid="{00000000-0005-0000-0000-00006FC10000}"/>
    <cellStyle name="输入 2 9 10 5 3 2" xfId="49472" xr:uid="{00000000-0005-0000-0000-000070C10000}"/>
    <cellStyle name="输入 2 9 10 5 4" xfId="21766" xr:uid="{00000000-0005-0000-0000-000036550000}"/>
    <cellStyle name="输入 2 9 10 5 4 2" xfId="21770" xr:uid="{00000000-0005-0000-0000-00003A550000}"/>
    <cellStyle name="输入 2 9 10 5 5" xfId="21774" xr:uid="{00000000-0005-0000-0000-00003E550000}"/>
    <cellStyle name="输入 2 9 10 5 5 2" xfId="28864" xr:uid="{00000000-0005-0000-0000-0000F0700000}"/>
    <cellStyle name="输入 2 9 10 5 6" xfId="21779" xr:uid="{00000000-0005-0000-0000-000043550000}"/>
    <cellStyle name="输入 2 9 10 6" xfId="42113" xr:uid="{00000000-0005-0000-0000-0000B1A40000}"/>
    <cellStyle name="输入 2 9 10 6 2" xfId="49473" xr:uid="{00000000-0005-0000-0000-000071C10000}"/>
    <cellStyle name="输入 2 9 10 6 2 2" xfId="11034" xr:uid="{00000000-0005-0000-0000-00004A2B0000}"/>
    <cellStyle name="输入 2 9 10 6 3" xfId="49474" xr:uid="{00000000-0005-0000-0000-000072C10000}"/>
    <cellStyle name="输入 2 9 10 6 3 2" xfId="49475" xr:uid="{00000000-0005-0000-0000-000073C10000}"/>
    <cellStyle name="输入 2 9 10 6 4" xfId="27373" xr:uid="{00000000-0005-0000-0000-00001D6B0000}"/>
    <cellStyle name="输入 2 9 10 6 4 2" xfId="49476" xr:uid="{00000000-0005-0000-0000-000074C10000}"/>
    <cellStyle name="输入 2 9 10 6 5" xfId="42384" xr:uid="{00000000-0005-0000-0000-0000C0A50000}"/>
    <cellStyle name="输入 2 9 10 6 5 2" xfId="49477" xr:uid="{00000000-0005-0000-0000-000075C10000}"/>
    <cellStyle name="输入 2 9 10 6 6" xfId="49478" xr:uid="{00000000-0005-0000-0000-000076C10000}"/>
    <cellStyle name="输入 2 9 10 7" xfId="49479" xr:uid="{00000000-0005-0000-0000-000077C10000}"/>
    <cellStyle name="输入 2 9 10 7 2" xfId="49480" xr:uid="{00000000-0005-0000-0000-000078C10000}"/>
    <cellStyle name="输入 2 9 10 7 2 2" xfId="49481" xr:uid="{00000000-0005-0000-0000-000079C10000}"/>
    <cellStyle name="输入 2 9 10 7 3" xfId="49482" xr:uid="{00000000-0005-0000-0000-00007AC10000}"/>
    <cellStyle name="输入 2 9 10 7 3 2" xfId="49483" xr:uid="{00000000-0005-0000-0000-00007BC10000}"/>
    <cellStyle name="输入 2 9 10 7 4" xfId="49484" xr:uid="{00000000-0005-0000-0000-00007CC10000}"/>
    <cellStyle name="输入 2 9 10 7 4 2" xfId="49485" xr:uid="{00000000-0005-0000-0000-00007DC10000}"/>
    <cellStyle name="输入 2 9 10 7 5" xfId="42386" xr:uid="{00000000-0005-0000-0000-0000C2A50000}"/>
    <cellStyle name="输入 2 9 10 7 5 2" xfId="49486" xr:uid="{00000000-0005-0000-0000-00007EC10000}"/>
    <cellStyle name="输入 2 9 10 7 6" xfId="49487" xr:uid="{00000000-0005-0000-0000-00007FC10000}"/>
    <cellStyle name="输入 2 9 10 8" xfId="49488" xr:uid="{00000000-0005-0000-0000-000080C10000}"/>
    <cellStyle name="输入 2 9 10 8 2" xfId="42169" xr:uid="{00000000-0005-0000-0000-0000E9A40000}"/>
    <cellStyle name="输入 2 9 10 8 2 2" xfId="49489" xr:uid="{00000000-0005-0000-0000-000081C10000}"/>
    <cellStyle name="输入 2 9 10 8 3" xfId="42171" xr:uid="{00000000-0005-0000-0000-0000EBA40000}"/>
    <cellStyle name="输入 2 9 10 8 3 2" xfId="49490" xr:uid="{00000000-0005-0000-0000-000082C10000}"/>
    <cellStyle name="输入 2 9 10 8 4" xfId="42173" xr:uid="{00000000-0005-0000-0000-0000EDA40000}"/>
    <cellStyle name="输入 2 9 10 8 4 2" xfId="49491" xr:uid="{00000000-0005-0000-0000-000083C10000}"/>
    <cellStyle name="输入 2 9 10 8 5" xfId="42389" xr:uid="{00000000-0005-0000-0000-0000C5A50000}"/>
    <cellStyle name="输入 2 9 10 9" xfId="9566" xr:uid="{00000000-0005-0000-0000-00008E250000}"/>
    <cellStyle name="输入 2 9 10 9 2" xfId="28656" xr:uid="{00000000-0005-0000-0000-000020700000}"/>
    <cellStyle name="输入 2 9 11" xfId="42230" xr:uid="{00000000-0005-0000-0000-000026A50000}"/>
    <cellStyle name="输入 2 9 11 10" xfId="49492" xr:uid="{00000000-0005-0000-0000-000084C10000}"/>
    <cellStyle name="输入 2 9 11 10 2" xfId="49493" xr:uid="{00000000-0005-0000-0000-000085C10000}"/>
    <cellStyle name="输入 2 9 11 11" xfId="4598" xr:uid="{00000000-0005-0000-0000-000026120000}"/>
    <cellStyle name="输入 2 9 11 11 2" xfId="49494" xr:uid="{00000000-0005-0000-0000-000086C10000}"/>
    <cellStyle name="输入 2 9 11 12" xfId="49495" xr:uid="{00000000-0005-0000-0000-000087C10000}"/>
    <cellStyle name="输入 2 9 11 12 2" xfId="48631" xr:uid="{00000000-0005-0000-0000-000027BE0000}"/>
    <cellStyle name="输入 2 9 11 13" xfId="49496" xr:uid="{00000000-0005-0000-0000-000088C10000}"/>
    <cellStyle name="输入 2 9 11 14" xfId="36251" xr:uid="{00000000-0005-0000-0000-0000CB8D0000}"/>
    <cellStyle name="输入 2 9 11 15" xfId="49497" xr:uid="{00000000-0005-0000-0000-000089C10000}"/>
    <cellStyle name="输入 2 9 11 16" xfId="20732" xr:uid="{00000000-0005-0000-0000-00002C510000}"/>
    <cellStyle name="输入 2 9 11 2" xfId="49498" xr:uid="{00000000-0005-0000-0000-00008AC10000}"/>
    <cellStyle name="输入 2 9 11 2 2" xfId="49501" xr:uid="{00000000-0005-0000-0000-00008DC10000}"/>
    <cellStyle name="输入 2 9 11 2 2 2" xfId="49504" xr:uid="{00000000-0005-0000-0000-000090C10000}"/>
    <cellStyle name="输入 2 9 11 2 3" xfId="10735" xr:uid="{00000000-0005-0000-0000-00001F2A0000}"/>
    <cellStyle name="输入 2 9 11 2 3 2" xfId="49506" xr:uid="{00000000-0005-0000-0000-000092C10000}"/>
    <cellStyle name="输入 2 9 11 2 4" xfId="28926" xr:uid="{00000000-0005-0000-0000-00002E710000}"/>
    <cellStyle name="输入 2 9 11 2 4 2" xfId="28929" xr:uid="{00000000-0005-0000-0000-000031710000}"/>
    <cellStyle name="输入 2 9 11 2 5" xfId="28933" xr:uid="{00000000-0005-0000-0000-000035710000}"/>
    <cellStyle name="输入 2 9 11 2 5 2" xfId="28937" xr:uid="{00000000-0005-0000-0000-000039710000}"/>
    <cellStyle name="输入 2 9 11 2 6" xfId="28941" xr:uid="{00000000-0005-0000-0000-00003D710000}"/>
    <cellStyle name="输入 2 9 11 3" xfId="49508" xr:uid="{00000000-0005-0000-0000-000094C10000}"/>
    <cellStyle name="输入 2 9 11 3 2" xfId="42456" xr:uid="{00000000-0005-0000-0000-000008A60000}"/>
    <cellStyle name="输入 2 9 11 3 2 2" xfId="49510" xr:uid="{00000000-0005-0000-0000-000096C10000}"/>
    <cellStyle name="输入 2 9 11 3 3" xfId="42458" xr:uid="{00000000-0005-0000-0000-00000AA60000}"/>
    <cellStyle name="输入 2 9 11 3 3 2" xfId="49511" xr:uid="{00000000-0005-0000-0000-000097C10000}"/>
    <cellStyle name="输入 2 9 11 3 4" xfId="27384" xr:uid="{00000000-0005-0000-0000-0000286B0000}"/>
    <cellStyle name="输入 2 9 11 3 4 2" xfId="28952" xr:uid="{00000000-0005-0000-0000-000048710000}"/>
    <cellStyle name="输入 2 9 11 3 5" xfId="28954" xr:uid="{00000000-0005-0000-0000-00004A710000}"/>
    <cellStyle name="输入 2 9 11 3 5 2" xfId="28958" xr:uid="{00000000-0005-0000-0000-00004E710000}"/>
    <cellStyle name="输入 2 9 11 3 6" xfId="28961" xr:uid="{00000000-0005-0000-0000-000051710000}"/>
    <cellStyle name="输入 2 9 11 4" xfId="49512" xr:uid="{00000000-0005-0000-0000-000098C10000}"/>
    <cellStyle name="输入 2 9 11 4 2" xfId="49513" xr:uid="{00000000-0005-0000-0000-000099C10000}"/>
    <cellStyle name="输入 2 9 11 4 2 2" xfId="49514" xr:uid="{00000000-0005-0000-0000-00009AC10000}"/>
    <cellStyle name="输入 2 9 11 4 3" xfId="49515" xr:uid="{00000000-0005-0000-0000-00009BC10000}"/>
    <cellStyle name="输入 2 9 11 4 3 2" xfId="49516" xr:uid="{00000000-0005-0000-0000-00009CC10000}"/>
    <cellStyle name="输入 2 9 11 4 4" xfId="27392" xr:uid="{00000000-0005-0000-0000-0000306B0000}"/>
    <cellStyle name="输入 2 9 11 4 4 2" xfId="28965" xr:uid="{00000000-0005-0000-0000-000055710000}"/>
    <cellStyle name="输入 2 9 11 4 5" xfId="28967" xr:uid="{00000000-0005-0000-0000-000057710000}"/>
    <cellStyle name="输入 2 9 11 4 5 2" xfId="28970" xr:uid="{00000000-0005-0000-0000-00005A710000}"/>
    <cellStyle name="输入 2 9 11 4 6" xfId="28973" xr:uid="{00000000-0005-0000-0000-00005D710000}"/>
    <cellStyle name="输入 2 9 11 5" xfId="49517" xr:uid="{00000000-0005-0000-0000-00009DC10000}"/>
    <cellStyle name="输入 2 9 11 5 2" xfId="49518" xr:uid="{00000000-0005-0000-0000-00009EC10000}"/>
    <cellStyle name="输入 2 9 11 5 2 2" xfId="49519" xr:uid="{00000000-0005-0000-0000-00009FC10000}"/>
    <cellStyle name="输入 2 9 11 5 3" xfId="49520" xr:uid="{00000000-0005-0000-0000-0000A0C10000}"/>
    <cellStyle name="输入 2 9 11 5 3 2" xfId="49521" xr:uid="{00000000-0005-0000-0000-0000A1C10000}"/>
    <cellStyle name="输入 2 9 11 5 4" xfId="22372" xr:uid="{00000000-0005-0000-0000-000094570000}"/>
    <cellStyle name="输入 2 9 11 5 4 2" xfId="22376" xr:uid="{00000000-0005-0000-0000-000098570000}"/>
    <cellStyle name="输入 2 9 11 5 5" xfId="22379" xr:uid="{00000000-0005-0000-0000-00009B570000}"/>
    <cellStyle name="输入 2 9 11 5 5 2" xfId="28977" xr:uid="{00000000-0005-0000-0000-000061710000}"/>
    <cellStyle name="输入 2 9 11 5 6" xfId="22384" xr:uid="{00000000-0005-0000-0000-0000A0570000}"/>
    <cellStyle name="输入 2 9 11 6" xfId="42117" xr:uid="{00000000-0005-0000-0000-0000B5A40000}"/>
    <cellStyle name="输入 2 9 11 6 2" xfId="49522" xr:uid="{00000000-0005-0000-0000-0000A2C10000}"/>
    <cellStyle name="输入 2 9 11 6 2 2" xfId="49523" xr:uid="{00000000-0005-0000-0000-0000A3C10000}"/>
    <cellStyle name="输入 2 9 11 6 3" xfId="49524" xr:uid="{00000000-0005-0000-0000-0000A4C10000}"/>
    <cellStyle name="输入 2 9 11 6 3 2" xfId="49525" xr:uid="{00000000-0005-0000-0000-0000A5C10000}"/>
    <cellStyle name="输入 2 9 11 6 4" xfId="27400" xr:uid="{00000000-0005-0000-0000-0000386B0000}"/>
    <cellStyle name="输入 2 9 11 6 4 2" xfId="49526" xr:uid="{00000000-0005-0000-0000-0000A6C10000}"/>
    <cellStyle name="输入 2 9 11 6 5" xfId="49527" xr:uid="{00000000-0005-0000-0000-0000A7C10000}"/>
    <cellStyle name="输入 2 9 11 6 5 2" xfId="49528" xr:uid="{00000000-0005-0000-0000-0000A8C10000}"/>
    <cellStyle name="输入 2 9 11 6 6" xfId="49529" xr:uid="{00000000-0005-0000-0000-0000A9C10000}"/>
    <cellStyle name="输入 2 9 11 7" xfId="16265" xr:uid="{00000000-0005-0000-0000-0000B93F0000}"/>
    <cellStyle name="输入 2 9 11 7 2" xfId="49530" xr:uid="{00000000-0005-0000-0000-0000AAC10000}"/>
    <cellStyle name="输入 2 9 11 7 2 2" xfId="49531" xr:uid="{00000000-0005-0000-0000-0000ABC10000}"/>
    <cellStyle name="输入 2 9 11 7 3" xfId="49532" xr:uid="{00000000-0005-0000-0000-0000ACC10000}"/>
    <cellStyle name="输入 2 9 11 7 3 2" xfId="49533" xr:uid="{00000000-0005-0000-0000-0000ADC10000}"/>
    <cellStyle name="输入 2 9 11 7 4" xfId="49534" xr:uid="{00000000-0005-0000-0000-0000AEC10000}"/>
    <cellStyle name="输入 2 9 11 7 4 2" xfId="49535" xr:uid="{00000000-0005-0000-0000-0000AFC10000}"/>
    <cellStyle name="输入 2 9 11 7 5" xfId="49536" xr:uid="{00000000-0005-0000-0000-0000B0C10000}"/>
    <cellStyle name="输入 2 9 11 7 5 2" xfId="49537" xr:uid="{00000000-0005-0000-0000-0000B1C10000}"/>
    <cellStyle name="输入 2 9 11 7 6" xfId="49538" xr:uid="{00000000-0005-0000-0000-0000B2C10000}"/>
    <cellStyle name="输入 2 9 11 8" xfId="49539" xr:uid="{00000000-0005-0000-0000-0000B3C10000}"/>
    <cellStyle name="输入 2 9 11 8 2" xfId="42521" xr:uid="{00000000-0005-0000-0000-000049A60000}"/>
    <cellStyle name="输入 2 9 11 8 2 2" xfId="49540" xr:uid="{00000000-0005-0000-0000-0000B4C10000}"/>
    <cellStyle name="输入 2 9 11 8 3" xfId="42523" xr:uid="{00000000-0005-0000-0000-00004BA60000}"/>
    <cellStyle name="输入 2 9 11 8 3 2" xfId="49541" xr:uid="{00000000-0005-0000-0000-0000B5C10000}"/>
    <cellStyle name="输入 2 9 11 8 4" xfId="42525" xr:uid="{00000000-0005-0000-0000-00004DA60000}"/>
    <cellStyle name="输入 2 9 11 8 4 2" xfId="49542" xr:uid="{00000000-0005-0000-0000-0000B6C10000}"/>
    <cellStyle name="输入 2 9 11 8 5" xfId="49543" xr:uid="{00000000-0005-0000-0000-0000B7C10000}"/>
    <cellStyle name="输入 2 9 11 9" xfId="49544" xr:uid="{00000000-0005-0000-0000-0000B8C10000}"/>
    <cellStyle name="输入 2 9 11 9 2" xfId="49545" xr:uid="{00000000-0005-0000-0000-0000B9C10000}"/>
    <cellStyle name="输入 2 9 12" xfId="49546" xr:uid="{00000000-0005-0000-0000-0000BAC10000}"/>
    <cellStyle name="输入 2 9 12 2" xfId="49547" xr:uid="{00000000-0005-0000-0000-0000BBC10000}"/>
    <cellStyle name="输入 2 9 12 2 2" xfId="49550" xr:uid="{00000000-0005-0000-0000-0000BEC10000}"/>
    <cellStyle name="输入 2 9 12 3" xfId="49553" xr:uid="{00000000-0005-0000-0000-0000C1C10000}"/>
    <cellStyle name="输入 2 9 12 3 2" xfId="49555" xr:uid="{00000000-0005-0000-0000-0000C3C10000}"/>
    <cellStyle name="输入 2 9 12 4" xfId="49556" xr:uid="{00000000-0005-0000-0000-0000C4C10000}"/>
    <cellStyle name="输入 2 9 12 4 2" xfId="49557" xr:uid="{00000000-0005-0000-0000-0000C5C10000}"/>
    <cellStyle name="输入 2 9 12 5" xfId="49558" xr:uid="{00000000-0005-0000-0000-0000C6C10000}"/>
    <cellStyle name="输入 2 9 12 5 2" xfId="49559" xr:uid="{00000000-0005-0000-0000-0000C7C10000}"/>
    <cellStyle name="输入 2 9 12 6" xfId="42119" xr:uid="{00000000-0005-0000-0000-0000B7A40000}"/>
    <cellStyle name="输入 2 9 12 7" xfId="16269" xr:uid="{00000000-0005-0000-0000-0000BD3F0000}"/>
    <cellStyle name="输入 2 9 12 8" xfId="44303" xr:uid="{00000000-0005-0000-0000-00003FAD0000}"/>
    <cellStyle name="输入 2 9 12 9" xfId="49560" xr:uid="{00000000-0005-0000-0000-0000C8C10000}"/>
    <cellStyle name="输入 2 9 13" xfId="49561" xr:uid="{00000000-0005-0000-0000-0000C9C10000}"/>
    <cellStyle name="输入 2 9 13 2" xfId="49563" xr:uid="{00000000-0005-0000-0000-0000CBC10000}"/>
    <cellStyle name="输入 2 9 13 2 2" xfId="49566" xr:uid="{00000000-0005-0000-0000-0000CEC10000}"/>
    <cellStyle name="输入 2 9 13 3" xfId="49569" xr:uid="{00000000-0005-0000-0000-0000D1C10000}"/>
    <cellStyle name="输入 2 9 13 3 2" xfId="49571" xr:uid="{00000000-0005-0000-0000-0000D3C10000}"/>
    <cellStyle name="输入 2 9 13 4" xfId="49572" xr:uid="{00000000-0005-0000-0000-0000D4C10000}"/>
    <cellStyle name="输入 2 9 13 4 2" xfId="49573" xr:uid="{00000000-0005-0000-0000-0000D5C10000}"/>
    <cellStyle name="输入 2 9 13 5" xfId="49574" xr:uid="{00000000-0005-0000-0000-0000D6C10000}"/>
    <cellStyle name="输入 2 9 13 5 2" xfId="49575" xr:uid="{00000000-0005-0000-0000-0000D7C10000}"/>
    <cellStyle name="输入 2 9 13 6" xfId="49576" xr:uid="{00000000-0005-0000-0000-0000D8C10000}"/>
    <cellStyle name="输入 2 9 14" xfId="49577" xr:uid="{00000000-0005-0000-0000-0000D9C10000}"/>
    <cellStyle name="输入 2 9 14 2" xfId="49578" xr:uid="{00000000-0005-0000-0000-0000DAC10000}"/>
    <cellStyle name="输入 2 9 14 2 2" xfId="49581" xr:uid="{00000000-0005-0000-0000-0000DDC10000}"/>
    <cellStyle name="输入 2 9 14 3" xfId="49584" xr:uid="{00000000-0005-0000-0000-0000E0C10000}"/>
    <cellStyle name="输入 2 9 14 3 2" xfId="49586" xr:uid="{00000000-0005-0000-0000-0000E2C10000}"/>
    <cellStyle name="输入 2 9 14 4" xfId="49587" xr:uid="{00000000-0005-0000-0000-0000E3C10000}"/>
    <cellStyle name="输入 2 9 14 4 2" xfId="49588" xr:uid="{00000000-0005-0000-0000-0000E4C10000}"/>
    <cellStyle name="输入 2 9 14 5" xfId="49589" xr:uid="{00000000-0005-0000-0000-0000E5C10000}"/>
    <cellStyle name="输入 2 9 14 5 2" xfId="49590" xr:uid="{00000000-0005-0000-0000-0000E6C10000}"/>
    <cellStyle name="输入 2 9 14 6" xfId="49591" xr:uid="{00000000-0005-0000-0000-0000E7C10000}"/>
    <cellStyle name="输入 2 9 15" xfId="49592" xr:uid="{00000000-0005-0000-0000-0000E8C10000}"/>
    <cellStyle name="输入 2 9 15 2" xfId="49594" xr:uid="{00000000-0005-0000-0000-0000EAC10000}"/>
    <cellStyle name="输入 2 9 15 2 2" xfId="49597" xr:uid="{00000000-0005-0000-0000-0000EDC10000}"/>
    <cellStyle name="输入 2 9 15 3" xfId="49599" xr:uid="{00000000-0005-0000-0000-0000EFC10000}"/>
    <cellStyle name="输入 2 9 15 3 2" xfId="49601" xr:uid="{00000000-0005-0000-0000-0000F1C10000}"/>
    <cellStyle name="输入 2 9 15 4" xfId="49602" xr:uid="{00000000-0005-0000-0000-0000F2C10000}"/>
    <cellStyle name="输入 2 9 15 4 2" xfId="49603" xr:uid="{00000000-0005-0000-0000-0000F3C10000}"/>
    <cellStyle name="输入 2 9 15 5" xfId="49604" xr:uid="{00000000-0005-0000-0000-0000F4C10000}"/>
    <cellStyle name="输入 2 9 15 5 2" xfId="49605" xr:uid="{00000000-0005-0000-0000-0000F5C10000}"/>
    <cellStyle name="输入 2 9 15 6" xfId="49606" xr:uid="{00000000-0005-0000-0000-0000F6C10000}"/>
    <cellStyle name="输入 2 9 16" xfId="39911" xr:uid="{00000000-0005-0000-0000-0000179C0000}"/>
    <cellStyle name="输入 2 9 16 2" xfId="49607" xr:uid="{00000000-0005-0000-0000-0000F7C10000}"/>
    <cellStyle name="输入 2 9 16 2 2" xfId="49610" xr:uid="{00000000-0005-0000-0000-0000FAC10000}"/>
    <cellStyle name="输入 2 9 16 3" xfId="49611" xr:uid="{00000000-0005-0000-0000-0000FBC10000}"/>
    <cellStyle name="输入 2 9 16 3 2" xfId="43081" xr:uid="{00000000-0005-0000-0000-000079A80000}"/>
    <cellStyle name="输入 2 9 16 4" xfId="49612" xr:uid="{00000000-0005-0000-0000-0000FCC10000}"/>
    <cellStyle name="输入 2 9 16 4 2" xfId="49613" xr:uid="{00000000-0005-0000-0000-0000FDC10000}"/>
    <cellStyle name="输入 2 9 16 5" xfId="49614" xr:uid="{00000000-0005-0000-0000-0000FEC10000}"/>
    <cellStyle name="输入 2 9 16 5 2" xfId="49615" xr:uid="{00000000-0005-0000-0000-0000FFC10000}"/>
    <cellStyle name="输入 2 9 16 6" xfId="49616" xr:uid="{00000000-0005-0000-0000-000000C20000}"/>
    <cellStyle name="输入 2 9 17" xfId="49617" xr:uid="{00000000-0005-0000-0000-000001C20000}"/>
    <cellStyle name="输入 2 9 17 2" xfId="36092" xr:uid="{00000000-0005-0000-0000-00002C8D0000}"/>
    <cellStyle name="输入 2 9 17 2 2" xfId="49619" xr:uid="{00000000-0005-0000-0000-000003C20000}"/>
    <cellStyle name="输入 2 9 17 3" xfId="36095" xr:uid="{00000000-0005-0000-0000-00002F8D0000}"/>
    <cellStyle name="输入 2 9 17 3 2" xfId="49620" xr:uid="{00000000-0005-0000-0000-000004C20000}"/>
    <cellStyle name="输入 2 9 17 4" xfId="36097" xr:uid="{00000000-0005-0000-0000-0000318D0000}"/>
    <cellStyle name="输入 2 9 17 4 2" xfId="49621" xr:uid="{00000000-0005-0000-0000-000005C20000}"/>
    <cellStyle name="输入 2 9 17 5" xfId="36099" xr:uid="{00000000-0005-0000-0000-0000338D0000}"/>
    <cellStyle name="输入 2 9 17 5 2" xfId="49622" xr:uid="{00000000-0005-0000-0000-000006C20000}"/>
    <cellStyle name="输入 2 9 17 6" xfId="49623" xr:uid="{00000000-0005-0000-0000-000007C20000}"/>
    <cellStyle name="输入 2 9 18" xfId="38076" xr:uid="{00000000-0005-0000-0000-0000EC940000}"/>
    <cellStyle name="输入 2 9 18 2" xfId="36116" xr:uid="{00000000-0005-0000-0000-0000448D0000}"/>
    <cellStyle name="输入 2 9 18 2 2" xfId="38079" xr:uid="{00000000-0005-0000-0000-0000EF940000}"/>
    <cellStyle name="输入 2 9 18 3" xfId="38081" xr:uid="{00000000-0005-0000-0000-0000F1940000}"/>
    <cellStyle name="输入 2 9 18 3 2" xfId="38083" xr:uid="{00000000-0005-0000-0000-0000F3940000}"/>
    <cellStyle name="输入 2 9 18 4" xfId="38085" xr:uid="{00000000-0005-0000-0000-0000F5940000}"/>
    <cellStyle name="输入 2 9 18 4 2" xfId="38087" xr:uid="{00000000-0005-0000-0000-0000F7940000}"/>
    <cellStyle name="输入 2 9 18 5" xfId="38089" xr:uid="{00000000-0005-0000-0000-0000F9940000}"/>
    <cellStyle name="输入 2 9 18 5 2" xfId="38091" xr:uid="{00000000-0005-0000-0000-0000FB940000}"/>
    <cellStyle name="输入 2 9 18 6" xfId="38093" xr:uid="{00000000-0005-0000-0000-0000FD940000}"/>
    <cellStyle name="输入 2 9 19" xfId="38095" xr:uid="{00000000-0005-0000-0000-0000FF940000}"/>
    <cellStyle name="输入 2 9 19 2" xfId="36128" xr:uid="{00000000-0005-0000-0000-0000508D0000}"/>
    <cellStyle name="输入 2 9 19 2 2" xfId="38098" xr:uid="{00000000-0005-0000-0000-000002950000}"/>
    <cellStyle name="输入 2 9 19 3" xfId="38101" xr:uid="{00000000-0005-0000-0000-000005950000}"/>
    <cellStyle name="输入 2 9 19 3 2" xfId="38103" xr:uid="{00000000-0005-0000-0000-000007950000}"/>
    <cellStyle name="输入 2 9 19 4" xfId="38106" xr:uid="{00000000-0005-0000-0000-00000A950000}"/>
    <cellStyle name="输入 2 9 19 4 2" xfId="38108" xr:uid="{00000000-0005-0000-0000-00000C950000}"/>
    <cellStyle name="输入 2 9 19 5" xfId="37669" xr:uid="{00000000-0005-0000-0000-000055930000}"/>
    <cellStyle name="输入 2 9 2" xfId="49624" xr:uid="{00000000-0005-0000-0000-000008C20000}"/>
    <cellStyle name="输入 2 9 2 10" xfId="28263" xr:uid="{00000000-0005-0000-0000-0000976E0000}"/>
    <cellStyle name="输入 2 9 2 10 2" xfId="49625" xr:uid="{00000000-0005-0000-0000-000009C20000}"/>
    <cellStyle name="输入 2 9 2 11" xfId="49627" xr:uid="{00000000-0005-0000-0000-00000BC20000}"/>
    <cellStyle name="输入 2 9 2 11 2" xfId="49629" xr:uid="{00000000-0005-0000-0000-00000DC20000}"/>
    <cellStyle name="输入 2 9 2 12" xfId="9317" xr:uid="{00000000-0005-0000-0000-000095240000}"/>
    <cellStyle name="输入 2 9 2 12 2" xfId="49631" xr:uid="{00000000-0005-0000-0000-00000FC20000}"/>
    <cellStyle name="输入 2 9 2 13" xfId="49633" xr:uid="{00000000-0005-0000-0000-000011C20000}"/>
    <cellStyle name="输入 2 9 2 14" xfId="49635" xr:uid="{00000000-0005-0000-0000-000013C20000}"/>
    <cellStyle name="输入 2 9 2 15" xfId="49636" xr:uid="{00000000-0005-0000-0000-000014C20000}"/>
    <cellStyle name="输入 2 9 2 16" xfId="13887" xr:uid="{00000000-0005-0000-0000-00006F360000}"/>
    <cellStyle name="输入 2 9 2 2" xfId="49638" xr:uid="{00000000-0005-0000-0000-000016C20000}"/>
    <cellStyle name="输入 2 9 2 2 2" xfId="49639" xr:uid="{00000000-0005-0000-0000-000017C20000}"/>
    <cellStyle name="输入 2 9 2 2 2 2" xfId="45540" xr:uid="{00000000-0005-0000-0000-000014B20000}"/>
    <cellStyle name="输入 2 9 2 2 3" xfId="49640" xr:uid="{00000000-0005-0000-0000-000018C20000}"/>
    <cellStyle name="输入 2 9 2 2 3 2" xfId="45552" xr:uid="{00000000-0005-0000-0000-000020B20000}"/>
    <cellStyle name="输入 2 9 2 2 4" xfId="49641" xr:uid="{00000000-0005-0000-0000-000019C20000}"/>
    <cellStyle name="输入 2 9 2 2 4 2" xfId="49642" xr:uid="{00000000-0005-0000-0000-00001AC20000}"/>
    <cellStyle name="输入 2 9 2 2 5" xfId="49643" xr:uid="{00000000-0005-0000-0000-00001BC20000}"/>
    <cellStyle name="输入 2 9 2 2 5 2" xfId="49645" xr:uid="{00000000-0005-0000-0000-00001DC20000}"/>
    <cellStyle name="输入 2 9 2 2 6" xfId="49646" xr:uid="{00000000-0005-0000-0000-00001EC20000}"/>
    <cellStyle name="输入 2 9 2 2 7" xfId="49647" xr:uid="{00000000-0005-0000-0000-00001FC20000}"/>
    <cellStyle name="输入 2 9 2 2 8" xfId="49648" xr:uid="{00000000-0005-0000-0000-000020C20000}"/>
    <cellStyle name="输入 2 9 2 2 9" xfId="13270" xr:uid="{00000000-0005-0000-0000-000006340000}"/>
    <cellStyle name="输入 2 9 2 3" xfId="48315" xr:uid="{00000000-0005-0000-0000-0000EBBC0000}"/>
    <cellStyle name="输入 2 9 2 3 2" xfId="49650" xr:uid="{00000000-0005-0000-0000-000022C20000}"/>
    <cellStyle name="输入 2 9 2 3 2 2" xfId="49651" xr:uid="{00000000-0005-0000-0000-000023C20000}"/>
    <cellStyle name="输入 2 9 2 3 3" xfId="49652" xr:uid="{00000000-0005-0000-0000-000024C20000}"/>
    <cellStyle name="输入 2 9 2 3 3 2" xfId="35873" xr:uid="{00000000-0005-0000-0000-0000518C0000}"/>
    <cellStyle name="输入 2 9 2 3 4" xfId="49653" xr:uid="{00000000-0005-0000-0000-000025C20000}"/>
    <cellStyle name="输入 2 9 2 3 4 2" xfId="28450" xr:uid="{00000000-0005-0000-0000-0000526F0000}"/>
    <cellStyle name="输入 2 9 2 3 5" xfId="49654" xr:uid="{00000000-0005-0000-0000-000026C20000}"/>
    <cellStyle name="输入 2 9 2 3 5 2" xfId="49656" xr:uid="{00000000-0005-0000-0000-000028C20000}"/>
    <cellStyle name="输入 2 9 2 3 6" xfId="49657" xr:uid="{00000000-0005-0000-0000-000029C20000}"/>
    <cellStyle name="输入 2 9 2 4" xfId="9968" xr:uid="{00000000-0005-0000-0000-000020270000}"/>
    <cellStyle name="输入 2 9 2 4 2" xfId="49658" xr:uid="{00000000-0005-0000-0000-00002AC20000}"/>
    <cellStyle name="输入 2 9 2 4 2 2" xfId="49659" xr:uid="{00000000-0005-0000-0000-00002BC20000}"/>
    <cellStyle name="输入 2 9 2 4 3" xfId="49660" xr:uid="{00000000-0005-0000-0000-00002CC20000}"/>
    <cellStyle name="输入 2 9 2 4 3 2" xfId="49661" xr:uid="{00000000-0005-0000-0000-00002DC20000}"/>
    <cellStyle name="输入 2 9 2 4 4" xfId="34234" xr:uid="{00000000-0005-0000-0000-0000EA850000}"/>
    <cellStyle name="输入 2 9 2 4 4 2" xfId="49662" xr:uid="{00000000-0005-0000-0000-00002EC20000}"/>
    <cellStyle name="输入 2 9 2 4 5" xfId="49663" xr:uid="{00000000-0005-0000-0000-00002FC20000}"/>
    <cellStyle name="输入 2 9 2 4 5 2" xfId="49665" xr:uid="{00000000-0005-0000-0000-000031C20000}"/>
    <cellStyle name="输入 2 9 2 4 6" xfId="49666" xr:uid="{00000000-0005-0000-0000-000032C20000}"/>
    <cellStyle name="输入 2 9 2 5" xfId="20629" xr:uid="{00000000-0005-0000-0000-0000C5500000}"/>
    <cellStyle name="输入 2 9 2 5 2" xfId="49667" xr:uid="{00000000-0005-0000-0000-000033C20000}"/>
    <cellStyle name="输入 2 9 2 5 2 2" xfId="49668" xr:uid="{00000000-0005-0000-0000-000034C20000}"/>
    <cellStyle name="输入 2 9 2 5 3" xfId="49669" xr:uid="{00000000-0005-0000-0000-000035C20000}"/>
    <cellStyle name="输入 2 9 2 5 3 2" xfId="49670" xr:uid="{00000000-0005-0000-0000-000036C20000}"/>
    <cellStyle name="输入 2 9 2 5 4" xfId="34237" xr:uid="{00000000-0005-0000-0000-0000ED850000}"/>
    <cellStyle name="输入 2 9 2 5 4 2" xfId="49671" xr:uid="{00000000-0005-0000-0000-000037C20000}"/>
    <cellStyle name="输入 2 9 2 5 5" xfId="49672" xr:uid="{00000000-0005-0000-0000-000038C20000}"/>
    <cellStyle name="输入 2 9 2 5 5 2" xfId="49674" xr:uid="{00000000-0005-0000-0000-00003AC20000}"/>
    <cellStyle name="输入 2 9 2 5 6" xfId="49675" xr:uid="{00000000-0005-0000-0000-00003BC20000}"/>
    <cellStyle name="输入 2 9 2 6" xfId="49676" xr:uid="{00000000-0005-0000-0000-00003CC20000}"/>
    <cellStyle name="输入 2 9 2 6 2" xfId="49677" xr:uid="{00000000-0005-0000-0000-00003DC20000}"/>
    <cellStyle name="输入 2 9 2 6 2 2" xfId="49678" xr:uid="{00000000-0005-0000-0000-00003EC20000}"/>
    <cellStyle name="输入 2 9 2 6 3" xfId="49679" xr:uid="{00000000-0005-0000-0000-00003FC20000}"/>
    <cellStyle name="输入 2 9 2 6 3 2" xfId="49680" xr:uid="{00000000-0005-0000-0000-000040C20000}"/>
    <cellStyle name="输入 2 9 2 6 4" xfId="20946" xr:uid="{00000000-0005-0000-0000-000002520000}"/>
    <cellStyle name="输入 2 9 2 6 4 2" xfId="49681" xr:uid="{00000000-0005-0000-0000-000041C20000}"/>
    <cellStyle name="输入 2 9 2 6 5" xfId="49682" xr:uid="{00000000-0005-0000-0000-000042C20000}"/>
    <cellStyle name="输入 2 9 2 6 5 2" xfId="49683" xr:uid="{00000000-0005-0000-0000-000043C20000}"/>
    <cellStyle name="输入 2 9 2 6 6" xfId="49684" xr:uid="{00000000-0005-0000-0000-000044C20000}"/>
    <cellStyle name="输入 2 9 2 7" xfId="49685" xr:uid="{00000000-0005-0000-0000-000045C20000}"/>
    <cellStyle name="输入 2 9 2 7 2" xfId="49686" xr:uid="{00000000-0005-0000-0000-000046C20000}"/>
    <cellStyle name="输入 2 9 2 7 2 2" xfId="46085" xr:uid="{00000000-0005-0000-0000-000035B40000}"/>
    <cellStyle name="输入 2 9 2 7 3" xfId="49687" xr:uid="{00000000-0005-0000-0000-000047C20000}"/>
    <cellStyle name="输入 2 9 2 7 3 2" xfId="46102" xr:uid="{00000000-0005-0000-0000-000046B40000}"/>
    <cellStyle name="输入 2 9 2 7 4" xfId="20951" xr:uid="{00000000-0005-0000-0000-000007520000}"/>
    <cellStyle name="输入 2 9 2 7 4 2" xfId="49688" xr:uid="{00000000-0005-0000-0000-000048C20000}"/>
    <cellStyle name="输入 2 9 2 7 5" xfId="49689" xr:uid="{00000000-0005-0000-0000-000049C20000}"/>
    <cellStyle name="输入 2 9 2 7 5 2" xfId="49690" xr:uid="{00000000-0005-0000-0000-00004AC20000}"/>
    <cellStyle name="输入 2 9 2 7 6" xfId="49691" xr:uid="{00000000-0005-0000-0000-00004BC20000}"/>
    <cellStyle name="输入 2 9 2 8" xfId="49692" xr:uid="{00000000-0005-0000-0000-00004CC20000}"/>
    <cellStyle name="输入 2 9 2 8 2" xfId="49693" xr:uid="{00000000-0005-0000-0000-00004DC20000}"/>
    <cellStyle name="输入 2 9 2 8 2 2" xfId="49694" xr:uid="{00000000-0005-0000-0000-00004EC20000}"/>
    <cellStyle name="输入 2 9 2 8 3" xfId="49695" xr:uid="{00000000-0005-0000-0000-00004FC20000}"/>
    <cellStyle name="输入 2 9 2 8 3 2" xfId="36224" xr:uid="{00000000-0005-0000-0000-0000B08D0000}"/>
    <cellStyle name="输入 2 9 2 8 4" xfId="9382" xr:uid="{00000000-0005-0000-0000-0000D6240000}"/>
    <cellStyle name="输入 2 9 2 8 4 2" xfId="29191" xr:uid="{00000000-0005-0000-0000-000037720000}"/>
    <cellStyle name="输入 2 9 2 8 5" xfId="49696" xr:uid="{00000000-0005-0000-0000-000050C20000}"/>
    <cellStyle name="输入 2 9 2 9" xfId="49697" xr:uid="{00000000-0005-0000-0000-000051C20000}"/>
    <cellStyle name="输入 2 9 2 9 2" xfId="49698" xr:uid="{00000000-0005-0000-0000-000052C20000}"/>
    <cellStyle name="输入 2 9 20" xfId="49593" xr:uid="{00000000-0005-0000-0000-0000E9C10000}"/>
    <cellStyle name="输入 2 9 20 2" xfId="49595" xr:uid="{00000000-0005-0000-0000-0000EBC10000}"/>
    <cellStyle name="输入 2 9 21" xfId="39912" xr:uid="{00000000-0005-0000-0000-0000189C0000}"/>
    <cellStyle name="输入 2 9 21 2" xfId="49608" xr:uid="{00000000-0005-0000-0000-0000F8C10000}"/>
    <cellStyle name="输入 2 9 22" xfId="49618" xr:uid="{00000000-0005-0000-0000-000002C20000}"/>
    <cellStyle name="输入 2 9 22 2" xfId="36093" xr:uid="{00000000-0005-0000-0000-00002D8D0000}"/>
    <cellStyle name="输入 2 9 23" xfId="38077" xr:uid="{00000000-0005-0000-0000-0000ED940000}"/>
    <cellStyle name="输入 2 9 23 2" xfId="36117" xr:uid="{00000000-0005-0000-0000-0000458D0000}"/>
    <cellStyle name="输入 2 9 24" xfId="38096" xr:uid="{00000000-0005-0000-0000-000000950000}"/>
    <cellStyle name="输入 2 9 25" xfId="38114" xr:uid="{00000000-0005-0000-0000-000012950000}"/>
    <cellStyle name="输入 2 9 26" xfId="38124" xr:uid="{00000000-0005-0000-0000-00001C950000}"/>
    <cellStyle name="输入 2 9 27" xfId="2966" xr:uid="{00000000-0005-0000-0000-0000C60B0000}"/>
    <cellStyle name="输入 2 9 3" xfId="49699" xr:uid="{00000000-0005-0000-0000-000053C20000}"/>
    <cellStyle name="输入 2 9 3 10" xfId="49700" xr:uid="{00000000-0005-0000-0000-000054C20000}"/>
    <cellStyle name="输入 2 9 3 10 2" xfId="24237" xr:uid="{00000000-0005-0000-0000-0000DD5E0000}"/>
    <cellStyle name="输入 2 9 3 11" xfId="49702" xr:uid="{00000000-0005-0000-0000-000056C20000}"/>
    <cellStyle name="输入 2 9 3 11 2" xfId="28510" xr:uid="{00000000-0005-0000-0000-00008E6F0000}"/>
    <cellStyle name="输入 2 9 3 12" xfId="49704" xr:uid="{00000000-0005-0000-0000-000058C20000}"/>
    <cellStyle name="输入 2 9 3 12 2" xfId="49706" xr:uid="{00000000-0005-0000-0000-00005AC20000}"/>
    <cellStyle name="输入 2 9 3 13" xfId="49707" xr:uid="{00000000-0005-0000-0000-00005BC20000}"/>
    <cellStyle name="输入 2 9 3 14" xfId="44786" xr:uid="{00000000-0005-0000-0000-000022AF0000}"/>
    <cellStyle name="输入 2 9 3 15" xfId="43631" xr:uid="{00000000-0005-0000-0000-00009FAA0000}"/>
    <cellStyle name="输入 2 9 3 16" xfId="43634" xr:uid="{00000000-0005-0000-0000-0000A2AA0000}"/>
    <cellStyle name="输入 2 9 3 2" xfId="49708" xr:uid="{00000000-0005-0000-0000-00005CC20000}"/>
    <cellStyle name="输入 2 9 3 2 2" xfId="49709" xr:uid="{00000000-0005-0000-0000-00005DC20000}"/>
    <cellStyle name="输入 2 9 3 2 2 2" xfId="48576" xr:uid="{00000000-0005-0000-0000-0000F0BD0000}"/>
    <cellStyle name="输入 2 9 3 2 3" xfId="49710" xr:uid="{00000000-0005-0000-0000-00005EC20000}"/>
    <cellStyle name="输入 2 9 3 2 3 2" xfId="48583" xr:uid="{00000000-0005-0000-0000-0000F7BD0000}"/>
    <cellStyle name="输入 2 9 3 2 4" xfId="49711" xr:uid="{00000000-0005-0000-0000-00005FC20000}"/>
    <cellStyle name="输入 2 9 3 2 4 2" xfId="49712" xr:uid="{00000000-0005-0000-0000-000060C20000}"/>
    <cellStyle name="输入 2 9 3 2 5" xfId="49713" xr:uid="{00000000-0005-0000-0000-000061C20000}"/>
    <cellStyle name="输入 2 9 3 2 5 2" xfId="49715" xr:uid="{00000000-0005-0000-0000-000063C20000}"/>
    <cellStyle name="输入 2 9 3 2 6" xfId="49716" xr:uid="{00000000-0005-0000-0000-000064C20000}"/>
    <cellStyle name="输入 2 9 3 2 7" xfId="49717" xr:uid="{00000000-0005-0000-0000-000065C20000}"/>
    <cellStyle name="输入 2 9 3 2 8" xfId="49718" xr:uid="{00000000-0005-0000-0000-000066C20000}"/>
    <cellStyle name="输入 2 9 3 2 9" xfId="13295" xr:uid="{00000000-0005-0000-0000-00001F340000}"/>
    <cellStyle name="输入 2 9 3 3" xfId="49720" xr:uid="{00000000-0005-0000-0000-000068C20000}"/>
    <cellStyle name="输入 2 9 3 3 2" xfId="49721" xr:uid="{00000000-0005-0000-0000-000069C20000}"/>
    <cellStyle name="输入 2 9 3 3 2 2" xfId="49722" xr:uid="{00000000-0005-0000-0000-00006AC20000}"/>
    <cellStyle name="输入 2 9 3 3 3" xfId="49723" xr:uid="{00000000-0005-0000-0000-00006BC20000}"/>
    <cellStyle name="输入 2 9 3 3 3 2" xfId="49724" xr:uid="{00000000-0005-0000-0000-00006CC20000}"/>
    <cellStyle name="输入 2 9 3 3 4" xfId="49725" xr:uid="{00000000-0005-0000-0000-00006DC20000}"/>
    <cellStyle name="输入 2 9 3 3 4 2" xfId="33283" xr:uid="{00000000-0005-0000-0000-000033820000}"/>
    <cellStyle name="输入 2 9 3 3 5" xfId="49726" xr:uid="{00000000-0005-0000-0000-00006EC20000}"/>
    <cellStyle name="输入 2 9 3 3 5 2" xfId="49728" xr:uid="{00000000-0005-0000-0000-000070C20000}"/>
    <cellStyle name="输入 2 9 3 3 6" xfId="49729" xr:uid="{00000000-0005-0000-0000-000071C20000}"/>
    <cellStyle name="输入 2 9 3 4" xfId="49730" xr:uid="{00000000-0005-0000-0000-000072C20000}"/>
    <cellStyle name="输入 2 9 3 4 2" xfId="49731" xr:uid="{00000000-0005-0000-0000-000073C20000}"/>
    <cellStyle name="输入 2 9 3 4 2 2" xfId="49732" xr:uid="{00000000-0005-0000-0000-000074C20000}"/>
    <cellStyle name="输入 2 9 3 4 3" xfId="49733" xr:uid="{00000000-0005-0000-0000-000075C20000}"/>
    <cellStyle name="输入 2 9 3 4 3 2" xfId="49734" xr:uid="{00000000-0005-0000-0000-000076C20000}"/>
    <cellStyle name="输入 2 9 3 4 4" xfId="19507" xr:uid="{00000000-0005-0000-0000-0000634C0000}"/>
    <cellStyle name="输入 2 9 3 4 4 2" xfId="49735" xr:uid="{00000000-0005-0000-0000-000077C20000}"/>
    <cellStyle name="输入 2 9 3 4 5" xfId="49736" xr:uid="{00000000-0005-0000-0000-000078C20000}"/>
    <cellStyle name="输入 2 9 3 4 5 2" xfId="49738" xr:uid="{00000000-0005-0000-0000-00007AC20000}"/>
    <cellStyle name="输入 2 9 3 4 6" xfId="49739" xr:uid="{00000000-0005-0000-0000-00007BC20000}"/>
    <cellStyle name="输入 2 9 3 5" xfId="49740" xr:uid="{00000000-0005-0000-0000-00007CC20000}"/>
    <cellStyle name="输入 2 9 3 5 2" xfId="49741" xr:uid="{00000000-0005-0000-0000-00007DC20000}"/>
    <cellStyle name="输入 2 9 3 5 2 2" xfId="49742" xr:uid="{00000000-0005-0000-0000-00007EC20000}"/>
    <cellStyle name="输入 2 9 3 5 3" xfId="49743" xr:uid="{00000000-0005-0000-0000-00007FC20000}"/>
    <cellStyle name="输入 2 9 3 5 3 2" xfId="49744" xr:uid="{00000000-0005-0000-0000-000080C20000}"/>
    <cellStyle name="输入 2 9 3 5 4" xfId="34243" xr:uid="{00000000-0005-0000-0000-0000F3850000}"/>
    <cellStyle name="输入 2 9 3 5 4 2" xfId="49745" xr:uid="{00000000-0005-0000-0000-000081C20000}"/>
    <cellStyle name="输入 2 9 3 5 5" xfId="49746" xr:uid="{00000000-0005-0000-0000-000082C20000}"/>
    <cellStyle name="输入 2 9 3 5 5 2" xfId="8448" xr:uid="{00000000-0005-0000-0000-000030210000}"/>
    <cellStyle name="输入 2 9 3 5 6" xfId="49748" xr:uid="{00000000-0005-0000-0000-000084C20000}"/>
    <cellStyle name="输入 2 9 3 6" xfId="49749" xr:uid="{00000000-0005-0000-0000-000085C20000}"/>
    <cellStyle name="输入 2 9 3 6 2" xfId="49750" xr:uid="{00000000-0005-0000-0000-000086C20000}"/>
    <cellStyle name="输入 2 9 3 6 2 2" xfId="49752" xr:uid="{00000000-0005-0000-0000-000088C20000}"/>
    <cellStyle name="输入 2 9 3 6 3" xfId="49754" xr:uid="{00000000-0005-0000-0000-00008AC20000}"/>
    <cellStyle name="输入 2 9 3 6 3 2" xfId="49756" xr:uid="{00000000-0005-0000-0000-00008CC20000}"/>
    <cellStyle name="输入 2 9 3 6 4" xfId="19557" xr:uid="{00000000-0005-0000-0000-0000954C0000}"/>
    <cellStyle name="输入 2 9 3 6 4 2" xfId="49758" xr:uid="{00000000-0005-0000-0000-00008EC20000}"/>
    <cellStyle name="输入 2 9 3 6 5" xfId="49760" xr:uid="{00000000-0005-0000-0000-000090C20000}"/>
    <cellStyle name="输入 2 9 3 6 5 2" xfId="49763" xr:uid="{00000000-0005-0000-0000-000093C20000}"/>
    <cellStyle name="输入 2 9 3 6 6" xfId="49766" xr:uid="{00000000-0005-0000-0000-000096C20000}"/>
    <cellStyle name="输入 2 9 3 7" xfId="49769" xr:uid="{00000000-0005-0000-0000-000099C20000}"/>
    <cellStyle name="输入 2 9 3 7 2" xfId="49770" xr:uid="{00000000-0005-0000-0000-00009AC20000}"/>
    <cellStyle name="输入 2 9 3 7 2 2" xfId="41986" xr:uid="{00000000-0005-0000-0000-000032A40000}"/>
    <cellStyle name="输入 2 9 3 7 3" xfId="49771" xr:uid="{00000000-0005-0000-0000-00009BC20000}"/>
    <cellStyle name="输入 2 9 3 7 3 2" xfId="42003" xr:uid="{00000000-0005-0000-0000-000043A40000}"/>
    <cellStyle name="输入 2 9 3 7 4" xfId="3284" xr:uid="{00000000-0005-0000-0000-0000040D0000}"/>
    <cellStyle name="输入 2 9 3 7 4 2" xfId="42017" xr:uid="{00000000-0005-0000-0000-000051A40000}"/>
    <cellStyle name="输入 2 9 3 7 5" xfId="49772" xr:uid="{00000000-0005-0000-0000-00009CC20000}"/>
    <cellStyle name="输入 2 9 3 7 5 2" xfId="42028" xr:uid="{00000000-0005-0000-0000-00005CA40000}"/>
    <cellStyle name="输入 2 9 3 7 6" xfId="49773" xr:uid="{00000000-0005-0000-0000-00009DC20000}"/>
    <cellStyle name="输入 2 9 3 8" xfId="49774" xr:uid="{00000000-0005-0000-0000-00009EC20000}"/>
    <cellStyle name="输入 2 9 3 8 2" xfId="49775" xr:uid="{00000000-0005-0000-0000-00009FC20000}"/>
    <cellStyle name="输入 2 9 3 8 2 2" xfId="8987" xr:uid="{00000000-0005-0000-0000-00004B230000}"/>
    <cellStyle name="输入 2 9 3 8 3" xfId="49776" xr:uid="{00000000-0005-0000-0000-0000A0C20000}"/>
    <cellStyle name="输入 2 9 3 8 3 2" xfId="9014" xr:uid="{00000000-0005-0000-0000-000066230000}"/>
    <cellStyle name="输入 2 9 3 8 4" xfId="3368" xr:uid="{00000000-0005-0000-0000-0000580D0000}"/>
    <cellStyle name="输入 2 9 3 8 4 2" xfId="9072" xr:uid="{00000000-0005-0000-0000-0000A0230000}"/>
    <cellStyle name="输入 2 9 3 8 5" xfId="49777" xr:uid="{00000000-0005-0000-0000-0000A1C20000}"/>
    <cellStyle name="输入 2 9 3 9" xfId="49778" xr:uid="{00000000-0005-0000-0000-0000A2C20000}"/>
    <cellStyle name="输入 2 9 3 9 2" xfId="49779" xr:uid="{00000000-0005-0000-0000-0000A3C20000}"/>
    <cellStyle name="输入 2 9 4" xfId="34864" xr:uid="{00000000-0005-0000-0000-000060880000}"/>
    <cellStyle name="输入 2 9 4 10" xfId="49780" xr:uid="{00000000-0005-0000-0000-0000A4C20000}"/>
    <cellStyle name="输入 2 9 4 10 2" xfId="49781" xr:uid="{00000000-0005-0000-0000-0000A5C20000}"/>
    <cellStyle name="输入 2 9 4 11" xfId="19233" xr:uid="{00000000-0005-0000-0000-0000514B0000}"/>
    <cellStyle name="输入 2 9 4 11 2" xfId="49782" xr:uid="{00000000-0005-0000-0000-0000A6C20000}"/>
    <cellStyle name="输入 2 9 4 12" xfId="49783" xr:uid="{00000000-0005-0000-0000-0000A7C20000}"/>
    <cellStyle name="输入 2 9 4 12 2" xfId="49784" xr:uid="{00000000-0005-0000-0000-0000A8C20000}"/>
    <cellStyle name="输入 2 9 4 13" xfId="49785" xr:uid="{00000000-0005-0000-0000-0000A9C20000}"/>
    <cellStyle name="输入 2 9 4 14" xfId="49786" xr:uid="{00000000-0005-0000-0000-0000AAC20000}"/>
    <cellStyle name="输入 2 9 4 15" xfId="43676" xr:uid="{00000000-0005-0000-0000-0000CCAA0000}"/>
    <cellStyle name="输入 2 9 4 16" xfId="43679" xr:uid="{00000000-0005-0000-0000-0000CFAA0000}"/>
    <cellStyle name="输入 2 9 4 2" xfId="49787" xr:uid="{00000000-0005-0000-0000-0000ABC20000}"/>
    <cellStyle name="输入 2 9 4 2 2" xfId="49788" xr:uid="{00000000-0005-0000-0000-0000ACC20000}"/>
    <cellStyle name="输入 2 9 4 2 2 2" xfId="49789" xr:uid="{00000000-0005-0000-0000-0000ADC20000}"/>
    <cellStyle name="输入 2 9 4 2 3" xfId="49790" xr:uid="{00000000-0005-0000-0000-0000AEC20000}"/>
    <cellStyle name="输入 2 9 4 2 3 2" xfId="49791" xr:uid="{00000000-0005-0000-0000-0000AFC20000}"/>
    <cellStyle name="输入 2 9 4 2 4" xfId="49792" xr:uid="{00000000-0005-0000-0000-0000B0C20000}"/>
    <cellStyle name="输入 2 9 4 2 4 2" xfId="49793" xr:uid="{00000000-0005-0000-0000-0000B1C20000}"/>
    <cellStyle name="输入 2 9 4 2 5" xfId="49794" xr:uid="{00000000-0005-0000-0000-0000B2C20000}"/>
    <cellStyle name="输入 2 9 4 2 5 2" xfId="49796" xr:uid="{00000000-0005-0000-0000-0000B4C20000}"/>
    <cellStyle name="输入 2 9 4 2 6" xfId="49797" xr:uid="{00000000-0005-0000-0000-0000B5C20000}"/>
    <cellStyle name="输入 2 9 4 2 7" xfId="49798" xr:uid="{00000000-0005-0000-0000-0000B6C20000}"/>
    <cellStyle name="输入 2 9 4 2 8" xfId="49799" xr:uid="{00000000-0005-0000-0000-0000B7C20000}"/>
    <cellStyle name="输入 2 9 4 2 9" xfId="49800" xr:uid="{00000000-0005-0000-0000-0000B8C20000}"/>
    <cellStyle name="输入 2 9 4 3" xfId="49801" xr:uid="{00000000-0005-0000-0000-0000B9C20000}"/>
    <cellStyle name="输入 2 9 4 3 2" xfId="49802" xr:uid="{00000000-0005-0000-0000-0000BAC20000}"/>
    <cellStyle name="输入 2 9 4 3 2 2" xfId="19339" xr:uid="{00000000-0005-0000-0000-0000BB4B0000}"/>
    <cellStyle name="输入 2 9 4 3 3" xfId="49803" xr:uid="{00000000-0005-0000-0000-0000BBC20000}"/>
    <cellStyle name="输入 2 9 4 3 3 2" xfId="19359" xr:uid="{00000000-0005-0000-0000-0000CF4B0000}"/>
    <cellStyle name="输入 2 9 4 3 4" xfId="49804" xr:uid="{00000000-0005-0000-0000-0000BCC20000}"/>
    <cellStyle name="输入 2 9 4 3 4 2" xfId="17688" xr:uid="{00000000-0005-0000-0000-000048450000}"/>
    <cellStyle name="输入 2 9 4 3 5" xfId="49805" xr:uid="{00000000-0005-0000-0000-0000BDC20000}"/>
    <cellStyle name="输入 2 9 4 3 5 2" xfId="17869" xr:uid="{00000000-0005-0000-0000-0000FD450000}"/>
    <cellStyle name="输入 2 9 4 3 6" xfId="49807" xr:uid="{00000000-0005-0000-0000-0000BFC20000}"/>
    <cellStyle name="输入 2 9 4 4" xfId="49808" xr:uid="{00000000-0005-0000-0000-0000C0C20000}"/>
    <cellStyle name="输入 2 9 4 4 2" xfId="49809" xr:uid="{00000000-0005-0000-0000-0000C1C20000}"/>
    <cellStyle name="输入 2 9 4 4 2 2" xfId="49810" xr:uid="{00000000-0005-0000-0000-0000C2C20000}"/>
    <cellStyle name="输入 2 9 4 4 3" xfId="49811" xr:uid="{00000000-0005-0000-0000-0000C3C20000}"/>
    <cellStyle name="输入 2 9 4 4 3 2" xfId="49812" xr:uid="{00000000-0005-0000-0000-0000C4C20000}"/>
    <cellStyle name="输入 2 9 4 4 4" xfId="49813" xr:uid="{00000000-0005-0000-0000-0000C5C20000}"/>
    <cellStyle name="输入 2 9 4 4 4 2" xfId="49814" xr:uid="{00000000-0005-0000-0000-0000C6C20000}"/>
    <cellStyle name="输入 2 9 4 4 5" xfId="49815" xr:uid="{00000000-0005-0000-0000-0000C7C20000}"/>
    <cellStyle name="输入 2 9 4 4 5 2" xfId="49817" xr:uid="{00000000-0005-0000-0000-0000C9C20000}"/>
    <cellStyle name="输入 2 9 4 4 6" xfId="49818" xr:uid="{00000000-0005-0000-0000-0000CAC20000}"/>
    <cellStyle name="输入 2 9 4 5" xfId="49819" xr:uid="{00000000-0005-0000-0000-0000CBC20000}"/>
    <cellStyle name="输入 2 9 4 5 2" xfId="49820" xr:uid="{00000000-0005-0000-0000-0000CCC20000}"/>
    <cellStyle name="输入 2 9 4 5 2 2" xfId="49821" xr:uid="{00000000-0005-0000-0000-0000CDC20000}"/>
    <cellStyle name="输入 2 9 4 5 3" xfId="49822" xr:uid="{00000000-0005-0000-0000-0000CEC20000}"/>
    <cellStyle name="输入 2 9 4 5 3 2" xfId="49823" xr:uid="{00000000-0005-0000-0000-0000CFC20000}"/>
    <cellStyle name="输入 2 9 4 5 4" xfId="49824" xr:uid="{00000000-0005-0000-0000-0000D0C20000}"/>
    <cellStyle name="输入 2 9 4 5 4 2" xfId="49825" xr:uid="{00000000-0005-0000-0000-0000D1C20000}"/>
    <cellStyle name="输入 2 9 4 5 5" xfId="49826" xr:uid="{00000000-0005-0000-0000-0000D2C20000}"/>
    <cellStyle name="输入 2 9 4 5 5 2" xfId="49828" xr:uid="{00000000-0005-0000-0000-0000D4C20000}"/>
    <cellStyle name="输入 2 9 4 5 6" xfId="49829" xr:uid="{00000000-0005-0000-0000-0000D5C20000}"/>
    <cellStyle name="输入 2 9 4 6" xfId="49830" xr:uid="{00000000-0005-0000-0000-0000D6C20000}"/>
    <cellStyle name="输入 2 9 4 6 2" xfId="49831" xr:uid="{00000000-0005-0000-0000-0000D7C20000}"/>
    <cellStyle name="输入 2 9 4 6 2 2" xfId="49833" xr:uid="{00000000-0005-0000-0000-0000D9C20000}"/>
    <cellStyle name="输入 2 9 4 6 3" xfId="49835" xr:uid="{00000000-0005-0000-0000-0000DBC20000}"/>
    <cellStyle name="输入 2 9 4 6 3 2" xfId="49837" xr:uid="{00000000-0005-0000-0000-0000DDC20000}"/>
    <cellStyle name="输入 2 9 4 6 4" xfId="19694" xr:uid="{00000000-0005-0000-0000-00001E4D0000}"/>
    <cellStyle name="输入 2 9 4 6 4 2" xfId="49839" xr:uid="{00000000-0005-0000-0000-0000DFC20000}"/>
    <cellStyle name="输入 2 9 4 6 5" xfId="49841" xr:uid="{00000000-0005-0000-0000-0000E1C20000}"/>
    <cellStyle name="输入 2 9 4 6 5 2" xfId="49844" xr:uid="{00000000-0005-0000-0000-0000E4C20000}"/>
    <cellStyle name="输入 2 9 4 6 6" xfId="49847" xr:uid="{00000000-0005-0000-0000-0000E7C20000}"/>
    <cellStyle name="输入 2 9 4 7" xfId="49850" xr:uid="{00000000-0005-0000-0000-0000EAC20000}"/>
    <cellStyle name="输入 2 9 4 7 2" xfId="49851" xr:uid="{00000000-0005-0000-0000-0000EBC20000}"/>
    <cellStyle name="输入 2 9 4 7 2 2" xfId="49852" xr:uid="{00000000-0005-0000-0000-0000ECC20000}"/>
    <cellStyle name="输入 2 9 4 7 3" xfId="49853" xr:uid="{00000000-0005-0000-0000-0000EDC20000}"/>
    <cellStyle name="输入 2 9 4 7 3 2" xfId="49854" xr:uid="{00000000-0005-0000-0000-0000EEC20000}"/>
    <cellStyle name="输入 2 9 4 7 4" xfId="2067" xr:uid="{00000000-0005-0000-0000-000043080000}"/>
    <cellStyle name="输入 2 9 4 7 4 2" xfId="49855" xr:uid="{00000000-0005-0000-0000-0000EFC20000}"/>
    <cellStyle name="输入 2 9 4 7 5" xfId="49856" xr:uid="{00000000-0005-0000-0000-0000F0C20000}"/>
    <cellStyle name="输入 2 9 4 7 5 2" xfId="49857" xr:uid="{00000000-0005-0000-0000-0000F1C20000}"/>
    <cellStyle name="输入 2 9 4 7 6" xfId="49858" xr:uid="{00000000-0005-0000-0000-0000F2C20000}"/>
    <cellStyle name="输入 2 9 4 8" xfId="49859" xr:uid="{00000000-0005-0000-0000-0000F3C20000}"/>
    <cellStyle name="输入 2 9 4 8 2" xfId="49860" xr:uid="{00000000-0005-0000-0000-0000F4C20000}"/>
    <cellStyle name="输入 2 9 4 8 2 2" xfId="19730" xr:uid="{00000000-0005-0000-0000-0000424D0000}"/>
    <cellStyle name="输入 2 9 4 8 3" xfId="49861" xr:uid="{00000000-0005-0000-0000-0000F5C20000}"/>
    <cellStyle name="输入 2 9 4 8 3 2" xfId="20354" xr:uid="{00000000-0005-0000-0000-0000B24F0000}"/>
    <cellStyle name="输入 2 9 4 8 4" xfId="3622" xr:uid="{00000000-0005-0000-0000-0000560E0000}"/>
    <cellStyle name="输入 2 9 4 8 4 2" xfId="19436" xr:uid="{00000000-0005-0000-0000-00001C4C0000}"/>
    <cellStyle name="输入 2 9 4 8 5" xfId="49862" xr:uid="{00000000-0005-0000-0000-0000F6C20000}"/>
    <cellStyle name="输入 2 9 4 9" xfId="49863" xr:uid="{00000000-0005-0000-0000-0000F7C20000}"/>
    <cellStyle name="输入 2 9 4 9 2" xfId="49864" xr:uid="{00000000-0005-0000-0000-0000F8C20000}"/>
    <cellStyle name="输入 2 9 5" xfId="49865" xr:uid="{00000000-0005-0000-0000-0000F9C20000}"/>
    <cellStyle name="输入 2 9 5 10" xfId="28943" xr:uid="{00000000-0005-0000-0000-00003F710000}"/>
    <cellStyle name="输入 2 9 5 10 2" xfId="49866" xr:uid="{00000000-0005-0000-0000-0000FAC20000}"/>
    <cellStyle name="输入 2 9 5 11" xfId="27879" xr:uid="{00000000-0005-0000-0000-0000176D0000}"/>
    <cellStyle name="输入 2 9 5 11 2" xfId="49867" xr:uid="{00000000-0005-0000-0000-0000FBC20000}"/>
    <cellStyle name="输入 2 9 5 12" xfId="49868" xr:uid="{00000000-0005-0000-0000-0000FCC20000}"/>
    <cellStyle name="输入 2 9 5 12 2" xfId="49869" xr:uid="{00000000-0005-0000-0000-0000FDC20000}"/>
    <cellStyle name="输入 2 9 5 13" xfId="49870" xr:uid="{00000000-0005-0000-0000-0000FEC20000}"/>
    <cellStyle name="输入 2 9 5 14" xfId="49871" xr:uid="{00000000-0005-0000-0000-0000FFC20000}"/>
    <cellStyle name="输入 2 9 5 15" xfId="49872" xr:uid="{00000000-0005-0000-0000-000000C30000}"/>
    <cellStyle name="输入 2 9 5 16" xfId="49873" xr:uid="{00000000-0005-0000-0000-000001C30000}"/>
    <cellStyle name="输入 2 9 5 2" xfId="49874" xr:uid="{00000000-0005-0000-0000-000002C30000}"/>
    <cellStyle name="输入 2 9 5 2 2" xfId="49875" xr:uid="{00000000-0005-0000-0000-000003C30000}"/>
    <cellStyle name="输入 2 9 5 2 2 2" xfId="49876" xr:uid="{00000000-0005-0000-0000-000004C30000}"/>
    <cellStyle name="输入 2 9 5 2 3" xfId="49877" xr:uid="{00000000-0005-0000-0000-000005C30000}"/>
    <cellStyle name="输入 2 9 5 2 3 2" xfId="1247" xr:uid="{00000000-0005-0000-0000-00000F050000}"/>
    <cellStyle name="输入 2 9 5 2 4" xfId="49878" xr:uid="{00000000-0005-0000-0000-000006C30000}"/>
    <cellStyle name="输入 2 9 5 2 4 2" xfId="3100" xr:uid="{00000000-0005-0000-0000-00004C0C0000}"/>
    <cellStyle name="输入 2 9 5 2 5" xfId="49879" xr:uid="{00000000-0005-0000-0000-000007C30000}"/>
    <cellStyle name="输入 2 9 5 2 5 2" xfId="3289" xr:uid="{00000000-0005-0000-0000-0000090D0000}"/>
    <cellStyle name="输入 2 9 5 2 6" xfId="49881" xr:uid="{00000000-0005-0000-0000-000009C30000}"/>
    <cellStyle name="输入 2 9 5 2 7" xfId="49882" xr:uid="{00000000-0005-0000-0000-00000AC30000}"/>
    <cellStyle name="输入 2 9 5 2 8" xfId="49883" xr:uid="{00000000-0005-0000-0000-00000BC30000}"/>
    <cellStyle name="输入 2 9 5 2 9" xfId="49884" xr:uid="{00000000-0005-0000-0000-00000CC30000}"/>
    <cellStyle name="输入 2 9 5 3" xfId="49885" xr:uid="{00000000-0005-0000-0000-00000DC30000}"/>
    <cellStyle name="输入 2 9 5 3 2" xfId="49886" xr:uid="{00000000-0005-0000-0000-00000EC30000}"/>
    <cellStyle name="输入 2 9 5 3 2 2" xfId="49887" xr:uid="{00000000-0005-0000-0000-00000FC30000}"/>
    <cellStyle name="输入 2 9 5 3 3" xfId="49888" xr:uid="{00000000-0005-0000-0000-000010C30000}"/>
    <cellStyle name="输入 2 9 5 3 3 2" xfId="12696" xr:uid="{00000000-0005-0000-0000-0000C8310000}"/>
    <cellStyle name="输入 2 9 5 3 4" xfId="49889" xr:uid="{00000000-0005-0000-0000-000011C30000}"/>
    <cellStyle name="输入 2 9 5 3 4 2" xfId="12714" xr:uid="{00000000-0005-0000-0000-0000DA310000}"/>
    <cellStyle name="输入 2 9 5 3 5" xfId="49890" xr:uid="{00000000-0005-0000-0000-000012C30000}"/>
    <cellStyle name="输入 2 9 5 3 5 2" xfId="7721" xr:uid="{00000000-0005-0000-0000-0000591E0000}"/>
    <cellStyle name="输入 2 9 5 3 6" xfId="49892" xr:uid="{00000000-0005-0000-0000-000014C30000}"/>
    <cellStyle name="输入 2 9 5 4" xfId="49893" xr:uid="{00000000-0005-0000-0000-000015C30000}"/>
    <cellStyle name="输入 2 9 5 4 2" xfId="49894" xr:uid="{00000000-0005-0000-0000-000016C30000}"/>
    <cellStyle name="输入 2 9 5 4 2 2" xfId="49895" xr:uid="{00000000-0005-0000-0000-000017C30000}"/>
    <cellStyle name="输入 2 9 5 4 3" xfId="19786" xr:uid="{00000000-0005-0000-0000-00007A4D0000}"/>
    <cellStyle name="输入 2 9 5 4 3 2" xfId="12736" xr:uid="{00000000-0005-0000-0000-0000F0310000}"/>
    <cellStyle name="输入 2 9 5 4 4" xfId="49896" xr:uid="{00000000-0005-0000-0000-000018C30000}"/>
    <cellStyle name="输入 2 9 5 4 4 2" xfId="12747" xr:uid="{00000000-0005-0000-0000-0000FB310000}"/>
    <cellStyle name="输入 2 9 5 4 5" xfId="49897" xr:uid="{00000000-0005-0000-0000-000019C30000}"/>
    <cellStyle name="输入 2 9 5 4 5 2" xfId="13234" xr:uid="{00000000-0005-0000-0000-0000E2330000}"/>
    <cellStyle name="输入 2 9 5 4 6" xfId="49899" xr:uid="{00000000-0005-0000-0000-00001BC30000}"/>
    <cellStyle name="输入 2 9 5 5" xfId="49900" xr:uid="{00000000-0005-0000-0000-00001CC30000}"/>
    <cellStyle name="输入 2 9 5 5 2" xfId="49901" xr:uid="{00000000-0005-0000-0000-00001DC30000}"/>
    <cellStyle name="输入 2 9 5 5 2 2" xfId="2279" xr:uid="{00000000-0005-0000-0000-000017090000}"/>
    <cellStyle name="输入 2 9 5 5 3" xfId="19799" xr:uid="{00000000-0005-0000-0000-0000874D0000}"/>
    <cellStyle name="输入 2 9 5 5 3 2" xfId="2011" xr:uid="{00000000-0005-0000-0000-00000B080000}"/>
    <cellStyle name="输入 2 9 5 5 4" xfId="49902" xr:uid="{00000000-0005-0000-0000-00001EC30000}"/>
    <cellStyle name="输入 2 9 5 5 4 2" xfId="1419" xr:uid="{00000000-0005-0000-0000-0000BB050000}"/>
    <cellStyle name="输入 2 9 5 5 5" xfId="49903" xr:uid="{00000000-0005-0000-0000-00001FC30000}"/>
    <cellStyle name="输入 2 9 5 5 5 2" xfId="5491" xr:uid="{00000000-0005-0000-0000-0000A3150000}"/>
    <cellStyle name="输入 2 9 5 5 6" xfId="49904" xr:uid="{00000000-0005-0000-0000-000020C30000}"/>
    <cellStyle name="输入 2 9 5 6" xfId="49905" xr:uid="{00000000-0005-0000-0000-000021C30000}"/>
    <cellStyle name="输入 2 9 5 6 2" xfId="49906" xr:uid="{00000000-0005-0000-0000-000022C30000}"/>
    <cellStyle name="输入 2 9 5 6 2 2" xfId="6755" xr:uid="{00000000-0005-0000-0000-0000931A0000}"/>
    <cellStyle name="输入 2 9 5 6 3" xfId="6390" xr:uid="{00000000-0005-0000-0000-000026190000}"/>
    <cellStyle name="输入 2 9 5 6 3 2" xfId="6763" xr:uid="{00000000-0005-0000-0000-00009B1A0000}"/>
    <cellStyle name="输入 2 9 5 6 4" xfId="19812" xr:uid="{00000000-0005-0000-0000-0000944D0000}"/>
    <cellStyle name="输入 2 9 5 6 4 2" xfId="6776" xr:uid="{00000000-0005-0000-0000-0000A81A0000}"/>
    <cellStyle name="输入 2 9 5 6 5" xfId="49907" xr:uid="{00000000-0005-0000-0000-000023C30000}"/>
    <cellStyle name="输入 2 9 5 6 5 2" xfId="8918" xr:uid="{00000000-0005-0000-0000-000006230000}"/>
    <cellStyle name="输入 2 9 5 6 6" xfId="49908" xr:uid="{00000000-0005-0000-0000-000024C30000}"/>
    <cellStyle name="输入 2 9 5 7" xfId="49909" xr:uid="{00000000-0005-0000-0000-000025C30000}"/>
    <cellStyle name="输入 2 9 5 7 2" xfId="49910" xr:uid="{00000000-0005-0000-0000-000026C30000}"/>
    <cellStyle name="输入 2 9 5 7 2 2" xfId="10549" xr:uid="{00000000-0005-0000-0000-000065290000}"/>
    <cellStyle name="输入 2 9 5 7 3" xfId="6415" xr:uid="{00000000-0005-0000-0000-00003F190000}"/>
    <cellStyle name="输入 2 9 5 7 3 2" xfId="6358" xr:uid="{00000000-0005-0000-0000-000006190000}"/>
    <cellStyle name="输入 2 9 5 7 4" xfId="460" xr:uid="{00000000-0005-0000-0000-0000F6010000}"/>
    <cellStyle name="输入 2 9 5 7 4 2" xfId="6724" xr:uid="{00000000-0005-0000-0000-0000741A0000}"/>
    <cellStyle name="输入 2 9 5 7 5" xfId="49911" xr:uid="{00000000-0005-0000-0000-000027C30000}"/>
    <cellStyle name="输入 2 9 5 7 5 2" xfId="6927" xr:uid="{00000000-0005-0000-0000-00003F1B0000}"/>
    <cellStyle name="输入 2 9 5 7 6" xfId="49912" xr:uid="{00000000-0005-0000-0000-000028C30000}"/>
    <cellStyle name="输入 2 9 5 8" xfId="49913" xr:uid="{00000000-0005-0000-0000-000029C30000}"/>
    <cellStyle name="输入 2 9 5 8 2" xfId="49914" xr:uid="{00000000-0005-0000-0000-00002AC30000}"/>
    <cellStyle name="输入 2 9 5 8 2 2" xfId="30439" xr:uid="{00000000-0005-0000-0000-000017770000}"/>
    <cellStyle name="输入 2 9 5 8 3" xfId="49915" xr:uid="{00000000-0005-0000-0000-00002BC30000}"/>
    <cellStyle name="输入 2 9 5 8 3 2" xfId="11611" xr:uid="{00000000-0005-0000-0000-00008B2D0000}"/>
    <cellStyle name="输入 2 9 5 8 4" xfId="1583" xr:uid="{00000000-0005-0000-0000-00005F060000}"/>
    <cellStyle name="输入 2 9 5 8 4 2" xfId="11641" xr:uid="{00000000-0005-0000-0000-0000A92D0000}"/>
    <cellStyle name="输入 2 9 5 8 5" xfId="49916" xr:uid="{00000000-0005-0000-0000-00002CC30000}"/>
    <cellStyle name="输入 2 9 5 9" xfId="49917" xr:uid="{00000000-0005-0000-0000-00002DC30000}"/>
    <cellStyle name="输入 2 9 5 9 2" xfId="49918" xr:uid="{00000000-0005-0000-0000-00002EC30000}"/>
    <cellStyle name="输入 2 9 6" xfId="49919" xr:uid="{00000000-0005-0000-0000-00002FC30000}"/>
    <cellStyle name="输入 2 9 6 10" xfId="49920" xr:uid="{00000000-0005-0000-0000-000030C30000}"/>
    <cellStyle name="输入 2 9 6 10 2" xfId="49922" xr:uid="{00000000-0005-0000-0000-000032C30000}"/>
    <cellStyle name="输入 2 9 6 11" xfId="49923" xr:uid="{00000000-0005-0000-0000-000033C30000}"/>
    <cellStyle name="输入 2 9 6 11 2" xfId="49925" xr:uid="{00000000-0005-0000-0000-000035C30000}"/>
    <cellStyle name="输入 2 9 6 12" xfId="49926" xr:uid="{00000000-0005-0000-0000-000036C30000}"/>
    <cellStyle name="输入 2 9 6 12 2" xfId="49927" xr:uid="{00000000-0005-0000-0000-000037C30000}"/>
    <cellStyle name="输入 2 9 6 13" xfId="49928" xr:uid="{00000000-0005-0000-0000-000038C30000}"/>
    <cellStyle name="输入 2 9 6 14" xfId="49929" xr:uid="{00000000-0005-0000-0000-000039C30000}"/>
    <cellStyle name="输入 2 9 6 15" xfId="49930" xr:uid="{00000000-0005-0000-0000-00003AC30000}"/>
    <cellStyle name="输入 2 9 6 16" xfId="10292" xr:uid="{00000000-0005-0000-0000-000064280000}"/>
    <cellStyle name="输入 2 9 6 2" xfId="49931" xr:uid="{00000000-0005-0000-0000-00003BC30000}"/>
    <cellStyle name="输入 2 9 6 2 2" xfId="17505" xr:uid="{00000000-0005-0000-0000-000091440000}"/>
    <cellStyle name="输入 2 9 6 2 2 2" xfId="36072" xr:uid="{00000000-0005-0000-0000-0000188D0000}"/>
    <cellStyle name="输入 2 9 6 2 3" xfId="16377" xr:uid="{00000000-0005-0000-0000-000029400000}"/>
    <cellStyle name="输入 2 9 6 2 3 2" xfId="2857" xr:uid="{00000000-0005-0000-0000-0000590B0000}"/>
    <cellStyle name="输入 2 9 6 2 4" xfId="49932" xr:uid="{00000000-0005-0000-0000-00003CC30000}"/>
    <cellStyle name="输入 2 9 6 2 4 2" xfId="14331" xr:uid="{00000000-0005-0000-0000-00002B380000}"/>
    <cellStyle name="输入 2 9 6 2 5" xfId="13730" xr:uid="{00000000-0005-0000-0000-0000D2350000}"/>
    <cellStyle name="输入 2 9 6 2 5 2" xfId="14347" xr:uid="{00000000-0005-0000-0000-00003B380000}"/>
    <cellStyle name="输入 2 9 6 2 6" xfId="49933" xr:uid="{00000000-0005-0000-0000-00003DC30000}"/>
    <cellStyle name="输入 2 9 6 2 7" xfId="17955" xr:uid="{00000000-0005-0000-0000-000053460000}"/>
    <cellStyle name="输入 2 9 6 2 8" xfId="49935" xr:uid="{00000000-0005-0000-0000-00003FC30000}"/>
    <cellStyle name="输入 2 9 6 2 9" xfId="49937" xr:uid="{00000000-0005-0000-0000-000041C30000}"/>
    <cellStyle name="输入 2 9 6 3" xfId="49938" xr:uid="{00000000-0005-0000-0000-000042C30000}"/>
    <cellStyle name="输入 2 9 6 3 2" xfId="35526" xr:uid="{00000000-0005-0000-0000-0000F68A0000}"/>
    <cellStyle name="输入 2 9 6 3 2 2" xfId="35529" xr:uid="{00000000-0005-0000-0000-0000F98A0000}"/>
    <cellStyle name="输入 2 9 6 3 3" xfId="35532" xr:uid="{00000000-0005-0000-0000-0000FC8A0000}"/>
    <cellStyle name="输入 2 9 6 3 3 2" xfId="10471" xr:uid="{00000000-0005-0000-0000-000017290000}"/>
    <cellStyle name="输入 2 9 6 3 4" xfId="35534" xr:uid="{00000000-0005-0000-0000-0000FE8A0000}"/>
    <cellStyle name="输入 2 9 6 3 4 2" xfId="14298" xr:uid="{00000000-0005-0000-0000-00000A380000}"/>
    <cellStyle name="输入 2 9 6 3 5" xfId="35537" xr:uid="{00000000-0005-0000-0000-0000018B0000}"/>
    <cellStyle name="输入 2 9 6 3 5 2" xfId="14496" xr:uid="{00000000-0005-0000-0000-0000D0380000}"/>
    <cellStyle name="输入 2 9 6 3 6" xfId="35539" xr:uid="{00000000-0005-0000-0000-0000038B0000}"/>
    <cellStyle name="输入 2 9 6 4" xfId="49939" xr:uid="{00000000-0005-0000-0000-000043C30000}"/>
    <cellStyle name="输入 2 9 6 4 2" xfId="36849" xr:uid="{00000000-0005-0000-0000-000021900000}"/>
    <cellStyle name="输入 2 9 6 4 2 2" xfId="36851" xr:uid="{00000000-0005-0000-0000-000023900000}"/>
    <cellStyle name="输入 2 9 6 4 3" xfId="19861" xr:uid="{00000000-0005-0000-0000-0000C54D0000}"/>
    <cellStyle name="输入 2 9 6 4 3 2" xfId="14668" xr:uid="{00000000-0005-0000-0000-00007C390000}"/>
    <cellStyle name="输入 2 9 6 4 4" xfId="49940" xr:uid="{00000000-0005-0000-0000-000044C30000}"/>
    <cellStyle name="输入 2 9 6 4 4 2" xfId="14683" xr:uid="{00000000-0005-0000-0000-00008B390000}"/>
    <cellStyle name="输入 2 9 6 4 5" xfId="35880" xr:uid="{00000000-0005-0000-0000-0000588C0000}"/>
    <cellStyle name="输入 2 9 6 4 5 2" xfId="778" xr:uid="{00000000-0005-0000-0000-00003A030000}"/>
    <cellStyle name="输入 2 9 6 4 6" xfId="49941" xr:uid="{00000000-0005-0000-0000-000045C30000}"/>
    <cellStyle name="输入 2 9 6 5" xfId="49943" xr:uid="{00000000-0005-0000-0000-000047C30000}"/>
    <cellStyle name="输入 2 9 6 5 2" xfId="37335" xr:uid="{00000000-0005-0000-0000-000007920000}"/>
    <cellStyle name="输入 2 9 6 5 2 2" xfId="19399" xr:uid="{00000000-0005-0000-0000-0000F74B0000}"/>
    <cellStyle name="输入 2 9 6 5 3" xfId="19879" xr:uid="{00000000-0005-0000-0000-0000D74D0000}"/>
    <cellStyle name="输入 2 9 6 5 3 2" xfId="14813" xr:uid="{00000000-0005-0000-0000-00000D3A0000}"/>
    <cellStyle name="输入 2 9 6 5 4" xfId="49944" xr:uid="{00000000-0005-0000-0000-000048C30000}"/>
    <cellStyle name="输入 2 9 6 5 4 2" xfId="14840" xr:uid="{00000000-0005-0000-0000-0000283A0000}"/>
    <cellStyle name="输入 2 9 6 5 5" xfId="49945" xr:uid="{00000000-0005-0000-0000-000049C30000}"/>
    <cellStyle name="输入 2 9 6 5 5 2" xfId="11840" xr:uid="{00000000-0005-0000-0000-0000702E0000}"/>
    <cellStyle name="输入 2 9 6 5 6" xfId="49946" xr:uid="{00000000-0005-0000-0000-00004AC30000}"/>
    <cellStyle name="输入 2 9 6 6" xfId="26129" xr:uid="{00000000-0005-0000-0000-000041660000}"/>
    <cellStyle name="输入 2 9 6 6 2" xfId="49948" xr:uid="{00000000-0005-0000-0000-00004CC30000}"/>
    <cellStyle name="输入 2 9 6 6 2 2" xfId="49949" xr:uid="{00000000-0005-0000-0000-00004DC30000}"/>
    <cellStyle name="输入 2 9 6 6 3" xfId="6449" xr:uid="{00000000-0005-0000-0000-000061190000}"/>
    <cellStyle name="输入 2 9 6 6 3 2" xfId="14954" xr:uid="{00000000-0005-0000-0000-00009A3A0000}"/>
    <cellStyle name="输入 2 9 6 6 4" xfId="19904" xr:uid="{00000000-0005-0000-0000-0000F04D0000}"/>
    <cellStyle name="输入 2 9 6 6 4 2" xfId="14971" xr:uid="{00000000-0005-0000-0000-0000AB3A0000}"/>
    <cellStyle name="输入 2 9 6 6 5" xfId="49950" xr:uid="{00000000-0005-0000-0000-00004EC30000}"/>
    <cellStyle name="输入 2 9 6 6 5 2" xfId="14983" xr:uid="{00000000-0005-0000-0000-0000B73A0000}"/>
    <cellStyle name="输入 2 9 6 6 6" xfId="49951" xr:uid="{00000000-0005-0000-0000-00004FC30000}"/>
    <cellStyle name="输入 2 9 6 7" xfId="49952" xr:uid="{00000000-0005-0000-0000-000050C30000}"/>
    <cellStyle name="输入 2 9 6 7 2" xfId="49953" xr:uid="{00000000-0005-0000-0000-000051C30000}"/>
    <cellStyle name="输入 2 9 6 7 2 2" xfId="49954" xr:uid="{00000000-0005-0000-0000-000052C30000}"/>
    <cellStyle name="输入 2 9 6 7 3" xfId="6464" xr:uid="{00000000-0005-0000-0000-000070190000}"/>
    <cellStyle name="输入 2 9 6 7 3 2" xfId="15085" xr:uid="{00000000-0005-0000-0000-00001D3B0000}"/>
    <cellStyle name="输入 2 9 6 7 4" xfId="1446" xr:uid="{00000000-0005-0000-0000-0000D6050000}"/>
    <cellStyle name="输入 2 9 6 7 4 2" xfId="15104" xr:uid="{00000000-0005-0000-0000-0000303B0000}"/>
    <cellStyle name="输入 2 9 6 7 5" xfId="49955" xr:uid="{00000000-0005-0000-0000-000053C30000}"/>
    <cellStyle name="输入 2 9 6 7 5 2" xfId="15125" xr:uid="{00000000-0005-0000-0000-0000453B0000}"/>
    <cellStyle name="输入 2 9 6 7 6" xfId="49956" xr:uid="{00000000-0005-0000-0000-000054C30000}"/>
    <cellStyle name="输入 2 9 6 8" xfId="49957" xr:uid="{00000000-0005-0000-0000-000055C30000}"/>
    <cellStyle name="输入 2 9 6 8 2" xfId="35728" xr:uid="{00000000-0005-0000-0000-0000C08B0000}"/>
    <cellStyle name="输入 2 9 6 8 2 2" xfId="35731" xr:uid="{00000000-0005-0000-0000-0000C38B0000}"/>
    <cellStyle name="输入 2 9 6 8 3" xfId="35735" xr:uid="{00000000-0005-0000-0000-0000C78B0000}"/>
    <cellStyle name="输入 2 9 6 8 3 2" xfId="10893" xr:uid="{00000000-0005-0000-0000-0000BD2A0000}"/>
    <cellStyle name="输入 2 9 6 8 4" xfId="3706" xr:uid="{00000000-0005-0000-0000-0000AA0E0000}"/>
    <cellStyle name="输入 2 9 6 8 4 2" xfId="15303" xr:uid="{00000000-0005-0000-0000-0000F73B0000}"/>
    <cellStyle name="输入 2 9 6 8 5" xfId="35739" xr:uid="{00000000-0005-0000-0000-0000CB8B0000}"/>
    <cellStyle name="输入 2 9 6 9" xfId="49958" xr:uid="{00000000-0005-0000-0000-000056C30000}"/>
    <cellStyle name="输入 2 9 6 9 2" xfId="49959" xr:uid="{00000000-0005-0000-0000-000057C30000}"/>
    <cellStyle name="输入 2 9 7" xfId="49960" xr:uid="{00000000-0005-0000-0000-000058C30000}"/>
    <cellStyle name="输入 2 9 7 10" xfId="49961" xr:uid="{00000000-0005-0000-0000-000059C30000}"/>
    <cellStyle name="输入 2 9 7 10 2" xfId="39853" xr:uid="{00000000-0005-0000-0000-0000DD9B0000}"/>
    <cellStyle name="输入 2 9 7 11" xfId="49963" xr:uid="{00000000-0005-0000-0000-00005BC30000}"/>
    <cellStyle name="输入 2 9 7 11 2" xfId="39867" xr:uid="{00000000-0005-0000-0000-0000EB9B0000}"/>
    <cellStyle name="输入 2 9 7 12" xfId="9340" xr:uid="{00000000-0005-0000-0000-0000AC240000}"/>
    <cellStyle name="输入 2 9 7 12 2" xfId="37853" xr:uid="{00000000-0005-0000-0000-00000D940000}"/>
    <cellStyle name="输入 2 9 7 13" xfId="49965" xr:uid="{00000000-0005-0000-0000-00005DC30000}"/>
    <cellStyle name="输入 2 9 7 14" xfId="49967" xr:uid="{00000000-0005-0000-0000-00005FC30000}"/>
    <cellStyle name="输入 2 9 7 15" xfId="49968" xr:uid="{00000000-0005-0000-0000-000060C30000}"/>
    <cellStyle name="输入 2 9 7 16" xfId="13918" xr:uid="{00000000-0005-0000-0000-00008E360000}"/>
    <cellStyle name="输入 2 9 7 2" xfId="49970" xr:uid="{00000000-0005-0000-0000-000062C30000}"/>
    <cellStyle name="输入 2 9 7 2 2" xfId="49971" xr:uid="{00000000-0005-0000-0000-000063C30000}"/>
    <cellStyle name="输入 2 9 7 2 2 2" xfId="9029" xr:uid="{00000000-0005-0000-0000-000075230000}"/>
    <cellStyle name="输入 2 9 7 2 3" xfId="49972" xr:uid="{00000000-0005-0000-0000-000064C30000}"/>
    <cellStyle name="输入 2 9 7 2 3 2" xfId="6575" xr:uid="{00000000-0005-0000-0000-0000DF190000}"/>
    <cellStyle name="输入 2 9 7 2 4" xfId="49973" xr:uid="{00000000-0005-0000-0000-000065C30000}"/>
    <cellStyle name="输入 2 9 7 2 4 2" xfId="16217" xr:uid="{00000000-0005-0000-0000-0000893F0000}"/>
    <cellStyle name="输入 2 9 7 2 5" xfId="13760" xr:uid="{00000000-0005-0000-0000-0000F0350000}"/>
    <cellStyle name="输入 2 9 7 2 5 2" xfId="16239" xr:uid="{00000000-0005-0000-0000-00009F3F0000}"/>
    <cellStyle name="输入 2 9 7 2 6" xfId="49974" xr:uid="{00000000-0005-0000-0000-000066C30000}"/>
    <cellStyle name="输入 2 9 7 2 7" xfId="8432" xr:uid="{00000000-0005-0000-0000-000020210000}"/>
    <cellStyle name="输入 2 9 7 2 8" xfId="49976" xr:uid="{00000000-0005-0000-0000-000068C30000}"/>
    <cellStyle name="输入 2 9 7 2 9" xfId="49977" xr:uid="{00000000-0005-0000-0000-000069C30000}"/>
    <cellStyle name="输入 2 9 7 3" xfId="49978" xr:uid="{00000000-0005-0000-0000-00006AC30000}"/>
    <cellStyle name="输入 2 9 7 3 2" xfId="49979" xr:uid="{00000000-0005-0000-0000-00006BC30000}"/>
    <cellStyle name="输入 2 9 7 3 2 2" xfId="15450" xr:uid="{00000000-0005-0000-0000-00008A3C0000}"/>
    <cellStyle name="输入 2 9 7 3 3" xfId="49980" xr:uid="{00000000-0005-0000-0000-00006CC30000}"/>
    <cellStyle name="输入 2 9 7 3 3 2" xfId="15459" xr:uid="{00000000-0005-0000-0000-0000933C0000}"/>
    <cellStyle name="输入 2 9 7 3 4" xfId="49981" xr:uid="{00000000-0005-0000-0000-00006DC30000}"/>
    <cellStyle name="输入 2 9 7 3 4 2" xfId="16356" xr:uid="{00000000-0005-0000-0000-000014400000}"/>
    <cellStyle name="输入 2 9 7 3 5" xfId="35891" xr:uid="{00000000-0005-0000-0000-0000638C0000}"/>
    <cellStyle name="输入 2 9 7 3 5 2" xfId="16375" xr:uid="{00000000-0005-0000-0000-000027400000}"/>
    <cellStyle name="输入 2 9 7 3 6" xfId="49982" xr:uid="{00000000-0005-0000-0000-00006EC30000}"/>
    <cellStyle name="输入 2 9 7 4" xfId="49984" xr:uid="{00000000-0005-0000-0000-000070C30000}"/>
    <cellStyle name="输入 2 9 7 4 2" xfId="49985" xr:uid="{00000000-0005-0000-0000-000071C30000}"/>
    <cellStyle name="输入 2 9 7 4 2 2" xfId="13524" xr:uid="{00000000-0005-0000-0000-000004350000}"/>
    <cellStyle name="输入 2 9 7 4 3" xfId="19944" xr:uid="{00000000-0005-0000-0000-0000184E0000}"/>
    <cellStyle name="输入 2 9 7 4 3 2" xfId="16499" xr:uid="{00000000-0005-0000-0000-0000A3400000}"/>
    <cellStyle name="输入 2 9 7 4 4" xfId="49986" xr:uid="{00000000-0005-0000-0000-000072C30000}"/>
    <cellStyle name="输入 2 9 7 4 4 2" xfId="16536" xr:uid="{00000000-0005-0000-0000-0000C8400000}"/>
    <cellStyle name="输入 2 9 7 4 5" xfId="35894" xr:uid="{00000000-0005-0000-0000-0000668C0000}"/>
    <cellStyle name="输入 2 9 7 4 5 2" xfId="16566" xr:uid="{00000000-0005-0000-0000-0000E6400000}"/>
    <cellStyle name="输入 2 9 7 4 6" xfId="49987" xr:uid="{00000000-0005-0000-0000-000073C30000}"/>
    <cellStyle name="输入 2 9 7 5" xfId="49989" xr:uid="{00000000-0005-0000-0000-000075C30000}"/>
    <cellStyle name="输入 2 9 7 5 2" xfId="49990" xr:uid="{00000000-0005-0000-0000-000076C30000}"/>
    <cellStyle name="输入 2 9 7 5 2 2" xfId="1909" xr:uid="{00000000-0005-0000-0000-0000A5070000}"/>
    <cellStyle name="输入 2 9 7 5 3" xfId="19961" xr:uid="{00000000-0005-0000-0000-0000294E0000}"/>
    <cellStyle name="输入 2 9 7 5 3 2" xfId="16658" xr:uid="{00000000-0005-0000-0000-000042410000}"/>
    <cellStyle name="输入 2 9 7 5 4" xfId="49991" xr:uid="{00000000-0005-0000-0000-000077C30000}"/>
    <cellStyle name="输入 2 9 7 5 4 2" xfId="12411" xr:uid="{00000000-0005-0000-0000-0000AB300000}"/>
    <cellStyle name="输入 2 9 7 5 5" xfId="49992" xr:uid="{00000000-0005-0000-0000-000078C30000}"/>
    <cellStyle name="输入 2 9 7 5 5 2" xfId="14769" xr:uid="{00000000-0005-0000-0000-0000E1390000}"/>
    <cellStyle name="输入 2 9 7 5 6" xfId="49993" xr:uid="{00000000-0005-0000-0000-000079C30000}"/>
    <cellStyle name="输入 2 9 7 6" xfId="26137" xr:uid="{00000000-0005-0000-0000-000049660000}"/>
    <cellStyle name="输入 2 9 7 6 2" xfId="49995" xr:uid="{00000000-0005-0000-0000-00007BC30000}"/>
    <cellStyle name="输入 2 9 7 6 2 2" xfId="17059" xr:uid="{00000000-0005-0000-0000-0000D3420000}"/>
    <cellStyle name="输入 2 9 7 6 3" xfId="6482" xr:uid="{00000000-0005-0000-0000-000082190000}"/>
    <cellStyle name="输入 2 9 7 6 3 2" xfId="16758" xr:uid="{00000000-0005-0000-0000-0000A6410000}"/>
    <cellStyle name="输入 2 9 7 6 4" xfId="19983" xr:uid="{00000000-0005-0000-0000-00003F4E0000}"/>
    <cellStyle name="输入 2 9 7 6 4 2" xfId="16785" xr:uid="{00000000-0005-0000-0000-0000C1410000}"/>
    <cellStyle name="输入 2 9 7 6 5" xfId="49996" xr:uid="{00000000-0005-0000-0000-00007CC30000}"/>
    <cellStyle name="输入 2 9 7 6 5 2" xfId="16807" xr:uid="{00000000-0005-0000-0000-0000D7410000}"/>
    <cellStyle name="输入 2 9 7 6 6" xfId="49997" xr:uid="{00000000-0005-0000-0000-00007DC30000}"/>
    <cellStyle name="输入 2 9 7 7" xfId="49998" xr:uid="{00000000-0005-0000-0000-00007EC30000}"/>
    <cellStyle name="输入 2 9 7 7 2" xfId="49999" xr:uid="{00000000-0005-0000-0000-00007FC30000}"/>
    <cellStyle name="输入 2 9 7 7 2 2" xfId="19086" xr:uid="{00000000-0005-0000-0000-0000BE4A0000}"/>
    <cellStyle name="输入 2 9 7 7 3" xfId="6490" xr:uid="{00000000-0005-0000-0000-00008A190000}"/>
    <cellStyle name="输入 2 9 7 7 3 2" xfId="16918" xr:uid="{00000000-0005-0000-0000-000046420000}"/>
    <cellStyle name="输入 2 9 7 7 4" xfId="3747" xr:uid="{00000000-0005-0000-0000-0000D30E0000}"/>
    <cellStyle name="输入 2 9 7 7 4 2" xfId="16936" xr:uid="{00000000-0005-0000-0000-000058420000}"/>
    <cellStyle name="输入 2 9 7 7 5" xfId="50000" xr:uid="{00000000-0005-0000-0000-000080C30000}"/>
    <cellStyle name="输入 2 9 7 7 5 2" xfId="16954" xr:uid="{00000000-0005-0000-0000-00006A420000}"/>
    <cellStyle name="输入 2 9 7 7 6" xfId="50001" xr:uid="{00000000-0005-0000-0000-000081C30000}"/>
    <cellStyle name="输入 2 9 7 8" xfId="50002" xr:uid="{00000000-0005-0000-0000-000082C30000}"/>
    <cellStyle name="输入 2 9 7 8 2" xfId="50003" xr:uid="{00000000-0005-0000-0000-000083C30000}"/>
    <cellStyle name="输入 2 9 7 8 2 2" xfId="1651" xr:uid="{00000000-0005-0000-0000-0000A3060000}"/>
    <cellStyle name="输入 2 9 7 8 3" xfId="50004" xr:uid="{00000000-0005-0000-0000-000084C30000}"/>
    <cellStyle name="输入 2 9 7 8 3 2" xfId="15619" xr:uid="{00000000-0005-0000-0000-0000333D0000}"/>
    <cellStyle name="输入 2 9 7 8 4" xfId="3761" xr:uid="{00000000-0005-0000-0000-0000E10E0000}"/>
    <cellStyle name="输入 2 9 7 8 4 2" xfId="17080" xr:uid="{00000000-0005-0000-0000-0000E8420000}"/>
    <cellStyle name="输入 2 9 7 8 5" xfId="50005" xr:uid="{00000000-0005-0000-0000-000085C30000}"/>
    <cellStyle name="输入 2 9 7 9" xfId="50006" xr:uid="{00000000-0005-0000-0000-000086C30000}"/>
    <cellStyle name="输入 2 9 7 9 2" xfId="50007" xr:uid="{00000000-0005-0000-0000-000087C30000}"/>
    <cellStyle name="输入 2 9 8" xfId="37047" xr:uid="{00000000-0005-0000-0000-0000E7900000}"/>
    <cellStyle name="输入 2 9 8 10" xfId="50008" xr:uid="{00000000-0005-0000-0000-000088C30000}"/>
    <cellStyle name="输入 2 9 8 10 2" xfId="50010" xr:uid="{00000000-0005-0000-0000-00008AC30000}"/>
    <cellStyle name="输入 2 9 8 11" xfId="50012" xr:uid="{00000000-0005-0000-0000-00008CC30000}"/>
    <cellStyle name="输入 2 9 8 11 2" xfId="50014" xr:uid="{00000000-0005-0000-0000-00008EC30000}"/>
    <cellStyle name="输入 2 9 8 12" xfId="50016" xr:uid="{00000000-0005-0000-0000-000090C30000}"/>
    <cellStyle name="输入 2 9 8 12 2" xfId="50018" xr:uid="{00000000-0005-0000-0000-000092C30000}"/>
    <cellStyle name="输入 2 9 8 13" xfId="50019" xr:uid="{00000000-0005-0000-0000-000093C30000}"/>
    <cellStyle name="输入 2 9 8 14" xfId="50020" xr:uid="{00000000-0005-0000-0000-000094C30000}"/>
    <cellStyle name="输入 2 9 8 15" xfId="43706" xr:uid="{00000000-0005-0000-0000-0000EAAA0000}"/>
    <cellStyle name="输入 2 9 8 16" xfId="43709" xr:uid="{00000000-0005-0000-0000-0000EDAA0000}"/>
    <cellStyle name="输入 2 9 8 2" xfId="50021" xr:uid="{00000000-0005-0000-0000-000095C30000}"/>
    <cellStyle name="输入 2 9 8 2 2" xfId="50022" xr:uid="{00000000-0005-0000-0000-000096C30000}"/>
    <cellStyle name="输入 2 9 8 2 2 2" xfId="50023" xr:uid="{00000000-0005-0000-0000-000097C30000}"/>
    <cellStyle name="输入 2 9 8 2 3" xfId="50024" xr:uid="{00000000-0005-0000-0000-000098C30000}"/>
    <cellStyle name="输入 2 9 8 2 3 2" xfId="17811" xr:uid="{00000000-0005-0000-0000-0000C3450000}"/>
    <cellStyle name="输入 2 9 8 2 4" xfId="50025" xr:uid="{00000000-0005-0000-0000-000099C30000}"/>
    <cellStyle name="输入 2 9 8 2 4 2" xfId="17832" xr:uid="{00000000-0005-0000-0000-0000D8450000}"/>
    <cellStyle name="输入 2 9 8 2 5" xfId="35900" xr:uid="{00000000-0005-0000-0000-00006C8C0000}"/>
    <cellStyle name="输入 2 9 8 2 5 2" xfId="17856" xr:uid="{00000000-0005-0000-0000-0000F0450000}"/>
    <cellStyle name="输入 2 9 8 2 6" xfId="50026" xr:uid="{00000000-0005-0000-0000-00009AC30000}"/>
    <cellStyle name="输入 2 9 8 2 7" xfId="20023" xr:uid="{00000000-0005-0000-0000-0000674E0000}"/>
    <cellStyle name="输入 2 9 8 2 8" xfId="50028" xr:uid="{00000000-0005-0000-0000-00009CC30000}"/>
    <cellStyle name="输入 2 9 8 2 9" xfId="50029" xr:uid="{00000000-0005-0000-0000-00009DC30000}"/>
    <cellStyle name="输入 2 9 8 3" xfId="50030" xr:uid="{00000000-0005-0000-0000-00009EC30000}"/>
    <cellStyle name="输入 2 9 8 3 2" xfId="50031" xr:uid="{00000000-0005-0000-0000-00009FC30000}"/>
    <cellStyle name="输入 2 9 8 3 2 2" xfId="50032" xr:uid="{00000000-0005-0000-0000-0000A0C30000}"/>
    <cellStyle name="输入 2 9 8 3 3" xfId="50033" xr:uid="{00000000-0005-0000-0000-0000A1C30000}"/>
    <cellStyle name="输入 2 9 8 3 3 2" xfId="17971" xr:uid="{00000000-0005-0000-0000-000063460000}"/>
    <cellStyle name="输入 2 9 8 3 4" xfId="50034" xr:uid="{00000000-0005-0000-0000-0000A2C30000}"/>
    <cellStyle name="输入 2 9 8 3 4 2" xfId="17994" xr:uid="{00000000-0005-0000-0000-00007A460000}"/>
    <cellStyle name="输入 2 9 8 3 5" xfId="13776" xr:uid="{00000000-0005-0000-0000-000000360000}"/>
    <cellStyle name="输入 2 9 8 3 5 2" xfId="18025" xr:uid="{00000000-0005-0000-0000-000099460000}"/>
    <cellStyle name="输入 2 9 8 3 6" xfId="26986" xr:uid="{00000000-0005-0000-0000-00009A690000}"/>
    <cellStyle name="输入 2 9 8 4" xfId="39591" xr:uid="{00000000-0005-0000-0000-0000D79A0000}"/>
    <cellStyle name="输入 2 9 8 4 2" xfId="50035" xr:uid="{00000000-0005-0000-0000-0000A3C30000}"/>
    <cellStyle name="输入 2 9 8 4 2 2" xfId="50036" xr:uid="{00000000-0005-0000-0000-0000A4C30000}"/>
    <cellStyle name="输入 2 9 8 4 3" xfId="20061" xr:uid="{00000000-0005-0000-0000-00008D4E0000}"/>
    <cellStyle name="输入 2 9 8 4 3 2" xfId="18212" xr:uid="{00000000-0005-0000-0000-000054470000}"/>
    <cellStyle name="输入 2 9 8 4 4" xfId="50037" xr:uid="{00000000-0005-0000-0000-0000A5C30000}"/>
    <cellStyle name="输入 2 9 8 4 4 2" xfId="18252" xr:uid="{00000000-0005-0000-0000-00007C470000}"/>
    <cellStyle name="输入 2 9 8 4 5" xfId="25398" xr:uid="{00000000-0005-0000-0000-000066630000}"/>
    <cellStyle name="输入 2 9 8 4 5 2" xfId="18292" xr:uid="{00000000-0005-0000-0000-0000A4470000}"/>
    <cellStyle name="输入 2 9 8 4 6" xfId="27057" xr:uid="{00000000-0005-0000-0000-0000E1690000}"/>
    <cellStyle name="输入 2 9 8 5" xfId="50038" xr:uid="{00000000-0005-0000-0000-0000A6C30000}"/>
    <cellStyle name="输入 2 9 8 5 2" xfId="50039" xr:uid="{00000000-0005-0000-0000-0000A7C30000}"/>
    <cellStyle name="输入 2 9 8 5 2 2" xfId="50040" xr:uid="{00000000-0005-0000-0000-0000A8C30000}"/>
    <cellStyle name="输入 2 9 8 5 3" xfId="20074" xr:uid="{00000000-0005-0000-0000-00009A4E0000}"/>
    <cellStyle name="输入 2 9 8 5 3 2" xfId="18529" xr:uid="{00000000-0005-0000-0000-000091480000}"/>
    <cellStyle name="输入 2 9 8 5 4" xfId="50041" xr:uid="{00000000-0005-0000-0000-0000A9C30000}"/>
    <cellStyle name="输入 2 9 8 5 4 2" xfId="13670" xr:uid="{00000000-0005-0000-0000-000096350000}"/>
    <cellStyle name="输入 2 9 8 5 5" xfId="27129" xr:uid="{00000000-0005-0000-0000-0000296A0000}"/>
    <cellStyle name="输入 2 9 8 5 5 2" xfId="18596" xr:uid="{00000000-0005-0000-0000-0000D4480000}"/>
    <cellStyle name="输入 2 9 8 5 6" xfId="24007" xr:uid="{00000000-0005-0000-0000-0000F75D0000}"/>
    <cellStyle name="输入 2 9 8 6" xfId="30139" xr:uid="{00000000-0005-0000-0000-0000EB750000}"/>
    <cellStyle name="输入 2 9 8 6 2" xfId="50042" xr:uid="{00000000-0005-0000-0000-0000AAC30000}"/>
    <cellStyle name="输入 2 9 8 6 2 2" xfId="50043" xr:uid="{00000000-0005-0000-0000-0000ABC30000}"/>
    <cellStyle name="输入 2 9 8 6 3" xfId="8141" xr:uid="{00000000-0005-0000-0000-0000FD1F0000}"/>
    <cellStyle name="输入 2 9 8 6 3 2" xfId="3522" xr:uid="{00000000-0005-0000-0000-0000F20D0000}"/>
    <cellStyle name="输入 2 9 8 6 4" xfId="20086" xr:uid="{00000000-0005-0000-0000-0000A64E0000}"/>
    <cellStyle name="输入 2 9 8 6 4 2" xfId="18841" xr:uid="{00000000-0005-0000-0000-0000C9490000}"/>
    <cellStyle name="输入 2 9 8 6 5" xfId="27138" xr:uid="{00000000-0005-0000-0000-0000326A0000}"/>
    <cellStyle name="输入 2 9 8 6 5 2" xfId="18854" xr:uid="{00000000-0005-0000-0000-0000D6490000}"/>
    <cellStyle name="输入 2 9 8 6 6" xfId="24011" xr:uid="{00000000-0005-0000-0000-0000FB5D0000}"/>
    <cellStyle name="输入 2 9 8 7" xfId="50044" xr:uid="{00000000-0005-0000-0000-0000ACC30000}"/>
    <cellStyle name="输入 2 9 8 7 2" xfId="50045" xr:uid="{00000000-0005-0000-0000-0000ADC30000}"/>
    <cellStyle name="输入 2 9 8 7 2 2" xfId="42693" xr:uid="{00000000-0005-0000-0000-0000F5A60000}"/>
    <cellStyle name="输入 2 9 8 7 3" xfId="8864" xr:uid="{00000000-0005-0000-0000-0000D0220000}"/>
    <cellStyle name="输入 2 9 8 7 3 2" xfId="18943" xr:uid="{00000000-0005-0000-0000-00002F4A0000}"/>
    <cellStyle name="输入 2 9 8 7 4" xfId="3818" xr:uid="{00000000-0005-0000-0000-00001A0F0000}"/>
    <cellStyle name="输入 2 9 8 7 4 2" xfId="18972" xr:uid="{00000000-0005-0000-0000-00004C4A0000}"/>
    <cellStyle name="输入 2 9 8 7 5" xfId="27145" xr:uid="{00000000-0005-0000-0000-0000396A0000}"/>
    <cellStyle name="输入 2 9 8 7 5 2" xfId="18983" xr:uid="{00000000-0005-0000-0000-0000574A0000}"/>
    <cellStyle name="输入 2 9 8 7 6" xfId="24016" xr:uid="{00000000-0005-0000-0000-0000005E0000}"/>
    <cellStyle name="输入 2 9 8 8" xfId="50046" xr:uid="{00000000-0005-0000-0000-0000AEC30000}"/>
    <cellStyle name="输入 2 9 8 8 2" xfId="50047" xr:uid="{00000000-0005-0000-0000-0000AFC30000}"/>
    <cellStyle name="输入 2 9 8 8 2 2" xfId="42734" xr:uid="{00000000-0005-0000-0000-00001EA70000}"/>
    <cellStyle name="输入 2 9 8 8 3" xfId="50048" xr:uid="{00000000-0005-0000-0000-0000B0C30000}"/>
    <cellStyle name="输入 2 9 8 8 3 2" xfId="19074" xr:uid="{00000000-0005-0000-0000-0000B24A0000}"/>
    <cellStyle name="输入 2 9 8 8 4" xfId="3831" xr:uid="{00000000-0005-0000-0000-0000270F0000}"/>
    <cellStyle name="输入 2 9 8 8 4 2" xfId="19094" xr:uid="{00000000-0005-0000-0000-0000C64A0000}"/>
    <cellStyle name="输入 2 9 8 8 5" xfId="27153" xr:uid="{00000000-0005-0000-0000-0000416A0000}"/>
    <cellStyle name="输入 2 9 8 9" xfId="50049" xr:uid="{00000000-0005-0000-0000-0000B1C30000}"/>
    <cellStyle name="输入 2 9 8 9 2" xfId="50050" xr:uid="{00000000-0005-0000-0000-0000B2C30000}"/>
    <cellStyle name="输入 2 9 9" xfId="50051" xr:uid="{00000000-0005-0000-0000-0000B3C30000}"/>
    <cellStyle name="输入 2 9 9 10" xfId="13558" xr:uid="{00000000-0005-0000-0000-000026350000}"/>
    <cellStyle name="输入 2 9 9 10 2" xfId="449" xr:uid="{00000000-0005-0000-0000-0000EB010000}"/>
    <cellStyle name="输入 2 9 9 11" xfId="13996" xr:uid="{00000000-0005-0000-0000-0000DC360000}"/>
    <cellStyle name="输入 2 9 9 11 2" xfId="50052" xr:uid="{00000000-0005-0000-0000-0000B4C30000}"/>
    <cellStyle name="输入 2 9 9 12" xfId="36932" xr:uid="{00000000-0005-0000-0000-000074900000}"/>
    <cellStyle name="输入 2 9 9 12 2" xfId="50053" xr:uid="{00000000-0005-0000-0000-0000B5C30000}"/>
    <cellStyle name="输入 2 9 9 13" xfId="50054" xr:uid="{00000000-0005-0000-0000-0000B6C30000}"/>
    <cellStyle name="输入 2 9 9 14" xfId="45015" xr:uid="{00000000-0005-0000-0000-000007B00000}"/>
    <cellStyle name="输入 2 9 9 15" xfId="43749" xr:uid="{00000000-0005-0000-0000-000015AB0000}"/>
    <cellStyle name="输入 2 9 9 16" xfId="43752" xr:uid="{00000000-0005-0000-0000-000018AB0000}"/>
    <cellStyle name="输入 2 9 9 2" xfId="50055" xr:uid="{00000000-0005-0000-0000-0000B7C30000}"/>
    <cellStyle name="输入 2 9 9 2 2" xfId="50056" xr:uid="{00000000-0005-0000-0000-0000B8C30000}"/>
    <cellStyle name="输入 2 9 9 2 2 2" xfId="50057" xr:uid="{00000000-0005-0000-0000-0000B9C30000}"/>
    <cellStyle name="输入 2 9 9 2 3" xfId="50058" xr:uid="{00000000-0005-0000-0000-0000BAC30000}"/>
    <cellStyle name="输入 2 9 9 2 3 2" xfId="19617" xr:uid="{00000000-0005-0000-0000-0000D14C0000}"/>
    <cellStyle name="输入 2 9 9 2 4" xfId="50059" xr:uid="{00000000-0005-0000-0000-0000BBC30000}"/>
    <cellStyle name="输入 2 9 9 2 4 2" xfId="19633" xr:uid="{00000000-0005-0000-0000-0000E14C0000}"/>
    <cellStyle name="输入 2 9 9 2 5" xfId="35906" xr:uid="{00000000-0005-0000-0000-0000728C0000}"/>
    <cellStyle name="输入 2 9 9 2 5 2" xfId="19652" xr:uid="{00000000-0005-0000-0000-0000F44C0000}"/>
    <cellStyle name="输入 2 9 9 2 6" xfId="50060" xr:uid="{00000000-0005-0000-0000-0000BCC30000}"/>
    <cellStyle name="输入 2 9 9 2 7" xfId="20113" xr:uid="{00000000-0005-0000-0000-0000C14E0000}"/>
    <cellStyle name="输入 2 9 9 2 8" xfId="50062" xr:uid="{00000000-0005-0000-0000-0000BEC30000}"/>
    <cellStyle name="输入 2 9 9 2 9" xfId="50063" xr:uid="{00000000-0005-0000-0000-0000BFC30000}"/>
    <cellStyle name="输入 2 9 9 3" xfId="50064" xr:uid="{00000000-0005-0000-0000-0000C0C30000}"/>
    <cellStyle name="输入 2 9 9 3 2" xfId="50065" xr:uid="{00000000-0005-0000-0000-0000C1C30000}"/>
    <cellStyle name="输入 2 9 9 3 2 2" xfId="50066" xr:uid="{00000000-0005-0000-0000-0000C2C30000}"/>
    <cellStyle name="输入 2 9 9 3 3" xfId="50067" xr:uid="{00000000-0005-0000-0000-0000C3C30000}"/>
    <cellStyle name="输入 2 9 9 3 3 2" xfId="19755" xr:uid="{00000000-0005-0000-0000-00005B4D0000}"/>
    <cellStyle name="输入 2 9 9 3 4" xfId="50068" xr:uid="{00000000-0005-0000-0000-0000C4C30000}"/>
    <cellStyle name="输入 2 9 9 3 4 2" xfId="19769" xr:uid="{00000000-0005-0000-0000-0000694D0000}"/>
    <cellStyle name="输入 2 9 9 3 5" xfId="35909" xr:uid="{00000000-0005-0000-0000-0000758C0000}"/>
    <cellStyle name="输入 2 9 9 3 5 2" xfId="19783" xr:uid="{00000000-0005-0000-0000-0000774D0000}"/>
    <cellStyle name="输入 2 9 9 3 6" xfId="50069" xr:uid="{00000000-0005-0000-0000-0000C5C30000}"/>
    <cellStyle name="输入 2 9 9 4" xfId="39595" xr:uid="{00000000-0005-0000-0000-0000DB9A0000}"/>
    <cellStyle name="输入 2 9 9 4 2" xfId="50071" xr:uid="{00000000-0005-0000-0000-0000C7C30000}"/>
    <cellStyle name="输入 2 9 9 4 2 2" xfId="50072" xr:uid="{00000000-0005-0000-0000-0000C8C30000}"/>
    <cellStyle name="输入 2 9 9 4 3" xfId="20135" xr:uid="{00000000-0005-0000-0000-0000D74E0000}"/>
    <cellStyle name="输入 2 9 9 4 3 2" xfId="17510" xr:uid="{00000000-0005-0000-0000-000096440000}"/>
    <cellStyle name="输入 2 9 9 4 4" xfId="50073" xr:uid="{00000000-0005-0000-0000-0000C9C30000}"/>
    <cellStyle name="输入 2 9 9 4 4 2" xfId="10457" xr:uid="{00000000-0005-0000-0000-000009290000}"/>
    <cellStyle name="输入 2 9 9 4 5" xfId="50074" xr:uid="{00000000-0005-0000-0000-0000CAC30000}"/>
    <cellStyle name="输入 2 9 9 4 5 2" xfId="19858" xr:uid="{00000000-0005-0000-0000-0000C24D0000}"/>
    <cellStyle name="输入 2 9 9 4 6" xfId="50075" xr:uid="{00000000-0005-0000-0000-0000CBC30000}"/>
    <cellStyle name="输入 2 9 9 5" xfId="50077" xr:uid="{00000000-0005-0000-0000-0000CDC30000}"/>
    <cellStyle name="输入 2 9 9 5 2" xfId="50078" xr:uid="{00000000-0005-0000-0000-0000CEC30000}"/>
    <cellStyle name="输入 2 9 9 5 2 2" xfId="50079" xr:uid="{00000000-0005-0000-0000-0000CFC30000}"/>
    <cellStyle name="输入 2 9 9 5 3" xfId="20144" xr:uid="{00000000-0005-0000-0000-0000E04E0000}"/>
    <cellStyle name="输入 2 9 9 5 3 2" xfId="17777" xr:uid="{00000000-0005-0000-0000-0000A1450000}"/>
    <cellStyle name="输入 2 9 9 5 4" xfId="50080" xr:uid="{00000000-0005-0000-0000-0000D0C30000}"/>
    <cellStyle name="输入 2 9 9 5 4 2" xfId="15444" xr:uid="{00000000-0005-0000-0000-0000843C0000}"/>
    <cellStyle name="输入 2 9 9 5 5" xfId="50081" xr:uid="{00000000-0005-0000-0000-0000D1C30000}"/>
    <cellStyle name="输入 2 9 9 5 5 2" xfId="19942" xr:uid="{00000000-0005-0000-0000-0000164E0000}"/>
    <cellStyle name="输入 2 9 9 5 6" xfId="50082" xr:uid="{00000000-0005-0000-0000-0000D2C30000}"/>
    <cellStyle name="输入 2 9 9 6" xfId="30149" xr:uid="{00000000-0005-0000-0000-0000F5750000}"/>
    <cellStyle name="输入 2 9 9 6 2" xfId="40229" xr:uid="{00000000-0005-0000-0000-0000559D0000}"/>
    <cellStyle name="输入 2 9 9 6 2 2" xfId="50084" xr:uid="{00000000-0005-0000-0000-0000D4C30000}"/>
    <cellStyle name="输入 2 9 9 6 3" xfId="10932" xr:uid="{00000000-0005-0000-0000-0000E42A0000}"/>
    <cellStyle name="输入 2 9 9 6 3 2" xfId="20011" xr:uid="{00000000-0005-0000-0000-00005B4E0000}"/>
    <cellStyle name="输入 2 9 9 6 4" xfId="50085" xr:uid="{00000000-0005-0000-0000-0000D5C30000}"/>
    <cellStyle name="输入 2 9 9 6 4 2" xfId="20031" xr:uid="{00000000-0005-0000-0000-00006F4E0000}"/>
    <cellStyle name="输入 2 9 9 6 5" xfId="50086" xr:uid="{00000000-0005-0000-0000-0000D6C30000}"/>
    <cellStyle name="输入 2 9 9 6 5 2" xfId="20057" xr:uid="{00000000-0005-0000-0000-0000894E0000}"/>
    <cellStyle name="输入 2 9 9 6 6" xfId="50087" xr:uid="{00000000-0005-0000-0000-0000D7C30000}"/>
    <cellStyle name="输入 2 9 9 7" xfId="40232" xr:uid="{00000000-0005-0000-0000-0000589D0000}"/>
    <cellStyle name="输入 2 9 9 7 2" xfId="40235" xr:uid="{00000000-0005-0000-0000-00005B9D0000}"/>
    <cellStyle name="输入 2 9 9 7 2 2" xfId="50088" xr:uid="{00000000-0005-0000-0000-0000D8C30000}"/>
    <cellStyle name="输入 2 9 9 7 3" xfId="2829" xr:uid="{00000000-0005-0000-0000-00003D0B0000}"/>
    <cellStyle name="输入 2 9 9 7 3 2" xfId="20102" xr:uid="{00000000-0005-0000-0000-0000B64E0000}"/>
    <cellStyle name="输入 2 9 9 7 4" xfId="50089" xr:uid="{00000000-0005-0000-0000-0000D9C30000}"/>
    <cellStyle name="输入 2 9 9 7 4 2" xfId="20120" xr:uid="{00000000-0005-0000-0000-0000C84E0000}"/>
    <cellStyle name="输入 2 9 9 7 5" xfId="50090" xr:uid="{00000000-0005-0000-0000-0000DAC30000}"/>
    <cellStyle name="输入 2 9 9 7 5 2" xfId="20132" xr:uid="{00000000-0005-0000-0000-0000D44E0000}"/>
    <cellStyle name="输入 2 9 9 7 6" xfId="50091" xr:uid="{00000000-0005-0000-0000-0000DBC30000}"/>
    <cellStyle name="输入 2 9 9 8" xfId="40237" xr:uid="{00000000-0005-0000-0000-00005D9D0000}"/>
    <cellStyle name="输入 2 9 9 8 2" xfId="38817" xr:uid="{00000000-0005-0000-0000-0000D1970000}"/>
    <cellStyle name="输入 2 9 9 8 2 2" xfId="50092" xr:uid="{00000000-0005-0000-0000-0000DCC30000}"/>
    <cellStyle name="输入 2 9 9 8 3" xfId="50093" xr:uid="{00000000-0005-0000-0000-0000DDC30000}"/>
    <cellStyle name="输入 2 9 9 8 3 2" xfId="1568" xr:uid="{00000000-0005-0000-0000-000050060000}"/>
    <cellStyle name="输入 2 9 9 8 4" xfId="50094" xr:uid="{00000000-0005-0000-0000-0000DEC30000}"/>
    <cellStyle name="输入 2 9 9 8 4 2" xfId="1438" xr:uid="{00000000-0005-0000-0000-0000CE050000}"/>
    <cellStyle name="输入 2 9 9 8 5" xfId="50095" xr:uid="{00000000-0005-0000-0000-0000DFC30000}"/>
    <cellStyle name="输入 2 9 9 9" xfId="40239" xr:uid="{00000000-0005-0000-0000-00005F9D0000}"/>
    <cellStyle name="输入 2 9 9 9 2" xfId="38840" xr:uid="{00000000-0005-0000-0000-0000E8970000}"/>
    <cellStyle name="输入 3" xfId="50096" xr:uid="{00000000-0005-0000-0000-0000E0C30000}"/>
    <cellStyle name="注释 2" xfId="50097" xr:uid="{00000000-0005-0000-0000-0000E1C30000}"/>
    <cellStyle name="注释 2 10" xfId="43595" xr:uid="{00000000-0005-0000-0000-00007BAA0000}"/>
    <cellStyle name="注释 2 10 10" xfId="852" xr:uid="{00000000-0005-0000-0000-000084030000}"/>
    <cellStyle name="注释 2 10 10 10" xfId="13025" xr:uid="{00000000-0005-0000-0000-000011330000}"/>
    <cellStyle name="注释 2 10 10 10 2" xfId="50100" xr:uid="{00000000-0005-0000-0000-0000E4C30000}"/>
    <cellStyle name="注释 2 10 10 11" xfId="50101" xr:uid="{00000000-0005-0000-0000-0000E5C30000}"/>
    <cellStyle name="注释 2 10 10 11 2" xfId="50102" xr:uid="{00000000-0005-0000-0000-0000E6C30000}"/>
    <cellStyle name="注释 2 10 10 12" xfId="50103" xr:uid="{00000000-0005-0000-0000-0000E7C30000}"/>
    <cellStyle name="注释 2 10 10 12 2" xfId="50104" xr:uid="{00000000-0005-0000-0000-0000E8C30000}"/>
    <cellStyle name="注释 2 10 10 13" xfId="13031" xr:uid="{00000000-0005-0000-0000-000017330000}"/>
    <cellStyle name="注释 2 10 10 14" xfId="50106" xr:uid="{00000000-0005-0000-0000-0000EAC30000}"/>
    <cellStyle name="注释 2 10 10 15" xfId="37325" xr:uid="{00000000-0005-0000-0000-0000FD910000}"/>
    <cellStyle name="注释 2 10 10 16" xfId="50107" xr:uid="{00000000-0005-0000-0000-0000EBC30000}"/>
    <cellStyle name="注释 2 10 10 2" xfId="374" xr:uid="{00000000-0005-0000-0000-00009A010000}"/>
    <cellStyle name="注释 2 10 10 2 2" xfId="564" xr:uid="{00000000-0005-0000-0000-000064020000}"/>
    <cellStyle name="注释 2 10 10 2 2 2" xfId="50108" xr:uid="{00000000-0005-0000-0000-0000ECC30000}"/>
    <cellStyle name="注释 2 10 10 2 3" xfId="50109" xr:uid="{00000000-0005-0000-0000-0000EDC30000}"/>
    <cellStyle name="注释 2 10 10 2 3 2" xfId="50110" xr:uid="{00000000-0005-0000-0000-0000EEC30000}"/>
    <cellStyle name="注释 2 10 10 2 4" xfId="50111" xr:uid="{00000000-0005-0000-0000-0000EFC30000}"/>
    <cellStyle name="注释 2 10 10 2 4 2" xfId="50112" xr:uid="{00000000-0005-0000-0000-0000F0C30000}"/>
    <cellStyle name="注释 2 10 10 2 5" xfId="50113" xr:uid="{00000000-0005-0000-0000-0000F1C30000}"/>
    <cellStyle name="注释 2 10 10 2 5 2" xfId="4760" xr:uid="{00000000-0005-0000-0000-0000C8120000}"/>
    <cellStyle name="注释 2 10 10 2 6" xfId="50114" xr:uid="{00000000-0005-0000-0000-0000F2C30000}"/>
    <cellStyle name="注释 2 10 10 2 7" xfId="50115" xr:uid="{00000000-0005-0000-0000-0000F3C30000}"/>
    <cellStyle name="注释 2 10 10 2 8" xfId="50116" xr:uid="{00000000-0005-0000-0000-0000F4C30000}"/>
    <cellStyle name="注释 2 10 10 2 9" xfId="50117" xr:uid="{00000000-0005-0000-0000-0000F5C30000}"/>
    <cellStyle name="注释 2 10 10 3" xfId="402" xr:uid="{00000000-0005-0000-0000-0000B8010000}"/>
    <cellStyle name="注释 2 10 10 3 2" xfId="585" xr:uid="{00000000-0005-0000-0000-000079020000}"/>
    <cellStyle name="注释 2 10 10 3 2 2" xfId="47492" xr:uid="{00000000-0005-0000-0000-0000B4B90000}"/>
    <cellStyle name="注释 2 10 10 3 3" xfId="50119" xr:uid="{00000000-0005-0000-0000-0000F7C30000}"/>
    <cellStyle name="注释 2 10 10 3 3 2" xfId="47499" xr:uid="{00000000-0005-0000-0000-0000BBB90000}"/>
    <cellStyle name="注释 2 10 10 3 4" xfId="50120" xr:uid="{00000000-0005-0000-0000-0000F8C30000}"/>
    <cellStyle name="注释 2 10 10 3 4 2" xfId="50121" xr:uid="{00000000-0005-0000-0000-0000F9C30000}"/>
    <cellStyle name="注释 2 10 10 3 5" xfId="50122" xr:uid="{00000000-0005-0000-0000-0000FAC30000}"/>
    <cellStyle name="注释 2 10 10 3 5 2" xfId="4810" xr:uid="{00000000-0005-0000-0000-0000FA120000}"/>
    <cellStyle name="注释 2 10 10 3 6" xfId="50123" xr:uid="{00000000-0005-0000-0000-0000FBC30000}"/>
    <cellStyle name="注释 2 10 10 4" xfId="76" xr:uid="{00000000-0005-0000-0000-000052000000}"/>
    <cellStyle name="注释 2 10 10 4 2" xfId="21249" xr:uid="{00000000-0005-0000-0000-000031530000}"/>
    <cellStyle name="注释 2 10 10 4 2 2" xfId="50124" xr:uid="{00000000-0005-0000-0000-0000FCC30000}"/>
    <cellStyle name="注释 2 10 10 4 3" xfId="50125" xr:uid="{00000000-0005-0000-0000-0000FDC30000}"/>
    <cellStyle name="注释 2 10 10 4 3 2" xfId="50126" xr:uid="{00000000-0005-0000-0000-0000FEC30000}"/>
    <cellStyle name="注释 2 10 10 4 4" xfId="50127" xr:uid="{00000000-0005-0000-0000-0000FFC30000}"/>
    <cellStyle name="注释 2 10 10 4 4 2" xfId="50128" xr:uid="{00000000-0005-0000-0000-000000C40000}"/>
    <cellStyle name="注释 2 10 10 4 5" xfId="50129" xr:uid="{00000000-0005-0000-0000-000001C40000}"/>
    <cellStyle name="注释 2 10 10 4 5 2" xfId="50130" xr:uid="{00000000-0005-0000-0000-000002C40000}"/>
    <cellStyle name="注释 2 10 10 4 6" xfId="50131" xr:uid="{00000000-0005-0000-0000-000003C40000}"/>
    <cellStyle name="注释 2 10 10 5" xfId="439" xr:uid="{00000000-0005-0000-0000-0000E0010000}"/>
    <cellStyle name="注释 2 10 10 5 2" xfId="21258" xr:uid="{00000000-0005-0000-0000-00003A530000}"/>
    <cellStyle name="注释 2 10 10 5 2 2" xfId="9685" xr:uid="{00000000-0005-0000-0000-000005260000}"/>
    <cellStyle name="注释 2 10 10 5 3" xfId="50132" xr:uid="{00000000-0005-0000-0000-000004C40000}"/>
    <cellStyle name="注释 2 10 10 5 3 2" xfId="366" xr:uid="{00000000-0005-0000-0000-000091010000}"/>
    <cellStyle name="注释 2 10 10 5 4" xfId="42699" xr:uid="{00000000-0005-0000-0000-0000FBA60000}"/>
    <cellStyle name="注释 2 10 10 5 4 2" xfId="2454" xr:uid="{00000000-0005-0000-0000-0000C6090000}"/>
    <cellStyle name="注释 2 10 10 5 5" xfId="50133" xr:uid="{00000000-0005-0000-0000-000005C40000}"/>
    <cellStyle name="注释 2 10 10 5 5 2" xfId="1738" xr:uid="{00000000-0005-0000-0000-0000FA060000}"/>
    <cellStyle name="注释 2 10 10 5 6" xfId="50134" xr:uid="{00000000-0005-0000-0000-000006C40000}"/>
    <cellStyle name="注释 2 10 10 6" xfId="491" xr:uid="{00000000-0005-0000-0000-000017020000}"/>
    <cellStyle name="注释 2 10 10 6 2" xfId="50135" xr:uid="{00000000-0005-0000-0000-000007C40000}"/>
    <cellStyle name="注释 2 10 10 6 2 2" xfId="10018" xr:uid="{00000000-0005-0000-0000-000052270000}"/>
    <cellStyle name="注释 2 10 10 6 3" xfId="50136" xr:uid="{00000000-0005-0000-0000-000008C40000}"/>
    <cellStyle name="注释 2 10 10 6 3 2" xfId="1011" xr:uid="{00000000-0005-0000-0000-000023040000}"/>
    <cellStyle name="注释 2 10 10 6 4" xfId="4855" xr:uid="{00000000-0005-0000-0000-000027130000}"/>
    <cellStyle name="注释 2 10 10 6 4 2" xfId="1038" xr:uid="{00000000-0005-0000-0000-00003E040000}"/>
    <cellStyle name="注释 2 10 10 6 5" xfId="50137" xr:uid="{00000000-0005-0000-0000-000009C40000}"/>
    <cellStyle name="注释 2 10 10 6 5 2" xfId="3058" xr:uid="{00000000-0005-0000-0000-0000220C0000}"/>
    <cellStyle name="注释 2 10 10 6 6" xfId="50138" xr:uid="{00000000-0005-0000-0000-00000AC40000}"/>
    <cellStyle name="注释 2 10 10 7" xfId="530" xr:uid="{00000000-0005-0000-0000-000041020000}"/>
    <cellStyle name="注释 2 10 10 7 2" xfId="50140" xr:uid="{00000000-0005-0000-0000-00000CC40000}"/>
    <cellStyle name="注释 2 10 10 7 2 2" xfId="10320" xr:uid="{00000000-0005-0000-0000-000080280000}"/>
    <cellStyle name="注释 2 10 10 7 3" xfId="50141" xr:uid="{00000000-0005-0000-0000-00000DC40000}"/>
    <cellStyle name="注释 2 10 10 7 3 2" xfId="4885" xr:uid="{00000000-0005-0000-0000-000045130000}"/>
    <cellStyle name="注释 2 10 10 7 4" xfId="4893" xr:uid="{00000000-0005-0000-0000-00004D130000}"/>
    <cellStyle name="注释 2 10 10 7 4 2" xfId="4896" xr:uid="{00000000-0005-0000-0000-000050130000}"/>
    <cellStyle name="注释 2 10 10 7 5" xfId="45180" xr:uid="{00000000-0005-0000-0000-0000ACB00000}"/>
    <cellStyle name="注释 2 10 10 7 5 2" xfId="4906" xr:uid="{00000000-0005-0000-0000-00005A130000}"/>
    <cellStyle name="注释 2 10 10 7 6" xfId="50142" xr:uid="{00000000-0005-0000-0000-00000EC40000}"/>
    <cellStyle name="注释 2 10 10 8" xfId="34075" xr:uid="{00000000-0005-0000-0000-00004B850000}"/>
    <cellStyle name="注释 2 10 10 8 2" xfId="50144" xr:uid="{00000000-0005-0000-0000-000010C40000}"/>
    <cellStyle name="注释 2 10 10 8 2 2" xfId="10708" xr:uid="{00000000-0005-0000-0000-0000042A0000}"/>
    <cellStyle name="注释 2 10 10 8 3" xfId="50145" xr:uid="{00000000-0005-0000-0000-000011C40000}"/>
    <cellStyle name="注释 2 10 10 8 3 2" xfId="10779" xr:uid="{00000000-0005-0000-0000-00004B2A0000}"/>
    <cellStyle name="注释 2 10 10 8 4" xfId="13981" xr:uid="{00000000-0005-0000-0000-0000CD360000}"/>
    <cellStyle name="注释 2 10 10 8 4 2" xfId="10828" xr:uid="{00000000-0005-0000-0000-00007C2A0000}"/>
    <cellStyle name="注释 2 10 10 8 5" xfId="45184" xr:uid="{00000000-0005-0000-0000-0000B0B00000}"/>
    <cellStyle name="注释 2 10 10 9" xfId="34077" xr:uid="{00000000-0005-0000-0000-00004D850000}"/>
    <cellStyle name="注释 2 10 10 9 2" xfId="50146" xr:uid="{00000000-0005-0000-0000-000012C40000}"/>
    <cellStyle name="注释 2 10 11" xfId="34079" xr:uid="{00000000-0005-0000-0000-00004F850000}"/>
    <cellStyle name="注释 2 10 11 10" xfId="50147" xr:uid="{00000000-0005-0000-0000-000013C40000}"/>
    <cellStyle name="注释 2 10 11 10 2" xfId="50148" xr:uid="{00000000-0005-0000-0000-000014C40000}"/>
    <cellStyle name="注释 2 10 11 11" xfId="50150" xr:uid="{00000000-0005-0000-0000-000016C40000}"/>
    <cellStyle name="注释 2 10 11 11 2" xfId="50152" xr:uid="{00000000-0005-0000-0000-000018C40000}"/>
    <cellStyle name="注释 2 10 11 12" xfId="50153" xr:uid="{00000000-0005-0000-0000-000019C40000}"/>
    <cellStyle name="注释 2 10 11 12 2" xfId="50154" xr:uid="{00000000-0005-0000-0000-00001AC40000}"/>
    <cellStyle name="注释 2 10 11 13" xfId="48032" xr:uid="{00000000-0005-0000-0000-0000D0BB0000}"/>
    <cellStyle name="注释 2 10 11 14" xfId="50155" xr:uid="{00000000-0005-0000-0000-00001BC40000}"/>
    <cellStyle name="注释 2 10 11 15" xfId="50156" xr:uid="{00000000-0005-0000-0000-00001CC40000}"/>
    <cellStyle name="注释 2 10 11 16" xfId="50157" xr:uid="{00000000-0005-0000-0000-00001DC40000}"/>
    <cellStyle name="注释 2 10 11 2" xfId="2448" xr:uid="{00000000-0005-0000-0000-0000C0090000}"/>
    <cellStyle name="注释 2 10 11 2 2" xfId="2458" xr:uid="{00000000-0005-0000-0000-0000CA090000}"/>
    <cellStyle name="注释 2 10 11 2 2 2" xfId="50158" xr:uid="{00000000-0005-0000-0000-00001EC40000}"/>
    <cellStyle name="注释 2 10 11 2 3" xfId="50159" xr:uid="{00000000-0005-0000-0000-00001FC40000}"/>
    <cellStyle name="注释 2 10 11 2 3 2" xfId="50160" xr:uid="{00000000-0005-0000-0000-000020C40000}"/>
    <cellStyle name="注释 2 10 11 2 4" xfId="50161" xr:uid="{00000000-0005-0000-0000-000021C40000}"/>
    <cellStyle name="注释 2 10 11 2 4 2" xfId="50162" xr:uid="{00000000-0005-0000-0000-000022C40000}"/>
    <cellStyle name="注释 2 10 11 2 5" xfId="50163" xr:uid="{00000000-0005-0000-0000-000023C40000}"/>
    <cellStyle name="注释 2 10 11 2 5 2" xfId="50164" xr:uid="{00000000-0005-0000-0000-000024C40000}"/>
    <cellStyle name="注释 2 10 11 2 6" xfId="50165" xr:uid="{00000000-0005-0000-0000-000025C40000}"/>
    <cellStyle name="注释 2 10 11 3" xfId="2469" xr:uid="{00000000-0005-0000-0000-0000D5090000}"/>
    <cellStyle name="注释 2 10 11 3 2" xfId="2407" xr:uid="{00000000-0005-0000-0000-000097090000}"/>
    <cellStyle name="注释 2 10 11 3 2 2" xfId="46797" xr:uid="{00000000-0005-0000-0000-0000FDB60000}"/>
    <cellStyle name="注释 2 10 11 3 3" xfId="50166" xr:uid="{00000000-0005-0000-0000-000026C40000}"/>
    <cellStyle name="注释 2 10 11 3 3 2" xfId="50167" xr:uid="{00000000-0005-0000-0000-000027C40000}"/>
    <cellStyle name="注释 2 10 11 3 4" xfId="46222" xr:uid="{00000000-0005-0000-0000-0000BEB40000}"/>
    <cellStyle name="注释 2 10 11 3 4 2" xfId="50168" xr:uid="{00000000-0005-0000-0000-000028C40000}"/>
    <cellStyle name="注释 2 10 11 3 5" xfId="50169" xr:uid="{00000000-0005-0000-0000-000029C40000}"/>
    <cellStyle name="注释 2 10 11 3 5 2" xfId="50170" xr:uid="{00000000-0005-0000-0000-00002AC40000}"/>
    <cellStyle name="注释 2 10 11 3 6" xfId="50171" xr:uid="{00000000-0005-0000-0000-00002BC40000}"/>
    <cellStyle name="注释 2 10 11 4" xfId="2474" xr:uid="{00000000-0005-0000-0000-0000DA090000}"/>
    <cellStyle name="注释 2 10 11 4 2" xfId="34081" xr:uid="{00000000-0005-0000-0000-000051850000}"/>
    <cellStyle name="注释 2 10 11 4 2 2" xfId="49562" xr:uid="{00000000-0005-0000-0000-0000CAC10000}"/>
    <cellStyle name="注释 2 10 11 4 3" xfId="50172" xr:uid="{00000000-0005-0000-0000-00002CC40000}"/>
    <cellStyle name="注释 2 10 11 4 3 2" xfId="50173" xr:uid="{00000000-0005-0000-0000-00002DC40000}"/>
    <cellStyle name="注释 2 10 11 4 4" xfId="46225" xr:uid="{00000000-0005-0000-0000-0000C1B40000}"/>
    <cellStyle name="注释 2 10 11 4 4 2" xfId="50174" xr:uid="{00000000-0005-0000-0000-00002EC40000}"/>
    <cellStyle name="注释 2 10 11 4 5" xfId="50175" xr:uid="{00000000-0005-0000-0000-00002FC40000}"/>
    <cellStyle name="注释 2 10 11 4 5 2" xfId="50176" xr:uid="{00000000-0005-0000-0000-000030C40000}"/>
    <cellStyle name="注释 2 10 11 4 6" xfId="50177" xr:uid="{00000000-0005-0000-0000-000031C40000}"/>
    <cellStyle name="注释 2 10 11 5" xfId="7175" xr:uid="{00000000-0005-0000-0000-0000371C0000}"/>
    <cellStyle name="注释 2 10 11 5 2" xfId="34083" xr:uid="{00000000-0005-0000-0000-000053850000}"/>
    <cellStyle name="注释 2 10 11 5 2 2" xfId="50178" xr:uid="{00000000-0005-0000-0000-000032C40000}"/>
    <cellStyle name="注释 2 10 11 5 3" xfId="50179" xr:uid="{00000000-0005-0000-0000-000033C40000}"/>
    <cellStyle name="注释 2 10 11 5 3 2" xfId="50180" xr:uid="{00000000-0005-0000-0000-000034C40000}"/>
    <cellStyle name="注释 2 10 11 5 4" xfId="42702" xr:uid="{00000000-0005-0000-0000-0000FEA60000}"/>
    <cellStyle name="注释 2 10 11 5 4 2" xfId="50181" xr:uid="{00000000-0005-0000-0000-000035C40000}"/>
    <cellStyle name="注释 2 10 11 5 5" xfId="50182" xr:uid="{00000000-0005-0000-0000-000036C40000}"/>
    <cellStyle name="注释 2 10 11 5 5 2" xfId="50183" xr:uid="{00000000-0005-0000-0000-000037C40000}"/>
    <cellStyle name="注释 2 10 11 5 6" xfId="50184" xr:uid="{00000000-0005-0000-0000-000038C40000}"/>
    <cellStyle name="注释 2 10 11 6" xfId="25844" xr:uid="{00000000-0005-0000-0000-000024650000}"/>
    <cellStyle name="注释 2 10 11 6 2" xfId="50185" xr:uid="{00000000-0005-0000-0000-000039C40000}"/>
    <cellStyle name="注释 2 10 11 6 2 2" xfId="50186" xr:uid="{00000000-0005-0000-0000-00003AC40000}"/>
    <cellStyle name="注释 2 10 11 6 3" xfId="50187" xr:uid="{00000000-0005-0000-0000-00003BC40000}"/>
    <cellStyle name="注释 2 10 11 6 3 2" xfId="50188" xr:uid="{00000000-0005-0000-0000-00003CC40000}"/>
    <cellStyle name="注释 2 10 11 6 4" xfId="5171" xr:uid="{00000000-0005-0000-0000-000063140000}"/>
    <cellStyle name="注释 2 10 11 6 4 2" xfId="50189" xr:uid="{00000000-0005-0000-0000-00003DC40000}"/>
    <cellStyle name="注释 2 10 11 6 5" xfId="50190" xr:uid="{00000000-0005-0000-0000-00003EC40000}"/>
    <cellStyle name="注释 2 10 11 6 5 2" xfId="50191" xr:uid="{00000000-0005-0000-0000-00003FC40000}"/>
    <cellStyle name="注释 2 10 11 6 6" xfId="50192" xr:uid="{00000000-0005-0000-0000-000040C40000}"/>
    <cellStyle name="注释 2 10 11 7" xfId="50194" xr:uid="{00000000-0005-0000-0000-000042C40000}"/>
    <cellStyle name="注释 2 10 11 7 2" xfId="50195" xr:uid="{00000000-0005-0000-0000-000043C40000}"/>
    <cellStyle name="注释 2 10 11 7 2 2" xfId="50196" xr:uid="{00000000-0005-0000-0000-000044C40000}"/>
    <cellStyle name="注释 2 10 11 7 3" xfId="50197" xr:uid="{00000000-0005-0000-0000-000045C40000}"/>
    <cellStyle name="注释 2 10 11 7 3 2" xfId="50198" xr:uid="{00000000-0005-0000-0000-000046C40000}"/>
    <cellStyle name="注释 2 10 11 7 4" xfId="3804" xr:uid="{00000000-0005-0000-0000-00000C0F0000}"/>
    <cellStyle name="注释 2 10 11 7 4 2" xfId="50199" xr:uid="{00000000-0005-0000-0000-000047C40000}"/>
    <cellStyle name="注释 2 10 11 7 5" xfId="45191" xr:uid="{00000000-0005-0000-0000-0000B7B00000}"/>
    <cellStyle name="注释 2 10 11 7 5 2" xfId="50200" xr:uid="{00000000-0005-0000-0000-000048C40000}"/>
    <cellStyle name="注释 2 10 11 7 6" xfId="50201" xr:uid="{00000000-0005-0000-0000-000049C40000}"/>
    <cellStyle name="注释 2 10 11 8" xfId="50203" xr:uid="{00000000-0005-0000-0000-00004BC40000}"/>
    <cellStyle name="注释 2 10 11 8 2" xfId="50204" xr:uid="{00000000-0005-0000-0000-00004CC40000}"/>
    <cellStyle name="注释 2 10 11 8 2 2" xfId="50205" xr:uid="{00000000-0005-0000-0000-00004DC40000}"/>
    <cellStyle name="注释 2 10 11 8 3" xfId="50206" xr:uid="{00000000-0005-0000-0000-00004EC40000}"/>
    <cellStyle name="注释 2 10 11 8 3 2" xfId="50207" xr:uid="{00000000-0005-0000-0000-00004FC40000}"/>
    <cellStyle name="注释 2 10 11 8 4" xfId="18988" xr:uid="{00000000-0005-0000-0000-00005C4A0000}"/>
    <cellStyle name="注释 2 10 11 8 4 2" xfId="50208" xr:uid="{00000000-0005-0000-0000-000050C40000}"/>
    <cellStyle name="注释 2 10 11 8 5" xfId="45194" xr:uid="{00000000-0005-0000-0000-0000BAB00000}"/>
    <cellStyle name="注释 2 10 11 9" xfId="21373" xr:uid="{00000000-0005-0000-0000-0000AD530000}"/>
    <cellStyle name="注释 2 10 11 9 2" xfId="50209" xr:uid="{00000000-0005-0000-0000-000051C40000}"/>
    <cellStyle name="注释 2 10 12" xfId="34085" xr:uid="{00000000-0005-0000-0000-000055850000}"/>
    <cellStyle name="注释 2 10 12 2" xfId="1744" xr:uid="{00000000-0005-0000-0000-000000070000}"/>
    <cellStyle name="注释 2 10 12 2 2" xfId="1493" xr:uid="{00000000-0005-0000-0000-000005060000}"/>
    <cellStyle name="注释 2 10 12 3" xfId="1773" xr:uid="{00000000-0005-0000-0000-00001D070000}"/>
    <cellStyle name="注释 2 10 12 3 2" xfId="2495" xr:uid="{00000000-0005-0000-0000-0000EF090000}"/>
    <cellStyle name="注释 2 10 12 4" xfId="1805" xr:uid="{00000000-0005-0000-0000-00003D070000}"/>
    <cellStyle name="注释 2 10 12 4 2" xfId="34087" xr:uid="{00000000-0005-0000-0000-000057850000}"/>
    <cellStyle name="注释 2 10 12 5" xfId="15860" xr:uid="{00000000-0005-0000-0000-0000243E0000}"/>
    <cellStyle name="注释 2 10 12 5 2" xfId="34089" xr:uid="{00000000-0005-0000-0000-000059850000}"/>
    <cellStyle name="注释 2 10 12 6" xfId="25856" xr:uid="{00000000-0005-0000-0000-000030650000}"/>
    <cellStyle name="注释 2 10 12 7" xfId="50210" xr:uid="{00000000-0005-0000-0000-000052C40000}"/>
    <cellStyle name="注释 2 10 12 8" xfId="50211" xr:uid="{00000000-0005-0000-0000-000053C40000}"/>
    <cellStyle name="注释 2 10 12 9" xfId="21409" xr:uid="{00000000-0005-0000-0000-0000D1530000}"/>
    <cellStyle name="注释 2 10 13" xfId="34091" xr:uid="{00000000-0005-0000-0000-00005B850000}"/>
    <cellStyle name="注释 2 10 13 2" xfId="1983" xr:uid="{00000000-0005-0000-0000-0000EF070000}"/>
    <cellStyle name="注释 2 10 13 2 2" xfId="1920" xr:uid="{00000000-0005-0000-0000-0000B0070000}"/>
    <cellStyle name="注释 2 10 13 3" xfId="2527" xr:uid="{00000000-0005-0000-0000-00000F0A0000}"/>
    <cellStyle name="注释 2 10 13 3 2" xfId="2535" xr:uid="{00000000-0005-0000-0000-0000170A0000}"/>
    <cellStyle name="注释 2 10 13 4" xfId="2548" xr:uid="{00000000-0005-0000-0000-0000240A0000}"/>
    <cellStyle name="注释 2 10 13 4 2" xfId="34093" xr:uid="{00000000-0005-0000-0000-00005D850000}"/>
    <cellStyle name="注释 2 10 13 5" xfId="15867" xr:uid="{00000000-0005-0000-0000-00002B3E0000}"/>
    <cellStyle name="注释 2 10 13 5 2" xfId="34095" xr:uid="{00000000-0005-0000-0000-00005F850000}"/>
    <cellStyle name="注释 2 10 13 6" xfId="25869" xr:uid="{00000000-0005-0000-0000-00003D650000}"/>
    <cellStyle name="注释 2 10 14" xfId="34097" xr:uid="{00000000-0005-0000-0000-000061850000}"/>
    <cellStyle name="注释 2 10 14 2" xfId="2598" xr:uid="{00000000-0005-0000-0000-0000560A0000}"/>
    <cellStyle name="注释 2 10 14 2 2" xfId="2610" xr:uid="{00000000-0005-0000-0000-0000620A0000}"/>
    <cellStyle name="注释 2 10 14 3" xfId="2625" xr:uid="{00000000-0005-0000-0000-0000710A0000}"/>
    <cellStyle name="注释 2 10 14 3 2" xfId="2643" xr:uid="{00000000-0005-0000-0000-0000830A0000}"/>
    <cellStyle name="注释 2 10 14 4" xfId="2108" xr:uid="{00000000-0005-0000-0000-00006C080000}"/>
    <cellStyle name="注释 2 10 14 4 2" xfId="25752" xr:uid="{00000000-0005-0000-0000-0000C8640000}"/>
    <cellStyle name="注释 2 10 14 5" xfId="25756" xr:uid="{00000000-0005-0000-0000-0000CC640000}"/>
    <cellStyle name="注释 2 10 14 5 2" xfId="25761" xr:uid="{00000000-0005-0000-0000-0000D1640000}"/>
    <cellStyle name="注释 2 10 14 6" xfId="25767" xr:uid="{00000000-0005-0000-0000-0000D7640000}"/>
    <cellStyle name="注释 2 10 15" xfId="34100" xr:uid="{00000000-0005-0000-0000-000064850000}"/>
    <cellStyle name="注释 2 10 15 2" xfId="2699" xr:uid="{00000000-0005-0000-0000-0000BB0A0000}"/>
    <cellStyle name="注释 2 10 15 2 2" xfId="2713" xr:uid="{00000000-0005-0000-0000-0000C90A0000}"/>
    <cellStyle name="注释 2 10 15 3" xfId="2721" xr:uid="{00000000-0005-0000-0000-0000D10A0000}"/>
    <cellStyle name="注释 2 10 15 3 2" xfId="2737" xr:uid="{00000000-0005-0000-0000-0000E10A0000}"/>
    <cellStyle name="注释 2 10 15 4" xfId="2740" xr:uid="{00000000-0005-0000-0000-0000E40A0000}"/>
    <cellStyle name="注释 2 10 15 4 2" xfId="28575" xr:uid="{00000000-0005-0000-0000-0000CF6F0000}"/>
    <cellStyle name="注释 2 10 15 5" xfId="34103" xr:uid="{00000000-0005-0000-0000-000067850000}"/>
    <cellStyle name="注释 2 10 15 5 2" xfId="34105" xr:uid="{00000000-0005-0000-0000-000069850000}"/>
    <cellStyle name="注释 2 10 15 6" xfId="34109" xr:uid="{00000000-0005-0000-0000-00006D850000}"/>
    <cellStyle name="注释 2 10 16" xfId="34111" xr:uid="{00000000-0005-0000-0000-00006F850000}"/>
    <cellStyle name="注释 2 10 16 2" xfId="2787" xr:uid="{00000000-0005-0000-0000-0000130B0000}"/>
    <cellStyle name="注释 2 10 16 2 2" xfId="41" xr:uid="{00000000-0005-0000-0000-00002D000000}"/>
    <cellStyle name="注释 2 10 16 3" xfId="2795" xr:uid="{00000000-0005-0000-0000-00001B0B0000}"/>
    <cellStyle name="注释 2 10 16 3 2" xfId="27221" xr:uid="{00000000-0005-0000-0000-0000856A0000}"/>
    <cellStyle name="注释 2 10 16 4" xfId="34114" xr:uid="{00000000-0005-0000-0000-000072850000}"/>
    <cellStyle name="注释 2 10 16 4 2" xfId="34116" xr:uid="{00000000-0005-0000-0000-000074850000}"/>
    <cellStyle name="注释 2 10 16 5" xfId="34118" xr:uid="{00000000-0005-0000-0000-000076850000}"/>
    <cellStyle name="注释 2 10 16 5 2" xfId="50212" xr:uid="{00000000-0005-0000-0000-000054C40000}"/>
    <cellStyle name="注释 2 10 16 6" xfId="38561" xr:uid="{00000000-0005-0000-0000-0000D1960000}"/>
    <cellStyle name="注释 2 10 17" xfId="34120" xr:uid="{00000000-0005-0000-0000-000078850000}"/>
    <cellStyle name="注释 2 10 17 2" xfId="34123" xr:uid="{00000000-0005-0000-0000-00007B850000}"/>
    <cellStyle name="注释 2 10 17 2 2" xfId="50214" xr:uid="{00000000-0005-0000-0000-000056C40000}"/>
    <cellStyle name="注释 2 10 17 3" xfId="50215" xr:uid="{00000000-0005-0000-0000-000057C40000}"/>
    <cellStyle name="注释 2 10 17 3 2" xfId="50216" xr:uid="{00000000-0005-0000-0000-000058C40000}"/>
    <cellStyle name="注释 2 10 17 4" xfId="50217" xr:uid="{00000000-0005-0000-0000-000059C40000}"/>
    <cellStyle name="注释 2 10 17 4 2" xfId="50218" xr:uid="{00000000-0005-0000-0000-00005AC40000}"/>
    <cellStyle name="注释 2 10 17 5" xfId="50219" xr:uid="{00000000-0005-0000-0000-00005BC40000}"/>
    <cellStyle name="注释 2 10 17 5 2" xfId="50220" xr:uid="{00000000-0005-0000-0000-00005CC40000}"/>
    <cellStyle name="注释 2 10 17 6" xfId="26496" xr:uid="{00000000-0005-0000-0000-0000B0670000}"/>
    <cellStyle name="注释 2 10 18" xfId="44993" xr:uid="{00000000-0005-0000-0000-0000F1AF0000}"/>
    <cellStyle name="注释 2 10 18 2" xfId="44996" xr:uid="{00000000-0005-0000-0000-0000F4AF0000}"/>
    <cellStyle name="注释 2 10 18 2 2" xfId="50222" xr:uid="{00000000-0005-0000-0000-00005EC40000}"/>
    <cellStyle name="注释 2 10 18 3" xfId="50223" xr:uid="{00000000-0005-0000-0000-00005FC40000}"/>
    <cellStyle name="注释 2 10 18 3 2" xfId="50224" xr:uid="{00000000-0005-0000-0000-000060C40000}"/>
    <cellStyle name="注释 2 10 18 4" xfId="50225" xr:uid="{00000000-0005-0000-0000-000061C40000}"/>
    <cellStyle name="注释 2 10 18 4 2" xfId="50226" xr:uid="{00000000-0005-0000-0000-000062C40000}"/>
    <cellStyle name="注释 2 10 18 5" xfId="50227" xr:uid="{00000000-0005-0000-0000-000063C40000}"/>
    <cellStyle name="注释 2 10 18 5 2" xfId="50228" xr:uid="{00000000-0005-0000-0000-000064C40000}"/>
    <cellStyle name="注释 2 10 18 6" xfId="50230" xr:uid="{00000000-0005-0000-0000-000066C40000}"/>
    <cellStyle name="注释 2 10 19" xfId="27105" xr:uid="{00000000-0005-0000-0000-0000116A0000}"/>
    <cellStyle name="注释 2 10 19 2" xfId="26874" xr:uid="{00000000-0005-0000-0000-00002A690000}"/>
    <cellStyle name="注释 2 10 19 2 2" xfId="24001" xr:uid="{00000000-0005-0000-0000-0000F15D0000}"/>
    <cellStyle name="注释 2 10 19 3" xfId="26877" xr:uid="{00000000-0005-0000-0000-00002D690000}"/>
    <cellStyle name="注释 2 10 19 3 2" xfId="50231" xr:uid="{00000000-0005-0000-0000-000067C40000}"/>
    <cellStyle name="注释 2 10 19 4" xfId="26879" xr:uid="{00000000-0005-0000-0000-00002F690000}"/>
    <cellStyle name="注释 2 10 19 4 2" xfId="50232" xr:uid="{00000000-0005-0000-0000-000068C40000}"/>
    <cellStyle name="注释 2 10 19 5" xfId="6497" xr:uid="{00000000-0005-0000-0000-000091190000}"/>
    <cellStyle name="注释 2 10 2" xfId="43598" xr:uid="{00000000-0005-0000-0000-00007EAA0000}"/>
    <cellStyle name="注释 2 10 2 10" xfId="36539" xr:uid="{00000000-0005-0000-0000-0000EB8E0000}"/>
    <cellStyle name="注释 2 10 2 10 2" xfId="36542" xr:uid="{00000000-0005-0000-0000-0000EE8E0000}"/>
    <cellStyle name="注释 2 10 2 11" xfId="36544" xr:uid="{00000000-0005-0000-0000-0000F08E0000}"/>
    <cellStyle name="注释 2 10 2 11 2" xfId="36547" xr:uid="{00000000-0005-0000-0000-0000F38E0000}"/>
    <cellStyle name="注释 2 10 2 12" xfId="36549" xr:uid="{00000000-0005-0000-0000-0000F58E0000}"/>
    <cellStyle name="注释 2 10 2 12 2" xfId="42214" xr:uid="{00000000-0005-0000-0000-000016A50000}"/>
    <cellStyle name="注释 2 10 2 13" xfId="26175" xr:uid="{00000000-0005-0000-0000-00006F660000}"/>
    <cellStyle name="注释 2 10 2 14" xfId="50233" xr:uid="{00000000-0005-0000-0000-000069C40000}"/>
    <cellStyle name="注释 2 10 2 15" xfId="50234" xr:uid="{00000000-0005-0000-0000-00006AC40000}"/>
    <cellStyle name="注释 2 10 2 16" xfId="50235" xr:uid="{00000000-0005-0000-0000-00006BC40000}"/>
    <cellStyle name="注释 2 10 2 2" xfId="50236" xr:uid="{00000000-0005-0000-0000-00006CC40000}"/>
    <cellStyle name="注释 2 10 2 2 2" xfId="50237" xr:uid="{00000000-0005-0000-0000-00006DC40000}"/>
    <cellStyle name="注释 2 10 2 2 2 2" xfId="15989" xr:uid="{00000000-0005-0000-0000-0000A53E0000}"/>
    <cellStyle name="注释 2 10 2 2 3" xfId="50238" xr:uid="{00000000-0005-0000-0000-00006EC40000}"/>
    <cellStyle name="注释 2 10 2 2 3 2" xfId="2426" xr:uid="{00000000-0005-0000-0000-0000AA090000}"/>
    <cellStyle name="注释 2 10 2 2 4" xfId="50239" xr:uid="{00000000-0005-0000-0000-00006FC40000}"/>
    <cellStyle name="注释 2 10 2 2 4 2" xfId="32071" xr:uid="{00000000-0005-0000-0000-0000777D0000}"/>
    <cellStyle name="注释 2 10 2 2 5" xfId="50240" xr:uid="{00000000-0005-0000-0000-000070C40000}"/>
    <cellStyle name="注释 2 10 2 2 5 2" xfId="32141" xr:uid="{00000000-0005-0000-0000-0000BD7D0000}"/>
    <cellStyle name="注释 2 10 2 2 6" xfId="1258" xr:uid="{00000000-0005-0000-0000-00001A050000}"/>
    <cellStyle name="注释 2 10 2 2 7" xfId="29429" xr:uid="{00000000-0005-0000-0000-000025730000}"/>
    <cellStyle name="注释 2 10 2 2 8" xfId="22659" xr:uid="{00000000-0005-0000-0000-0000B3580000}"/>
    <cellStyle name="注释 2 10 2 2 9" xfId="29434" xr:uid="{00000000-0005-0000-0000-00002A730000}"/>
    <cellStyle name="注释 2 10 2 3" xfId="23782" xr:uid="{00000000-0005-0000-0000-0000165D0000}"/>
    <cellStyle name="注释 2 10 2 3 2" xfId="50241" xr:uid="{00000000-0005-0000-0000-000071C40000}"/>
    <cellStyle name="注释 2 10 2 3 2 2" xfId="21126" xr:uid="{00000000-0005-0000-0000-0000B6520000}"/>
    <cellStyle name="注释 2 10 2 3 3" xfId="50242" xr:uid="{00000000-0005-0000-0000-000072C40000}"/>
    <cellStyle name="注释 2 10 2 3 3 2" xfId="50243" xr:uid="{00000000-0005-0000-0000-000073C40000}"/>
    <cellStyle name="注释 2 10 2 3 4" xfId="50244" xr:uid="{00000000-0005-0000-0000-000074C40000}"/>
    <cellStyle name="注释 2 10 2 3 4 2" xfId="50245" xr:uid="{00000000-0005-0000-0000-000075C40000}"/>
    <cellStyle name="注释 2 10 2 3 5" xfId="50246" xr:uid="{00000000-0005-0000-0000-000076C40000}"/>
    <cellStyle name="注释 2 10 2 3 5 2" xfId="50247" xr:uid="{00000000-0005-0000-0000-000077C40000}"/>
    <cellStyle name="注释 2 10 2 3 6" xfId="50248" xr:uid="{00000000-0005-0000-0000-000078C40000}"/>
    <cellStyle name="注释 2 10 2 4" xfId="50249" xr:uid="{00000000-0005-0000-0000-000079C40000}"/>
    <cellStyle name="注释 2 10 2 4 2" xfId="50250" xr:uid="{00000000-0005-0000-0000-00007AC40000}"/>
    <cellStyle name="注释 2 10 2 4 2 2" xfId="50251" xr:uid="{00000000-0005-0000-0000-00007BC40000}"/>
    <cellStyle name="注释 2 10 2 4 3" xfId="50252" xr:uid="{00000000-0005-0000-0000-00007CC40000}"/>
    <cellStyle name="注释 2 10 2 4 3 2" xfId="50253" xr:uid="{00000000-0005-0000-0000-00007DC40000}"/>
    <cellStyle name="注释 2 10 2 4 4" xfId="25243" xr:uid="{00000000-0005-0000-0000-0000CB620000}"/>
    <cellStyle name="注释 2 10 2 4 4 2" xfId="50254" xr:uid="{00000000-0005-0000-0000-00007EC40000}"/>
    <cellStyle name="注释 2 10 2 4 5" xfId="50255" xr:uid="{00000000-0005-0000-0000-00007FC40000}"/>
    <cellStyle name="注释 2 10 2 4 5 2" xfId="50256" xr:uid="{00000000-0005-0000-0000-000080C40000}"/>
    <cellStyle name="注释 2 10 2 4 6" xfId="50257" xr:uid="{00000000-0005-0000-0000-000081C40000}"/>
    <cellStyle name="注释 2 10 2 5" xfId="1206" xr:uid="{00000000-0005-0000-0000-0000E6040000}"/>
    <cellStyle name="注释 2 10 2 5 2" xfId="50258" xr:uid="{00000000-0005-0000-0000-000082C40000}"/>
    <cellStyle name="注释 2 10 2 5 2 2" xfId="50259" xr:uid="{00000000-0005-0000-0000-000083C40000}"/>
    <cellStyle name="注释 2 10 2 5 3" xfId="50260" xr:uid="{00000000-0005-0000-0000-000084C40000}"/>
    <cellStyle name="注释 2 10 2 5 3 2" xfId="50261" xr:uid="{00000000-0005-0000-0000-000085C40000}"/>
    <cellStyle name="注释 2 10 2 5 4" xfId="26277" xr:uid="{00000000-0005-0000-0000-0000D5660000}"/>
    <cellStyle name="注释 2 10 2 5 4 2" xfId="50262" xr:uid="{00000000-0005-0000-0000-000086C40000}"/>
    <cellStyle name="注释 2 10 2 5 5" xfId="50263" xr:uid="{00000000-0005-0000-0000-000087C40000}"/>
    <cellStyle name="注释 2 10 2 5 5 2" xfId="50264" xr:uid="{00000000-0005-0000-0000-000088C40000}"/>
    <cellStyle name="注释 2 10 2 5 6" xfId="50265" xr:uid="{00000000-0005-0000-0000-000089C40000}"/>
    <cellStyle name="注释 2 10 2 6" xfId="50266" xr:uid="{00000000-0005-0000-0000-00008AC40000}"/>
    <cellStyle name="注释 2 10 2 6 2" xfId="50267" xr:uid="{00000000-0005-0000-0000-00008BC40000}"/>
    <cellStyle name="注释 2 10 2 6 2 2" xfId="50268" xr:uid="{00000000-0005-0000-0000-00008CC40000}"/>
    <cellStyle name="注释 2 10 2 6 3" xfId="50269" xr:uid="{00000000-0005-0000-0000-00008DC40000}"/>
    <cellStyle name="注释 2 10 2 6 3 2" xfId="50270" xr:uid="{00000000-0005-0000-0000-00008EC40000}"/>
    <cellStyle name="注释 2 10 2 6 4" xfId="38008" xr:uid="{00000000-0005-0000-0000-0000A8940000}"/>
    <cellStyle name="注释 2 10 2 6 4 2" xfId="50271" xr:uid="{00000000-0005-0000-0000-00008FC40000}"/>
    <cellStyle name="注释 2 10 2 6 5" xfId="50272" xr:uid="{00000000-0005-0000-0000-000090C40000}"/>
    <cellStyle name="注释 2 10 2 6 5 2" xfId="50273" xr:uid="{00000000-0005-0000-0000-000091C40000}"/>
    <cellStyle name="注释 2 10 2 6 6" xfId="50274" xr:uid="{00000000-0005-0000-0000-000092C40000}"/>
    <cellStyle name="注释 2 10 2 7" xfId="50275" xr:uid="{00000000-0005-0000-0000-000093C40000}"/>
    <cellStyle name="注释 2 10 2 7 2" xfId="50276" xr:uid="{00000000-0005-0000-0000-000094C40000}"/>
    <cellStyle name="注释 2 10 2 7 2 2" xfId="50277" xr:uid="{00000000-0005-0000-0000-000095C40000}"/>
    <cellStyle name="注释 2 10 2 7 3" xfId="50278" xr:uid="{00000000-0005-0000-0000-000096C40000}"/>
    <cellStyle name="注释 2 10 2 7 3 2" xfId="1756" xr:uid="{00000000-0005-0000-0000-00000C070000}"/>
    <cellStyle name="注释 2 10 2 7 4" xfId="20419" xr:uid="{00000000-0005-0000-0000-0000F34F0000}"/>
    <cellStyle name="注释 2 10 2 7 4 2" xfId="32844" xr:uid="{00000000-0005-0000-0000-00007C800000}"/>
    <cellStyle name="注释 2 10 2 7 5" xfId="50279" xr:uid="{00000000-0005-0000-0000-000097C40000}"/>
    <cellStyle name="注释 2 10 2 7 5 2" xfId="32895" xr:uid="{00000000-0005-0000-0000-0000AF800000}"/>
    <cellStyle name="注释 2 10 2 7 6" xfId="50280" xr:uid="{00000000-0005-0000-0000-000098C40000}"/>
    <cellStyle name="注释 2 10 2 8" xfId="50281" xr:uid="{00000000-0005-0000-0000-000099C40000}"/>
    <cellStyle name="注释 2 10 2 8 2" xfId="50283" xr:uid="{00000000-0005-0000-0000-00009BC40000}"/>
    <cellStyle name="注释 2 10 2 8 2 2" xfId="50284" xr:uid="{00000000-0005-0000-0000-00009CC40000}"/>
    <cellStyle name="注释 2 10 2 8 3" xfId="50285" xr:uid="{00000000-0005-0000-0000-00009DC40000}"/>
    <cellStyle name="注释 2 10 2 8 3 2" xfId="50286" xr:uid="{00000000-0005-0000-0000-00009EC40000}"/>
    <cellStyle name="注释 2 10 2 8 4" xfId="50287" xr:uid="{00000000-0005-0000-0000-00009FC40000}"/>
    <cellStyle name="注释 2 10 2 8 4 2" xfId="50288" xr:uid="{00000000-0005-0000-0000-0000A0C40000}"/>
    <cellStyle name="注释 2 10 2 8 5" xfId="50289" xr:uid="{00000000-0005-0000-0000-0000A1C40000}"/>
    <cellStyle name="注释 2 10 2 9" xfId="50290" xr:uid="{00000000-0005-0000-0000-0000A2C40000}"/>
    <cellStyle name="注释 2 10 2 9 2" xfId="50291" xr:uid="{00000000-0005-0000-0000-0000A3C40000}"/>
    <cellStyle name="注释 2 10 20" xfId="34101" xr:uid="{00000000-0005-0000-0000-000065850000}"/>
    <cellStyle name="注释 2 10 20 2" xfId="2700" xr:uid="{00000000-0005-0000-0000-0000BC0A0000}"/>
    <cellStyle name="注释 2 10 21" xfId="34112" xr:uid="{00000000-0005-0000-0000-000070850000}"/>
    <cellStyle name="注释 2 10 21 2" xfId="2788" xr:uid="{00000000-0005-0000-0000-0000140B0000}"/>
    <cellStyle name="注释 2 10 22" xfId="34121" xr:uid="{00000000-0005-0000-0000-000079850000}"/>
    <cellStyle name="注释 2 10 22 2" xfId="34124" xr:uid="{00000000-0005-0000-0000-00007C850000}"/>
    <cellStyle name="注释 2 10 23" xfId="44994" xr:uid="{00000000-0005-0000-0000-0000F2AF0000}"/>
    <cellStyle name="注释 2 10 23 2" xfId="44997" xr:uid="{00000000-0005-0000-0000-0000F5AF0000}"/>
    <cellStyle name="注释 2 10 24" xfId="27104" xr:uid="{00000000-0005-0000-0000-0000106A0000}"/>
    <cellStyle name="注释 2 10 25" xfId="44999" xr:uid="{00000000-0005-0000-0000-0000F7AF0000}"/>
    <cellStyle name="注释 2 10 26" xfId="41670" xr:uid="{00000000-0005-0000-0000-0000F6A20000}"/>
    <cellStyle name="注释 2 10 27" xfId="45003" xr:uid="{00000000-0005-0000-0000-0000FBAF0000}"/>
    <cellStyle name="注释 2 10 3" xfId="47699" xr:uid="{00000000-0005-0000-0000-000083BA0000}"/>
    <cellStyle name="注释 2 10 3 10" xfId="40904" xr:uid="{00000000-0005-0000-0000-0000F89F0000}"/>
    <cellStyle name="注释 2 10 3 10 2" xfId="42548" xr:uid="{00000000-0005-0000-0000-000064A60000}"/>
    <cellStyle name="注释 2 10 3 11" xfId="50292" xr:uid="{00000000-0005-0000-0000-0000A4C40000}"/>
    <cellStyle name="注释 2 10 3 11 2" xfId="6153" xr:uid="{00000000-0005-0000-0000-000039180000}"/>
    <cellStyle name="注释 2 10 3 12" xfId="50293" xr:uid="{00000000-0005-0000-0000-0000A5C40000}"/>
    <cellStyle name="注释 2 10 3 12 2" xfId="42559" xr:uid="{00000000-0005-0000-0000-00006FA60000}"/>
    <cellStyle name="注释 2 10 3 13" xfId="29920" xr:uid="{00000000-0005-0000-0000-000010750000}"/>
    <cellStyle name="注释 2 10 3 14" xfId="22866" xr:uid="{00000000-0005-0000-0000-000082590000}"/>
    <cellStyle name="注释 2 10 3 15" xfId="29926" xr:uid="{00000000-0005-0000-0000-000016750000}"/>
    <cellStyle name="注释 2 10 3 16" xfId="29932" xr:uid="{00000000-0005-0000-0000-00001C750000}"/>
    <cellStyle name="注释 2 10 3 2" xfId="50294" xr:uid="{00000000-0005-0000-0000-0000A6C40000}"/>
    <cellStyle name="注释 2 10 3 2 2" xfId="50295" xr:uid="{00000000-0005-0000-0000-0000A7C40000}"/>
    <cellStyle name="注释 2 10 3 2 2 2" xfId="50296" xr:uid="{00000000-0005-0000-0000-0000A8C40000}"/>
    <cellStyle name="注释 2 10 3 2 3" xfId="50297" xr:uid="{00000000-0005-0000-0000-0000A9C40000}"/>
    <cellStyle name="注释 2 10 3 2 3 2" xfId="50298" xr:uid="{00000000-0005-0000-0000-0000AAC40000}"/>
    <cellStyle name="注释 2 10 3 2 4" xfId="50299" xr:uid="{00000000-0005-0000-0000-0000ABC40000}"/>
    <cellStyle name="注释 2 10 3 2 4 2" xfId="50300" xr:uid="{00000000-0005-0000-0000-0000ACC40000}"/>
    <cellStyle name="注释 2 10 3 2 5" xfId="50301" xr:uid="{00000000-0005-0000-0000-0000ADC40000}"/>
    <cellStyle name="注释 2 10 3 2 5 2" xfId="50302" xr:uid="{00000000-0005-0000-0000-0000AEC40000}"/>
    <cellStyle name="注释 2 10 3 2 6" xfId="12702" xr:uid="{00000000-0005-0000-0000-0000CE310000}"/>
    <cellStyle name="注释 2 10 3 2 7" xfId="29491" xr:uid="{00000000-0005-0000-0000-000063730000}"/>
    <cellStyle name="注释 2 10 3 2 8" xfId="50303" xr:uid="{00000000-0005-0000-0000-0000AFC40000}"/>
    <cellStyle name="注释 2 10 3 2 9" xfId="50304" xr:uid="{00000000-0005-0000-0000-0000B0C40000}"/>
    <cellStyle name="注释 2 10 3 3" xfId="26334" xr:uid="{00000000-0005-0000-0000-00000E670000}"/>
    <cellStyle name="注释 2 10 3 3 2" xfId="50305" xr:uid="{00000000-0005-0000-0000-0000B1C40000}"/>
    <cellStyle name="注释 2 10 3 3 2 2" xfId="50306" xr:uid="{00000000-0005-0000-0000-0000B2C40000}"/>
    <cellStyle name="注释 2 10 3 3 3" xfId="50307" xr:uid="{00000000-0005-0000-0000-0000B3C40000}"/>
    <cellStyle name="注释 2 10 3 3 3 2" xfId="50308" xr:uid="{00000000-0005-0000-0000-0000B4C40000}"/>
    <cellStyle name="注释 2 10 3 3 4" xfId="50309" xr:uid="{00000000-0005-0000-0000-0000B5C40000}"/>
    <cellStyle name="注释 2 10 3 3 4 2" xfId="50310" xr:uid="{00000000-0005-0000-0000-0000B6C40000}"/>
    <cellStyle name="注释 2 10 3 3 5" xfId="50311" xr:uid="{00000000-0005-0000-0000-0000B7C40000}"/>
    <cellStyle name="注释 2 10 3 3 5 2" xfId="50312" xr:uid="{00000000-0005-0000-0000-0000B8C40000}"/>
    <cellStyle name="注释 2 10 3 3 6" xfId="50313" xr:uid="{00000000-0005-0000-0000-0000B9C40000}"/>
    <cellStyle name="注释 2 10 3 4" xfId="50314" xr:uid="{00000000-0005-0000-0000-0000BAC40000}"/>
    <cellStyle name="注释 2 10 3 4 2" xfId="50315" xr:uid="{00000000-0005-0000-0000-0000BBC40000}"/>
    <cellStyle name="注释 2 10 3 4 2 2" xfId="50316" xr:uid="{00000000-0005-0000-0000-0000BCC40000}"/>
    <cellStyle name="注释 2 10 3 4 3" xfId="50317" xr:uid="{00000000-0005-0000-0000-0000BDC40000}"/>
    <cellStyle name="注释 2 10 3 4 3 2" xfId="50318" xr:uid="{00000000-0005-0000-0000-0000BEC40000}"/>
    <cellStyle name="注释 2 10 3 4 4" xfId="25270" xr:uid="{00000000-0005-0000-0000-0000E6620000}"/>
    <cellStyle name="注释 2 10 3 4 4 2" xfId="50319" xr:uid="{00000000-0005-0000-0000-0000BFC40000}"/>
    <cellStyle name="注释 2 10 3 4 5" xfId="50320" xr:uid="{00000000-0005-0000-0000-0000C0C40000}"/>
    <cellStyle name="注释 2 10 3 4 5 2" xfId="50321" xr:uid="{00000000-0005-0000-0000-0000C1C40000}"/>
    <cellStyle name="注释 2 10 3 4 6" xfId="50322" xr:uid="{00000000-0005-0000-0000-0000C2C40000}"/>
    <cellStyle name="注释 2 10 3 5" xfId="9251" xr:uid="{00000000-0005-0000-0000-000053240000}"/>
    <cellStyle name="注释 2 10 3 5 2" xfId="50323" xr:uid="{00000000-0005-0000-0000-0000C3C40000}"/>
    <cellStyle name="注释 2 10 3 5 2 2" xfId="50324" xr:uid="{00000000-0005-0000-0000-0000C4C40000}"/>
    <cellStyle name="注释 2 10 3 5 3" xfId="50325" xr:uid="{00000000-0005-0000-0000-0000C5C40000}"/>
    <cellStyle name="注释 2 10 3 5 3 2" xfId="50326" xr:uid="{00000000-0005-0000-0000-0000C6C40000}"/>
    <cellStyle name="注释 2 10 3 5 4" xfId="38012" xr:uid="{00000000-0005-0000-0000-0000AC940000}"/>
    <cellStyle name="注释 2 10 3 5 4 2" xfId="50327" xr:uid="{00000000-0005-0000-0000-0000C7C40000}"/>
    <cellStyle name="注释 2 10 3 5 5" xfId="50328" xr:uid="{00000000-0005-0000-0000-0000C8C40000}"/>
    <cellStyle name="注释 2 10 3 5 5 2" xfId="50329" xr:uid="{00000000-0005-0000-0000-0000C9C40000}"/>
    <cellStyle name="注释 2 10 3 5 6" xfId="50330" xr:uid="{00000000-0005-0000-0000-0000CAC40000}"/>
    <cellStyle name="注释 2 10 3 6" xfId="50331" xr:uid="{00000000-0005-0000-0000-0000CBC40000}"/>
    <cellStyle name="注释 2 10 3 6 2" xfId="50332" xr:uid="{00000000-0005-0000-0000-0000CCC40000}"/>
    <cellStyle name="注释 2 10 3 6 2 2" xfId="50333" xr:uid="{00000000-0005-0000-0000-0000CDC40000}"/>
    <cellStyle name="注释 2 10 3 6 3" xfId="50334" xr:uid="{00000000-0005-0000-0000-0000CEC40000}"/>
    <cellStyle name="注释 2 10 3 6 3 2" xfId="50335" xr:uid="{00000000-0005-0000-0000-0000CFC40000}"/>
    <cellStyle name="注释 2 10 3 6 4" xfId="38015" xr:uid="{00000000-0005-0000-0000-0000AF940000}"/>
    <cellStyle name="注释 2 10 3 6 4 2" xfId="50336" xr:uid="{00000000-0005-0000-0000-0000D0C40000}"/>
    <cellStyle name="注释 2 10 3 6 5" xfId="50337" xr:uid="{00000000-0005-0000-0000-0000D1C40000}"/>
    <cellStyle name="注释 2 10 3 6 5 2" xfId="50338" xr:uid="{00000000-0005-0000-0000-0000D2C40000}"/>
    <cellStyle name="注释 2 10 3 6 6" xfId="50339" xr:uid="{00000000-0005-0000-0000-0000D3C40000}"/>
    <cellStyle name="注释 2 10 3 7" xfId="50340" xr:uid="{00000000-0005-0000-0000-0000D4C40000}"/>
    <cellStyle name="注释 2 10 3 7 2" xfId="50341" xr:uid="{00000000-0005-0000-0000-0000D5C40000}"/>
    <cellStyle name="注释 2 10 3 7 2 2" xfId="50342" xr:uid="{00000000-0005-0000-0000-0000D6C40000}"/>
    <cellStyle name="注释 2 10 3 7 3" xfId="49058" xr:uid="{00000000-0005-0000-0000-0000D2BF0000}"/>
    <cellStyle name="注释 2 10 3 7 3 2" xfId="50343" xr:uid="{00000000-0005-0000-0000-0000D7C40000}"/>
    <cellStyle name="注释 2 10 3 7 4" xfId="21016" xr:uid="{00000000-0005-0000-0000-000048520000}"/>
    <cellStyle name="注释 2 10 3 7 4 2" xfId="50344" xr:uid="{00000000-0005-0000-0000-0000D8C40000}"/>
    <cellStyle name="注释 2 10 3 7 5" xfId="50345" xr:uid="{00000000-0005-0000-0000-0000D9C40000}"/>
    <cellStyle name="注释 2 10 3 7 5 2" xfId="50346" xr:uid="{00000000-0005-0000-0000-0000DAC40000}"/>
    <cellStyle name="注释 2 10 3 7 6" xfId="50347" xr:uid="{00000000-0005-0000-0000-0000DBC40000}"/>
    <cellStyle name="注释 2 10 3 8" xfId="50348" xr:uid="{00000000-0005-0000-0000-0000DCC40000}"/>
    <cellStyle name="注释 2 10 3 8 2" xfId="50350" xr:uid="{00000000-0005-0000-0000-0000DEC40000}"/>
    <cellStyle name="注释 2 10 3 8 2 2" xfId="50351" xr:uid="{00000000-0005-0000-0000-0000DFC40000}"/>
    <cellStyle name="注释 2 10 3 8 3" xfId="49060" xr:uid="{00000000-0005-0000-0000-0000D4BF0000}"/>
    <cellStyle name="注释 2 10 3 8 3 2" xfId="50352" xr:uid="{00000000-0005-0000-0000-0000E0C40000}"/>
    <cellStyle name="注释 2 10 3 8 4" xfId="50353" xr:uid="{00000000-0005-0000-0000-0000E1C40000}"/>
    <cellStyle name="注释 2 10 3 8 4 2" xfId="50354" xr:uid="{00000000-0005-0000-0000-0000E2C40000}"/>
    <cellStyle name="注释 2 10 3 8 5" xfId="50355" xr:uid="{00000000-0005-0000-0000-0000E3C40000}"/>
    <cellStyle name="注释 2 10 3 9" xfId="12187" xr:uid="{00000000-0005-0000-0000-0000CB2F0000}"/>
    <cellStyle name="注释 2 10 3 9 2" xfId="35103" xr:uid="{00000000-0005-0000-0000-00004F890000}"/>
    <cellStyle name="注释 2 10 4" xfId="38099" xr:uid="{00000000-0005-0000-0000-000003950000}"/>
    <cellStyle name="注释 2 10 4 10" xfId="50356" xr:uid="{00000000-0005-0000-0000-0000E4C40000}"/>
    <cellStyle name="注释 2 10 4 10 2" xfId="50357" xr:uid="{00000000-0005-0000-0000-0000E5C40000}"/>
    <cellStyle name="注释 2 10 4 11" xfId="21427" xr:uid="{00000000-0005-0000-0000-0000E3530000}"/>
    <cellStyle name="注释 2 10 4 11 2" xfId="19079" xr:uid="{00000000-0005-0000-0000-0000B74A0000}"/>
    <cellStyle name="注释 2 10 4 12" xfId="21430" xr:uid="{00000000-0005-0000-0000-0000E6530000}"/>
    <cellStyle name="注释 2 10 4 12 2" xfId="21436" xr:uid="{00000000-0005-0000-0000-0000EC530000}"/>
    <cellStyle name="注释 2 10 4 13" xfId="21450" xr:uid="{00000000-0005-0000-0000-0000FA530000}"/>
    <cellStyle name="注释 2 10 4 14" xfId="26009" xr:uid="{00000000-0005-0000-0000-0000C9650000}"/>
    <cellStyle name="注释 2 10 4 15" xfId="15534" xr:uid="{00000000-0005-0000-0000-0000DE3C0000}"/>
    <cellStyle name="注释 2 10 4 16" xfId="30000" xr:uid="{00000000-0005-0000-0000-000060750000}"/>
    <cellStyle name="注释 2 10 4 2" xfId="34064" xr:uid="{00000000-0005-0000-0000-000040850000}"/>
    <cellStyle name="注释 2 10 4 2 2" xfId="34066" xr:uid="{00000000-0005-0000-0000-000042850000}"/>
    <cellStyle name="注释 2 10 4 2 2 2" xfId="50358" xr:uid="{00000000-0005-0000-0000-0000E6C40000}"/>
    <cellStyle name="注释 2 10 4 2 3" xfId="50359" xr:uid="{00000000-0005-0000-0000-0000E7C40000}"/>
    <cellStyle name="注释 2 10 4 2 3 2" xfId="50360" xr:uid="{00000000-0005-0000-0000-0000E8C40000}"/>
    <cellStyle name="注释 2 10 4 2 4" xfId="50361" xr:uid="{00000000-0005-0000-0000-0000E9C40000}"/>
    <cellStyle name="注释 2 10 4 2 4 2" xfId="50362" xr:uid="{00000000-0005-0000-0000-0000EAC40000}"/>
    <cellStyle name="注释 2 10 4 2 5" xfId="45941" xr:uid="{00000000-0005-0000-0000-0000A5B30000}"/>
    <cellStyle name="注释 2 10 4 2 5 2" xfId="44729" xr:uid="{00000000-0005-0000-0000-0000E9AE0000}"/>
    <cellStyle name="注释 2 10 4 2 6" xfId="45944" xr:uid="{00000000-0005-0000-0000-0000A8B30000}"/>
    <cellStyle name="注释 2 10 4 2 7" xfId="29518" xr:uid="{00000000-0005-0000-0000-00007E730000}"/>
    <cellStyle name="注释 2 10 4 2 8" xfId="45964" xr:uid="{00000000-0005-0000-0000-0000BCB30000}"/>
    <cellStyle name="注释 2 10 4 2 9" xfId="45972" xr:uid="{00000000-0005-0000-0000-0000C4B30000}"/>
    <cellStyle name="注释 2 10 4 3" xfId="26424" xr:uid="{00000000-0005-0000-0000-000068670000}"/>
    <cellStyle name="注释 2 10 4 3 2" xfId="50363" xr:uid="{00000000-0005-0000-0000-0000EBC40000}"/>
    <cellStyle name="注释 2 10 4 3 2 2" xfId="50364" xr:uid="{00000000-0005-0000-0000-0000ECC40000}"/>
    <cellStyle name="注释 2 10 4 3 3" xfId="50365" xr:uid="{00000000-0005-0000-0000-0000EDC40000}"/>
    <cellStyle name="注释 2 10 4 3 3 2" xfId="50366" xr:uid="{00000000-0005-0000-0000-0000EEC40000}"/>
    <cellStyle name="注释 2 10 4 3 4" xfId="50367" xr:uid="{00000000-0005-0000-0000-0000EFC40000}"/>
    <cellStyle name="注释 2 10 4 3 4 2" xfId="50368" xr:uid="{00000000-0005-0000-0000-0000F0C40000}"/>
    <cellStyle name="注释 2 10 4 3 5" xfId="46011" xr:uid="{00000000-0005-0000-0000-0000EBB30000}"/>
    <cellStyle name="注释 2 10 4 3 5 2" xfId="46013" xr:uid="{00000000-0005-0000-0000-0000EDB30000}"/>
    <cellStyle name="注释 2 10 4 3 6" xfId="46025" xr:uid="{00000000-0005-0000-0000-0000F9B30000}"/>
    <cellStyle name="注释 2 10 4 4" xfId="34069" xr:uid="{00000000-0005-0000-0000-000045850000}"/>
    <cellStyle name="注释 2 10 4 4 2" xfId="50369" xr:uid="{00000000-0005-0000-0000-0000F1C40000}"/>
    <cellStyle name="注释 2 10 4 4 2 2" xfId="50370" xr:uid="{00000000-0005-0000-0000-0000F2C40000}"/>
    <cellStyle name="注释 2 10 4 4 3" xfId="50371" xr:uid="{00000000-0005-0000-0000-0000F3C40000}"/>
    <cellStyle name="注释 2 10 4 4 3 2" xfId="50372" xr:uid="{00000000-0005-0000-0000-0000F4C40000}"/>
    <cellStyle name="注释 2 10 4 4 4" xfId="12847" xr:uid="{00000000-0005-0000-0000-00005F320000}"/>
    <cellStyle name="注释 2 10 4 4 4 2" xfId="50373" xr:uid="{00000000-0005-0000-0000-0000F5C40000}"/>
    <cellStyle name="注释 2 10 4 4 5" xfId="46089" xr:uid="{00000000-0005-0000-0000-000039B40000}"/>
    <cellStyle name="注释 2 10 4 4 5 2" xfId="46091" xr:uid="{00000000-0005-0000-0000-00003BB40000}"/>
    <cellStyle name="注释 2 10 4 4 6" xfId="46093" xr:uid="{00000000-0005-0000-0000-00003DB40000}"/>
    <cellStyle name="注释 2 10 4 5" xfId="34071" xr:uid="{00000000-0005-0000-0000-000047850000}"/>
    <cellStyle name="注释 2 10 4 5 2" xfId="50374" xr:uid="{00000000-0005-0000-0000-0000F6C40000}"/>
    <cellStyle name="注释 2 10 4 5 2 2" xfId="50375" xr:uid="{00000000-0005-0000-0000-0000F7C40000}"/>
    <cellStyle name="注释 2 10 4 5 3" xfId="50376" xr:uid="{00000000-0005-0000-0000-0000F8C40000}"/>
    <cellStyle name="注释 2 10 4 5 3 2" xfId="50377" xr:uid="{00000000-0005-0000-0000-0000F9C40000}"/>
    <cellStyle name="注释 2 10 4 5 4" xfId="38019" xr:uid="{00000000-0005-0000-0000-0000B3940000}"/>
    <cellStyle name="注释 2 10 4 5 4 2" xfId="2409" xr:uid="{00000000-0005-0000-0000-000099090000}"/>
    <cellStyle name="注释 2 10 4 5 5" xfId="46105" xr:uid="{00000000-0005-0000-0000-000049B40000}"/>
    <cellStyle name="注释 2 10 4 5 5 2" xfId="46107" xr:uid="{00000000-0005-0000-0000-00004BB40000}"/>
    <cellStyle name="注释 2 10 4 5 6" xfId="46109" xr:uid="{00000000-0005-0000-0000-00004DB40000}"/>
    <cellStyle name="注释 2 10 4 6" xfId="34073" xr:uid="{00000000-0005-0000-0000-000049850000}"/>
    <cellStyle name="注释 2 10 4 6 2" xfId="50378" xr:uid="{00000000-0005-0000-0000-0000FAC40000}"/>
    <cellStyle name="注释 2 10 4 6 2 2" xfId="40847" xr:uid="{00000000-0005-0000-0000-0000BF9F0000}"/>
    <cellStyle name="注释 2 10 4 6 3" xfId="50379" xr:uid="{00000000-0005-0000-0000-0000FBC40000}"/>
    <cellStyle name="注释 2 10 4 6 3 2" xfId="10975" xr:uid="{00000000-0005-0000-0000-00000F2B0000}"/>
    <cellStyle name="注释 2 10 4 6 4" xfId="38021" xr:uid="{00000000-0005-0000-0000-0000B5940000}"/>
    <cellStyle name="注释 2 10 4 6 4 2" xfId="50380" xr:uid="{00000000-0005-0000-0000-0000FCC40000}"/>
    <cellStyle name="注释 2 10 4 6 5" xfId="46118" xr:uid="{00000000-0005-0000-0000-000056B40000}"/>
    <cellStyle name="注释 2 10 4 6 5 2" xfId="44925" xr:uid="{00000000-0005-0000-0000-0000ADAF0000}"/>
    <cellStyle name="注释 2 10 4 6 6" xfId="46120" xr:uid="{00000000-0005-0000-0000-000058B40000}"/>
    <cellStyle name="注释 2 10 4 7" xfId="16584" xr:uid="{00000000-0005-0000-0000-0000F8400000}"/>
    <cellStyle name="注释 2 10 4 7 2" xfId="50381" xr:uid="{00000000-0005-0000-0000-0000FDC40000}"/>
    <cellStyle name="注释 2 10 4 7 2 2" xfId="40866" xr:uid="{00000000-0005-0000-0000-0000D29F0000}"/>
    <cellStyle name="注释 2 10 4 7 3" xfId="49067" xr:uid="{00000000-0005-0000-0000-0000DBBF0000}"/>
    <cellStyle name="注释 2 10 4 7 3 2" xfId="11094" xr:uid="{00000000-0005-0000-0000-0000862B0000}"/>
    <cellStyle name="注释 2 10 4 7 4" xfId="38025" xr:uid="{00000000-0005-0000-0000-0000B9940000}"/>
    <cellStyle name="注释 2 10 4 7 4 2" xfId="50382" xr:uid="{00000000-0005-0000-0000-0000FEC40000}"/>
    <cellStyle name="注释 2 10 4 7 5" xfId="46131" xr:uid="{00000000-0005-0000-0000-000063B40000}"/>
    <cellStyle name="注释 2 10 4 7 5 2" xfId="45275" xr:uid="{00000000-0005-0000-0000-00000BB10000}"/>
    <cellStyle name="注释 2 10 4 7 6" xfId="46133" xr:uid="{00000000-0005-0000-0000-000065B40000}"/>
    <cellStyle name="注释 2 10 4 8" xfId="50383" xr:uid="{00000000-0005-0000-0000-0000FFC40000}"/>
    <cellStyle name="注释 2 10 4 8 2" xfId="50384" xr:uid="{00000000-0005-0000-0000-000000C50000}"/>
    <cellStyle name="注释 2 10 4 8 2 2" xfId="50385" xr:uid="{00000000-0005-0000-0000-000001C50000}"/>
    <cellStyle name="注释 2 10 4 8 3" xfId="49069" xr:uid="{00000000-0005-0000-0000-0000DDBF0000}"/>
    <cellStyle name="注释 2 10 4 8 3 2" xfId="50386" xr:uid="{00000000-0005-0000-0000-000002C50000}"/>
    <cellStyle name="注释 2 10 4 8 4" xfId="50387" xr:uid="{00000000-0005-0000-0000-000003C50000}"/>
    <cellStyle name="注释 2 10 4 8 4 2" xfId="50388" xr:uid="{00000000-0005-0000-0000-000004C50000}"/>
    <cellStyle name="注释 2 10 4 8 5" xfId="46144" xr:uid="{00000000-0005-0000-0000-000070B40000}"/>
    <cellStyle name="注释 2 10 4 9" xfId="12200" xr:uid="{00000000-0005-0000-0000-0000D82F0000}"/>
    <cellStyle name="注释 2 10 4 9 2" xfId="35106" xr:uid="{00000000-0005-0000-0000-000052890000}"/>
    <cellStyle name="注释 2 10 5" xfId="50389" xr:uid="{00000000-0005-0000-0000-000005C50000}"/>
    <cellStyle name="注释 2 10 5 10" xfId="50390" xr:uid="{00000000-0005-0000-0000-000006C50000}"/>
    <cellStyle name="注释 2 10 5 10 2" xfId="50391" xr:uid="{00000000-0005-0000-0000-000007C50000}"/>
    <cellStyle name="注释 2 10 5 11" xfId="50393" xr:uid="{00000000-0005-0000-0000-000009C50000}"/>
    <cellStyle name="注释 2 10 5 11 2" xfId="50394" xr:uid="{00000000-0005-0000-0000-00000AC50000}"/>
    <cellStyle name="注释 2 10 5 12" xfId="50395" xr:uid="{00000000-0005-0000-0000-00000BC50000}"/>
    <cellStyle name="注释 2 10 5 12 2" xfId="36236" xr:uid="{00000000-0005-0000-0000-0000BC8D0000}"/>
    <cellStyle name="注释 2 10 5 13" xfId="50396" xr:uid="{00000000-0005-0000-0000-00000CC50000}"/>
    <cellStyle name="注释 2 10 5 14" xfId="50397" xr:uid="{00000000-0005-0000-0000-00000DC50000}"/>
    <cellStyle name="注释 2 10 5 15" xfId="46313" xr:uid="{00000000-0005-0000-0000-000019B50000}"/>
    <cellStyle name="注释 2 10 5 16" xfId="35390" xr:uid="{00000000-0005-0000-0000-00006E8A0000}"/>
    <cellStyle name="注释 2 10 5 2" xfId="26571" xr:uid="{00000000-0005-0000-0000-0000FB670000}"/>
    <cellStyle name="注释 2 10 5 2 2" xfId="26576" xr:uid="{00000000-0005-0000-0000-000000680000}"/>
    <cellStyle name="注释 2 10 5 2 2 2" xfId="26582" xr:uid="{00000000-0005-0000-0000-000006680000}"/>
    <cellStyle name="注释 2 10 5 2 3" xfId="26587" xr:uid="{00000000-0005-0000-0000-00000B680000}"/>
    <cellStyle name="注释 2 10 5 2 3 2" xfId="26595" xr:uid="{00000000-0005-0000-0000-000013680000}"/>
    <cellStyle name="注释 2 10 5 2 4" xfId="25293" xr:uid="{00000000-0005-0000-0000-0000FD620000}"/>
    <cellStyle name="注释 2 10 5 2 4 2" xfId="26601" xr:uid="{00000000-0005-0000-0000-000019680000}"/>
    <cellStyle name="注释 2 10 5 2 5" xfId="26607" xr:uid="{00000000-0005-0000-0000-00001F680000}"/>
    <cellStyle name="注释 2 10 5 2 5 2" xfId="50398" xr:uid="{00000000-0005-0000-0000-00000EC50000}"/>
    <cellStyle name="注释 2 10 5 2 6" xfId="50400" xr:uid="{00000000-0005-0000-0000-000010C50000}"/>
    <cellStyle name="注释 2 10 5 2 7" xfId="29531" xr:uid="{00000000-0005-0000-0000-00008B730000}"/>
    <cellStyle name="注释 2 10 5 2 8" xfId="50401" xr:uid="{00000000-0005-0000-0000-000011C50000}"/>
    <cellStyle name="注释 2 10 5 2 9" xfId="50402" xr:uid="{00000000-0005-0000-0000-000012C50000}"/>
    <cellStyle name="注释 2 10 5 3" xfId="26619" xr:uid="{00000000-0005-0000-0000-00002B680000}"/>
    <cellStyle name="注释 2 10 5 3 2" xfId="36140" xr:uid="{00000000-0005-0000-0000-00005C8D0000}"/>
    <cellStyle name="注释 2 10 5 3 2 2" xfId="36142" xr:uid="{00000000-0005-0000-0000-00005E8D0000}"/>
    <cellStyle name="注释 2 10 5 3 3" xfId="36145" xr:uid="{00000000-0005-0000-0000-0000618D0000}"/>
    <cellStyle name="注释 2 10 5 3 3 2" xfId="36147" xr:uid="{00000000-0005-0000-0000-0000638D0000}"/>
    <cellStyle name="注释 2 10 5 3 4" xfId="25305" xr:uid="{00000000-0005-0000-0000-000009630000}"/>
    <cellStyle name="注释 2 10 5 3 4 2" xfId="36149" xr:uid="{00000000-0005-0000-0000-0000658D0000}"/>
    <cellStyle name="注释 2 10 5 3 5" xfId="36151" xr:uid="{00000000-0005-0000-0000-0000678D0000}"/>
    <cellStyle name="注释 2 10 5 3 5 2" xfId="50403" xr:uid="{00000000-0005-0000-0000-000013C50000}"/>
    <cellStyle name="注释 2 10 5 3 6" xfId="50404" xr:uid="{00000000-0005-0000-0000-000014C50000}"/>
    <cellStyle name="注释 2 10 5 4" xfId="26644" xr:uid="{00000000-0005-0000-0000-000044680000}"/>
    <cellStyle name="注释 2 10 5 4 2" xfId="36154" xr:uid="{00000000-0005-0000-0000-00006A8D0000}"/>
    <cellStyle name="注释 2 10 5 4 2 2" xfId="36156" xr:uid="{00000000-0005-0000-0000-00006C8D0000}"/>
    <cellStyle name="注释 2 10 5 4 3" xfId="36158" xr:uid="{00000000-0005-0000-0000-00006E8D0000}"/>
    <cellStyle name="注释 2 10 5 4 3 2" xfId="36160" xr:uid="{00000000-0005-0000-0000-0000708D0000}"/>
    <cellStyle name="注释 2 10 5 4 4" xfId="36163" xr:uid="{00000000-0005-0000-0000-0000738D0000}"/>
    <cellStyle name="注释 2 10 5 4 4 2" xfId="50405" xr:uid="{00000000-0005-0000-0000-000015C50000}"/>
    <cellStyle name="注释 2 10 5 4 5" xfId="50406" xr:uid="{00000000-0005-0000-0000-000016C50000}"/>
    <cellStyle name="注释 2 10 5 4 5 2" xfId="50407" xr:uid="{00000000-0005-0000-0000-000017C50000}"/>
    <cellStyle name="注释 2 10 5 4 6" xfId="50408" xr:uid="{00000000-0005-0000-0000-000018C50000}"/>
    <cellStyle name="注释 2 10 5 5" xfId="26681" xr:uid="{00000000-0005-0000-0000-000069680000}"/>
    <cellStyle name="注释 2 10 5 5 2" xfId="50409" xr:uid="{00000000-0005-0000-0000-000019C50000}"/>
    <cellStyle name="注释 2 10 5 5 2 2" xfId="50410" xr:uid="{00000000-0005-0000-0000-00001AC50000}"/>
    <cellStyle name="注释 2 10 5 5 3" xfId="50411" xr:uid="{00000000-0005-0000-0000-00001BC50000}"/>
    <cellStyle name="注释 2 10 5 5 3 2" xfId="50412" xr:uid="{00000000-0005-0000-0000-00001CC50000}"/>
    <cellStyle name="注释 2 10 5 5 4" xfId="37091" xr:uid="{00000000-0005-0000-0000-000013910000}"/>
    <cellStyle name="注释 2 10 5 5 4 2" xfId="6204" xr:uid="{00000000-0005-0000-0000-00006C180000}"/>
    <cellStyle name="注释 2 10 5 5 5" xfId="50413" xr:uid="{00000000-0005-0000-0000-00001DC50000}"/>
    <cellStyle name="注释 2 10 5 5 5 2" xfId="50414" xr:uid="{00000000-0005-0000-0000-00001EC50000}"/>
    <cellStyle name="注释 2 10 5 5 6" xfId="50415" xr:uid="{00000000-0005-0000-0000-00001FC50000}"/>
    <cellStyle name="注释 2 10 5 6" xfId="50416" xr:uid="{00000000-0005-0000-0000-000020C50000}"/>
    <cellStyle name="注释 2 10 5 6 2" xfId="47314" xr:uid="{00000000-0005-0000-0000-000002B90000}"/>
    <cellStyle name="注释 2 10 5 6 2 2" xfId="50417" xr:uid="{00000000-0005-0000-0000-000021C50000}"/>
    <cellStyle name="注释 2 10 5 6 3" xfId="47316" xr:uid="{00000000-0005-0000-0000-000004B90000}"/>
    <cellStyle name="注释 2 10 5 6 3 2" xfId="50418" xr:uid="{00000000-0005-0000-0000-000022C50000}"/>
    <cellStyle name="注释 2 10 5 6 4" xfId="37094" xr:uid="{00000000-0005-0000-0000-000016910000}"/>
    <cellStyle name="注释 2 10 5 6 4 2" xfId="50419" xr:uid="{00000000-0005-0000-0000-000023C50000}"/>
    <cellStyle name="注释 2 10 5 6 5" xfId="50420" xr:uid="{00000000-0005-0000-0000-000024C50000}"/>
    <cellStyle name="注释 2 10 5 6 5 2" xfId="50421" xr:uid="{00000000-0005-0000-0000-000025C50000}"/>
    <cellStyle name="注释 2 10 5 6 6" xfId="50422" xr:uid="{00000000-0005-0000-0000-000026C50000}"/>
    <cellStyle name="注释 2 10 5 7" xfId="33942" xr:uid="{00000000-0005-0000-0000-0000C6840000}"/>
    <cellStyle name="注释 2 10 5 7 2" xfId="50423" xr:uid="{00000000-0005-0000-0000-000027C50000}"/>
    <cellStyle name="注释 2 10 5 7 2 2" xfId="50424" xr:uid="{00000000-0005-0000-0000-000028C50000}"/>
    <cellStyle name="注释 2 10 5 7 3" xfId="49075" xr:uid="{00000000-0005-0000-0000-0000E3BF0000}"/>
    <cellStyle name="注释 2 10 5 7 3 2" xfId="50425" xr:uid="{00000000-0005-0000-0000-000029C50000}"/>
    <cellStyle name="注释 2 10 5 7 4" xfId="37100" xr:uid="{00000000-0005-0000-0000-00001C910000}"/>
    <cellStyle name="注释 2 10 5 7 4 2" xfId="50426" xr:uid="{00000000-0005-0000-0000-00002AC50000}"/>
    <cellStyle name="注释 2 10 5 7 5" xfId="50427" xr:uid="{00000000-0005-0000-0000-00002BC50000}"/>
    <cellStyle name="注释 2 10 5 7 5 2" xfId="50428" xr:uid="{00000000-0005-0000-0000-00002CC50000}"/>
    <cellStyle name="注释 2 10 5 7 6" xfId="50429" xr:uid="{00000000-0005-0000-0000-00002DC50000}"/>
    <cellStyle name="注释 2 10 5 8" xfId="50431" xr:uid="{00000000-0005-0000-0000-00002FC50000}"/>
    <cellStyle name="注释 2 10 5 8 2" xfId="50432" xr:uid="{00000000-0005-0000-0000-000030C50000}"/>
    <cellStyle name="注释 2 10 5 8 2 2" xfId="50433" xr:uid="{00000000-0005-0000-0000-000031C50000}"/>
    <cellStyle name="注释 2 10 5 8 3" xfId="49078" xr:uid="{00000000-0005-0000-0000-0000E6BF0000}"/>
    <cellStyle name="注释 2 10 5 8 3 2" xfId="50434" xr:uid="{00000000-0005-0000-0000-000032C50000}"/>
    <cellStyle name="注释 2 10 5 8 4" xfId="37104" xr:uid="{00000000-0005-0000-0000-000020910000}"/>
    <cellStyle name="注释 2 10 5 8 4 2" xfId="50435" xr:uid="{00000000-0005-0000-0000-000033C50000}"/>
    <cellStyle name="注释 2 10 5 8 5" xfId="50436" xr:uid="{00000000-0005-0000-0000-000034C50000}"/>
    <cellStyle name="注释 2 10 5 9" xfId="17274" xr:uid="{00000000-0005-0000-0000-0000AA430000}"/>
    <cellStyle name="注释 2 10 5 9 2" xfId="35109" xr:uid="{00000000-0005-0000-0000-000055890000}"/>
    <cellStyle name="注释 2 10 6" xfId="50399" xr:uid="{00000000-0005-0000-0000-00000FC50000}"/>
    <cellStyle name="注释 2 10 6 10" xfId="50437" xr:uid="{00000000-0005-0000-0000-000035C50000}"/>
    <cellStyle name="注释 2 10 6 10 2" xfId="50438" xr:uid="{00000000-0005-0000-0000-000036C50000}"/>
    <cellStyle name="注释 2 10 6 11" xfId="50440" xr:uid="{00000000-0005-0000-0000-000038C50000}"/>
    <cellStyle name="注释 2 10 6 11 2" xfId="50441" xr:uid="{00000000-0005-0000-0000-000039C50000}"/>
    <cellStyle name="注释 2 10 6 12" xfId="23733" xr:uid="{00000000-0005-0000-0000-0000E55C0000}"/>
    <cellStyle name="注释 2 10 6 12 2" xfId="50442" xr:uid="{00000000-0005-0000-0000-00003AC50000}"/>
    <cellStyle name="注释 2 10 6 13" xfId="50443" xr:uid="{00000000-0005-0000-0000-00003BC50000}"/>
    <cellStyle name="注释 2 10 6 14" xfId="50444" xr:uid="{00000000-0005-0000-0000-00003CC50000}"/>
    <cellStyle name="注释 2 10 6 15" xfId="50445" xr:uid="{00000000-0005-0000-0000-00003DC50000}"/>
    <cellStyle name="注释 2 10 6 16" xfId="50446" xr:uid="{00000000-0005-0000-0000-00003EC50000}"/>
    <cellStyle name="注释 2 10 6 2" xfId="50447" xr:uid="{00000000-0005-0000-0000-00003FC50000}"/>
    <cellStyle name="注释 2 10 6 2 2" xfId="50448" xr:uid="{00000000-0005-0000-0000-000040C50000}"/>
    <cellStyle name="注释 2 10 6 2 2 2" xfId="50449" xr:uid="{00000000-0005-0000-0000-000041C50000}"/>
    <cellStyle name="注释 2 10 6 2 3" xfId="50450" xr:uid="{00000000-0005-0000-0000-000042C50000}"/>
    <cellStyle name="注释 2 10 6 2 3 2" xfId="50451" xr:uid="{00000000-0005-0000-0000-000043C50000}"/>
    <cellStyle name="注释 2 10 6 2 4" xfId="50452" xr:uid="{00000000-0005-0000-0000-000044C50000}"/>
    <cellStyle name="注释 2 10 6 2 4 2" xfId="50453" xr:uid="{00000000-0005-0000-0000-000045C50000}"/>
    <cellStyle name="注释 2 10 6 2 5" xfId="50454" xr:uid="{00000000-0005-0000-0000-000046C50000}"/>
    <cellStyle name="注释 2 10 6 2 5 2" xfId="50455" xr:uid="{00000000-0005-0000-0000-000047C50000}"/>
    <cellStyle name="注释 2 10 6 2 6" xfId="41326" xr:uid="{00000000-0005-0000-0000-00009EA10000}"/>
    <cellStyle name="注释 2 10 6 2 7" xfId="29546" xr:uid="{00000000-0005-0000-0000-00009A730000}"/>
    <cellStyle name="注释 2 10 6 2 8" xfId="50456" xr:uid="{00000000-0005-0000-0000-000048C50000}"/>
    <cellStyle name="注释 2 10 6 2 9" xfId="50457" xr:uid="{00000000-0005-0000-0000-000049C50000}"/>
    <cellStyle name="注释 2 10 6 3" xfId="50458" xr:uid="{00000000-0005-0000-0000-00004AC50000}"/>
    <cellStyle name="注释 2 10 6 3 2" xfId="50459" xr:uid="{00000000-0005-0000-0000-00004BC50000}"/>
    <cellStyle name="注释 2 10 6 3 2 2" xfId="50460" xr:uid="{00000000-0005-0000-0000-00004CC50000}"/>
    <cellStyle name="注释 2 10 6 3 3" xfId="50461" xr:uid="{00000000-0005-0000-0000-00004DC50000}"/>
    <cellStyle name="注释 2 10 6 3 3 2" xfId="50462" xr:uid="{00000000-0005-0000-0000-00004EC50000}"/>
    <cellStyle name="注释 2 10 6 3 4" xfId="50463" xr:uid="{00000000-0005-0000-0000-00004FC50000}"/>
    <cellStyle name="注释 2 10 6 3 4 2" xfId="50464" xr:uid="{00000000-0005-0000-0000-000050C50000}"/>
    <cellStyle name="注释 2 10 6 3 5" xfId="50465" xr:uid="{00000000-0005-0000-0000-000051C50000}"/>
    <cellStyle name="注释 2 10 6 3 5 2" xfId="50466" xr:uid="{00000000-0005-0000-0000-000052C50000}"/>
    <cellStyle name="注释 2 10 6 3 6" xfId="41329" xr:uid="{00000000-0005-0000-0000-0000A1A10000}"/>
    <cellStyle name="注释 2 10 6 4" xfId="42878" xr:uid="{00000000-0005-0000-0000-0000AEA70000}"/>
    <cellStyle name="注释 2 10 6 4 2" xfId="50467" xr:uid="{00000000-0005-0000-0000-000053C50000}"/>
    <cellStyle name="注释 2 10 6 4 2 2" xfId="44764" xr:uid="{00000000-0005-0000-0000-00000CAF0000}"/>
    <cellStyle name="注释 2 10 6 4 3" xfId="50468" xr:uid="{00000000-0005-0000-0000-000054C50000}"/>
    <cellStyle name="注释 2 10 6 4 3 2" xfId="50469" xr:uid="{00000000-0005-0000-0000-000055C50000}"/>
    <cellStyle name="注释 2 10 6 4 4" xfId="38031" xr:uid="{00000000-0005-0000-0000-0000BF940000}"/>
    <cellStyle name="注释 2 10 6 4 4 2" xfId="50470" xr:uid="{00000000-0005-0000-0000-000056C50000}"/>
    <cellStyle name="注释 2 10 6 4 5" xfId="50471" xr:uid="{00000000-0005-0000-0000-000057C50000}"/>
    <cellStyle name="注释 2 10 6 4 5 2" xfId="50472" xr:uid="{00000000-0005-0000-0000-000058C50000}"/>
    <cellStyle name="注释 2 10 6 4 6" xfId="41332" xr:uid="{00000000-0005-0000-0000-0000A4A10000}"/>
    <cellStyle name="注释 2 10 6 5" xfId="50473" xr:uid="{00000000-0005-0000-0000-000059C50000}"/>
    <cellStyle name="注释 2 10 6 5 2" xfId="50474" xr:uid="{00000000-0005-0000-0000-00005AC50000}"/>
    <cellStyle name="注释 2 10 6 5 2 2" xfId="50475" xr:uid="{00000000-0005-0000-0000-00005BC50000}"/>
    <cellStyle name="注释 2 10 6 5 3" xfId="50476" xr:uid="{00000000-0005-0000-0000-00005CC50000}"/>
    <cellStyle name="注释 2 10 6 5 3 2" xfId="50477" xr:uid="{00000000-0005-0000-0000-00005DC50000}"/>
    <cellStyle name="注释 2 10 6 5 4" xfId="37116" xr:uid="{00000000-0005-0000-0000-00002C910000}"/>
    <cellStyle name="注释 2 10 6 5 4 2" xfId="50478" xr:uid="{00000000-0005-0000-0000-00005EC50000}"/>
    <cellStyle name="注释 2 10 6 5 5" xfId="50479" xr:uid="{00000000-0005-0000-0000-00005FC50000}"/>
    <cellStyle name="注释 2 10 6 5 5 2" xfId="50480" xr:uid="{00000000-0005-0000-0000-000060C50000}"/>
    <cellStyle name="注释 2 10 6 5 6" xfId="50481" xr:uid="{00000000-0005-0000-0000-000061C50000}"/>
    <cellStyle name="注释 2 10 6 6" xfId="50482" xr:uid="{00000000-0005-0000-0000-000062C50000}"/>
    <cellStyle name="注释 2 10 6 6 2" xfId="50483" xr:uid="{00000000-0005-0000-0000-000063C50000}"/>
    <cellStyle name="注释 2 10 6 6 2 2" xfId="50484" xr:uid="{00000000-0005-0000-0000-000064C50000}"/>
    <cellStyle name="注释 2 10 6 6 3" xfId="50485" xr:uid="{00000000-0005-0000-0000-000065C50000}"/>
    <cellStyle name="注释 2 10 6 6 3 2" xfId="50486" xr:uid="{00000000-0005-0000-0000-000066C50000}"/>
    <cellStyle name="注释 2 10 6 6 4" xfId="37119" xr:uid="{00000000-0005-0000-0000-00002F910000}"/>
    <cellStyle name="注释 2 10 6 6 4 2" xfId="50487" xr:uid="{00000000-0005-0000-0000-000067C50000}"/>
    <cellStyle name="注释 2 10 6 6 5" xfId="50488" xr:uid="{00000000-0005-0000-0000-000068C50000}"/>
    <cellStyle name="注释 2 10 6 6 5 2" xfId="50489" xr:uid="{00000000-0005-0000-0000-000069C50000}"/>
    <cellStyle name="注释 2 10 6 6 6" xfId="50490" xr:uid="{00000000-0005-0000-0000-00006AC50000}"/>
    <cellStyle name="注释 2 10 6 7" xfId="33948" xr:uid="{00000000-0005-0000-0000-0000CC840000}"/>
    <cellStyle name="注释 2 10 6 7 2" xfId="50491" xr:uid="{00000000-0005-0000-0000-00006BC50000}"/>
    <cellStyle name="注释 2 10 6 7 2 2" xfId="970" xr:uid="{00000000-0005-0000-0000-0000FA030000}"/>
    <cellStyle name="注释 2 10 6 7 3" xfId="49084" xr:uid="{00000000-0005-0000-0000-0000ECBF0000}"/>
    <cellStyle name="注释 2 10 6 7 3 2" xfId="983" xr:uid="{00000000-0005-0000-0000-000007040000}"/>
    <cellStyle name="注释 2 10 6 7 4" xfId="37125" xr:uid="{00000000-0005-0000-0000-000035910000}"/>
    <cellStyle name="注释 2 10 6 7 4 2" xfId="1003" xr:uid="{00000000-0005-0000-0000-00001B040000}"/>
    <cellStyle name="注释 2 10 6 7 5" xfId="50492" xr:uid="{00000000-0005-0000-0000-00006CC50000}"/>
    <cellStyle name="注释 2 10 6 7 5 2" xfId="50493" xr:uid="{00000000-0005-0000-0000-00006DC50000}"/>
    <cellStyle name="注释 2 10 6 7 6" xfId="50494" xr:uid="{00000000-0005-0000-0000-00006EC50000}"/>
    <cellStyle name="注释 2 10 6 8" xfId="13453" xr:uid="{00000000-0005-0000-0000-0000BD340000}"/>
    <cellStyle name="注释 2 10 6 8 2" xfId="13457" xr:uid="{00000000-0005-0000-0000-0000C1340000}"/>
    <cellStyle name="注释 2 10 6 8 2 2" xfId="50495" xr:uid="{00000000-0005-0000-0000-00006FC50000}"/>
    <cellStyle name="注释 2 10 6 8 3" xfId="49087" xr:uid="{00000000-0005-0000-0000-0000EFBF0000}"/>
    <cellStyle name="注释 2 10 6 8 3 2" xfId="50496" xr:uid="{00000000-0005-0000-0000-000070C50000}"/>
    <cellStyle name="注释 2 10 6 8 4" xfId="37129" xr:uid="{00000000-0005-0000-0000-000039910000}"/>
    <cellStyle name="注释 2 10 6 8 4 2" xfId="50497" xr:uid="{00000000-0005-0000-0000-000071C50000}"/>
    <cellStyle name="注释 2 10 6 8 5" xfId="50498" xr:uid="{00000000-0005-0000-0000-000072C50000}"/>
    <cellStyle name="注释 2 10 6 9" xfId="13463" xr:uid="{00000000-0005-0000-0000-0000C7340000}"/>
    <cellStyle name="注释 2 10 6 9 2" xfId="13468" xr:uid="{00000000-0005-0000-0000-0000CC340000}"/>
    <cellStyle name="注释 2 10 7" xfId="50499" xr:uid="{00000000-0005-0000-0000-000073C50000}"/>
    <cellStyle name="注释 2 10 7 10" xfId="36591" xr:uid="{00000000-0005-0000-0000-00001F8F0000}"/>
    <cellStyle name="注释 2 10 7 10 2" xfId="36594" xr:uid="{00000000-0005-0000-0000-0000228F0000}"/>
    <cellStyle name="注释 2 10 7 11" xfId="36596" xr:uid="{00000000-0005-0000-0000-0000248F0000}"/>
    <cellStyle name="注释 2 10 7 11 2" xfId="36599" xr:uid="{00000000-0005-0000-0000-0000278F0000}"/>
    <cellStyle name="注释 2 10 7 12" xfId="36601" xr:uid="{00000000-0005-0000-0000-0000298F0000}"/>
    <cellStyle name="注释 2 10 7 12 2" xfId="42865" xr:uid="{00000000-0005-0000-0000-0000A1A70000}"/>
    <cellStyle name="注释 2 10 7 13" xfId="50500" xr:uid="{00000000-0005-0000-0000-000074C50000}"/>
    <cellStyle name="注释 2 10 7 14" xfId="50501" xr:uid="{00000000-0005-0000-0000-000075C50000}"/>
    <cellStyle name="注释 2 10 7 15" xfId="50502" xr:uid="{00000000-0005-0000-0000-000076C50000}"/>
    <cellStyle name="注释 2 10 7 16" xfId="50503" xr:uid="{00000000-0005-0000-0000-000077C50000}"/>
    <cellStyle name="注释 2 10 7 2" xfId="50504" xr:uid="{00000000-0005-0000-0000-000078C50000}"/>
    <cellStyle name="注释 2 10 7 2 2" xfId="50505" xr:uid="{00000000-0005-0000-0000-000079C50000}"/>
    <cellStyle name="注释 2 10 7 2 2 2" xfId="50506" xr:uid="{00000000-0005-0000-0000-00007AC50000}"/>
    <cellStyle name="注释 2 10 7 2 3" xfId="50507" xr:uid="{00000000-0005-0000-0000-00007BC50000}"/>
    <cellStyle name="注释 2 10 7 2 3 2" xfId="50508" xr:uid="{00000000-0005-0000-0000-00007CC50000}"/>
    <cellStyle name="注释 2 10 7 2 4" xfId="50509" xr:uid="{00000000-0005-0000-0000-00007DC50000}"/>
    <cellStyle name="注释 2 10 7 2 4 2" xfId="16168" xr:uid="{00000000-0005-0000-0000-0000583F0000}"/>
    <cellStyle name="注释 2 10 7 2 5" xfId="50510" xr:uid="{00000000-0005-0000-0000-00007EC50000}"/>
    <cellStyle name="注释 2 10 7 2 5 2" xfId="50511" xr:uid="{00000000-0005-0000-0000-00007FC50000}"/>
    <cellStyle name="注释 2 10 7 2 6" xfId="50513" xr:uid="{00000000-0005-0000-0000-000081C50000}"/>
    <cellStyle name="注释 2 10 7 2 7" xfId="29565" xr:uid="{00000000-0005-0000-0000-0000AD730000}"/>
    <cellStyle name="注释 2 10 7 2 8" xfId="6435" xr:uid="{00000000-0005-0000-0000-000053190000}"/>
    <cellStyle name="注释 2 10 7 2 9" xfId="50514" xr:uid="{00000000-0005-0000-0000-000082C50000}"/>
    <cellStyle name="注释 2 10 7 3" xfId="50515" xr:uid="{00000000-0005-0000-0000-000083C50000}"/>
    <cellStyle name="注释 2 10 7 3 2" xfId="50516" xr:uid="{00000000-0005-0000-0000-000084C50000}"/>
    <cellStyle name="注释 2 10 7 3 2 2" xfId="50517" xr:uid="{00000000-0005-0000-0000-000085C50000}"/>
    <cellStyle name="注释 2 10 7 3 3" xfId="50518" xr:uid="{00000000-0005-0000-0000-000086C50000}"/>
    <cellStyle name="注释 2 10 7 3 3 2" xfId="50519" xr:uid="{00000000-0005-0000-0000-000087C50000}"/>
    <cellStyle name="注释 2 10 7 3 4" xfId="50520" xr:uid="{00000000-0005-0000-0000-000088C50000}"/>
    <cellStyle name="注释 2 10 7 3 4 2" xfId="16885" xr:uid="{00000000-0005-0000-0000-000025420000}"/>
    <cellStyle name="注释 2 10 7 3 5" xfId="50521" xr:uid="{00000000-0005-0000-0000-000089C50000}"/>
    <cellStyle name="注释 2 10 7 3 5 2" xfId="50522" xr:uid="{00000000-0005-0000-0000-00008AC50000}"/>
    <cellStyle name="注释 2 10 7 3 6" xfId="50523" xr:uid="{00000000-0005-0000-0000-00008BC50000}"/>
    <cellStyle name="注释 2 10 7 4" xfId="42880" xr:uid="{00000000-0005-0000-0000-0000B0A70000}"/>
    <cellStyle name="注释 2 10 7 4 2" xfId="50524" xr:uid="{00000000-0005-0000-0000-00008CC50000}"/>
    <cellStyle name="注释 2 10 7 4 2 2" xfId="50525" xr:uid="{00000000-0005-0000-0000-00008DC50000}"/>
    <cellStyle name="注释 2 10 7 4 3" xfId="50526" xr:uid="{00000000-0005-0000-0000-00008EC50000}"/>
    <cellStyle name="注释 2 10 7 4 3 2" xfId="50527" xr:uid="{00000000-0005-0000-0000-00008FC50000}"/>
    <cellStyle name="注释 2 10 7 4 4" xfId="38034" xr:uid="{00000000-0005-0000-0000-0000C2940000}"/>
    <cellStyle name="注释 2 10 7 4 4 2" xfId="50528" xr:uid="{00000000-0005-0000-0000-000090C50000}"/>
    <cellStyle name="注释 2 10 7 4 5" xfId="50529" xr:uid="{00000000-0005-0000-0000-000091C50000}"/>
    <cellStyle name="注释 2 10 7 4 5 2" xfId="50530" xr:uid="{00000000-0005-0000-0000-000092C50000}"/>
    <cellStyle name="注释 2 10 7 4 6" xfId="50531" xr:uid="{00000000-0005-0000-0000-000093C50000}"/>
    <cellStyle name="注释 2 10 7 5" xfId="50532" xr:uid="{00000000-0005-0000-0000-000094C50000}"/>
    <cellStyle name="注释 2 10 7 5 2" xfId="50533" xr:uid="{00000000-0005-0000-0000-000095C50000}"/>
    <cellStyle name="注释 2 10 7 5 2 2" xfId="50534" xr:uid="{00000000-0005-0000-0000-000096C50000}"/>
    <cellStyle name="注释 2 10 7 5 3" xfId="50535" xr:uid="{00000000-0005-0000-0000-000097C50000}"/>
    <cellStyle name="注释 2 10 7 5 3 2" xfId="50536" xr:uid="{00000000-0005-0000-0000-000098C50000}"/>
    <cellStyle name="注释 2 10 7 5 4" xfId="37138" xr:uid="{00000000-0005-0000-0000-000042910000}"/>
    <cellStyle name="注释 2 10 7 5 4 2" xfId="50537" xr:uid="{00000000-0005-0000-0000-000099C50000}"/>
    <cellStyle name="注释 2 10 7 5 5" xfId="50538" xr:uid="{00000000-0005-0000-0000-00009AC50000}"/>
    <cellStyle name="注释 2 10 7 5 5 2" xfId="50539" xr:uid="{00000000-0005-0000-0000-00009BC50000}"/>
    <cellStyle name="注释 2 10 7 5 6" xfId="50540" xr:uid="{00000000-0005-0000-0000-00009CC50000}"/>
    <cellStyle name="注释 2 10 7 6" xfId="50541" xr:uid="{00000000-0005-0000-0000-00009DC50000}"/>
    <cellStyle name="注释 2 10 7 6 2" xfId="50542" xr:uid="{00000000-0005-0000-0000-00009EC50000}"/>
    <cellStyle name="注释 2 10 7 6 2 2" xfId="50543" xr:uid="{00000000-0005-0000-0000-00009FC50000}"/>
    <cellStyle name="注释 2 10 7 6 3" xfId="50544" xr:uid="{00000000-0005-0000-0000-0000A0C50000}"/>
    <cellStyle name="注释 2 10 7 6 3 2" xfId="50545" xr:uid="{00000000-0005-0000-0000-0000A1C50000}"/>
    <cellStyle name="注释 2 10 7 6 4" xfId="37141" xr:uid="{00000000-0005-0000-0000-000045910000}"/>
    <cellStyle name="注释 2 10 7 6 4 2" xfId="50546" xr:uid="{00000000-0005-0000-0000-0000A2C50000}"/>
    <cellStyle name="注释 2 10 7 6 5" xfId="50547" xr:uid="{00000000-0005-0000-0000-0000A3C50000}"/>
    <cellStyle name="注释 2 10 7 6 5 2" xfId="50548" xr:uid="{00000000-0005-0000-0000-0000A4C50000}"/>
    <cellStyle name="注释 2 10 7 6 6" xfId="50549" xr:uid="{00000000-0005-0000-0000-0000A5C50000}"/>
    <cellStyle name="注释 2 10 7 7" xfId="6852" xr:uid="{00000000-0005-0000-0000-0000F41A0000}"/>
    <cellStyle name="注释 2 10 7 7 2" xfId="50550" xr:uid="{00000000-0005-0000-0000-0000A6C50000}"/>
    <cellStyle name="注释 2 10 7 7 2 2" xfId="50551" xr:uid="{00000000-0005-0000-0000-0000A7C50000}"/>
    <cellStyle name="注释 2 10 7 7 3" xfId="49092" xr:uid="{00000000-0005-0000-0000-0000F4BF0000}"/>
    <cellStyle name="注释 2 10 7 7 3 2" xfId="50552" xr:uid="{00000000-0005-0000-0000-0000A8C50000}"/>
    <cellStyle name="注释 2 10 7 7 4" xfId="21782" xr:uid="{00000000-0005-0000-0000-000046550000}"/>
    <cellStyle name="注释 2 10 7 7 4 2" xfId="17782" xr:uid="{00000000-0005-0000-0000-0000A6450000}"/>
    <cellStyle name="注释 2 10 7 7 5" xfId="50553" xr:uid="{00000000-0005-0000-0000-0000A9C50000}"/>
    <cellStyle name="注释 2 10 7 7 5 2" xfId="50554" xr:uid="{00000000-0005-0000-0000-0000AAC50000}"/>
    <cellStyle name="注释 2 10 7 7 6" xfId="50555" xr:uid="{00000000-0005-0000-0000-0000ABC50000}"/>
    <cellStyle name="注释 2 10 7 8" xfId="50556" xr:uid="{00000000-0005-0000-0000-0000ACC50000}"/>
    <cellStyle name="注释 2 10 7 8 2" xfId="50557" xr:uid="{00000000-0005-0000-0000-0000ADC50000}"/>
    <cellStyle name="注释 2 10 7 8 2 2" xfId="50558" xr:uid="{00000000-0005-0000-0000-0000AEC50000}"/>
    <cellStyle name="注释 2 10 7 8 3" xfId="49094" xr:uid="{00000000-0005-0000-0000-0000F6BF0000}"/>
    <cellStyle name="注释 2 10 7 8 3 2" xfId="50559" xr:uid="{00000000-0005-0000-0000-0000AFC50000}"/>
    <cellStyle name="注释 2 10 7 8 4" xfId="37146" xr:uid="{00000000-0005-0000-0000-00004A910000}"/>
    <cellStyle name="注释 2 10 7 8 4 2" xfId="14245" xr:uid="{00000000-0005-0000-0000-0000D5370000}"/>
    <cellStyle name="注释 2 10 7 8 5" xfId="50560" xr:uid="{00000000-0005-0000-0000-0000B0C50000}"/>
    <cellStyle name="注释 2 10 7 9" xfId="50561" xr:uid="{00000000-0005-0000-0000-0000B1C50000}"/>
    <cellStyle name="注释 2 10 7 9 2" xfId="35628" xr:uid="{00000000-0005-0000-0000-00005C8B0000}"/>
    <cellStyle name="注释 2 10 8" xfId="50563" xr:uid="{00000000-0005-0000-0000-0000B3C50000}"/>
    <cellStyle name="注释 2 10 8 10" xfId="40911" xr:uid="{00000000-0005-0000-0000-0000FF9F0000}"/>
    <cellStyle name="注释 2 10 8 10 2" xfId="43155" xr:uid="{00000000-0005-0000-0000-0000C3A80000}"/>
    <cellStyle name="注释 2 10 8 11" xfId="50564" xr:uid="{00000000-0005-0000-0000-0000B4C50000}"/>
    <cellStyle name="注释 2 10 8 11 2" xfId="19763" xr:uid="{00000000-0005-0000-0000-0000634D0000}"/>
    <cellStyle name="注释 2 10 8 12" xfId="50565" xr:uid="{00000000-0005-0000-0000-0000B5C50000}"/>
    <cellStyle name="注释 2 10 8 12 2" xfId="43167" xr:uid="{00000000-0005-0000-0000-0000CFA80000}"/>
    <cellStyle name="注释 2 10 8 13" xfId="30057" xr:uid="{00000000-0005-0000-0000-000099750000}"/>
    <cellStyle name="注释 2 10 8 14" xfId="22906" xr:uid="{00000000-0005-0000-0000-0000AA590000}"/>
    <cellStyle name="注释 2 10 8 15" xfId="30068" xr:uid="{00000000-0005-0000-0000-0000A4750000}"/>
    <cellStyle name="注释 2 10 8 16" xfId="30075" xr:uid="{00000000-0005-0000-0000-0000AB750000}"/>
    <cellStyle name="注释 2 10 8 2" xfId="50566" xr:uid="{00000000-0005-0000-0000-0000B6C50000}"/>
    <cellStyle name="注释 2 10 8 2 2" xfId="50567" xr:uid="{00000000-0005-0000-0000-0000B7C50000}"/>
    <cellStyle name="注释 2 10 8 2 2 2" xfId="50568" xr:uid="{00000000-0005-0000-0000-0000B8C50000}"/>
    <cellStyle name="注释 2 10 8 2 3" xfId="50569" xr:uid="{00000000-0005-0000-0000-0000B9C50000}"/>
    <cellStyle name="注释 2 10 8 2 3 2" xfId="50570" xr:uid="{00000000-0005-0000-0000-0000BAC50000}"/>
    <cellStyle name="注释 2 10 8 2 4" xfId="50571" xr:uid="{00000000-0005-0000-0000-0000BBC50000}"/>
    <cellStyle name="注释 2 10 8 2 4 2" xfId="23051" xr:uid="{00000000-0005-0000-0000-00003B5A0000}"/>
    <cellStyle name="注释 2 10 8 2 5" xfId="50572" xr:uid="{00000000-0005-0000-0000-0000BCC50000}"/>
    <cellStyle name="注释 2 10 8 2 5 2" xfId="50573" xr:uid="{00000000-0005-0000-0000-0000BDC50000}"/>
    <cellStyle name="注释 2 10 8 2 6" xfId="50574" xr:uid="{00000000-0005-0000-0000-0000BEC50000}"/>
    <cellStyle name="注释 2 10 8 2 7" xfId="29588" xr:uid="{00000000-0005-0000-0000-0000C4730000}"/>
    <cellStyle name="注释 2 10 8 2 8" xfId="8545" xr:uid="{00000000-0005-0000-0000-000091210000}"/>
    <cellStyle name="注释 2 10 8 2 9" xfId="50575" xr:uid="{00000000-0005-0000-0000-0000BFC50000}"/>
    <cellStyle name="注释 2 10 8 3" xfId="50576" xr:uid="{00000000-0005-0000-0000-0000C0C50000}"/>
    <cellStyle name="注释 2 10 8 3 2" xfId="50577" xr:uid="{00000000-0005-0000-0000-0000C1C50000}"/>
    <cellStyle name="注释 2 10 8 3 2 2" xfId="50578" xr:uid="{00000000-0005-0000-0000-0000C2C50000}"/>
    <cellStyle name="注释 2 10 8 3 3" xfId="50579" xr:uid="{00000000-0005-0000-0000-0000C3C50000}"/>
    <cellStyle name="注释 2 10 8 3 3 2" xfId="50580" xr:uid="{00000000-0005-0000-0000-0000C4C50000}"/>
    <cellStyle name="注释 2 10 8 3 4" xfId="50581" xr:uid="{00000000-0005-0000-0000-0000C5C50000}"/>
    <cellStyle name="注释 2 10 8 3 4 2" xfId="23502" xr:uid="{00000000-0005-0000-0000-0000FE5B0000}"/>
    <cellStyle name="注释 2 10 8 3 5" xfId="50582" xr:uid="{00000000-0005-0000-0000-0000C6C50000}"/>
    <cellStyle name="注释 2 10 8 3 5 2" xfId="50583" xr:uid="{00000000-0005-0000-0000-0000C7C50000}"/>
    <cellStyle name="注释 2 10 8 3 6" xfId="50584" xr:uid="{00000000-0005-0000-0000-0000C8C50000}"/>
    <cellStyle name="注释 2 10 8 4" xfId="50585" xr:uid="{00000000-0005-0000-0000-0000C9C50000}"/>
    <cellStyle name="注释 2 10 8 4 2" xfId="50586" xr:uid="{00000000-0005-0000-0000-0000CAC50000}"/>
    <cellStyle name="注释 2 10 8 4 2 2" xfId="50587" xr:uid="{00000000-0005-0000-0000-0000CBC50000}"/>
    <cellStyle name="注释 2 10 8 4 3" xfId="50588" xr:uid="{00000000-0005-0000-0000-0000CCC50000}"/>
    <cellStyle name="注释 2 10 8 4 3 2" xfId="50589" xr:uid="{00000000-0005-0000-0000-0000CDC50000}"/>
    <cellStyle name="注释 2 10 8 4 4" xfId="50590" xr:uid="{00000000-0005-0000-0000-0000CEC50000}"/>
    <cellStyle name="注释 2 10 8 4 4 2" xfId="50591" xr:uid="{00000000-0005-0000-0000-0000CFC50000}"/>
    <cellStyle name="注释 2 10 8 4 5" xfId="50592" xr:uid="{00000000-0005-0000-0000-0000D0C50000}"/>
    <cellStyle name="注释 2 10 8 4 5 2" xfId="50593" xr:uid="{00000000-0005-0000-0000-0000D1C50000}"/>
    <cellStyle name="注释 2 10 8 4 6" xfId="50594" xr:uid="{00000000-0005-0000-0000-0000D2C50000}"/>
    <cellStyle name="注释 2 10 8 5" xfId="39877" xr:uid="{00000000-0005-0000-0000-0000F59B0000}"/>
    <cellStyle name="注释 2 10 8 5 2" xfId="50595" xr:uid="{00000000-0005-0000-0000-0000D3C50000}"/>
    <cellStyle name="注释 2 10 8 5 2 2" xfId="50596" xr:uid="{00000000-0005-0000-0000-0000D4C50000}"/>
    <cellStyle name="注释 2 10 8 5 3" xfId="50597" xr:uid="{00000000-0005-0000-0000-0000D5C50000}"/>
    <cellStyle name="注释 2 10 8 5 3 2" xfId="50598" xr:uid="{00000000-0005-0000-0000-0000D6C50000}"/>
    <cellStyle name="注释 2 10 8 5 4" xfId="37151" xr:uid="{00000000-0005-0000-0000-00004F910000}"/>
    <cellStyle name="注释 2 10 8 5 4 2" xfId="50599" xr:uid="{00000000-0005-0000-0000-0000D7C50000}"/>
    <cellStyle name="注释 2 10 8 5 5" xfId="50600" xr:uid="{00000000-0005-0000-0000-0000D8C50000}"/>
    <cellStyle name="注释 2 10 8 5 5 2" xfId="50601" xr:uid="{00000000-0005-0000-0000-0000D9C50000}"/>
    <cellStyle name="注释 2 10 8 5 6" xfId="50602" xr:uid="{00000000-0005-0000-0000-0000DAC50000}"/>
    <cellStyle name="注释 2 10 8 6" xfId="50603" xr:uid="{00000000-0005-0000-0000-0000DBC50000}"/>
    <cellStyle name="注释 2 10 8 6 2" xfId="50604" xr:uid="{00000000-0005-0000-0000-0000DCC50000}"/>
    <cellStyle name="注释 2 10 8 6 2 2" xfId="50605" xr:uid="{00000000-0005-0000-0000-0000DDC50000}"/>
    <cellStyle name="注释 2 10 8 6 3" xfId="50606" xr:uid="{00000000-0005-0000-0000-0000DEC50000}"/>
    <cellStyle name="注释 2 10 8 6 3 2" xfId="50607" xr:uid="{00000000-0005-0000-0000-0000DFC50000}"/>
    <cellStyle name="注释 2 10 8 6 4" xfId="37154" xr:uid="{00000000-0005-0000-0000-000052910000}"/>
    <cellStyle name="注释 2 10 8 6 4 2" xfId="50608" xr:uid="{00000000-0005-0000-0000-0000E0C50000}"/>
    <cellStyle name="注释 2 10 8 6 5" xfId="50609" xr:uid="{00000000-0005-0000-0000-0000E1C50000}"/>
    <cellStyle name="注释 2 10 8 6 5 2" xfId="50610" xr:uid="{00000000-0005-0000-0000-0000E2C50000}"/>
    <cellStyle name="注释 2 10 8 6 6" xfId="50611" xr:uid="{00000000-0005-0000-0000-0000E3C50000}"/>
    <cellStyle name="注释 2 10 8 7" xfId="44773" xr:uid="{00000000-0005-0000-0000-000015AF0000}"/>
    <cellStyle name="注释 2 10 8 7 2" xfId="50612" xr:uid="{00000000-0005-0000-0000-0000E4C50000}"/>
    <cellStyle name="注释 2 10 8 7 2 2" xfId="50613" xr:uid="{00000000-0005-0000-0000-0000E5C50000}"/>
    <cellStyle name="注释 2 10 8 7 3" xfId="49098" xr:uid="{00000000-0005-0000-0000-0000FABF0000}"/>
    <cellStyle name="注释 2 10 8 7 3 2" xfId="50614" xr:uid="{00000000-0005-0000-0000-0000E6C50000}"/>
    <cellStyle name="注释 2 10 8 7 4" xfId="22387" xr:uid="{00000000-0005-0000-0000-0000A3570000}"/>
    <cellStyle name="注释 2 10 8 7 4 2" xfId="50615" xr:uid="{00000000-0005-0000-0000-0000E7C50000}"/>
    <cellStyle name="注释 2 10 8 7 5" xfId="50616" xr:uid="{00000000-0005-0000-0000-0000E8C50000}"/>
    <cellStyle name="注释 2 10 8 7 5 2" xfId="50617" xr:uid="{00000000-0005-0000-0000-0000E9C50000}"/>
    <cellStyle name="注释 2 10 8 7 6" xfId="50618" xr:uid="{00000000-0005-0000-0000-0000EAC50000}"/>
    <cellStyle name="注释 2 10 8 8" xfId="27398" xr:uid="{00000000-0005-0000-0000-0000366B0000}"/>
    <cellStyle name="注释 2 10 8 8 2" xfId="50619" xr:uid="{00000000-0005-0000-0000-0000EBC50000}"/>
    <cellStyle name="注释 2 10 8 8 2 2" xfId="50620" xr:uid="{00000000-0005-0000-0000-0000ECC50000}"/>
    <cellStyle name="注释 2 10 8 8 3" xfId="49100" xr:uid="{00000000-0005-0000-0000-0000FCBF0000}"/>
    <cellStyle name="注释 2 10 8 8 3 2" xfId="50621" xr:uid="{00000000-0005-0000-0000-0000EDC50000}"/>
    <cellStyle name="注释 2 10 8 8 4" xfId="50622" xr:uid="{00000000-0005-0000-0000-0000EEC50000}"/>
    <cellStyle name="注释 2 10 8 8 4 2" xfId="50623" xr:uid="{00000000-0005-0000-0000-0000EFC50000}"/>
    <cellStyle name="注释 2 10 8 8 5" xfId="50624" xr:uid="{00000000-0005-0000-0000-0000F0C50000}"/>
    <cellStyle name="注释 2 10 8 9" xfId="2288" xr:uid="{00000000-0005-0000-0000-000020090000}"/>
    <cellStyle name="注释 2 10 8 9 2" xfId="35652" xr:uid="{00000000-0005-0000-0000-0000748B0000}"/>
    <cellStyle name="注释 2 10 9" xfId="50625" xr:uid="{00000000-0005-0000-0000-0000F1C50000}"/>
    <cellStyle name="注释 2 10 9 10" xfId="50626" xr:uid="{00000000-0005-0000-0000-0000F2C50000}"/>
    <cellStyle name="注释 2 10 9 10 2" xfId="50627" xr:uid="{00000000-0005-0000-0000-0000F3C50000}"/>
    <cellStyle name="注释 2 10 9 11" xfId="21586" xr:uid="{00000000-0005-0000-0000-000082540000}"/>
    <cellStyle name="注释 2 10 9 11 2" xfId="1640" xr:uid="{00000000-0005-0000-0000-000098060000}"/>
    <cellStyle name="注释 2 10 9 12" xfId="21589" xr:uid="{00000000-0005-0000-0000-000085540000}"/>
    <cellStyle name="注释 2 10 9 12 2" xfId="21592" xr:uid="{00000000-0005-0000-0000-000088540000}"/>
    <cellStyle name="注释 2 10 9 13" xfId="21601" xr:uid="{00000000-0005-0000-0000-000091540000}"/>
    <cellStyle name="注释 2 10 9 14" xfId="26144" xr:uid="{00000000-0005-0000-0000-000050660000}"/>
    <cellStyle name="注释 2 10 9 15" xfId="15552" xr:uid="{00000000-0005-0000-0000-0000F03C0000}"/>
    <cellStyle name="注释 2 10 9 16" xfId="30160" xr:uid="{00000000-0005-0000-0000-000000760000}"/>
    <cellStyle name="注释 2 10 9 2" xfId="50628" xr:uid="{00000000-0005-0000-0000-0000F4C50000}"/>
    <cellStyle name="注释 2 10 9 2 2" xfId="50629" xr:uid="{00000000-0005-0000-0000-0000F5C50000}"/>
    <cellStyle name="注释 2 10 9 2 2 2" xfId="50630" xr:uid="{00000000-0005-0000-0000-0000F6C50000}"/>
    <cellStyle name="注释 2 10 9 2 3" xfId="50631" xr:uid="{00000000-0005-0000-0000-0000F7C50000}"/>
    <cellStyle name="注释 2 10 9 2 3 2" xfId="50632" xr:uid="{00000000-0005-0000-0000-0000F8C50000}"/>
    <cellStyle name="注释 2 10 9 2 4" xfId="50633" xr:uid="{00000000-0005-0000-0000-0000F9C50000}"/>
    <cellStyle name="注释 2 10 9 2 4 2" xfId="50634" xr:uid="{00000000-0005-0000-0000-0000FAC50000}"/>
    <cellStyle name="注释 2 10 9 2 5" xfId="46642" xr:uid="{00000000-0005-0000-0000-000062B60000}"/>
    <cellStyle name="注释 2 10 9 2 5 2" xfId="46644" xr:uid="{00000000-0005-0000-0000-000064B60000}"/>
    <cellStyle name="注释 2 10 9 2 6" xfId="46657" xr:uid="{00000000-0005-0000-0000-000071B60000}"/>
    <cellStyle name="注释 2 10 9 2 7" xfId="29616" xr:uid="{00000000-0005-0000-0000-0000E0730000}"/>
    <cellStyle name="注释 2 10 9 2 8" xfId="3870" xr:uid="{00000000-0005-0000-0000-00004E0F0000}"/>
    <cellStyle name="注释 2 10 9 2 9" xfId="46682" xr:uid="{00000000-0005-0000-0000-00008AB60000}"/>
    <cellStyle name="注释 2 10 9 3" xfId="50635" xr:uid="{00000000-0005-0000-0000-0000FBC50000}"/>
    <cellStyle name="注释 2 10 9 3 2" xfId="50636" xr:uid="{00000000-0005-0000-0000-0000FCC50000}"/>
    <cellStyle name="注释 2 10 9 3 2 2" xfId="50637" xr:uid="{00000000-0005-0000-0000-0000FDC50000}"/>
    <cellStyle name="注释 2 10 9 3 3" xfId="50638" xr:uid="{00000000-0005-0000-0000-0000FEC50000}"/>
    <cellStyle name="注释 2 10 9 3 3 2" xfId="50639" xr:uid="{00000000-0005-0000-0000-0000FFC50000}"/>
    <cellStyle name="注释 2 10 9 3 4" xfId="50640" xr:uid="{00000000-0005-0000-0000-000000C60000}"/>
    <cellStyle name="注释 2 10 9 3 4 2" xfId="50641" xr:uid="{00000000-0005-0000-0000-000001C60000}"/>
    <cellStyle name="注释 2 10 9 3 5" xfId="46715" xr:uid="{00000000-0005-0000-0000-0000ABB60000}"/>
    <cellStyle name="注释 2 10 9 3 5 2" xfId="46717" xr:uid="{00000000-0005-0000-0000-0000ADB60000}"/>
    <cellStyle name="注释 2 10 9 3 6" xfId="46722" xr:uid="{00000000-0005-0000-0000-0000B2B60000}"/>
    <cellStyle name="注释 2 10 9 4" xfId="50642" xr:uid="{00000000-0005-0000-0000-000002C60000}"/>
    <cellStyle name="注释 2 10 9 4 2" xfId="50643" xr:uid="{00000000-0005-0000-0000-000003C60000}"/>
    <cellStyle name="注释 2 10 9 4 2 2" xfId="50644" xr:uid="{00000000-0005-0000-0000-000004C60000}"/>
    <cellStyle name="注释 2 10 9 4 3" xfId="50645" xr:uid="{00000000-0005-0000-0000-000005C60000}"/>
    <cellStyle name="注释 2 10 9 4 3 2" xfId="50646" xr:uid="{00000000-0005-0000-0000-000006C60000}"/>
    <cellStyle name="注释 2 10 9 4 4" xfId="50647" xr:uid="{00000000-0005-0000-0000-000007C60000}"/>
    <cellStyle name="注释 2 10 9 4 4 2" xfId="50648" xr:uid="{00000000-0005-0000-0000-000008C60000}"/>
    <cellStyle name="注释 2 10 9 4 5" xfId="46783" xr:uid="{00000000-0005-0000-0000-0000EFB60000}"/>
    <cellStyle name="注释 2 10 9 4 5 2" xfId="46785" xr:uid="{00000000-0005-0000-0000-0000F1B60000}"/>
    <cellStyle name="注释 2 10 9 4 6" xfId="46787" xr:uid="{00000000-0005-0000-0000-0000F3B60000}"/>
    <cellStyle name="注释 2 10 9 5" xfId="37847" xr:uid="{00000000-0005-0000-0000-000007940000}"/>
    <cellStyle name="注释 2 10 9 5 2" xfId="50649" xr:uid="{00000000-0005-0000-0000-000009C60000}"/>
    <cellStyle name="注释 2 10 9 5 2 2" xfId="34218" xr:uid="{00000000-0005-0000-0000-0000DA850000}"/>
    <cellStyle name="注释 2 10 9 5 3" xfId="50650" xr:uid="{00000000-0005-0000-0000-00000AC60000}"/>
    <cellStyle name="注释 2 10 9 5 3 2" xfId="50651" xr:uid="{00000000-0005-0000-0000-00000BC60000}"/>
    <cellStyle name="注释 2 10 9 5 4" xfId="50652" xr:uid="{00000000-0005-0000-0000-00000CC60000}"/>
    <cellStyle name="注释 2 10 9 5 4 2" xfId="50653" xr:uid="{00000000-0005-0000-0000-00000DC60000}"/>
    <cellStyle name="注释 2 10 9 5 5" xfId="46799" xr:uid="{00000000-0005-0000-0000-0000FFB60000}"/>
    <cellStyle name="注释 2 10 9 5 5 2" xfId="46801" xr:uid="{00000000-0005-0000-0000-000001B70000}"/>
    <cellStyle name="注释 2 10 9 5 6" xfId="46803" xr:uid="{00000000-0005-0000-0000-000003B70000}"/>
    <cellStyle name="注释 2 10 9 6" xfId="50654" xr:uid="{00000000-0005-0000-0000-00000EC60000}"/>
    <cellStyle name="注释 2 10 9 6 2" xfId="50655" xr:uid="{00000000-0005-0000-0000-00000FC60000}"/>
    <cellStyle name="注释 2 10 9 6 2 2" xfId="41114" xr:uid="{00000000-0005-0000-0000-0000CAA00000}"/>
    <cellStyle name="注释 2 10 9 6 3" xfId="50656" xr:uid="{00000000-0005-0000-0000-000010C60000}"/>
    <cellStyle name="注释 2 10 9 6 3 2" xfId="41121" xr:uid="{00000000-0005-0000-0000-0000D1A00000}"/>
    <cellStyle name="注释 2 10 9 6 4" xfId="50657" xr:uid="{00000000-0005-0000-0000-000011C60000}"/>
    <cellStyle name="注释 2 10 9 6 4 2" xfId="50658" xr:uid="{00000000-0005-0000-0000-000012C60000}"/>
    <cellStyle name="注释 2 10 9 6 5" xfId="46812" xr:uid="{00000000-0005-0000-0000-00000CB70000}"/>
    <cellStyle name="注释 2 10 9 6 5 2" xfId="46814" xr:uid="{00000000-0005-0000-0000-00000EB70000}"/>
    <cellStyle name="注释 2 10 9 6 6" xfId="46816" xr:uid="{00000000-0005-0000-0000-000010B70000}"/>
    <cellStyle name="注释 2 10 9 7" xfId="50659" xr:uid="{00000000-0005-0000-0000-000013C60000}"/>
    <cellStyle name="注释 2 10 9 7 2" xfId="50660" xr:uid="{00000000-0005-0000-0000-000014C60000}"/>
    <cellStyle name="注释 2 10 9 7 2 2" xfId="41164" xr:uid="{00000000-0005-0000-0000-0000FCA00000}"/>
    <cellStyle name="注释 2 10 9 7 3" xfId="49104" xr:uid="{00000000-0005-0000-0000-000000C00000}"/>
    <cellStyle name="注释 2 10 9 7 3 2" xfId="41170" xr:uid="{00000000-0005-0000-0000-000002A10000}"/>
    <cellStyle name="注释 2 10 9 7 4" xfId="50661" xr:uid="{00000000-0005-0000-0000-000015C60000}"/>
    <cellStyle name="注释 2 10 9 7 4 2" xfId="34318" xr:uid="{00000000-0005-0000-0000-00003E860000}"/>
    <cellStyle name="注释 2 10 9 7 5" xfId="46827" xr:uid="{00000000-0005-0000-0000-00001BB70000}"/>
    <cellStyle name="注释 2 10 9 7 5 2" xfId="34359" xr:uid="{00000000-0005-0000-0000-000067860000}"/>
    <cellStyle name="注释 2 10 9 7 6" xfId="46829" xr:uid="{00000000-0005-0000-0000-00001DB70000}"/>
    <cellStyle name="注释 2 10 9 8" xfId="27421" xr:uid="{00000000-0005-0000-0000-00004D6B0000}"/>
    <cellStyle name="注释 2 10 9 8 2" xfId="50662" xr:uid="{00000000-0005-0000-0000-000016C60000}"/>
    <cellStyle name="注释 2 10 9 8 2 2" xfId="50663" xr:uid="{00000000-0005-0000-0000-000017C60000}"/>
    <cellStyle name="注释 2 10 9 8 3" xfId="49106" xr:uid="{00000000-0005-0000-0000-000002C00000}"/>
    <cellStyle name="注释 2 10 9 8 3 2" xfId="50664" xr:uid="{00000000-0005-0000-0000-000018C60000}"/>
    <cellStyle name="注释 2 10 9 8 4" xfId="50665" xr:uid="{00000000-0005-0000-0000-000019C60000}"/>
    <cellStyle name="注释 2 10 9 8 4 2" xfId="17711" xr:uid="{00000000-0005-0000-0000-00005F450000}"/>
    <cellStyle name="注释 2 10 9 8 5" xfId="46837" xr:uid="{00000000-0005-0000-0000-000025B70000}"/>
    <cellStyle name="注释 2 10 9 9" xfId="17893" xr:uid="{00000000-0005-0000-0000-000015460000}"/>
    <cellStyle name="注释 2 10 9 9 2" xfId="35680" xr:uid="{00000000-0005-0000-0000-0000908B0000}"/>
    <cellStyle name="注释 2 11" xfId="43600" xr:uid="{00000000-0005-0000-0000-000080AA0000}"/>
    <cellStyle name="注释 2 11 10" xfId="41903" xr:uid="{00000000-0005-0000-0000-0000DFA30000}"/>
    <cellStyle name="注释 2 11 10 10" xfId="17351" xr:uid="{00000000-0005-0000-0000-0000F7430000}"/>
    <cellStyle name="注释 2 11 10 10 2" xfId="50666" xr:uid="{00000000-0005-0000-0000-00001AC60000}"/>
    <cellStyle name="注释 2 11 10 11" xfId="20536" xr:uid="{00000000-0005-0000-0000-000068500000}"/>
    <cellStyle name="注释 2 11 10 11 2" xfId="50667" xr:uid="{00000000-0005-0000-0000-00001BC60000}"/>
    <cellStyle name="注释 2 11 10 12" xfId="50668" xr:uid="{00000000-0005-0000-0000-00001CC60000}"/>
    <cellStyle name="注释 2 11 10 12 2" xfId="50669" xr:uid="{00000000-0005-0000-0000-00001DC60000}"/>
    <cellStyle name="注释 2 11 10 13" xfId="20543" xr:uid="{00000000-0005-0000-0000-00006F500000}"/>
    <cellStyle name="注释 2 11 10 14" xfId="50671" xr:uid="{00000000-0005-0000-0000-00001FC60000}"/>
    <cellStyle name="注释 2 11 10 15" xfId="50672" xr:uid="{00000000-0005-0000-0000-000020C60000}"/>
    <cellStyle name="注释 2 11 10 16" xfId="50673" xr:uid="{00000000-0005-0000-0000-000021C60000}"/>
    <cellStyle name="注释 2 11 10 2" xfId="50675" xr:uid="{00000000-0005-0000-0000-000023C60000}"/>
    <cellStyle name="注释 2 11 10 2 2" xfId="50676" xr:uid="{00000000-0005-0000-0000-000024C60000}"/>
    <cellStyle name="注释 2 11 10 2 2 2" xfId="49934" xr:uid="{00000000-0005-0000-0000-00003EC30000}"/>
    <cellStyle name="注释 2 11 10 2 3" xfId="50677" xr:uid="{00000000-0005-0000-0000-000025C60000}"/>
    <cellStyle name="注释 2 11 10 2 3 2" xfId="35540" xr:uid="{00000000-0005-0000-0000-0000048B0000}"/>
    <cellStyle name="注释 2 11 10 2 4" xfId="50678" xr:uid="{00000000-0005-0000-0000-000026C60000}"/>
    <cellStyle name="注释 2 11 10 2 4 2" xfId="49942" xr:uid="{00000000-0005-0000-0000-000046C30000}"/>
    <cellStyle name="注释 2 11 10 2 5" xfId="50679" xr:uid="{00000000-0005-0000-0000-000027C60000}"/>
    <cellStyle name="注释 2 11 10 2 5 2" xfId="49947" xr:uid="{00000000-0005-0000-0000-00004BC30000}"/>
    <cellStyle name="注释 2 11 10 2 6" xfId="50680" xr:uid="{00000000-0005-0000-0000-000028C60000}"/>
    <cellStyle name="注释 2 11 10 2 7" xfId="50681" xr:uid="{00000000-0005-0000-0000-000029C60000}"/>
    <cellStyle name="注释 2 11 10 2 8" xfId="50682" xr:uid="{00000000-0005-0000-0000-00002AC60000}"/>
    <cellStyle name="注释 2 11 10 2 9" xfId="50684" xr:uid="{00000000-0005-0000-0000-00002CC60000}"/>
    <cellStyle name="注释 2 11 10 3" xfId="50686" xr:uid="{00000000-0005-0000-0000-00002EC60000}"/>
    <cellStyle name="注释 2 11 10 3 2" xfId="50687" xr:uid="{00000000-0005-0000-0000-00002FC60000}"/>
    <cellStyle name="注释 2 11 10 3 2 2" xfId="49975" xr:uid="{00000000-0005-0000-0000-000067C30000}"/>
    <cellStyle name="注释 2 11 10 3 3" xfId="50688" xr:uid="{00000000-0005-0000-0000-000030C60000}"/>
    <cellStyle name="注释 2 11 10 3 3 2" xfId="49983" xr:uid="{00000000-0005-0000-0000-00006FC30000}"/>
    <cellStyle name="注释 2 11 10 3 4" xfId="50689" xr:uid="{00000000-0005-0000-0000-000031C60000}"/>
    <cellStyle name="注释 2 11 10 3 4 2" xfId="49988" xr:uid="{00000000-0005-0000-0000-000074C30000}"/>
    <cellStyle name="注释 2 11 10 3 5" xfId="50690" xr:uid="{00000000-0005-0000-0000-000032C60000}"/>
    <cellStyle name="注释 2 11 10 3 5 2" xfId="49994" xr:uid="{00000000-0005-0000-0000-00007AC30000}"/>
    <cellStyle name="注释 2 11 10 3 6" xfId="50691" xr:uid="{00000000-0005-0000-0000-000033C60000}"/>
    <cellStyle name="注释 2 11 10 4" xfId="50692" xr:uid="{00000000-0005-0000-0000-000034C60000}"/>
    <cellStyle name="注释 2 11 10 4 2" xfId="50693" xr:uid="{00000000-0005-0000-0000-000035C60000}"/>
    <cellStyle name="注释 2 11 10 4 2 2" xfId="50027" xr:uid="{00000000-0005-0000-0000-00009BC30000}"/>
    <cellStyle name="注释 2 11 10 4 3" xfId="50694" xr:uid="{00000000-0005-0000-0000-000036C60000}"/>
    <cellStyle name="注释 2 11 10 4 3 2" xfId="26985" xr:uid="{00000000-0005-0000-0000-000099690000}"/>
    <cellStyle name="注释 2 11 10 4 4" xfId="50695" xr:uid="{00000000-0005-0000-0000-000037C60000}"/>
    <cellStyle name="注释 2 11 10 4 4 2" xfId="27056" xr:uid="{00000000-0005-0000-0000-0000E0690000}"/>
    <cellStyle name="注释 2 11 10 4 5" xfId="50696" xr:uid="{00000000-0005-0000-0000-000038C60000}"/>
    <cellStyle name="注释 2 11 10 4 5 2" xfId="24006" xr:uid="{00000000-0005-0000-0000-0000F65D0000}"/>
    <cellStyle name="注释 2 11 10 4 6" xfId="50697" xr:uid="{00000000-0005-0000-0000-000039C60000}"/>
    <cellStyle name="注释 2 11 10 5" xfId="50698" xr:uid="{00000000-0005-0000-0000-00003AC60000}"/>
    <cellStyle name="注释 2 11 10 5 2" xfId="50699" xr:uid="{00000000-0005-0000-0000-00003BC60000}"/>
    <cellStyle name="注释 2 11 10 5 2 2" xfId="50061" xr:uid="{00000000-0005-0000-0000-0000BDC30000}"/>
    <cellStyle name="注释 2 11 10 5 3" xfId="50700" xr:uid="{00000000-0005-0000-0000-00003CC60000}"/>
    <cellStyle name="注释 2 11 10 5 3 2" xfId="50070" xr:uid="{00000000-0005-0000-0000-0000C6C30000}"/>
    <cellStyle name="注释 2 11 10 5 4" xfId="50701" xr:uid="{00000000-0005-0000-0000-00003DC60000}"/>
    <cellStyle name="注释 2 11 10 5 4 2" xfId="50076" xr:uid="{00000000-0005-0000-0000-0000CCC30000}"/>
    <cellStyle name="注释 2 11 10 5 5" xfId="50702" xr:uid="{00000000-0005-0000-0000-00003EC60000}"/>
    <cellStyle name="注释 2 11 10 5 5 2" xfId="50083" xr:uid="{00000000-0005-0000-0000-0000D3C30000}"/>
    <cellStyle name="注释 2 11 10 5 6" xfId="50703" xr:uid="{00000000-0005-0000-0000-00003FC60000}"/>
    <cellStyle name="注释 2 11 10 6" xfId="33381" xr:uid="{00000000-0005-0000-0000-000095820000}"/>
    <cellStyle name="注释 2 11 10 6 2" xfId="50704" xr:uid="{00000000-0005-0000-0000-000040C60000}"/>
    <cellStyle name="注释 2 11 10 6 2 2" xfId="50705" xr:uid="{00000000-0005-0000-0000-000041C60000}"/>
    <cellStyle name="注释 2 11 10 6 3" xfId="50706" xr:uid="{00000000-0005-0000-0000-000042C60000}"/>
    <cellStyle name="注释 2 11 10 6 3 2" xfId="50707" xr:uid="{00000000-0005-0000-0000-000043C60000}"/>
    <cellStyle name="注释 2 11 10 6 4" xfId="50708" xr:uid="{00000000-0005-0000-0000-000044C60000}"/>
    <cellStyle name="注释 2 11 10 6 4 2" xfId="50709" xr:uid="{00000000-0005-0000-0000-000045C60000}"/>
    <cellStyle name="注释 2 11 10 6 5" xfId="50710" xr:uid="{00000000-0005-0000-0000-000046C60000}"/>
    <cellStyle name="注释 2 11 10 6 5 2" xfId="50711" xr:uid="{00000000-0005-0000-0000-000047C60000}"/>
    <cellStyle name="注释 2 11 10 6 6" xfId="50712" xr:uid="{00000000-0005-0000-0000-000048C60000}"/>
    <cellStyle name="注释 2 11 10 7" xfId="50713" xr:uid="{00000000-0005-0000-0000-000049C60000}"/>
    <cellStyle name="注释 2 11 10 7 2" xfId="50714" xr:uid="{00000000-0005-0000-0000-00004AC60000}"/>
    <cellStyle name="注释 2 11 10 7 2 2" xfId="50715" xr:uid="{00000000-0005-0000-0000-00004BC60000}"/>
    <cellStyle name="注释 2 11 10 7 3" xfId="50716" xr:uid="{00000000-0005-0000-0000-00004CC60000}"/>
    <cellStyle name="注释 2 11 10 7 3 2" xfId="50717" xr:uid="{00000000-0005-0000-0000-00004DC60000}"/>
    <cellStyle name="注释 2 11 10 7 4" xfId="50718" xr:uid="{00000000-0005-0000-0000-00004EC60000}"/>
    <cellStyle name="注释 2 11 10 7 4 2" xfId="50719" xr:uid="{00000000-0005-0000-0000-00004FC60000}"/>
    <cellStyle name="注释 2 11 10 7 5" xfId="50720" xr:uid="{00000000-0005-0000-0000-000050C60000}"/>
    <cellStyle name="注释 2 11 10 7 5 2" xfId="50721" xr:uid="{00000000-0005-0000-0000-000051C60000}"/>
    <cellStyle name="注释 2 11 10 7 6" xfId="19415" xr:uid="{00000000-0005-0000-0000-0000074C0000}"/>
    <cellStyle name="注释 2 11 10 8" xfId="50722" xr:uid="{00000000-0005-0000-0000-000052C60000}"/>
    <cellStyle name="注释 2 11 10 8 2" xfId="50723" xr:uid="{00000000-0005-0000-0000-000053C60000}"/>
    <cellStyle name="注释 2 11 10 8 2 2" xfId="50724" xr:uid="{00000000-0005-0000-0000-000054C60000}"/>
    <cellStyle name="注释 2 11 10 8 3" xfId="50725" xr:uid="{00000000-0005-0000-0000-000055C60000}"/>
    <cellStyle name="注释 2 11 10 8 3 2" xfId="50726" xr:uid="{00000000-0005-0000-0000-000056C60000}"/>
    <cellStyle name="注释 2 11 10 8 4" xfId="36200" xr:uid="{00000000-0005-0000-0000-0000988D0000}"/>
    <cellStyle name="注释 2 11 10 8 4 2" xfId="50727" xr:uid="{00000000-0005-0000-0000-000057C60000}"/>
    <cellStyle name="注释 2 11 10 8 5" xfId="50728" xr:uid="{00000000-0005-0000-0000-000058C60000}"/>
    <cellStyle name="注释 2 11 10 9" xfId="50729" xr:uid="{00000000-0005-0000-0000-000059C60000}"/>
    <cellStyle name="注释 2 11 10 9 2" xfId="50731" xr:uid="{00000000-0005-0000-0000-00005BC60000}"/>
    <cellStyle name="注释 2 11 11" xfId="50733" xr:uid="{00000000-0005-0000-0000-00005DC60000}"/>
    <cellStyle name="注释 2 11 11 10" xfId="50734" xr:uid="{00000000-0005-0000-0000-00005EC60000}"/>
    <cellStyle name="注释 2 11 11 10 2" xfId="13185" xr:uid="{00000000-0005-0000-0000-0000B1330000}"/>
    <cellStyle name="注释 2 11 11 11" xfId="50735" xr:uid="{00000000-0005-0000-0000-00005FC60000}"/>
    <cellStyle name="注释 2 11 11 11 2" xfId="14478" xr:uid="{00000000-0005-0000-0000-0000BE380000}"/>
    <cellStyle name="注释 2 11 11 12" xfId="50737" xr:uid="{00000000-0005-0000-0000-000061C60000}"/>
    <cellStyle name="注释 2 11 11 12 2" xfId="14512" xr:uid="{00000000-0005-0000-0000-0000E0380000}"/>
    <cellStyle name="注释 2 11 11 13" xfId="50738" xr:uid="{00000000-0005-0000-0000-000062C60000}"/>
    <cellStyle name="注释 2 11 11 14" xfId="42861" xr:uid="{00000000-0005-0000-0000-00009DA70000}"/>
    <cellStyle name="注释 2 11 11 15" xfId="50739" xr:uid="{00000000-0005-0000-0000-000063C60000}"/>
    <cellStyle name="注释 2 11 11 16" xfId="50740" xr:uid="{00000000-0005-0000-0000-000064C60000}"/>
    <cellStyle name="注释 2 11 11 2" xfId="50741" xr:uid="{00000000-0005-0000-0000-000065C60000}"/>
    <cellStyle name="注释 2 11 11 2 2" xfId="50742" xr:uid="{00000000-0005-0000-0000-000066C60000}"/>
    <cellStyle name="注释 2 11 11 2 2 2" xfId="50743" xr:uid="{00000000-0005-0000-0000-000067C60000}"/>
    <cellStyle name="注释 2 11 11 2 3" xfId="50744" xr:uid="{00000000-0005-0000-0000-000068C60000}"/>
    <cellStyle name="注释 2 11 11 2 3 2" xfId="50745" xr:uid="{00000000-0005-0000-0000-000069C60000}"/>
    <cellStyle name="注释 2 11 11 2 4" xfId="50746" xr:uid="{00000000-0005-0000-0000-00006AC60000}"/>
    <cellStyle name="注释 2 11 11 2 4 2" xfId="50747" xr:uid="{00000000-0005-0000-0000-00006BC60000}"/>
    <cellStyle name="注释 2 11 11 2 5" xfId="50748" xr:uid="{00000000-0005-0000-0000-00006CC60000}"/>
    <cellStyle name="注释 2 11 11 2 5 2" xfId="50749" xr:uid="{00000000-0005-0000-0000-00006DC60000}"/>
    <cellStyle name="注释 2 11 11 2 6" xfId="50750" xr:uid="{00000000-0005-0000-0000-00006EC60000}"/>
    <cellStyle name="注释 2 11 11 3" xfId="50751" xr:uid="{00000000-0005-0000-0000-00006FC60000}"/>
    <cellStyle name="注释 2 11 11 3 2" xfId="50752" xr:uid="{00000000-0005-0000-0000-000070C60000}"/>
    <cellStyle name="注释 2 11 11 3 2 2" xfId="9413" xr:uid="{00000000-0005-0000-0000-0000F5240000}"/>
    <cellStyle name="注释 2 11 11 3 3" xfId="50753" xr:uid="{00000000-0005-0000-0000-000071C60000}"/>
    <cellStyle name="注释 2 11 11 3 3 2" xfId="1371" xr:uid="{00000000-0005-0000-0000-00008B050000}"/>
    <cellStyle name="注释 2 11 11 3 4" xfId="46519" xr:uid="{00000000-0005-0000-0000-0000E7B50000}"/>
    <cellStyle name="注释 2 11 11 3 4 2" xfId="9433" xr:uid="{00000000-0005-0000-0000-000009250000}"/>
    <cellStyle name="注释 2 11 11 3 5" xfId="50754" xr:uid="{00000000-0005-0000-0000-000072C60000}"/>
    <cellStyle name="注释 2 11 11 3 5 2" xfId="9445" xr:uid="{00000000-0005-0000-0000-000015250000}"/>
    <cellStyle name="注释 2 11 11 3 6" xfId="50755" xr:uid="{00000000-0005-0000-0000-000073C60000}"/>
    <cellStyle name="注释 2 11 11 4" xfId="50756" xr:uid="{00000000-0005-0000-0000-000074C60000}"/>
    <cellStyle name="注释 2 11 11 4 2" xfId="50757" xr:uid="{00000000-0005-0000-0000-000075C60000}"/>
    <cellStyle name="注释 2 11 11 4 2 2" xfId="15956" xr:uid="{00000000-0005-0000-0000-0000843E0000}"/>
    <cellStyle name="注释 2 11 11 4 3" xfId="50758" xr:uid="{00000000-0005-0000-0000-000076C60000}"/>
    <cellStyle name="注释 2 11 11 4 3 2" xfId="4138" xr:uid="{00000000-0005-0000-0000-00005A100000}"/>
    <cellStyle name="注释 2 11 11 4 4" xfId="46522" xr:uid="{00000000-0005-0000-0000-0000EAB50000}"/>
    <cellStyle name="注释 2 11 11 4 4 2" xfId="32056" xr:uid="{00000000-0005-0000-0000-0000687D0000}"/>
    <cellStyle name="注释 2 11 11 4 5" xfId="50759" xr:uid="{00000000-0005-0000-0000-000077C60000}"/>
    <cellStyle name="注释 2 11 11 4 5 2" xfId="32137" xr:uid="{00000000-0005-0000-0000-0000B97D0000}"/>
    <cellStyle name="注释 2 11 11 4 6" xfId="50760" xr:uid="{00000000-0005-0000-0000-000078C60000}"/>
    <cellStyle name="注释 2 11 11 5" xfId="50761" xr:uid="{00000000-0005-0000-0000-000079C60000}"/>
    <cellStyle name="注释 2 11 11 5 2" xfId="50762" xr:uid="{00000000-0005-0000-0000-00007AC60000}"/>
    <cellStyle name="注释 2 11 11 5 2 2" xfId="21120" xr:uid="{00000000-0005-0000-0000-0000B0520000}"/>
    <cellStyle name="注释 2 11 11 5 3" xfId="50763" xr:uid="{00000000-0005-0000-0000-00007BC60000}"/>
    <cellStyle name="注释 2 11 11 5 3 2" xfId="50764" xr:uid="{00000000-0005-0000-0000-00007CC60000}"/>
    <cellStyle name="注释 2 11 11 5 4" xfId="46526" xr:uid="{00000000-0005-0000-0000-0000EEB50000}"/>
    <cellStyle name="注释 2 11 11 5 4 2" xfId="50765" xr:uid="{00000000-0005-0000-0000-00007DC60000}"/>
    <cellStyle name="注释 2 11 11 5 5" xfId="50766" xr:uid="{00000000-0005-0000-0000-00007EC60000}"/>
    <cellStyle name="注释 2 11 11 5 5 2" xfId="50767" xr:uid="{00000000-0005-0000-0000-00007FC60000}"/>
    <cellStyle name="注释 2 11 11 5 6" xfId="50769" xr:uid="{00000000-0005-0000-0000-000081C60000}"/>
    <cellStyle name="注释 2 11 11 6" xfId="33385" xr:uid="{00000000-0005-0000-0000-000099820000}"/>
    <cellStyle name="注释 2 11 11 6 2" xfId="50770" xr:uid="{00000000-0005-0000-0000-000082C60000}"/>
    <cellStyle name="注释 2 11 11 6 2 2" xfId="50771" xr:uid="{00000000-0005-0000-0000-000083C60000}"/>
    <cellStyle name="注释 2 11 11 6 3" xfId="50772" xr:uid="{00000000-0005-0000-0000-000084C60000}"/>
    <cellStyle name="注释 2 11 11 6 3 2" xfId="50773" xr:uid="{00000000-0005-0000-0000-000085C60000}"/>
    <cellStyle name="注释 2 11 11 6 4" xfId="46528" xr:uid="{00000000-0005-0000-0000-0000F0B50000}"/>
    <cellStyle name="注释 2 11 11 6 4 2" xfId="50774" xr:uid="{00000000-0005-0000-0000-000086C60000}"/>
    <cellStyle name="注释 2 11 11 6 5" xfId="50775" xr:uid="{00000000-0005-0000-0000-000087C60000}"/>
    <cellStyle name="注释 2 11 11 6 5 2" xfId="50776" xr:uid="{00000000-0005-0000-0000-000088C60000}"/>
    <cellStyle name="注释 2 11 11 6 6" xfId="50777" xr:uid="{00000000-0005-0000-0000-000089C60000}"/>
    <cellStyle name="注释 2 11 11 7" xfId="50778" xr:uid="{00000000-0005-0000-0000-00008AC60000}"/>
    <cellStyle name="注释 2 11 11 7 2" xfId="50779" xr:uid="{00000000-0005-0000-0000-00008BC60000}"/>
    <cellStyle name="注释 2 11 11 7 2 2" xfId="50780" xr:uid="{00000000-0005-0000-0000-00008CC60000}"/>
    <cellStyle name="注释 2 11 11 7 3" xfId="50781" xr:uid="{00000000-0005-0000-0000-00008DC60000}"/>
    <cellStyle name="注释 2 11 11 7 3 2" xfId="50782" xr:uid="{00000000-0005-0000-0000-00008EC60000}"/>
    <cellStyle name="注释 2 11 11 7 4" xfId="50783" xr:uid="{00000000-0005-0000-0000-00008FC60000}"/>
    <cellStyle name="注释 2 11 11 7 4 2" xfId="50784" xr:uid="{00000000-0005-0000-0000-000090C60000}"/>
    <cellStyle name="注释 2 11 11 7 5" xfId="50785" xr:uid="{00000000-0005-0000-0000-000091C60000}"/>
    <cellStyle name="注释 2 11 11 7 5 2" xfId="50786" xr:uid="{00000000-0005-0000-0000-000092C60000}"/>
    <cellStyle name="注释 2 11 11 7 6" xfId="19613" xr:uid="{00000000-0005-0000-0000-0000CD4C0000}"/>
    <cellStyle name="注释 2 11 11 8" xfId="50787" xr:uid="{00000000-0005-0000-0000-000093C60000}"/>
    <cellStyle name="注释 2 11 11 8 2" xfId="50788" xr:uid="{00000000-0005-0000-0000-000094C60000}"/>
    <cellStyle name="注释 2 11 11 8 2 2" xfId="50789" xr:uid="{00000000-0005-0000-0000-000095C60000}"/>
    <cellStyle name="注释 2 11 11 8 3" xfId="50790" xr:uid="{00000000-0005-0000-0000-000096C60000}"/>
    <cellStyle name="注释 2 11 11 8 3 2" xfId="50792" xr:uid="{00000000-0005-0000-0000-000098C60000}"/>
    <cellStyle name="注释 2 11 11 8 4" xfId="29399" xr:uid="{00000000-0005-0000-0000-000007730000}"/>
    <cellStyle name="注释 2 11 11 8 4 2" xfId="50793" xr:uid="{00000000-0005-0000-0000-000099C60000}"/>
    <cellStyle name="注释 2 11 11 8 5" xfId="50794" xr:uid="{00000000-0005-0000-0000-00009AC60000}"/>
    <cellStyle name="注释 2 11 11 9" xfId="50795" xr:uid="{00000000-0005-0000-0000-00009BC60000}"/>
    <cellStyle name="注释 2 11 11 9 2" xfId="50797" xr:uid="{00000000-0005-0000-0000-00009DC60000}"/>
    <cellStyle name="注释 2 11 12" xfId="3685" xr:uid="{00000000-0005-0000-0000-0000950E0000}"/>
    <cellStyle name="注释 2 11 12 2" xfId="35166" xr:uid="{00000000-0005-0000-0000-00008E890000}"/>
    <cellStyle name="注释 2 11 12 2 2" xfId="35917" xr:uid="{00000000-0005-0000-0000-00007D8C0000}"/>
    <cellStyle name="注释 2 11 12 3" xfId="50799" xr:uid="{00000000-0005-0000-0000-00009FC60000}"/>
    <cellStyle name="注释 2 11 12 3 2" xfId="48879" xr:uid="{00000000-0005-0000-0000-00001FBF0000}"/>
    <cellStyle name="注释 2 11 12 4" xfId="50800" xr:uid="{00000000-0005-0000-0000-0000A0C60000}"/>
    <cellStyle name="注释 2 11 12 4 2" xfId="50801" xr:uid="{00000000-0005-0000-0000-0000A1C60000}"/>
    <cellStyle name="注释 2 11 12 5" xfId="50802" xr:uid="{00000000-0005-0000-0000-0000A2C60000}"/>
    <cellStyle name="注释 2 11 12 5 2" xfId="50803" xr:uid="{00000000-0005-0000-0000-0000A3C60000}"/>
    <cellStyle name="注释 2 11 12 6" xfId="33394" xr:uid="{00000000-0005-0000-0000-0000A2820000}"/>
    <cellStyle name="注释 2 11 12 7" xfId="50804" xr:uid="{00000000-0005-0000-0000-0000A4C60000}"/>
    <cellStyle name="注释 2 11 12 8" xfId="50805" xr:uid="{00000000-0005-0000-0000-0000A5C60000}"/>
    <cellStyle name="注释 2 11 12 9" xfId="50806" xr:uid="{00000000-0005-0000-0000-0000A6C60000}"/>
    <cellStyle name="注释 2 11 13" xfId="35168" xr:uid="{00000000-0005-0000-0000-000090890000}"/>
    <cellStyle name="注释 2 11 13 2" xfId="35171" xr:uid="{00000000-0005-0000-0000-000093890000}"/>
    <cellStyle name="注释 2 11 13 2 2" xfId="9402" xr:uid="{00000000-0005-0000-0000-0000EA240000}"/>
    <cellStyle name="注释 2 11 13 3" xfId="50808" xr:uid="{00000000-0005-0000-0000-0000A8C60000}"/>
    <cellStyle name="注释 2 11 13 3 2" xfId="1347" xr:uid="{00000000-0005-0000-0000-000073050000}"/>
    <cellStyle name="注释 2 11 13 4" xfId="50809" xr:uid="{00000000-0005-0000-0000-0000A9C60000}"/>
    <cellStyle name="注释 2 11 13 4 2" xfId="3642" xr:uid="{00000000-0005-0000-0000-00006A0E0000}"/>
    <cellStyle name="注释 2 11 13 5" xfId="50810" xr:uid="{00000000-0005-0000-0000-0000AAC60000}"/>
    <cellStyle name="注释 2 11 13 5 2" xfId="3693" xr:uid="{00000000-0005-0000-0000-00009D0E0000}"/>
    <cellStyle name="注释 2 11 13 6" xfId="48509" xr:uid="{00000000-0005-0000-0000-0000ADBD0000}"/>
    <cellStyle name="注释 2 11 14" xfId="35173" xr:uid="{00000000-0005-0000-0000-000095890000}"/>
    <cellStyle name="注释 2 11 14 2" xfId="35176" xr:uid="{00000000-0005-0000-0000-000098890000}"/>
    <cellStyle name="注释 2 11 14 2 2" xfId="13874" xr:uid="{00000000-0005-0000-0000-000062360000}"/>
    <cellStyle name="注释 2 11 14 3" xfId="50811" xr:uid="{00000000-0005-0000-0000-0000ABC60000}"/>
    <cellStyle name="注释 2 11 14 3 2" xfId="4121" xr:uid="{00000000-0005-0000-0000-000049100000}"/>
    <cellStyle name="注释 2 11 14 4" xfId="50812" xr:uid="{00000000-0005-0000-0000-0000ACC60000}"/>
    <cellStyle name="注释 2 11 14 4 2" xfId="4225" xr:uid="{00000000-0005-0000-0000-0000B1100000}"/>
    <cellStyle name="注释 2 11 14 5" xfId="50813" xr:uid="{00000000-0005-0000-0000-0000ADC60000}"/>
    <cellStyle name="注释 2 11 14 5 2" xfId="3589" xr:uid="{00000000-0005-0000-0000-0000350E0000}"/>
    <cellStyle name="注释 2 11 14 6" xfId="50814" xr:uid="{00000000-0005-0000-0000-0000AEC60000}"/>
    <cellStyle name="注释 2 11 15" xfId="35178" xr:uid="{00000000-0005-0000-0000-00009A890000}"/>
    <cellStyle name="注释 2 11 15 2" xfId="50815" xr:uid="{00000000-0005-0000-0000-0000AFC60000}"/>
    <cellStyle name="注释 2 11 15 2 2" xfId="13890" xr:uid="{00000000-0005-0000-0000-000072360000}"/>
    <cellStyle name="注释 2 11 15 3" xfId="50817" xr:uid="{00000000-0005-0000-0000-0000B1C60000}"/>
    <cellStyle name="注释 2 11 15 3 2" xfId="4474" xr:uid="{00000000-0005-0000-0000-0000AA110000}"/>
    <cellStyle name="注释 2 11 15 4" xfId="50818" xr:uid="{00000000-0005-0000-0000-0000B2C60000}"/>
    <cellStyle name="注释 2 11 15 4 2" xfId="4531" xr:uid="{00000000-0005-0000-0000-0000E3110000}"/>
    <cellStyle name="注释 2 11 15 5" xfId="50819" xr:uid="{00000000-0005-0000-0000-0000B3C60000}"/>
    <cellStyle name="注释 2 11 15 5 2" xfId="512" xr:uid="{00000000-0005-0000-0000-00002E020000}"/>
    <cellStyle name="注释 2 11 15 6" xfId="50820" xr:uid="{00000000-0005-0000-0000-0000B4C60000}"/>
    <cellStyle name="注释 2 11 16" xfId="34557" xr:uid="{00000000-0005-0000-0000-00002D870000}"/>
    <cellStyle name="注释 2 11 16 2" xfId="44938" xr:uid="{00000000-0005-0000-0000-0000BAAF0000}"/>
    <cellStyle name="注释 2 11 16 2 2" xfId="41028" xr:uid="{00000000-0005-0000-0000-000074A00000}"/>
    <cellStyle name="注释 2 11 16 3" xfId="44941" xr:uid="{00000000-0005-0000-0000-0000BDAF0000}"/>
    <cellStyle name="注释 2 11 16 3 2" xfId="4746" xr:uid="{00000000-0005-0000-0000-0000BA120000}"/>
    <cellStyle name="注释 2 11 16 4" xfId="44943" xr:uid="{00000000-0005-0000-0000-0000BFAF0000}"/>
    <cellStyle name="注释 2 11 16 4 2" xfId="4789" xr:uid="{00000000-0005-0000-0000-0000E5120000}"/>
    <cellStyle name="注释 2 11 16 5" xfId="44945" xr:uid="{00000000-0005-0000-0000-0000C1AF0000}"/>
    <cellStyle name="注释 2 11 16 5 2" xfId="4831" xr:uid="{00000000-0005-0000-0000-00000F130000}"/>
    <cellStyle name="注释 2 11 16 6" xfId="44947" xr:uid="{00000000-0005-0000-0000-0000C3AF0000}"/>
    <cellStyle name="注释 2 11 17" xfId="50821" xr:uid="{00000000-0005-0000-0000-0000B5C60000}"/>
    <cellStyle name="注释 2 11 17 2" xfId="44954" xr:uid="{00000000-0005-0000-0000-0000CAAF0000}"/>
    <cellStyle name="注释 2 11 17 2 2" xfId="41056" xr:uid="{00000000-0005-0000-0000-000090A00000}"/>
    <cellStyle name="注释 2 11 17 3" xfId="44957" xr:uid="{00000000-0005-0000-0000-0000CDAF0000}"/>
    <cellStyle name="注释 2 11 17 3 2" xfId="5025" xr:uid="{00000000-0005-0000-0000-0000D1130000}"/>
    <cellStyle name="注释 2 11 17 4" xfId="44959" xr:uid="{00000000-0005-0000-0000-0000CFAF0000}"/>
    <cellStyle name="注释 2 11 17 4 2" xfId="5054" xr:uid="{00000000-0005-0000-0000-0000EE130000}"/>
    <cellStyle name="注释 2 11 17 5" xfId="50823" xr:uid="{00000000-0005-0000-0000-0000B7C60000}"/>
    <cellStyle name="注释 2 11 17 5 2" xfId="5081" xr:uid="{00000000-0005-0000-0000-000009140000}"/>
    <cellStyle name="注释 2 11 17 6" xfId="50824" xr:uid="{00000000-0005-0000-0000-0000B8C60000}"/>
    <cellStyle name="注释 2 11 18" xfId="50825" xr:uid="{00000000-0005-0000-0000-0000B9C60000}"/>
    <cellStyle name="注释 2 11 18 2" xfId="44966" xr:uid="{00000000-0005-0000-0000-0000D6AF0000}"/>
    <cellStyle name="注释 2 11 18 2 2" xfId="41069" xr:uid="{00000000-0005-0000-0000-00009DA00000}"/>
    <cellStyle name="注释 2 11 18 3" xfId="44969" xr:uid="{00000000-0005-0000-0000-0000D9AF0000}"/>
    <cellStyle name="注释 2 11 18 3 2" xfId="5281" xr:uid="{00000000-0005-0000-0000-0000D1140000}"/>
    <cellStyle name="注释 2 11 18 4" xfId="44971" xr:uid="{00000000-0005-0000-0000-0000DBAF0000}"/>
    <cellStyle name="注释 2 11 18 4 2" xfId="612" xr:uid="{00000000-0005-0000-0000-000094020000}"/>
    <cellStyle name="注释 2 11 18 5" xfId="50827" xr:uid="{00000000-0005-0000-0000-0000BBC60000}"/>
    <cellStyle name="注释 2 11 18 5 2" xfId="571" xr:uid="{00000000-0005-0000-0000-00006B020000}"/>
    <cellStyle name="注释 2 11 18 6" xfId="50828" xr:uid="{00000000-0005-0000-0000-0000BCC60000}"/>
    <cellStyle name="注释 2 11 19" xfId="50829" xr:uid="{00000000-0005-0000-0000-0000BDC60000}"/>
    <cellStyle name="注释 2 11 19 2" xfId="44977" xr:uid="{00000000-0005-0000-0000-0000E1AF0000}"/>
    <cellStyle name="注释 2 11 19 2 2" xfId="41076" xr:uid="{00000000-0005-0000-0000-0000A4A00000}"/>
    <cellStyle name="注释 2 11 19 3" xfId="44979" xr:uid="{00000000-0005-0000-0000-0000E3AF0000}"/>
    <cellStyle name="注释 2 11 19 3 2" xfId="1711" xr:uid="{00000000-0005-0000-0000-0000DF060000}"/>
    <cellStyle name="注释 2 11 19 4" xfId="44981" xr:uid="{00000000-0005-0000-0000-0000E5AF0000}"/>
    <cellStyle name="注释 2 11 19 4 2" xfId="1969" xr:uid="{00000000-0005-0000-0000-0000E1070000}"/>
    <cellStyle name="注释 2 11 19 5" xfId="9854" xr:uid="{00000000-0005-0000-0000-0000AE260000}"/>
    <cellStyle name="注释 2 11 2" xfId="43602" xr:uid="{00000000-0005-0000-0000-000082AA0000}"/>
    <cellStyle name="注释 2 11 2 10" xfId="36818" xr:uid="{00000000-0005-0000-0000-000002900000}"/>
    <cellStyle name="注释 2 11 2 10 2" xfId="36820" xr:uid="{00000000-0005-0000-0000-000004900000}"/>
    <cellStyle name="注释 2 11 2 11" xfId="36822" xr:uid="{00000000-0005-0000-0000-000006900000}"/>
    <cellStyle name="注释 2 11 2 11 2" xfId="36824" xr:uid="{00000000-0005-0000-0000-000008900000}"/>
    <cellStyle name="注释 2 11 2 12" xfId="32095" xr:uid="{00000000-0005-0000-0000-00008F7D0000}"/>
    <cellStyle name="注释 2 11 2 12 2" xfId="22267" xr:uid="{00000000-0005-0000-0000-00002B570000}"/>
    <cellStyle name="注释 2 11 2 13" xfId="50831" xr:uid="{00000000-0005-0000-0000-0000BFC60000}"/>
    <cellStyle name="注释 2 11 2 14" xfId="50832" xr:uid="{00000000-0005-0000-0000-0000C0C60000}"/>
    <cellStyle name="注释 2 11 2 15" xfId="50833" xr:uid="{00000000-0005-0000-0000-0000C1C60000}"/>
    <cellStyle name="注释 2 11 2 16" xfId="50834" xr:uid="{00000000-0005-0000-0000-0000C2C60000}"/>
    <cellStyle name="注释 2 11 2 2" xfId="50835" xr:uid="{00000000-0005-0000-0000-0000C3C60000}"/>
    <cellStyle name="注释 2 11 2 2 2" xfId="22033" xr:uid="{00000000-0005-0000-0000-000041560000}"/>
    <cellStyle name="注释 2 11 2 2 2 2" xfId="22036" xr:uid="{00000000-0005-0000-0000-000044560000}"/>
    <cellStyle name="注释 2 11 2 2 3" xfId="22052" xr:uid="{00000000-0005-0000-0000-000054560000}"/>
    <cellStyle name="注释 2 11 2 2 3 2" xfId="22057" xr:uid="{00000000-0005-0000-0000-000059560000}"/>
    <cellStyle name="注释 2 11 2 2 4" xfId="22082" xr:uid="{00000000-0005-0000-0000-000072560000}"/>
    <cellStyle name="注释 2 11 2 2 4 2" xfId="22085" xr:uid="{00000000-0005-0000-0000-000075560000}"/>
    <cellStyle name="注释 2 11 2 2 5" xfId="22108" xr:uid="{00000000-0005-0000-0000-00008C560000}"/>
    <cellStyle name="注释 2 11 2 2 5 2" xfId="22112" xr:uid="{00000000-0005-0000-0000-000090560000}"/>
    <cellStyle name="注释 2 11 2 2 6" xfId="15768" xr:uid="{00000000-0005-0000-0000-0000C83D0000}"/>
    <cellStyle name="注释 2 11 2 2 7" xfId="22126" xr:uid="{00000000-0005-0000-0000-00009E560000}"/>
    <cellStyle name="注释 2 11 2 2 8" xfId="46186" xr:uid="{00000000-0005-0000-0000-00009AB40000}"/>
    <cellStyle name="注释 2 11 2 2 9" xfId="50836" xr:uid="{00000000-0005-0000-0000-0000C4C60000}"/>
    <cellStyle name="注释 2 11 2 3" xfId="23815" xr:uid="{00000000-0005-0000-0000-0000375D0000}"/>
    <cellStyle name="注释 2 11 2 3 2" xfId="22174" xr:uid="{00000000-0005-0000-0000-0000CE560000}"/>
    <cellStyle name="注释 2 11 2 3 2 2" xfId="22176" xr:uid="{00000000-0005-0000-0000-0000D0560000}"/>
    <cellStyle name="注释 2 11 2 3 3" xfId="22183" xr:uid="{00000000-0005-0000-0000-0000D7560000}"/>
    <cellStyle name="注释 2 11 2 3 3 2" xfId="22185" xr:uid="{00000000-0005-0000-0000-0000D9560000}"/>
    <cellStyle name="注释 2 11 2 3 4" xfId="22209" xr:uid="{00000000-0005-0000-0000-0000F1560000}"/>
    <cellStyle name="注释 2 11 2 3 4 2" xfId="22211" xr:uid="{00000000-0005-0000-0000-0000F3560000}"/>
    <cellStyle name="注释 2 11 2 3 5" xfId="22226" xr:uid="{00000000-0005-0000-0000-000002570000}"/>
    <cellStyle name="注释 2 11 2 3 5 2" xfId="22228" xr:uid="{00000000-0005-0000-0000-000004570000}"/>
    <cellStyle name="注释 2 11 2 3 6" xfId="15779" xr:uid="{00000000-0005-0000-0000-0000D33D0000}"/>
    <cellStyle name="注释 2 11 2 4" xfId="50837" xr:uid="{00000000-0005-0000-0000-0000C5C60000}"/>
    <cellStyle name="注释 2 11 2 4 2" xfId="22311" xr:uid="{00000000-0005-0000-0000-000057570000}"/>
    <cellStyle name="注释 2 11 2 4 2 2" xfId="22313" xr:uid="{00000000-0005-0000-0000-000059570000}"/>
    <cellStyle name="注释 2 11 2 4 3" xfId="22320" xr:uid="{00000000-0005-0000-0000-000060570000}"/>
    <cellStyle name="注释 2 11 2 4 3 2" xfId="22322" xr:uid="{00000000-0005-0000-0000-000062570000}"/>
    <cellStyle name="注释 2 11 2 4 4" xfId="22329" xr:uid="{00000000-0005-0000-0000-000069570000}"/>
    <cellStyle name="注释 2 11 2 4 4 2" xfId="22332" xr:uid="{00000000-0005-0000-0000-00006C570000}"/>
    <cellStyle name="注释 2 11 2 4 5" xfId="22340" xr:uid="{00000000-0005-0000-0000-000074570000}"/>
    <cellStyle name="注释 2 11 2 4 5 2" xfId="22347" xr:uid="{00000000-0005-0000-0000-00007B570000}"/>
    <cellStyle name="注释 2 11 2 4 6" xfId="15789" xr:uid="{00000000-0005-0000-0000-0000DD3D0000}"/>
    <cellStyle name="注释 2 11 2 5" xfId="9266" xr:uid="{00000000-0005-0000-0000-000062240000}"/>
    <cellStyle name="注释 2 11 2 5 2" xfId="22406" xr:uid="{00000000-0005-0000-0000-0000B6570000}"/>
    <cellStyle name="注释 2 11 2 5 2 2" xfId="9860" xr:uid="{00000000-0005-0000-0000-0000B4260000}"/>
    <cellStyle name="注释 2 11 2 5 3" xfId="22411" xr:uid="{00000000-0005-0000-0000-0000BB570000}"/>
    <cellStyle name="注释 2 11 2 5 3 2" xfId="22413" xr:uid="{00000000-0005-0000-0000-0000BD570000}"/>
    <cellStyle name="注释 2 11 2 5 4" xfId="22421" xr:uid="{00000000-0005-0000-0000-0000C5570000}"/>
    <cellStyle name="注释 2 11 2 5 4 2" xfId="22424" xr:uid="{00000000-0005-0000-0000-0000C8570000}"/>
    <cellStyle name="注释 2 11 2 5 5" xfId="7194" xr:uid="{00000000-0005-0000-0000-00004A1C0000}"/>
    <cellStyle name="注释 2 11 2 5 5 2" xfId="22427" xr:uid="{00000000-0005-0000-0000-0000CB570000}"/>
    <cellStyle name="注释 2 11 2 5 6" xfId="15807" xr:uid="{00000000-0005-0000-0000-0000EF3D0000}"/>
    <cellStyle name="注释 2 11 2 6" xfId="50838" xr:uid="{00000000-0005-0000-0000-0000C6C60000}"/>
    <cellStyle name="注释 2 11 2 6 2" xfId="22474" xr:uid="{00000000-0005-0000-0000-0000FA570000}"/>
    <cellStyle name="注释 2 11 2 6 2 2" xfId="11062" xr:uid="{00000000-0005-0000-0000-0000662B0000}"/>
    <cellStyle name="注释 2 11 2 6 3" xfId="2334" xr:uid="{00000000-0005-0000-0000-00004E090000}"/>
    <cellStyle name="注释 2 11 2 6 3 2" xfId="3555" xr:uid="{00000000-0005-0000-0000-0000130E0000}"/>
    <cellStyle name="注释 2 11 2 6 4" xfId="6137" xr:uid="{00000000-0005-0000-0000-000029180000}"/>
    <cellStyle name="注释 2 11 2 6 4 2" xfId="1621" xr:uid="{00000000-0005-0000-0000-000085060000}"/>
    <cellStyle name="注释 2 11 2 6 5" xfId="7202" xr:uid="{00000000-0005-0000-0000-0000521C0000}"/>
    <cellStyle name="注释 2 11 2 6 5 2" xfId="9481" xr:uid="{00000000-0005-0000-0000-000039250000}"/>
    <cellStyle name="注释 2 11 2 6 6" xfId="11506" xr:uid="{00000000-0005-0000-0000-0000222D0000}"/>
    <cellStyle name="注释 2 11 2 7" xfId="50839" xr:uid="{00000000-0005-0000-0000-0000C7C60000}"/>
    <cellStyle name="注释 2 11 2 7 2" xfId="1023" xr:uid="{00000000-0005-0000-0000-00002F040000}"/>
    <cellStyle name="注释 2 11 2 7 2 2" xfId="2934" xr:uid="{00000000-0005-0000-0000-0000A60B0000}"/>
    <cellStyle name="注释 2 11 2 7 3" xfId="2937" xr:uid="{00000000-0005-0000-0000-0000A90B0000}"/>
    <cellStyle name="注释 2 11 2 7 3 2" xfId="137" xr:uid="{00000000-0005-0000-0000-000094000000}"/>
    <cellStyle name="注释 2 11 2 7 4" xfId="2940" xr:uid="{00000000-0005-0000-0000-0000AC0B0000}"/>
    <cellStyle name="注释 2 11 2 7 4 2" xfId="22509" xr:uid="{00000000-0005-0000-0000-00001D580000}"/>
    <cellStyle name="注释 2 11 2 7 5" xfId="7213" xr:uid="{00000000-0005-0000-0000-00005D1C0000}"/>
    <cellStyle name="注释 2 11 2 7 5 2" xfId="22516" xr:uid="{00000000-0005-0000-0000-000024580000}"/>
    <cellStyle name="注释 2 11 2 7 6" xfId="22519" xr:uid="{00000000-0005-0000-0000-000027580000}"/>
    <cellStyle name="注释 2 11 2 8" xfId="50840" xr:uid="{00000000-0005-0000-0000-0000C8C60000}"/>
    <cellStyle name="注释 2 11 2 8 2" xfId="50842" xr:uid="{00000000-0005-0000-0000-0000CAC60000}"/>
    <cellStyle name="注释 2 11 2 8 2 2" xfId="48248" xr:uid="{00000000-0005-0000-0000-0000A8BC0000}"/>
    <cellStyle name="注释 2 11 2 8 3" xfId="50843" xr:uid="{00000000-0005-0000-0000-0000CBC60000}"/>
    <cellStyle name="注释 2 11 2 8 3 2" xfId="48262" xr:uid="{00000000-0005-0000-0000-0000B6BC0000}"/>
    <cellStyle name="注释 2 11 2 8 4" xfId="50844" xr:uid="{00000000-0005-0000-0000-0000CCC60000}"/>
    <cellStyle name="注释 2 11 2 8 4 2" xfId="48273" xr:uid="{00000000-0005-0000-0000-0000C1BC0000}"/>
    <cellStyle name="注释 2 11 2 8 5" xfId="7226" xr:uid="{00000000-0005-0000-0000-00006A1C0000}"/>
    <cellStyle name="注释 2 11 2 9" xfId="50845" xr:uid="{00000000-0005-0000-0000-0000CDC60000}"/>
    <cellStyle name="注释 2 11 2 9 2" xfId="50846" xr:uid="{00000000-0005-0000-0000-0000CEC60000}"/>
    <cellStyle name="注释 2 11 20" xfId="35179" xr:uid="{00000000-0005-0000-0000-00009B890000}"/>
    <cellStyle name="注释 2 11 20 2" xfId="50816" xr:uid="{00000000-0005-0000-0000-0000B0C60000}"/>
    <cellStyle name="注释 2 11 21" xfId="34558" xr:uid="{00000000-0005-0000-0000-00002E870000}"/>
    <cellStyle name="注释 2 11 21 2" xfId="44939" xr:uid="{00000000-0005-0000-0000-0000BBAF0000}"/>
    <cellStyle name="注释 2 11 22" xfId="50822" xr:uid="{00000000-0005-0000-0000-0000B6C60000}"/>
    <cellStyle name="注释 2 11 22 2" xfId="44955" xr:uid="{00000000-0005-0000-0000-0000CBAF0000}"/>
    <cellStyle name="注释 2 11 23" xfId="50826" xr:uid="{00000000-0005-0000-0000-0000BAC60000}"/>
    <cellStyle name="注释 2 11 23 2" xfId="44967" xr:uid="{00000000-0005-0000-0000-0000D7AF0000}"/>
    <cellStyle name="注释 2 11 24" xfId="50830" xr:uid="{00000000-0005-0000-0000-0000BEC60000}"/>
    <cellStyle name="注释 2 11 25" xfId="36854" xr:uid="{00000000-0005-0000-0000-000026900000}"/>
    <cellStyle name="注释 2 11 26" xfId="50847" xr:uid="{00000000-0005-0000-0000-0000CFC60000}"/>
    <cellStyle name="注释 2 11 27" xfId="50848" xr:uid="{00000000-0005-0000-0000-0000D0C60000}"/>
    <cellStyle name="注释 2 11 3" xfId="47702" xr:uid="{00000000-0005-0000-0000-000086BA0000}"/>
    <cellStyle name="注释 2 11 3 10" xfId="50849" xr:uid="{00000000-0005-0000-0000-0000D1C60000}"/>
    <cellStyle name="注释 2 11 3 10 2" xfId="50851" xr:uid="{00000000-0005-0000-0000-0000D3C60000}"/>
    <cellStyle name="注释 2 11 3 11" xfId="50853" xr:uid="{00000000-0005-0000-0000-0000D5C60000}"/>
    <cellStyle name="注释 2 11 3 11 2" xfId="50855" xr:uid="{00000000-0005-0000-0000-0000D7C60000}"/>
    <cellStyle name="注释 2 11 3 12" xfId="50857" xr:uid="{00000000-0005-0000-0000-0000D9C60000}"/>
    <cellStyle name="注释 2 11 3 12 2" xfId="23391" xr:uid="{00000000-0005-0000-0000-00008F5B0000}"/>
    <cellStyle name="注释 2 11 3 13" xfId="30416" xr:uid="{00000000-0005-0000-0000-000000770000}"/>
    <cellStyle name="注释 2 11 3 14" xfId="30419" xr:uid="{00000000-0005-0000-0000-000003770000}"/>
    <cellStyle name="注释 2 11 3 15" xfId="30424" xr:uid="{00000000-0005-0000-0000-000008770000}"/>
    <cellStyle name="注释 2 11 3 16" xfId="30431" xr:uid="{00000000-0005-0000-0000-00000F770000}"/>
    <cellStyle name="注释 2 11 3 2" xfId="50859" xr:uid="{00000000-0005-0000-0000-0000DBC60000}"/>
    <cellStyle name="注释 2 11 3 2 2" xfId="23165" xr:uid="{00000000-0005-0000-0000-0000AD5A0000}"/>
    <cellStyle name="注释 2 11 3 2 2 2" xfId="23169" xr:uid="{00000000-0005-0000-0000-0000B15A0000}"/>
    <cellStyle name="注释 2 11 3 2 3" xfId="23186" xr:uid="{00000000-0005-0000-0000-0000C25A0000}"/>
    <cellStyle name="注释 2 11 3 2 3 2" xfId="23191" xr:uid="{00000000-0005-0000-0000-0000C75A0000}"/>
    <cellStyle name="注释 2 11 3 2 4" xfId="23212" xr:uid="{00000000-0005-0000-0000-0000DC5A0000}"/>
    <cellStyle name="注释 2 11 3 2 4 2" xfId="23222" xr:uid="{00000000-0005-0000-0000-0000E65A0000}"/>
    <cellStyle name="注释 2 11 3 2 5" xfId="23239" xr:uid="{00000000-0005-0000-0000-0000F75A0000}"/>
    <cellStyle name="注释 2 11 3 2 5 2" xfId="23246" xr:uid="{00000000-0005-0000-0000-0000FE5A0000}"/>
    <cellStyle name="注释 2 11 3 2 6" xfId="15815" xr:uid="{00000000-0005-0000-0000-0000F73D0000}"/>
    <cellStyle name="注释 2 11 3 2 7" xfId="23269" xr:uid="{00000000-0005-0000-0000-0000155B0000}"/>
    <cellStyle name="注释 2 11 3 2 8" xfId="36663" xr:uid="{00000000-0005-0000-0000-0000678F0000}"/>
    <cellStyle name="注释 2 11 3 2 9" xfId="38265" xr:uid="{00000000-0005-0000-0000-0000A9950000}"/>
    <cellStyle name="注释 2 11 3 3" xfId="26919" xr:uid="{00000000-0005-0000-0000-000057690000}"/>
    <cellStyle name="注释 2 11 3 3 2" xfId="23318" xr:uid="{00000000-0005-0000-0000-0000465B0000}"/>
    <cellStyle name="注释 2 11 3 3 2 2" xfId="23320" xr:uid="{00000000-0005-0000-0000-0000485B0000}"/>
    <cellStyle name="注释 2 11 3 3 3" xfId="23330" xr:uid="{00000000-0005-0000-0000-0000525B0000}"/>
    <cellStyle name="注释 2 11 3 3 3 2" xfId="23332" xr:uid="{00000000-0005-0000-0000-0000545B0000}"/>
    <cellStyle name="注释 2 11 3 3 4" xfId="23354" xr:uid="{00000000-0005-0000-0000-00006A5B0000}"/>
    <cellStyle name="注释 2 11 3 3 4 2" xfId="23356" xr:uid="{00000000-0005-0000-0000-00006C5B0000}"/>
    <cellStyle name="注释 2 11 3 3 5" xfId="23364" xr:uid="{00000000-0005-0000-0000-0000745B0000}"/>
    <cellStyle name="注释 2 11 3 3 5 2" xfId="23366" xr:uid="{00000000-0005-0000-0000-0000765B0000}"/>
    <cellStyle name="注释 2 11 3 3 6" xfId="15827" xr:uid="{00000000-0005-0000-0000-0000033E0000}"/>
    <cellStyle name="注释 2 11 3 4" xfId="50860" xr:uid="{00000000-0005-0000-0000-0000DCC60000}"/>
    <cellStyle name="注释 2 11 3 4 2" xfId="23426" xr:uid="{00000000-0005-0000-0000-0000B25B0000}"/>
    <cellStyle name="注释 2 11 3 4 2 2" xfId="23428" xr:uid="{00000000-0005-0000-0000-0000B45B0000}"/>
    <cellStyle name="注释 2 11 3 4 3" xfId="23430" xr:uid="{00000000-0005-0000-0000-0000B65B0000}"/>
    <cellStyle name="注释 2 11 3 4 3 2" xfId="23432" xr:uid="{00000000-0005-0000-0000-0000B85B0000}"/>
    <cellStyle name="注释 2 11 3 4 4" xfId="23440" xr:uid="{00000000-0005-0000-0000-0000C05B0000}"/>
    <cellStyle name="注释 2 11 3 4 4 2" xfId="23443" xr:uid="{00000000-0005-0000-0000-0000C35B0000}"/>
    <cellStyle name="注释 2 11 3 4 5" xfId="23447" xr:uid="{00000000-0005-0000-0000-0000C75B0000}"/>
    <cellStyle name="注释 2 11 3 4 5 2" xfId="23449" xr:uid="{00000000-0005-0000-0000-0000C95B0000}"/>
    <cellStyle name="注释 2 11 3 4 6" xfId="15836" xr:uid="{00000000-0005-0000-0000-00000C3E0000}"/>
    <cellStyle name="注释 2 11 3 5" xfId="9272" xr:uid="{00000000-0005-0000-0000-000068240000}"/>
    <cellStyle name="注释 2 11 3 5 2" xfId="23473" xr:uid="{00000000-0005-0000-0000-0000E15B0000}"/>
    <cellStyle name="注释 2 11 3 5 2 2" xfId="23475" xr:uid="{00000000-0005-0000-0000-0000E35B0000}"/>
    <cellStyle name="注释 2 11 3 5 3" xfId="17639" xr:uid="{00000000-0005-0000-0000-000017450000}"/>
    <cellStyle name="注释 2 11 3 5 3 2" xfId="23480" xr:uid="{00000000-0005-0000-0000-0000E85B0000}"/>
    <cellStyle name="注释 2 11 3 5 4" xfId="23483" xr:uid="{00000000-0005-0000-0000-0000EB5B0000}"/>
    <cellStyle name="注释 2 11 3 5 4 2" xfId="23486" xr:uid="{00000000-0005-0000-0000-0000EE5B0000}"/>
    <cellStyle name="注释 2 11 3 5 5" xfId="7245" xr:uid="{00000000-0005-0000-0000-00007D1C0000}"/>
    <cellStyle name="注释 2 11 3 5 5 2" xfId="23491" xr:uid="{00000000-0005-0000-0000-0000F35B0000}"/>
    <cellStyle name="注释 2 11 3 5 6" xfId="15842" xr:uid="{00000000-0005-0000-0000-0000123E0000}"/>
    <cellStyle name="注释 2 11 3 6" xfId="50861" xr:uid="{00000000-0005-0000-0000-0000DDC60000}"/>
    <cellStyle name="注释 2 11 3 6 2" xfId="23526" xr:uid="{00000000-0005-0000-0000-0000165C0000}"/>
    <cellStyle name="注释 2 11 3 6 2 2" xfId="16089" xr:uid="{00000000-0005-0000-0000-0000093F0000}"/>
    <cellStyle name="注释 2 11 3 6 3" xfId="17643" xr:uid="{00000000-0005-0000-0000-00001B450000}"/>
    <cellStyle name="注释 2 11 3 6 3 2" xfId="23532" xr:uid="{00000000-0005-0000-0000-00001C5C0000}"/>
    <cellStyle name="注释 2 11 3 6 4" xfId="23538" xr:uid="{00000000-0005-0000-0000-0000225C0000}"/>
    <cellStyle name="注释 2 11 3 6 4 2" xfId="23541" xr:uid="{00000000-0005-0000-0000-0000255C0000}"/>
    <cellStyle name="注释 2 11 3 6 5" xfId="7249" xr:uid="{00000000-0005-0000-0000-0000811C0000}"/>
    <cellStyle name="注释 2 11 3 6 5 2" xfId="23544" xr:uid="{00000000-0005-0000-0000-0000285C0000}"/>
    <cellStyle name="注释 2 11 3 6 6" xfId="23547" xr:uid="{00000000-0005-0000-0000-00002B5C0000}"/>
    <cellStyle name="注释 2 11 3 7" xfId="50862" xr:uid="{00000000-0005-0000-0000-0000DEC60000}"/>
    <cellStyle name="注释 2 11 3 7 2" xfId="23575" xr:uid="{00000000-0005-0000-0000-0000475C0000}"/>
    <cellStyle name="注释 2 11 3 7 2 2" xfId="16207" xr:uid="{00000000-0005-0000-0000-00007F3F0000}"/>
    <cellStyle name="注释 2 11 3 7 3" xfId="17649" xr:uid="{00000000-0005-0000-0000-000021450000}"/>
    <cellStyle name="注释 2 11 3 7 3 2" xfId="23584" xr:uid="{00000000-0005-0000-0000-0000505C0000}"/>
    <cellStyle name="注释 2 11 3 7 4" xfId="23592" xr:uid="{00000000-0005-0000-0000-0000585C0000}"/>
    <cellStyle name="注释 2 11 3 7 4 2" xfId="23599" xr:uid="{00000000-0005-0000-0000-00005F5C0000}"/>
    <cellStyle name="注释 2 11 3 7 5" xfId="7256" xr:uid="{00000000-0005-0000-0000-0000881C0000}"/>
    <cellStyle name="注释 2 11 3 7 5 2" xfId="23610" xr:uid="{00000000-0005-0000-0000-00006A5C0000}"/>
    <cellStyle name="注释 2 11 3 7 6" xfId="23620" xr:uid="{00000000-0005-0000-0000-0000745C0000}"/>
    <cellStyle name="注释 2 11 3 8" xfId="50863" xr:uid="{00000000-0005-0000-0000-0000DFC60000}"/>
    <cellStyle name="注释 2 11 3 8 2" xfId="50865" xr:uid="{00000000-0005-0000-0000-0000E1C60000}"/>
    <cellStyle name="注释 2 11 3 8 2 2" xfId="48696" xr:uid="{00000000-0005-0000-0000-000068BE0000}"/>
    <cellStyle name="注释 2 11 3 8 3" xfId="49120" xr:uid="{00000000-0005-0000-0000-000010C00000}"/>
    <cellStyle name="注释 2 11 3 8 3 2" xfId="48706" xr:uid="{00000000-0005-0000-0000-000072BE0000}"/>
    <cellStyle name="注释 2 11 3 8 4" xfId="50866" xr:uid="{00000000-0005-0000-0000-0000E2C60000}"/>
    <cellStyle name="注释 2 11 3 8 4 2" xfId="48715" xr:uid="{00000000-0005-0000-0000-00007BBE0000}"/>
    <cellStyle name="注释 2 11 3 8 5" xfId="7269" xr:uid="{00000000-0005-0000-0000-0000951C0000}"/>
    <cellStyle name="注释 2 11 3 9" xfId="9398" xr:uid="{00000000-0005-0000-0000-0000E6240000}"/>
    <cellStyle name="注释 2 11 3 9 2" xfId="35120" xr:uid="{00000000-0005-0000-0000-000060890000}"/>
    <cellStyle name="注释 2 11 4" xfId="38104" xr:uid="{00000000-0005-0000-0000-000008950000}"/>
    <cellStyle name="注释 2 11 4 10" xfId="6047" xr:uid="{00000000-0005-0000-0000-0000CF170000}"/>
    <cellStyle name="注释 2 11 4 10 2" xfId="50867" xr:uid="{00000000-0005-0000-0000-0000E3C60000}"/>
    <cellStyle name="注释 2 11 4 11" xfId="26649" xr:uid="{00000000-0005-0000-0000-000049680000}"/>
    <cellStyle name="注释 2 11 4 11 2" xfId="26652" xr:uid="{00000000-0005-0000-0000-00004C680000}"/>
    <cellStyle name="注释 2 11 4 12" xfId="26656" xr:uid="{00000000-0005-0000-0000-000050680000}"/>
    <cellStyle name="注释 2 11 4 12 2" xfId="26659" xr:uid="{00000000-0005-0000-0000-000053680000}"/>
    <cellStyle name="注释 2 11 4 13" xfId="26662" xr:uid="{00000000-0005-0000-0000-000056680000}"/>
    <cellStyle name="注释 2 11 4 14" xfId="26670" xr:uid="{00000000-0005-0000-0000-00005E680000}"/>
    <cellStyle name="注释 2 11 4 15" xfId="26677" xr:uid="{00000000-0005-0000-0000-000065680000}"/>
    <cellStyle name="注释 2 11 4 16" xfId="30505" xr:uid="{00000000-0005-0000-0000-000059770000}"/>
    <cellStyle name="注释 2 11 4 2" xfId="50869" xr:uid="{00000000-0005-0000-0000-0000E5C60000}"/>
    <cellStyle name="注释 2 11 4 2 2" xfId="39253" xr:uid="{00000000-0005-0000-0000-000085990000}"/>
    <cellStyle name="注释 2 11 4 2 2 2" xfId="50870" xr:uid="{00000000-0005-0000-0000-0000E6C60000}"/>
    <cellStyle name="注释 2 11 4 2 3" xfId="39255" xr:uid="{00000000-0005-0000-0000-000087990000}"/>
    <cellStyle name="注释 2 11 4 2 3 2" xfId="50872" xr:uid="{00000000-0005-0000-0000-0000E8C60000}"/>
    <cellStyle name="注释 2 11 4 2 4" xfId="11228" xr:uid="{00000000-0005-0000-0000-00000C2C0000}"/>
    <cellStyle name="注释 2 11 4 2 4 2" xfId="50874" xr:uid="{00000000-0005-0000-0000-0000EAC60000}"/>
    <cellStyle name="注释 2 11 4 2 5" xfId="39258" xr:uid="{00000000-0005-0000-0000-00008A990000}"/>
    <cellStyle name="注释 2 11 4 2 5 2" xfId="48885" xr:uid="{00000000-0005-0000-0000-000025BF0000}"/>
    <cellStyle name="注释 2 11 4 2 6" xfId="48888" xr:uid="{00000000-0005-0000-0000-000028BF0000}"/>
    <cellStyle name="注释 2 11 4 2 7" xfId="48892" xr:uid="{00000000-0005-0000-0000-00002CBF0000}"/>
    <cellStyle name="注释 2 11 4 2 8" xfId="46198" xr:uid="{00000000-0005-0000-0000-0000A6B40000}"/>
    <cellStyle name="注释 2 11 4 2 9" xfId="41954" xr:uid="{00000000-0005-0000-0000-000012A40000}"/>
    <cellStyle name="注释 2 11 4 3" xfId="26926" xr:uid="{00000000-0005-0000-0000-00005E690000}"/>
    <cellStyle name="注释 2 11 4 3 2" xfId="50876" xr:uid="{00000000-0005-0000-0000-0000ECC60000}"/>
    <cellStyle name="注释 2 11 4 3 2 2" xfId="50877" xr:uid="{00000000-0005-0000-0000-0000EDC60000}"/>
    <cellStyle name="注释 2 11 4 3 3" xfId="50878" xr:uid="{00000000-0005-0000-0000-0000EEC60000}"/>
    <cellStyle name="注释 2 11 4 3 3 2" xfId="50879" xr:uid="{00000000-0005-0000-0000-0000EFC60000}"/>
    <cellStyle name="注释 2 11 4 3 4" xfId="50880" xr:uid="{00000000-0005-0000-0000-0000F0C60000}"/>
    <cellStyle name="注释 2 11 4 3 4 2" xfId="50881" xr:uid="{00000000-0005-0000-0000-0000F1C60000}"/>
    <cellStyle name="注释 2 11 4 3 5" xfId="48916" xr:uid="{00000000-0005-0000-0000-000044BF0000}"/>
    <cellStyle name="注释 2 11 4 3 5 2" xfId="48918" xr:uid="{00000000-0005-0000-0000-000046BF0000}"/>
    <cellStyle name="注释 2 11 4 3 6" xfId="48921" xr:uid="{00000000-0005-0000-0000-000049BF0000}"/>
    <cellStyle name="注释 2 11 4 4" xfId="42885" xr:uid="{00000000-0005-0000-0000-0000B5A70000}"/>
    <cellStyle name="注释 2 11 4 4 2" xfId="50882" xr:uid="{00000000-0005-0000-0000-0000F2C60000}"/>
    <cellStyle name="注释 2 11 4 4 2 2" xfId="50883" xr:uid="{00000000-0005-0000-0000-0000F3C60000}"/>
    <cellStyle name="注释 2 11 4 4 3" xfId="50884" xr:uid="{00000000-0005-0000-0000-0000F4C60000}"/>
    <cellStyle name="注释 2 11 4 4 3 2" xfId="50885" xr:uid="{00000000-0005-0000-0000-0000F5C60000}"/>
    <cellStyle name="注释 2 11 4 4 4" xfId="20400" xr:uid="{00000000-0005-0000-0000-0000E04F0000}"/>
    <cellStyle name="注释 2 11 4 4 4 2" xfId="50886" xr:uid="{00000000-0005-0000-0000-0000F6C60000}"/>
    <cellStyle name="注释 2 11 4 4 5" xfId="48946" xr:uid="{00000000-0005-0000-0000-000062BF0000}"/>
    <cellStyle name="注释 2 11 4 4 5 2" xfId="48948" xr:uid="{00000000-0005-0000-0000-000064BF0000}"/>
    <cellStyle name="注释 2 11 4 4 6" xfId="48950" xr:uid="{00000000-0005-0000-0000-000066BF0000}"/>
    <cellStyle name="注释 2 11 4 5" xfId="50887" xr:uid="{00000000-0005-0000-0000-0000F7C60000}"/>
    <cellStyle name="注释 2 11 4 5 2" xfId="50888" xr:uid="{00000000-0005-0000-0000-0000F8C60000}"/>
    <cellStyle name="注释 2 11 4 5 2 2" xfId="49063" xr:uid="{00000000-0005-0000-0000-0000D7BF0000}"/>
    <cellStyle name="注释 2 11 4 5 3" xfId="50889" xr:uid="{00000000-0005-0000-0000-0000F9C60000}"/>
    <cellStyle name="注释 2 11 4 5 3 2" xfId="49072" xr:uid="{00000000-0005-0000-0000-0000E0BF0000}"/>
    <cellStyle name="注释 2 11 4 5 4" xfId="38049" xr:uid="{00000000-0005-0000-0000-0000D1940000}"/>
    <cellStyle name="注释 2 11 4 5 4 2" xfId="49081" xr:uid="{00000000-0005-0000-0000-0000E9BF0000}"/>
    <cellStyle name="注释 2 11 4 5 5" xfId="48959" xr:uid="{00000000-0005-0000-0000-00006FBF0000}"/>
    <cellStyle name="注释 2 11 4 5 5 2" xfId="48962" xr:uid="{00000000-0005-0000-0000-000072BF0000}"/>
    <cellStyle name="注释 2 11 4 5 6" xfId="48964" xr:uid="{00000000-0005-0000-0000-000074BF0000}"/>
    <cellStyle name="注释 2 11 4 6" xfId="50890" xr:uid="{00000000-0005-0000-0000-0000FAC60000}"/>
    <cellStyle name="注释 2 11 4 6 2" xfId="50891" xr:uid="{00000000-0005-0000-0000-0000FBC60000}"/>
    <cellStyle name="注释 2 11 4 6 2 2" xfId="49123" xr:uid="{00000000-0005-0000-0000-000013C00000}"/>
    <cellStyle name="注释 2 11 4 6 3" xfId="50892" xr:uid="{00000000-0005-0000-0000-0000FCC60000}"/>
    <cellStyle name="注释 2 11 4 6 3 2" xfId="49133" xr:uid="{00000000-0005-0000-0000-00001DC00000}"/>
    <cellStyle name="注释 2 11 4 6 4" xfId="38053" xr:uid="{00000000-0005-0000-0000-0000D5940000}"/>
    <cellStyle name="注释 2 11 4 6 4 2" xfId="49143" xr:uid="{00000000-0005-0000-0000-000027C00000}"/>
    <cellStyle name="注释 2 11 4 6 5" xfId="48976" xr:uid="{00000000-0005-0000-0000-000080BF0000}"/>
    <cellStyle name="注释 2 11 4 6 5 2" xfId="48979" xr:uid="{00000000-0005-0000-0000-000083BF0000}"/>
    <cellStyle name="注释 2 11 4 6 6" xfId="48981" xr:uid="{00000000-0005-0000-0000-000085BF0000}"/>
    <cellStyle name="注释 2 11 4 7" xfId="1326" xr:uid="{00000000-0005-0000-0000-00005E050000}"/>
    <cellStyle name="注释 2 11 4 7 2" xfId="39346" xr:uid="{00000000-0005-0000-0000-0000E2990000}"/>
    <cellStyle name="注释 2 11 4 7 2 2" xfId="49183" xr:uid="{00000000-0005-0000-0000-00004FC00000}"/>
    <cellStyle name="注释 2 11 4 7 3" xfId="39349" xr:uid="{00000000-0005-0000-0000-0000E5990000}"/>
    <cellStyle name="注释 2 11 4 7 3 2" xfId="49196" xr:uid="{00000000-0005-0000-0000-00005CC00000}"/>
    <cellStyle name="注释 2 11 4 7 4" xfId="38058" xr:uid="{00000000-0005-0000-0000-0000DA940000}"/>
    <cellStyle name="注释 2 11 4 7 4 2" xfId="49207" xr:uid="{00000000-0005-0000-0000-000067C00000}"/>
    <cellStyle name="注释 2 11 4 7 5" xfId="7283" xr:uid="{00000000-0005-0000-0000-0000A31C0000}"/>
    <cellStyle name="注释 2 11 4 7 5 2" xfId="48992" xr:uid="{00000000-0005-0000-0000-000090BF0000}"/>
    <cellStyle name="注释 2 11 4 7 6" xfId="48994" xr:uid="{00000000-0005-0000-0000-000092BF0000}"/>
    <cellStyle name="注释 2 11 4 8" xfId="50893" xr:uid="{00000000-0005-0000-0000-0000FDC60000}"/>
    <cellStyle name="注释 2 11 4 8 2" xfId="50894" xr:uid="{00000000-0005-0000-0000-0000FEC60000}"/>
    <cellStyle name="注释 2 11 4 8 2 2" xfId="49250" xr:uid="{00000000-0005-0000-0000-000092C00000}"/>
    <cellStyle name="注释 2 11 4 8 3" xfId="49130" xr:uid="{00000000-0005-0000-0000-00001AC00000}"/>
    <cellStyle name="注释 2 11 4 8 3 2" xfId="49259" xr:uid="{00000000-0005-0000-0000-00009BC00000}"/>
    <cellStyle name="注释 2 11 4 8 4" xfId="50895" xr:uid="{00000000-0005-0000-0000-0000FFC60000}"/>
    <cellStyle name="注释 2 11 4 8 4 2" xfId="49267" xr:uid="{00000000-0005-0000-0000-0000A3C00000}"/>
    <cellStyle name="注释 2 11 4 8 5" xfId="15917" xr:uid="{00000000-0005-0000-0000-00005D3E0000}"/>
    <cellStyle name="注释 2 11 4 9" xfId="1354" xr:uid="{00000000-0005-0000-0000-00007A050000}"/>
    <cellStyle name="注释 2 11 4 9 2" xfId="35138" xr:uid="{00000000-0005-0000-0000-000072890000}"/>
    <cellStyle name="注释 2 11 5" xfId="50896" xr:uid="{00000000-0005-0000-0000-000000C70000}"/>
    <cellStyle name="注释 2 11 5 10" xfId="50897" xr:uid="{00000000-0005-0000-0000-000001C70000}"/>
    <cellStyle name="注释 2 11 5 10 2" xfId="50898" xr:uid="{00000000-0005-0000-0000-000002C70000}"/>
    <cellStyle name="注释 2 11 5 11" xfId="50899" xr:uid="{00000000-0005-0000-0000-000003C70000}"/>
    <cellStyle name="注释 2 11 5 11 2" xfId="50900" xr:uid="{00000000-0005-0000-0000-000004C70000}"/>
    <cellStyle name="注释 2 11 5 12" xfId="42370" xr:uid="{00000000-0005-0000-0000-0000B2A50000}"/>
    <cellStyle name="注释 2 11 5 12 2" xfId="50901" xr:uid="{00000000-0005-0000-0000-000005C70000}"/>
    <cellStyle name="注释 2 11 5 13" xfId="50902" xr:uid="{00000000-0005-0000-0000-000006C70000}"/>
    <cellStyle name="注释 2 11 5 14" xfId="50903" xr:uid="{00000000-0005-0000-0000-000007C70000}"/>
    <cellStyle name="注释 2 11 5 15" xfId="33290" xr:uid="{00000000-0005-0000-0000-00003A820000}"/>
    <cellStyle name="注释 2 11 5 16" xfId="50904" xr:uid="{00000000-0005-0000-0000-000008C70000}"/>
    <cellStyle name="注释 2 11 5 2" xfId="32101" xr:uid="{00000000-0005-0000-0000-0000957D0000}"/>
    <cellStyle name="注释 2 11 5 2 2" xfId="33823" xr:uid="{00000000-0005-0000-0000-00004F840000}"/>
    <cellStyle name="注释 2 11 5 2 2 2" xfId="33825" xr:uid="{00000000-0005-0000-0000-000051840000}"/>
    <cellStyle name="注释 2 11 5 2 3" xfId="33829" xr:uid="{00000000-0005-0000-0000-000055840000}"/>
    <cellStyle name="注释 2 11 5 2 3 2" xfId="33831" xr:uid="{00000000-0005-0000-0000-000057840000}"/>
    <cellStyle name="注释 2 11 5 2 4" xfId="25386" xr:uid="{00000000-0005-0000-0000-00005A630000}"/>
    <cellStyle name="注释 2 11 5 2 4 2" xfId="33834" xr:uid="{00000000-0005-0000-0000-00005A840000}"/>
    <cellStyle name="注释 2 11 5 2 5" xfId="33838" xr:uid="{00000000-0005-0000-0000-00005E840000}"/>
    <cellStyle name="注释 2 11 5 2 5 2" xfId="50905" xr:uid="{00000000-0005-0000-0000-000009C70000}"/>
    <cellStyle name="注释 2 11 5 2 6" xfId="50907" xr:uid="{00000000-0005-0000-0000-00000BC70000}"/>
    <cellStyle name="注释 2 11 5 2 7" xfId="50908" xr:uid="{00000000-0005-0000-0000-00000CC70000}"/>
    <cellStyle name="注释 2 11 5 2 8" xfId="46207" xr:uid="{00000000-0005-0000-0000-0000AFB40000}"/>
    <cellStyle name="注释 2 11 5 2 9" xfId="42056" xr:uid="{00000000-0005-0000-0000-000078A40000}"/>
    <cellStyle name="注释 2 11 5 3" xfId="33877" xr:uid="{00000000-0005-0000-0000-000085840000}"/>
    <cellStyle name="注释 2 11 5 3 2" xfId="50909" xr:uid="{00000000-0005-0000-0000-00000DC70000}"/>
    <cellStyle name="注释 2 11 5 3 2 2" xfId="50910" xr:uid="{00000000-0005-0000-0000-00000EC70000}"/>
    <cellStyle name="注释 2 11 5 3 3" xfId="44656" xr:uid="{00000000-0005-0000-0000-0000A0AE0000}"/>
    <cellStyle name="注释 2 11 5 3 3 2" xfId="50911" xr:uid="{00000000-0005-0000-0000-00000FC70000}"/>
    <cellStyle name="注释 2 11 5 3 4" xfId="50912" xr:uid="{00000000-0005-0000-0000-000010C70000}"/>
    <cellStyle name="注释 2 11 5 3 4 2" xfId="50913" xr:uid="{00000000-0005-0000-0000-000011C70000}"/>
    <cellStyle name="注释 2 11 5 3 5" xfId="50914" xr:uid="{00000000-0005-0000-0000-000012C70000}"/>
    <cellStyle name="注释 2 11 5 3 5 2" xfId="50915" xr:uid="{00000000-0005-0000-0000-000013C70000}"/>
    <cellStyle name="注释 2 11 5 3 6" xfId="50916" xr:uid="{00000000-0005-0000-0000-000014C70000}"/>
    <cellStyle name="注释 2 11 5 4" xfId="33880" xr:uid="{00000000-0005-0000-0000-000088840000}"/>
    <cellStyle name="注释 2 11 5 4 2" xfId="50917" xr:uid="{00000000-0005-0000-0000-000015C70000}"/>
    <cellStyle name="注释 2 11 5 4 2 2" xfId="50918" xr:uid="{00000000-0005-0000-0000-000016C70000}"/>
    <cellStyle name="注释 2 11 5 4 3" xfId="50919" xr:uid="{00000000-0005-0000-0000-000017C70000}"/>
    <cellStyle name="注释 2 11 5 4 3 2" xfId="50920" xr:uid="{00000000-0005-0000-0000-000018C70000}"/>
    <cellStyle name="注释 2 11 5 4 4" xfId="38062" xr:uid="{00000000-0005-0000-0000-0000DE940000}"/>
    <cellStyle name="注释 2 11 5 4 4 2" xfId="34157" xr:uid="{00000000-0005-0000-0000-00009D850000}"/>
    <cellStyle name="注释 2 11 5 4 5" xfId="50921" xr:uid="{00000000-0005-0000-0000-000019C70000}"/>
    <cellStyle name="注释 2 11 5 4 5 2" xfId="34175" xr:uid="{00000000-0005-0000-0000-0000AF850000}"/>
    <cellStyle name="注释 2 11 5 4 6" xfId="50922" xr:uid="{00000000-0005-0000-0000-00001AC70000}"/>
    <cellStyle name="注释 2 11 5 5" xfId="33882" xr:uid="{00000000-0005-0000-0000-00008A840000}"/>
    <cellStyle name="注释 2 11 5 5 2" xfId="50923" xr:uid="{00000000-0005-0000-0000-00001BC70000}"/>
    <cellStyle name="注释 2 11 5 5 2 2" xfId="49644" xr:uid="{00000000-0005-0000-0000-00001CC20000}"/>
    <cellStyle name="注释 2 11 5 5 3" xfId="50924" xr:uid="{00000000-0005-0000-0000-00001CC70000}"/>
    <cellStyle name="注释 2 11 5 5 3 2" xfId="49655" xr:uid="{00000000-0005-0000-0000-000027C20000}"/>
    <cellStyle name="注释 2 11 5 5 4" xfId="37179" xr:uid="{00000000-0005-0000-0000-00006B910000}"/>
    <cellStyle name="注释 2 11 5 5 4 2" xfId="49664" xr:uid="{00000000-0005-0000-0000-000030C20000}"/>
    <cellStyle name="注释 2 11 5 5 5" xfId="50925" xr:uid="{00000000-0005-0000-0000-00001DC70000}"/>
    <cellStyle name="注释 2 11 5 5 5 2" xfId="49673" xr:uid="{00000000-0005-0000-0000-000039C20000}"/>
    <cellStyle name="注释 2 11 5 5 6" xfId="50926" xr:uid="{00000000-0005-0000-0000-00001EC70000}"/>
    <cellStyle name="注释 2 11 5 6" xfId="50927" xr:uid="{00000000-0005-0000-0000-00001FC70000}"/>
    <cellStyle name="注释 2 11 5 6 2" xfId="50928" xr:uid="{00000000-0005-0000-0000-000020C70000}"/>
    <cellStyle name="注释 2 11 5 6 2 2" xfId="49714" xr:uid="{00000000-0005-0000-0000-000062C20000}"/>
    <cellStyle name="注释 2 11 5 6 3" xfId="50929" xr:uid="{00000000-0005-0000-0000-000021C70000}"/>
    <cellStyle name="注释 2 11 5 6 3 2" xfId="49727" xr:uid="{00000000-0005-0000-0000-00006FC20000}"/>
    <cellStyle name="注释 2 11 5 6 4" xfId="37185" xr:uid="{00000000-0005-0000-0000-000071910000}"/>
    <cellStyle name="注释 2 11 5 6 4 2" xfId="49737" xr:uid="{00000000-0005-0000-0000-000079C20000}"/>
    <cellStyle name="注释 2 11 5 6 5" xfId="50930" xr:uid="{00000000-0005-0000-0000-000022C70000}"/>
    <cellStyle name="注释 2 11 5 6 5 2" xfId="49747" xr:uid="{00000000-0005-0000-0000-000083C20000}"/>
    <cellStyle name="注释 2 11 5 6 6" xfId="50931" xr:uid="{00000000-0005-0000-0000-000023C70000}"/>
    <cellStyle name="注释 2 11 5 7" xfId="33952" xr:uid="{00000000-0005-0000-0000-0000D0840000}"/>
    <cellStyle name="注释 2 11 5 7 2" xfId="50932" xr:uid="{00000000-0005-0000-0000-000024C70000}"/>
    <cellStyle name="注释 2 11 5 7 2 2" xfId="49795" xr:uid="{00000000-0005-0000-0000-0000B3C20000}"/>
    <cellStyle name="注释 2 11 5 7 3" xfId="49137" xr:uid="{00000000-0005-0000-0000-000021C00000}"/>
    <cellStyle name="注释 2 11 5 7 3 2" xfId="49806" xr:uid="{00000000-0005-0000-0000-0000BEC20000}"/>
    <cellStyle name="注释 2 11 5 7 4" xfId="37191" xr:uid="{00000000-0005-0000-0000-000077910000}"/>
    <cellStyle name="注释 2 11 5 7 4 2" xfId="49816" xr:uid="{00000000-0005-0000-0000-0000C8C20000}"/>
    <cellStyle name="注释 2 11 5 7 5" xfId="15941" xr:uid="{00000000-0005-0000-0000-0000753E0000}"/>
    <cellStyle name="注释 2 11 5 7 5 2" xfId="49827" xr:uid="{00000000-0005-0000-0000-0000D3C20000}"/>
    <cellStyle name="注释 2 11 5 7 6" xfId="50933" xr:uid="{00000000-0005-0000-0000-000025C70000}"/>
    <cellStyle name="注释 2 11 5 8" xfId="50934" xr:uid="{00000000-0005-0000-0000-000026C70000}"/>
    <cellStyle name="注释 2 11 5 8 2" xfId="50935" xr:uid="{00000000-0005-0000-0000-000027C70000}"/>
    <cellStyle name="注释 2 11 5 8 2 2" xfId="49880" xr:uid="{00000000-0005-0000-0000-000008C30000}"/>
    <cellStyle name="注释 2 11 5 8 3" xfId="49140" xr:uid="{00000000-0005-0000-0000-000024C00000}"/>
    <cellStyle name="注释 2 11 5 8 3 2" xfId="49891" xr:uid="{00000000-0005-0000-0000-000013C30000}"/>
    <cellStyle name="注释 2 11 5 8 4" xfId="37195" xr:uid="{00000000-0005-0000-0000-00007B910000}"/>
    <cellStyle name="注释 2 11 5 8 4 2" xfId="49898" xr:uid="{00000000-0005-0000-0000-00001AC30000}"/>
    <cellStyle name="注释 2 11 5 8 5" xfId="15945" xr:uid="{00000000-0005-0000-0000-0000793E0000}"/>
    <cellStyle name="注释 2 11 5 9" xfId="3636" xr:uid="{00000000-0005-0000-0000-0000640E0000}"/>
    <cellStyle name="注释 2 11 5 9 2" xfId="35151" xr:uid="{00000000-0005-0000-0000-00007F890000}"/>
    <cellStyle name="注释 2 11 6" xfId="50936" xr:uid="{00000000-0005-0000-0000-000028C70000}"/>
    <cellStyle name="注释 2 11 6 10" xfId="50937" xr:uid="{00000000-0005-0000-0000-000029C70000}"/>
    <cellStyle name="注释 2 11 6 10 2" xfId="50938" xr:uid="{00000000-0005-0000-0000-00002AC70000}"/>
    <cellStyle name="注释 2 11 6 11" xfId="50940" xr:uid="{00000000-0005-0000-0000-00002CC70000}"/>
    <cellStyle name="注释 2 11 6 11 2" xfId="50941" xr:uid="{00000000-0005-0000-0000-00002DC70000}"/>
    <cellStyle name="注释 2 11 6 12" xfId="50942" xr:uid="{00000000-0005-0000-0000-00002EC70000}"/>
    <cellStyle name="注释 2 11 6 12 2" xfId="50943" xr:uid="{00000000-0005-0000-0000-00002FC70000}"/>
    <cellStyle name="注释 2 11 6 13" xfId="50944" xr:uid="{00000000-0005-0000-0000-000030C70000}"/>
    <cellStyle name="注释 2 11 6 14" xfId="50945" xr:uid="{00000000-0005-0000-0000-000031C70000}"/>
    <cellStyle name="注释 2 11 6 15" xfId="50946" xr:uid="{00000000-0005-0000-0000-000032C70000}"/>
    <cellStyle name="注释 2 11 6 16" xfId="50947" xr:uid="{00000000-0005-0000-0000-000033C70000}"/>
    <cellStyle name="注释 2 11 6 2" xfId="50948" xr:uid="{00000000-0005-0000-0000-000034C70000}"/>
    <cellStyle name="注释 2 11 6 2 2" xfId="50949" xr:uid="{00000000-0005-0000-0000-000035C70000}"/>
    <cellStyle name="注释 2 11 6 2 2 2" xfId="50950" xr:uid="{00000000-0005-0000-0000-000036C70000}"/>
    <cellStyle name="注释 2 11 6 2 3" xfId="50952" xr:uid="{00000000-0005-0000-0000-000038C70000}"/>
    <cellStyle name="注释 2 11 6 2 3 2" xfId="50953" xr:uid="{00000000-0005-0000-0000-000039C70000}"/>
    <cellStyle name="注释 2 11 6 2 4" xfId="50955" xr:uid="{00000000-0005-0000-0000-00003BC70000}"/>
    <cellStyle name="注释 2 11 6 2 4 2" xfId="50956" xr:uid="{00000000-0005-0000-0000-00003CC70000}"/>
    <cellStyle name="注释 2 11 6 2 5" xfId="42191" xr:uid="{00000000-0005-0000-0000-0000FFA40000}"/>
    <cellStyle name="注释 2 11 6 2 5 2" xfId="50958" xr:uid="{00000000-0005-0000-0000-00003EC70000}"/>
    <cellStyle name="注释 2 11 6 2 6" xfId="50960" xr:uid="{00000000-0005-0000-0000-000040C70000}"/>
    <cellStyle name="注释 2 11 6 2 7" xfId="50961" xr:uid="{00000000-0005-0000-0000-000041C70000}"/>
    <cellStyle name="注释 2 11 6 2 8" xfId="50962" xr:uid="{00000000-0005-0000-0000-000042C70000}"/>
    <cellStyle name="注释 2 11 6 2 9" xfId="42076" xr:uid="{00000000-0005-0000-0000-00008CA40000}"/>
    <cellStyle name="注释 2 11 6 3" xfId="50963" xr:uid="{00000000-0005-0000-0000-000043C70000}"/>
    <cellStyle name="注释 2 11 6 3 2" xfId="50964" xr:uid="{00000000-0005-0000-0000-000044C70000}"/>
    <cellStyle name="注释 2 11 6 3 2 2" xfId="50965" xr:uid="{00000000-0005-0000-0000-000045C70000}"/>
    <cellStyle name="注释 2 11 6 3 3" xfId="50966" xr:uid="{00000000-0005-0000-0000-000046C70000}"/>
    <cellStyle name="注释 2 11 6 3 3 2" xfId="50967" xr:uid="{00000000-0005-0000-0000-000047C70000}"/>
    <cellStyle name="注释 2 11 6 3 4" xfId="50968" xr:uid="{00000000-0005-0000-0000-000048C70000}"/>
    <cellStyle name="注释 2 11 6 3 4 2" xfId="50969" xr:uid="{00000000-0005-0000-0000-000049C70000}"/>
    <cellStyle name="注释 2 11 6 3 5" xfId="50970" xr:uid="{00000000-0005-0000-0000-00004AC70000}"/>
    <cellStyle name="注释 2 11 6 3 5 2" xfId="50971" xr:uid="{00000000-0005-0000-0000-00004BC70000}"/>
    <cellStyle name="注释 2 11 6 3 6" xfId="50972" xr:uid="{00000000-0005-0000-0000-00004CC70000}"/>
    <cellStyle name="注释 2 11 6 4" xfId="42887" xr:uid="{00000000-0005-0000-0000-0000B7A70000}"/>
    <cellStyle name="注释 2 11 6 4 2" xfId="50973" xr:uid="{00000000-0005-0000-0000-00004DC70000}"/>
    <cellStyle name="注释 2 11 6 4 2 2" xfId="50974" xr:uid="{00000000-0005-0000-0000-00004EC70000}"/>
    <cellStyle name="注释 2 11 6 4 3" xfId="50975" xr:uid="{00000000-0005-0000-0000-00004FC70000}"/>
    <cellStyle name="注释 2 11 6 4 3 2" xfId="50976" xr:uid="{00000000-0005-0000-0000-000050C70000}"/>
    <cellStyle name="注释 2 11 6 4 4" xfId="38066" xr:uid="{00000000-0005-0000-0000-0000E2940000}"/>
    <cellStyle name="注释 2 11 6 4 4 2" xfId="50977" xr:uid="{00000000-0005-0000-0000-000051C70000}"/>
    <cellStyle name="注释 2 11 6 4 5" xfId="50978" xr:uid="{00000000-0005-0000-0000-000052C70000}"/>
    <cellStyle name="注释 2 11 6 4 5 2" xfId="50979" xr:uid="{00000000-0005-0000-0000-000053C70000}"/>
    <cellStyle name="注释 2 11 6 4 6" xfId="50980" xr:uid="{00000000-0005-0000-0000-000054C70000}"/>
    <cellStyle name="注释 2 11 6 5" xfId="50981" xr:uid="{00000000-0005-0000-0000-000055C70000}"/>
    <cellStyle name="注释 2 11 6 5 2" xfId="50982" xr:uid="{00000000-0005-0000-0000-000056C70000}"/>
    <cellStyle name="注释 2 11 6 5 2 2" xfId="6726" xr:uid="{00000000-0005-0000-0000-0000761A0000}"/>
    <cellStyle name="注释 2 11 6 5 3" xfId="50983" xr:uid="{00000000-0005-0000-0000-000057C70000}"/>
    <cellStyle name="注释 2 11 6 5 3 2" xfId="6930" xr:uid="{00000000-0005-0000-0000-0000421B0000}"/>
    <cellStyle name="注释 2 11 6 5 4" xfId="37206" xr:uid="{00000000-0005-0000-0000-000086910000}"/>
    <cellStyle name="注释 2 11 6 5 4 2" xfId="6993" xr:uid="{00000000-0005-0000-0000-0000811B0000}"/>
    <cellStyle name="注释 2 11 6 5 5" xfId="50984" xr:uid="{00000000-0005-0000-0000-000058C70000}"/>
    <cellStyle name="注释 2 11 6 5 5 2" xfId="7054" xr:uid="{00000000-0005-0000-0000-0000BE1B0000}"/>
    <cellStyle name="注释 2 11 6 5 6" xfId="50985" xr:uid="{00000000-0005-0000-0000-000059C70000}"/>
    <cellStyle name="注释 2 11 6 6" xfId="50986" xr:uid="{00000000-0005-0000-0000-00005AC70000}"/>
    <cellStyle name="注释 2 11 6 6 2" xfId="50987" xr:uid="{00000000-0005-0000-0000-00005BC70000}"/>
    <cellStyle name="注释 2 11 6 6 2 2" xfId="50988" xr:uid="{00000000-0005-0000-0000-00005CC70000}"/>
    <cellStyle name="注释 2 11 6 6 3" xfId="30510" xr:uid="{00000000-0005-0000-0000-00005E770000}"/>
    <cellStyle name="注释 2 11 6 6 3 2" xfId="30517" xr:uid="{00000000-0005-0000-0000-000065770000}"/>
    <cellStyle name="注释 2 11 6 6 4" xfId="30560" xr:uid="{00000000-0005-0000-0000-000090770000}"/>
    <cellStyle name="注释 2 11 6 6 4 2" xfId="30572" xr:uid="{00000000-0005-0000-0000-00009C770000}"/>
    <cellStyle name="注释 2 11 6 6 5" xfId="30647" xr:uid="{00000000-0005-0000-0000-0000E7770000}"/>
    <cellStyle name="注释 2 11 6 6 5 2" xfId="30649" xr:uid="{00000000-0005-0000-0000-0000E9770000}"/>
    <cellStyle name="注释 2 11 6 6 6" xfId="30673" xr:uid="{00000000-0005-0000-0000-000001780000}"/>
    <cellStyle name="注释 2 11 6 7" xfId="33958" xr:uid="{00000000-0005-0000-0000-0000D6840000}"/>
    <cellStyle name="注释 2 11 6 7 2" xfId="50989" xr:uid="{00000000-0005-0000-0000-00005DC70000}"/>
    <cellStyle name="注释 2 11 6 7 2 2" xfId="50990" xr:uid="{00000000-0005-0000-0000-00005EC70000}"/>
    <cellStyle name="注释 2 11 6 7 3" xfId="49148" xr:uid="{00000000-0005-0000-0000-00002CC00000}"/>
    <cellStyle name="注释 2 11 6 7 3 2" xfId="50991" xr:uid="{00000000-0005-0000-0000-00005FC70000}"/>
    <cellStyle name="注释 2 11 6 7 4" xfId="37215" xr:uid="{00000000-0005-0000-0000-00008F910000}"/>
    <cellStyle name="注释 2 11 6 7 4 2" xfId="50992" xr:uid="{00000000-0005-0000-0000-000060C70000}"/>
    <cellStyle name="注释 2 11 6 7 5" xfId="15961" xr:uid="{00000000-0005-0000-0000-0000893E0000}"/>
    <cellStyle name="注释 2 11 6 7 5 2" xfId="50993" xr:uid="{00000000-0005-0000-0000-000061C70000}"/>
    <cellStyle name="注释 2 11 6 7 6" xfId="50994" xr:uid="{00000000-0005-0000-0000-000062C70000}"/>
    <cellStyle name="注释 2 11 6 8" xfId="50995" xr:uid="{00000000-0005-0000-0000-000063C70000}"/>
    <cellStyle name="注释 2 11 6 8 2" xfId="50996" xr:uid="{00000000-0005-0000-0000-000064C70000}"/>
    <cellStyle name="注释 2 11 6 8 2 2" xfId="50997" xr:uid="{00000000-0005-0000-0000-000065C70000}"/>
    <cellStyle name="注释 2 11 6 8 3" xfId="49151" xr:uid="{00000000-0005-0000-0000-00002FC00000}"/>
    <cellStyle name="注释 2 11 6 8 3 2" xfId="50998" xr:uid="{00000000-0005-0000-0000-000066C70000}"/>
    <cellStyle name="注释 2 11 6 8 4" xfId="37219" xr:uid="{00000000-0005-0000-0000-000093910000}"/>
    <cellStyle name="注释 2 11 6 8 4 2" xfId="50999" xr:uid="{00000000-0005-0000-0000-000067C70000}"/>
    <cellStyle name="注释 2 11 6 8 5" xfId="15969" xr:uid="{00000000-0005-0000-0000-0000913E0000}"/>
    <cellStyle name="注释 2 11 6 9" xfId="3687" xr:uid="{00000000-0005-0000-0000-0000970E0000}"/>
    <cellStyle name="注释 2 11 6 9 2" xfId="35164" xr:uid="{00000000-0005-0000-0000-00008C890000}"/>
    <cellStyle name="注释 2 11 7" xfId="51000" xr:uid="{00000000-0005-0000-0000-000068C70000}"/>
    <cellStyle name="注释 2 11 7 10" xfId="36873" xr:uid="{00000000-0005-0000-0000-000039900000}"/>
    <cellStyle name="注释 2 11 7 10 2" xfId="34458" xr:uid="{00000000-0005-0000-0000-0000CA860000}"/>
    <cellStyle name="注释 2 11 7 11" xfId="36875" xr:uid="{00000000-0005-0000-0000-00003B900000}"/>
    <cellStyle name="注释 2 11 7 11 2" xfId="36877" xr:uid="{00000000-0005-0000-0000-00003D900000}"/>
    <cellStyle name="注释 2 11 7 12" xfId="32110" xr:uid="{00000000-0005-0000-0000-00009E7D0000}"/>
    <cellStyle name="注释 2 11 7 12 2" xfId="51001" xr:uid="{00000000-0005-0000-0000-000069C70000}"/>
    <cellStyle name="注释 2 11 7 13" xfId="51002" xr:uid="{00000000-0005-0000-0000-00006AC70000}"/>
    <cellStyle name="注释 2 11 7 14" xfId="39407" xr:uid="{00000000-0005-0000-0000-00001F9A0000}"/>
    <cellStyle name="注释 2 11 7 15" xfId="51003" xr:uid="{00000000-0005-0000-0000-00006BC70000}"/>
    <cellStyle name="注释 2 11 7 16" xfId="51004" xr:uid="{00000000-0005-0000-0000-00006CC70000}"/>
    <cellStyle name="注释 2 11 7 2" xfId="51005" xr:uid="{00000000-0005-0000-0000-00006DC70000}"/>
    <cellStyle name="注释 2 11 7 2 2" xfId="51006" xr:uid="{00000000-0005-0000-0000-00006EC70000}"/>
    <cellStyle name="注释 2 11 7 2 2 2" xfId="51007" xr:uid="{00000000-0005-0000-0000-00006FC70000}"/>
    <cellStyle name="注释 2 11 7 2 3" xfId="51008" xr:uid="{00000000-0005-0000-0000-000070C70000}"/>
    <cellStyle name="注释 2 11 7 2 3 2" xfId="37841" xr:uid="{00000000-0005-0000-0000-000001940000}"/>
    <cellStyle name="注释 2 11 7 2 4" xfId="51009" xr:uid="{00000000-0005-0000-0000-000071C70000}"/>
    <cellStyle name="注释 2 11 7 2 4 2" xfId="51010" xr:uid="{00000000-0005-0000-0000-000072C70000}"/>
    <cellStyle name="注释 2 11 7 2 5" xfId="42201" xr:uid="{00000000-0005-0000-0000-000009A50000}"/>
    <cellStyle name="注释 2 11 7 2 5 2" xfId="51011" xr:uid="{00000000-0005-0000-0000-000073C70000}"/>
    <cellStyle name="注释 2 11 7 2 6" xfId="51013" xr:uid="{00000000-0005-0000-0000-000075C70000}"/>
    <cellStyle name="注释 2 11 7 2 7" xfId="51014" xr:uid="{00000000-0005-0000-0000-000076C70000}"/>
    <cellStyle name="注释 2 11 7 2 8" xfId="1685" xr:uid="{00000000-0005-0000-0000-0000C5060000}"/>
    <cellStyle name="注释 2 11 7 2 9" xfId="42089" xr:uid="{00000000-0005-0000-0000-000099A40000}"/>
    <cellStyle name="注释 2 11 7 3" xfId="51015" xr:uid="{00000000-0005-0000-0000-000077C70000}"/>
    <cellStyle name="注释 2 11 7 3 2" xfId="51016" xr:uid="{00000000-0005-0000-0000-000078C70000}"/>
    <cellStyle name="注释 2 11 7 3 2 2" xfId="51017" xr:uid="{00000000-0005-0000-0000-000079C70000}"/>
    <cellStyle name="注释 2 11 7 3 3" xfId="51018" xr:uid="{00000000-0005-0000-0000-00007AC70000}"/>
    <cellStyle name="注释 2 11 7 3 3 2" xfId="51019" xr:uid="{00000000-0005-0000-0000-00007BC70000}"/>
    <cellStyle name="注释 2 11 7 3 4" xfId="51020" xr:uid="{00000000-0005-0000-0000-00007CC70000}"/>
    <cellStyle name="注释 2 11 7 3 4 2" xfId="51021" xr:uid="{00000000-0005-0000-0000-00007DC70000}"/>
    <cellStyle name="注释 2 11 7 3 5" xfId="51022" xr:uid="{00000000-0005-0000-0000-00007EC70000}"/>
    <cellStyle name="注释 2 11 7 3 5 2" xfId="51023" xr:uid="{00000000-0005-0000-0000-00007FC70000}"/>
    <cellStyle name="注释 2 11 7 3 6" xfId="51024" xr:uid="{00000000-0005-0000-0000-000080C70000}"/>
    <cellStyle name="注释 2 11 7 4" xfId="51025" xr:uid="{00000000-0005-0000-0000-000081C70000}"/>
    <cellStyle name="注释 2 11 7 4 2" xfId="51026" xr:uid="{00000000-0005-0000-0000-000082C70000}"/>
    <cellStyle name="注释 2 11 7 4 2 2" xfId="51027" xr:uid="{00000000-0005-0000-0000-000083C70000}"/>
    <cellStyle name="注释 2 11 7 4 3" xfId="51028" xr:uid="{00000000-0005-0000-0000-000084C70000}"/>
    <cellStyle name="注释 2 11 7 4 3 2" xfId="51029" xr:uid="{00000000-0005-0000-0000-000085C70000}"/>
    <cellStyle name="注释 2 11 7 4 4" xfId="38069" xr:uid="{00000000-0005-0000-0000-0000E5940000}"/>
    <cellStyle name="注释 2 11 7 4 4 2" xfId="51030" xr:uid="{00000000-0005-0000-0000-000086C70000}"/>
    <cellStyle name="注释 2 11 7 4 5" xfId="51031" xr:uid="{00000000-0005-0000-0000-000087C70000}"/>
    <cellStyle name="注释 2 11 7 4 5 2" xfId="51032" xr:uid="{00000000-0005-0000-0000-000088C70000}"/>
    <cellStyle name="注释 2 11 7 4 6" xfId="51033" xr:uid="{00000000-0005-0000-0000-000089C70000}"/>
    <cellStyle name="注释 2 11 7 5" xfId="51034" xr:uid="{00000000-0005-0000-0000-00008AC70000}"/>
    <cellStyle name="注释 2 11 7 5 2" xfId="51035" xr:uid="{00000000-0005-0000-0000-00008BC70000}"/>
    <cellStyle name="注释 2 11 7 5 2 2" xfId="51036" xr:uid="{00000000-0005-0000-0000-00008CC70000}"/>
    <cellStyle name="注释 2 11 7 5 3" xfId="51037" xr:uid="{00000000-0005-0000-0000-00008DC70000}"/>
    <cellStyle name="注释 2 11 7 5 3 2" xfId="51038" xr:uid="{00000000-0005-0000-0000-00008EC70000}"/>
    <cellStyle name="注释 2 11 7 5 4" xfId="34271" xr:uid="{00000000-0005-0000-0000-00000F860000}"/>
    <cellStyle name="注释 2 11 7 5 4 2" xfId="51039" xr:uid="{00000000-0005-0000-0000-00008FC70000}"/>
    <cellStyle name="注释 2 11 7 5 5" xfId="51040" xr:uid="{00000000-0005-0000-0000-000090C70000}"/>
    <cellStyle name="注释 2 11 7 5 5 2" xfId="51041" xr:uid="{00000000-0005-0000-0000-000091C70000}"/>
    <cellStyle name="注释 2 11 7 5 6" xfId="51042" xr:uid="{00000000-0005-0000-0000-000092C70000}"/>
    <cellStyle name="注释 2 11 7 6" xfId="51043" xr:uid="{00000000-0005-0000-0000-000093C70000}"/>
    <cellStyle name="注释 2 11 7 6 2" xfId="51044" xr:uid="{00000000-0005-0000-0000-000094C70000}"/>
    <cellStyle name="注释 2 11 7 6 2 2" xfId="51045" xr:uid="{00000000-0005-0000-0000-000095C70000}"/>
    <cellStyle name="注释 2 11 7 6 3" xfId="51046" xr:uid="{00000000-0005-0000-0000-000096C70000}"/>
    <cellStyle name="注释 2 11 7 6 3 2" xfId="51047" xr:uid="{00000000-0005-0000-0000-000097C70000}"/>
    <cellStyle name="注释 2 11 7 6 4" xfId="37230" xr:uid="{00000000-0005-0000-0000-00009E910000}"/>
    <cellStyle name="注释 2 11 7 6 4 2" xfId="51048" xr:uid="{00000000-0005-0000-0000-000098C70000}"/>
    <cellStyle name="注释 2 11 7 6 5" xfId="51049" xr:uid="{00000000-0005-0000-0000-000099C70000}"/>
    <cellStyle name="注释 2 11 7 6 5 2" xfId="51050" xr:uid="{00000000-0005-0000-0000-00009AC70000}"/>
    <cellStyle name="注释 2 11 7 6 6" xfId="51051" xr:uid="{00000000-0005-0000-0000-00009BC70000}"/>
    <cellStyle name="注释 2 11 7 7" xfId="1486" xr:uid="{00000000-0005-0000-0000-0000FE050000}"/>
    <cellStyle name="注释 2 11 7 7 2" xfId="51052" xr:uid="{00000000-0005-0000-0000-00009CC70000}"/>
    <cellStyle name="注释 2 11 7 7 2 2" xfId="51053" xr:uid="{00000000-0005-0000-0000-00009DC70000}"/>
    <cellStyle name="注释 2 11 7 7 3" xfId="49157" xr:uid="{00000000-0005-0000-0000-000035C00000}"/>
    <cellStyle name="注释 2 11 7 7 3 2" xfId="38417" xr:uid="{00000000-0005-0000-0000-000041960000}"/>
    <cellStyle name="注释 2 11 7 7 4" xfId="20236" xr:uid="{00000000-0005-0000-0000-00003C4F0000}"/>
    <cellStyle name="注释 2 11 7 7 4 2" xfId="51054" xr:uid="{00000000-0005-0000-0000-00009EC70000}"/>
    <cellStyle name="注释 2 11 7 7 5" xfId="15998" xr:uid="{00000000-0005-0000-0000-0000AE3E0000}"/>
    <cellStyle name="注释 2 11 7 7 5 2" xfId="51055" xr:uid="{00000000-0005-0000-0000-00009FC70000}"/>
    <cellStyle name="注释 2 11 7 7 6" xfId="51056" xr:uid="{00000000-0005-0000-0000-0000A0C70000}"/>
    <cellStyle name="注释 2 11 7 8" xfId="43465" xr:uid="{00000000-0005-0000-0000-0000F9A90000}"/>
    <cellStyle name="注释 2 11 7 8 2" xfId="43467" xr:uid="{00000000-0005-0000-0000-0000FBA90000}"/>
    <cellStyle name="注释 2 11 7 8 2 2" xfId="51057" xr:uid="{00000000-0005-0000-0000-0000A1C70000}"/>
    <cellStyle name="注释 2 11 7 8 3" xfId="49159" xr:uid="{00000000-0005-0000-0000-000037C00000}"/>
    <cellStyle name="注释 2 11 7 8 3 2" xfId="51058" xr:uid="{00000000-0005-0000-0000-0000A2C70000}"/>
    <cellStyle name="注释 2 11 7 8 4" xfId="17339" xr:uid="{00000000-0005-0000-0000-0000EB430000}"/>
    <cellStyle name="注释 2 11 7 8 4 2" xfId="51059" xr:uid="{00000000-0005-0000-0000-0000A3C70000}"/>
    <cellStyle name="注释 2 11 7 8 5" xfId="16003" xr:uid="{00000000-0005-0000-0000-0000B33E0000}"/>
    <cellStyle name="注释 2 11 7 9" xfId="43469" xr:uid="{00000000-0005-0000-0000-0000FDA90000}"/>
    <cellStyle name="注释 2 11 7 9 2" xfId="35960" xr:uid="{00000000-0005-0000-0000-0000A88C0000}"/>
    <cellStyle name="注释 2 11 8" xfId="51060" xr:uid="{00000000-0005-0000-0000-0000A4C70000}"/>
    <cellStyle name="注释 2 11 8 10" xfId="51061" xr:uid="{00000000-0005-0000-0000-0000A5C70000}"/>
    <cellStyle name="注释 2 11 8 10 2" xfId="34949" xr:uid="{00000000-0005-0000-0000-0000B5880000}"/>
    <cellStyle name="注释 2 11 8 11" xfId="51063" xr:uid="{00000000-0005-0000-0000-0000A7C70000}"/>
    <cellStyle name="注释 2 11 8 11 2" xfId="51066" xr:uid="{00000000-0005-0000-0000-0000AAC70000}"/>
    <cellStyle name="注释 2 11 8 12" xfId="51068" xr:uid="{00000000-0005-0000-0000-0000ACC70000}"/>
    <cellStyle name="注释 2 11 8 12 2" xfId="51070" xr:uid="{00000000-0005-0000-0000-0000AEC70000}"/>
    <cellStyle name="注释 2 11 8 13" xfId="11606" xr:uid="{00000000-0005-0000-0000-0000862D0000}"/>
    <cellStyle name="注释 2 11 8 14" xfId="51072" xr:uid="{00000000-0005-0000-0000-0000B0C70000}"/>
    <cellStyle name="注释 2 11 8 15" xfId="51074" xr:uid="{00000000-0005-0000-0000-0000B2C70000}"/>
    <cellStyle name="注释 2 11 8 16" xfId="51076" xr:uid="{00000000-0005-0000-0000-0000B4C70000}"/>
    <cellStyle name="注释 2 11 8 2" xfId="51079" xr:uid="{00000000-0005-0000-0000-0000B7C70000}"/>
    <cellStyle name="注释 2 11 8 2 2" xfId="51080" xr:uid="{00000000-0005-0000-0000-0000B8C70000}"/>
    <cellStyle name="注释 2 11 8 2 2 2" xfId="51081" xr:uid="{00000000-0005-0000-0000-0000B9C70000}"/>
    <cellStyle name="注释 2 11 8 2 3" xfId="51082" xr:uid="{00000000-0005-0000-0000-0000BAC70000}"/>
    <cellStyle name="注释 2 11 8 2 3 2" xfId="51083" xr:uid="{00000000-0005-0000-0000-0000BBC70000}"/>
    <cellStyle name="注释 2 11 8 2 4" xfId="51084" xr:uid="{00000000-0005-0000-0000-0000BCC70000}"/>
    <cellStyle name="注释 2 11 8 2 4 2" xfId="51085" xr:uid="{00000000-0005-0000-0000-0000BDC70000}"/>
    <cellStyle name="注释 2 11 8 2 5" xfId="42212" xr:uid="{00000000-0005-0000-0000-000014A50000}"/>
    <cellStyle name="注释 2 11 8 2 5 2" xfId="51086" xr:uid="{00000000-0005-0000-0000-0000BEC70000}"/>
    <cellStyle name="注释 2 11 8 2 6" xfId="51087" xr:uid="{00000000-0005-0000-0000-0000BFC70000}"/>
    <cellStyle name="注释 2 11 8 2 7" xfId="51088" xr:uid="{00000000-0005-0000-0000-0000C0C70000}"/>
    <cellStyle name="注释 2 11 8 2 8" xfId="8757" xr:uid="{00000000-0005-0000-0000-000065220000}"/>
    <cellStyle name="注释 2 11 8 2 9" xfId="42099" xr:uid="{00000000-0005-0000-0000-0000A3A40000}"/>
    <cellStyle name="注释 2 11 8 3" xfId="51089" xr:uid="{00000000-0005-0000-0000-0000C1C70000}"/>
    <cellStyle name="注释 2 11 8 3 2" xfId="51090" xr:uid="{00000000-0005-0000-0000-0000C2C70000}"/>
    <cellStyle name="注释 2 11 8 3 2 2" xfId="51091" xr:uid="{00000000-0005-0000-0000-0000C3C70000}"/>
    <cellStyle name="注释 2 11 8 3 3" xfId="51092" xr:uid="{00000000-0005-0000-0000-0000C4C70000}"/>
    <cellStyle name="注释 2 11 8 3 3 2" xfId="51093" xr:uid="{00000000-0005-0000-0000-0000C5C70000}"/>
    <cellStyle name="注释 2 11 8 3 4" xfId="51094" xr:uid="{00000000-0005-0000-0000-0000C6C70000}"/>
    <cellStyle name="注释 2 11 8 3 4 2" xfId="51095" xr:uid="{00000000-0005-0000-0000-0000C7C70000}"/>
    <cellStyle name="注释 2 11 8 3 5" xfId="51096" xr:uid="{00000000-0005-0000-0000-0000C8C70000}"/>
    <cellStyle name="注释 2 11 8 3 5 2" xfId="51097" xr:uid="{00000000-0005-0000-0000-0000C9C70000}"/>
    <cellStyle name="注释 2 11 8 3 6" xfId="51098" xr:uid="{00000000-0005-0000-0000-0000CAC70000}"/>
    <cellStyle name="注释 2 11 8 4" xfId="51099" xr:uid="{00000000-0005-0000-0000-0000CBC70000}"/>
    <cellStyle name="注释 2 11 8 4 2" xfId="51100" xr:uid="{00000000-0005-0000-0000-0000CCC70000}"/>
    <cellStyle name="注释 2 11 8 4 2 2" xfId="51101" xr:uid="{00000000-0005-0000-0000-0000CDC70000}"/>
    <cellStyle name="注释 2 11 8 4 3" xfId="51102" xr:uid="{00000000-0005-0000-0000-0000CEC70000}"/>
    <cellStyle name="注释 2 11 8 4 3 2" xfId="51103" xr:uid="{00000000-0005-0000-0000-0000CFC70000}"/>
    <cellStyle name="注释 2 11 8 4 4" xfId="51104" xr:uid="{00000000-0005-0000-0000-0000D0C70000}"/>
    <cellStyle name="注释 2 11 8 4 4 2" xfId="51105" xr:uid="{00000000-0005-0000-0000-0000D1C70000}"/>
    <cellStyle name="注释 2 11 8 4 5" xfId="51106" xr:uid="{00000000-0005-0000-0000-0000D2C70000}"/>
    <cellStyle name="注释 2 11 8 4 5 2" xfId="51107" xr:uid="{00000000-0005-0000-0000-0000D3C70000}"/>
    <cellStyle name="注释 2 11 8 4 6" xfId="51108" xr:uid="{00000000-0005-0000-0000-0000D4C70000}"/>
    <cellStyle name="注释 2 11 8 5" xfId="51109" xr:uid="{00000000-0005-0000-0000-0000D5C70000}"/>
    <cellStyle name="注释 2 11 8 5 2" xfId="34525" xr:uid="{00000000-0005-0000-0000-00000D870000}"/>
    <cellStyle name="注释 2 11 8 5 2 2" xfId="39930" xr:uid="{00000000-0005-0000-0000-00002A9C0000}"/>
    <cellStyle name="注释 2 11 8 5 3" xfId="34528" xr:uid="{00000000-0005-0000-0000-000010870000}"/>
    <cellStyle name="注释 2 11 8 5 3 2" xfId="39933" xr:uid="{00000000-0005-0000-0000-00002D9C0000}"/>
    <cellStyle name="注释 2 11 8 5 4" xfId="34532" xr:uid="{00000000-0005-0000-0000-000014870000}"/>
    <cellStyle name="注释 2 11 8 5 4 2" xfId="43380" xr:uid="{00000000-0005-0000-0000-0000A4A90000}"/>
    <cellStyle name="注释 2 11 8 5 5" xfId="34535" xr:uid="{00000000-0005-0000-0000-000017870000}"/>
    <cellStyle name="注释 2 11 8 5 5 2" xfId="43395" xr:uid="{00000000-0005-0000-0000-0000B3A90000}"/>
    <cellStyle name="注释 2 11 8 5 6" xfId="39935" xr:uid="{00000000-0005-0000-0000-00002F9C0000}"/>
    <cellStyle name="注释 2 11 8 6" xfId="51110" xr:uid="{00000000-0005-0000-0000-0000D6C70000}"/>
    <cellStyle name="注释 2 11 8 6 2" xfId="39943" xr:uid="{00000000-0005-0000-0000-0000379C0000}"/>
    <cellStyle name="注释 2 11 8 6 2 2" xfId="39945" xr:uid="{00000000-0005-0000-0000-0000399C0000}"/>
    <cellStyle name="注释 2 11 8 6 3" xfId="39947" xr:uid="{00000000-0005-0000-0000-00003B9C0000}"/>
    <cellStyle name="注释 2 11 8 6 3 2" xfId="39949" xr:uid="{00000000-0005-0000-0000-00003D9C0000}"/>
    <cellStyle name="注释 2 11 8 6 4" xfId="37235" xr:uid="{00000000-0005-0000-0000-0000A3910000}"/>
    <cellStyle name="注释 2 11 8 6 4 2" xfId="51111" xr:uid="{00000000-0005-0000-0000-0000D7C70000}"/>
    <cellStyle name="注释 2 11 8 6 5" xfId="51112" xr:uid="{00000000-0005-0000-0000-0000D8C70000}"/>
    <cellStyle name="注释 2 11 8 6 5 2" xfId="51113" xr:uid="{00000000-0005-0000-0000-0000D9C70000}"/>
    <cellStyle name="注释 2 11 8 6 6" xfId="51114" xr:uid="{00000000-0005-0000-0000-0000DAC70000}"/>
    <cellStyle name="注释 2 11 8 7" xfId="44777" xr:uid="{00000000-0005-0000-0000-000019AF0000}"/>
    <cellStyle name="注释 2 11 8 7 2" xfId="39954" xr:uid="{00000000-0005-0000-0000-0000429C0000}"/>
    <cellStyle name="注释 2 11 8 7 2 2" xfId="39956" xr:uid="{00000000-0005-0000-0000-0000449C0000}"/>
    <cellStyle name="注释 2 11 8 7 3" xfId="39959" xr:uid="{00000000-0005-0000-0000-0000479C0000}"/>
    <cellStyle name="注释 2 11 8 7 3 2" xfId="39961" xr:uid="{00000000-0005-0000-0000-0000499C0000}"/>
    <cellStyle name="注释 2 11 8 7 4" xfId="20277" xr:uid="{00000000-0005-0000-0000-0000654F0000}"/>
    <cellStyle name="注释 2 11 8 7 4 2" xfId="51115" xr:uid="{00000000-0005-0000-0000-0000DBC70000}"/>
    <cellStyle name="注释 2 11 8 7 5" xfId="16039" xr:uid="{00000000-0005-0000-0000-0000D73E0000}"/>
    <cellStyle name="注释 2 11 8 7 5 2" xfId="51116" xr:uid="{00000000-0005-0000-0000-0000DCC70000}"/>
    <cellStyle name="注释 2 11 8 7 6" xfId="51117" xr:uid="{00000000-0005-0000-0000-0000DDC70000}"/>
    <cellStyle name="注释 2 11 8 8" xfId="27499" xr:uid="{00000000-0005-0000-0000-00009B6B0000}"/>
    <cellStyle name="注释 2 11 8 8 2" xfId="39968" xr:uid="{00000000-0005-0000-0000-0000509C0000}"/>
    <cellStyle name="注释 2 11 8 8 2 2" xfId="39970" xr:uid="{00000000-0005-0000-0000-0000529C0000}"/>
    <cellStyle name="注释 2 11 8 8 3" xfId="39973" xr:uid="{00000000-0005-0000-0000-0000559C0000}"/>
    <cellStyle name="注释 2 11 8 8 3 2" xfId="39975" xr:uid="{00000000-0005-0000-0000-0000579C0000}"/>
    <cellStyle name="注释 2 11 8 8 4" xfId="6255" xr:uid="{00000000-0005-0000-0000-00009F180000}"/>
    <cellStyle name="注释 2 11 8 8 4 2" xfId="51118" xr:uid="{00000000-0005-0000-0000-0000DEC70000}"/>
    <cellStyle name="注释 2 11 8 8 5" xfId="16045" xr:uid="{00000000-0005-0000-0000-0000DD3E0000}"/>
    <cellStyle name="注释 2 11 8 9" xfId="3795" xr:uid="{00000000-0005-0000-0000-0000030F0000}"/>
    <cellStyle name="注释 2 11 8 9 2" xfId="36012" xr:uid="{00000000-0005-0000-0000-0000DC8C0000}"/>
    <cellStyle name="注释 2 11 9" xfId="51119" xr:uid="{00000000-0005-0000-0000-0000DFC70000}"/>
    <cellStyle name="注释 2 11 9 10" xfId="6088" xr:uid="{00000000-0005-0000-0000-0000F8170000}"/>
    <cellStyle name="注释 2 11 9 10 2" xfId="35287" xr:uid="{00000000-0005-0000-0000-0000078A0000}"/>
    <cellStyle name="注释 2 11 9 11" xfId="26808" xr:uid="{00000000-0005-0000-0000-0000E8680000}"/>
    <cellStyle name="注释 2 11 9 11 2" xfId="26811" xr:uid="{00000000-0005-0000-0000-0000EB680000}"/>
    <cellStyle name="注释 2 11 9 12" xfId="26815" xr:uid="{00000000-0005-0000-0000-0000EF680000}"/>
    <cellStyle name="注释 2 11 9 12 2" xfId="26819" xr:uid="{00000000-0005-0000-0000-0000F3680000}"/>
    <cellStyle name="注释 2 11 9 13" xfId="26822" xr:uid="{00000000-0005-0000-0000-0000F6680000}"/>
    <cellStyle name="注释 2 11 9 14" xfId="26828" xr:uid="{00000000-0005-0000-0000-0000FC680000}"/>
    <cellStyle name="注释 2 11 9 15" xfId="26833" xr:uid="{00000000-0005-0000-0000-000001690000}"/>
    <cellStyle name="注释 2 11 9 16" xfId="51120" xr:uid="{00000000-0005-0000-0000-0000E0C70000}"/>
    <cellStyle name="注释 2 11 9 2" xfId="51124" xr:uid="{00000000-0005-0000-0000-0000E4C70000}"/>
    <cellStyle name="注释 2 11 9 2 2" xfId="51125" xr:uid="{00000000-0005-0000-0000-0000E5C70000}"/>
    <cellStyle name="注释 2 11 9 2 2 2" xfId="51127" xr:uid="{00000000-0005-0000-0000-0000E7C70000}"/>
    <cellStyle name="注释 2 11 9 2 3" xfId="51129" xr:uid="{00000000-0005-0000-0000-0000E9C70000}"/>
    <cellStyle name="注释 2 11 9 2 3 2" xfId="51131" xr:uid="{00000000-0005-0000-0000-0000EBC70000}"/>
    <cellStyle name="注释 2 11 9 2 4" xfId="51133" xr:uid="{00000000-0005-0000-0000-0000EDC70000}"/>
    <cellStyle name="注释 2 11 9 2 4 2" xfId="51135" xr:uid="{00000000-0005-0000-0000-0000EFC70000}"/>
    <cellStyle name="注释 2 11 9 2 5" xfId="42227" xr:uid="{00000000-0005-0000-0000-000023A50000}"/>
    <cellStyle name="注释 2 11 9 2 5 2" xfId="49456" xr:uid="{00000000-0005-0000-0000-000060C10000}"/>
    <cellStyle name="注释 2 11 9 2 6" xfId="49461" xr:uid="{00000000-0005-0000-0000-000065C10000}"/>
    <cellStyle name="注释 2 11 9 2 7" xfId="49466" xr:uid="{00000000-0005-0000-0000-00006AC10000}"/>
    <cellStyle name="注释 2 11 9 2 8" xfId="7672" xr:uid="{00000000-0005-0000-0000-0000281E0000}"/>
    <cellStyle name="注释 2 11 9 2 9" xfId="42114" xr:uid="{00000000-0005-0000-0000-0000B2A40000}"/>
    <cellStyle name="注释 2 11 9 3" xfId="51137" xr:uid="{00000000-0005-0000-0000-0000F1C70000}"/>
    <cellStyle name="注释 2 11 9 3 2" xfId="51138" xr:uid="{00000000-0005-0000-0000-0000F2C70000}"/>
    <cellStyle name="注释 2 11 9 3 2 2" xfId="51140" xr:uid="{00000000-0005-0000-0000-0000F4C70000}"/>
    <cellStyle name="注释 2 11 9 3 3" xfId="51142" xr:uid="{00000000-0005-0000-0000-0000F6C70000}"/>
    <cellStyle name="注释 2 11 9 3 3 2" xfId="51144" xr:uid="{00000000-0005-0000-0000-0000F8C70000}"/>
    <cellStyle name="注释 2 11 9 3 4" xfId="51146" xr:uid="{00000000-0005-0000-0000-0000FAC70000}"/>
    <cellStyle name="注释 2 11 9 3 4 2" xfId="51148" xr:uid="{00000000-0005-0000-0000-0000FCC70000}"/>
    <cellStyle name="注释 2 11 9 3 5" xfId="49499" xr:uid="{00000000-0005-0000-0000-00008BC10000}"/>
    <cellStyle name="注释 2 11 9 3 5 2" xfId="49502" xr:uid="{00000000-0005-0000-0000-00008EC10000}"/>
    <cellStyle name="注释 2 11 9 3 6" xfId="49509" xr:uid="{00000000-0005-0000-0000-000095C10000}"/>
    <cellStyle name="注释 2 11 9 4" xfId="51150" xr:uid="{00000000-0005-0000-0000-0000FEC70000}"/>
    <cellStyle name="注释 2 11 9 4 2" xfId="51151" xr:uid="{00000000-0005-0000-0000-0000FFC70000}"/>
    <cellStyle name="注释 2 11 9 4 2 2" xfId="51153" xr:uid="{00000000-0005-0000-0000-000001C80000}"/>
    <cellStyle name="注释 2 11 9 4 3" xfId="51155" xr:uid="{00000000-0005-0000-0000-000003C80000}"/>
    <cellStyle name="注释 2 11 9 4 3 2" xfId="51157" xr:uid="{00000000-0005-0000-0000-000005C80000}"/>
    <cellStyle name="注释 2 11 9 4 4" xfId="51159" xr:uid="{00000000-0005-0000-0000-000007C80000}"/>
    <cellStyle name="注释 2 11 9 4 4 2" xfId="51161" xr:uid="{00000000-0005-0000-0000-000009C80000}"/>
    <cellStyle name="注释 2 11 9 4 5" xfId="49548" xr:uid="{00000000-0005-0000-0000-0000BCC10000}"/>
    <cellStyle name="注释 2 11 9 4 5 2" xfId="49551" xr:uid="{00000000-0005-0000-0000-0000BFC10000}"/>
    <cellStyle name="注释 2 11 9 4 6" xfId="49554" xr:uid="{00000000-0005-0000-0000-0000C2C10000}"/>
    <cellStyle name="注释 2 11 9 5" xfId="37866" xr:uid="{00000000-0005-0000-0000-00001A940000}"/>
    <cellStyle name="注释 2 11 9 5 2" xfId="39991" xr:uid="{00000000-0005-0000-0000-0000679C0000}"/>
    <cellStyle name="注释 2 11 9 5 2 2" xfId="39994" xr:uid="{00000000-0005-0000-0000-00006A9C0000}"/>
    <cellStyle name="注释 2 11 9 5 3" xfId="39997" xr:uid="{00000000-0005-0000-0000-00006D9C0000}"/>
    <cellStyle name="注释 2 11 9 5 3 2" xfId="40000" xr:uid="{00000000-0005-0000-0000-0000709C0000}"/>
    <cellStyle name="注释 2 11 9 5 4" xfId="40004" xr:uid="{00000000-0005-0000-0000-0000749C0000}"/>
    <cellStyle name="注释 2 11 9 5 4 2" xfId="51163" xr:uid="{00000000-0005-0000-0000-00000BC80000}"/>
    <cellStyle name="注释 2 11 9 5 5" xfId="49564" xr:uid="{00000000-0005-0000-0000-0000CCC10000}"/>
    <cellStyle name="注释 2 11 9 5 5 2" xfId="49567" xr:uid="{00000000-0005-0000-0000-0000CFC10000}"/>
    <cellStyle name="注释 2 11 9 5 6" xfId="49570" xr:uid="{00000000-0005-0000-0000-0000D2C10000}"/>
    <cellStyle name="注释 2 11 9 6" xfId="51165" xr:uid="{00000000-0005-0000-0000-00000DC80000}"/>
    <cellStyle name="注释 2 11 9 6 2" xfId="40021" xr:uid="{00000000-0005-0000-0000-0000859C0000}"/>
    <cellStyle name="注释 2 11 9 6 2 2" xfId="40024" xr:uid="{00000000-0005-0000-0000-0000889C0000}"/>
    <cellStyle name="注释 2 11 9 6 3" xfId="40027" xr:uid="{00000000-0005-0000-0000-00008B9C0000}"/>
    <cellStyle name="注释 2 11 9 6 3 2" xfId="40030" xr:uid="{00000000-0005-0000-0000-00008E9C0000}"/>
    <cellStyle name="注释 2 11 9 6 4" xfId="40033" xr:uid="{00000000-0005-0000-0000-0000919C0000}"/>
    <cellStyle name="注释 2 11 9 6 4 2" xfId="51166" xr:uid="{00000000-0005-0000-0000-00000EC80000}"/>
    <cellStyle name="注释 2 11 9 6 5" xfId="49579" xr:uid="{00000000-0005-0000-0000-0000DBC10000}"/>
    <cellStyle name="注释 2 11 9 6 5 2" xfId="49582" xr:uid="{00000000-0005-0000-0000-0000DEC10000}"/>
    <cellStyle name="注释 2 11 9 6 6" xfId="49585" xr:uid="{00000000-0005-0000-0000-0000E1C10000}"/>
    <cellStyle name="注释 2 11 9 7" xfId="51168" xr:uid="{00000000-0005-0000-0000-000010C80000}"/>
    <cellStyle name="注释 2 11 9 7 2" xfId="40039" xr:uid="{00000000-0005-0000-0000-0000979C0000}"/>
    <cellStyle name="注释 2 11 9 7 2 2" xfId="40041" xr:uid="{00000000-0005-0000-0000-0000999C0000}"/>
    <cellStyle name="注释 2 11 9 7 3" xfId="40044" xr:uid="{00000000-0005-0000-0000-00009C9C0000}"/>
    <cellStyle name="注释 2 11 9 7 3 2" xfId="40046" xr:uid="{00000000-0005-0000-0000-00009E9C0000}"/>
    <cellStyle name="注释 2 11 9 7 4" xfId="20328" xr:uid="{00000000-0005-0000-0000-0000984F0000}"/>
    <cellStyle name="注释 2 11 9 7 4 2" xfId="51169" xr:uid="{00000000-0005-0000-0000-000011C80000}"/>
    <cellStyle name="注释 2 11 9 7 5" xfId="49596" xr:uid="{00000000-0005-0000-0000-0000ECC10000}"/>
    <cellStyle name="注释 2 11 9 7 5 2" xfId="49598" xr:uid="{00000000-0005-0000-0000-0000EEC10000}"/>
    <cellStyle name="注释 2 11 9 7 6" xfId="49600" xr:uid="{00000000-0005-0000-0000-0000F0C10000}"/>
    <cellStyle name="注释 2 11 9 8" xfId="27513" xr:uid="{00000000-0005-0000-0000-0000A96B0000}"/>
    <cellStyle name="注释 2 11 9 8 2" xfId="40053" xr:uid="{00000000-0005-0000-0000-0000A59C0000}"/>
    <cellStyle name="注释 2 11 9 8 2 2" xfId="40055" xr:uid="{00000000-0005-0000-0000-0000A79C0000}"/>
    <cellStyle name="注释 2 11 9 8 3" xfId="40058" xr:uid="{00000000-0005-0000-0000-0000AA9C0000}"/>
    <cellStyle name="注释 2 11 9 8 3 2" xfId="40060" xr:uid="{00000000-0005-0000-0000-0000AC9C0000}"/>
    <cellStyle name="注释 2 11 9 8 4" xfId="20331" xr:uid="{00000000-0005-0000-0000-00009B4F0000}"/>
    <cellStyle name="注释 2 11 9 8 4 2" xfId="51170" xr:uid="{00000000-0005-0000-0000-000012C80000}"/>
    <cellStyle name="注释 2 11 9 8 5" xfId="49609" xr:uid="{00000000-0005-0000-0000-0000F9C10000}"/>
    <cellStyle name="注释 2 11 9 9" xfId="3876" xr:uid="{00000000-0005-0000-0000-0000540F0000}"/>
    <cellStyle name="注释 2 11 9 9 2" xfId="36081" xr:uid="{00000000-0005-0000-0000-0000218D0000}"/>
    <cellStyle name="注释 2 12" xfId="43604" xr:uid="{00000000-0005-0000-0000-000084AA0000}"/>
    <cellStyle name="注释 2 12 10" xfId="51171" xr:uid="{00000000-0005-0000-0000-000013C80000}"/>
    <cellStyle name="注释 2 12 10 2" xfId="51173" xr:uid="{00000000-0005-0000-0000-000015C80000}"/>
    <cellStyle name="注释 2 12 10 2 2" xfId="51175" xr:uid="{00000000-0005-0000-0000-000017C80000}"/>
    <cellStyle name="注释 2 12 10 3" xfId="51176" xr:uid="{00000000-0005-0000-0000-000018C80000}"/>
    <cellStyle name="注释 2 12 10 3 2" xfId="51177" xr:uid="{00000000-0005-0000-0000-000019C80000}"/>
    <cellStyle name="注释 2 12 10 4" xfId="20352" xr:uid="{00000000-0005-0000-0000-0000B04F0000}"/>
    <cellStyle name="注释 2 12 10 4 2" xfId="51178" xr:uid="{00000000-0005-0000-0000-00001AC80000}"/>
    <cellStyle name="注释 2 12 10 5" xfId="51179" xr:uid="{00000000-0005-0000-0000-00001BC80000}"/>
    <cellStyle name="注释 2 12 10 5 2" xfId="51180" xr:uid="{00000000-0005-0000-0000-00001CC80000}"/>
    <cellStyle name="注释 2 12 10 6" xfId="33484" xr:uid="{00000000-0005-0000-0000-0000FC820000}"/>
    <cellStyle name="注释 2 12 10 7" xfId="51181" xr:uid="{00000000-0005-0000-0000-00001DC80000}"/>
    <cellStyle name="注释 2 12 10 8" xfId="51182" xr:uid="{00000000-0005-0000-0000-00001EC80000}"/>
    <cellStyle name="注释 2 12 10 9" xfId="40001" xr:uid="{00000000-0005-0000-0000-0000719C0000}"/>
    <cellStyle name="注释 2 12 11" xfId="51183" xr:uid="{00000000-0005-0000-0000-00001FC80000}"/>
    <cellStyle name="注释 2 12 11 2" xfId="51186" xr:uid="{00000000-0005-0000-0000-000022C80000}"/>
    <cellStyle name="注释 2 12 11 2 2" xfId="51188" xr:uid="{00000000-0005-0000-0000-000024C80000}"/>
    <cellStyle name="注释 2 12 11 3" xfId="51189" xr:uid="{00000000-0005-0000-0000-000025C80000}"/>
    <cellStyle name="注释 2 12 11 3 2" xfId="51190" xr:uid="{00000000-0005-0000-0000-000026C80000}"/>
    <cellStyle name="注释 2 12 11 4" xfId="11167" xr:uid="{00000000-0005-0000-0000-0000CF2B0000}"/>
    <cellStyle name="注释 2 12 11 4 2" xfId="51191" xr:uid="{00000000-0005-0000-0000-000027C80000}"/>
    <cellStyle name="注释 2 12 11 5" xfId="51192" xr:uid="{00000000-0005-0000-0000-000028C80000}"/>
    <cellStyle name="注释 2 12 11 5 2" xfId="51193" xr:uid="{00000000-0005-0000-0000-000029C80000}"/>
    <cellStyle name="注释 2 12 11 6" xfId="33487" xr:uid="{00000000-0005-0000-0000-0000FF820000}"/>
    <cellStyle name="注释 2 12 12" xfId="51194" xr:uid="{00000000-0005-0000-0000-00002AC80000}"/>
    <cellStyle name="注释 2 12 12 2" xfId="51196" xr:uid="{00000000-0005-0000-0000-00002CC80000}"/>
    <cellStyle name="注释 2 12 12 2 2" xfId="51198" xr:uid="{00000000-0005-0000-0000-00002EC80000}"/>
    <cellStyle name="注释 2 12 12 3" xfId="51199" xr:uid="{00000000-0005-0000-0000-00002FC80000}"/>
    <cellStyle name="注释 2 12 12 3 2" xfId="51200" xr:uid="{00000000-0005-0000-0000-000030C80000}"/>
    <cellStyle name="注释 2 12 12 4" xfId="20356" xr:uid="{00000000-0005-0000-0000-0000B44F0000}"/>
    <cellStyle name="注释 2 12 12 4 2" xfId="51201" xr:uid="{00000000-0005-0000-0000-000031C80000}"/>
    <cellStyle name="注释 2 12 12 5" xfId="51202" xr:uid="{00000000-0005-0000-0000-000032C80000}"/>
    <cellStyle name="注释 2 12 12 5 2" xfId="51203" xr:uid="{00000000-0005-0000-0000-000033C80000}"/>
    <cellStyle name="注释 2 12 12 6" xfId="33489" xr:uid="{00000000-0005-0000-0000-000001830000}"/>
    <cellStyle name="注释 2 12 13" xfId="33757" xr:uid="{00000000-0005-0000-0000-00000D840000}"/>
    <cellStyle name="注释 2 12 13 2" xfId="51204" xr:uid="{00000000-0005-0000-0000-000034C80000}"/>
    <cellStyle name="注释 2 12 13 2 2" xfId="51205" xr:uid="{00000000-0005-0000-0000-000035C80000}"/>
    <cellStyle name="注释 2 12 13 3" xfId="51206" xr:uid="{00000000-0005-0000-0000-000036C80000}"/>
    <cellStyle name="注释 2 12 13 3 2" xfId="51207" xr:uid="{00000000-0005-0000-0000-000037C80000}"/>
    <cellStyle name="注释 2 12 13 4" xfId="20358" xr:uid="{00000000-0005-0000-0000-0000B64F0000}"/>
    <cellStyle name="注释 2 12 13 4 2" xfId="51208" xr:uid="{00000000-0005-0000-0000-000038C80000}"/>
    <cellStyle name="注释 2 12 13 5" xfId="51209" xr:uid="{00000000-0005-0000-0000-000039C80000}"/>
    <cellStyle name="注释 2 12 13 5 2" xfId="51210" xr:uid="{00000000-0005-0000-0000-00003AC80000}"/>
    <cellStyle name="注释 2 12 13 6" xfId="51211" xr:uid="{00000000-0005-0000-0000-00003BC80000}"/>
    <cellStyle name="注释 2 12 14" xfId="51212" xr:uid="{00000000-0005-0000-0000-00003CC80000}"/>
    <cellStyle name="注释 2 12 14 2" xfId="12457" xr:uid="{00000000-0005-0000-0000-0000D9300000}"/>
    <cellStyle name="注释 2 12 14 2 2" xfId="51215" xr:uid="{00000000-0005-0000-0000-00003FC80000}"/>
    <cellStyle name="注释 2 12 14 3" xfId="51216" xr:uid="{00000000-0005-0000-0000-000040C80000}"/>
    <cellStyle name="注释 2 12 14 3 2" xfId="51217" xr:uid="{00000000-0005-0000-0000-000041C80000}"/>
    <cellStyle name="注释 2 12 14 4" xfId="51218" xr:uid="{00000000-0005-0000-0000-000042C80000}"/>
    <cellStyle name="注释 2 12 14 4 2" xfId="51219" xr:uid="{00000000-0005-0000-0000-000043C80000}"/>
    <cellStyle name="注释 2 12 14 5" xfId="51220" xr:uid="{00000000-0005-0000-0000-000044C80000}"/>
    <cellStyle name="注释 2 12 14 5 2" xfId="51221" xr:uid="{00000000-0005-0000-0000-000045C80000}"/>
    <cellStyle name="注释 2 12 14 6" xfId="51222" xr:uid="{00000000-0005-0000-0000-000046C80000}"/>
    <cellStyle name="注释 2 12 15" xfId="15384" xr:uid="{00000000-0005-0000-0000-0000483C0000}"/>
    <cellStyle name="注释 2 12 15 2" xfId="51223" xr:uid="{00000000-0005-0000-0000-000047C80000}"/>
    <cellStyle name="注释 2 12 15 2 2" xfId="51225" xr:uid="{00000000-0005-0000-0000-000049C80000}"/>
    <cellStyle name="注释 2 12 15 3" xfId="51226" xr:uid="{00000000-0005-0000-0000-00004AC80000}"/>
    <cellStyle name="注释 2 12 15 3 2" xfId="51227" xr:uid="{00000000-0005-0000-0000-00004BC80000}"/>
    <cellStyle name="注释 2 12 15 4" xfId="51228" xr:uid="{00000000-0005-0000-0000-00004CC80000}"/>
    <cellStyle name="注释 2 12 15 4 2" xfId="51229" xr:uid="{00000000-0005-0000-0000-00004DC80000}"/>
    <cellStyle name="注释 2 12 15 5" xfId="51230" xr:uid="{00000000-0005-0000-0000-00004EC80000}"/>
    <cellStyle name="注释 2 12 15 5 2" xfId="51231" xr:uid="{00000000-0005-0000-0000-00004FC80000}"/>
    <cellStyle name="注释 2 12 15 6" xfId="51232" xr:uid="{00000000-0005-0000-0000-000050C80000}"/>
    <cellStyle name="注释 2 12 16" xfId="51233" xr:uid="{00000000-0005-0000-0000-000051C80000}"/>
    <cellStyle name="注释 2 12 16 2" xfId="45290" xr:uid="{00000000-0005-0000-0000-00001AB10000}"/>
    <cellStyle name="注释 2 12 16 2 2" xfId="45293" xr:uid="{00000000-0005-0000-0000-00001DB10000}"/>
    <cellStyle name="注释 2 12 16 3" xfId="45295" xr:uid="{00000000-0005-0000-0000-00001FB10000}"/>
    <cellStyle name="注释 2 12 16 3 2" xfId="45297" xr:uid="{00000000-0005-0000-0000-000021B10000}"/>
    <cellStyle name="注释 2 12 16 4" xfId="45299" xr:uid="{00000000-0005-0000-0000-000023B10000}"/>
    <cellStyle name="注释 2 12 16 4 2" xfId="51236" xr:uid="{00000000-0005-0000-0000-000054C80000}"/>
    <cellStyle name="注释 2 12 16 5" xfId="51237" xr:uid="{00000000-0005-0000-0000-000055C80000}"/>
    <cellStyle name="注释 2 12 16 5 2" xfId="51238" xr:uid="{00000000-0005-0000-0000-000056C80000}"/>
    <cellStyle name="注释 2 12 16 6" xfId="51239" xr:uid="{00000000-0005-0000-0000-000057C80000}"/>
    <cellStyle name="注释 2 12 17" xfId="51240" xr:uid="{00000000-0005-0000-0000-000058C80000}"/>
    <cellStyle name="注释 2 12 17 2" xfId="45306" xr:uid="{00000000-0005-0000-0000-00002AB10000}"/>
    <cellStyle name="注释 2 12 17 2 2" xfId="45308" xr:uid="{00000000-0005-0000-0000-00002CB10000}"/>
    <cellStyle name="注释 2 12 17 3" xfId="45310" xr:uid="{00000000-0005-0000-0000-00002EB10000}"/>
    <cellStyle name="注释 2 12 17 3 2" xfId="45312" xr:uid="{00000000-0005-0000-0000-000030B10000}"/>
    <cellStyle name="注释 2 12 17 4" xfId="45315" xr:uid="{00000000-0005-0000-0000-000033B10000}"/>
    <cellStyle name="注释 2 12 17 4 2" xfId="51242" xr:uid="{00000000-0005-0000-0000-00005AC80000}"/>
    <cellStyle name="注释 2 12 17 5" xfId="51243" xr:uid="{00000000-0005-0000-0000-00005BC80000}"/>
    <cellStyle name="注释 2 12 18" xfId="51244" xr:uid="{00000000-0005-0000-0000-00005CC80000}"/>
    <cellStyle name="注释 2 12 18 2" xfId="45321" xr:uid="{00000000-0005-0000-0000-000039B10000}"/>
    <cellStyle name="注释 2 12 19" xfId="48717" xr:uid="{00000000-0005-0000-0000-00007DBE0000}"/>
    <cellStyle name="注释 2 12 19 2" xfId="45330" xr:uid="{00000000-0005-0000-0000-000042B10000}"/>
    <cellStyle name="注释 2 12 2" xfId="51246" xr:uid="{00000000-0005-0000-0000-00005EC80000}"/>
    <cellStyle name="注释 2 12 2 10" xfId="51247" xr:uid="{00000000-0005-0000-0000-00005FC80000}"/>
    <cellStyle name="注释 2 12 2 10 2" xfId="30181" xr:uid="{00000000-0005-0000-0000-000015760000}"/>
    <cellStyle name="注释 2 12 2 11" xfId="51248" xr:uid="{00000000-0005-0000-0000-000060C80000}"/>
    <cellStyle name="注释 2 12 2 11 2" xfId="27826" xr:uid="{00000000-0005-0000-0000-0000E26C0000}"/>
    <cellStyle name="注释 2 12 2 12" xfId="23436" xr:uid="{00000000-0005-0000-0000-0000BC5B0000}"/>
    <cellStyle name="注释 2 12 2 12 2" xfId="30200" xr:uid="{00000000-0005-0000-0000-000028760000}"/>
    <cellStyle name="注释 2 12 2 13" xfId="51249" xr:uid="{00000000-0005-0000-0000-000061C80000}"/>
    <cellStyle name="注释 2 12 2 14" xfId="39442" xr:uid="{00000000-0005-0000-0000-0000429A0000}"/>
    <cellStyle name="注释 2 12 2 15" xfId="51250" xr:uid="{00000000-0005-0000-0000-000062C80000}"/>
    <cellStyle name="注释 2 12 2 16" xfId="51251" xr:uid="{00000000-0005-0000-0000-000063C80000}"/>
    <cellStyle name="注释 2 12 2 2" xfId="51252" xr:uid="{00000000-0005-0000-0000-000064C80000}"/>
    <cellStyle name="注释 2 12 2 2 2" xfId="51253" xr:uid="{00000000-0005-0000-0000-000065C80000}"/>
    <cellStyle name="注释 2 12 2 2 2 2" xfId="51254" xr:uid="{00000000-0005-0000-0000-000066C80000}"/>
    <cellStyle name="注释 2 12 2 2 3" xfId="51255" xr:uid="{00000000-0005-0000-0000-000067C80000}"/>
    <cellStyle name="注释 2 12 2 2 3 2" xfId="51256" xr:uid="{00000000-0005-0000-0000-000068C80000}"/>
    <cellStyle name="注释 2 12 2 2 4" xfId="51257" xr:uid="{00000000-0005-0000-0000-000069C80000}"/>
    <cellStyle name="注释 2 12 2 2 4 2" xfId="51258" xr:uid="{00000000-0005-0000-0000-00006AC80000}"/>
    <cellStyle name="注释 2 12 2 2 5" xfId="51259" xr:uid="{00000000-0005-0000-0000-00006BC80000}"/>
    <cellStyle name="注释 2 12 2 2 5 2" xfId="51260" xr:uid="{00000000-0005-0000-0000-00006CC80000}"/>
    <cellStyle name="注释 2 12 2 2 6" xfId="25760" xr:uid="{00000000-0005-0000-0000-0000D0640000}"/>
    <cellStyle name="注释 2 12 2 2 7" xfId="5973" xr:uid="{00000000-0005-0000-0000-000085170000}"/>
    <cellStyle name="注释 2 12 2 2 8" xfId="5986" xr:uid="{00000000-0005-0000-0000-000092170000}"/>
    <cellStyle name="注释 2 12 2 2 9" xfId="6007" xr:uid="{00000000-0005-0000-0000-0000A7170000}"/>
    <cellStyle name="注释 2 12 2 3" xfId="23833" xr:uid="{00000000-0005-0000-0000-0000495D0000}"/>
    <cellStyle name="注释 2 12 2 3 2" xfId="51261" xr:uid="{00000000-0005-0000-0000-00006DC80000}"/>
    <cellStyle name="注释 2 12 2 3 2 2" xfId="51262" xr:uid="{00000000-0005-0000-0000-00006EC80000}"/>
    <cellStyle name="注释 2 12 2 3 3" xfId="51263" xr:uid="{00000000-0005-0000-0000-00006FC80000}"/>
    <cellStyle name="注释 2 12 2 3 3 2" xfId="51264" xr:uid="{00000000-0005-0000-0000-000070C80000}"/>
    <cellStyle name="注释 2 12 2 3 4" xfId="51265" xr:uid="{00000000-0005-0000-0000-000071C80000}"/>
    <cellStyle name="注释 2 12 2 3 4 2" xfId="51266" xr:uid="{00000000-0005-0000-0000-000072C80000}"/>
    <cellStyle name="注释 2 12 2 3 5" xfId="51267" xr:uid="{00000000-0005-0000-0000-000073C80000}"/>
    <cellStyle name="注释 2 12 2 3 5 2" xfId="51268" xr:uid="{00000000-0005-0000-0000-000074C80000}"/>
    <cellStyle name="注释 2 12 2 3 6" xfId="25772" xr:uid="{00000000-0005-0000-0000-0000DC640000}"/>
    <cellStyle name="注释 2 12 2 4" xfId="51269" xr:uid="{00000000-0005-0000-0000-000075C80000}"/>
    <cellStyle name="注释 2 12 2 4 2" xfId="51270" xr:uid="{00000000-0005-0000-0000-000076C80000}"/>
    <cellStyle name="注释 2 12 2 4 2 2" xfId="51271" xr:uid="{00000000-0005-0000-0000-000077C80000}"/>
    <cellStyle name="注释 2 12 2 4 3" xfId="51272" xr:uid="{00000000-0005-0000-0000-000078C80000}"/>
    <cellStyle name="注释 2 12 2 4 3 2" xfId="51273" xr:uid="{00000000-0005-0000-0000-000079C80000}"/>
    <cellStyle name="注释 2 12 2 4 4" xfId="9780" xr:uid="{00000000-0005-0000-0000-000064260000}"/>
    <cellStyle name="注释 2 12 2 4 4 2" xfId="51274" xr:uid="{00000000-0005-0000-0000-00007AC80000}"/>
    <cellStyle name="注释 2 12 2 4 5" xfId="51275" xr:uid="{00000000-0005-0000-0000-00007BC80000}"/>
    <cellStyle name="注释 2 12 2 4 5 2" xfId="51276" xr:uid="{00000000-0005-0000-0000-00007CC80000}"/>
    <cellStyle name="注释 2 12 2 4 6" xfId="25780" xr:uid="{00000000-0005-0000-0000-0000E4640000}"/>
    <cellStyle name="注释 2 12 2 5" xfId="9286" xr:uid="{00000000-0005-0000-0000-000076240000}"/>
    <cellStyle name="注释 2 12 2 5 2" xfId="51277" xr:uid="{00000000-0005-0000-0000-00007DC80000}"/>
    <cellStyle name="注释 2 12 2 5 2 2" xfId="51278" xr:uid="{00000000-0005-0000-0000-00007EC80000}"/>
    <cellStyle name="注释 2 12 2 5 3" xfId="51279" xr:uid="{00000000-0005-0000-0000-00007FC80000}"/>
    <cellStyle name="注释 2 12 2 5 3 2" xfId="51280" xr:uid="{00000000-0005-0000-0000-000080C80000}"/>
    <cellStyle name="注释 2 12 2 5 4" xfId="9803" xr:uid="{00000000-0005-0000-0000-00007B260000}"/>
    <cellStyle name="注释 2 12 2 5 4 2" xfId="51281" xr:uid="{00000000-0005-0000-0000-000081C80000}"/>
    <cellStyle name="注释 2 12 2 5 5" xfId="51282" xr:uid="{00000000-0005-0000-0000-000082C80000}"/>
    <cellStyle name="注释 2 12 2 5 5 2" xfId="51283" xr:uid="{00000000-0005-0000-0000-000083C80000}"/>
    <cellStyle name="注释 2 12 2 5 6" xfId="25784" xr:uid="{00000000-0005-0000-0000-0000E8640000}"/>
    <cellStyle name="注释 2 12 2 6" xfId="51284" xr:uid="{00000000-0005-0000-0000-000084C80000}"/>
    <cellStyle name="注释 2 12 2 6 2" xfId="51285" xr:uid="{00000000-0005-0000-0000-000085C80000}"/>
    <cellStyle name="注释 2 12 2 6 2 2" xfId="51286" xr:uid="{00000000-0005-0000-0000-000086C80000}"/>
    <cellStyle name="注释 2 12 2 6 3" xfId="51287" xr:uid="{00000000-0005-0000-0000-000087C80000}"/>
    <cellStyle name="注释 2 12 2 6 3 2" xfId="51288" xr:uid="{00000000-0005-0000-0000-000088C80000}"/>
    <cellStyle name="注释 2 12 2 6 4" xfId="27045" xr:uid="{00000000-0005-0000-0000-0000D5690000}"/>
    <cellStyle name="注释 2 12 2 6 4 2" xfId="51289" xr:uid="{00000000-0005-0000-0000-000089C80000}"/>
    <cellStyle name="注释 2 12 2 6 5" xfId="51290" xr:uid="{00000000-0005-0000-0000-00008AC80000}"/>
    <cellStyle name="注释 2 12 2 6 5 2" xfId="51291" xr:uid="{00000000-0005-0000-0000-00008BC80000}"/>
    <cellStyle name="注释 2 12 2 6 6" xfId="21487" xr:uid="{00000000-0005-0000-0000-00001F540000}"/>
    <cellStyle name="注释 2 12 2 7" xfId="51292" xr:uid="{00000000-0005-0000-0000-00008CC80000}"/>
    <cellStyle name="注释 2 12 2 7 2" xfId="51293" xr:uid="{00000000-0005-0000-0000-00008DC80000}"/>
    <cellStyle name="注释 2 12 2 7 2 2" xfId="51294" xr:uid="{00000000-0005-0000-0000-00008EC80000}"/>
    <cellStyle name="注释 2 12 2 7 3" xfId="51295" xr:uid="{00000000-0005-0000-0000-00008FC80000}"/>
    <cellStyle name="注释 2 12 2 7 3 2" xfId="43412" xr:uid="{00000000-0005-0000-0000-0000C4A90000}"/>
    <cellStyle name="注释 2 12 2 7 4" xfId="51296" xr:uid="{00000000-0005-0000-0000-000090C80000}"/>
    <cellStyle name="注释 2 12 2 7 4 2" xfId="51297" xr:uid="{00000000-0005-0000-0000-000091C80000}"/>
    <cellStyle name="注释 2 12 2 7 5" xfId="51298" xr:uid="{00000000-0005-0000-0000-000092C80000}"/>
    <cellStyle name="注释 2 12 2 7 5 2" xfId="51299" xr:uid="{00000000-0005-0000-0000-000093C80000}"/>
    <cellStyle name="注释 2 12 2 7 6" xfId="51300" xr:uid="{00000000-0005-0000-0000-000094C80000}"/>
    <cellStyle name="注释 2 12 2 8" xfId="51301" xr:uid="{00000000-0005-0000-0000-000095C80000}"/>
    <cellStyle name="注释 2 12 2 8 2" xfId="51303" xr:uid="{00000000-0005-0000-0000-000097C80000}"/>
    <cellStyle name="注释 2 12 2 8 2 2" xfId="51304" xr:uid="{00000000-0005-0000-0000-000098C80000}"/>
    <cellStyle name="注释 2 12 2 8 3" xfId="51305" xr:uid="{00000000-0005-0000-0000-000099C80000}"/>
    <cellStyle name="注释 2 12 2 8 3 2" xfId="51306" xr:uid="{00000000-0005-0000-0000-00009AC80000}"/>
    <cellStyle name="注释 2 12 2 8 4" xfId="51307" xr:uid="{00000000-0005-0000-0000-00009BC80000}"/>
    <cellStyle name="注释 2 12 2 8 4 2" xfId="51308" xr:uid="{00000000-0005-0000-0000-00009CC80000}"/>
    <cellStyle name="注释 2 12 2 8 5" xfId="51309" xr:uid="{00000000-0005-0000-0000-00009DC80000}"/>
    <cellStyle name="注释 2 12 2 9" xfId="51310" xr:uid="{00000000-0005-0000-0000-00009EC80000}"/>
    <cellStyle name="注释 2 12 2 9 2" xfId="51311" xr:uid="{00000000-0005-0000-0000-00009FC80000}"/>
    <cellStyle name="注释 2 12 20" xfId="15385" xr:uid="{00000000-0005-0000-0000-0000493C0000}"/>
    <cellStyle name="注释 2 12 20 2" xfId="51224" xr:uid="{00000000-0005-0000-0000-000048C80000}"/>
    <cellStyle name="注释 2 12 21" xfId="51234" xr:uid="{00000000-0005-0000-0000-000052C80000}"/>
    <cellStyle name="注释 2 12 21 2" xfId="45291" xr:uid="{00000000-0005-0000-0000-00001BB10000}"/>
    <cellStyle name="注释 2 12 22" xfId="51241" xr:uid="{00000000-0005-0000-0000-000059C80000}"/>
    <cellStyle name="注释 2 12 23" xfId="51245" xr:uid="{00000000-0005-0000-0000-00005DC80000}"/>
    <cellStyle name="注释 2 12 24" xfId="48718" xr:uid="{00000000-0005-0000-0000-00007EBE0000}"/>
    <cellStyle name="注释 2 12 25" xfId="51312" xr:uid="{00000000-0005-0000-0000-0000A0C80000}"/>
    <cellStyle name="注释 2 12 3" xfId="51313" xr:uid="{00000000-0005-0000-0000-0000A1C80000}"/>
    <cellStyle name="注释 2 12 3 10" xfId="51314" xr:uid="{00000000-0005-0000-0000-0000A2C80000}"/>
    <cellStyle name="注释 2 12 3 10 2" xfId="51316" xr:uid="{00000000-0005-0000-0000-0000A4C80000}"/>
    <cellStyle name="注释 2 12 3 11" xfId="51319" xr:uid="{00000000-0005-0000-0000-0000A7C80000}"/>
    <cellStyle name="注释 2 12 3 11 2" xfId="51322" xr:uid="{00000000-0005-0000-0000-0000AAC80000}"/>
    <cellStyle name="注释 2 12 3 12" xfId="51325" xr:uid="{00000000-0005-0000-0000-0000ADC80000}"/>
    <cellStyle name="注释 2 12 3 12 2" xfId="51327" xr:uid="{00000000-0005-0000-0000-0000AFC80000}"/>
    <cellStyle name="注释 2 12 3 13" xfId="13597" xr:uid="{00000000-0005-0000-0000-00004D350000}"/>
    <cellStyle name="注释 2 12 3 14" xfId="51330" xr:uid="{00000000-0005-0000-0000-0000B2C80000}"/>
    <cellStyle name="注释 2 12 3 15" xfId="45440" xr:uid="{00000000-0005-0000-0000-0000B0B10000}"/>
    <cellStyle name="注释 2 12 3 16" xfId="45928" xr:uid="{00000000-0005-0000-0000-000098B30000}"/>
    <cellStyle name="注释 2 12 3 2" xfId="51332" xr:uid="{00000000-0005-0000-0000-0000B4C80000}"/>
    <cellStyle name="注释 2 12 3 2 2" xfId="51333" xr:uid="{00000000-0005-0000-0000-0000B5C80000}"/>
    <cellStyle name="注释 2 12 3 2 2 2" xfId="51334" xr:uid="{00000000-0005-0000-0000-0000B6C80000}"/>
    <cellStyle name="注释 2 12 3 2 3" xfId="51335" xr:uid="{00000000-0005-0000-0000-0000B7C80000}"/>
    <cellStyle name="注释 2 12 3 2 3 2" xfId="51336" xr:uid="{00000000-0005-0000-0000-0000B8C80000}"/>
    <cellStyle name="注释 2 12 3 2 4" xfId="51337" xr:uid="{00000000-0005-0000-0000-0000B9C80000}"/>
    <cellStyle name="注释 2 12 3 2 4 2" xfId="51338" xr:uid="{00000000-0005-0000-0000-0000BAC80000}"/>
    <cellStyle name="注释 2 12 3 2 5" xfId="51339" xr:uid="{00000000-0005-0000-0000-0000BBC80000}"/>
    <cellStyle name="注释 2 12 3 2 5 2" xfId="11390" xr:uid="{00000000-0005-0000-0000-0000AE2C0000}"/>
    <cellStyle name="注释 2 12 3 2 6" xfId="34106" xr:uid="{00000000-0005-0000-0000-00006A850000}"/>
    <cellStyle name="注释 2 12 3 2 7" xfId="51340" xr:uid="{00000000-0005-0000-0000-0000BCC80000}"/>
    <cellStyle name="注释 2 12 3 2 8" xfId="46251" xr:uid="{00000000-0005-0000-0000-0000DBB40000}"/>
    <cellStyle name="注释 2 12 3 2 9" xfId="51341" xr:uid="{00000000-0005-0000-0000-0000BDC80000}"/>
    <cellStyle name="注释 2 12 3 3" xfId="28255" xr:uid="{00000000-0005-0000-0000-00008F6E0000}"/>
    <cellStyle name="注释 2 12 3 3 2" xfId="51342" xr:uid="{00000000-0005-0000-0000-0000BEC80000}"/>
    <cellStyle name="注释 2 12 3 3 2 2" xfId="51343" xr:uid="{00000000-0005-0000-0000-0000BFC80000}"/>
    <cellStyle name="注释 2 12 3 3 3" xfId="51344" xr:uid="{00000000-0005-0000-0000-0000C0C80000}"/>
    <cellStyle name="注释 2 12 3 3 3 2" xfId="51345" xr:uid="{00000000-0005-0000-0000-0000C1C80000}"/>
    <cellStyle name="注释 2 12 3 3 4" xfId="51346" xr:uid="{00000000-0005-0000-0000-0000C2C80000}"/>
    <cellStyle name="注释 2 12 3 3 4 2" xfId="51347" xr:uid="{00000000-0005-0000-0000-0000C3C80000}"/>
    <cellStyle name="注释 2 12 3 3 5" xfId="51348" xr:uid="{00000000-0005-0000-0000-0000C4C80000}"/>
    <cellStyle name="注释 2 12 3 3 5 2" xfId="51349" xr:uid="{00000000-0005-0000-0000-0000C5C80000}"/>
    <cellStyle name="注释 2 12 3 3 6" xfId="51350" xr:uid="{00000000-0005-0000-0000-0000C6C80000}"/>
    <cellStyle name="注释 2 12 3 4" xfId="51351" xr:uid="{00000000-0005-0000-0000-0000C7C80000}"/>
    <cellStyle name="注释 2 12 3 4 2" xfId="51352" xr:uid="{00000000-0005-0000-0000-0000C8C80000}"/>
    <cellStyle name="注释 2 12 3 4 2 2" xfId="51353" xr:uid="{00000000-0005-0000-0000-0000C9C80000}"/>
    <cellStyle name="注释 2 12 3 4 3" xfId="51355" xr:uid="{00000000-0005-0000-0000-0000CBC80000}"/>
    <cellStyle name="注释 2 12 3 4 3 2" xfId="51356" xr:uid="{00000000-0005-0000-0000-0000CCC80000}"/>
    <cellStyle name="注释 2 12 3 4 4" xfId="51358" xr:uid="{00000000-0005-0000-0000-0000CEC80000}"/>
    <cellStyle name="注释 2 12 3 4 4 2" xfId="51359" xr:uid="{00000000-0005-0000-0000-0000CFC80000}"/>
    <cellStyle name="注释 2 12 3 4 5" xfId="51361" xr:uid="{00000000-0005-0000-0000-0000D1C80000}"/>
    <cellStyle name="注释 2 12 3 4 5 2" xfId="51362" xr:uid="{00000000-0005-0000-0000-0000D2C80000}"/>
    <cellStyle name="注释 2 12 3 4 6" xfId="51364" xr:uid="{00000000-0005-0000-0000-0000D4C80000}"/>
    <cellStyle name="注释 2 12 3 5" xfId="9299" xr:uid="{00000000-0005-0000-0000-000083240000}"/>
    <cellStyle name="注释 2 12 3 5 2" xfId="44760" xr:uid="{00000000-0005-0000-0000-000008AF0000}"/>
    <cellStyle name="注释 2 12 3 5 2 2" xfId="44801" xr:uid="{00000000-0005-0000-0000-000031AF0000}"/>
    <cellStyle name="注释 2 12 3 5 3" xfId="45362" xr:uid="{00000000-0005-0000-0000-000062B10000}"/>
    <cellStyle name="注释 2 12 3 5 3 2" xfId="45370" xr:uid="{00000000-0005-0000-0000-00006AB10000}"/>
    <cellStyle name="注释 2 12 3 5 4" xfId="45412" xr:uid="{00000000-0005-0000-0000-000094B10000}"/>
    <cellStyle name="注释 2 12 3 5 4 2" xfId="45414" xr:uid="{00000000-0005-0000-0000-000096B10000}"/>
    <cellStyle name="注释 2 12 3 5 5" xfId="45428" xr:uid="{00000000-0005-0000-0000-0000A4B10000}"/>
    <cellStyle name="注释 2 12 3 5 5 2" xfId="45430" xr:uid="{00000000-0005-0000-0000-0000A6B10000}"/>
    <cellStyle name="注释 2 12 3 5 6" xfId="45434" xr:uid="{00000000-0005-0000-0000-0000AAB10000}"/>
    <cellStyle name="注释 2 12 3 6" xfId="51365" xr:uid="{00000000-0005-0000-0000-0000D5C80000}"/>
    <cellStyle name="注释 2 12 3 6 2" xfId="51366" xr:uid="{00000000-0005-0000-0000-0000D6C80000}"/>
    <cellStyle name="注释 2 12 3 6 2 2" xfId="51367" xr:uid="{00000000-0005-0000-0000-0000D7C80000}"/>
    <cellStyle name="注释 2 12 3 6 3" xfId="51369" xr:uid="{00000000-0005-0000-0000-0000D9C80000}"/>
    <cellStyle name="注释 2 12 3 6 3 2" xfId="51370" xr:uid="{00000000-0005-0000-0000-0000DAC80000}"/>
    <cellStyle name="注释 2 12 3 6 4" xfId="51372" xr:uid="{00000000-0005-0000-0000-0000DCC80000}"/>
    <cellStyle name="注释 2 12 3 6 4 2" xfId="51373" xr:uid="{00000000-0005-0000-0000-0000DDC80000}"/>
    <cellStyle name="注释 2 12 3 6 5" xfId="51375" xr:uid="{00000000-0005-0000-0000-0000DFC80000}"/>
    <cellStyle name="注释 2 12 3 6 5 2" xfId="15887" xr:uid="{00000000-0005-0000-0000-00003F3E0000}"/>
    <cellStyle name="注释 2 12 3 6 6" xfId="51376" xr:uid="{00000000-0005-0000-0000-0000E0C80000}"/>
    <cellStyle name="注释 2 12 3 7" xfId="51377" xr:uid="{00000000-0005-0000-0000-0000E1C80000}"/>
    <cellStyle name="注释 2 12 3 7 2" xfId="51378" xr:uid="{00000000-0005-0000-0000-0000E2C80000}"/>
    <cellStyle name="注释 2 12 3 7 2 2" xfId="51379" xr:uid="{00000000-0005-0000-0000-0000E3C80000}"/>
    <cellStyle name="注释 2 12 3 7 3" xfId="49177" xr:uid="{00000000-0005-0000-0000-000049C00000}"/>
    <cellStyle name="注释 2 12 3 7 3 2" xfId="51381" xr:uid="{00000000-0005-0000-0000-0000E5C80000}"/>
    <cellStyle name="注释 2 12 3 7 4" xfId="51383" xr:uid="{00000000-0005-0000-0000-0000E7C80000}"/>
    <cellStyle name="注释 2 12 3 7 4 2" xfId="51384" xr:uid="{00000000-0005-0000-0000-0000E8C80000}"/>
    <cellStyle name="注释 2 12 3 7 5" xfId="51386" xr:uid="{00000000-0005-0000-0000-0000EAC80000}"/>
    <cellStyle name="注释 2 12 3 7 5 2" xfId="38654" xr:uid="{00000000-0005-0000-0000-00002E970000}"/>
    <cellStyle name="注释 2 12 3 7 6" xfId="51387" xr:uid="{00000000-0005-0000-0000-0000EBC80000}"/>
    <cellStyle name="注释 2 12 3 8" xfId="51388" xr:uid="{00000000-0005-0000-0000-0000ECC80000}"/>
    <cellStyle name="注释 2 12 3 8 2" xfId="51390" xr:uid="{00000000-0005-0000-0000-0000EEC80000}"/>
    <cellStyle name="注释 2 12 3 8 2 2" xfId="51391" xr:uid="{00000000-0005-0000-0000-0000EFC80000}"/>
    <cellStyle name="注释 2 12 3 8 3" xfId="49180" xr:uid="{00000000-0005-0000-0000-00004CC00000}"/>
    <cellStyle name="注释 2 12 3 8 3 2" xfId="51393" xr:uid="{00000000-0005-0000-0000-0000F1C80000}"/>
    <cellStyle name="注释 2 12 3 8 4" xfId="51395" xr:uid="{00000000-0005-0000-0000-0000F3C80000}"/>
    <cellStyle name="注释 2 12 3 8 4 2" xfId="51396" xr:uid="{00000000-0005-0000-0000-0000F4C80000}"/>
    <cellStyle name="注释 2 12 3 8 5" xfId="51398" xr:uid="{00000000-0005-0000-0000-0000F6C80000}"/>
    <cellStyle name="注释 2 12 3 9" xfId="13871" xr:uid="{00000000-0005-0000-0000-00005F360000}"/>
    <cellStyle name="注释 2 12 3 9 2" xfId="35187" xr:uid="{00000000-0005-0000-0000-0000A3890000}"/>
    <cellStyle name="注释 2 12 4" xfId="38109" xr:uid="{00000000-0005-0000-0000-00000D950000}"/>
    <cellStyle name="注释 2 12 4 10" xfId="51399" xr:uid="{00000000-0005-0000-0000-0000F7C80000}"/>
    <cellStyle name="注释 2 12 4 10 2" xfId="51401" xr:uid="{00000000-0005-0000-0000-0000F9C80000}"/>
    <cellStyle name="注释 2 12 4 11" xfId="28994" xr:uid="{00000000-0005-0000-0000-000072710000}"/>
    <cellStyle name="注释 2 12 4 11 2" xfId="51403" xr:uid="{00000000-0005-0000-0000-0000FBC80000}"/>
    <cellStyle name="注释 2 12 4 12" xfId="51405" xr:uid="{00000000-0005-0000-0000-0000FDC80000}"/>
    <cellStyle name="注释 2 12 4 12 2" xfId="51408" xr:uid="{00000000-0005-0000-0000-000000C90000}"/>
    <cellStyle name="注释 2 12 4 13" xfId="51410" xr:uid="{00000000-0005-0000-0000-000002C90000}"/>
    <cellStyle name="注释 2 12 4 14" xfId="50098" xr:uid="{00000000-0005-0000-0000-0000E2C30000}"/>
    <cellStyle name="注释 2 12 4 15" xfId="51413" xr:uid="{00000000-0005-0000-0000-000005C90000}"/>
    <cellStyle name="注释 2 12 4 16" xfId="51416" xr:uid="{00000000-0005-0000-0000-000008C90000}"/>
    <cellStyle name="注释 2 12 4 2" xfId="51421" xr:uid="{00000000-0005-0000-0000-00000DC90000}"/>
    <cellStyle name="注释 2 12 4 2 2" xfId="51422" xr:uid="{00000000-0005-0000-0000-00000EC90000}"/>
    <cellStyle name="注释 2 12 4 2 2 2" xfId="13562" xr:uid="{00000000-0005-0000-0000-00002A350000}"/>
    <cellStyle name="注释 2 12 4 2 3" xfId="51423" xr:uid="{00000000-0005-0000-0000-00000FC90000}"/>
    <cellStyle name="注释 2 12 4 2 3 2" xfId="40076" xr:uid="{00000000-0005-0000-0000-0000BC9C0000}"/>
    <cellStyle name="注释 2 12 4 2 4" xfId="51424" xr:uid="{00000000-0005-0000-0000-000010C90000}"/>
    <cellStyle name="注释 2 12 4 2 4 2" xfId="51425" xr:uid="{00000000-0005-0000-0000-000011C90000}"/>
    <cellStyle name="注释 2 12 4 2 5" xfId="51426" xr:uid="{00000000-0005-0000-0000-000012C90000}"/>
    <cellStyle name="注释 2 12 4 2 5 2" xfId="51427" xr:uid="{00000000-0005-0000-0000-000013C90000}"/>
    <cellStyle name="注释 2 12 4 2 6" xfId="50213" xr:uid="{00000000-0005-0000-0000-000055C40000}"/>
    <cellStyle name="注释 2 12 4 2 7" xfId="51428" xr:uid="{00000000-0005-0000-0000-000014C90000}"/>
    <cellStyle name="注释 2 12 4 2 8" xfId="46258" xr:uid="{00000000-0005-0000-0000-0000E2B40000}"/>
    <cellStyle name="注释 2 12 4 2 9" xfId="51429" xr:uid="{00000000-0005-0000-0000-000015C90000}"/>
    <cellStyle name="注释 2 12 4 3" xfId="28257" xr:uid="{00000000-0005-0000-0000-0000916E0000}"/>
    <cellStyle name="注释 2 12 4 3 2" xfId="51430" xr:uid="{00000000-0005-0000-0000-000016C90000}"/>
    <cellStyle name="注释 2 12 4 3 2 2" xfId="51431" xr:uid="{00000000-0005-0000-0000-000017C90000}"/>
    <cellStyle name="注释 2 12 4 3 3" xfId="51432" xr:uid="{00000000-0005-0000-0000-000018C90000}"/>
    <cellStyle name="注释 2 12 4 3 3 2" xfId="51433" xr:uid="{00000000-0005-0000-0000-000019C90000}"/>
    <cellStyle name="注释 2 12 4 3 4" xfId="51434" xr:uid="{00000000-0005-0000-0000-00001AC90000}"/>
    <cellStyle name="注释 2 12 4 3 4 2" xfId="51435" xr:uid="{00000000-0005-0000-0000-00001BC90000}"/>
    <cellStyle name="注释 2 12 4 3 5" xfId="51436" xr:uid="{00000000-0005-0000-0000-00001CC90000}"/>
    <cellStyle name="注释 2 12 4 3 5 2" xfId="51437" xr:uid="{00000000-0005-0000-0000-00001DC90000}"/>
    <cellStyle name="注释 2 12 4 3 6" xfId="51438" xr:uid="{00000000-0005-0000-0000-00001EC90000}"/>
    <cellStyle name="注释 2 12 4 4" xfId="51439" xr:uid="{00000000-0005-0000-0000-00001FC90000}"/>
    <cellStyle name="注释 2 12 4 4 2" xfId="51440" xr:uid="{00000000-0005-0000-0000-000020C90000}"/>
    <cellStyle name="注释 2 12 4 4 2 2" xfId="51441" xr:uid="{00000000-0005-0000-0000-000021C90000}"/>
    <cellStyle name="注释 2 12 4 4 3" xfId="51443" xr:uid="{00000000-0005-0000-0000-000023C90000}"/>
    <cellStyle name="注释 2 12 4 4 3 2" xfId="51444" xr:uid="{00000000-0005-0000-0000-000024C90000}"/>
    <cellStyle name="注释 2 12 4 4 4" xfId="51446" xr:uid="{00000000-0005-0000-0000-000026C90000}"/>
    <cellStyle name="注释 2 12 4 4 4 2" xfId="51447" xr:uid="{00000000-0005-0000-0000-000027C90000}"/>
    <cellStyle name="注释 2 12 4 4 5" xfId="51449" xr:uid="{00000000-0005-0000-0000-000029C90000}"/>
    <cellStyle name="注释 2 12 4 4 5 2" xfId="51450" xr:uid="{00000000-0005-0000-0000-00002AC90000}"/>
    <cellStyle name="注释 2 12 4 4 6" xfId="51452" xr:uid="{00000000-0005-0000-0000-00002CC90000}"/>
    <cellStyle name="注释 2 12 4 5" xfId="51453" xr:uid="{00000000-0005-0000-0000-00002DC90000}"/>
    <cellStyle name="注释 2 12 4 5 2" xfId="51454" xr:uid="{00000000-0005-0000-0000-00002EC90000}"/>
    <cellStyle name="注释 2 12 4 5 2 2" xfId="51455" xr:uid="{00000000-0005-0000-0000-00002FC90000}"/>
    <cellStyle name="注释 2 12 4 5 3" xfId="51457" xr:uid="{00000000-0005-0000-0000-000031C90000}"/>
    <cellStyle name="注释 2 12 4 5 3 2" xfId="51458" xr:uid="{00000000-0005-0000-0000-000032C90000}"/>
    <cellStyle name="注释 2 12 4 5 4" xfId="51460" xr:uid="{00000000-0005-0000-0000-000034C90000}"/>
    <cellStyle name="注释 2 12 4 5 4 2" xfId="51461" xr:uid="{00000000-0005-0000-0000-000035C90000}"/>
    <cellStyle name="注释 2 12 4 5 5" xfId="51463" xr:uid="{00000000-0005-0000-0000-000037C90000}"/>
    <cellStyle name="注释 2 12 4 5 5 2" xfId="51464" xr:uid="{00000000-0005-0000-0000-000038C90000}"/>
    <cellStyle name="注释 2 12 4 5 6" xfId="51466" xr:uid="{00000000-0005-0000-0000-00003AC90000}"/>
    <cellStyle name="注释 2 12 4 6" xfId="51467" xr:uid="{00000000-0005-0000-0000-00003BC90000}"/>
    <cellStyle name="注释 2 12 4 6 2" xfId="51468" xr:uid="{00000000-0005-0000-0000-00003CC90000}"/>
    <cellStyle name="注释 2 12 4 6 2 2" xfId="51469" xr:uid="{00000000-0005-0000-0000-00003DC90000}"/>
    <cellStyle name="注释 2 12 4 6 3" xfId="51471" xr:uid="{00000000-0005-0000-0000-00003FC90000}"/>
    <cellStyle name="注释 2 12 4 6 3 2" xfId="51472" xr:uid="{00000000-0005-0000-0000-000040C90000}"/>
    <cellStyle name="注释 2 12 4 6 4" xfId="51474" xr:uid="{00000000-0005-0000-0000-000042C90000}"/>
    <cellStyle name="注释 2 12 4 6 4 2" xfId="51475" xr:uid="{00000000-0005-0000-0000-000043C90000}"/>
    <cellStyle name="注释 2 12 4 6 5" xfId="51477" xr:uid="{00000000-0005-0000-0000-000045C90000}"/>
    <cellStyle name="注释 2 12 4 6 5 2" xfId="23398" xr:uid="{00000000-0005-0000-0000-0000965B0000}"/>
    <cellStyle name="注释 2 12 4 6 6" xfId="51478" xr:uid="{00000000-0005-0000-0000-000046C90000}"/>
    <cellStyle name="注释 2 12 4 7" xfId="4076" xr:uid="{00000000-0005-0000-0000-00001C100000}"/>
    <cellStyle name="注释 2 12 4 7 2" xfId="51479" xr:uid="{00000000-0005-0000-0000-000047C90000}"/>
    <cellStyle name="注释 2 12 4 7 2 2" xfId="40464" xr:uid="{00000000-0005-0000-0000-0000409E0000}"/>
    <cellStyle name="注释 2 12 4 7 3" xfId="49190" xr:uid="{00000000-0005-0000-0000-000056C00000}"/>
    <cellStyle name="注释 2 12 4 7 3 2" xfId="40473" xr:uid="{00000000-0005-0000-0000-0000499E0000}"/>
    <cellStyle name="注释 2 12 4 7 4" xfId="51480" xr:uid="{00000000-0005-0000-0000-000048C90000}"/>
    <cellStyle name="注释 2 12 4 7 4 2" xfId="51481" xr:uid="{00000000-0005-0000-0000-000049C90000}"/>
    <cellStyle name="注释 2 12 4 7 5" xfId="51483" xr:uid="{00000000-0005-0000-0000-00004BC90000}"/>
    <cellStyle name="注释 2 12 4 7 5 2" xfId="51484" xr:uid="{00000000-0005-0000-0000-00004CC90000}"/>
    <cellStyle name="注释 2 12 4 7 6" xfId="51486" xr:uid="{00000000-0005-0000-0000-00004EC90000}"/>
    <cellStyle name="注释 2 12 4 8" xfId="51487" xr:uid="{00000000-0005-0000-0000-00004FC90000}"/>
    <cellStyle name="注释 2 12 4 8 2" xfId="51488" xr:uid="{00000000-0005-0000-0000-000050C90000}"/>
    <cellStyle name="注释 2 12 4 8 2 2" xfId="51489" xr:uid="{00000000-0005-0000-0000-000051C90000}"/>
    <cellStyle name="注释 2 12 4 8 3" xfId="49193" xr:uid="{00000000-0005-0000-0000-000059C00000}"/>
    <cellStyle name="注释 2 12 4 8 3 2" xfId="51491" xr:uid="{00000000-0005-0000-0000-000053C90000}"/>
    <cellStyle name="注释 2 12 4 8 4" xfId="51493" xr:uid="{00000000-0005-0000-0000-000055C90000}"/>
    <cellStyle name="注释 2 12 4 8 4 2" xfId="51494" xr:uid="{00000000-0005-0000-0000-000056C90000}"/>
    <cellStyle name="注释 2 12 4 8 5" xfId="51496" xr:uid="{00000000-0005-0000-0000-000058C90000}"/>
    <cellStyle name="注释 2 12 4 9" xfId="4128" xr:uid="{00000000-0005-0000-0000-000050100000}"/>
    <cellStyle name="注释 2 12 4 9 2" xfId="35197" xr:uid="{00000000-0005-0000-0000-0000AD890000}"/>
    <cellStyle name="注释 2 12 5" xfId="51497" xr:uid="{00000000-0005-0000-0000-000059C90000}"/>
    <cellStyle name="注释 2 12 5 10" xfId="51498" xr:uid="{00000000-0005-0000-0000-00005AC90000}"/>
    <cellStyle name="注释 2 12 5 10 2" xfId="51499" xr:uid="{00000000-0005-0000-0000-00005BC90000}"/>
    <cellStyle name="注释 2 12 5 11" xfId="51500" xr:uid="{00000000-0005-0000-0000-00005CC90000}"/>
    <cellStyle name="注释 2 12 5 11 2" xfId="51501" xr:uid="{00000000-0005-0000-0000-00005DC90000}"/>
    <cellStyle name="注释 2 12 5 12" xfId="51502" xr:uid="{00000000-0005-0000-0000-00005EC90000}"/>
    <cellStyle name="注释 2 12 5 12 2" xfId="51503" xr:uid="{00000000-0005-0000-0000-00005FC90000}"/>
    <cellStyle name="注释 2 12 5 13" xfId="51504" xr:uid="{00000000-0005-0000-0000-000060C90000}"/>
    <cellStyle name="注释 2 12 5 14" xfId="51505" xr:uid="{00000000-0005-0000-0000-000061C90000}"/>
    <cellStyle name="注释 2 12 5 15" xfId="51506" xr:uid="{00000000-0005-0000-0000-000062C90000}"/>
    <cellStyle name="注释 2 12 5 16" xfId="51507" xr:uid="{00000000-0005-0000-0000-000063C90000}"/>
    <cellStyle name="注释 2 12 5 2" xfId="51508" xr:uid="{00000000-0005-0000-0000-000064C90000}"/>
    <cellStyle name="注释 2 12 5 2 2" xfId="51509" xr:uid="{00000000-0005-0000-0000-000065C90000}"/>
    <cellStyle name="注释 2 12 5 2 2 2" xfId="42072" xr:uid="{00000000-0005-0000-0000-000088A40000}"/>
    <cellStyle name="注释 2 12 5 2 3" xfId="51510" xr:uid="{00000000-0005-0000-0000-000066C90000}"/>
    <cellStyle name="注释 2 12 5 2 3 2" xfId="42085" xr:uid="{00000000-0005-0000-0000-000095A40000}"/>
    <cellStyle name="注释 2 12 5 2 4" xfId="51511" xr:uid="{00000000-0005-0000-0000-000067C90000}"/>
    <cellStyle name="注释 2 12 5 2 4 2" xfId="51512" xr:uid="{00000000-0005-0000-0000-000068C90000}"/>
    <cellStyle name="注释 2 12 5 2 5" xfId="42266" xr:uid="{00000000-0005-0000-0000-00004AA50000}"/>
    <cellStyle name="注释 2 12 5 2 5 2" xfId="51513" xr:uid="{00000000-0005-0000-0000-000069C90000}"/>
    <cellStyle name="注释 2 12 5 2 6" xfId="50221" xr:uid="{00000000-0005-0000-0000-00005DC40000}"/>
    <cellStyle name="注释 2 12 5 2 7" xfId="51514" xr:uid="{00000000-0005-0000-0000-00006AC90000}"/>
    <cellStyle name="注释 2 12 5 2 8" xfId="46268" xr:uid="{00000000-0005-0000-0000-0000ECB40000}"/>
    <cellStyle name="注释 2 12 5 2 9" xfId="51515" xr:uid="{00000000-0005-0000-0000-00006BC90000}"/>
    <cellStyle name="注释 2 12 5 3" xfId="51516" xr:uid="{00000000-0005-0000-0000-00006CC90000}"/>
    <cellStyle name="注释 2 12 5 3 2" xfId="51517" xr:uid="{00000000-0005-0000-0000-00006DC90000}"/>
    <cellStyle name="注释 2 12 5 3 2 2" xfId="51518" xr:uid="{00000000-0005-0000-0000-00006EC90000}"/>
    <cellStyle name="注释 2 12 5 3 3" xfId="51519" xr:uid="{00000000-0005-0000-0000-00006FC90000}"/>
    <cellStyle name="注释 2 12 5 3 3 2" xfId="51520" xr:uid="{00000000-0005-0000-0000-000070C90000}"/>
    <cellStyle name="注释 2 12 5 3 4" xfId="51521" xr:uid="{00000000-0005-0000-0000-000071C90000}"/>
    <cellStyle name="注释 2 12 5 3 4 2" xfId="51522" xr:uid="{00000000-0005-0000-0000-000072C90000}"/>
    <cellStyle name="注释 2 12 5 3 5" xfId="51523" xr:uid="{00000000-0005-0000-0000-000073C90000}"/>
    <cellStyle name="注释 2 12 5 3 5 2" xfId="51524" xr:uid="{00000000-0005-0000-0000-000074C90000}"/>
    <cellStyle name="注释 2 12 5 3 6" xfId="51525" xr:uid="{00000000-0005-0000-0000-000075C90000}"/>
    <cellStyle name="注释 2 12 5 4" xfId="51526" xr:uid="{00000000-0005-0000-0000-000076C90000}"/>
    <cellStyle name="注释 2 12 5 4 2" xfId="51527" xr:uid="{00000000-0005-0000-0000-000077C90000}"/>
    <cellStyle name="注释 2 12 5 4 2 2" xfId="51528" xr:uid="{00000000-0005-0000-0000-000078C90000}"/>
    <cellStyle name="注释 2 12 5 4 3" xfId="51530" xr:uid="{00000000-0005-0000-0000-00007AC90000}"/>
    <cellStyle name="注释 2 12 5 4 3 2" xfId="51531" xr:uid="{00000000-0005-0000-0000-00007BC90000}"/>
    <cellStyle name="注释 2 12 5 4 4" xfId="51533" xr:uid="{00000000-0005-0000-0000-00007DC90000}"/>
    <cellStyle name="注释 2 12 5 4 4 2" xfId="51534" xr:uid="{00000000-0005-0000-0000-00007EC90000}"/>
    <cellStyle name="注释 2 12 5 4 5" xfId="51536" xr:uid="{00000000-0005-0000-0000-000080C90000}"/>
    <cellStyle name="注释 2 12 5 4 5 2" xfId="51537" xr:uid="{00000000-0005-0000-0000-000081C90000}"/>
    <cellStyle name="注释 2 12 5 4 6" xfId="51539" xr:uid="{00000000-0005-0000-0000-000083C90000}"/>
    <cellStyle name="注释 2 12 5 5" xfId="51540" xr:uid="{00000000-0005-0000-0000-000084C90000}"/>
    <cellStyle name="注释 2 12 5 5 2" xfId="51541" xr:uid="{00000000-0005-0000-0000-000085C90000}"/>
    <cellStyle name="注释 2 12 5 5 2 2" xfId="51542" xr:uid="{00000000-0005-0000-0000-000086C90000}"/>
    <cellStyle name="注释 2 12 5 5 3" xfId="51544" xr:uid="{00000000-0005-0000-0000-000088C90000}"/>
    <cellStyle name="注释 2 12 5 5 3 2" xfId="51545" xr:uid="{00000000-0005-0000-0000-000089C90000}"/>
    <cellStyle name="注释 2 12 5 5 4" xfId="37260" xr:uid="{00000000-0005-0000-0000-0000BC910000}"/>
    <cellStyle name="注释 2 12 5 5 4 2" xfId="51547" xr:uid="{00000000-0005-0000-0000-00008BC90000}"/>
    <cellStyle name="注释 2 12 5 5 5" xfId="51549" xr:uid="{00000000-0005-0000-0000-00008DC90000}"/>
    <cellStyle name="注释 2 12 5 5 5 2" xfId="51550" xr:uid="{00000000-0005-0000-0000-00008EC90000}"/>
    <cellStyle name="注释 2 12 5 5 6" xfId="51552" xr:uid="{00000000-0005-0000-0000-000090C90000}"/>
    <cellStyle name="注释 2 12 5 6" xfId="51553" xr:uid="{00000000-0005-0000-0000-000091C90000}"/>
    <cellStyle name="注释 2 12 5 6 2" xfId="51554" xr:uid="{00000000-0005-0000-0000-000092C90000}"/>
    <cellStyle name="注释 2 12 5 6 2 2" xfId="51555" xr:uid="{00000000-0005-0000-0000-000093C90000}"/>
    <cellStyle name="注释 2 12 5 6 3" xfId="51557" xr:uid="{00000000-0005-0000-0000-000095C90000}"/>
    <cellStyle name="注释 2 12 5 6 3 2" xfId="34954" xr:uid="{00000000-0005-0000-0000-0000BA880000}"/>
    <cellStyle name="注释 2 12 5 6 4" xfId="37264" xr:uid="{00000000-0005-0000-0000-0000C0910000}"/>
    <cellStyle name="注释 2 12 5 6 4 2" xfId="51558" xr:uid="{00000000-0005-0000-0000-000096C90000}"/>
    <cellStyle name="注释 2 12 5 6 5" xfId="51560" xr:uid="{00000000-0005-0000-0000-000098C90000}"/>
    <cellStyle name="注释 2 12 5 6 5 2" xfId="51561" xr:uid="{00000000-0005-0000-0000-000099C90000}"/>
    <cellStyle name="注释 2 12 5 6 6" xfId="51563" xr:uid="{00000000-0005-0000-0000-00009BC90000}"/>
    <cellStyle name="注释 2 12 5 7" xfId="33961" xr:uid="{00000000-0005-0000-0000-0000D9840000}"/>
    <cellStyle name="注释 2 12 5 7 2" xfId="51564" xr:uid="{00000000-0005-0000-0000-00009CC90000}"/>
    <cellStyle name="注释 2 12 5 7 2 2" xfId="22785" xr:uid="{00000000-0005-0000-0000-000031590000}"/>
    <cellStyle name="注释 2 12 5 7 3" xfId="49201" xr:uid="{00000000-0005-0000-0000-000061C00000}"/>
    <cellStyle name="注释 2 12 5 7 3 2" xfId="22832" xr:uid="{00000000-0005-0000-0000-000060590000}"/>
    <cellStyle name="注释 2 12 5 7 4" xfId="37268" xr:uid="{00000000-0005-0000-0000-0000C4910000}"/>
    <cellStyle name="注释 2 12 5 7 4 2" xfId="22876" xr:uid="{00000000-0005-0000-0000-00008C590000}"/>
    <cellStyle name="注释 2 12 5 7 5" xfId="31946" xr:uid="{00000000-0005-0000-0000-0000FA7C0000}"/>
    <cellStyle name="注释 2 12 5 7 5 2" xfId="22922" xr:uid="{00000000-0005-0000-0000-0000BA590000}"/>
    <cellStyle name="注释 2 12 5 7 6" xfId="50392" xr:uid="{00000000-0005-0000-0000-000008C50000}"/>
    <cellStyle name="注释 2 12 5 8" xfId="51565" xr:uid="{00000000-0005-0000-0000-00009DC90000}"/>
    <cellStyle name="注释 2 12 5 8 2" xfId="51566" xr:uid="{00000000-0005-0000-0000-00009EC90000}"/>
    <cellStyle name="注释 2 12 5 8 2 2" xfId="24782" xr:uid="{00000000-0005-0000-0000-0000FE600000}"/>
    <cellStyle name="注释 2 12 5 8 3" xfId="49204" xr:uid="{00000000-0005-0000-0000-000064C00000}"/>
    <cellStyle name="注释 2 12 5 8 3 2" xfId="24791" xr:uid="{00000000-0005-0000-0000-000007610000}"/>
    <cellStyle name="注释 2 12 5 8 4" xfId="37271" xr:uid="{00000000-0005-0000-0000-0000C7910000}"/>
    <cellStyle name="注释 2 12 5 8 4 2" xfId="24809" xr:uid="{00000000-0005-0000-0000-000019610000}"/>
    <cellStyle name="注释 2 12 5 8 5" xfId="31948" xr:uid="{00000000-0005-0000-0000-0000FC7C0000}"/>
    <cellStyle name="注释 2 12 5 9" xfId="4231" xr:uid="{00000000-0005-0000-0000-0000B7100000}"/>
    <cellStyle name="注释 2 12 5 9 2" xfId="35203" xr:uid="{00000000-0005-0000-0000-0000B3890000}"/>
    <cellStyle name="注释 2 12 6" xfId="51567" xr:uid="{00000000-0005-0000-0000-00009FC90000}"/>
    <cellStyle name="注释 2 12 6 10" xfId="51568" xr:uid="{00000000-0005-0000-0000-0000A0C90000}"/>
    <cellStyle name="注释 2 12 6 10 2" xfId="51569" xr:uid="{00000000-0005-0000-0000-0000A1C90000}"/>
    <cellStyle name="注释 2 12 6 11" xfId="51571" xr:uid="{00000000-0005-0000-0000-0000A3C90000}"/>
    <cellStyle name="注释 2 12 6 11 2" xfId="51572" xr:uid="{00000000-0005-0000-0000-0000A4C90000}"/>
    <cellStyle name="注释 2 12 6 12" xfId="51573" xr:uid="{00000000-0005-0000-0000-0000A5C90000}"/>
    <cellStyle name="注释 2 12 6 12 2" xfId="51574" xr:uid="{00000000-0005-0000-0000-0000A6C90000}"/>
    <cellStyle name="注释 2 12 6 13" xfId="36631" xr:uid="{00000000-0005-0000-0000-0000478F0000}"/>
    <cellStyle name="注释 2 12 6 14" xfId="51575" xr:uid="{00000000-0005-0000-0000-0000A7C90000}"/>
    <cellStyle name="注释 2 12 6 15" xfId="51576" xr:uid="{00000000-0005-0000-0000-0000A8C90000}"/>
    <cellStyle name="注释 2 12 6 16" xfId="51577" xr:uid="{00000000-0005-0000-0000-0000A9C90000}"/>
    <cellStyle name="注释 2 12 6 2" xfId="51578" xr:uid="{00000000-0005-0000-0000-0000AAC90000}"/>
    <cellStyle name="注释 2 12 6 2 2" xfId="51579" xr:uid="{00000000-0005-0000-0000-0000ABC90000}"/>
    <cellStyle name="注释 2 12 6 2 2 2" xfId="51580" xr:uid="{00000000-0005-0000-0000-0000ACC90000}"/>
    <cellStyle name="注释 2 12 6 2 3" xfId="51581" xr:uid="{00000000-0005-0000-0000-0000ADC90000}"/>
    <cellStyle name="注释 2 12 6 2 3 2" xfId="27534" xr:uid="{00000000-0005-0000-0000-0000BE6B0000}"/>
    <cellStyle name="注释 2 12 6 2 4" xfId="51582" xr:uid="{00000000-0005-0000-0000-0000AEC90000}"/>
    <cellStyle name="注释 2 12 6 2 4 2" xfId="51583" xr:uid="{00000000-0005-0000-0000-0000AFC90000}"/>
    <cellStyle name="注释 2 12 6 2 5" xfId="42278" xr:uid="{00000000-0005-0000-0000-000056A50000}"/>
    <cellStyle name="注释 2 12 6 2 5 2" xfId="51584" xr:uid="{00000000-0005-0000-0000-0000B0C90000}"/>
    <cellStyle name="注释 2 12 6 2 6" xfId="50229" xr:uid="{00000000-0005-0000-0000-000065C40000}"/>
    <cellStyle name="注释 2 12 6 2 7" xfId="51585" xr:uid="{00000000-0005-0000-0000-0000B1C90000}"/>
    <cellStyle name="注释 2 12 6 2 8" xfId="51586" xr:uid="{00000000-0005-0000-0000-0000B2C90000}"/>
    <cellStyle name="注释 2 12 6 2 9" xfId="51587" xr:uid="{00000000-0005-0000-0000-0000B3C90000}"/>
    <cellStyle name="注释 2 12 6 3" xfId="51588" xr:uid="{00000000-0005-0000-0000-0000B4C90000}"/>
    <cellStyle name="注释 2 12 6 3 2" xfId="51589" xr:uid="{00000000-0005-0000-0000-0000B5C90000}"/>
    <cellStyle name="注释 2 12 6 3 2 2" xfId="51590" xr:uid="{00000000-0005-0000-0000-0000B6C90000}"/>
    <cellStyle name="注释 2 12 6 3 3" xfId="51591" xr:uid="{00000000-0005-0000-0000-0000B7C90000}"/>
    <cellStyle name="注释 2 12 6 3 3 2" xfId="745" xr:uid="{00000000-0005-0000-0000-000019030000}"/>
    <cellStyle name="注释 2 12 6 3 4" xfId="51592" xr:uid="{00000000-0005-0000-0000-0000B8C90000}"/>
    <cellStyle name="注释 2 12 6 3 4 2" xfId="51593" xr:uid="{00000000-0005-0000-0000-0000B9C90000}"/>
    <cellStyle name="注释 2 12 6 3 5" xfId="51594" xr:uid="{00000000-0005-0000-0000-0000BAC90000}"/>
    <cellStyle name="注释 2 12 6 3 5 2" xfId="51595" xr:uid="{00000000-0005-0000-0000-0000BBC90000}"/>
    <cellStyle name="注释 2 12 6 3 6" xfId="51596" xr:uid="{00000000-0005-0000-0000-0000BCC90000}"/>
    <cellStyle name="注释 2 12 6 4" xfId="51597" xr:uid="{00000000-0005-0000-0000-0000BDC90000}"/>
    <cellStyle name="注释 2 12 6 4 2" xfId="51598" xr:uid="{00000000-0005-0000-0000-0000BEC90000}"/>
    <cellStyle name="注释 2 12 6 4 2 2" xfId="2814" xr:uid="{00000000-0005-0000-0000-00002E0B0000}"/>
    <cellStyle name="注释 2 12 6 4 3" xfId="51599" xr:uid="{00000000-0005-0000-0000-0000BFC90000}"/>
    <cellStyle name="注释 2 12 6 4 3 2" xfId="27734" xr:uid="{00000000-0005-0000-0000-0000866C0000}"/>
    <cellStyle name="注释 2 12 6 4 4" xfId="51600" xr:uid="{00000000-0005-0000-0000-0000C0C90000}"/>
    <cellStyle name="注释 2 12 6 4 4 2" xfId="51601" xr:uid="{00000000-0005-0000-0000-0000C1C90000}"/>
    <cellStyle name="注释 2 12 6 4 5" xfId="51603" xr:uid="{00000000-0005-0000-0000-0000C3C90000}"/>
    <cellStyle name="注释 2 12 6 4 5 2" xfId="51604" xr:uid="{00000000-0005-0000-0000-0000C4C90000}"/>
    <cellStyle name="注释 2 12 6 4 6" xfId="51606" xr:uid="{00000000-0005-0000-0000-0000C6C90000}"/>
    <cellStyle name="注释 2 12 6 5" xfId="51607" xr:uid="{00000000-0005-0000-0000-0000C7C90000}"/>
    <cellStyle name="注释 2 12 6 5 2" xfId="51608" xr:uid="{00000000-0005-0000-0000-0000C8C90000}"/>
    <cellStyle name="注释 2 12 6 5 2 2" xfId="3231" xr:uid="{00000000-0005-0000-0000-0000CF0C0000}"/>
    <cellStyle name="注释 2 12 6 5 3" xfId="51609" xr:uid="{00000000-0005-0000-0000-0000C9C90000}"/>
    <cellStyle name="注释 2 12 6 5 3 2" xfId="51610" xr:uid="{00000000-0005-0000-0000-0000CAC90000}"/>
    <cellStyle name="注释 2 12 6 5 4" xfId="37282" xr:uid="{00000000-0005-0000-0000-0000D2910000}"/>
    <cellStyle name="注释 2 12 6 5 4 2" xfId="29792" xr:uid="{00000000-0005-0000-0000-000090740000}"/>
    <cellStyle name="注释 2 12 6 5 5" xfId="51612" xr:uid="{00000000-0005-0000-0000-0000CCC90000}"/>
    <cellStyle name="注释 2 12 6 5 5 2" xfId="51613" xr:uid="{00000000-0005-0000-0000-0000CDC90000}"/>
    <cellStyle name="注释 2 12 6 5 6" xfId="51615" xr:uid="{00000000-0005-0000-0000-0000CFC90000}"/>
    <cellStyle name="注释 2 12 6 6" xfId="51616" xr:uid="{00000000-0005-0000-0000-0000D0C90000}"/>
    <cellStyle name="注释 2 12 6 6 2" xfId="27325" xr:uid="{00000000-0005-0000-0000-0000ED6A0000}"/>
    <cellStyle name="注释 2 12 6 6 2 2" xfId="51617" xr:uid="{00000000-0005-0000-0000-0000D1C90000}"/>
    <cellStyle name="注释 2 12 6 6 3" xfId="39662" xr:uid="{00000000-0005-0000-0000-00001E9B0000}"/>
    <cellStyle name="注释 2 12 6 6 3 2" xfId="36728" xr:uid="{00000000-0005-0000-0000-0000A88F0000}"/>
    <cellStyle name="注释 2 12 6 6 4" xfId="37287" xr:uid="{00000000-0005-0000-0000-0000D7910000}"/>
    <cellStyle name="注释 2 12 6 6 4 2" xfId="30285" xr:uid="{00000000-0005-0000-0000-00007D760000}"/>
    <cellStyle name="注释 2 12 6 6 5" xfId="51619" xr:uid="{00000000-0005-0000-0000-0000D3C90000}"/>
    <cellStyle name="注释 2 12 6 6 5 2" xfId="51620" xr:uid="{00000000-0005-0000-0000-0000D4C90000}"/>
    <cellStyle name="注释 2 12 6 6 6" xfId="51622" xr:uid="{00000000-0005-0000-0000-0000D6C90000}"/>
    <cellStyle name="注释 2 12 6 7" xfId="33967" xr:uid="{00000000-0005-0000-0000-0000DF840000}"/>
    <cellStyle name="注释 2 12 6 7 2" xfId="51623" xr:uid="{00000000-0005-0000-0000-0000D7C90000}"/>
    <cellStyle name="注释 2 12 6 7 2 2" xfId="51624" xr:uid="{00000000-0005-0000-0000-0000D8C90000}"/>
    <cellStyle name="注释 2 12 6 7 3" xfId="49212" xr:uid="{00000000-0005-0000-0000-00006CC00000}"/>
    <cellStyle name="注释 2 12 6 7 3 2" xfId="51626" xr:uid="{00000000-0005-0000-0000-0000DAC90000}"/>
    <cellStyle name="注释 2 12 6 7 4" xfId="37291" xr:uid="{00000000-0005-0000-0000-0000DB910000}"/>
    <cellStyle name="注释 2 12 6 7 4 2" xfId="51628" xr:uid="{00000000-0005-0000-0000-0000DCC90000}"/>
    <cellStyle name="注释 2 12 6 7 5" xfId="31962" xr:uid="{00000000-0005-0000-0000-00000A7D0000}"/>
    <cellStyle name="注释 2 12 6 7 5 2" xfId="51630" xr:uid="{00000000-0005-0000-0000-0000DEC90000}"/>
    <cellStyle name="注释 2 12 6 7 6" xfId="51632" xr:uid="{00000000-0005-0000-0000-0000E0C90000}"/>
    <cellStyle name="注释 2 12 6 8" xfId="51633" xr:uid="{00000000-0005-0000-0000-0000E1C90000}"/>
    <cellStyle name="注释 2 12 6 8 2" xfId="51634" xr:uid="{00000000-0005-0000-0000-0000E2C90000}"/>
    <cellStyle name="注释 2 12 6 8 2 2" xfId="51635" xr:uid="{00000000-0005-0000-0000-0000E3C90000}"/>
    <cellStyle name="注释 2 12 6 8 3" xfId="49215" xr:uid="{00000000-0005-0000-0000-00006FC00000}"/>
    <cellStyle name="注释 2 12 6 8 3 2" xfId="51637" xr:uid="{00000000-0005-0000-0000-0000E5C90000}"/>
    <cellStyle name="注释 2 12 6 8 4" xfId="37294" xr:uid="{00000000-0005-0000-0000-0000DE910000}"/>
    <cellStyle name="注释 2 12 6 8 4 2" xfId="51639" xr:uid="{00000000-0005-0000-0000-0000E7C90000}"/>
    <cellStyle name="注释 2 12 6 8 5" xfId="31964" xr:uid="{00000000-0005-0000-0000-00000C7D0000}"/>
    <cellStyle name="注释 2 12 6 9" xfId="3583" xr:uid="{00000000-0005-0000-0000-00002F0E0000}"/>
    <cellStyle name="注释 2 12 6 9 2" xfId="35216" xr:uid="{00000000-0005-0000-0000-0000C0890000}"/>
    <cellStyle name="注释 2 12 7" xfId="51641" xr:uid="{00000000-0005-0000-0000-0000E9C90000}"/>
    <cellStyle name="注释 2 12 7 10" xfId="51642" xr:uid="{00000000-0005-0000-0000-0000EAC90000}"/>
    <cellStyle name="注释 2 12 7 10 2" xfId="31532" xr:uid="{00000000-0005-0000-0000-00005C7B0000}"/>
    <cellStyle name="注释 2 12 7 11" xfId="51643" xr:uid="{00000000-0005-0000-0000-0000EBC90000}"/>
    <cellStyle name="注释 2 12 7 11 2" xfId="28687" xr:uid="{00000000-0005-0000-0000-00003F700000}"/>
    <cellStyle name="注释 2 12 7 12" xfId="23445" xr:uid="{00000000-0005-0000-0000-0000C55B0000}"/>
    <cellStyle name="注释 2 12 7 12 2" xfId="31550" xr:uid="{00000000-0005-0000-0000-00006E7B0000}"/>
    <cellStyle name="注释 2 12 7 13" xfId="51644" xr:uid="{00000000-0005-0000-0000-0000ECC90000}"/>
    <cellStyle name="注释 2 12 7 14" xfId="39453" xr:uid="{00000000-0005-0000-0000-00004D9A0000}"/>
    <cellStyle name="注释 2 12 7 15" xfId="51645" xr:uid="{00000000-0005-0000-0000-0000EDC90000}"/>
    <cellStyle name="注释 2 12 7 16" xfId="51646" xr:uid="{00000000-0005-0000-0000-0000EEC90000}"/>
    <cellStyle name="注释 2 12 7 2" xfId="51647" xr:uid="{00000000-0005-0000-0000-0000EFC90000}"/>
    <cellStyle name="注释 2 12 7 2 2" xfId="51648" xr:uid="{00000000-0005-0000-0000-0000F0C90000}"/>
    <cellStyle name="注释 2 12 7 2 2 2" xfId="51649" xr:uid="{00000000-0005-0000-0000-0000F1C90000}"/>
    <cellStyle name="注释 2 12 7 2 3" xfId="51650" xr:uid="{00000000-0005-0000-0000-0000F2C90000}"/>
    <cellStyle name="注释 2 12 7 2 3 2" xfId="28539" xr:uid="{00000000-0005-0000-0000-0000AB6F0000}"/>
    <cellStyle name="注释 2 12 7 2 4" xfId="51651" xr:uid="{00000000-0005-0000-0000-0000F3C90000}"/>
    <cellStyle name="注释 2 12 7 2 4 2" xfId="51652" xr:uid="{00000000-0005-0000-0000-0000F4C90000}"/>
    <cellStyle name="注释 2 12 7 2 5" xfId="42286" xr:uid="{00000000-0005-0000-0000-00005EA50000}"/>
    <cellStyle name="注释 2 12 7 2 5 2" xfId="32947" xr:uid="{00000000-0005-0000-0000-0000E3800000}"/>
    <cellStyle name="注释 2 12 7 2 6" xfId="51653" xr:uid="{00000000-0005-0000-0000-0000F5C90000}"/>
    <cellStyle name="注释 2 12 7 2 7" xfId="51654" xr:uid="{00000000-0005-0000-0000-0000F6C90000}"/>
    <cellStyle name="注释 2 12 7 2 8" xfId="8894" xr:uid="{00000000-0005-0000-0000-0000EE220000}"/>
    <cellStyle name="注释 2 12 7 2 9" xfId="51655" xr:uid="{00000000-0005-0000-0000-0000F7C90000}"/>
    <cellStyle name="注释 2 12 7 3" xfId="51656" xr:uid="{00000000-0005-0000-0000-0000F8C90000}"/>
    <cellStyle name="注释 2 12 7 3 2" xfId="51657" xr:uid="{00000000-0005-0000-0000-0000F9C90000}"/>
    <cellStyle name="注释 2 12 7 3 2 2" xfId="51658" xr:uid="{00000000-0005-0000-0000-0000FAC90000}"/>
    <cellStyle name="注释 2 12 7 3 3" xfId="51659" xr:uid="{00000000-0005-0000-0000-0000FBC90000}"/>
    <cellStyle name="注释 2 12 7 3 3 2" xfId="13471" xr:uid="{00000000-0005-0000-0000-0000CF340000}"/>
    <cellStyle name="注释 2 12 7 3 4" xfId="51660" xr:uid="{00000000-0005-0000-0000-0000FCC90000}"/>
    <cellStyle name="注释 2 12 7 3 4 2" xfId="51661" xr:uid="{00000000-0005-0000-0000-0000FDC90000}"/>
    <cellStyle name="注释 2 12 7 3 5" xfId="51662" xr:uid="{00000000-0005-0000-0000-0000FEC90000}"/>
    <cellStyle name="注释 2 12 7 3 5 2" xfId="51663" xr:uid="{00000000-0005-0000-0000-0000FFC90000}"/>
    <cellStyle name="注释 2 12 7 3 6" xfId="51664" xr:uid="{00000000-0005-0000-0000-000000CA0000}"/>
    <cellStyle name="注释 2 12 7 4" xfId="51665" xr:uid="{00000000-0005-0000-0000-000001CA0000}"/>
    <cellStyle name="注释 2 12 7 4 2" xfId="51666" xr:uid="{00000000-0005-0000-0000-000002CA0000}"/>
    <cellStyle name="注释 2 12 7 4 2 2" xfId="51667" xr:uid="{00000000-0005-0000-0000-000003CA0000}"/>
    <cellStyle name="注释 2 12 7 4 3" xfId="51669" xr:uid="{00000000-0005-0000-0000-000005CA0000}"/>
    <cellStyle name="注释 2 12 7 4 3 2" xfId="28639" xr:uid="{00000000-0005-0000-0000-00000F700000}"/>
    <cellStyle name="注释 2 12 7 4 4" xfId="51670" xr:uid="{00000000-0005-0000-0000-000006CA0000}"/>
    <cellStyle name="注释 2 12 7 4 4 2" xfId="51671" xr:uid="{00000000-0005-0000-0000-000007CA0000}"/>
    <cellStyle name="注释 2 12 7 4 5" xfId="51673" xr:uid="{00000000-0005-0000-0000-000009CA0000}"/>
    <cellStyle name="注释 2 12 7 4 5 2" xfId="51674" xr:uid="{00000000-0005-0000-0000-00000ACA0000}"/>
    <cellStyle name="注释 2 12 7 4 6" xfId="51676" xr:uid="{00000000-0005-0000-0000-00000CCA0000}"/>
    <cellStyle name="注释 2 12 7 5" xfId="51677" xr:uid="{00000000-0005-0000-0000-00000DCA0000}"/>
    <cellStyle name="注释 2 12 7 5 2" xfId="51678" xr:uid="{00000000-0005-0000-0000-00000ECA0000}"/>
    <cellStyle name="注释 2 12 7 5 2 2" xfId="51679" xr:uid="{00000000-0005-0000-0000-00000FCA0000}"/>
    <cellStyle name="注释 2 12 7 5 3" xfId="51681" xr:uid="{00000000-0005-0000-0000-000011CA0000}"/>
    <cellStyle name="注释 2 12 7 5 3 2" xfId="51682" xr:uid="{00000000-0005-0000-0000-000012CA0000}"/>
    <cellStyle name="注释 2 12 7 5 4" xfId="36170" xr:uid="{00000000-0005-0000-0000-00007A8D0000}"/>
    <cellStyle name="注释 2 12 7 5 4 2" xfId="51684" xr:uid="{00000000-0005-0000-0000-000014CA0000}"/>
    <cellStyle name="注释 2 12 7 5 5" xfId="51686" xr:uid="{00000000-0005-0000-0000-000016CA0000}"/>
    <cellStyle name="注释 2 12 7 5 5 2" xfId="51687" xr:uid="{00000000-0005-0000-0000-000017CA0000}"/>
    <cellStyle name="注释 2 12 7 5 6" xfId="51689" xr:uid="{00000000-0005-0000-0000-000019CA0000}"/>
    <cellStyle name="注释 2 12 7 6" xfId="51690" xr:uid="{00000000-0005-0000-0000-00001ACA0000}"/>
    <cellStyle name="注释 2 12 7 6 2" xfId="27419" xr:uid="{00000000-0005-0000-0000-00004B6B0000}"/>
    <cellStyle name="注释 2 12 7 6 2 2" xfId="51691" xr:uid="{00000000-0005-0000-0000-00001BCA0000}"/>
    <cellStyle name="注释 2 12 7 6 3" xfId="17891" xr:uid="{00000000-0005-0000-0000-000013460000}"/>
    <cellStyle name="注释 2 12 7 6 3 2" xfId="51693" xr:uid="{00000000-0005-0000-0000-00001DCA0000}"/>
    <cellStyle name="注释 2 12 7 6 4" xfId="29080" xr:uid="{00000000-0005-0000-0000-0000C8710000}"/>
    <cellStyle name="注释 2 12 7 6 4 2" xfId="51695" xr:uid="{00000000-0005-0000-0000-00001FCA0000}"/>
    <cellStyle name="注释 2 12 7 6 5" xfId="51697" xr:uid="{00000000-0005-0000-0000-000021CA0000}"/>
    <cellStyle name="注释 2 12 7 6 5 2" xfId="51698" xr:uid="{00000000-0005-0000-0000-000022CA0000}"/>
    <cellStyle name="注释 2 12 7 6 6" xfId="51700" xr:uid="{00000000-0005-0000-0000-000024CA0000}"/>
    <cellStyle name="注释 2 12 7 7" xfId="1925" xr:uid="{00000000-0005-0000-0000-0000B5070000}"/>
    <cellStyle name="注释 2 12 7 7 2" xfId="51701" xr:uid="{00000000-0005-0000-0000-000025CA0000}"/>
    <cellStyle name="注释 2 12 7 7 2 2" xfId="51702" xr:uid="{00000000-0005-0000-0000-000026CA0000}"/>
    <cellStyle name="注释 2 12 7 7 3" xfId="49220" xr:uid="{00000000-0005-0000-0000-000074C00000}"/>
    <cellStyle name="注释 2 12 7 7 3 2" xfId="51704" xr:uid="{00000000-0005-0000-0000-000028CA0000}"/>
    <cellStyle name="注释 2 12 7 7 4" xfId="37305" xr:uid="{00000000-0005-0000-0000-0000E9910000}"/>
    <cellStyle name="注释 2 12 7 7 4 2" xfId="51706" xr:uid="{00000000-0005-0000-0000-00002ACA0000}"/>
    <cellStyle name="注释 2 12 7 7 5" xfId="31976" xr:uid="{00000000-0005-0000-0000-0000187D0000}"/>
    <cellStyle name="注释 2 12 7 7 5 2" xfId="51708" xr:uid="{00000000-0005-0000-0000-00002CCA0000}"/>
    <cellStyle name="注释 2 12 7 7 6" xfId="51710" xr:uid="{00000000-0005-0000-0000-00002ECA0000}"/>
    <cellStyle name="注释 2 12 7 8" xfId="43524" xr:uid="{00000000-0005-0000-0000-000034AA0000}"/>
    <cellStyle name="注释 2 12 7 8 2" xfId="43526" xr:uid="{00000000-0005-0000-0000-000036AA0000}"/>
    <cellStyle name="注释 2 12 7 8 2 2" xfId="51711" xr:uid="{00000000-0005-0000-0000-00002FCA0000}"/>
    <cellStyle name="注释 2 12 7 8 3" xfId="49222" xr:uid="{00000000-0005-0000-0000-000076C00000}"/>
    <cellStyle name="注释 2 12 7 8 3 2" xfId="51713" xr:uid="{00000000-0005-0000-0000-000031CA0000}"/>
    <cellStyle name="注释 2 12 7 8 4" xfId="37308" xr:uid="{00000000-0005-0000-0000-0000EC910000}"/>
    <cellStyle name="注释 2 12 7 8 4 2" xfId="51715" xr:uid="{00000000-0005-0000-0000-000033CA0000}"/>
    <cellStyle name="注释 2 12 7 8 5" xfId="31978" xr:uid="{00000000-0005-0000-0000-00001A7D0000}"/>
    <cellStyle name="注释 2 12 7 9" xfId="43528" xr:uid="{00000000-0005-0000-0000-000038AA0000}"/>
    <cellStyle name="注释 2 12 7 9 2" xfId="36313" xr:uid="{00000000-0005-0000-0000-0000098E0000}"/>
    <cellStyle name="注释 2 12 8" xfId="51717" xr:uid="{00000000-0005-0000-0000-000035CA0000}"/>
    <cellStyle name="注释 2 12 8 10" xfId="51718" xr:uid="{00000000-0005-0000-0000-000036CA0000}"/>
    <cellStyle name="注释 2 12 8 10 2" xfId="51720" xr:uid="{00000000-0005-0000-0000-000038CA0000}"/>
    <cellStyle name="注释 2 12 8 11" xfId="51722" xr:uid="{00000000-0005-0000-0000-00003ACA0000}"/>
    <cellStyle name="注释 2 12 8 11 2" xfId="51725" xr:uid="{00000000-0005-0000-0000-00003DCA0000}"/>
    <cellStyle name="注释 2 12 8 12" xfId="51727" xr:uid="{00000000-0005-0000-0000-00003FCA0000}"/>
    <cellStyle name="注释 2 12 8 12 2" xfId="51729" xr:uid="{00000000-0005-0000-0000-000041CA0000}"/>
    <cellStyle name="注释 2 12 8 13" xfId="13622" xr:uid="{00000000-0005-0000-0000-000066350000}"/>
    <cellStyle name="注释 2 12 8 14" xfId="51731" xr:uid="{00000000-0005-0000-0000-000043CA0000}"/>
    <cellStyle name="注释 2 12 8 15" xfId="51733" xr:uid="{00000000-0005-0000-0000-000045CA0000}"/>
    <cellStyle name="注释 2 12 8 16" xfId="51735" xr:uid="{00000000-0005-0000-0000-000047CA0000}"/>
    <cellStyle name="注释 2 12 8 2" xfId="51738" xr:uid="{00000000-0005-0000-0000-00004ACA0000}"/>
    <cellStyle name="注释 2 12 8 2 2" xfId="51739" xr:uid="{00000000-0005-0000-0000-00004BCA0000}"/>
    <cellStyle name="注释 2 12 8 2 2 2" xfId="51740" xr:uid="{00000000-0005-0000-0000-00004CCA0000}"/>
    <cellStyle name="注释 2 12 8 2 3" xfId="51741" xr:uid="{00000000-0005-0000-0000-00004DCA0000}"/>
    <cellStyle name="注释 2 12 8 2 3 2" xfId="9427" xr:uid="{00000000-0005-0000-0000-000003250000}"/>
    <cellStyle name="注释 2 12 8 2 4" xfId="51742" xr:uid="{00000000-0005-0000-0000-00004ECA0000}"/>
    <cellStyle name="注释 2 12 8 2 4 2" xfId="51743" xr:uid="{00000000-0005-0000-0000-00004FCA0000}"/>
    <cellStyle name="注释 2 12 8 2 5" xfId="42295" xr:uid="{00000000-0005-0000-0000-000067A50000}"/>
    <cellStyle name="注释 2 12 8 2 5 2" xfId="51744" xr:uid="{00000000-0005-0000-0000-000050CA0000}"/>
    <cellStyle name="注释 2 12 8 2 6" xfId="51745" xr:uid="{00000000-0005-0000-0000-000051CA0000}"/>
    <cellStyle name="注释 2 12 8 2 7" xfId="51746" xr:uid="{00000000-0005-0000-0000-000052CA0000}"/>
    <cellStyle name="注释 2 12 8 2 8" xfId="4723" xr:uid="{00000000-0005-0000-0000-0000A3120000}"/>
    <cellStyle name="注释 2 12 8 2 9" xfId="51747" xr:uid="{00000000-0005-0000-0000-000053CA0000}"/>
    <cellStyle name="注释 2 12 8 3" xfId="51748" xr:uid="{00000000-0005-0000-0000-000054CA0000}"/>
    <cellStyle name="注释 2 12 8 3 2" xfId="51749" xr:uid="{00000000-0005-0000-0000-000055CA0000}"/>
    <cellStyle name="注释 2 12 8 3 2 2" xfId="51750" xr:uid="{00000000-0005-0000-0000-000056CA0000}"/>
    <cellStyle name="注释 2 12 8 3 3" xfId="51751" xr:uid="{00000000-0005-0000-0000-000057CA0000}"/>
    <cellStyle name="注释 2 12 8 3 3 2" xfId="9441" xr:uid="{00000000-0005-0000-0000-000011250000}"/>
    <cellStyle name="注释 2 12 8 3 4" xfId="51752" xr:uid="{00000000-0005-0000-0000-000058CA0000}"/>
    <cellStyle name="注释 2 12 8 3 4 2" xfId="51753" xr:uid="{00000000-0005-0000-0000-000059CA0000}"/>
    <cellStyle name="注释 2 12 8 3 5" xfId="51754" xr:uid="{00000000-0005-0000-0000-00005ACA0000}"/>
    <cellStyle name="注释 2 12 8 3 5 2" xfId="51755" xr:uid="{00000000-0005-0000-0000-00005BCA0000}"/>
    <cellStyle name="注释 2 12 8 3 6" xfId="51756" xr:uid="{00000000-0005-0000-0000-00005CCA0000}"/>
    <cellStyle name="注释 2 12 8 4" xfId="51757" xr:uid="{00000000-0005-0000-0000-00005DCA0000}"/>
    <cellStyle name="注释 2 12 8 4 2" xfId="51758" xr:uid="{00000000-0005-0000-0000-00005ECA0000}"/>
    <cellStyle name="注释 2 12 8 4 2 2" xfId="51759" xr:uid="{00000000-0005-0000-0000-00005FCA0000}"/>
    <cellStyle name="注释 2 12 8 4 3" xfId="51761" xr:uid="{00000000-0005-0000-0000-000061CA0000}"/>
    <cellStyle name="注释 2 12 8 4 3 2" xfId="29282" xr:uid="{00000000-0005-0000-0000-000092720000}"/>
    <cellStyle name="注释 2 12 8 4 4" xfId="51762" xr:uid="{00000000-0005-0000-0000-000062CA0000}"/>
    <cellStyle name="注释 2 12 8 4 4 2" xfId="51763" xr:uid="{00000000-0005-0000-0000-000063CA0000}"/>
    <cellStyle name="注释 2 12 8 4 5" xfId="51765" xr:uid="{00000000-0005-0000-0000-000065CA0000}"/>
    <cellStyle name="注释 2 12 8 4 5 2" xfId="51766" xr:uid="{00000000-0005-0000-0000-000066CA0000}"/>
    <cellStyle name="注释 2 12 8 4 6" xfId="51768" xr:uid="{00000000-0005-0000-0000-000068CA0000}"/>
    <cellStyle name="注释 2 12 8 5" xfId="51769" xr:uid="{00000000-0005-0000-0000-000069CA0000}"/>
    <cellStyle name="注释 2 12 8 5 2" xfId="51770" xr:uid="{00000000-0005-0000-0000-00006ACA0000}"/>
    <cellStyle name="注释 2 12 8 5 2 2" xfId="51771" xr:uid="{00000000-0005-0000-0000-00006BCA0000}"/>
    <cellStyle name="注释 2 12 8 5 3" xfId="51773" xr:uid="{00000000-0005-0000-0000-00006DCA0000}"/>
    <cellStyle name="注释 2 12 8 5 3 2" xfId="51774" xr:uid="{00000000-0005-0000-0000-00006ECA0000}"/>
    <cellStyle name="注释 2 12 8 5 4" xfId="36365" xr:uid="{00000000-0005-0000-0000-00003D8E0000}"/>
    <cellStyle name="注释 2 12 8 5 4 2" xfId="51776" xr:uid="{00000000-0005-0000-0000-000070CA0000}"/>
    <cellStyle name="注释 2 12 8 5 5" xfId="51778" xr:uid="{00000000-0005-0000-0000-000072CA0000}"/>
    <cellStyle name="注释 2 12 8 5 5 2" xfId="51779" xr:uid="{00000000-0005-0000-0000-000073CA0000}"/>
    <cellStyle name="注释 2 12 8 5 6" xfId="51781" xr:uid="{00000000-0005-0000-0000-000075CA0000}"/>
    <cellStyle name="注释 2 12 8 6" xfId="51782" xr:uid="{00000000-0005-0000-0000-000076CA0000}"/>
    <cellStyle name="注释 2 12 8 6 2" xfId="51783" xr:uid="{00000000-0005-0000-0000-000077CA0000}"/>
    <cellStyle name="注释 2 12 8 6 2 2" xfId="51784" xr:uid="{00000000-0005-0000-0000-000078CA0000}"/>
    <cellStyle name="注释 2 12 8 6 3" xfId="51786" xr:uid="{00000000-0005-0000-0000-00007ACA0000}"/>
    <cellStyle name="注释 2 12 8 6 3 2" xfId="51787" xr:uid="{00000000-0005-0000-0000-00007BCA0000}"/>
    <cellStyle name="注释 2 12 8 6 4" xfId="29256" xr:uid="{00000000-0005-0000-0000-000078720000}"/>
    <cellStyle name="注释 2 12 8 6 4 2" xfId="51789" xr:uid="{00000000-0005-0000-0000-00007DCA0000}"/>
    <cellStyle name="注释 2 12 8 6 5" xfId="51791" xr:uid="{00000000-0005-0000-0000-00007FCA0000}"/>
    <cellStyle name="注释 2 12 8 6 5 2" xfId="51792" xr:uid="{00000000-0005-0000-0000-000080CA0000}"/>
    <cellStyle name="注释 2 12 8 6 6" xfId="51794" xr:uid="{00000000-0005-0000-0000-000082CA0000}"/>
    <cellStyle name="注释 2 12 8 7" xfId="44780" xr:uid="{00000000-0005-0000-0000-00001CAF0000}"/>
    <cellStyle name="注释 2 12 8 7 2" xfId="51795" xr:uid="{00000000-0005-0000-0000-000083CA0000}"/>
    <cellStyle name="注释 2 12 8 7 2 2" xfId="51796" xr:uid="{00000000-0005-0000-0000-000084CA0000}"/>
    <cellStyle name="注释 2 12 8 7 3" xfId="49226" xr:uid="{00000000-0005-0000-0000-00007AC00000}"/>
    <cellStyle name="注释 2 12 8 7 3 2" xfId="51798" xr:uid="{00000000-0005-0000-0000-000086CA0000}"/>
    <cellStyle name="注释 2 12 8 7 4" xfId="37316" xr:uid="{00000000-0005-0000-0000-0000F4910000}"/>
    <cellStyle name="注释 2 12 8 7 4 2" xfId="51800" xr:uid="{00000000-0005-0000-0000-000088CA0000}"/>
    <cellStyle name="注释 2 12 8 7 5" xfId="31991" xr:uid="{00000000-0005-0000-0000-0000277D0000}"/>
    <cellStyle name="注释 2 12 8 7 5 2" xfId="51802" xr:uid="{00000000-0005-0000-0000-00008ACA0000}"/>
    <cellStyle name="注释 2 12 8 7 6" xfId="51804" xr:uid="{00000000-0005-0000-0000-00008CCA0000}"/>
    <cellStyle name="注释 2 12 8 8" xfId="27579" xr:uid="{00000000-0005-0000-0000-0000EB6B0000}"/>
    <cellStyle name="注释 2 12 8 8 2" xfId="43542" xr:uid="{00000000-0005-0000-0000-000046AA0000}"/>
    <cellStyle name="注释 2 12 8 8 2 2" xfId="51805" xr:uid="{00000000-0005-0000-0000-00008DCA0000}"/>
    <cellStyle name="注释 2 12 8 8 3" xfId="49228" xr:uid="{00000000-0005-0000-0000-00007CC00000}"/>
    <cellStyle name="注释 2 12 8 8 3 2" xfId="51807" xr:uid="{00000000-0005-0000-0000-00008FCA0000}"/>
    <cellStyle name="注释 2 12 8 8 4" xfId="51809" xr:uid="{00000000-0005-0000-0000-000091CA0000}"/>
    <cellStyle name="注释 2 12 8 8 4 2" xfId="51810" xr:uid="{00000000-0005-0000-0000-000092CA0000}"/>
    <cellStyle name="注释 2 12 8 8 5" xfId="31993" xr:uid="{00000000-0005-0000-0000-0000297D0000}"/>
    <cellStyle name="注释 2 12 8 9" xfId="4312" xr:uid="{00000000-0005-0000-0000-000008110000}"/>
    <cellStyle name="注释 2 12 8 9 2" xfId="36373" xr:uid="{00000000-0005-0000-0000-0000458E0000}"/>
    <cellStyle name="注释 2 12 9" xfId="51812" xr:uid="{00000000-0005-0000-0000-000094CA0000}"/>
    <cellStyle name="注释 2 12 9 10" xfId="51813" xr:uid="{00000000-0005-0000-0000-000095CA0000}"/>
    <cellStyle name="注释 2 12 9 10 2" xfId="51815" xr:uid="{00000000-0005-0000-0000-000097CA0000}"/>
    <cellStyle name="注释 2 12 9 11" xfId="29003" xr:uid="{00000000-0005-0000-0000-00007B710000}"/>
    <cellStyle name="注释 2 12 9 11 2" xfId="51817" xr:uid="{00000000-0005-0000-0000-000099CA0000}"/>
    <cellStyle name="注释 2 12 9 12" xfId="51819" xr:uid="{00000000-0005-0000-0000-00009BCA0000}"/>
    <cellStyle name="注释 2 12 9 12 2" xfId="51821" xr:uid="{00000000-0005-0000-0000-00009DCA0000}"/>
    <cellStyle name="注释 2 12 9 13" xfId="51823" xr:uid="{00000000-0005-0000-0000-00009FCA0000}"/>
    <cellStyle name="注释 2 12 9 14" xfId="51826" xr:uid="{00000000-0005-0000-0000-0000A2CA0000}"/>
    <cellStyle name="注释 2 12 9 15" xfId="51828" xr:uid="{00000000-0005-0000-0000-0000A4CA0000}"/>
    <cellStyle name="注释 2 12 9 16" xfId="51830" xr:uid="{00000000-0005-0000-0000-0000A6CA0000}"/>
    <cellStyle name="注释 2 12 9 2" xfId="51834" xr:uid="{00000000-0005-0000-0000-0000AACA0000}"/>
    <cellStyle name="注释 2 12 9 2 2" xfId="51835" xr:uid="{00000000-0005-0000-0000-0000ABCA0000}"/>
    <cellStyle name="注释 2 12 9 2 2 2" xfId="51836" xr:uid="{00000000-0005-0000-0000-0000ACCA0000}"/>
    <cellStyle name="注释 2 12 9 2 3" xfId="51837" xr:uid="{00000000-0005-0000-0000-0000ADCA0000}"/>
    <cellStyle name="注释 2 12 9 2 3 2" xfId="30239" xr:uid="{00000000-0005-0000-0000-00004F760000}"/>
    <cellStyle name="注释 2 12 9 2 4" xfId="51838" xr:uid="{00000000-0005-0000-0000-0000AECA0000}"/>
    <cellStyle name="注释 2 12 9 2 4 2" xfId="51839" xr:uid="{00000000-0005-0000-0000-0000AFCA0000}"/>
    <cellStyle name="注释 2 12 9 2 5" xfId="42305" xr:uid="{00000000-0005-0000-0000-000071A50000}"/>
    <cellStyle name="注释 2 12 9 2 5 2" xfId="51840" xr:uid="{00000000-0005-0000-0000-0000B0CA0000}"/>
    <cellStyle name="注释 2 12 9 2 6" xfId="51841" xr:uid="{00000000-0005-0000-0000-0000B1CA0000}"/>
    <cellStyle name="注释 2 12 9 3" xfId="51842" xr:uid="{00000000-0005-0000-0000-0000B2CA0000}"/>
    <cellStyle name="注释 2 12 9 3 2" xfId="51843" xr:uid="{00000000-0005-0000-0000-0000B3CA0000}"/>
    <cellStyle name="注释 2 12 9 3 2 2" xfId="51844" xr:uid="{00000000-0005-0000-0000-0000B4CA0000}"/>
    <cellStyle name="注释 2 12 9 3 3" xfId="51845" xr:uid="{00000000-0005-0000-0000-0000B5CA0000}"/>
    <cellStyle name="注释 2 12 9 3 3 2" xfId="30310" xr:uid="{00000000-0005-0000-0000-000096760000}"/>
    <cellStyle name="注释 2 12 9 3 4" xfId="51846" xr:uid="{00000000-0005-0000-0000-0000B6CA0000}"/>
    <cellStyle name="注释 2 12 9 3 4 2" xfId="51847" xr:uid="{00000000-0005-0000-0000-0000B7CA0000}"/>
    <cellStyle name="注释 2 12 9 3 5" xfId="51848" xr:uid="{00000000-0005-0000-0000-0000B8CA0000}"/>
    <cellStyle name="注释 2 12 9 3 5 2" xfId="51849" xr:uid="{00000000-0005-0000-0000-0000B9CA0000}"/>
    <cellStyle name="注释 2 12 9 3 6" xfId="51850" xr:uid="{00000000-0005-0000-0000-0000BACA0000}"/>
    <cellStyle name="注释 2 12 9 4" xfId="51851" xr:uid="{00000000-0005-0000-0000-0000BBCA0000}"/>
    <cellStyle name="注释 2 12 9 4 2" xfId="51852" xr:uid="{00000000-0005-0000-0000-0000BCCA0000}"/>
    <cellStyle name="注释 2 12 9 4 2 2" xfId="51853" xr:uid="{00000000-0005-0000-0000-0000BDCA0000}"/>
    <cellStyle name="注释 2 12 9 4 3" xfId="51855" xr:uid="{00000000-0005-0000-0000-0000BFCA0000}"/>
    <cellStyle name="注释 2 12 9 4 3 2" xfId="30406" xr:uid="{00000000-0005-0000-0000-0000F6760000}"/>
    <cellStyle name="注释 2 12 9 4 4" xfId="51856" xr:uid="{00000000-0005-0000-0000-0000C0CA0000}"/>
    <cellStyle name="注释 2 12 9 4 4 2" xfId="51857" xr:uid="{00000000-0005-0000-0000-0000C1CA0000}"/>
    <cellStyle name="注释 2 12 9 4 5" xfId="51859" xr:uid="{00000000-0005-0000-0000-0000C3CA0000}"/>
    <cellStyle name="注释 2 12 9 4 5 2" xfId="51860" xr:uid="{00000000-0005-0000-0000-0000C4CA0000}"/>
    <cellStyle name="注释 2 12 9 4 6" xfId="51862" xr:uid="{00000000-0005-0000-0000-0000C6CA0000}"/>
    <cellStyle name="注释 2 12 9 5" xfId="37880" xr:uid="{00000000-0005-0000-0000-000028940000}"/>
    <cellStyle name="注释 2 12 9 5 2" xfId="51863" xr:uid="{00000000-0005-0000-0000-0000C7CA0000}"/>
    <cellStyle name="注释 2 12 9 5 2 2" xfId="51184" xr:uid="{00000000-0005-0000-0000-000020C80000}"/>
    <cellStyle name="注释 2 12 9 5 3" xfId="51864" xr:uid="{00000000-0005-0000-0000-0000C8CA0000}"/>
    <cellStyle name="注释 2 12 9 5 3 2" xfId="51865" xr:uid="{00000000-0005-0000-0000-0000C9CA0000}"/>
    <cellStyle name="注释 2 12 9 5 4" xfId="51867" xr:uid="{00000000-0005-0000-0000-0000CBCA0000}"/>
    <cellStyle name="注释 2 12 9 5 4 2" xfId="51868" xr:uid="{00000000-0005-0000-0000-0000CCCA0000}"/>
    <cellStyle name="注释 2 12 9 5 5" xfId="51870" xr:uid="{00000000-0005-0000-0000-0000CECA0000}"/>
    <cellStyle name="注释 2 12 9 5 5 2" xfId="51871" xr:uid="{00000000-0005-0000-0000-0000CFCA0000}"/>
    <cellStyle name="注释 2 12 9 5 6" xfId="51873" xr:uid="{00000000-0005-0000-0000-0000D1CA0000}"/>
    <cellStyle name="注释 2 12 9 6" xfId="51874" xr:uid="{00000000-0005-0000-0000-0000D2CA0000}"/>
    <cellStyle name="注释 2 12 9 6 2" xfId="51875" xr:uid="{00000000-0005-0000-0000-0000D3CA0000}"/>
    <cellStyle name="注释 2 12 9 6 2 2" xfId="51876" xr:uid="{00000000-0005-0000-0000-0000D4CA0000}"/>
    <cellStyle name="注释 2 12 9 6 3" xfId="51879" xr:uid="{00000000-0005-0000-0000-0000D7CA0000}"/>
    <cellStyle name="注释 2 12 9 6 3 2" xfId="51880" xr:uid="{00000000-0005-0000-0000-0000D8CA0000}"/>
    <cellStyle name="注释 2 12 9 6 4" xfId="51882" xr:uid="{00000000-0005-0000-0000-0000DACA0000}"/>
    <cellStyle name="注释 2 12 9 6 4 2" xfId="51883" xr:uid="{00000000-0005-0000-0000-0000DBCA0000}"/>
    <cellStyle name="注释 2 12 9 6 5" xfId="51885" xr:uid="{00000000-0005-0000-0000-0000DDCA0000}"/>
    <cellStyle name="注释 2 12 9 6 5 2" xfId="51886" xr:uid="{00000000-0005-0000-0000-0000DECA0000}"/>
    <cellStyle name="注释 2 12 9 6 6" xfId="51888" xr:uid="{00000000-0005-0000-0000-0000E0CA0000}"/>
    <cellStyle name="注释 2 12 9 7" xfId="51889" xr:uid="{00000000-0005-0000-0000-0000E1CA0000}"/>
    <cellStyle name="注释 2 12 9 7 2" xfId="51890" xr:uid="{00000000-0005-0000-0000-0000E2CA0000}"/>
    <cellStyle name="注释 2 12 9 7 2 2" xfId="51891" xr:uid="{00000000-0005-0000-0000-0000E3CA0000}"/>
    <cellStyle name="注释 2 12 9 7 3" xfId="49232" xr:uid="{00000000-0005-0000-0000-000080C00000}"/>
    <cellStyle name="注释 2 12 9 7 3 2" xfId="51893" xr:uid="{00000000-0005-0000-0000-0000E5CA0000}"/>
    <cellStyle name="注释 2 12 9 7 4" xfId="51895" xr:uid="{00000000-0005-0000-0000-0000E7CA0000}"/>
    <cellStyle name="注释 2 12 9 7 4 2" xfId="51896" xr:uid="{00000000-0005-0000-0000-0000E8CA0000}"/>
    <cellStyle name="注释 2 12 9 7 5" xfId="32006" xr:uid="{00000000-0005-0000-0000-0000367D0000}"/>
    <cellStyle name="注释 2 12 9 7 5 2" xfId="51898" xr:uid="{00000000-0005-0000-0000-0000EACA0000}"/>
    <cellStyle name="注释 2 12 9 7 6" xfId="51900" xr:uid="{00000000-0005-0000-0000-0000ECCA0000}"/>
    <cellStyle name="注释 2 12 9 8" xfId="27594" xr:uid="{00000000-0005-0000-0000-0000FA6B0000}"/>
    <cellStyle name="注释 2 12 9 8 2" xfId="43547" xr:uid="{00000000-0005-0000-0000-00004BAA0000}"/>
    <cellStyle name="注释 2 12 9 8 2 2" xfId="51901" xr:uid="{00000000-0005-0000-0000-0000EDCA0000}"/>
    <cellStyle name="注释 2 12 9 8 3" xfId="49234" xr:uid="{00000000-0005-0000-0000-000082C00000}"/>
    <cellStyle name="注释 2 12 9 8 3 2" xfId="51903" xr:uid="{00000000-0005-0000-0000-0000EFCA0000}"/>
    <cellStyle name="注释 2 12 9 8 4" xfId="51905" xr:uid="{00000000-0005-0000-0000-0000F1CA0000}"/>
    <cellStyle name="注释 2 12 9 8 4 2" xfId="51906" xr:uid="{00000000-0005-0000-0000-0000F2CA0000}"/>
    <cellStyle name="注释 2 12 9 8 5" xfId="32009" xr:uid="{00000000-0005-0000-0000-0000397D0000}"/>
    <cellStyle name="注释 2 12 9 9" xfId="4340" xr:uid="{00000000-0005-0000-0000-000024110000}"/>
    <cellStyle name="注释 2 12 9 9 2" xfId="36444" xr:uid="{00000000-0005-0000-0000-00008C8E0000}"/>
    <cellStyle name="注释 2 13" xfId="43606" xr:uid="{00000000-0005-0000-0000-000086AA0000}"/>
    <cellStyle name="注释 2 13 10" xfId="38278" xr:uid="{00000000-0005-0000-0000-0000B6950000}"/>
    <cellStyle name="注释 2 13 10 2" xfId="41100" xr:uid="{00000000-0005-0000-0000-0000BCA00000}"/>
    <cellStyle name="注释 2 13 11" xfId="51908" xr:uid="{00000000-0005-0000-0000-0000F4CA0000}"/>
    <cellStyle name="注释 2 13 11 2" xfId="38597" xr:uid="{00000000-0005-0000-0000-0000F5960000}"/>
    <cellStyle name="注释 2 13 12" xfId="51910" xr:uid="{00000000-0005-0000-0000-0000F6CA0000}"/>
    <cellStyle name="注释 2 13 12 2" xfId="41108" xr:uid="{00000000-0005-0000-0000-0000C4A00000}"/>
    <cellStyle name="注释 2 13 13" xfId="24160" xr:uid="{00000000-0005-0000-0000-0000905E0000}"/>
    <cellStyle name="注释 2 13 14" xfId="51912" xr:uid="{00000000-0005-0000-0000-0000F8CA0000}"/>
    <cellStyle name="注释 2 13 15" xfId="51913" xr:uid="{00000000-0005-0000-0000-0000F9CA0000}"/>
    <cellStyle name="注释 2 13 16" xfId="51914" xr:uid="{00000000-0005-0000-0000-0000FACA0000}"/>
    <cellStyle name="注释 2 13 2" xfId="51915" xr:uid="{00000000-0005-0000-0000-0000FBCA0000}"/>
    <cellStyle name="注释 2 13 2 2" xfId="51916" xr:uid="{00000000-0005-0000-0000-0000FCCA0000}"/>
    <cellStyle name="注释 2 13 2 2 2" xfId="51918" xr:uid="{00000000-0005-0000-0000-0000FECA0000}"/>
    <cellStyle name="注释 2 13 2 3" xfId="23851" xr:uid="{00000000-0005-0000-0000-00005B5D0000}"/>
    <cellStyle name="注释 2 13 2 3 2" xfId="51920" xr:uid="{00000000-0005-0000-0000-000000CB0000}"/>
    <cellStyle name="注释 2 13 2 4" xfId="51921" xr:uid="{00000000-0005-0000-0000-000001CB0000}"/>
    <cellStyle name="注释 2 13 2 4 2" xfId="51922" xr:uid="{00000000-0005-0000-0000-000002CB0000}"/>
    <cellStyle name="注释 2 13 2 5" xfId="9309" xr:uid="{00000000-0005-0000-0000-00008D240000}"/>
    <cellStyle name="注释 2 13 2 5 2" xfId="51923" xr:uid="{00000000-0005-0000-0000-000003CB0000}"/>
    <cellStyle name="注释 2 13 2 6" xfId="51924" xr:uid="{00000000-0005-0000-0000-000004CB0000}"/>
    <cellStyle name="注释 2 13 2 7" xfId="51925" xr:uid="{00000000-0005-0000-0000-000005CB0000}"/>
    <cellStyle name="注释 2 13 2 8" xfId="51926" xr:uid="{00000000-0005-0000-0000-000006CB0000}"/>
    <cellStyle name="注释 2 13 2 9" xfId="51928" xr:uid="{00000000-0005-0000-0000-000008CB0000}"/>
    <cellStyle name="注释 2 13 3" xfId="51929" xr:uid="{00000000-0005-0000-0000-000009CB0000}"/>
    <cellStyle name="注释 2 13 3 2" xfId="51930" xr:uid="{00000000-0005-0000-0000-00000ACB0000}"/>
    <cellStyle name="注释 2 13 3 2 2" xfId="51932" xr:uid="{00000000-0005-0000-0000-00000CCB0000}"/>
    <cellStyle name="注释 2 13 3 3" xfId="28262" xr:uid="{00000000-0005-0000-0000-0000966E0000}"/>
    <cellStyle name="注释 2 13 3 3 2" xfId="49626" xr:uid="{00000000-0005-0000-0000-00000AC20000}"/>
    <cellStyle name="注释 2 13 3 4" xfId="49628" xr:uid="{00000000-0005-0000-0000-00000CC20000}"/>
    <cellStyle name="注释 2 13 3 4 2" xfId="49630" xr:uid="{00000000-0005-0000-0000-00000EC20000}"/>
    <cellStyle name="注释 2 13 3 5" xfId="9318" xr:uid="{00000000-0005-0000-0000-000096240000}"/>
    <cellStyle name="注释 2 13 3 5 2" xfId="49632" xr:uid="{00000000-0005-0000-0000-000010C20000}"/>
    <cellStyle name="注释 2 13 3 6" xfId="49634" xr:uid="{00000000-0005-0000-0000-000012C20000}"/>
    <cellStyle name="注释 2 13 4" xfId="38111" xr:uid="{00000000-0005-0000-0000-00000F950000}"/>
    <cellStyle name="注释 2 13 4 2" xfId="51933" xr:uid="{00000000-0005-0000-0000-00000DCB0000}"/>
    <cellStyle name="注释 2 13 4 2 2" xfId="51934" xr:uid="{00000000-0005-0000-0000-00000ECB0000}"/>
    <cellStyle name="注释 2 13 4 3" xfId="51935" xr:uid="{00000000-0005-0000-0000-00000FCB0000}"/>
    <cellStyle name="注释 2 13 4 3 2" xfId="51936" xr:uid="{00000000-0005-0000-0000-000010CB0000}"/>
    <cellStyle name="注释 2 13 4 4" xfId="51937" xr:uid="{00000000-0005-0000-0000-000011CB0000}"/>
    <cellStyle name="注释 2 13 4 4 2" xfId="51938" xr:uid="{00000000-0005-0000-0000-000012CB0000}"/>
    <cellStyle name="注释 2 13 4 5" xfId="51939" xr:uid="{00000000-0005-0000-0000-000013CB0000}"/>
    <cellStyle name="注释 2 13 4 5 2" xfId="51940" xr:uid="{00000000-0005-0000-0000-000014CB0000}"/>
    <cellStyle name="注释 2 13 4 6" xfId="51941" xr:uid="{00000000-0005-0000-0000-000015CB0000}"/>
    <cellStyle name="注释 2 13 5" xfId="51942" xr:uid="{00000000-0005-0000-0000-000016CB0000}"/>
    <cellStyle name="注释 2 13 5 2" xfId="51943" xr:uid="{00000000-0005-0000-0000-000017CB0000}"/>
    <cellStyle name="注释 2 13 5 2 2" xfId="51944" xr:uid="{00000000-0005-0000-0000-000018CB0000}"/>
    <cellStyle name="注释 2 13 5 3" xfId="51945" xr:uid="{00000000-0005-0000-0000-000019CB0000}"/>
    <cellStyle name="注释 2 13 5 3 2" xfId="51946" xr:uid="{00000000-0005-0000-0000-00001ACB0000}"/>
    <cellStyle name="注释 2 13 5 4" xfId="51947" xr:uid="{00000000-0005-0000-0000-00001BCB0000}"/>
    <cellStyle name="注释 2 13 5 4 2" xfId="51948" xr:uid="{00000000-0005-0000-0000-00001CCB0000}"/>
    <cellStyle name="注释 2 13 5 5" xfId="51949" xr:uid="{00000000-0005-0000-0000-00001DCB0000}"/>
    <cellStyle name="注释 2 13 5 5 2" xfId="51950" xr:uid="{00000000-0005-0000-0000-00001ECB0000}"/>
    <cellStyle name="注释 2 13 5 6" xfId="51951" xr:uid="{00000000-0005-0000-0000-00001FCB0000}"/>
    <cellStyle name="注释 2 13 6" xfId="51952" xr:uid="{00000000-0005-0000-0000-000020CB0000}"/>
    <cellStyle name="注释 2 13 6 2" xfId="51953" xr:uid="{00000000-0005-0000-0000-000021CB0000}"/>
    <cellStyle name="注释 2 13 6 2 2" xfId="28315" xr:uid="{00000000-0005-0000-0000-0000CB6E0000}"/>
    <cellStyle name="注释 2 13 6 3" xfId="51954" xr:uid="{00000000-0005-0000-0000-000022CB0000}"/>
    <cellStyle name="注释 2 13 6 3 2" xfId="20525" xr:uid="{00000000-0005-0000-0000-00005D500000}"/>
    <cellStyle name="注释 2 13 6 4" xfId="51955" xr:uid="{00000000-0005-0000-0000-000023CB0000}"/>
    <cellStyle name="注释 2 13 6 4 2" xfId="28322" xr:uid="{00000000-0005-0000-0000-0000D26E0000}"/>
    <cellStyle name="注释 2 13 6 5" xfId="51956" xr:uid="{00000000-0005-0000-0000-000024CB0000}"/>
    <cellStyle name="注释 2 13 6 5 2" xfId="51957" xr:uid="{00000000-0005-0000-0000-000025CB0000}"/>
    <cellStyle name="注释 2 13 6 6" xfId="51958" xr:uid="{00000000-0005-0000-0000-000026CB0000}"/>
    <cellStyle name="注释 2 13 7" xfId="51959" xr:uid="{00000000-0005-0000-0000-000027CB0000}"/>
    <cellStyle name="注释 2 13 7 2" xfId="51960" xr:uid="{00000000-0005-0000-0000-000028CB0000}"/>
    <cellStyle name="注释 2 13 7 2 2" xfId="28394" xr:uid="{00000000-0005-0000-0000-00001A6F0000}"/>
    <cellStyle name="注释 2 13 7 3" xfId="51961" xr:uid="{00000000-0005-0000-0000-000029CB0000}"/>
    <cellStyle name="注释 2 13 7 3 2" xfId="21050" xr:uid="{00000000-0005-0000-0000-00006A520000}"/>
    <cellStyle name="注释 2 13 7 4" xfId="51962" xr:uid="{00000000-0005-0000-0000-00002ACB0000}"/>
    <cellStyle name="注释 2 13 7 4 2" xfId="28412" xr:uid="{00000000-0005-0000-0000-00002C6F0000}"/>
    <cellStyle name="注释 2 13 7 5" xfId="51963" xr:uid="{00000000-0005-0000-0000-00002BCB0000}"/>
    <cellStyle name="注释 2 13 7 5 2" xfId="51964" xr:uid="{00000000-0005-0000-0000-00002CCB0000}"/>
    <cellStyle name="注释 2 13 7 6" xfId="51965" xr:uid="{00000000-0005-0000-0000-00002DCB0000}"/>
    <cellStyle name="注释 2 13 8" xfId="51966" xr:uid="{00000000-0005-0000-0000-00002ECB0000}"/>
    <cellStyle name="注释 2 13 8 2" xfId="51967" xr:uid="{00000000-0005-0000-0000-00002FCB0000}"/>
    <cellStyle name="注释 2 13 8 2 2" xfId="28155" xr:uid="{00000000-0005-0000-0000-00002B6E0000}"/>
    <cellStyle name="注释 2 13 8 3" xfId="49701" xr:uid="{00000000-0005-0000-0000-000055C20000}"/>
    <cellStyle name="注释 2 13 8 3 2" xfId="24236" xr:uid="{00000000-0005-0000-0000-0000DC5E0000}"/>
    <cellStyle name="注释 2 13 8 4" xfId="49703" xr:uid="{00000000-0005-0000-0000-000057C20000}"/>
    <cellStyle name="注释 2 13 8 4 2" xfId="28509" xr:uid="{00000000-0005-0000-0000-00008D6F0000}"/>
    <cellStyle name="注释 2 13 8 5" xfId="49705" xr:uid="{00000000-0005-0000-0000-000059C20000}"/>
    <cellStyle name="注释 2 13 9" xfId="5125" xr:uid="{00000000-0005-0000-0000-000035140000}"/>
    <cellStyle name="注释 2 13 9 2" xfId="5140" xr:uid="{00000000-0005-0000-0000-000044140000}"/>
    <cellStyle name="注释 2 14" xfId="43608" xr:uid="{00000000-0005-0000-0000-000088AA0000}"/>
    <cellStyle name="注释 2 14 10" xfId="51968" xr:uid="{00000000-0005-0000-0000-000030CB0000}"/>
    <cellStyle name="注释 2 14 10 2" xfId="51969" xr:uid="{00000000-0005-0000-0000-000031CB0000}"/>
    <cellStyle name="注释 2 14 11" xfId="34843" xr:uid="{00000000-0005-0000-0000-00004B880000}"/>
    <cellStyle name="注释 2 14 11 2" xfId="51970" xr:uid="{00000000-0005-0000-0000-000032CB0000}"/>
    <cellStyle name="注释 2 14 12" xfId="34249" xr:uid="{00000000-0005-0000-0000-0000F9850000}"/>
    <cellStyle name="注释 2 14 12 2" xfId="16249" xr:uid="{00000000-0005-0000-0000-0000A93F0000}"/>
    <cellStyle name="注释 2 14 13" xfId="34251" xr:uid="{00000000-0005-0000-0000-0000FB850000}"/>
    <cellStyle name="注释 2 14 14" xfId="34253" xr:uid="{00000000-0005-0000-0000-0000FD850000}"/>
    <cellStyle name="注释 2 14 15" xfId="25144" xr:uid="{00000000-0005-0000-0000-000068620000}"/>
    <cellStyle name="注释 2 14 16" xfId="34255" xr:uid="{00000000-0005-0000-0000-0000FF850000}"/>
    <cellStyle name="注释 2 14 2" xfId="51971" xr:uid="{00000000-0005-0000-0000-000033CB0000}"/>
    <cellStyle name="注释 2 14 2 2" xfId="51972" xr:uid="{00000000-0005-0000-0000-000034CB0000}"/>
    <cellStyle name="注释 2 14 2 2 2" xfId="39760" xr:uid="{00000000-0005-0000-0000-0000809B0000}"/>
    <cellStyle name="注释 2 14 2 3" xfId="23864" xr:uid="{00000000-0005-0000-0000-0000685D0000}"/>
    <cellStyle name="注释 2 14 2 3 2" xfId="39772" xr:uid="{00000000-0005-0000-0000-00008C9B0000}"/>
    <cellStyle name="注释 2 14 2 4" xfId="51974" xr:uid="{00000000-0005-0000-0000-000036CB0000}"/>
    <cellStyle name="注释 2 14 2 4 2" xfId="39781" xr:uid="{00000000-0005-0000-0000-0000959B0000}"/>
    <cellStyle name="注释 2 14 2 5" xfId="9333" xr:uid="{00000000-0005-0000-0000-0000A5240000}"/>
    <cellStyle name="注释 2 14 2 5 2" xfId="37756" xr:uid="{00000000-0005-0000-0000-0000AC930000}"/>
    <cellStyle name="注释 2 14 2 6" xfId="51975" xr:uid="{00000000-0005-0000-0000-000037CB0000}"/>
    <cellStyle name="注释 2 14 2 7" xfId="51976" xr:uid="{00000000-0005-0000-0000-000038CB0000}"/>
    <cellStyle name="注释 2 14 2 8" xfId="51977" xr:uid="{00000000-0005-0000-0000-000039CB0000}"/>
    <cellStyle name="注释 2 14 2 9" xfId="51979" xr:uid="{00000000-0005-0000-0000-00003BCB0000}"/>
    <cellStyle name="注释 2 14 3" xfId="51980" xr:uid="{00000000-0005-0000-0000-00003CCB0000}"/>
    <cellStyle name="注释 2 14 3 2" xfId="51981" xr:uid="{00000000-0005-0000-0000-00003DCB0000}"/>
    <cellStyle name="注释 2 14 3 2 2" xfId="39840" xr:uid="{00000000-0005-0000-0000-0000D09B0000}"/>
    <cellStyle name="注释 2 14 3 3" xfId="49962" xr:uid="{00000000-0005-0000-0000-00005AC30000}"/>
    <cellStyle name="注释 2 14 3 3 2" xfId="39854" xr:uid="{00000000-0005-0000-0000-0000DE9B0000}"/>
    <cellStyle name="注释 2 14 3 4" xfId="49964" xr:uid="{00000000-0005-0000-0000-00005CC30000}"/>
    <cellStyle name="注释 2 14 3 4 2" xfId="39868" xr:uid="{00000000-0005-0000-0000-0000EC9B0000}"/>
    <cellStyle name="注释 2 14 3 5" xfId="9341" xr:uid="{00000000-0005-0000-0000-0000AD240000}"/>
    <cellStyle name="注释 2 14 3 5 2" xfId="37854" xr:uid="{00000000-0005-0000-0000-00000E940000}"/>
    <cellStyle name="注释 2 14 3 6" xfId="49966" xr:uid="{00000000-0005-0000-0000-00005EC30000}"/>
    <cellStyle name="注释 2 14 4" xfId="51983" xr:uid="{00000000-0005-0000-0000-00003FCB0000}"/>
    <cellStyle name="注释 2 14 4 2" xfId="51984" xr:uid="{00000000-0005-0000-0000-000040CB0000}"/>
    <cellStyle name="注释 2 14 4 2 2" xfId="17137" xr:uid="{00000000-0005-0000-0000-000021430000}"/>
    <cellStyle name="注释 2 14 4 3" xfId="51985" xr:uid="{00000000-0005-0000-0000-000041CB0000}"/>
    <cellStyle name="注释 2 14 4 3 2" xfId="17172" xr:uid="{00000000-0005-0000-0000-000044430000}"/>
    <cellStyle name="注释 2 14 4 4" xfId="51986" xr:uid="{00000000-0005-0000-0000-000042CB0000}"/>
    <cellStyle name="注释 2 14 4 4 2" xfId="17204" xr:uid="{00000000-0005-0000-0000-000064430000}"/>
    <cellStyle name="注释 2 14 4 5" xfId="51987" xr:uid="{00000000-0005-0000-0000-000043CB0000}"/>
    <cellStyle name="注释 2 14 4 5 2" xfId="718" xr:uid="{00000000-0005-0000-0000-0000FE020000}"/>
    <cellStyle name="注释 2 14 4 6" xfId="51988" xr:uid="{00000000-0005-0000-0000-000044CB0000}"/>
    <cellStyle name="注释 2 14 5" xfId="51989" xr:uid="{00000000-0005-0000-0000-000045CB0000}"/>
    <cellStyle name="注释 2 14 5 2" xfId="51990" xr:uid="{00000000-0005-0000-0000-000046CB0000}"/>
    <cellStyle name="注释 2 14 5 2 2" xfId="2565" xr:uid="{00000000-0005-0000-0000-0000350A0000}"/>
    <cellStyle name="注释 2 14 5 3" xfId="51991" xr:uid="{00000000-0005-0000-0000-000047CB0000}"/>
    <cellStyle name="注释 2 14 5 3 2" xfId="2650" xr:uid="{00000000-0005-0000-0000-00008A0A0000}"/>
    <cellStyle name="注释 2 14 5 4" xfId="51992" xr:uid="{00000000-0005-0000-0000-000048CB0000}"/>
    <cellStyle name="注释 2 14 5 4 2" xfId="2744" xr:uid="{00000000-0005-0000-0000-0000E80A0000}"/>
    <cellStyle name="注释 2 14 5 5" xfId="51993" xr:uid="{00000000-0005-0000-0000-000049CB0000}"/>
    <cellStyle name="注释 2 14 5 5 2" xfId="2800" xr:uid="{00000000-0005-0000-0000-0000200B0000}"/>
    <cellStyle name="注释 2 14 5 6" xfId="51994" xr:uid="{00000000-0005-0000-0000-00004ACB0000}"/>
    <cellStyle name="注释 2 14 6" xfId="51995" xr:uid="{00000000-0005-0000-0000-00004BCB0000}"/>
    <cellStyle name="注释 2 14 6 2" xfId="51996" xr:uid="{00000000-0005-0000-0000-00004CCB0000}"/>
    <cellStyle name="注释 2 14 6 2 2" xfId="3178" xr:uid="{00000000-0005-0000-0000-00009A0C0000}"/>
    <cellStyle name="注释 2 14 6 3" xfId="51997" xr:uid="{00000000-0005-0000-0000-00004DCB0000}"/>
    <cellStyle name="注释 2 14 6 3 2" xfId="1169" xr:uid="{00000000-0005-0000-0000-0000C1040000}"/>
    <cellStyle name="注释 2 14 6 4" xfId="51998" xr:uid="{00000000-0005-0000-0000-00004ECB0000}"/>
    <cellStyle name="注释 2 14 6 4 2" xfId="2896" xr:uid="{00000000-0005-0000-0000-0000800B0000}"/>
    <cellStyle name="注释 2 14 6 5" xfId="51999" xr:uid="{00000000-0005-0000-0000-00004FCB0000}"/>
    <cellStyle name="注释 2 14 6 5 2" xfId="3238" xr:uid="{00000000-0005-0000-0000-0000D60C0000}"/>
    <cellStyle name="注释 2 14 6 6" xfId="52000" xr:uid="{00000000-0005-0000-0000-000050CB0000}"/>
    <cellStyle name="注释 2 14 7" xfId="52001" xr:uid="{00000000-0005-0000-0000-000051CB0000}"/>
    <cellStyle name="注释 2 14 7 2" xfId="52002" xr:uid="{00000000-0005-0000-0000-000052CB0000}"/>
    <cellStyle name="注释 2 14 7 2 2" xfId="29182" xr:uid="{00000000-0005-0000-0000-00002E720000}"/>
    <cellStyle name="注释 2 14 7 3" xfId="52003" xr:uid="{00000000-0005-0000-0000-000053CB0000}"/>
    <cellStyle name="注释 2 14 7 3 2" xfId="25332" xr:uid="{00000000-0005-0000-0000-000024630000}"/>
    <cellStyle name="注释 2 14 7 4" xfId="52004" xr:uid="{00000000-0005-0000-0000-000054CB0000}"/>
    <cellStyle name="注释 2 14 7 4 2" xfId="29187" xr:uid="{00000000-0005-0000-0000-000033720000}"/>
    <cellStyle name="注释 2 14 7 5" xfId="52005" xr:uid="{00000000-0005-0000-0000-000055CB0000}"/>
    <cellStyle name="注释 2 14 7 5 2" xfId="27784" xr:uid="{00000000-0005-0000-0000-0000B86C0000}"/>
    <cellStyle name="注释 2 14 7 6" xfId="52006" xr:uid="{00000000-0005-0000-0000-000056CB0000}"/>
    <cellStyle name="注释 2 14 8" xfId="52007" xr:uid="{00000000-0005-0000-0000-000057CB0000}"/>
    <cellStyle name="注释 2 14 8 2" xfId="52008" xr:uid="{00000000-0005-0000-0000-000058CB0000}"/>
    <cellStyle name="注释 2 14 8 2 2" xfId="52009" xr:uid="{00000000-0005-0000-0000-000059CB0000}"/>
    <cellStyle name="注释 2 14 8 3" xfId="50009" xr:uid="{00000000-0005-0000-0000-000089C30000}"/>
    <cellStyle name="注释 2 14 8 3 2" xfId="50011" xr:uid="{00000000-0005-0000-0000-00008BC30000}"/>
    <cellStyle name="注释 2 14 8 4" xfId="50013" xr:uid="{00000000-0005-0000-0000-00008DC30000}"/>
    <cellStyle name="注释 2 14 8 4 2" xfId="50015" xr:uid="{00000000-0005-0000-0000-00008FC30000}"/>
    <cellStyle name="注释 2 14 8 5" xfId="50017" xr:uid="{00000000-0005-0000-0000-000091C30000}"/>
    <cellStyle name="注释 2 14 9" xfId="52010" xr:uid="{00000000-0005-0000-0000-00005ACB0000}"/>
    <cellStyle name="注释 2 14 9 2" xfId="3408" xr:uid="{00000000-0005-0000-0000-0000800D0000}"/>
    <cellStyle name="注释 2 15" xfId="8347" xr:uid="{00000000-0005-0000-0000-0000CB200000}"/>
    <cellStyle name="注释 2 15 10" xfId="16597" xr:uid="{00000000-0005-0000-0000-000005410000}"/>
    <cellStyle name="注释 2 15 10 2" xfId="52011" xr:uid="{00000000-0005-0000-0000-00005BCB0000}"/>
    <cellStyle name="注释 2 15 11" xfId="52012" xr:uid="{00000000-0005-0000-0000-00005CCB0000}"/>
    <cellStyle name="注释 2 15 11 2" xfId="52013" xr:uid="{00000000-0005-0000-0000-00005DCB0000}"/>
    <cellStyle name="注释 2 15 12" xfId="34264" xr:uid="{00000000-0005-0000-0000-000008860000}"/>
    <cellStyle name="注释 2 15 12 2" xfId="52014" xr:uid="{00000000-0005-0000-0000-00005ECB0000}"/>
    <cellStyle name="注释 2 15 13" xfId="52015" xr:uid="{00000000-0005-0000-0000-00005FCB0000}"/>
    <cellStyle name="注释 2 15 14" xfId="52016" xr:uid="{00000000-0005-0000-0000-000060CB0000}"/>
    <cellStyle name="注释 2 15 15" xfId="37032" xr:uid="{00000000-0005-0000-0000-0000D8900000}"/>
    <cellStyle name="注释 2 15 16" xfId="52017" xr:uid="{00000000-0005-0000-0000-000061CB0000}"/>
    <cellStyle name="注释 2 15 2" xfId="52018" xr:uid="{00000000-0005-0000-0000-000062CB0000}"/>
    <cellStyle name="注释 2 15 2 2" xfId="52020" xr:uid="{00000000-0005-0000-0000-000064CB0000}"/>
    <cellStyle name="注释 2 15 2 2 2" xfId="40260" xr:uid="{00000000-0005-0000-0000-0000749D0000}"/>
    <cellStyle name="注释 2 15 2 3" xfId="23891" xr:uid="{00000000-0005-0000-0000-0000835D0000}"/>
    <cellStyle name="注释 2 15 2 3 2" xfId="1720" xr:uid="{00000000-0005-0000-0000-0000E8060000}"/>
    <cellStyle name="注释 2 15 2 4" xfId="37570" xr:uid="{00000000-0005-0000-0000-0000F2920000}"/>
    <cellStyle name="注释 2 15 2 4 2" xfId="37573" xr:uid="{00000000-0005-0000-0000-0000F5920000}"/>
    <cellStyle name="注释 2 15 2 5" xfId="9358" xr:uid="{00000000-0005-0000-0000-0000BE240000}"/>
    <cellStyle name="注释 2 15 2 5 2" xfId="37577" xr:uid="{00000000-0005-0000-0000-0000F9920000}"/>
    <cellStyle name="注释 2 15 2 6" xfId="37579" xr:uid="{00000000-0005-0000-0000-0000FB920000}"/>
    <cellStyle name="注释 2 15 2 7" xfId="37583" xr:uid="{00000000-0005-0000-0000-0000FF920000}"/>
    <cellStyle name="注释 2 15 2 8" xfId="52022" xr:uid="{00000000-0005-0000-0000-000066CB0000}"/>
    <cellStyle name="注释 2 15 2 9" xfId="52024" xr:uid="{00000000-0005-0000-0000-000068CB0000}"/>
    <cellStyle name="注释 2 15 3" xfId="52025" xr:uid="{00000000-0005-0000-0000-000069CB0000}"/>
    <cellStyle name="注释 2 15 3 2" xfId="52026" xr:uid="{00000000-0005-0000-0000-00006ACB0000}"/>
    <cellStyle name="注释 2 15 3 2 2" xfId="40306" xr:uid="{00000000-0005-0000-0000-0000A29D0000}"/>
    <cellStyle name="注释 2 15 3 3" xfId="37585" xr:uid="{00000000-0005-0000-0000-000001930000}"/>
    <cellStyle name="注释 2 15 3 3 2" xfId="37588" xr:uid="{00000000-0005-0000-0000-000004930000}"/>
    <cellStyle name="注释 2 15 3 4" xfId="37591" xr:uid="{00000000-0005-0000-0000-000007930000}"/>
    <cellStyle name="注释 2 15 3 4 2" xfId="37594" xr:uid="{00000000-0005-0000-0000-00000A930000}"/>
    <cellStyle name="注释 2 15 3 5" xfId="37597" xr:uid="{00000000-0005-0000-0000-00000D930000}"/>
    <cellStyle name="注释 2 15 3 5 2" xfId="37601" xr:uid="{00000000-0005-0000-0000-000011930000}"/>
    <cellStyle name="注释 2 15 3 6" xfId="37604" xr:uid="{00000000-0005-0000-0000-000014930000}"/>
    <cellStyle name="注释 2 15 4" xfId="52028" xr:uid="{00000000-0005-0000-0000-00006CCB0000}"/>
    <cellStyle name="注释 2 15 4 2" xfId="52029" xr:uid="{00000000-0005-0000-0000-00006DCB0000}"/>
    <cellStyle name="注释 2 15 4 2 2" xfId="29683" xr:uid="{00000000-0005-0000-0000-000023740000}"/>
    <cellStyle name="注释 2 15 4 3" xfId="52030" xr:uid="{00000000-0005-0000-0000-00006ECB0000}"/>
    <cellStyle name="注释 2 15 4 3 2" xfId="29695" xr:uid="{00000000-0005-0000-0000-00002F740000}"/>
    <cellStyle name="注释 2 15 4 4" xfId="52031" xr:uid="{00000000-0005-0000-0000-00006FCB0000}"/>
    <cellStyle name="注释 2 15 4 4 2" xfId="29714" xr:uid="{00000000-0005-0000-0000-000042740000}"/>
    <cellStyle name="注释 2 15 4 5" xfId="52032" xr:uid="{00000000-0005-0000-0000-000070CB0000}"/>
    <cellStyle name="注释 2 15 4 5 2" xfId="29743" xr:uid="{00000000-0005-0000-0000-00005F740000}"/>
    <cellStyle name="注释 2 15 4 6" xfId="52033" xr:uid="{00000000-0005-0000-0000-000071CB0000}"/>
    <cellStyle name="注释 2 15 5" xfId="52034" xr:uid="{00000000-0005-0000-0000-000072CB0000}"/>
    <cellStyle name="注释 2 15 5 2" xfId="52035" xr:uid="{00000000-0005-0000-0000-000073CB0000}"/>
    <cellStyle name="注释 2 15 5 2 2" xfId="29850" xr:uid="{00000000-0005-0000-0000-0000CA740000}"/>
    <cellStyle name="注释 2 15 5 3" xfId="52036" xr:uid="{00000000-0005-0000-0000-000074CB0000}"/>
    <cellStyle name="注释 2 15 5 3 2" xfId="25811" xr:uid="{00000000-0005-0000-0000-000003650000}"/>
    <cellStyle name="注释 2 15 5 4" xfId="52037" xr:uid="{00000000-0005-0000-0000-000075CB0000}"/>
    <cellStyle name="注释 2 15 5 4 2" xfId="2181" xr:uid="{00000000-0005-0000-0000-0000B5080000}"/>
    <cellStyle name="注释 2 15 5 5" xfId="47783" xr:uid="{00000000-0005-0000-0000-0000D7BA0000}"/>
    <cellStyle name="注释 2 15 5 5 2" xfId="29864" xr:uid="{00000000-0005-0000-0000-0000D8740000}"/>
    <cellStyle name="注释 2 15 5 6" xfId="52038" xr:uid="{00000000-0005-0000-0000-000076CB0000}"/>
    <cellStyle name="注释 2 15 6" xfId="52039" xr:uid="{00000000-0005-0000-0000-000077CB0000}"/>
    <cellStyle name="注释 2 15 6 2" xfId="52040" xr:uid="{00000000-0005-0000-0000-000078CB0000}"/>
    <cellStyle name="注释 2 15 6 2 2" xfId="29954" xr:uid="{00000000-0005-0000-0000-000032750000}"/>
    <cellStyle name="注释 2 15 6 3" xfId="39601" xr:uid="{00000000-0005-0000-0000-0000E19A0000}"/>
    <cellStyle name="注释 2 15 6 3 2" xfId="25957" xr:uid="{00000000-0005-0000-0000-000095650000}"/>
    <cellStyle name="注释 2 15 6 4" xfId="39433" xr:uid="{00000000-0005-0000-0000-0000399A0000}"/>
    <cellStyle name="注释 2 15 6 4 2" xfId="29975" xr:uid="{00000000-0005-0000-0000-000047750000}"/>
    <cellStyle name="注释 2 15 6 5" xfId="39717" xr:uid="{00000000-0005-0000-0000-0000559B0000}"/>
    <cellStyle name="注释 2 15 6 5 2" xfId="29987" xr:uid="{00000000-0005-0000-0000-000053750000}"/>
    <cellStyle name="注释 2 15 6 6" xfId="39790" xr:uid="{00000000-0005-0000-0000-00009E9B0000}"/>
    <cellStyle name="注释 2 15 7" xfId="52041" xr:uid="{00000000-0005-0000-0000-000079CB0000}"/>
    <cellStyle name="注释 2 15 7 2" xfId="52042" xr:uid="{00000000-0005-0000-0000-00007ACB0000}"/>
    <cellStyle name="注释 2 15 7 2 2" xfId="30104" xr:uid="{00000000-0005-0000-0000-0000C8750000}"/>
    <cellStyle name="注释 2 15 7 3" xfId="40167" xr:uid="{00000000-0005-0000-0000-0000179D0000}"/>
    <cellStyle name="注释 2 15 7 3 2" xfId="26090" xr:uid="{00000000-0005-0000-0000-00001A660000}"/>
    <cellStyle name="注释 2 15 7 4" xfId="39437" xr:uid="{00000000-0005-0000-0000-00003D9A0000}"/>
    <cellStyle name="注释 2 15 7 4 2" xfId="30130" xr:uid="{00000000-0005-0000-0000-0000E2750000}"/>
    <cellStyle name="注释 2 15 7 5" xfId="1880" xr:uid="{00000000-0005-0000-0000-000088070000}"/>
    <cellStyle name="注释 2 15 7 5 2" xfId="30145" xr:uid="{00000000-0005-0000-0000-0000F1750000}"/>
    <cellStyle name="注释 2 15 7 6" xfId="40275" xr:uid="{00000000-0005-0000-0000-0000839D0000}"/>
    <cellStyle name="注释 2 15 8" xfId="47281" xr:uid="{00000000-0005-0000-0000-0000E1B80000}"/>
    <cellStyle name="注释 2 15 8 2" xfId="52043" xr:uid="{00000000-0005-0000-0000-00007BCB0000}"/>
    <cellStyle name="注释 2 15 8 2 2" xfId="52044" xr:uid="{00000000-0005-0000-0000-00007CCB0000}"/>
    <cellStyle name="注释 2 15 8 3" xfId="40489" xr:uid="{00000000-0005-0000-0000-0000599E0000}"/>
    <cellStyle name="注释 2 15 8 3 2" xfId="26225" xr:uid="{00000000-0005-0000-0000-0000A1660000}"/>
    <cellStyle name="注释 2 15 8 4" xfId="39440" xr:uid="{00000000-0005-0000-0000-0000409A0000}"/>
    <cellStyle name="注释 2 15 8 4 2" xfId="30210" xr:uid="{00000000-0005-0000-0000-000032760000}"/>
    <cellStyle name="注释 2 15 8 5" xfId="40575" xr:uid="{00000000-0005-0000-0000-0000AF9E0000}"/>
    <cellStyle name="注释 2 15 9" xfId="52046" xr:uid="{00000000-0005-0000-0000-00007ECB0000}"/>
    <cellStyle name="注释 2 15 9 2" xfId="52047" xr:uid="{00000000-0005-0000-0000-00007FCB0000}"/>
    <cellStyle name="注释 2 16" xfId="52048" xr:uid="{00000000-0005-0000-0000-000080CB0000}"/>
    <cellStyle name="注释 2 16 10" xfId="41907" xr:uid="{00000000-0005-0000-0000-0000E3A30000}"/>
    <cellStyle name="注释 2 16 10 2" xfId="52050" xr:uid="{00000000-0005-0000-0000-000082CB0000}"/>
    <cellStyle name="注释 2 16 11" xfId="52051" xr:uid="{00000000-0005-0000-0000-000083CB0000}"/>
    <cellStyle name="注释 2 16 11 2" xfId="52052" xr:uid="{00000000-0005-0000-0000-000084CB0000}"/>
    <cellStyle name="注释 2 16 12" xfId="3581" xr:uid="{00000000-0005-0000-0000-00002D0E0000}"/>
    <cellStyle name="注释 2 16 12 2" xfId="35218" xr:uid="{00000000-0005-0000-0000-0000C2890000}"/>
    <cellStyle name="注释 2 16 13" xfId="35220" xr:uid="{00000000-0005-0000-0000-0000C4890000}"/>
    <cellStyle name="注释 2 16 14" xfId="35224" xr:uid="{00000000-0005-0000-0000-0000C8890000}"/>
    <cellStyle name="注释 2 16 15" xfId="35229" xr:uid="{00000000-0005-0000-0000-0000CD890000}"/>
    <cellStyle name="注释 2 16 16" xfId="34587" xr:uid="{00000000-0005-0000-0000-00004B870000}"/>
    <cellStyle name="注释 2 16 2" xfId="52053" xr:uid="{00000000-0005-0000-0000-000085CB0000}"/>
    <cellStyle name="注释 2 16 2 2" xfId="52054" xr:uid="{00000000-0005-0000-0000-000086CB0000}"/>
    <cellStyle name="注释 2 16 2 2 2" xfId="40615" xr:uid="{00000000-0005-0000-0000-0000D79E0000}"/>
    <cellStyle name="注释 2 16 2 3" xfId="52056" xr:uid="{00000000-0005-0000-0000-000088CB0000}"/>
    <cellStyle name="注释 2 16 2 3 2" xfId="40627" xr:uid="{00000000-0005-0000-0000-0000E39E0000}"/>
    <cellStyle name="注释 2 16 2 4" xfId="52058" xr:uid="{00000000-0005-0000-0000-00008ACB0000}"/>
    <cellStyle name="注释 2 16 2 4 2" xfId="40640" xr:uid="{00000000-0005-0000-0000-0000F09E0000}"/>
    <cellStyle name="注释 2 16 2 5" xfId="52059" xr:uid="{00000000-0005-0000-0000-00008BCB0000}"/>
    <cellStyle name="注释 2 16 2 5 2" xfId="38790" xr:uid="{00000000-0005-0000-0000-0000B6970000}"/>
    <cellStyle name="注释 2 16 2 6" xfId="52060" xr:uid="{00000000-0005-0000-0000-00008CCB0000}"/>
    <cellStyle name="注释 2 16 2 7" xfId="52061" xr:uid="{00000000-0005-0000-0000-00008DCB0000}"/>
    <cellStyle name="注释 2 16 2 8" xfId="52062" xr:uid="{00000000-0005-0000-0000-00008ECB0000}"/>
    <cellStyle name="注释 2 16 2 9" xfId="13957" xr:uid="{00000000-0005-0000-0000-0000B5360000}"/>
    <cellStyle name="注释 2 16 3" xfId="52063" xr:uid="{00000000-0005-0000-0000-00008FCB0000}"/>
    <cellStyle name="注释 2 16 3 2" xfId="52064" xr:uid="{00000000-0005-0000-0000-000090CB0000}"/>
    <cellStyle name="注释 2 16 3 2 2" xfId="40722" xr:uid="{00000000-0005-0000-0000-0000429F0000}"/>
    <cellStyle name="注释 2 16 3 3" xfId="52066" xr:uid="{00000000-0005-0000-0000-000092CB0000}"/>
    <cellStyle name="注释 2 16 3 3 2" xfId="40737" xr:uid="{00000000-0005-0000-0000-0000519F0000}"/>
    <cellStyle name="注释 2 16 3 4" xfId="52067" xr:uid="{00000000-0005-0000-0000-000093CB0000}"/>
    <cellStyle name="注释 2 16 3 4 2" xfId="40754" xr:uid="{00000000-0005-0000-0000-0000629F0000}"/>
    <cellStyle name="注释 2 16 3 5" xfId="52068" xr:uid="{00000000-0005-0000-0000-000094CB0000}"/>
    <cellStyle name="注释 2 16 3 5 2" xfId="38814" xr:uid="{00000000-0005-0000-0000-0000CE970000}"/>
    <cellStyle name="注释 2 16 3 6" xfId="52069" xr:uid="{00000000-0005-0000-0000-000095CB0000}"/>
    <cellStyle name="注释 2 16 4" xfId="52070" xr:uid="{00000000-0005-0000-0000-000096CB0000}"/>
    <cellStyle name="注释 2 16 4 2" xfId="52071" xr:uid="{00000000-0005-0000-0000-000097CB0000}"/>
    <cellStyle name="注释 2 16 4 2 2" xfId="30865" xr:uid="{00000000-0005-0000-0000-0000C1780000}"/>
    <cellStyle name="注释 2 16 4 3" xfId="52072" xr:uid="{00000000-0005-0000-0000-000098CB0000}"/>
    <cellStyle name="注释 2 16 4 3 2" xfId="30887" xr:uid="{00000000-0005-0000-0000-0000D7780000}"/>
    <cellStyle name="注释 2 16 4 4" xfId="52073" xr:uid="{00000000-0005-0000-0000-000099CB0000}"/>
    <cellStyle name="注释 2 16 4 4 2" xfId="30915" xr:uid="{00000000-0005-0000-0000-0000F3780000}"/>
    <cellStyle name="注释 2 16 4 5" xfId="52074" xr:uid="{00000000-0005-0000-0000-00009ACB0000}"/>
    <cellStyle name="注释 2 16 4 5 2" xfId="30953" xr:uid="{00000000-0005-0000-0000-000019790000}"/>
    <cellStyle name="注释 2 16 4 6" xfId="52075" xr:uid="{00000000-0005-0000-0000-00009BCB0000}"/>
    <cellStyle name="注释 2 16 5" xfId="52076" xr:uid="{00000000-0005-0000-0000-00009CCB0000}"/>
    <cellStyle name="注释 2 16 5 2" xfId="52077" xr:uid="{00000000-0005-0000-0000-00009DCB0000}"/>
    <cellStyle name="注释 2 16 5 2 2" xfId="31054" xr:uid="{00000000-0005-0000-0000-00007E790000}"/>
    <cellStyle name="注释 2 16 5 3" xfId="52078" xr:uid="{00000000-0005-0000-0000-00009ECB0000}"/>
    <cellStyle name="注释 2 16 5 3 2" xfId="31073" xr:uid="{00000000-0005-0000-0000-000091790000}"/>
    <cellStyle name="注释 2 16 5 4" xfId="52079" xr:uid="{00000000-0005-0000-0000-00009FCB0000}"/>
    <cellStyle name="注释 2 16 5 4 2" xfId="31096" xr:uid="{00000000-0005-0000-0000-0000A8790000}"/>
    <cellStyle name="注释 2 16 5 5" xfId="47788" xr:uid="{00000000-0005-0000-0000-0000DCBA0000}"/>
    <cellStyle name="注释 2 16 5 5 2" xfId="31109" xr:uid="{00000000-0005-0000-0000-0000B5790000}"/>
    <cellStyle name="注释 2 16 5 6" xfId="52080" xr:uid="{00000000-0005-0000-0000-0000A0CB0000}"/>
    <cellStyle name="注释 2 16 6" xfId="52081" xr:uid="{00000000-0005-0000-0000-0000A1CB0000}"/>
    <cellStyle name="注释 2 16 6 2" xfId="52082" xr:uid="{00000000-0005-0000-0000-0000A2CB0000}"/>
    <cellStyle name="注释 2 16 6 2 2" xfId="31218" xr:uid="{00000000-0005-0000-0000-0000227A0000}"/>
    <cellStyle name="注释 2 16 6 3" xfId="52083" xr:uid="{00000000-0005-0000-0000-0000A3CB0000}"/>
    <cellStyle name="注释 2 16 6 3 2" xfId="31242" xr:uid="{00000000-0005-0000-0000-00003A7A0000}"/>
    <cellStyle name="注释 2 16 6 4" xfId="52084" xr:uid="{00000000-0005-0000-0000-0000A4CB0000}"/>
    <cellStyle name="注释 2 16 6 4 2" xfId="31266" xr:uid="{00000000-0005-0000-0000-0000527A0000}"/>
    <cellStyle name="注释 2 16 6 5" xfId="47791" xr:uid="{00000000-0005-0000-0000-0000DFBA0000}"/>
    <cellStyle name="注释 2 16 6 5 2" xfId="31293" xr:uid="{00000000-0005-0000-0000-00006D7A0000}"/>
    <cellStyle name="注释 2 16 6 6" xfId="52085" xr:uid="{00000000-0005-0000-0000-0000A5CB0000}"/>
    <cellStyle name="注释 2 16 7" xfId="52086" xr:uid="{00000000-0005-0000-0000-0000A6CB0000}"/>
    <cellStyle name="注释 2 16 7 2" xfId="52087" xr:uid="{00000000-0005-0000-0000-0000A7CB0000}"/>
    <cellStyle name="注释 2 16 7 2 2" xfId="31400" xr:uid="{00000000-0005-0000-0000-0000D87A0000}"/>
    <cellStyle name="注释 2 16 7 3" xfId="52088" xr:uid="{00000000-0005-0000-0000-0000A8CB0000}"/>
    <cellStyle name="注释 2 16 7 3 2" xfId="31428" xr:uid="{00000000-0005-0000-0000-0000F47A0000}"/>
    <cellStyle name="注释 2 16 7 4" xfId="52089" xr:uid="{00000000-0005-0000-0000-0000A9CB0000}"/>
    <cellStyle name="注释 2 16 7 4 2" xfId="31461" xr:uid="{00000000-0005-0000-0000-0000157B0000}"/>
    <cellStyle name="注释 2 16 7 5" xfId="47795" xr:uid="{00000000-0005-0000-0000-0000E3BA0000}"/>
    <cellStyle name="注释 2 16 7 5 2" xfId="31494" xr:uid="{00000000-0005-0000-0000-0000367B0000}"/>
    <cellStyle name="注释 2 16 7 6" xfId="52090" xr:uid="{00000000-0005-0000-0000-0000AACB0000}"/>
    <cellStyle name="注释 2 16 8" xfId="47283" xr:uid="{00000000-0005-0000-0000-0000E3B80000}"/>
    <cellStyle name="注释 2 16 8 2" xfId="52091" xr:uid="{00000000-0005-0000-0000-0000ABCB0000}"/>
    <cellStyle name="注释 2 16 8 2 2" xfId="52092" xr:uid="{00000000-0005-0000-0000-0000ACCB0000}"/>
    <cellStyle name="注释 2 16 8 3" xfId="52094" xr:uid="{00000000-0005-0000-0000-0000AECB0000}"/>
    <cellStyle name="注释 2 16 8 3 2" xfId="52095" xr:uid="{00000000-0005-0000-0000-0000AFCB0000}"/>
    <cellStyle name="注释 2 16 8 4" xfId="52097" xr:uid="{00000000-0005-0000-0000-0000B1CB0000}"/>
    <cellStyle name="注释 2 16 8 4 2" xfId="52098" xr:uid="{00000000-0005-0000-0000-0000B2CB0000}"/>
    <cellStyle name="注释 2 16 8 5" xfId="47798" xr:uid="{00000000-0005-0000-0000-0000E6BA0000}"/>
    <cellStyle name="注释 2 16 9" xfId="52100" xr:uid="{00000000-0005-0000-0000-0000B4CB0000}"/>
    <cellStyle name="注释 2 16 9 2" xfId="52101" xr:uid="{00000000-0005-0000-0000-0000B5CB0000}"/>
    <cellStyle name="注释 2 17" xfId="52102" xr:uid="{00000000-0005-0000-0000-0000B6CB0000}"/>
    <cellStyle name="注释 2 17 10" xfId="52104" xr:uid="{00000000-0005-0000-0000-0000B8CB0000}"/>
    <cellStyle name="注释 2 17 10 2" xfId="44983" xr:uid="{00000000-0005-0000-0000-0000E7AF0000}"/>
    <cellStyle name="注释 2 17 11" xfId="51877" xr:uid="{00000000-0005-0000-0000-0000D5CA0000}"/>
    <cellStyle name="注释 2 17 11 2" xfId="45046" xr:uid="{00000000-0005-0000-0000-000026B00000}"/>
    <cellStyle name="注释 2 17 12" xfId="52106" xr:uid="{00000000-0005-0000-0000-0000BACB0000}"/>
    <cellStyle name="注释 2 17 12 2" xfId="3977" xr:uid="{00000000-0005-0000-0000-0000B90F0000}"/>
    <cellStyle name="注释 2 17 13" xfId="33763" xr:uid="{00000000-0005-0000-0000-000013840000}"/>
    <cellStyle name="注释 2 17 14" xfId="52108" xr:uid="{00000000-0005-0000-0000-0000BCCB0000}"/>
    <cellStyle name="注释 2 17 15" xfId="15412" xr:uid="{00000000-0005-0000-0000-0000643C0000}"/>
    <cellStyle name="注释 2 17 16" xfId="52111" xr:uid="{00000000-0005-0000-0000-0000BFCB0000}"/>
    <cellStyle name="注释 2 17 2" xfId="52113" xr:uid="{00000000-0005-0000-0000-0000C1CB0000}"/>
    <cellStyle name="注释 2 17 2 2" xfId="4024" xr:uid="{00000000-0005-0000-0000-0000E80F0000}"/>
    <cellStyle name="注释 2 17 2 2 2" xfId="4043" xr:uid="{00000000-0005-0000-0000-0000FB0F0000}"/>
    <cellStyle name="注释 2 17 2 3" xfId="4051" xr:uid="{00000000-0005-0000-0000-000003100000}"/>
    <cellStyle name="注释 2 17 2 3 2" xfId="4067" xr:uid="{00000000-0005-0000-0000-000013100000}"/>
    <cellStyle name="注释 2 17 2 4" xfId="4083" xr:uid="{00000000-0005-0000-0000-000023100000}"/>
    <cellStyle name="注释 2 17 2 4 2" xfId="4097" xr:uid="{00000000-0005-0000-0000-000031100000}"/>
    <cellStyle name="注释 2 17 2 5" xfId="4100" xr:uid="{00000000-0005-0000-0000-000034100000}"/>
    <cellStyle name="注释 2 17 2 5 2" xfId="4116" xr:uid="{00000000-0005-0000-0000-000044100000}"/>
    <cellStyle name="注释 2 17 2 6" xfId="4119" xr:uid="{00000000-0005-0000-0000-000047100000}"/>
    <cellStyle name="注释 2 17 3" xfId="52114" xr:uid="{00000000-0005-0000-0000-0000C2CB0000}"/>
    <cellStyle name="注释 2 17 3 2" xfId="4150" xr:uid="{00000000-0005-0000-0000-000066100000}"/>
    <cellStyle name="注释 2 17 3 2 2" xfId="279" xr:uid="{00000000-0005-0000-0000-000033010000}"/>
    <cellStyle name="注释 2 17 3 3" xfId="4158" xr:uid="{00000000-0005-0000-0000-00006E100000}"/>
    <cellStyle name="注释 2 17 3 3 2" xfId="4171" xr:uid="{00000000-0005-0000-0000-00007B100000}"/>
    <cellStyle name="注释 2 17 3 4" xfId="2509" xr:uid="{00000000-0005-0000-0000-0000FD090000}"/>
    <cellStyle name="注释 2 17 3 4 2" xfId="4185" xr:uid="{00000000-0005-0000-0000-000089100000}"/>
    <cellStyle name="注释 2 17 3 5" xfId="4199" xr:uid="{00000000-0005-0000-0000-000097100000}"/>
    <cellStyle name="注释 2 17 3 5 2" xfId="4209" xr:uid="{00000000-0005-0000-0000-0000A1100000}"/>
    <cellStyle name="注释 2 17 3 6" xfId="4223" xr:uid="{00000000-0005-0000-0000-0000AF100000}"/>
    <cellStyle name="注释 2 17 4" xfId="52116" xr:uid="{00000000-0005-0000-0000-0000C4CB0000}"/>
    <cellStyle name="注释 2 17 4 2" xfId="4041" xr:uid="{00000000-0005-0000-0000-0000F90F0000}"/>
    <cellStyle name="注释 2 17 4 2 2" xfId="792" xr:uid="{00000000-0005-0000-0000-000048030000}"/>
    <cellStyle name="注释 2 17 4 3" xfId="4234" xr:uid="{00000000-0005-0000-0000-0000BA100000}"/>
    <cellStyle name="注释 2 17 4 3 2" xfId="829" xr:uid="{00000000-0005-0000-0000-00006D030000}"/>
    <cellStyle name="注释 2 17 4 4" xfId="2521" xr:uid="{00000000-0005-0000-0000-0000090A0000}"/>
    <cellStyle name="注释 2 17 4 4 2" xfId="859" xr:uid="{00000000-0005-0000-0000-00008B030000}"/>
    <cellStyle name="注释 2 17 4 5" xfId="3563" xr:uid="{00000000-0005-0000-0000-00001B0E0000}"/>
    <cellStyle name="注释 2 17 4 5 2" xfId="898" xr:uid="{00000000-0005-0000-0000-0000B2030000}"/>
    <cellStyle name="注释 2 17 4 6" xfId="3575" xr:uid="{00000000-0005-0000-0000-0000270E0000}"/>
    <cellStyle name="注释 2 17 5" xfId="23702" xr:uid="{00000000-0005-0000-0000-0000C65C0000}"/>
    <cellStyle name="注释 2 17 5 2" xfId="4062" xr:uid="{00000000-0005-0000-0000-00000E100000}"/>
    <cellStyle name="注释 2 17 5 2 2" xfId="4244" xr:uid="{00000000-0005-0000-0000-0000C4100000}"/>
    <cellStyle name="注释 2 17 5 3" xfId="1844" xr:uid="{00000000-0005-0000-0000-000064070000}"/>
    <cellStyle name="注释 2 17 5 3 2" xfId="1874" xr:uid="{00000000-0005-0000-0000-000082070000}"/>
    <cellStyle name="注释 2 17 5 4" xfId="1913" xr:uid="{00000000-0005-0000-0000-0000A9070000}"/>
    <cellStyle name="注释 2 17 5 4 2" xfId="4253" xr:uid="{00000000-0005-0000-0000-0000CD100000}"/>
    <cellStyle name="注释 2 17 5 5" xfId="1931" xr:uid="{00000000-0005-0000-0000-0000BB070000}"/>
    <cellStyle name="注释 2 17 5 5 2" xfId="4265" xr:uid="{00000000-0005-0000-0000-0000D9100000}"/>
    <cellStyle name="注释 2 17 5 6" xfId="1948" xr:uid="{00000000-0005-0000-0000-0000CC070000}"/>
    <cellStyle name="注释 2 17 6" xfId="52117" xr:uid="{00000000-0005-0000-0000-0000C5CB0000}"/>
    <cellStyle name="注释 2 17 6 2" xfId="4091" xr:uid="{00000000-0005-0000-0000-00002B100000}"/>
    <cellStyle name="注释 2 17 6 2 2" xfId="3767" xr:uid="{00000000-0005-0000-0000-0000E70E0000}"/>
    <cellStyle name="注释 2 17 6 3" xfId="4274" xr:uid="{00000000-0005-0000-0000-0000E2100000}"/>
    <cellStyle name="注释 2 17 6 3 2" xfId="3839" xr:uid="{00000000-0005-0000-0000-00002F0F0000}"/>
    <cellStyle name="注释 2 17 6 4" xfId="2538" xr:uid="{00000000-0005-0000-0000-00001A0A0000}"/>
    <cellStyle name="注释 2 17 6 4 2" xfId="3912" xr:uid="{00000000-0005-0000-0000-0000780F0000}"/>
    <cellStyle name="注释 2 17 6 5" xfId="4285" xr:uid="{00000000-0005-0000-0000-0000ED100000}"/>
    <cellStyle name="注释 2 17 6 5 2" xfId="1887" xr:uid="{00000000-0005-0000-0000-00008F070000}"/>
    <cellStyle name="注释 2 17 6 6" xfId="4299" xr:uid="{00000000-0005-0000-0000-0000FB100000}"/>
    <cellStyle name="注释 2 17 7" xfId="52118" xr:uid="{00000000-0005-0000-0000-0000C6CB0000}"/>
    <cellStyle name="注释 2 17 7 2" xfId="4111" xr:uid="{00000000-0005-0000-0000-00003F100000}"/>
    <cellStyle name="注释 2 17 7 2 2" xfId="4289" xr:uid="{00000000-0005-0000-0000-0000F1100000}"/>
    <cellStyle name="注释 2 17 7 3" xfId="5502" xr:uid="{00000000-0005-0000-0000-0000AE150000}"/>
    <cellStyle name="注释 2 17 7 3 2" xfId="5505" xr:uid="{00000000-0005-0000-0000-0000B1150000}"/>
    <cellStyle name="注释 2 17 7 4" xfId="5539" xr:uid="{00000000-0005-0000-0000-0000D3150000}"/>
    <cellStyle name="注释 2 17 7 4 2" xfId="5543" xr:uid="{00000000-0005-0000-0000-0000D7150000}"/>
    <cellStyle name="注释 2 17 7 5" xfId="5508" xr:uid="{00000000-0005-0000-0000-0000B4150000}"/>
    <cellStyle name="注释 2 17 7 5 2" xfId="3966" xr:uid="{00000000-0005-0000-0000-0000AE0F0000}"/>
    <cellStyle name="注释 2 17 7 6" xfId="5516" xr:uid="{00000000-0005-0000-0000-0000BC150000}"/>
    <cellStyle name="注释 2 17 8" xfId="47285" xr:uid="{00000000-0005-0000-0000-0000E5B80000}"/>
    <cellStyle name="注释 2 17 8 2" xfId="5743" xr:uid="{00000000-0005-0000-0000-00009F160000}"/>
    <cellStyle name="注释 2 17 8 2 2" xfId="5749" xr:uid="{00000000-0005-0000-0000-0000A5160000}"/>
    <cellStyle name="注释 2 17 8 3" xfId="5818" xr:uid="{00000000-0005-0000-0000-0000EA160000}"/>
    <cellStyle name="注释 2 17 8 3 2" xfId="5829" xr:uid="{00000000-0005-0000-0000-0000F5160000}"/>
    <cellStyle name="注释 2 17 8 4" xfId="5968" xr:uid="{00000000-0005-0000-0000-000080170000}"/>
    <cellStyle name="注释 2 17 8 4 2" xfId="5977" xr:uid="{00000000-0005-0000-0000-000089170000}"/>
    <cellStyle name="注释 2 17 8 5" xfId="5546" xr:uid="{00000000-0005-0000-0000-0000DA150000}"/>
    <cellStyle name="注释 2 17 9" xfId="52119" xr:uid="{00000000-0005-0000-0000-0000C7CB0000}"/>
    <cellStyle name="注释 2 17 9 2" xfId="52120" xr:uid="{00000000-0005-0000-0000-0000C8CB0000}"/>
    <cellStyle name="注释 2 18" xfId="52121" xr:uid="{00000000-0005-0000-0000-0000C9CB0000}"/>
    <cellStyle name="注释 2 18 2" xfId="52123" xr:uid="{00000000-0005-0000-0000-0000CBCB0000}"/>
    <cellStyle name="注释 2 18 2 2" xfId="7811" xr:uid="{00000000-0005-0000-0000-0000B31E0000}"/>
    <cellStyle name="注释 2 18 3" xfId="30788" xr:uid="{00000000-0005-0000-0000-000074780000}"/>
    <cellStyle name="注释 2 18 3 2" xfId="6196" xr:uid="{00000000-0005-0000-0000-000064180000}"/>
    <cellStyle name="注释 2 18 4" xfId="52124" xr:uid="{00000000-0005-0000-0000-0000CCCB0000}"/>
    <cellStyle name="注释 2 18 4 2" xfId="287" xr:uid="{00000000-0005-0000-0000-00003B010000}"/>
    <cellStyle name="注释 2 18 5" xfId="11871" xr:uid="{00000000-0005-0000-0000-00008F2E0000}"/>
    <cellStyle name="注释 2 18 6" xfId="52125" xr:uid="{00000000-0005-0000-0000-0000CDCB0000}"/>
    <cellStyle name="注释 2 18 7" xfId="52126" xr:uid="{00000000-0005-0000-0000-0000CECB0000}"/>
    <cellStyle name="注释 2 18 8" xfId="47287" xr:uid="{00000000-0005-0000-0000-0000E7B80000}"/>
    <cellStyle name="注释 2 19" xfId="52127" xr:uid="{00000000-0005-0000-0000-0000CFCB0000}"/>
    <cellStyle name="注释 2 19 2" xfId="52129" xr:uid="{00000000-0005-0000-0000-0000D1CB0000}"/>
    <cellStyle name="注释 2 2" xfId="52130" xr:uid="{00000000-0005-0000-0000-0000D2CB0000}"/>
    <cellStyle name="注释 2 2 10" xfId="52132" xr:uid="{00000000-0005-0000-0000-0000D4CB0000}"/>
    <cellStyle name="注释 2 2 10 10" xfId="52133" xr:uid="{00000000-0005-0000-0000-0000D5CB0000}"/>
    <cellStyle name="注释 2 2 10 10 2" xfId="17718" xr:uid="{00000000-0005-0000-0000-000066450000}"/>
    <cellStyle name="注释 2 2 10 11" xfId="52134" xr:uid="{00000000-0005-0000-0000-0000D6CB0000}"/>
    <cellStyle name="注释 2 2 10 11 2" xfId="17910" xr:uid="{00000000-0005-0000-0000-000026460000}"/>
    <cellStyle name="注释 2 2 10 12" xfId="48537" xr:uid="{00000000-0005-0000-0000-0000C9BD0000}"/>
    <cellStyle name="注释 2 2 10 12 2" xfId="18127" xr:uid="{00000000-0005-0000-0000-0000FF460000}"/>
    <cellStyle name="注释 2 2 10 13" xfId="47122" xr:uid="{00000000-0005-0000-0000-000042B80000}"/>
    <cellStyle name="注释 2 2 10 14" xfId="48578" xr:uid="{00000000-0005-0000-0000-0000F2BD0000}"/>
    <cellStyle name="注释 2 2 10 15" xfId="48585" xr:uid="{00000000-0005-0000-0000-0000F9BD0000}"/>
    <cellStyle name="注释 2 2 10 16" xfId="48587" xr:uid="{00000000-0005-0000-0000-0000FBBD0000}"/>
    <cellStyle name="注释 2 2 10 2" xfId="52135" xr:uid="{00000000-0005-0000-0000-0000D7CB0000}"/>
    <cellStyle name="注释 2 2 10 2 2" xfId="52136" xr:uid="{00000000-0005-0000-0000-0000D8CB0000}"/>
    <cellStyle name="注释 2 2 10 2 2 2" xfId="52137" xr:uid="{00000000-0005-0000-0000-0000D9CB0000}"/>
    <cellStyle name="注释 2 2 10 2 3" xfId="52138" xr:uid="{00000000-0005-0000-0000-0000DACB0000}"/>
    <cellStyle name="注释 2 2 10 2 3 2" xfId="52139" xr:uid="{00000000-0005-0000-0000-0000DBCB0000}"/>
    <cellStyle name="注释 2 2 10 2 4" xfId="47541" xr:uid="{00000000-0005-0000-0000-0000E5B90000}"/>
    <cellStyle name="注释 2 2 10 2 4 2" xfId="52140" xr:uid="{00000000-0005-0000-0000-0000DCCB0000}"/>
    <cellStyle name="注释 2 2 10 2 5" xfId="3587" xr:uid="{00000000-0005-0000-0000-0000330E0000}"/>
    <cellStyle name="注释 2 2 10 2 5 2" xfId="32134" xr:uid="{00000000-0005-0000-0000-0000B67D0000}"/>
    <cellStyle name="注释 2 2 10 2 6" xfId="32136" xr:uid="{00000000-0005-0000-0000-0000B87D0000}"/>
    <cellStyle name="注释 2 2 10 2 7" xfId="32140" xr:uid="{00000000-0005-0000-0000-0000BC7D0000}"/>
    <cellStyle name="注释 2 2 10 2 8" xfId="32144" xr:uid="{00000000-0005-0000-0000-0000C07D0000}"/>
    <cellStyle name="注释 2 2 10 2 9" xfId="32149" xr:uid="{00000000-0005-0000-0000-0000C57D0000}"/>
    <cellStyle name="注释 2 2 10 3" xfId="30158" xr:uid="{00000000-0005-0000-0000-0000FE750000}"/>
    <cellStyle name="注释 2 2 10 3 2" xfId="52141" xr:uid="{00000000-0005-0000-0000-0000DDCB0000}"/>
    <cellStyle name="注释 2 2 10 3 2 2" xfId="52142" xr:uid="{00000000-0005-0000-0000-0000DECB0000}"/>
    <cellStyle name="注释 2 2 10 3 3" xfId="52143" xr:uid="{00000000-0005-0000-0000-0000DFCB0000}"/>
    <cellStyle name="注释 2 2 10 3 3 2" xfId="52144" xr:uid="{00000000-0005-0000-0000-0000E0CB0000}"/>
    <cellStyle name="注释 2 2 10 3 4" xfId="1942" xr:uid="{00000000-0005-0000-0000-0000C6070000}"/>
    <cellStyle name="注释 2 2 10 3 4 2" xfId="52145" xr:uid="{00000000-0005-0000-0000-0000E1CB0000}"/>
    <cellStyle name="注释 2 2 10 3 5" xfId="1959" xr:uid="{00000000-0005-0000-0000-0000D7070000}"/>
    <cellStyle name="注释 2 2 10 3 5 2" xfId="32162" xr:uid="{00000000-0005-0000-0000-0000D27D0000}"/>
    <cellStyle name="注释 2 2 10 3 6" xfId="32164" xr:uid="{00000000-0005-0000-0000-0000D47D0000}"/>
    <cellStyle name="注释 2 2 10 4" xfId="52146" xr:uid="{00000000-0005-0000-0000-0000E2CB0000}"/>
    <cellStyle name="注释 2 2 10 4 2" xfId="4278" xr:uid="{00000000-0005-0000-0000-0000E6100000}"/>
    <cellStyle name="注释 2 2 10 4 2 2" xfId="3843" xr:uid="{00000000-0005-0000-0000-0000330F0000}"/>
    <cellStyle name="注释 2 2 10 4 3" xfId="2540" xr:uid="{00000000-0005-0000-0000-00001C0A0000}"/>
    <cellStyle name="注释 2 2 10 4 3 2" xfId="3915" xr:uid="{00000000-0005-0000-0000-00007B0F0000}"/>
    <cellStyle name="注释 2 2 10 4 4" xfId="4293" xr:uid="{00000000-0005-0000-0000-0000F5100000}"/>
    <cellStyle name="注释 2 2 10 4 4 2" xfId="1895" xr:uid="{00000000-0005-0000-0000-000097070000}"/>
    <cellStyle name="注释 2 2 10 4 5" xfId="4306" xr:uid="{00000000-0005-0000-0000-000002110000}"/>
    <cellStyle name="注释 2 2 10 4 5 2" xfId="17553" xr:uid="{00000000-0005-0000-0000-0000C1440000}"/>
    <cellStyle name="注释 2 2 10 4 6" xfId="17569" xr:uid="{00000000-0005-0000-0000-0000D1440000}"/>
    <cellStyle name="注释 2 2 10 5" xfId="52147" xr:uid="{00000000-0005-0000-0000-0000E3CB0000}"/>
    <cellStyle name="注释 2 2 10 5 2" xfId="52148" xr:uid="{00000000-0005-0000-0000-0000E4CB0000}"/>
    <cellStyle name="注释 2 2 10 5 2 2" xfId="52149" xr:uid="{00000000-0005-0000-0000-0000E5CB0000}"/>
    <cellStyle name="注释 2 2 10 5 3" xfId="52150" xr:uid="{00000000-0005-0000-0000-0000E6CB0000}"/>
    <cellStyle name="注释 2 2 10 5 3 2" xfId="52151" xr:uid="{00000000-0005-0000-0000-0000E7CB0000}"/>
    <cellStyle name="注释 2 2 10 5 4" xfId="4318" xr:uid="{00000000-0005-0000-0000-00000E110000}"/>
    <cellStyle name="注释 2 2 10 5 4 2" xfId="52152" xr:uid="{00000000-0005-0000-0000-0000E8CB0000}"/>
    <cellStyle name="注释 2 2 10 5 5" xfId="4337" xr:uid="{00000000-0005-0000-0000-000021110000}"/>
    <cellStyle name="注释 2 2 10 5 5 2" xfId="32176" xr:uid="{00000000-0005-0000-0000-0000E07D0000}"/>
    <cellStyle name="注释 2 2 10 5 6" xfId="32178" xr:uid="{00000000-0005-0000-0000-0000E27D0000}"/>
    <cellStyle name="注释 2 2 10 6" xfId="52153" xr:uid="{00000000-0005-0000-0000-0000E9CB0000}"/>
    <cellStyle name="注释 2 2 10 6 2" xfId="52154" xr:uid="{00000000-0005-0000-0000-0000EACB0000}"/>
    <cellStyle name="注释 2 2 10 6 2 2" xfId="4350" xr:uid="{00000000-0005-0000-0000-00002E110000}"/>
    <cellStyle name="注释 2 2 10 6 3" xfId="52155" xr:uid="{00000000-0005-0000-0000-0000EBCB0000}"/>
    <cellStyle name="注释 2 2 10 6 3 2" xfId="4356" xr:uid="{00000000-0005-0000-0000-000034110000}"/>
    <cellStyle name="注释 2 2 10 6 4" xfId="52156" xr:uid="{00000000-0005-0000-0000-0000ECCB0000}"/>
    <cellStyle name="注释 2 2 10 6 4 2" xfId="12887" xr:uid="{00000000-0005-0000-0000-000087320000}"/>
    <cellStyle name="注释 2 2 10 6 5" xfId="32186" xr:uid="{00000000-0005-0000-0000-0000EA7D0000}"/>
    <cellStyle name="注释 2 2 10 6 5 2" xfId="32189" xr:uid="{00000000-0005-0000-0000-0000ED7D0000}"/>
    <cellStyle name="注释 2 2 10 6 6" xfId="32191" xr:uid="{00000000-0005-0000-0000-0000EF7D0000}"/>
    <cellStyle name="注释 2 2 10 7" xfId="20092" xr:uid="{00000000-0005-0000-0000-0000AC4E0000}"/>
    <cellStyle name="注释 2 2 10 7 2" xfId="52157" xr:uid="{00000000-0005-0000-0000-0000EDCB0000}"/>
    <cellStyle name="注释 2 2 10 7 2 2" xfId="50139" xr:uid="{00000000-0005-0000-0000-00000BC40000}"/>
    <cellStyle name="注释 2 2 10 7 3" xfId="52158" xr:uid="{00000000-0005-0000-0000-0000EECB0000}"/>
    <cellStyle name="注释 2 2 10 7 3 2" xfId="50143" xr:uid="{00000000-0005-0000-0000-00000FC40000}"/>
    <cellStyle name="注释 2 2 10 7 4" xfId="52159" xr:uid="{00000000-0005-0000-0000-0000EFCB0000}"/>
    <cellStyle name="注释 2 2 10 7 4 2" xfId="52160" xr:uid="{00000000-0005-0000-0000-0000F0CB0000}"/>
    <cellStyle name="注释 2 2 10 7 5" xfId="32196" xr:uid="{00000000-0005-0000-0000-0000F47D0000}"/>
    <cellStyle name="注释 2 2 10 7 5 2" xfId="32199" xr:uid="{00000000-0005-0000-0000-0000F77D0000}"/>
    <cellStyle name="注释 2 2 10 7 6" xfId="32201" xr:uid="{00000000-0005-0000-0000-0000F97D0000}"/>
    <cellStyle name="注释 2 2 10 8" xfId="52161" xr:uid="{00000000-0005-0000-0000-0000F1CB0000}"/>
    <cellStyle name="注释 2 2 10 8 2" xfId="52162" xr:uid="{00000000-0005-0000-0000-0000F2CB0000}"/>
    <cellStyle name="注释 2 2 10 8 2 2" xfId="50193" xr:uid="{00000000-0005-0000-0000-000041C40000}"/>
    <cellStyle name="注释 2 2 10 8 3" xfId="52163" xr:uid="{00000000-0005-0000-0000-0000F3CB0000}"/>
    <cellStyle name="注释 2 2 10 8 3 2" xfId="50202" xr:uid="{00000000-0005-0000-0000-00004AC40000}"/>
    <cellStyle name="注释 2 2 10 8 4" xfId="52164" xr:uid="{00000000-0005-0000-0000-0000F4CB0000}"/>
    <cellStyle name="注释 2 2 10 8 4 2" xfId="52165" xr:uid="{00000000-0005-0000-0000-0000F5CB0000}"/>
    <cellStyle name="注释 2 2 10 8 5" xfId="26700" xr:uid="{00000000-0005-0000-0000-00007C680000}"/>
    <cellStyle name="注释 2 2 10 9" xfId="52166" xr:uid="{00000000-0005-0000-0000-0000F6CB0000}"/>
    <cellStyle name="注释 2 2 10 9 2" xfId="19336" xr:uid="{00000000-0005-0000-0000-0000B84B0000}"/>
    <cellStyle name="注释 2 2 11" xfId="52167" xr:uid="{00000000-0005-0000-0000-0000F7CB0000}"/>
    <cellStyle name="注释 2 2 11 10" xfId="52168" xr:uid="{00000000-0005-0000-0000-0000F8CB0000}"/>
    <cellStyle name="注释 2 2 11 10 2" xfId="52169" xr:uid="{00000000-0005-0000-0000-0000F9CB0000}"/>
    <cellStyle name="注释 2 2 11 11" xfId="52170" xr:uid="{00000000-0005-0000-0000-0000FACB0000}"/>
    <cellStyle name="注释 2 2 11 11 2" xfId="52171" xr:uid="{00000000-0005-0000-0000-0000FBCB0000}"/>
    <cellStyle name="注释 2 2 11 12" xfId="48876" xr:uid="{00000000-0005-0000-0000-00001CBF0000}"/>
    <cellStyle name="注释 2 2 11 12 2" xfId="39259" xr:uid="{00000000-0005-0000-0000-00008B990000}"/>
    <cellStyle name="注释 2 2 11 13" xfId="36533" xr:uid="{00000000-0005-0000-0000-0000E58E0000}"/>
    <cellStyle name="注释 2 2 11 14" xfId="48944" xr:uid="{00000000-0005-0000-0000-000060BF0000}"/>
    <cellStyle name="注释 2 2 11 15" xfId="48957" xr:uid="{00000000-0005-0000-0000-00006DBF0000}"/>
    <cellStyle name="注释 2 2 11 16" xfId="48974" xr:uid="{00000000-0005-0000-0000-00007EBF0000}"/>
    <cellStyle name="注释 2 2 11 2" xfId="52172" xr:uid="{00000000-0005-0000-0000-0000FCCB0000}"/>
    <cellStyle name="注释 2 2 11 2 2" xfId="52173" xr:uid="{00000000-0005-0000-0000-0000FDCB0000}"/>
    <cellStyle name="注释 2 2 11 2 2 2" xfId="52174" xr:uid="{00000000-0005-0000-0000-0000FECB0000}"/>
    <cellStyle name="注释 2 2 11 2 3" xfId="52175" xr:uid="{00000000-0005-0000-0000-0000FFCB0000}"/>
    <cellStyle name="注释 2 2 11 2 3 2" xfId="52176" xr:uid="{00000000-0005-0000-0000-000000CC0000}"/>
    <cellStyle name="注释 2 2 11 2 4" xfId="47547" xr:uid="{00000000-0005-0000-0000-0000EBB90000}"/>
    <cellStyle name="注释 2 2 11 2 4 2" xfId="52177" xr:uid="{00000000-0005-0000-0000-000001CC0000}"/>
    <cellStyle name="注释 2 2 11 2 5" xfId="52178" xr:uid="{00000000-0005-0000-0000-000002CC0000}"/>
    <cellStyle name="注释 2 2 11 2 5 2" xfId="52179" xr:uid="{00000000-0005-0000-0000-000003CC0000}"/>
    <cellStyle name="注释 2 2 11 2 6" xfId="50768" xr:uid="{00000000-0005-0000-0000-000080C60000}"/>
    <cellStyle name="注释 2 2 11 3" xfId="38679" xr:uid="{00000000-0005-0000-0000-000047970000}"/>
    <cellStyle name="注释 2 2 11 3 2" xfId="4594" xr:uid="{00000000-0005-0000-0000-000022120000}"/>
    <cellStyle name="注释 2 2 11 3 2 2" xfId="52180" xr:uid="{00000000-0005-0000-0000-000004CC0000}"/>
    <cellStyle name="注释 2 2 11 3 3" xfId="52181" xr:uid="{00000000-0005-0000-0000-000005CC0000}"/>
    <cellStyle name="注释 2 2 11 3 3 2" xfId="52182" xr:uid="{00000000-0005-0000-0000-000006CC0000}"/>
    <cellStyle name="注释 2 2 11 3 4" xfId="47549" xr:uid="{00000000-0005-0000-0000-0000EDB90000}"/>
    <cellStyle name="注释 2 2 11 3 4 2" xfId="44524" xr:uid="{00000000-0005-0000-0000-00001CAE0000}"/>
    <cellStyle name="注释 2 2 11 3 5" xfId="52183" xr:uid="{00000000-0005-0000-0000-000007CC0000}"/>
    <cellStyle name="注释 2 2 11 3 5 2" xfId="52184" xr:uid="{00000000-0005-0000-0000-000008CC0000}"/>
    <cellStyle name="注释 2 2 11 3 6" xfId="52185" xr:uid="{00000000-0005-0000-0000-000009CC0000}"/>
    <cellStyle name="注释 2 2 11 4" xfId="40280" xr:uid="{00000000-0005-0000-0000-0000889D0000}"/>
    <cellStyle name="注释 2 2 11 4 2" xfId="4619" xr:uid="{00000000-0005-0000-0000-00003B120000}"/>
    <cellStyle name="注释 2 2 11 4 2 2" xfId="3453" xr:uid="{00000000-0005-0000-0000-0000AD0D0000}"/>
    <cellStyle name="注释 2 2 11 4 3" xfId="52186" xr:uid="{00000000-0005-0000-0000-00000ACC0000}"/>
    <cellStyle name="注释 2 2 11 4 3 2" xfId="52187" xr:uid="{00000000-0005-0000-0000-00000BCC0000}"/>
    <cellStyle name="注释 2 2 11 4 4" xfId="52188" xr:uid="{00000000-0005-0000-0000-00000CCC0000}"/>
    <cellStyle name="注释 2 2 11 4 4 2" xfId="52189" xr:uid="{00000000-0005-0000-0000-00000DCC0000}"/>
    <cellStyle name="注释 2 2 11 4 5" xfId="52190" xr:uid="{00000000-0005-0000-0000-00000ECC0000}"/>
    <cellStyle name="注释 2 2 11 4 5 2" xfId="52191" xr:uid="{00000000-0005-0000-0000-00000FCC0000}"/>
    <cellStyle name="注释 2 2 11 4 6" xfId="52192" xr:uid="{00000000-0005-0000-0000-000010CC0000}"/>
    <cellStyle name="注释 2 2 11 5" xfId="40282" xr:uid="{00000000-0005-0000-0000-00008A9D0000}"/>
    <cellStyle name="注释 2 2 11 5 2" xfId="4640" xr:uid="{00000000-0005-0000-0000-000050120000}"/>
    <cellStyle name="注释 2 2 11 5 2 2" xfId="4645" xr:uid="{00000000-0005-0000-0000-000055120000}"/>
    <cellStyle name="注释 2 2 11 5 3" xfId="52193" xr:uid="{00000000-0005-0000-0000-000011CC0000}"/>
    <cellStyle name="注释 2 2 11 5 3 2" xfId="52194" xr:uid="{00000000-0005-0000-0000-000012CC0000}"/>
    <cellStyle name="注释 2 2 11 5 4" xfId="52195" xr:uid="{00000000-0005-0000-0000-000013CC0000}"/>
    <cellStyle name="注释 2 2 11 5 4 2" xfId="52196" xr:uid="{00000000-0005-0000-0000-000014CC0000}"/>
    <cellStyle name="注释 2 2 11 5 5" xfId="52197" xr:uid="{00000000-0005-0000-0000-000015CC0000}"/>
    <cellStyle name="注释 2 2 11 5 5 2" xfId="52198" xr:uid="{00000000-0005-0000-0000-000016CC0000}"/>
    <cellStyle name="注释 2 2 11 5 6" xfId="52199" xr:uid="{00000000-0005-0000-0000-000017CC0000}"/>
    <cellStyle name="注释 2 2 11 6" xfId="40284" xr:uid="{00000000-0005-0000-0000-00008C9D0000}"/>
    <cellStyle name="注释 2 2 11 6 2" xfId="4675" xr:uid="{00000000-0005-0000-0000-000073120000}"/>
    <cellStyle name="注释 2 2 11 6 2 2" xfId="52200" xr:uid="{00000000-0005-0000-0000-000018CC0000}"/>
    <cellStyle name="注释 2 2 11 6 3" xfId="52201" xr:uid="{00000000-0005-0000-0000-000019CC0000}"/>
    <cellStyle name="注释 2 2 11 6 3 2" xfId="52202" xr:uid="{00000000-0005-0000-0000-00001ACC0000}"/>
    <cellStyle name="注释 2 2 11 6 4" xfId="52203" xr:uid="{00000000-0005-0000-0000-00001BCC0000}"/>
    <cellStyle name="注释 2 2 11 6 4 2" xfId="52204" xr:uid="{00000000-0005-0000-0000-00001CCC0000}"/>
    <cellStyle name="注释 2 2 11 6 5" xfId="52205" xr:uid="{00000000-0005-0000-0000-00001DCC0000}"/>
    <cellStyle name="注释 2 2 11 6 5 2" xfId="52206" xr:uid="{00000000-0005-0000-0000-00001ECC0000}"/>
    <cellStyle name="注释 2 2 11 6 6" xfId="43087" xr:uid="{00000000-0005-0000-0000-00007FA80000}"/>
    <cellStyle name="注释 2 2 11 7" xfId="18946" xr:uid="{00000000-0005-0000-0000-0000324A0000}"/>
    <cellStyle name="注释 2 2 11 7 2" xfId="52207" xr:uid="{00000000-0005-0000-0000-00001FCC0000}"/>
    <cellStyle name="注释 2 2 11 7 2 2" xfId="52208" xr:uid="{00000000-0005-0000-0000-000020CC0000}"/>
    <cellStyle name="注释 2 2 11 7 3" xfId="12860" xr:uid="{00000000-0005-0000-0000-00006C320000}"/>
    <cellStyle name="注释 2 2 11 7 3 2" xfId="8482" xr:uid="{00000000-0005-0000-0000-000052210000}"/>
    <cellStyle name="注释 2 2 11 7 4" xfId="12885" xr:uid="{00000000-0005-0000-0000-000085320000}"/>
    <cellStyle name="注释 2 2 11 7 4 2" xfId="12889" xr:uid="{00000000-0005-0000-0000-000089320000}"/>
    <cellStyle name="注释 2 2 11 7 5" xfId="12906" xr:uid="{00000000-0005-0000-0000-00009A320000}"/>
    <cellStyle name="注释 2 2 11 7 5 2" xfId="12908" xr:uid="{00000000-0005-0000-0000-00009C320000}"/>
    <cellStyle name="注释 2 2 11 7 6" xfId="11350" xr:uid="{00000000-0005-0000-0000-0000862C0000}"/>
    <cellStyle name="注释 2 2 11 8" xfId="40287" xr:uid="{00000000-0005-0000-0000-00008F9D0000}"/>
    <cellStyle name="注释 2 2 11 8 2" xfId="52209" xr:uid="{00000000-0005-0000-0000-000021CC0000}"/>
    <cellStyle name="注释 2 2 11 8 2 2" xfId="52210" xr:uid="{00000000-0005-0000-0000-000022CC0000}"/>
    <cellStyle name="注释 2 2 11 8 3" xfId="11547" xr:uid="{00000000-0005-0000-0000-00004B2D0000}"/>
    <cellStyle name="注释 2 2 11 8 3 2" xfId="1190" xr:uid="{00000000-0005-0000-0000-0000D6040000}"/>
    <cellStyle name="注释 2 2 11 8 4" xfId="11558" xr:uid="{00000000-0005-0000-0000-0000562D0000}"/>
    <cellStyle name="注释 2 2 11 8 4 2" xfId="2957" xr:uid="{00000000-0005-0000-0000-0000BD0B0000}"/>
    <cellStyle name="注释 2 2 11 8 5" xfId="11564" xr:uid="{00000000-0005-0000-0000-00005C2D0000}"/>
    <cellStyle name="注释 2 2 11 9" xfId="40289" xr:uid="{00000000-0005-0000-0000-0000919D0000}"/>
    <cellStyle name="注释 2 2 11 9 2" xfId="52211" xr:uid="{00000000-0005-0000-0000-000023CC0000}"/>
    <cellStyle name="注释 2 2 12" xfId="52212" xr:uid="{00000000-0005-0000-0000-000024CC0000}"/>
    <cellStyle name="注释 2 2 12 2" xfId="52213" xr:uid="{00000000-0005-0000-0000-000025CC0000}"/>
    <cellStyle name="注释 2 2 12 2 2" xfId="4798" xr:uid="{00000000-0005-0000-0000-0000EE120000}"/>
    <cellStyle name="注释 2 2 12 3" xfId="38682" xr:uid="{00000000-0005-0000-0000-00004A970000}"/>
    <cellStyle name="注释 2 2 12 3 2" xfId="4370" xr:uid="{00000000-0005-0000-0000-000042110000}"/>
    <cellStyle name="注释 2 2 12 4" xfId="22728" xr:uid="{00000000-0005-0000-0000-0000F8580000}"/>
    <cellStyle name="注释 2 2 12 4 2" xfId="4840" xr:uid="{00000000-0005-0000-0000-000018130000}"/>
    <cellStyle name="注释 2 2 12 5" xfId="40291" xr:uid="{00000000-0005-0000-0000-0000939D0000}"/>
    <cellStyle name="注释 2 2 12 5 2" xfId="4859" xr:uid="{00000000-0005-0000-0000-00002B130000}"/>
    <cellStyle name="注释 2 2 12 6" xfId="40293" xr:uid="{00000000-0005-0000-0000-0000959D0000}"/>
    <cellStyle name="注释 2 2 12 7" xfId="33669" xr:uid="{00000000-0005-0000-0000-0000B5830000}"/>
    <cellStyle name="注释 2 2 12 8" xfId="52214" xr:uid="{00000000-0005-0000-0000-000026CC0000}"/>
    <cellStyle name="注释 2 2 12 9" xfId="52215" xr:uid="{00000000-0005-0000-0000-000027CC0000}"/>
    <cellStyle name="注释 2 2 13" xfId="52216" xr:uid="{00000000-0005-0000-0000-000028CC0000}"/>
    <cellStyle name="注释 2 2 13 2" xfId="52217" xr:uid="{00000000-0005-0000-0000-000029CC0000}"/>
    <cellStyle name="注释 2 2 13 2 2" xfId="2285" xr:uid="{00000000-0005-0000-0000-00001D090000}"/>
    <cellStyle name="注释 2 2 13 3" xfId="40296" xr:uid="{00000000-0005-0000-0000-0000989D0000}"/>
    <cellStyle name="注释 2 2 13 3 2" xfId="5097" xr:uid="{00000000-0005-0000-0000-000019140000}"/>
    <cellStyle name="注释 2 2 13 4" xfId="22737" xr:uid="{00000000-0005-0000-0000-000001590000}"/>
    <cellStyle name="注释 2 2 13 4 2" xfId="5150" xr:uid="{00000000-0005-0000-0000-00004E140000}"/>
    <cellStyle name="注释 2 2 13 5" xfId="40298" xr:uid="{00000000-0005-0000-0000-00009A9D0000}"/>
    <cellStyle name="注释 2 2 13 5 2" xfId="5168" xr:uid="{00000000-0005-0000-0000-000060140000}"/>
    <cellStyle name="注释 2 2 13 6" xfId="40300" xr:uid="{00000000-0005-0000-0000-00009C9D0000}"/>
    <cellStyle name="注释 2 2 14" xfId="7937" xr:uid="{00000000-0005-0000-0000-0000311F0000}"/>
    <cellStyle name="注释 2 2 14 2" xfId="11169" xr:uid="{00000000-0005-0000-0000-0000D12B0000}"/>
    <cellStyle name="注释 2 2 14 2 2" xfId="3791" xr:uid="{00000000-0005-0000-0000-0000FF0E0000}"/>
    <cellStyle name="注释 2 2 14 3" xfId="4582" xr:uid="{00000000-0005-0000-0000-000016120000}"/>
    <cellStyle name="注释 2 2 14 3 2" xfId="3861" xr:uid="{00000000-0005-0000-0000-0000450F0000}"/>
    <cellStyle name="注释 2 2 14 4" xfId="11523" xr:uid="{00000000-0005-0000-0000-0000332D0000}"/>
    <cellStyle name="注释 2 2 14 4 2" xfId="4935" xr:uid="{00000000-0005-0000-0000-000077130000}"/>
    <cellStyle name="注释 2 2 14 5" xfId="40304" xr:uid="{00000000-0005-0000-0000-0000A09D0000}"/>
    <cellStyle name="注释 2 2 14 5 2" xfId="51" xr:uid="{00000000-0005-0000-0000-000038000000}"/>
    <cellStyle name="注释 2 2 14 6" xfId="40307" xr:uid="{00000000-0005-0000-0000-0000A39D0000}"/>
    <cellStyle name="注释 2 2 15" xfId="52218" xr:uid="{00000000-0005-0000-0000-00002ACC0000}"/>
    <cellStyle name="注释 2 2 15 2" xfId="52220" xr:uid="{00000000-0005-0000-0000-00002CCC0000}"/>
    <cellStyle name="注释 2 2 15 2 2" xfId="4301" xr:uid="{00000000-0005-0000-0000-0000FD100000}"/>
    <cellStyle name="注释 2 2 15 3" xfId="40309" xr:uid="{00000000-0005-0000-0000-0000A59D0000}"/>
    <cellStyle name="注释 2 2 15 3 2" xfId="5511" xr:uid="{00000000-0005-0000-0000-0000B7150000}"/>
    <cellStyle name="注释 2 2 15 4" xfId="22750" xr:uid="{00000000-0005-0000-0000-00000E590000}"/>
    <cellStyle name="注释 2 2 15 4 2" xfId="5549" xr:uid="{00000000-0005-0000-0000-0000DD150000}"/>
    <cellStyle name="注释 2 2 15 5" xfId="40311" xr:uid="{00000000-0005-0000-0000-0000A79D0000}"/>
    <cellStyle name="注释 2 2 15 5 2" xfId="189" xr:uid="{00000000-0005-0000-0000-0000CC000000}"/>
    <cellStyle name="注释 2 2 15 6" xfId="37589" xr:uid="{00000000-0005-0000-0000-000005930000}"/>
    <cellStyle name="注释 2 2 16" xfId="52222" xr:uid="{00000000-0005-0000-0000-00002ECC0000}"/>
    <cellStyle name="注释 2 2 16 2" xfId="52224" xr:uid="{00000000-0005-0000-0000-000030CC0000}"/>
    <cellStyle name="注释 2 2 16 2 2" xfId="5772" xr:uid="{00000000-0005-0000-0000-0000BC160000}"/>
    <cellStyle name="注释 2 2 16 3" xfId="40316" xr:uid="{00000000-0005-0000-0000-0000AC9D0000}"/>
    <cellStyle name="注释 2 2 16 3 2" xfId="5859" xr:uid="{00000000-0005-0000-0000-000013170000}"/>
    <cellStyle name="注释 2 2 16 4" xfId="40318" xr:uid="{00000000-0005-0000-0000-0000AE9D0000}"/>
    <cellStyle name="注释 2 2 16 4 2" xfId="5992" xr:uid="{00000000-0005-0000-0000-000098170000}"/>
    <cellStyle name="注释 2 2 16 5" xfId="38942" xr:uid="{00000000-0005-0000-0000-00004E980000}"/>
    <cellStyle name="注释 2 2 16 5 2" xfId="5445" xr:uid="{00000000-0005-0000-0000-000075150000}"/>
    <cellStyle name="注释 2 2 16 6" xfId="37595" xr:uid="{00000000-0005-0000-0000-00000B930000}"/>
    <cellStyle name="注释 2 2 17" xfId="52226" xr:uid="{00000000-0005-0000-0000-000032CC0000}"/>
    <cellStyle name="注释 2 2 17 2" xfId="52228" xr:uid="{00000000-0005-0000-0000-000034CC0000}"/>
    <cellStyle name="注释 2 2 17 2 2" xfId="32516" xr:uid="{00000000-0005-0000-0000-0000347F0000}"/>
    <cellStyle name="注释 2 2 17 3" xfId="40323" xr:uid="{00000000-0005-0000-0000-0000B39D0000}"/>
    <cellStyle name="注释 2 2 17 3 2" xfId="32524" xr:uid="{00000000-0005-0000-0000-00003C7F0000}"/>
    <cellStyle name="注释 2 2 17 4" xfId="38421" xr:uid="{00000000-0005-0000-0000-000045960000}"/>
    <cellStyle name="注释 2 2 17 4 2" xfId="32533" xr:uid="{00000000-0005-0000-0000-0000457F0000}"/>
    <cellStyle name="注释 2 2 17 5" xfId="38424" xr:uid="{00000000-0005-0000-0000-000048960000}"/>
    <cellStyle name="注释 2 2 17 5 2" xfId="32542" xr:uid="{00000000-0005-0000-0000-00004E7F0000}"/>
    <cellStyle name="注释 2 2 17 6" xfId="37602" xr:uid="{00000000-0005-0000-0000-000012930000}"/>
    <cellStyle name="注释 2 2 18" xfId="52230" xr:uid="{00000000-0005-0000-0000-000036CC0000}"/>
    <cellStyle name="注释 2 2 18 2" xfId="52232" xr:uid="{00000000-0005-0000-0000-000038CC0000}"/>
    <cellStyle name="注释 2 2 18 2 2" xfId="32575" xr:uid="{00000000-0005-0000-0000-00006F7F0000}"/>
    <cellStyle name="注释 2 2 18 3" xfId="40329" xr:uid="{00000000-0005-0000-0000-0000B99D0000}"/>
    <cellStyle name="注释 2 2 18 3 2" xfId="32580" xr:uid="{00000000-0005-0000-0000-0000747F0000}"/>
    <cellStyle name="注释 2 2 18 4" xfId="38439" xr:uid="{00000000-0005-0000-0000-000057960000}"/>
    <cellStyle name="注释 2 2 18 4 2" xfId="32585" xr:uid="{00000000-0005-0000-0000-0000797F0000}"/>
    <cellStyle name="注释 2 2 18 5" xfId="38442" xr:uid="{00000000-0005-0000-0000-00005A960000}"/>
    <cellStyle name="注释 2 2 18 5 2" xfId="32598" xr:uid="{00000000-0005-0000-0000-0000867F0000}"/>
    <cellStyle name="注释 2 2 18 6" xfId="38444" xr:uid="{00000000-0005-0000-0000-00005C960000}"/>
    <cellStyle name="注释 2 2 19" xfId="13290" xr:uid="{00000000-0005-0000-0000-00001A340000}"/>
    <cellStyle name="注释 2 2 19 2" xfId="11736" xr:uid="{00000000-0005-0000-0000-0000082E0000}"/>
    <cellStyle name="注释 2 2 19 2 2" xfId="32661" xr:uid="{00000000-0005-0000-0000-0000C57F0000}"/>
    <cellStyle name="注释 2 2 19 3" xfId="11739" xr:uid="{00000000-0005-0000-0000-00000B2E0000}"/>
    <cellStyle name="注释 2 2 19 3 2" xfId="32673" xr:uid="{00000000-0005-0000-0000-0000D17F0000}"/>
    <cellStyle name="注释 2 2 19 4" xfId="11746" xr:uid="{00000000-0005-0000-0000-0000122E0000}"/>
    <cellStyle name="注释 2 2 19 4 2" xfId="32678" xr:uid="{00000000-0005-0000-0000-0000D67F0000}"/>
    <cellStyle name="注释 2 2 19 5" xfId="38455" xr:uid="{00000000-0005-0000-0000-000067960000}"/>
    <cellStyle name="注释 2 2 2" xfId="43621" xr:uid="{00000000-0005-0000-0000-000095AA0000}"/>
    <cellStyle name="注释 2 2 2 10" xfId="13096" xr:uid="{00000000-0005-0000-0000-000058330000}"/>
    <cellStyle name="注释 2 2 2 10 2" xfId="13100" xr:uid="{00000000-0005-0000-0000-00005C330000}"/>
    <cellStyle name="注释 2 2 2 11" xfId="13104" xr:uid="{00000000-0005-0000-0000-000060330000}"/>
    <cellStyle name="注释 2 2 2 11 2" xfId="32300" xr:uid="{00000000-0005-0000-0000-00005C7E0000}"/>
    <cellStyle name="注释 2 2 2 12" xfId="2462" xr:uid="{00000000-0005-0000-0000-0000CE090000}"/>
    <cellStyle name="注释 2 2 2 12 2" xfId="32303" xr:uid="{00000000-0005-0000-0000-00005F7E0000}"/>
    <cellStyle name="注释 2 2 2 13" xfId="5040" xr:uid="{00000000-0005-0000-0000-0000E0130000}"/>
    <cellStyle name="注释 2 2 2 14" xfId="5045" xr:uid="{00000000-0005-0000-0000-0000E5130000}"/>
    <cellStyle name="注释 2 2 2 15" xfId="52234" xr:uid="{00000000-0005-0000-0000-00003ACC0000}"/>
    <cellStyle name="注释 2 2 2 16" xfId="52235" xr:uid="{00000000-0005-0000-0000-00003BCC0000}"/>
    <cellStyle name="注释 2 2 2 2" xfId="52236" xr:uid="{00000000-0005-0000-0000-00003CCC0000}"/>
    <cellStyle name="注释 2 2 2 2 2" xfId="52237" xr:uid="{00000000-0005-0000-0000-00003DCC0000}"/>
    <cellStyle name="注释 2 2 2 2 2 2" xfId="52238" xr:uid="{00000000-0005-0000-0000-00003ECC0000}"/>
    <cellStyle name="注释 2 2 2 2 3" xfId="52240" xr:uid="{00000000-0005-0000-0000-000040CC0000}"/>
    <cellStyle name="注释 2 2 2 2 3 2" xfId="52241" xr:uid="{00000000-0005-0000-0000-000041CC0000}"/>
    <cellStyle name="注释 2 2 2 2 4" xfId="51354" xr:uid="{00000000-0005-0000-0000-0000CAC80000}"/>
    <cellStyle name="注释 2 2 2 2 4 2" xfId="52242" xr:uid="{00000000-0005-0000-0000-000042CC0000}"/>
    <cellStyle name="注释 2 2 2 2 5" xfId="52243" xr:uid="{00000000-0005-0000-0000-000043CC0000}"/>
    <cellStyle name="注释 2 2 2 2 5 2" xfId="52244" xr:uid="{00000000-0005-0000-0000-000044CC0000}"/>
    <cellStyle name="注释 2 2 2 2 6" xfId="52245" xr:uid="{00000000-0005-0000-0000-000045CC0000}"/>
    <cellStyle name="注释 2 2 2 2 7" xfId="52246" xr:uid="{00000000-0005-0000-0000-000046CC0000}"/>
    <cellStyle name="注释 2 2 2 2 8" xfId="1866" xr:uid="{00000000-0005-0000-0000-00007A070000}"/>
    <cellStyle name="注释 2 2 2 2 9" xfId="43506" xr:uid="{00000000-0005-0000-0000-000022AA0000}"/>
    <cellStyle name="注释 2 2 2 3" xfId="8932" xr:uid="{00000000-0005-0000-0000-000014230000}"/>
    <cellStyle name="注释 2 2 2 3 2" xfId="52247" xr:uid="{00000000-0005-0000-0000-000047CC0000}"/>
    <cellStyle name="注释 2 2 2 3 2 2" xfId="52248" xr:uid="{00000000-0005-0000-0000-000048CC0000}"/>
    <cellStyle name="注释 2 2 2 3 3" xfId="31610" xr:uid="{00000000-0005-0000-0000-0000AA7B0000}"/>
    <cellStyle name="注释 2 2 2 3 3 2" xfId="52250" xr:uid="{00000000-0005-0000-0000-00004ACC0000}"/>
    <cellStyle name="注释 2 2 2 3 4" xfId="51357" xr:uid="{00000000-0005-0000-0000-0000CDC80000}"/>
    <cellStyle name="注释 2 2 2 3 4 2" xfId="52251" xr:uid="{00000000-0005-0000-0000-00004BCC0000}"/>
    <cellStyle name="注释 2 2 2 3 5" xfId="52252" xr:uid="{00000000-0005-0000-0000-00004CCC0000}"/>
    <cellStyle name="注释 2 2 2 3 5 2" xfId="52253" xr:uid="{00000000-0005-0000-0000-00004DCC0000}"/>
    <cellStyle name="注释 2 2 2 3 6" xfId="52254" xr:uid="{00000000-0005-0000-0000-00004ECC0000}"/>
    <cellStyle name="注释 2 2 2 4" xfId="52255" xr:uid="{00000000-0005-0000-0000-00004FCC0000}"/>
    <cellStyle name="注释 2 2 2 4 2" xfId="8942" xr:uid="{00000000-0005-0000-0000-00001E230000}"/>
    <cellStyle name="注释 2 2 2 4 2 2" xfId="52256" xr:uid="{00000000-0005-0000-0000-000050CC0000}"/>
    <cellStyle name="注释 2 2 2 4 3" xfId="31614" xr:uid="{00000000-0005-0000-0000-0000AE7B0000}"/>
    <cellStyle name="注释 2 2 2 4 3 2" xfId="52258" xr:uid="{00000000-0005-0000-0000-000052CC0000}"/>
    <cellStyle name="注释 2 2 2 4 4" xfId="51360" xr:uid="{00000000-0005-0000-0000-0000D0C80000}"/>
    <cellStyle name="注释 2 2 2 4 4 2" xfId="52259" xr:uid="{00000000-0005-0000-0000-000053CC0000}"/>
    <cellStyle name="注释 2 2 2 4 5" xfId="52260" xr:uid="{00000000-0005-0000-0000-000054CC0000}"/>
    <cellStyle name="注释 2 2 2 4 5 2" xfId="52261" xr:uid="{00000000-0005-0000-0000-000055CC0000}"/>
    <cellStyle name="注释 2 2 2 4 6" xfId="52262" xr:uid="{00000000-0005-0000-0000-000056CC0000}"/>
    <cellStyle name="注释 2 2 2 5" xfId="52263" xr:uid="{00000000-0005-0000-0000-000057CC0000}"/>
    <cellStyle name="注释 2 2 2 5 2" xfId="52264" xr:uid="{00000000-0005-0000-0000-000058CC0000}"/>
    <cellStyle name="注释 2 2 2 5 2 2" xfId="42770" xr:uid="{00000000-0005-0000-0000-000042A70000}"/>
    <cellStyle name="注释 2 2 2 5 3" xfId="31617" xr:uid="{00000000-0005-0000-0000-0000B17B0000}"/>
    <cellStyle name="注释 2 2 2 5 3 2" xfId="42781" xr:uid="{00000000-0005-0000-0000-00004DA70000}"/>
    <cellStyle name="注释 2 2 2 5 4" xfId="51363" xr:uid="{00000000-0005-0000-0000-0000D3C80000}"/>
    <cellStyle name="注释 2 2 2 5 4 2" xfId="42791" xr:uid="{00000000-0005-0000-0000-000057A70000}"/>
    <cellStyle name="注释 2 2 2 5 5" xfId="52265" xr:uid="{00000000-0005-0000-0000-000059CC0000}"/>
    <cellStyle name="注释 2 2 2 5 5 2" xfId="42801" xr:uid="{00000000-0005-0000-0000-000061A70000}"/>
    <cellStyle name="注释 2 2 2 5 6" xfId="52266" xr:uid="{00000000-0005-0000-0000-00005ACC0000}"/>
    <cellStyle name="注释 2 2 2 6" xfId="52267" xr:uid="{00000000-0005-0000-0000-00005BCC0000}"/>
    <cellStyle name="注释 2 2 2 6 2" xfId="52268" xr:uid="{00000000-0005-0000-0000-00005CCC0000}"/>
    <cellStyle name="注释 2 2 2 6 2 2" xfId="52270" xr:uid="{00000000-0005-0000-0000-00005ECC0000}"/>
    <cellStyle name="注释 2 2 2 6 3" xfId="52272" xr:uid="{00000000-0005-0000-0000-000060CC0000}"/>
    <cellStyle name="注释 2 2 2 6 3 2" xfId="52274" xr:uid="{00000000-0005-0000-0000-000062CC0000}"/>
    <cellStyle name="注释 2 2 2 6 4" xfId="52276" xr:uid="{00000000-0005-0000-0000-000064CC0000}"/>
    <cellStyle name="注释 2 2 2 6 4 2" xfId="34162" xr:uid="{00000000-0005-0000-0000-0000A2850000}"/>
    <cellStyle name="注释 2 2 2 6 5" xfId="52278" xr:uid="{00000000-0005-0000-0000-000066CC0000}"/>
    <cellStyle name="注释 2 2 2 6 5 2" xfId="34179" xr:uid="{00000000-0005-0000-0000-0000B3850000}"/>
    <cellStyle name="注释 2 2 2 6 6" xfId="52280" xr:uid="{00000000-0005-0000-0000-000068CC0000}"/>
    <cellStyle name="注释 2 2 2 7" xfId="52282" xr:uid="{00000000-0005-0000-0000-00006ACC0000}"/>
    <cellStyle name="注释 2 2 2 7 2" xfId="52283" xr:uid="{00000000-0005-0000-0000-00006BCC0000}"/>
    <cellStyle name="注释 2 2 2 7 2 2" xfId="49649" xr:uid="{00000000-0005-0000-0000-000021C20000}"/>
    <cellStyle name="注释 2 2 2 7 3" xfId="52284" xr:uid="{00000000-0005-0000-0000-00006CCC0000}"/>
    <cellStyle name="注释 2 2 2 7 3 2" xfId="52285" xr:uid="{00000000-0005-0000-0000-00006DCC0000}"/>
    <cellStyle name="注释 2 2 2 7 4" xfId="52286" xr:uid="{00000000-0005-0000-0000-00006ECC0000}"/>
    <cellStyle name="注释 2 2 2 7 4 2" xfId="52287" xr:uid="{00000000-0005-0000-0000-00006FCC0000}"/>
    <cellStyle name="注释 2 2 2 7 5" xfId="52288" xr:uid="{00000000-0005-0000-0000-000070CC0000}"/>
    <cellStyle name="注释 2 2 2 7 5 2" xfId="52289" xr:uid="{00000000-0005-0000-0000-000071CC0000}"/>
    <cellStyle name="注释 2 2 2 7 6" xfId="52290" xr:uid="{00000000-0005-0000-0000-000072CC0000}"/>
    <cellStyle name="注释 2 2 2 8" xfId="52291" xr:uid="{00000000-0005-0000-0000-000073CC0000}"/>
    <cellStyle name="注释 2 2 2 8 2" xfId="52292" xr:uid="{00000000-0005-0000-0000-000074CC0000}"/>
    <cellStyle name="注释 2 2 2 8 2 2" xfId="49719" xr:uid="{00000000-0005-0000-0000-000067C20000}"/>
    <cellStyle name="注释 2 2 2 8 3" xfId="52293" xr:uid="{00000000-0005-0000-0000-000075CC0000}"/>
    <cellStyle name="注释 2 2 2 8 3 2" xfId="52294" xr:uid="{00000000-0005-0000-0000-000076CC0000}"/>
    <cellStyle name="注释 2 2 2 8 4" xfId="52295" xr:uid="{00000000-0005-0000-0000-000077CC0000}"/>
    <cellStyle name="注释 2 2 2 8 4 2" xfId="52296" xr:uid="{00000000-0005-0000-0000-000078CC0000}"/>
    <cellStyle name="注释 2 2 2 8 5" xfId="52297" xr:uid="{00000000-0005-0000-0000-000079CC0000}"/>
    <cellStyle name="注释 2 2 2 9" xfId="52298" xr:uid="{00000000-0005-0000-0000-00007ACC0000}"/>
    <cellStyle name="注释 2 2 2 9 2" xfId="52299" xr:uid="{00000000-0005-0000-0000-00007BCC0000}"/>
    <cellStyle name="注释 2 2 20" xfId="52219" xr:uid="{00000000-0005-0000-0000-00002BCC0000}"/>
    <cellStyle name="注释 2 2 20 2" xfId="52221" xr:uid="{00000000-0005-0000-0000-00002DCC0000}"/>
    <cellStyle name="注释 2 2 21" xfId="52223" xr:uid="{00000000-0005-0000-0000-00002FCC0000}"/>
    <cellStyle name="注释 2 2 21 2" xfId="52225" xr:uid="{00000000-0005-0000-0000-000031CC0000}"/>
    <cellStyle name="注释 2 2 22" xfId="52227" xr:uid="{00000000-0005-0000-0000-000033CC0000}"/>
    <cellStyle name="注释 2 2 22 2" xfId="52229" xr:uid="{00000000-0005-0000-0000-000035CC0000}"/>
    <cellStyle name="注释 2 2 23" xfId="52231" xr:uid="{00000000-0005-0000-0000-000037CC0000}"/>
    <cellStyle name="注释 2 2 23 2" xfId="52233" xr:uid="{00000000-0005-0000-0000-000039CC0000}"/>
    <cellStyle name="注释 2 2 24" xfId="13291" xr:uid="{00000000-0005-0000-0000-00001B340000}"/>
    <cellStyle name="注释 2 2 25" xfId="52300" xr:uid="{00000000-0005-0000-0000-00007CCC0000}"/>
    <cellStyle name="注释 2 2 26" xfId="52301" xr:uid="{00000000-0005-0000-0000-00007DCC0000}"/>
    <cellStyle name="注释 2 2 27" xfId="26790" xr:uid="{00000000-0005-0000-0000-0000D6680000}"/>
    <cellStyle name="注释 2 2 3" xfId="43625" xr:uid="{00000000-0005-0000-0000-000099AA0000}"/>
    <cellStyle name="注释 2 2 3 10" xfId="9611" xr:uid="{00000000-0005-0000-0000-0000BB250000}"/>
    <cellStyle name="注释 2 2 3 10 2" xfId="13163" xr:uid="{00000000-0005-0000-0000-00009B330000}"/>
    <cellStyle name="注释 2 2 3 11" xfId="13169" xr:uid="{00000000-0005-0000-0000-0000A1330000}"/>
    <cellStyle name="注释 2 2 3 11 2" xfId="32336" xr:uid="{00000000-0005-0000-0000-0000807E0000}"/>
    <cellStyle name="注释 2 2 3 12" xfId="32338" xr:uid="{00000000-0005-0000-0000-0000827E0000}"/>
    <cellStyle name="注释 2 2 3 12 2" xfId="32341" xr:uid="{00000000-0005-0000-0000-0000857E0000}"/>
    <cellStyle name="注释 2 2 3 13" xfId="3724" xr:uid="{00000000-0005-0000-0000-0000BC0E0000}"/>
    <cellStyle name="注释 2 2 3 14" xfId="3806" xr:uid="{00000000-0005-0000-0000-00000E0F0000}"/>
    <cellStyle name="注释 2 2 3 15" xfId="52302" xr:uid="{00000000-0005-0000-0000-00007ECC0000}"/>
    <cellStyle name="注释 2 2 3 16" xfId="52303" xr:uid="{00000000-0005-0000-0000-00007FCC0000}"/>
    <cellStyle name="注释 2 2 3 2" xfId="52304" xr:uid="{00000000-0005-0000-0000-000080CC0000}"/>
    <cellStyle name="注释 2 2 3 2 2" xfId="52305" xr:uid="{00000000-0005-0000-0000-000081CC0000}"/>
    <cellStyle name="注释 2 2 3 2 2 2" xfId="590" xr:uid="{00000000-0005-0000-0000-00007E020000}"/>
    <cellStyle name="注释 2 2 3 2 3" xfId="52306" xr:uid="{00000000-0005-0000-0000-000082CC0000}"/>
    <cellStyle name="注释 2 2 3 2 3 2" xfId="804" xr:uid="{00000000-0005-0000-0000-000054030000}"/>
    <cellStyle name="注释 2 2 3 2 4" xfId="44802" xr:uid="{00000000-0005-0000-0000-000032AF0000}"/>
    <cellStyle name="注释 2 2 3 2 4 2" xfId="44138" xr:uid="{00000000-0005-0000-0000-00009AAC0000}"/>
    <cellStyle name="注释 2 2 3 2 5" xfId="44863" xr:uid="{00000000-0005-0000-0000-00006FAF0000}"/>
    <cellStyle name="注释 2 2 3 2 5 2" xfId="44147" xr:uid="{00000000-0005-0000-0000-0000A3AC0000}"/>
    <cellStyle name="注释 2 2 3 2 6" xfId="44922" xr:uid="{00000000-0005-0000-0000-0000AAAF0000}"/>
    <cellStyle name="注释 2 2 3 2 7" xfId="45012" xr:uid="{00000000-0005-0000-0000-000004B00000}"/>
    <cellStyle name="注释 2 2 3 2 8" xfId="14408" xr:uid="{00000000-0005-0000-0000-000078380000}"/>
    <cellStyle name="注释 2 2 3 2 9" xfId="45139" xr:uid="{00000000-0005-0000-0000-000083B00000}"/>
    <cellStyle name="注释 2 2 3 3" xfId="8980" xr:uid="{00000000-0005-0000-0000-000044230000}"/>
    <cellStyle name="注释 2 2 3 3 2" xfId="52307" xr:uid="{00000000-0005-0000-0000-000083CC0000}"/>
    <cellStyle name="注释 2 2 3 3 2 2" xfId="52308" xr:uid="{00000000-0005-0000-0000-000084CC0000}"/>
    <cellStyle name="注释 2 2 3 3 3" xfId="52310" xr:uid="{00000000-0005-0000-0000-000086CC0000}"/>
    <cellStyle name="注释 2 2 3 3 3 2" xfId="29370" xr:uid="{00000000-0005-0000-0000-0000EA720000}"/>
    <cellStyle name="注释 2 2 3 3 4" xfId="45371" xr:uid="{00000000-0005-0000-0000-00006BB10000}"/>
    <cellStyle name="注释 2 2 3 3 4 2" xfId="29426" xr:uid="{00000000-0005-0000-0000-000022730000}"/>
    <cellStyle name="注释 2 2 3 3 5" xfId="45374" xr:uid="{00000000-0005-0000-0000-00006EB10000}"/>
    <cellStyle name="注释 2 2 3 3 5 2" xfId="29487" xr:uid="{00000000-0005-0000-0000-00005F730000}"/>
    <cellStyle name="注释 2 2 3 3 6" xfId="45379" xr:uid="{00000000-0005-0000-0000-000073B10000}"/>
    <cellStyle name="注释 2 2 3 4" xfId="52311" xr:uid="{00000000-0005-0000-0000-000087CC0000}"/>
    <cellStyle name="注释 2 2 3 4 2" xfId="1768" xr:uid="{00000000-0005-0000-0000-000018070000}"/>
    <cellStyle name="注释 2 2 3 4 2 2" xfId="52312" xr:uid="{00000000-0005-0000-0000-000088CC0000}"/>
    <cellStyle name="注释 2 2 3 4 3" xfId="52314" xr:uid="{00000000-0005-0000-0000-00008ACC0000}"/>
    <cellStyle name="注释 2 2 3 4 3 2" xfId="52315" xr:uid="{00000000-0005-0000-0000-00008BCC0000}"/>
    <cellStyle name="注释 2 2 3 4 4" xfId="45415" xr:uid="{00000000-0005-0000-0000-000097B10000}"/>
    <cellStyle name="注释 2 2 3 4 4 2" xfId="45417" xr:uid="{00000000-0005-0000-0000-000099B10000}"/>
    <cellStyle name="注释 2 2 3 4 5" xfId="45419" xr:uid="{00000000-0005-0000-0000-00009BB10000}"/>
    <cellStyle name="注释 2 2 3 4 5 2" xfId="45421" xr:uid="{00000000-0005-0000-0000-00009DB10000}"/>
    <cellStyle name="注释 2 2 3 4 6" xfId="45423" xr:uid="{00000000-0005-0000-0000-00009FB10000}"/>
    <cellStyle name="注释 2 2 3 5" xfId="52316" xr:uid="{00000000-0005-0000-0000-00008CCC0000}"/>
    <cellStyle name="注释 2 2 3 5 2" xfId="52317" xr:uid="{00000000-0005-0000-0000-00008DCC0000}"/>
    <cellStyle name="注释 2 2 3 5 2 2" xfId="52318" xr:uid="{00000000-0005-0000-0000-00008ECC0000}"/>
    <cellStyle name="注释 2 2 3 5 3" xfId="52319" xr:uid="{00000000-0005-0000-0000-00008FCC0000}"/>
    <cellStyle name="注释 2 2 3 5 3 2" xfId="52320" xr:uid="{00000000-0005-0000-0000-000090CC0000}"/>
    <cellStyle name="注释 2 2 3 5 4" xfId="45431" xr:uid="{00000000-0005-0000-0000-0000A7B10000}"/>
    <cellStyle name="注释 2 2 3 5 4 2" xfId="52321" xr:uid="{00000000-0005-0000-0000-000091CC0000}"/>
    <cellStyle name="注释 2 2 3 5 5" xfId="52322" xr:uid="{00000000-0005-0000-0000-000092CC0000}"/>
    <cellStyle name="注释 2 2 3 5 5 2" xfId="52323" xr:uid="{00000000-0005-0000-0000-000093CC0000}"/>
    <cellStyle name="注释 2 2 3 5 6" xfId="52324" xr:uid="{00000000-0005-0000-0000-000094CC0000}"/>
    <cellStyle name="注释 2 2 3 6" xfId="8991" xr:uid="{00000000-0005-0000-0000-00004F230000}"/>
    <cellStyle name="注释 2 2 3 6 2" xfId="2620" xr:uid="{00000000-0005-0000-0000-00006C0A0000}"/>
    <cellStyle name="注释 2 2 3 6 2 2" xfId="52325" xr:uid="{00000000-0005-0000-0000-000095CC0000}"/>
    <cellStyle name="注释 2 2 3 6 3" xfId="2104" xr:uid="{00000000-0005-0000-0000-000068080000}"/>
    <cellStyle name="注释 2 2 3 6 3 2" xfId="52326" xr:uid="{00000000-0005-0000-0000-000096CC0000}"/>
    <cellStyle name="注释 2 2 3 6 4" xfId="45436" xr:uid="{00000000-0005-0000-0000-0000ACB10000}"/>
    <cellStyle name="注释 2 2 3 6 4 2" xfId="52327" xr:uid="{00000000-0005-0000-0000-000097CC0000}"/>
    <cellStyle name="注释 2 2 3 6 5" xfId="52328" xr:uid="{00000000-0005-0000-0000-000098CC0000}"/>
    <cellStyle name="注释 2 2 3 6 5 2" xfId="52329" xr:uid="{00000000-0005-0000-0000-000099CC0000}"/>
    <cellStyle name="注释 2 2 3 6 6" xfId="52330" xr:uid="{00000000-0005-0000-0000-00009ACC0000}"/>
    <cellStyle name="注释 2 2 3 7" xfId="6969" xr:uid="{00000000-0005-0000-0000-0000691B0000}"/>
    <cellStyle name="注释 2 2 3 7 2" xfId="30298" xr:uid="{00000000-0005-0000-0000-00008A760000}"/>
    <cellStyle name="注释 2 2 3 7 2 2" xfId="2733" xr:uid="{00000000-0005-0000-0000-0000DD0A0000}"/>
    <cellStyle name="注释 2 2 3 7 3" xfId="22007" xr:uid="{00000000-0005-0000-0000-000027560000}"/>
    <cellStyle name="注释 2 2 3 7 3 2" xfId="6956" xr:uid="{00000000-0005-0000-0000-00005C1B0000}"/>
    <cellStyle name="注释 2 2 3 7 4" xfId="52331" xr:uid="{00000000-0005-0000-0000-00009BCC0000}"/>
    <cellStyle name="注释 2 2 3 7 4 2" xfId="52332" xr:uid="{00000000-0005-0000-0000-00009CCC0000}"/>
    <cellStyle name="注释 2 2 3 7 5" xfId="52333" xr:uid="{00000000-0005-0000-0000-00009DCC0000}"/>
    <cellStyle name="注释 2 2 3 7 5 2" xfId="52334" xr:uid="{00000000-0005-0000-0000-00009ECC0000}"/>
    <cellStyle name="注释 2 2 3 7 6" xfId="52335" xr:uid="{00000000-0005-0000-0000-00009FCC0000}"/>
    <cellStyle name="注释 2 2 3 8" xfId="30300" xr:uid="{00000000-0005-0000-0000-00008C760000}"/>
    <cellStyle name="注释 2 2 3 8 2" xfId="30303" xr:uid="{00000000-0005-0000-0000-00008F760000}"/>
    <cellStyle name="注释 2 2 3 8 2 2" xfId="52336" xr:uid="{00000000-0005-0000-0000-0000A0CC0000}"/>
    <cellStyle name="注释 2 2 3 8 3" xfId="22010" xr:uid="{00000000-0005-0000-0000-00002A560000}"/>
    <cellStyle name="注释 2 2 3 8 3 2" xfId="30536" xr:uid="{00000000-0005-0000-0000-000078770000}"/>
    <cellStyle name="注释 2 2 3 8 4" xfId="52337" xr:uid="{00000000-0005-0000-0000-0000A1CC0000}"/>
    <cellStyle name="注释 2 2 3 8 4 2" xfId="30610" xr:uid="{00000000-0005-0000-0000-0000C2770000}"/>
    <cellStyle name="注释 2 2 3 8 5" xfId="52338" xr:uid="{00000000-0005-0000-0000-0000A2CC0000}"/>
    <cellStyle name="注释 2 2 3 9" xfId="30305" xr:uid="{00000000-0005-0000-0000-000091760000}"/>
    <cellStyle name="注释 2 2 3 9 2" xfId="30307" xr:uid="{00000000-0005-0000-0000-000093760000}"/>
    <cellStyle name="注释 2 2 4" xfId="43628" xr:uid="{00000000-0005-0000-0000-00009CAA0000}"/>
    <cellStyle name="注释 2 2 4 10" xfId="52339" xr:uid="{00000000-0005-0000-0000-0000A3CC0000}"/>
    <cellStyle name="注释 2 2 4 10 2" xfId="30580" xr:uid="{00000000-0005-0000-0000-0000A4770000}"/>
    <cellStyle name="注释 2 2 4 11" xfId="30654" xr:uid="{00000000-0005-0000-0000-0000EE770000}"/>
    <cellStyle name="注释 2 2 4 11 2" xfId="30595" xr:uid="{00000000-0005-0000-0000-0000B3770000}"/>
    <cellStyle name="注释 2 2 4 12" xfId="46412" xr:uid="{00000000-0005-0000-0000-00007CB50000}"/>
    <cellStyle name="注释 2 2 4 12 2" xfId="30607" xr:uid="{00000000-0005-0000-0000-0000BF770000}"/>
    <cellStyle name="注释 2 2 4 13" xfId="52340" xr:uid="{00000000-0005-0000-0000-0000A4CC0000}"/>
    <cellStyle name="注释 2 2 4 14" xfId="52341" xr:uid="{00000000-0005-0000-0000-0000A5CC0000}"/>
    <cellStyle name="注释 2 2 4 15" xfId="16651" xr:uid="{00000000-0005-0000-0000-00003B410000}"/>
    <cellStyle name="注释 2 2 4 16" xfId="16677" xr:uid="{00000000-0005-0000-0000-000055410000}"/>
    <cellStyle name="注释 2 2 4 2" xfId="52342" xr:uid="{00000000-0005-0000-0000-0000A6CC0000}"/>
    <cellStyle name="注释 2 2 4 2 2" xfId="52343" xr:uid="{00000000-0005-0000-0000-0000A7CC0000}"/>
    <cellStyle name="注释 2 2 4 2 2 2" xfId="24656" xr:uid="{00000000-0005-0000-0000-000080600000}"/>
    <cellStyle name="注释 2 2 4 2 3" xfId="52344" xr:uid="{00000000-0005-0000-0000-0000A8CC0000}"/>
    <cellStyle name="注释 2 2 4 2 3 2" xfId="24671" xr:uid="{00000000-0005-0000-0000-00008F600000}"/>
    <cellStyle name="注释 2 2 4 2 4" xfId="51368" xr:uid="{00000000-0005-0000-0000-0000D8C80000}"/>
    <cellStyle name="注释 2 2 4 2 4 2" xfId="24687" xr:uid="{00000000-0005-0000-0000-00009F600000}"/>
    <cellStyle name="注释 2 2 4 2 5" xfId="46728" xr:uid="{00000000-0005-0000-0000-0000B8B60000}"/>
    <cellStyle name="注释 2 2 4 2 5 2" xfId="21401" xr:uid="{00000000-0005-0000-0000-0000C9530000}"/>
    <cellStyle name="注释 2 2 4 2 6" xfId="52345" xr:uid="{00000000-0005-0000-0000-0000A9CC0000}"/>
    <cellStyle name="注释 2 2 4 2 7" xfId="52346" xr:uid="{00000000-0005-0000-0000-0000AACC0000}"/>
    <cellStyle name="注释 2 2 4 2 8" xfId="14431" xr:uid="{00000000-0005-0000-0000-00008F380000}"/>
    <cellStyle name="注释 2 2 4 2 9" xfId="42217" xr:uid="{00000000-0005-0000-0000-000019A50000}"/>
    <cellStyle name="注释 2 2 4 3" xfId="52347" xr:uid="{00000000-0005-0000-0000-0000ABCC0000}"/>
    <cellStyle name="注释 2 2 4 3 2" xfId="2974" xr:uid="{00000000-0005-0000-0000-0000CE0B0000}"/>
    <cellStyle name="注释 2 2 4 3 2 2" xfId="2982" xr:uid="{00000000-0005-0000-0000-0000D60B0000}"/>
    <cellStyle name="注释 2 2 4 3 3" xfId="52348" xr:uid="{00000000-0005-0000-0000-0000ACCC0000}"/>
    <cellStyle name="注释 2 2 4 3 3 2" xfId="16639" xr:uid="{00000000-0005-0000-0000-00002F410000}"/>
    <cellStyle name="注释 2 2 4 3 4" xfId="51371" xr:uid="{00000000-0005-0000-0000-0000DBC80000}"/>
    <cellStyle name="注释 2 2 4 3 4 2" xfId="18511" xr:uid="{00000000-0005-0000-0000-00007F480000}"/>
    <cellStyle name="注释 2 2 4 3 5" xfId="46731" xr:uid="{00000000-0005-0000-0000-0000BBB60000}"/>
    <cellStyle name="注释 2 2 4 3 5 2" xfId="19916" xr:uid="{00000000-0005-0000-0000-0000FC4D0000}"/>
    <cellStyle name="注释 2 2 4 3 6" xfId="52349" xr:uid="{00000000-0005-0000-0000-0000ADCC0000}"/>
    <cellStyle name="注释 2 2 4 4" xfId="52350" xr:uid="{00000000-0005-0000-0000-0000AECC0000}"/>
    <cellStyle name="注释 2 2 4 4 2" xfId="3070" xr:uid="{00000000-0005-0000-0000-00002E0C0000}"/>
    <cellStyle name="注释 2 2 4 4 2 2" xfId="34226" xr:uid="{00000000-0005-0000-0000-0000E2850000}"/>
    <cellStyle name="注释 2 2 4 4 3" xfId="52351" xr:uid="{00000000-0005-0000-0000-0000AFCC0000}"/>
    <cellStyle name="注释 2 2 4 4 3 2" xfId="52352" xr:uid="{00000000-0005-0000-0000-0000B0CC0000}"/>
    <cellStyle name="注释 2 2 4 4 4" xfId="51374" xr:uid="{00000000-0005-0000-0000-0000DEC80000}"/>
    <cellStyle name="注释 2 2 4 4 4 2" xfId="52353" xr:uid="{00000000-0005-0000-0000-0000B1CC0000}"/>
    <cellStyle name="注释 2 2 4 4 5" xfId="52354" xr:uid="{00000000-0005-0000-0000-0000B2CC0000}"/>
    <cellStyle name="注释 2 2 4 4 5 2" xfId="52355" xr:uid="{00000000-0005-0000-0000-0000B3CC0000}"/>
    <cellStyle name="注释 2 2 4 4 6" xfId="52356" xr:uid="{00000000-0005-0000-0000-0000B4CC0000}"/>
    <cellStyle name="注释 2 2 4 5" xfId="52357" xr:uid="{00000000-0005-0000-0000-0000B5CC0000}"/>
    <cellStyle name="注释 2 2 4 5 2" xfId="3142" xr:uid="{00000000-0005-0000-0000-0000760C0000}"/>
    <cellStyle name="注释 2 2 4 5 2 2" xfId="3152" xr:uid="{00000000-0005-0000-0000-0000800C0000}"/>
    <cellStyle name="注释 2 2 4 5 3" xfId="3156" xr:uid="{00000000-0005-0000-0000-0000840C0000}"/>
    <cellStyle name="注释 2 2 4 5 3 2" xfId="38328" xr:uid="{00000000-0005-0000-0000-0000E8950000}"/>
    <cellStyle name="注释 2 2 4 5 4" xfId="15888" xr:uid="{00000000-0005-0000-0000-0000403E0000}"/>
    <cellStyle name="注释 2 2 4 5 4 2" xfId="38330" xr:uid="{00000000-0005-0000-0000-0000EA950000}"/>
    <cellStyle name="注释 2 2 4 5 5" xfId="16644" xr:uid="{00000000-0005-0000-0000-000034410000}"/>
    <cellStyle name="注释 2 2 4 5 5 2" xfId="38332" xr:uid="{00000000-0005-0000-0000-0000EC950000}"/>
    <cellStyle name="注释 2 2 4 5 6" xfId="16647" xr:uid="{00000000-0005-0000-0000-000037410000}"/>
    <cellStyle name="注释 2 2 4 6" xfId="9021" xr:uid="{00000000-0005-0000-0000-00006D230000}"/>
    <cellStyle name="注释 2 2 4 6 2" xfId="344" xr:uid="{00000000-0005-0000-0000-00007A010000}"/>
    <cellStyle name="注释 2 2 4 6 2 2" xfId="52358" xr:uid="{00000000-0005-0000-0000-0000B6CC0000}"/>
    <cellStyle name="注释 2 2 4 6 3" xfId="387" xr:uid="{00000000-0005-0000-0000-0000A8010000}"/>
    <cellStyle name="注释 2 2 4 6 3 2" xfId="52359" xr:uid="{00000000-0005-0000-0000-0000B7CC0000}"/>
    <cellStyle name="注释 2 2 4 6 4" xfId="52360" xr:uid="{00000000-0005-0000-0000-0000B8CC0000}"/>
    <cellStyle name="注释 2 2 4 6 4 2" xfId="52361" xr:uid="{00000000-0005-0000-0000-0000B9CC0000}"/>
    <cellStyle name="注释 2 2 4 6 5" xfId="52362" xr:uid="{00000000-0005-0000-0000-0000BACC0000}"/>
    <cellStyle name="注释 2 2 4 6 5 2" xfId="52363" xr:uid="{00000000-0005-0000-0000-0000BBCC0000}"/>
    <cellStyle name="注释 2 2 4 6 6" xfId="52364" xr:uid="{00000000-0005-0000-0000-0000BCCC0000}"/>
    <cellStyle name="注释 2 2 4 7" xfId="7019" xr:uid="{00000000-0005-0000-0000-00009B1B0000}"/>
    <cellStyle name="注释 2 2 4 7 2" xfId="30316" xr:uid="{00000000-0005-0000-0000-00009C760000}"/>
    <cellStyle name="注释 2 2 4 7 2 2" xfId="52365" xr:uid="{00000000-0005-0000-0000-0000BDCC0000}"/>
    <cellStyle name="注释 2 2 4 7 3" xfId="22023" xr:uid="{00000000-0005-0000-0000-000037560000}"/>
    <cellStyle name="注释 2 2 4 7 3 2" xfId="52366" xr:uid="{00000000-0005-0000-0000-0000BECC0000}"/>
    <cellStyle name="注释 2 2 4 7 4" xfId="52367" xr:uid="{00000000-0005-0000-0000-0000BFCC0000}"/>
    <cellStyle name="注释 2 2 4 7 4 2" xfId="52368" xr:uid="{00000000-0005-0000-0000-0000C0CC0000}"/>
    <cellStyle name="注释 2 2 4 7 5" xfId="52369" xr:uid="{00000000-0005-0000-0000-0000C1CC0000}"/>
    <cellStyle name="注释 2 2 4 7 5 2" xfId="52370" xr:uid="{00000000-0005-0000-0000-0000C2CC0000}"/>
    <cellStyle name="注释 2 2 4 7 6" xfId="52371" xr:uid="{00000000-0005-0000-0000-0000C3CC0000}"/>
    <cellStyle name="注释 2 2 4 8" xfId="30318" xr:uid="{00000000-0005-0000-0000-00009E760000}"/>
    <cellStyle name="注释 2 2 4 8 2" xfId="30321" xr:uid="{00000000-0005-0000-0000-0000A1760000}"/>
    <cellStyle name="注释 2 2 4 8 2 2" xfId="52372" xr:uid="{00000000-0005-0000-0000-0000C4CC0000}"/>
    <cellStyle name="注释 2 2 4 8 3" xfId="22026" xr:uid="{00000000-0005-0000-0000-00003A560000}"/>
    <cellStyle name="注释 2 2 4 8 3 2" xfId="52373" xr:uid="{00000000-0005-0000-0000-0000C5CC0000}"/>
    <cellStyle name="注释 2 2 4 8 4" xfId="52374" xr:uid="{00000000-0005-0000-0000-0000C6CC0000}"/>
    <cellStyle name="注释 2 2 4 8 4 2" xfId="52375" xr:uid="{00000000-0005-0000-0000-0000C7CC0000}"/>
    <cellStyle name="注释 2 2 4 8 5" xfId="52376" xr:uid="{00000000-0005-0000-0000-0000C8CC0000}"/>
    <cellStyle name="注释 2 2 4 9" xfId="30323" xr:uid="{00000000-0005-0000-0000-0000A3760000}"/>
    <cellStyle name="注释 2 2 4 9 2" xfId="30325" xr:uid="{00000000-0005-0000-0000-0000A5760000}"/>
    <cellStyle name="注释 2 2 5" xfId="52377" xr:uid="{00000000-0005-0000-0000-0000C9CC0000}"/>
    <cellStyle name="注释 2 2 5 10" xfId="38434" xr:uid="{00000000-0005-0000-0000-000052960000}"/>
    <cellStyle name="注释 2 2 5 10 2" xfId="52379" xr:uid="{00000000-0005-0000-0000-0000CBCC0000}"/>
    <cellStyle name="注释 2 2 5 11" xfId="38436" xr:uid="{00000000-0005-0000-0000-000054960000}"/>
    <cellStyle name="注释 2 2 5 11 2" xfId="52380" xr:uid="{00000000-0005-0000-0000-0000CCCC0000}"/>
    <cellStyle name="注释 2 2 5 12" xfId="52381" xr:uid="{00000000-0005-0000-0000-0000CDCC0000}"/>
    <cellStyle name="注释 2 2 5 12 2" xfId="52382" xr:uid="{00000000-0005-0000-0000-0000CECC0000}"/>
    <cellStyle name="注释 2 2 5 13" xfId="52383" xr:uid="{00000000-0005-0000-0000-0000CFCC0000}"/>
    <cellStyle name="注释 2 2 5 14" xfId="16777" xr:uid="{00000000-0005-0000-0000-0000B9410000}"/>
    <cellStyle name="注释 2 2 5 15" xfId="16780" xr:uid="{00000000-0005-0000-0000-0000BC410000}"/>
    <cellStyle name="注释 2 2 5 16" xfId="16784" xr:uid="{00000000-0005-0000-0000-0000C0410000}"/>
    <cellStyle name="注释 2 2 5 2" xfId="52384" xr:uid="{00000000-0005-0000-0000-0000D0CC0000}"/>
    <cellStyle name="注释 2 2 5 2 2" xfId="52385" xr:uid="{00000000-0005-0000-0000-0000D1CC0000}"/>
    <cellStyle name="注释 2 2 5 2 2 2" xfId="25598" xr:uid="{00000000-0005-0000-0000-00002E640000}"/>
    <cellStyle name="注释 2 2 5 2 3" xfId="52386" xr:uid="{00000000-0005-0000-0000-0000D2CC0000}"/>
    <cellStyle name="注释 2 2 5 2 3 2" xfId="25611" xr:uid="{00000000-0005-0000-0000-00003B640000}"/>
    <cellStyle name="注释 2 2 5 2 4" xfId="51380" xr:uid="{00000000-0005-0000-0000-0000E4C80000}"/>
    <cellStyle name="注释 2 2 5 2 4 2" xfId="25620" xr:uid="{00000000-0005-0000-0000-000044640000}"/>
    <cellStyle name="注释 2 2 5 2 5" xfId="46737" xr:uid="{00000000-0005-0000-0000-0000C1B60000}"/>
    <cellStyle name="注释 2 2 5 2 5 2" xfId="25632" xr:uid="{00000000-0005-0000-0000-000050640000}"/>
    <cellStyle name="注释 2 2 5 2 6" xfId="52388" xr:uid="{00000000-0005-0000-0000-0000D4CC0000}"/>
    <cellStyle name="注释 2 2 5 2 7" xfId="52389" xr:uid="{00000000-0005-0000-0000-0000D5CC0000}"/>
    <cellStyle name="注释 2 2 5 2 8" xfId="52390" xr:uid="{00000000-0005-0000-0000-0000D6CC0000}"/>
    <cellStyle name="注释 2 2 5 2 9" xfId="42299" xr:uid="{00000000-0005-0000-0000-00006BA50000}"/>
    <cellStyle name="注释 2 2 5 3" xfId="52391" xr:uid="{00000000-0005-0000-0000-0000D7CC0000}"/>
    <cellStyle name="注释 2 2 5 3 2" xfId="52392" xr:uid="{00000000-0005-0000-0000-0000D8CC0000}"/>
    <cellStyle name="注释 2 2 5 3 2 2" xfId="25677" xr:uid="{00000000-0005-0000-0000-00007D640000}"/>
    <cellStyle name="注释 2 2 5 3 3" xfId="52393" xr:uid="{00000000-0005-0000-0000-0000D9CC0000}"/>
    <cellStyle name="注释 2 2 5 3 3 2" xfId="25684" xr:uid="{00000000-0005-0000-0000-000084640000}"/>
    <cellStyle name="注释 2 2 5 3 4" xfId="51382" xr:uid="{00000000-0005-0000-0000-0000E6C80000}"/>
    <cellStyle name="注释 2 2 5 3 4 2" xfId="25691" xr:uid="{00000000-0005-0000-0000-00008B640000}"/>
    <cellStyle name="注释 2 2 5 3 5" xfId="46740" xr:uid="{00000000-0005-0000-0000-0000C4B60000}"/>
    <cellStyle name="注释 2 2 5 3 5 2" xfId="25699" xr:uid="{00000000-0005-0000-0000-000093640000}"/>
    <cellStyle name="注释 2 2 5 3 6" xfId="52395" xr:uid="{00000000-0005-0000-0000-0000DBCC0000}"/>
    <cellStyle name="注释 2 2 5 4" xfId="52396" xr:uid="{00000000-0005-0000-0000-0000DCCC0000}"/>
    <cellStyle name="注释 2 2 5 4 2" xfId="9064" xr:uid="{00000000-0005-0000-0000-000098230000}"/>
    <cellStyle name="注释 2 2 5 4 2 2" xfId="52397" xr:uid="{00000000-0005-0000-0000-0000DDCC0000}"/>
    <cellStyle name="注释 2 2 5 4 3" xfId="52398" xr:uid="{00000000-0005-0000-0000-0000DECC0000}"/>
    <cellStyle name="注释 2 2 5 4 3 2" xfId="52400" xr:uid="{00000000-0005-0000-0000-0000E0CC0000}"/>
    <cellStyle name="注释 2 2 5 4 4" xfId="51385" xr:uid="{00000000-0005-0000-0000-0000E9C80000}"/>
    <cellStyle name="注释 2 2 5 4 4 2" xfId="52401" xr:uid="{00000000-0005-0000-0000-0000E1CC0000}"/>
    <cellStyle name="注释 2 2 5 4 5" xfId="52402" xr:uid="{00000000-0005-0000-0000-0000E2CC0000}"/>
    <cellStyle name="注释 2 2 5 4 5 2" xfId="52403" xr:uid="{00000000-0005-0000-0000-0000E3CC0000}"/>
    <cellStyle name="注释 2 2 5 4 6" xfId="52404" xr:uid="{00000000-0005-0000-0000-0000E4CC0000}"/>
    <cellStyle name="注释 2 2 5 5" xfId="52405" xr:uid="{00000000-0005-0000-0000-0000E5CC0000}"/>
    <cellStyle name="注释 2 2 5 5 2" xfId="52406" xr:uid="{00000000-0005-0000-0000-0000E6CC0000}"/>
    <cellStyle name="注释 2 2 5 5 2 2" xfId="52407" xr:uid="{00000000-0005-0000-0000-0000E7CC0000}"/>
    <cellStyle name="注释 2 2 5 5 3" xfId="38649" xr:uid="{00000000-0005-0000-0000-000029970000}"/>
    <cellStyle name="注释 2 2 5 5 3 2" xfId="38652" xr:uid="{00000000-0005-0000-0000-00002C970000}"/>
    <cellStyle name="注释 2 2 5 5 4" xfId="38655" xr:uid="{00000000-0005-0000-0000-00002F970000}"/>
    <cellStyle name="注释 2 2 5 5 4 2" xfId="3029" xr:uid="{00000000-0005-0000-0000-0000050C0000}"/>
    <cellStyle name="注释 2 2 5 5 5" xfId="38658" xr:uid="{00000000-0005-0000-0000-000032970000}"/>
    <cellStyle name="注释 2 2 5 5 5 2" xfId="38660" xr:uid="{00000000-0005-0000-0000-000034970000}"/>
    <cellStyle name="注释 2 2 5 5 6" xfId="38662" xr:uid="{00000000-0005-0000-0000-000036970000}"/>
    <cellStyle name="注释 2 2 5 6" xfId="9087" xr:uid="{00000000-0005-0000-0000-0000AF230000}"/>
    <cellStyle name="注释 2 2 5 6 2" xfId="9090" xr:uid="{00000000-0005-0000-0000-0000B2230000}"/>
    <cellStyle name="注释 2 2 5 6 2 2" xfId="52408" xr:uid="{00000000-0005-0000-0000-0000E8CC0000}"/>
    <cellStyle name="注释 2 2 5 6 3" xfId="22038" xr:uid="{00000000-0005-0000-0000-000046560000}"/>
    <cellStyle name="注释 2 2 5 6 3 2" xfId="52409" xr:uid="{00000000-0005-0000-0000-0000E9CC0000}"/>
    <cellStyle name="注释 2 2 5 6 4" xfId="52410" xr:uid="{00000000-0005-0000-0000-0000EACC0000}"/>
    <cellStyle name="注释 2 2 5 6 4 2" xfId="52411" xr:uid="{00000000-0005-0000-0000-0000EBCC0000}"/>
    <cellStyle name="注释 2 2 5 6 5" xfId="42818" xr:uid="{00000000-0005-0000-0000-000072A70000}"/>
    <cellStyle name="注释 2 2 5 6 5 2" xfId="52412" xr:uid="{00000000-0005-0000-0000-0000ECCC0000}"/>
    <cellStyle name="注释 2 2 5 6 6" xfId="52413" xr:uid="{00000000-0005-0000-0000-0000EDCC0000}"/>
    <cellStyle name="注释 2 2 5 7" xfId="7095" xr:uid="{00000000-0005-0000-0000-0000E71B0000}"/>
    <cellStyle name="注释 2 2 5 7 2" xfId="23759" xr:uid="{00000000-0005-0000-0000-0000FF5C0000}"/>
    <cellStyle name="注释 2 2 5 7 2 2" xfId="52414" xr:uid="{00000000-0005-0000-0000-0000EECC0000}"/>
    <cellStyle name="注释 2 2 5 7 3" xfId="22042" xr:uid="{00000000-0005-0000-0000-00004A560000}"/>
    <cellStyle name="注释 2 2 5 7 3 2" xfId="52415" xr:uid="{00000000-0005-0000-0000-0000EFCC0000}"/>
    <cellStyle name="注释 2 2 5 7 4" xfId="52416" xr:uid="{00000000-0005-0000-0000-0000F0CC0000}"/>
    <cellStyle name="注释 2 2 5 7 4 2" xfId="52417" xr:uid="{00000000-0005-0000-0000-0000F1CC0000}"/>
    <cellStyle name="注释 2 2 5 7 5" xfId="42822" xr:uid="{00000000-0005-0000-0000-000076A70000}"/>
    <cellStyle name="注释 2 2 5 7 5 2" xfId="43596" xr:uid="{00000000-0005-0000-0000-00007CAA0000}"/>
    <cellStyle name="注释 2 2 5 7 6" xfId="52418" xr:uid="{00000000-0005-0000-0000-0000F2CC0000}"/>
    <cellStyle name="注释 2 2 5 8" xfId="30329" xr:uid="{00000000-0005-0000-0000-0000A9760000}"/>
    <cellStyle name="注释 2 2 5 8 2" xfId="30333" xr:uid="{00000000-0005-0000-0000-0000AD760000}"/>
    <cellStyle name="注释 2 2 5 8 2 2" xfId="52419" xr:uid="{00000000-0005-0000-0000-0000F3CC0000}"/>
    <cellStyle name="注释 2 2 5 8 3" xfId="22046" xr:uid="{00000000-0005-0000-0000-00004E560000}"/>
    <cellStyle name="注释 2 2 5 8 3 2" xfId="52420" xr:uid="{00000000-0005-0000-0000-0000F4CC0000}"/>
    <cellStyle name="注释 2 2 5 8 4" xfId="52421" xr:uid="{00000000-0005-0000-0000-0000F5CC0000}"/>
    <cellStyle name="注释 2 2 5 8 4 2" xfId="52422" xr:uid="{00000000-0005-0000-0000-0000F6CC0000}"/>
    <cellStyle name="注释 2 2 5 8 5" xfId="52423" xr:uid="{00000000-0005-0000-0000-0000F7CC0000}"/>
    <cellStyle name="注释 2 2 5 9" xfId="30335" xr:uid="{00000000-0005-0000-0000-0000AF760000}"/>
    <cellStyle name="注释 2 2 5 9 2" xfId="30338" xr:uid="{00000000-0005-0000-0000-0000B2760000}"/>
    <cellStyle name="注释 2 2 6" xfId="52424" xr:uid="{00000000-0005-0000-0000-0000F8CC0000}"/>
    <cellStyle name="注释 2 2 6 10" xfId="23686" xr:uid="{00000000-0005-0000-0000-0000B65C0000}"/>
    <cellStyle name="注释 2 2 6 10 2" xfId="52425" xr:uid="{00000000-0005-0000-0000-0000F9CC0000}"/>
    <cellStyle name="注释 2 2 6 11" xfId="45643" xr:uid="{00000000-0005-0000-0000-00007BB20000}"/>
    <cellStyle name="注释 2 2 6 11 2" xfId="45645" xr:uid="{00000000-0005-0000-0000-00007DB20000}"/>
    <cellStyle name="注释 2 2 6 12" xfId="29055" xr:uid="{00000000-0005-0000-0000-0000AF710000}"/>
    <cellStyle name="注释 2 2 6 12 2" xfId="45647" xr:uid="{00000000-0005-0000-0000-00007FB20000}"/>
    <cellStyle name="注释 2 2 6 13" xfId="45649" xr:uid="{00000000-0005-0000-0000-000081B20000}"/>
    <cellStyle name="注释 2 2 6 14" xfId="16864" xr:uid="{00000000-0005-0000-0000-000010420000}"/>
    <cellStyle name="注释 2 2 6 15" xfId="16869" xr:uid="{00000000-0005-0000-0000-000015420000}"/>
    <cellStyle name="注释 2 2 6 16" xfId="16873" xr:uid="{00000000-0005-0000-0000-000019420000}"/>
    <cellStyle name="注释 2 2 6 2" xfId="52426" xr:uid="{00000000-0005-0000-0000-0000FACC0000}"/>
    <cellStyle name="注释 2 2 6 2 2" xfId="24357" xr:uid="{00000000-0005-0000-0000-0000555F0000}"/>
    <cellStyle name="注释 2 2 6 2 2 2" xfId="26533" xr:uid="{00000000-0005-0000-0000-0000D5670000}"/>
    <cellStyle name="注释 2 2 6 2 3" xfId="52427" xr:uid="{00000000-0005-0000-0000-0000FBCC0000}"/>
    <cellStyle name="注释 2 2 6 2 3 2" xfId="26592" xr:uid="{00000000-0005-0000-0000-000010680000}"/>
    <cellStyle name="注释 2 2 6 2 4" xfId="51392" xr:uid="{00000000-0005-0000-0000-0000F0C80000}"/>
    <cellStyle name="注释 2 2 6 2 4 2" xfId="26627" xr:uid="{00000000-0005-0000-0000-000033680000}"/>
    <cellStyle name="注释 2 2 6 2 5" xfId="46747" xr:uid="{00000000-0005-0000-0000-0000CBB60000}"/>
    <cellStyle name="注释 2 2 6 2 5 2" xfId="26655" xr:uid="{00000000-0005-0000-0000-00004F680000}"/>
    <cellStyle name="注释 2 2 6 2 6" xfId="52429" xr:uid="{00000000-0005-0000-0000-0000FDCC0000}"/>
    <cellStyle name="注释 2 2 6 2 7" xfId="52430" xr:uid="{00000000-0005-0000-0000-0000FECC0000}"/>
    <cellStyle name="注释 2 2 6 2 8" xfId="52431" xr:uid="{00000000-0005-0000-0000-0000FFCC0000}"/>
    <cellStyle name="注释 2 2 6 2 9" xfId="42367" xr:uid="{00000000-0005-0000-0000-0000AFA50000}"/>
    <cellStyle name="注释 2 2 6 3" xfId="5838" xr:uid="{00000000-0005-0000-0000-0000FE160000}"/>
    <cellStyle name="注释 2 2 6 3 2" xfId="52432" xr:uid="{00000000-0005-0000-0000-000000CD0000}"/>
    <cellStyle name="注释 2 2 6 3 2 2" xfId="26749" xr:uid="{00000000-0005-0000-0000-0000AD680000}"/>
    <cellStyle name="注释 2 2 6 3 3" xfId="52433" xr:uid="{00000000-0005-0000-0000-000001CD0000}"/>
    <cellStyle name="注释 2 2 6 3 3 2" xfId="48" xr:uid="{00000000-0005-0000-0000-000034000000}"/>
    <cellStyle name="注释 2 2 6 3 4" xfId="51394" xr:uid="{00000000-0005-0000-0000-0000F2C80000}"/>
    <cellStyle name="注释 2 2 6 3 4 2" xfId="26787" xr:uid="{00000000-0005-0000-0000-0000D3680000}"/>
    <cellStyle name="注释 2 2 6 3 5" xfId="46750" xr:uid="{00000000-0005-0000-0000-0000CEB60000}"/>
    <cellStyle name="注释 2 2 6 3 5 2" xfId="26814" xr:uid="{00000000-0005-0000-0000-0000EE680000}"/>
    <cellStyle name="注释 2 2 6 3 6" xfId="52435" xr:uid="{00000000-0005-0000-0000-000003CD0000}"/>
    <cellStyle name="注释 2 2 6 4" xfId="9108" xr:uid="{00000000-0005-0000-0000-0000C4230000}"/>
    <cellStyle name="注释 2 2 6 4 2" xfId="9123" xr:uid="{00000000-0005-0000-0000-0000D3230000}"/>
    <cellStyle name="注释 2 2 6 4 2 2" xfId="28709" xr:uid="{00000000-0005-0000-0000-000055700000}"/>
    <cellStyle name="注释 2 2 6 4 3" xfId="52436" xr:uid="{00000000-0005-0000-0000-000004CD0000}"/>
    <cellStyle name="注释 2 2 6 4 3 2" xfId="28752" xr:uid="{00000000-0005-0000-0000-000080700000}"/>
    <cellStyle name="注释 2 2 6 4 4" xfId="51397" xr:uid="{00000000-0005-0000-0000-0000F5C80000}"/>
    <cellStyle name="注释 2 2 6 4 4 2" xfId="28783" xr:uid="{00000000-0005-0000-0000-00009F700000}"/>
    <cellStyle name="注释 2 2 6 4 5" xfId="52438" xr:uid="{00000000-0005-0000-0000-000006CD0000}"/>
    <cellStyle name="注释 2 2 6 4 5 2" xfId="28810" xr:uid="{00000000-0005-0000-0000-0000BA700000}"/>
    <cellStyle name="注释 2 2 6 4 6" xfId="52439" xr:uid="{00000000-0005-0000-0000-000007CD0000}"/>
    <cellStyle name="注释 2 2 6 5" xfId="9131" xr:uid="{00000000-0005-0000-0000-0000DB230000}"/>
    <cellStyle name="注释 2 2 6 5 2" xfId="9141" xr:uid="{00000000-0005-0000-0000-0000E5230000}"/>
    <cellStyle name="注释 2 2 6 5 2 2" xfId="28874" xr:uid="{00000000-0005-0000-0000-0000FA700000}"/>
    <cellStyle name="注释 2 2 6 5 3" xfId="52440" xr:uid="{00000000-0005-0000-0000-000008CD0000}"/>
    <cellStyle name="注释 2 2 6 5 3 2" xfId="22273" xr:uid="{00000000-0005-0000-0000-000031570000}"/>
    <cellStyle name="注释 2 2 6 5 4" xfId="52442" xr:uid="{00000000-0005-0000-0000-00000ACD0000}"/>
    <cellStyle name="注释 2 2 6 5 4 2" xfId="28909" xr:uid="{00000000-0005-0000-0000-00001D710000}"/>
    <cellStyle name="注释 2 2 6 5 5" xfId="52443" xr:uid="{00000000-0005-0000-0000-00000BCD0000}"/>
    <cellStyle name="注释 2 2 6 5 5 2" xfId="28932" xr:uid="{00000000-0005-0000-0000-000034710000}"/>
    <cellStyle name="注释 2 2 6 5 6" xfId="52444" xr:uid="{00000000-0005-0000-0000-00000CCD0000}"/>
    <cellStyle name="注释 2 2 6 6" xfId="9148" xr:uid="{00000000-0005-0000-0000-0000EC230000}"/>
    <cellStyle name="注释 2 2 6 6 2" xfId="1545" xr:uid="{00000000-0005-0000-0000-000039060000}"/>
    <cellStyle name="注释 2 2 6 6 2 2" xfId="52445" xr:uid="{00000000-0005-0000-0000-00000DCD0000}"/>
    <cellStyle name="注释 2 2 6 6 3" xfId="22059" xr:uid="{00000000-0005-0000-0000-00005B560000}"/>
    <cellStyle name="注释 2 2 6 6 3 2" xfId="52447" xr:uid="{00000000-0005-0000-0000-00000FCD0000}"/>
    <cellStyle name="注释 2 2 6 6 4" xfId="52449" xr:uid="{00000000-0005-0000-0000-000011CD0000}"/>
    <cellStyle name="注释 2 2 6 6 4 2" xfId="52450" xr:uid="{00000000-0005-0000-0000-000012CD0000}"/>
    <cellStyle name="注释 2 2 6 6 5" xfId="52452" xr:uid="{00000000-0005-0000-0000-000014CD0000}"/>
    <cellStyle name="注释 2 2 6 6 5 2" xfId="52453" xr:uid="{00000000-0005-0000-0000-000015CD0000}"/>
    <cellStyle name="注释 2 2 6 6 6" xfId="52455" xr:uid="{00000000-0005-0000-0000-000017CD0000}"/>
    <cellStyle name="注释 2 2 6 7" xfId="7138" xr:uid="{00000000-0005-0000-0000-0000121C0000}"/>
    <cellStyle name="注释 2 2 6 7 2" xfId="24494" xr:uid="{00000000-0005-0000-0000-0000DE5F0000}"/>
    <cellStyle name="注释 2 2 6 7 2 2" xfId="52456" xr:uid="{00000000-0005-0000-0000-000018CD0000}"/>
    <cellStyle name="注释 2 2 6 7 3" xfId="22064" xr:uid="{00000000-0005-0000-0000-000060560000}"/>
    <cellStyle name="注释 2 2 6 7 3 2" xfId="52458" xr:uid="{00000000-0005-0000-0000-00001ACD0000}"/>
    <cellStyle name="注释 2 2 6 7 4" xfId="52460" xr:uid="{00000000-0005-0000-0000-00001CCD0000}"/>
    <cellStyle name="注释 2 2 6 7 4 2" xfId="52461" xr:uid="{00000000-0005-0000-0000-00001DCD0000}"/>
    <cellStyle name="注释 2 2 6 7 5" xfId="52463" xr:uid="{00000000-0005-0000-0000-00001FCD0000}"/>
    <cellStyle name="注释 2 2 6 7 5 2" xfId="51406" xr:uid="{00000000-0005-0000-0000-0000FEC80000}"/>
    <cellStyle name="注释 2 2 6 7 6" xfId="52464" xr:uid="{00000000-0005-0000-0000-000020CD0000}"/>
    <cellStyle name="注释 2 2 6 8" xfId="26405" xr:uid="{00000000-0005-0000-0000-000055670000}"/>
    <cellStyle name="注释 2 2 6 8 2" xfId="30342" xr:uid="{00000000-0005-0000-0000-0000B6760000}"/>
    <cellStyle name="注释 2 2 6 8 2 2" xfId="52465" xr:uid="{00000000-0005-0000-0000-000021CD0000}"/>
    <cellStyle name="注释 2 2 6 8 3" xfId="22069" xr:uid="{00000000-0005-0000-0000-000065560000}"/>
    <cellStyle name="注释 2 2 6 8 3 2" xfId="52467" xr:uid="{00000000-0005-0000-0000-000023CD0000}"/>
    <cellStyle name="注释 2 2 6 8 4" xfId="52469" xr:uid="{00000000-0005-0000-0000-000025CD0000}"/>
    <cellStyle name="注释 2 2 6 8 4 2" xfId="52470" xr:uid="{00000000-0005-0000-0000-000026CD0000}"/>
    <cellStyle name="注释 2 2 6 8 5" xfId="52472" xr:uid="{00000000-0005-0000-0000-000028CD0000}"/>
    <cellStyle name="注释 2 2 6 9" xfId="26409" xr:uid="{00000000-0005-0000-0000-000059670000}"/>
    <cellStyle name="注释 2 2 6 9 2" xfId="30345" xr:uid="{00000000-0005-0000-0000-0000B9760000}"/>
    <cellStyle name="注释 2 2 7" xfId="52473" xr:uid="{00000000-0005-0000-0000-000029CD0000}"/>
    <cellStyle name="注释 2 2 7 10" xfId="13199" xr:uid="{00000000-0005-0000-0000-0000BF330000}"/>
    <cellStyle name="注释 2 2 7 10 2" xfId="13207" xr:uid="{00000000-0005-0000-0000-0000C7330000}"/>
    <cellStyle name="注释 2 2 7 11" xfId="13211" xr:uid="{00000000-0005-0000-0000-0000CB330000}"/>
    <cellStyle name="注释 2 2 7 11 2" xfId="32364" xr:uid="{00000000-0005-0000-0000-00009C7E0000}"/>
    <cellStyle name="注释 2 2 7 12" xfId="1489" xr:uid="{00000000-0005-0000-0000-000001060000}"/>
    <cellStyle name="注释 2 2 7 12 2" xfId="32367" xr:uid="{00000000-0005-0000-0000-00009F7E0000}"/>
    <cellStyle name="注释 2 2 7 13" xfId="1506" xr:uid="{00000000-0005-0000-0000-000012060000}"/>
    <cellStyle name="注释 2 2 7 14" xfId="1523" xr:uid="{00000000-0005-0000-0000-000023060000}"/>
    <cellStyle name="注释 2 2 7 15" xfId="52474" xr:uid="{00000000-0005-0000-0000-00002ACD0000}"/>
    <cellStyle name="注释 2 2 7 16" xfId="52475" xr:uid="{00000000-0005-0000-0000-00002BCD0000}"/>
    <cellStyle name="注释 2 2 7 2" xfId="52476" xr:uid="{00000000-0005-0000-0000-00002CCD0000}"/>
    <cellStyle name="注释 2 2 7 2 2" xfId="52477" xr:uid="{00000000-0005-0000-0000-00002DCD0000}"/>
    <cellStyle name="注释 2 2 7 2 2 2" xfId="52478" xr:uid="{00000000-0005-0000-0000-00002ECD0000}"/>
    <cellStyle name="注释 2 2 7 2 3" xfId="52479" xr:uid="{00000000-0005-0000-0000-00002FCD0000}"/>
    <cellStyle name="注释 2 2 7 2 3 2" xfId="52481" xr:uid="{00000000-0005-0000-0000-000031CD0000}"/>
    <cellStyle name="注释 2 2 7 2 4" xfId="36178" xr:uid="{00000000-0005-0000-0000-0000828D0000}"/>
    <cellStyle name="注释 2 2 7 2 4 2" xfId="52482" xr:uid="{00000000-0005-0000-0000-000032CD0000}"/>
    <cellStyle name="注释 2 2 7 2 5" xfId="46758" xr:uid="{00000000-0005-0000-0000-0000D6B60000}"/>
    <cellStyle name="注释 2 2 7 2 5 2" xfId="52483" xr:uid="{00000000-0005-0000-0000-000033CD0000}"/>
    <cellStyle name="注释 2 2 7 2 6" xfId="17672" xr:uid="{00000000-0005-0000-0000-000038450000}"/>
    <cellStyle name="注释 2 2 7 2 7" xfId="17678" xr:uid="{00000000-0005-0000-0000-00003E450000}"/>
    <cellStyle name="注释 2 2 7 2 8" xfId="17681" xr:uid="{00000000-0005-0000-0000-000041450000}"/>
    <cellStyle name="注释 2 2 7 2 9" xfId="5870" xr:uid="{00000000-0005-0000-0000-00001E170000}"/>
    <cellStyle name="注释 2 2 7 3" xfId="5867" xr:uid="{00000000-0005-0000-0000-00001B170000}"/>
    <cellStyle name="注释 2 2 7 3 2" xfId="52484" xr:uid="{00000000-0005-0000-0000-000034CD0000}"/>
    <cellStyle name="注释 2 2 7 3 2 2" xfId="52485" xr:uid="{00000000-0005-0000-0000-000035CD0000}"/>
    <cellStyle name="注释 2 2 7 3 3" xfId="31713" xr:uid="{00000000-0005-0000-0000-0000117C0000}"/>
    <cellStyle name="注释 2 2 7 3 3 2" xfId="52486" xr:uid="{00000000-0005-0000-0000-000036CD0000}"/>
    <cellStyle name="注释 2 2 7 3 4" xfId="36182" xr:uid="{00000000-0005-0000-0000-0000868D0000}"/>
    <cellStyle name="注释 2 2 7 3 4 2" xfId="52487" xr:uid="{00000000-0005-0000-0000-000037CD0000}"/>
    <cellStyle name="注释 2 2 7 3 5" xfId="46761" xr:uid="{00000000-0005-0000-0000-0000D9B60000}"/>
    <cellStyle name="注释 2 2 7 3 5 2" xfId="52488" xr:uid="{00000000-0005-0000-0000-000038CD0000}"/>
    <cellStyle name="注释 2 2 7 3 6" xfId="17690" xr:uid="{00000000-0005-0000-0000-00004A450000}"/>
    <cellStyle name="注释 2 2 7 4" xfId="9159" xr:uid="{00000000-0005-0000-0000-0000F7230000}"/>
    <cellStyle name="注释 2 2 7 4 2" xfId="2874" xr:uid="{00000000-0005-0000-0000-00006A0B0000}"/>
    <cellStyle name="注释 2 2 7 4 2 2" xfId="52489" xr:uid="{00000000-0005-0000-0000-000039CD0000}"/>
    <cellStyle name="注释 2 2 7 4 3" xfId="31719" xr:uid="{00000000-0005-0000-0000-0000177C0000}"/>
    <cellStyle name="注释 2 2 7 4 3 2" xfId="52490" xr:uid="{00000000-0005-0000-0000-00003ACD0000}"/>
    <cellStyle name="注释 2 2 7 4 4" xfId="34816" xr:uid="{00000000-0005-0000-0000-000030880000}"/>
    <cellStyle name="注释 2 2 7 4 4 2" xfId="52491" xr:uid="{00000000-0005-0000-0000-00003BCD0000}"/>
    <cellStyle name="注释 2 2 7 4 5" xfId="52492" xr:uid="{00000000-0005-0000-0000-00003CCD0000}"/>
    <cellStyle name="注释 2 2 7 4 5 2" xfId="52493" xr:uid="{00000000-0005-0000-0000-00003DCD0000}"/>
    <cellStyle name="注释 2 2 7 4 6" xfId="13751" xr:uid="{00000000-0005-0000-0000-0000E7350000}"/>
    <cellStyle name="注释 2 2 7 5" xfId="9167" xr:uid="{00000000-0005-0000-0000-0000FF230000}"/>
    <cellStyle name="注释 2 2 7 5 2" xfId="9177" xr:uid="{00000000-0005-0000-0000-000009240000}"/>
    <cellStyle name="注释 2 2 7 5 2 2" xfId="52494" xr:uid="{00000000-0005-0000-0000-00003ECD0000}"/>
    <cellStyle name="注释 2 2 7 5 3" xfId="31727" xr:uid="{00000000-0005-0000-0000-00001F7C0000}"/>
    <cellStyle name="注释 2 2 7 5 3 2" xfId="52495" xr:uid="{00000000-0005-0000-0000-00003FCD0000}"/>
    <cellStyle name="注释 2 2 7 5 4" xfId="52496" xr:uid="{00000000-0005-0000-0000-000040CD0000}"/>
    <cellStyle name="注释 2 2 7 5 4 2" xfId="52497" xr:uid="{00000000-0005-0000-0000-000041CD0000}"/>
    <cellStyle name="注释 2 2 7 5 5" xfId="52498" xr:uid="{00000000-0005-0000-0000-000042CD0000}"/>
    <cellStyle name="注释 2 2 7 5 5 2" xfId="52499" xr:uid="{00000000-0005-0000-0000-000043CD0000}"/>
    <cellStyle name="注释 2 2 7 5 6" xfId="17727" xr:uid="{00000000-0005-0000-0000-00006F450000}"/>
    <cellStyle name="注释 2 2 7 6" xfId="9188" xr:uid="{00000000-0005-0000-0000-000014240000}"/>
    <cellStyle name="注释 2 2 7 6 2" xfId="12782" xr:uid="{00000000-0005-0000-0000-00001E320000}"/>
    <cellStyle name="注释 2 2 7 6 2 2" xfId="52500" xr:uid="{00000000-0005-0000-0000-000044CD0000}"/>
    <cellStyle name="注释 2 2 7 6 3" xfId="22089" xr:uid="{00000000-0005-0000-0000-000079560000}"/>
    <cellStyle name="注释 2 2 7 6 3 2" xfId="52502" xr:uid="{00000000-0005-0000-0000-000046CD0000}"/>
    <cellStyle name="注释 2 2 7 6 4" xfId="52504" xr:uid="{00000000-0005-0000-0000-000048CD0000}"/>
    <cellStyle name="注释 2 2 7 6 4 2" xfId="52506" xr:uid="{00000000-0005-0000-0000-00004ACD0000}"/>
    <cellStyle name="注释 2 2 7 6 5" xfId="52508" xr:uid="{00000000-0005-0000-0000-00004CCD0000}"/>
    <cellStyle name="注释 2 2 7 6 5 2" xfId="52510" xr:uid="{00000000-0005-0000-0000-00004ECD0000}"/>
    <cellStyle name="注释 2 2 7 6 6" xfId="17751" xr:uid="{00000000-0005-0000-0000-000087450000}"/>
    <cellStyle name="注释 2 2 7 7" xfId="7188" xr:uid="{00000000-0005-0000-0000-0000441C0000}"/>
    <cellStyle name="注释 2 2 7 7 2" xfId="26420" xr:uid="{00000000-0005-0000-0000-000064670000}"/>
    <cellStyle name="注释 2 2 7 7 2 2" xfId="52511" xr:uid="{00000000-0005-0000-0000-00004FCD0000}"/>
    <cellStyle name="注释 2 2 7 7 3" xfId="22095" xr:uid="{00000000-0005-0000-0000-00007F560000}"/>
    <cellStyle name="注释 2 2 7 7 3 2" xfId="52512" xr:uid="{00000000-0005-0000-0000-000050CD0000}"/>
    <cellStyle name="注释 2 2 7 7 4" xfId="52513" xr:uid="{00000000-0005-0000-0000-000051CD0000}"/>
    <cellStyle name="注释 2 2 7 7 4 2" xfId="52514" xr:uid="{00000000-0005-0000-0000-000052CD0000}"/>
    <cellStyle name="注释 2 2 7 7 5" xfId="52515" xr:uid="{00000000-0005-0000-0000-000053CD0000}"/>
    <cellStyle name="注释 2 2 7 7 5 2" xfId="52516" xr:uid="{00000000-0005-0000-0000-000054CD0000}"/>
    <cellStyle name="注释 2 2 7 7 6" xfId="17769" xr:uid="{00000000-0005-0000-0000-000099450000}"/>
    <cellStyle name="注释 2 2 7 8" xfId="12740" xr:uid="{00000000-0005-0000-0000-0000F4310000}"/>
    <cellStyle name="注释 2 2 7 8 2" xfId="30352" xr:uid="{00000000-0005-0000-0000-0000C0760000}"/>
    <cellStyle name="注释 2 2 7 8 2 2" xfId="52517" xr:uid="{00000000-0005-0000-0000-000055CD0000}"/>
    <cellStyle name="注释 2 2 7 8 3" xfId="22100" xr:uid="{00000000-0005-0000-0000-000084560000}"/>
    <cellStyle name="注释 2 2 7 8 3 2" xfId="52518" xr:uid="{00000000-0005-0000-0000-000056CD0000}"/>
    <cellStyle name="注释 2 2 7 8 4" xfId="52519" xr:uid="{00000000-0005-0000-0000-000057CD0000}"/>
    <cellStyle name="注释 2 2 7 8 4 2" xfId="52520" xr:uid="{00000000-0005-0000-0000-000058CD0000}"/>
    <cellStyle name="注释 2 2 7 8 5" xfId="52521" xr:uid="{00000000-0005-0000-0000-000059CD0000}"/>
    <cellStyle name="注释 2 2 7 9" xfId="30355" xr:uid="{00000000-0005-0000-0000-0000C3760000}"/>
    <cellStyle name="注释 2 2 7 9 2" xfId="30358" xr:uid="{00000000-0005-0000-0000-0000C6760000}"/>
    <cellStyle name="注释 2 2 8" xfId="21677" xr:uid="{00000000-0005-0000-0000-0000DD540000}"/>
    <cellStyle name="注释 2 2 8 10" xfId="9663" xr:uid="{00000000-0005-0000-0000-0000EF250000}"/>
    <cellStyle name="注释 2 2 8 10 2" xfId="13293" xr:uid="{00000000-0005-0000-0000-00001D340000}"/>
    <cellStyle name="注释 2 2 8 11" xfId="13299" xr:uid="{00000000-0005-0000-0000-000023340000}"/>
    <cellStyle name="注释 2 2 8 11 2" xfId="32407" xr:uid="{00000000-0005-0000-0000-0000C77E0000}"/>
    <cellStyle name="注释 2 2 8 12" xfId="26399" xr:uid="{00000000-0005-0000-0000-00004F670000}"/>
    <cellStyle name="注释 2 2 8 12 2" xfId="32409" xr:uid="{00000000-0005-0000-0000-0000C97E0000}"/>
    <cellStyle name="注释 2 2 8 13" xfId="5379" xr:uid="{00000000-0005-0000-0000-000033150000}"/>
    <cellStyle name="注释 2 2 8 14" xfId="5394" xr:uid="{00000000-0005-0000-0000-000042150000}"/>
    <cellStyle name="注释 2 2 8 15" xfId="52522" xr:uid="{00000000-0005-0000-0000-00005ACD0000}"/>
    <cellStyle name="注释 2 2 8 16" xfId="52523" xr:uid="{00000000-0005-0000-0000-00005BCD0000}"/>
    <cellStyle name="注释 2 2 8 2" xfId="52524" xr:uid="{00000000-0005-0000-0000-00005CCD0000}"/>
    <cellStyle name="注释 2 2 8 2 2" xfId="52525" xr:uid="{00000000-0005-0000-0000-00005DCD0000}"/>
    <cellStyle name="注释 2 2 8 2 2 2" xfId="52526" xr:uid="{00000000-0005-0000-0000-00005ECD0000}"/>
    <cellStyle name="注释 2 2 8 2 3" xfId="52527" xr:uid="{00000000-0005-0000-0000-00005FCD0000}"/>
    <cellStyle name="注释 2 2 8 2 3 2" xfId="52530" xr:uid="{00000000-0005-0000-0000-000062CD0000}"/>
    <cellStyle name="注释 2 2 8 2 4" xfId="29336" xr:uid="{00000000-0005-0000-0000-0000C8720000}"/>
    <cellStyle name="注释 2 2 8 2 4 2" xfId="52531" xr:uid="{00000000-0005-0000-0000-000063CD0000}"/>
    <cellStyle name="注释 2 2 8 2 5" xfId="46769" xr:uid="{00000000-0005-0000-0000-0000E1B60000}"/>
    <cellStyle name="注释 2 2 8 2 5 2" xfId="52532" xr:uid="{00000000-0005-0000-0000-000064CD0000}"/>
    <cellStyle name="注释 2 2 8 2 6" xfId="17845" xr:uid="{00000000-0005-0000-0000-0000E5450000}"/>
    <cellStyle name="注释 2 2 8 2 7" xfId="17851" xr:uid="{00000000-0005-0000-0000-0000EB450000}"/>
    <cellStyle name="注释 2 2 8 2 8" xfId="17855" xr:uid="{00000000-0005-0000-0000-0000EF450000}"/>
    <cellStyle name="注释 2 2 8 2 9" xfId="17859" xr:uid="{00000000-0005-0000-0000-0000F3450000}"/>
    <cellStyle name="注释 2 2 8 3" xfId="5897" xr:uid="{00000000-0005-0000-0000-000039170000}"/>
    <cellStyle name="注释 2 2 8 3 2" xfId="12787" xr:uid="{00000000-0005-0000-0000-000023320000}"/>
    <cellStyle name="注释 2 2 8 3 2 2" xfId="11963" xr:uid="{00000000-0005-0000-0000-0000EB2E0000}"/>
    <cellStyle name="注释 2 2 8 3 3" xfId="17258" xr:uid="{00000000-0005-0000-0000-00009A430000}"/>
    <cellStyle name="注释 2 2 8 3 3 2" xfId="17261" xr:uid="{00000000-0005-0000-0000-00009D430000}"/>
    <cellStyle name="注释 2 2 8 3 4" xfId="15966" xr:uid="{00000000-0005-0000-0000-00008E3E0000}"/>
    <cellStyle name="注释 2 2 8 3 4 2" xfId="13023" xr:uid="{00000000-0005-0000-0000-00000F330000}"/>
    <cellStyle name="注释 2 2 8 3 5" xfId="15129" xr:uid="{00000000-0005-0000-0000-0000493B0000}"/>
    <cellStyle name="注释 2 2 8 3 5 2" xfId="52533" xr:uid="{00000000-0005-0000-0000-000065CD0000}"/>
    <cellStyle name="注释 2 2 8 3 6" xfId="17263" xr:uid="{00000000-0005-0000-0000-00009F430000}"/>
    <cellStyle name="注释 2 2 8 4" xfId="12794" xr:uid="{00000000-0005-0000-0000-00002A320000}"/>
    <cellStyle name="注释 2 2 8 4 2" xfId="12800" xr:uid="{00000000-0005-0000-0000-000030320000}"/>
    <cellStyle name="注释 2 2 8 4 2 2" xfId="12201" xr:uid="{00000000-0005-0000-0000-0000D92F0000}"/>
    <cellStyle name="注释 2 2 8 4 3" xfId="13864" xr:uid="{00000000-0005-0000-0000-000058360000}"/>
    <cellStyle name="注释 2 2 8 4 3 2" xfId="17273" xr:uid="{00000000-0005-0000-0000-0000A9430000}"/>
    <cellStyle name="注释 2 2 8 4 4" xfId="15975" xr:uid="{00000000-0005-0000-0000-0000973E0000}"/>
    <cellStyle name="注释 2 2 8 4 4 2" xfId="13464" xr:uid="{00000000-0005-0000-0000-0000C8340000}"/>
    <cellStyle name="注释 2 2 8 4 5" xfId="17277" xr:uid="{00000000-0005-0000-0000-0000AD430000}"/>
    <cellStyle name="注释 2 2 8 4 5 2" xfId="50562" xr:uid="{00000000-0005-0000-0000-0000B2C50000}"/>
    <cellStyle name="注释 2 2 8 4 6" xfId="114" xr:uid="{00000000-0005-0000-0000-00007C000000}"/>
    <cellStyle name="注释 2 2 8 5" xfId="12806" xr:uid="{00000000-0005-0000-0000-000036320000}"/>
    <cellStyle name="注释 2 2 8 5 2" xfId="10222" xr:uid="{00000000-0005-0000-0000-00001E280000}"/>
    <cellStyle name="注释 2 2 8 5 2 2" xfId="1353" xr:uid="{00000000-0005-0000-0000-000079050000}"/>
    <cellStyle name="注释 2 2 8 5 3" xfId="10229" xr:uid="{00000000-0005-0000-0000-000025280000}"/>
    <cellStyle name="注释 2 2 8 5 3 2" xfId="3637" xr:uid="{00000000-0005-0000-0000-0000650E0000}"/>
    <cellStyle name="注释 2 2 8 5 4" xfId="15982" xr:uid="{00000000-0005-0000-0000-00009E3E0000}"/>
    <cellStyle name="注释 2 2 8 5 4 2" xfId="3688" xr:uid="{00000000-0005-0000-0000-0000980E0000}"/>
    <cellStyle name="注释 2 2 8 5 5" xfId="17280" xr:uid="{00000000-0005-0000-0000-0000B0430000}"/>
    <cellStyle name="注释 2 2 8 5 5 2" xfId="43470" xr:uid="{00000000-0005-0000-0000-0000FEA90000}"/>
    <cellStyle name="注释 2 2 8 5 6" xfId="17915" xr:uid="{00000000-0005-0000-0000-00002B460000}"/>
    <cellStyle name="注释 2 2 8 6" xfId="12811" xr:uid="{00000000-0005-0000-0000-00003B320000}"/>
    <cellStyle name="注释 2 2 8 6 2" xfId="9532" xr:uid="{00000000-0005-0000-0000-00006C250000}"/>
    <cellStyle name="注释 2 2 8 6 2 2" xfId="4127" xr:uid="{00000000-0005-0000-0000-00004F100000}"/>
    <cellStyle name="注释 2 2 8 6 3" xfId="9540" xr:uid="{00000000-0005-0000-0000-000074250000}"/>
    <cellStyle name="注释 2 2 8 6 3 2" xfId="4230" xr:uid="{00000000-0005-0000-0000-0000B6100000}"/>
    <cellStyle name="注释 2 2 8 6 4" xfId="9546" xr:uid="{00000000-0005-0000-0000-00007A250000}"/>
    <cellStyle name="注释 2 2 8 6 4 2" xfId="3584" xr:uid="{00000000-0005-0000-0000-0000300E0000}"/>
    <cellStyle name="注释 2 2 8 6 5" xfId="17288" xr:uid="{00000000-0005-0000-0000-0000B8430000}"/>
    <cellStyle name="注释 2 2 8 6 5 2" xfId="43529" xr:uid="{00000000-0005-0000-0000-000039AA0000}"/>
    <cellStyle name="注释 2 2 8 6 6" xfId="17931" xr:uid="{00000000-0005-0000-0000-00003B460000}"/>
    <cellStyle name="注释 2 2 8 7" xfId="12818" xr:uid="{00000000-0005-0000-0000-000042320000}"/>
    <cellStyle name="注释 2 2 8 7 2" xfId="13901" xr:uid="{00000000-0005-0000-0000-00007D360000}"/>
    <cellStyle name="注释 2 2 8 7 2 2" xfId="4478" xr:uid="{00000000-0005-0000-0000-0000AE110000}"/>
    <cellStyle name="注释 2 2 8 7 3" xfId="13906" xr:uid="{00000000-0005-0000-0000-000082360000}"/>
    <cellStyle name="注释 2 2 8 7 3 2" xfId="4534" xr:uid="{00000000-0005-0000-0000-0000E6110000}"/>
    <cellStyle name="注释 2 2 8 7 4" xfId="17294" xr:uid="{00000000-0005-0000-0000-0000BE430000}"/>
    <cellStyle name="注释 2 2 8 7 4 2" xfId="508" xr:uid="{00000000-0005-0000-0000-00002A020000}"/>
    <cellStyle name="注释 2 2 8 7 5" xfId="17297" xr:uid="{00000000-0005-0000-0000-0000C1430000}"/>
    <cellStyle name="注释 2 2 8 7 5 2" xfId="43615" xr:uid="{00000000-0005-0000-0000-00008FAA0000}"/>
    <cellStyle name="注释 2 2 8 7 6" xfId="17945" xr:uid="{00000000-0005-0000-0000-000049460000}"/>
    <cellStyle name="注释 2 2 8 8" xfId="12752" xr:uid="{00000000-0005-0000-0000-000000320000}"/>
    <cellStyle name="注释 2 2 8 8 2" xfId="13927" xr:uid="{00000000-0005-0000-0000-000097360000}"/>
    <cellStyle name="注释 2 2 8 8 2 2" xfId="4757" xr:uid="{00000000-0005-0000-0000-0000C5120000}"/>
    <cellStyle name="注释 2 2 8 8 3" xfId="13932" xr:uid="{00000000-0005-0000-0000-00009C360000}"/>
    <cellStyle name="注释 2 2 8 8 3 2" xfId="4793" xr:uid="{00000000-0005-0000-0000-0000E9120000}"/>
    <cellStyle name="注释 2 2 8 8 4" xfId="17302" xr:uid="{00000000-0005-0000-0000-0000C6430000}"/>
    <cellStyle name="注释 2 2 8 8 4 2" xfId="4835" xr:uid="{00000000-0005-0000-0000-000013130000}"/>
    <cellStyle name="注释 2 2 8 8 5" xfId="17305" xr:uid="{00000000-0005-0000-0000-0000C9430000}"/>
    <cellStyle name="注释 2 2 8 9" xfId="30362" xr:uid="{00000000-0005-0000-0000-0000CA760000}"/>
    <cellStyle name="注释 2 2 8 9 2" xfId="13948" xr:uid="{00000000-0005-0000-0000-0000AC360000}"/>
    <cellStyle name="注释 2 2 9" xfId="42219" xr:uid="{00000000-0005-0000-0000-00001BA50000}"/>
    <cellStyle name="注释 2 2 9 10" xfId="44813" xr:uid="{00000000-0005-0000-0000-00003DAF0000}"/>
    <cellStyle name="注释 2 2 9 10 2" xfId="52534" xr:uid="{00000000-0005-0000-0000-000066CD0000}"/>
    <cellStyle name="注释 2 2 9 11" xfId="30679" xr:uid="{00000000-0005-0000-0000-000007780000}"/>
    <cellStyle name="注释 2 2 9 11 2" xfId="52535" xr:uid="{00000000-0005-0000-0000-000067CD0000}"/>
    <cellStyle name="注释 2 2 9 12" xfId="46421" xr:uid="{00000000-0005-0000-0000-000085B50000}"/>
    <cellStyle name="注释 2 2 9 12 2" xfId="52536" xr:uid="{00000000-0005-0000-0000-000068CD0000}"/>
    <cellStyle name="注释 2 2 9 13" xfId="52537" xr:uid="{00000000-0005-0000-0000-000069CD0000}"/>
    <cellStyle name="注释 2 2 9 14" xfId="52538" xr:uid="{00000000-0005-0000-0000-00006ACD0000}"/>
    <cellStyle name="注释 2 2 9 15" xfId="18518" xr:uid="{00000000-0005-0000-0000-000086480000}"/>
    <cellStyle name="注释 2 2 9 16" xfId="18551" xr:uid="{00000000-0005-0000-0000-0000A7480000}"/>
    <cellStyle name="注释 2 2 9 2" xfId="52539" xr:uid="{00000000-0005-0000-0000-00006BCD0000}"/>
    <cellStyle name="注释 2 2 9 2 2" xfId="52540" xr:uid="{00000000-0005-0000-0000-00006CCD0000}"/>
    <cellStyle name="注释 2 2 9 2 2 2" xfId="52541" xr:uid="{00000000-0005-0000-0000-00006DCD0000}"/>
    <cellStyle name="注释 2 2 9 2 3" xfId="52542" xr:uid="{00000000-0005-0000-0000-00006ECD0000}"/>
    <cellStyle name="注释 2 2 9 2 3 2" xfId="52545" xr:uid="{00000000-0005-0000-0000-000071CD0000}"/>
    <cellStyle name="注释 2 2 9 2 4" xfId="29355" xr:uid="{00000000-0005-0000-0000-0000DB720000}"/>
    <cellStyle name="注释 2 2 9 2 4 2" xfId="52546" xr:uid="{00000000-0005-0000-0000-000072CD0000}"/>
    <cellStyle name="注释 2 2 9 2 5" xfId="46778" xr:uid="{00000000-0005-0000-0000-0000EAB60000}"/>
    <cellStyle name="注释 2 2 9 2 5 2" xfId="52547" xr:uid="{00000000-0005-0000-0000-000073CD0000}"/>
    <cellStyle name="注释 2 2 9 2 6" xfId="18008" xr:uid="{00000000-0005-0000-0000-000088460000}"/>
    <cellStyle name="注释 2 2 9 2 7" xfId="18016" xr:uid="{00000000-0005-0000-0000-000090460000}"/>
    <cellStyle name="注释 2 2 9 2 8" xfId="18024" xr:uid="{00000000-0005-0000-0000-000098460000}"/>
    <cellStyle name="注释 2 2 9 2 9" xfId="18033" xr:uid="{00000000-0005-0000-0000-0000A1460000}"/>
    <cellStyle name="注释 2 2 9 3" xfId="5942" xr:uid="{00000000-0005-0000-0000-000066170000}"/>
    <cellStyle name="注释 2 2 9 3 2" xfId="12824" xr:uid="{00000000-0005-0000-0000-000048320000}"/>
    <cellStyle name="注释 2 2 9 3 2 2" xfId="17336" xr:uid="{00000000-0005-0000-0000-0000E8430000}"/>
    <cellStyle name="注释 2 2 9 3 3" xfId="17343" xr:uid="{00000000-0005-0000-0000-0000EF430000}"/>
    <cellStyle name="注释 2 2 9 3 3 2" xfId="17348" xr:uid="{00000000-0005-0000-0000-0000F4430000}"/>
    <cellStyle name="注释 2 2 9 3 4" xfId="16006" xr:uid="{00000000-0005-0000-0000-0000B63E0000}"/>
    <cellStyle name="注释 2 2 9 3 4 2" xfId="17354" xr:uid="{00000000-0005-0000-0000-0000FA430000}"/>
    <cellStyle name="注释 2 2 9 3 5" xfId="15155" xr:uid="{00000000-0005-0000-0000-0000633B0000}"/>
    <cellStyle name="注释 2 2 9 3 5 2" xfId="52548" xr:uid="{00000000-0005-0000-0000-000074CD0000}"/>
    <cellStyle name="注释 2 2 9 3 6" xfId="18054" xr:uid="{00000000-0005-0000-0000-0000B6460000}"/>
    <cellStyle name="注释 2 2 9 4" xfId="12835" xr:uid="{00000000-0005-0000-0000-000053320000}"/>
    <cellStyle name="注释 2 2 9 4 2" xfId="12841" xr:uid="{00000000-0005-0000-0000-000059320000}"/>
    <cellStyle name="注释 2 2 9 4 2 2" xfId="17362" xr:uid="{00000000-0005-0000-0000-000002440000}"/>
    <cellStyle name="注释 2 2 9 4 3" xfId="17371" xr:uid="{00000000-0005-0000-0000-00000B440000}"/>
    <cellStyle name="注释 2 2 9 4 3 2" xfId="17378" xr:uid="{00000000-0005-0000-0000-000012440000}"/>
    <cellStyle name="注释 2 2 9 4 4" xfId="16018" xr:uid="{00000000-0005-0000-0000-0000C23E0000}"/>
    <cellStyle name="注释 2 2 9 4 4 2" xfId="17385" xr:uid="{00000000-0005-0000-0000-000019440000}"/>
    <cellStyle name="注释 2 2 9 4 5" xfId="17392" xr:uid="{00000000-0005-0000-0000-000020440000}"/>
    <cellStyle name="注释 2 2 9 4 5 2" xfId="52549" xr:uid="{00000000-0005-0000-0000-000075CD0000}"/>
    <cellStyle name="注释 2 2 9 4 6" xfId="18091" xr:uid="{00000000-0005-0000-0000-0000DB460000}"/>
    <cellStyle name="注释 2 2 9 5" xfId="12844" xr:uid="{00000000-0005-0000-0000-00005C320000}"/>
    <cellStyle name="注释 2 2 9 5 2" xfId="10534" xr:uid="{00000000-0005-0000-0000-000056290000}"/>
    <cellStyle name="注释 2 2 9 5 2 2" xfId="7365" xr:uid="{00000000-0005-0000-0000-0000F51C0000}"/>
    <cellStyle name="注释 2 2 9 5 3" xfId="10543" xr:uid="{00000000-0005-0000-0000-00005F290000}"/>
    <cellStyle name="注释 2 2 9 5 3 2" xfId="7417" xr:uid="{00000000-0005-0000-0000-0000291D0000}"/>
    <cellStyle name="注释 2 2 9 5 4" xfId="16028" xr:uid="{00000000-0005-0000-0000-0000CC3E0000}"/>
    <cellStyle name="注释 2 2 9 5 4 2" xfId="7482" xr:uid="{00000000-0005-0000-0000-00006A1D0000}"/>
    <cellStyle name="注释 2 2 9 5 5" xfId="17402" xr:uid="{00000000-0005-0000-0000-00002A440000}"/>
    <cellStyle name="注释 2 2 9 5 5 2" xfId="35574" xr:uid="{00000000-0005-0000-0000-0000268B0000}"/>
    <cellStyle name="注释 2 2 9 5 6" xfId="18137" xr:uid="{00000000-0005-0000-0000-000009470000}"/>
    <cellStyle name="注释 2 2 9 6" xfId="12851" xr:uid="{00000000-0005-0000-0000-000063320000}"/>
    <cellStyle name="注释 2 2 9 6 2" xfId="10950" xr:uid="{00000000-0005-0000-0000-0000F62A0000}"/>
    <cellStyle name="注释 2 2 9 6 2 2" xfId="2900" xr:uid="{00000000-0005-0000-0000-0000840B0000}"/>
    <cellStyle name="注释 2 2 9 6 3" xfId="10961" xr:uid="{00000000-0005-0000-0000-0000012B0000}"/>
    <cellStyle name="注释 2 2 9 6 3 2" xfId="3208" xr:uid="{00000000-0005-0000-0000-0000B80C0000}"/>
    <cellStyle name="注释 2 2 9 6 4" xfId="10966" xr:uid="{00000000-0005-0000-0000-0000062B0000}"/>
    <cellStyle name="注释 2 2 9 6 4 2" xfId="3330" xr:uid="{00000000-0005-0000-0000-0000320D0000}"/>
    <cellStyle name="注释 2 2 9 6 5" xfId="17414" xr:uid="{00000000-0005-0000-0000-000036440000}"/>
    <cellStyle name="注释 2 2 9 6 5 2" xfId="44322" xr:uid="{00000000-0005-0000-0000-000052AD0000}"/>
    <cellStyle name="注释 2 2 9 6 6" xfId="18174" xr:uid="{00000000-0005-0000-0000-00002E470000}"/>
    <cellStyle name="注释 2 2 9 7" xfId="26430" xr:uid="{00000000-0005-0000-0000-00006E670000}"/>
    <cellStyle name="注释 2 2 9 7 2" xfId="17425" xr:uid="{00000000-0005-0000-0000-000041440000}"/>
    <cellStyle name="注释 2 2 9 7 2 2" xfId="8000" xr:uid="{00000000-0005-0000-0000-0000701F0000}"/>
    <cellStyle name="注释 2 2 9 7 3" xfId="17436" xr:uid="{00000000-0005-0000-0000-00004C440000}"/>
    <cellStyle name="注释 2 2 9 7 3 2" xfId="7230" xr:uid="{00000000-0005-0000-0000-00006E1C0000}"/>
    <cellStyle name="注释 2 2 9 7 4" xfId="17441" xr:uid="{00000000-0005-0000-0000-000051440000}"/>
    <cellStyle name="注释 2 2 9 7 4 2" xfId="5213" xr:uid="{00000000-0005-0000-0000-00008D140000}"/>
    <cellStyle name="注释 2 2 9 7 5" xfId="17445" xr:uid="{00000000-0005-0000-0000-000055440000}"/>
    <cellStyle name="注释 2 2 9 7 5 2" xfId="44397" xr:uid="{00000000-0005-0000-0000-00009DAD0000}"/>
    <cellStyle name="注释 2 2 9 7 6" xfId="18199" xr:uid="{00000000-0005-0000-0000-000047470000}"/>
    <cellStyle name="注释 2 2 9 8" xfId="15600" xr:uid="{00000000-0005-0000-0000-0000203D0000}"/>
    <cellStyle name="注释 2 2 9 8 2" xfId="17457" xr:uid="{00000000-0005-0000-0000-000061440000}"/>
    <cellStyle name="注释 2 2 9 8 2 2" xfId="8198" xr:uid="{00000000-0005-0000-0000-000036200000}"/>
    <cellStyle name="注释 2 2 9 8 3" xfId="17467" xr:uid="{00000000-0005-0000-0000-00006B440000}"/>
    <cellStyle name="注释 2 2 9 8 3 2" xfId="8255" xr:uid="{00000000-0005-0000-0000-00006F200000}"/>
    <cellStyle name="注释 2 2 9 8 4" xfId="8491" xr:uid="{00000000-0005-0000-0000-00005B210000}"/>
    <cellStyle name="注释 2 2 9 8 4 2" xfId="8304" xr:uid="{00000000-0005-0000-0000-0000A0200000}"/>
    <cellStyle name="注释 2 2 9 8 5" xfId="17473" xr:uid="{00000000-0005-0000-0000-000071440000}"/>
    <cellStyle name="注释 2 2 9 9" xfId="30366" xr:uid="{00000000-0005-0000-0000-0000CE760000}"/>
    <cellStyle name="注释 2 2 9 9 2" xfId="17480" xr:uid="{00000000-0005-0000-0000-000078440000}"/>
    <cellStyle name="注释 2 20" xfId="8348" xr:uid="{00000000-0005-0000-0000-0000CC200000}"/>
    <cellStyle name="注释 2 20 2" xfId="52019" xr:uid="{00000000-0005-0000-0000-000063CB0000}"/>
    <cellStyle name="注释 2 21" xfId="52049" xr:uid="{00000000-0005-0000-0000-000081CB0000}"/>
    <cellStyle name="注释 2 22" xfId="52103" xr:uid="{00000000-0005-0000-0000-0000B7CB0000}"/>
    <cellStyle name="注释 2 23" xfId="52122" xr:uid="{00000000-0005-0000-0000-0000CACB0000}"/>
    <cellStyle name="注释 2 24" xfId="52128" xr:uid="{00000000-0005-0000-0000-0000D0CB0000}"/>
    <cellStyle name="注释 2 25" xfId="52550" xr:uid="{00000000-0005-0000-0000-000076CD0000}"/>
    <cellStyle name="注释 2 3" xfId="52551" xr:uid="{00000000-0005-0000-0000-000077CD0000}"/>
    <cellStyle name="注释 2 3 10" xfId="31207" xr:uid="{00000000-0005-0000-0000-0000177A0000}"/>
    <cellStyle name="注释 2 3 10 10" xfId="52553" xr:uid="{00000000-0005-0000-0000-000079CD0000}"/>
    <cellStyle name="注释 2 3 10 10 2" xfId="12276" xr:uid="{00000000-0005-0000-0000-000024300000}"/>
    <cellStyle name="注释 2 3 10 11" xfId="50149" xr:uid="{00000000-0005-0000-0000-000015C40000}"/>
    <cellStyle name="注释 2 3 10 11 2" xfId="10872" xr:uid="{00000000-0005-0000-0000-0000A82A0000}"/>
    <cellStyle name="注释 2 3 10 12" xfId="52554" xr:uid="{00000000-0005-0000-0000-00007ACD0000}"/>
    <cellStyle name="注释 2 3 10 12 2" xfId="48732" xr:uid="{00000000-0005-0000-0000-00008CBE0000}"/>
    <cellStyle name="注释 2 3 10 13" xfId="47178" xr:uid="{00000000-0005-0000-0000-00007AB80000}"/>
    <cellStyle name="注释 2 3 10 14" xfId="52555" xr:uid="{00000000-0005-0000-0000-00007BCD0000}"/>
    <cellStyle name="注释 2 3 10 15" xfId="52556" xr:uid="{00000000-0005-0000-0000-00007CCD0000}"/>
    <cellStyle name="注释 2 3 10 16" xfId="52557" xr:uid="{00000000-0005-0000-0000-00007DCD0000}"/>
    <cellStyle name="注释 2 3 10 2" xfId="52558" xr:uid="{00000000-0005-0000-0000-00007ECD0000}"/>
    <cellStyle name="注释 2 3 10 2 2" xfId="6948" xr:uid="{00000000-0005-0000-0000-0000541B0000}"/>
    <cellStyle name="注释 2 3 10 2 2 2" xfId="11157" xr:uid="{00000000-0005-0000-0000-0000C52B0000}"/>
    <cellStyle name="注释 2 3 10 2 3" xfId="6954" xr:uid="{00000000-0005-0000-0000-00005A1B0000}"/>
    <cellStyle name="注释 2 3 10 2 3 2" xfId="3044" xr:uid="{00000000-0005-0000-0000-0000140C0000}"/>
    <cellStyle name="注释 2 3 10 2 4" xfId="6958" xr:uid="{00000000-0005-0000-0000-00005E1B0000}"/>
    <cellStyle name="注释 2 3 10 2 4 2" xfId="11207" xr:uid="{00000000-0005-0000-0000-0000F72B0000}"/>
    <cellStyle name="注释 2 3 10 2 5" xfId="7967" xr:uid="{00000000-0005-0000-0000-00004F1F0000}"/>
    <cellStyle name="注释 2 3 10 2 5 2" xfId="7970" xr:uid="{00000000-0005-0000-0000-0000521F0000}"/>
    <cellStyle name="注释 2 3 10 2 6" xfId="7976" xr:uid="{00000000-0005-0000-0000-0000581F0000}"/>
    <cellStyle name="注释 2 3 10 2 7" xfId="50512" xr:uid="{00000000-0005-0000-0000-000080C50000}"/>
    <cellStyle name="注释 2 3 10 2 8" xfId="52559" xr:uid="{00000000-0005-0000-0000-00007FCD0000}"/>
    <cellStyle name="注释 2 3 10 2 9" xfId="33704" xr:uid="{00000000-0005-0000-0000-0000D8830000}"/>
    <cellStyle name="注释 2 3 10 3" xfId="38717" xr:uid="{00000000-0005-0000-0000-00006D970000}"/>
    <cellStyle name="注释 2 3 10 3 2" xfId="8522" xr:uid="{00000000-0005-0000-0000-00007A210000}"/>
    <cellStyle name="注释 2 3 10 3 2 2" xfId="11388" xr:uid="{00000000-0005-0000-0000-0000AC2C0000}"/>
    <cellStyle name="注释 2 3 10 3 3" xfId="11438" xr:uid="{00000000-0005-0000-0000-0000DE2C0000}"/>
    <cellStyle name="注释 2 3 10 3 3 2" xfId="11441" xr:uid="{00000000-0005-0000-0000-0000E12C0000}"/>
    <cellStyle name="注释 2 3 10 3 4" xfId="11458" xr:uid="{00000000-0005-0000-0000-0000F22C0000}"/>
    <cellStyle name="注释 2 3 10 3 4 2" xfId="11461" xr:uid="{00000000-0005-0000-0000-0000F52C0000}"/>
    <cellStyle name="注释 2 3 10 3 5" xfId="11474" xr:uid="{00000000-0005-0000-0000-0000022D0000}"/>
    <cellStyle name="注释 2 3 10 3 5 2" xfId="11478" xr:uid="{00000000-0005-0000-0000-0000062D0000}"/>
    <cellStyle name="注释 2 3 10 3 6" xfId="11497" xr:uid="{00000000-0005-0000-0000-0000192D0000}"/>
    <cellStyle name="注释 2 3 10 4" xfId="52560" xr:uid="{00000000-0005-0000-0000-000080CD0000}"/>
    <cellStyle name="注释 2 3 10 4 2" xfId="13491" xr:uid="{00000000-0005-0000-0000-0000E3340000}"/>
    <cellStyle name="注释 2 3 10 4 2 2" xfId="12611" xr:uid="{00000000-0005-0000-0000-000073310000}"/>
    <cellStyle name="注释 2 3 10 4 3" xfId="15564" xr:uid="{00000000-0005-0000-0000-0000FC3C0000}"/>
    <cellStyle name="注释 2 3 10 4 3 2" xfId="12664" xr:uid="{00000000-0005-0000-0000-0000A8310000}"/>
    <cellStyle name="注释 2 3 10 4 4" xfId="1363" xr:uid="{00000000-0005-0000-0000-000083050000}"/>
    <cellStyle name="注释 2 3 10 4 4 2" xfId="12690" xr:uid="{00000000-0005-0000-0000-0000C2310000}"/>
    <cellStyle name="注释 2 3 10 4 5" xfId="15595" xr:uid="{00000000-0005-0000-0000-00001B3D0000}"/>
    <cellStyle name="注释 2 3 10 4 5 2" xfId="12731" xr:uid="{00000000-0005-0000-0000-0000EB310000}"/>
    <cellStyle name="注释 2 3 10 4 6" xfId="15603" xr:uid="{00000000-0005-0000-0000-0000233D0000}"/>
    <cellStyle name="注释 2 3 10 5" xfId="39838" xr:uid="{00000000-0005-0000-0000-0000CE9B0000}"/>
    <cellStyle name="注释 2 3 10 5 2" xfId="13501" xr:uid="{00000000-0005-0000-0000-0000ED340000}"/>
    <cellStyle name="注释 2 3 10 5 2 2" xfId="15726" xr:uid="{00000000-0005-0000-0000-00009E3D0000}"/>
    <cellStyle name="注释 2 3 10 5 3" xfId="15762" xr:uid="{00000000-0005-0000-0000-0000C23D0000}"/>
    <cellStyle name="注释 2 3 10 5 3 2" xfId="15765" xr:uid="{00000000-0005-0000-0000-0000C53D0000}"/>
    <cellStyle name="注释 2 3 10 5 4" xfId="3984" xr:uid="{00000000-0005-0000-0000-0000C00F0000}"/>
    <cellStyle name="注释 2 3 10 5 4 2" xfId="15810" xr:uid="{00000000-0005-0000-0000-0000F23D0000}"/>
    <cellStyle name="注释 2 3 10 5 5" xfId="15847" xr:uid="{00000000-0005-0000-0000-0000173E0000}"/>
    <cellStyle name="注释 2 3 10 5 5 2" xfId="15850" xr:uid="{00000000-0005-0000-0000-00001A3E0000}"/>
    <cellStyle name="注释 2 3 10 5 6" xfId="14615" xr:uid="{00000000-0005-0000-0000-000047390000}"/>
    <cellStyle name="注释 2 3 10 6" xfId="52561" xr:uid="{00000000-0005-0000-0000-000081CD0000}"/>
    <cellStyle name="注释 2 3 10 6 2" xfId="15865" xr:uid="{00000000-0005-0000-0000-0000293E0000}"/>
    <cellStyle name="注释 2 3 10 6 2 2" xfId="15869" xr:uid="{00000000-0005-0000-0000-00002D3E0000}"/>
    <cellStyle name="注释 2 3 10 6 3" xfId="15872" xr:uid="{00000000-0005-0000-0000-0000303E0000}"/>
    <cellStyle name="注释 2 3 10 6 3 2" xfId="52562" xr:uid="{00000000-0005-0000-0000-000082CD0000}"/>
    <cellStyle name="注释 2 3 10 6 4" xfId="5267" xr:uid="{00000000-0005-0000-0000-0000C3140000}"/>
    <cellStyle name="注释 2 3 10 6 4 2" xfId="52563" xr:uid="{00000000-0005-0000-0000-000083CD0000}"/>
    <cellStyle name="注释 2 3 10 6 5" xfId="15877" xr:uid="{00000000-0005-0000-0000-0000353E0000}"/>
    <cellStyle name="注释 2 3 10 6 5 2" xfId="52564" xr:uid="{00000000-0005-0000-0000-000084CD0000}"/>
    <cellStyle name="注释 2 3 10 6 6" xfId="14620" xr:uid="{00000000-0005-0000-0000-00004C390000}"/>
    <cellStyle name="注释 2 3 10 7" xfId="52565" xr:uid="{00000000-0005-0000-0000-000085CD0000}"/>
    <cellStyle name="注释 2 3 10 7 2" xfId="15884" xr:uid="{00000000-0005-0000-0000-00003C3E0000}"/>
    <cellStyle name="注释 2 3 10 7 2 2" xfId="15891" xr:uid="{00000000-0005-0000-0000-0000433E0000}"/>
    <cellStyle name="注释 2 3 10 7 3" xfId="15894" xr:uid="{00000000-0005-0000-0000-0000463E0000}"/>
    <cellStyle name="注释 2 3 10 7 3 2" xfId="52566" xr:uid="{00000000-0005-0000-0000-000086CD0000}"/>
    <cellStyle name="注释 2 3 10 7 4" xfId="52567" xr:uid="{00000000-0005-0000-0000-000087CD0000}"/>
    <cellStyle name="注释 2 3 10 7 4 2" xfId="52568" xr:uid="{00000000-0005-0000-0000-000088CD0000}"/>
    <cellStyle name="注释 2 3 10 7 5" xfId="52569" xr:uid="{00000000-0005-0000-0000-000089CD0000}"/>
    <cellStyle name="注释 2 3 10 7 5 2" xfId="52570" xr:uid="{00000000-0005-0000-0000-00008ACD0000}"/>
    <cellStyle name="注释 2 3 10 7 6" xfId="52571" xr:uid="{00000000-0005-0000-0000-00008BCD0000}"/>
    <cellStyle name="注释 2 3 10 8" xfId="27540" xr:uid="{00000000-0005-0000-0000-0000C46B0000}"/>
    <cellStyle name="注释 2 3 10 8 2" xfId="15904" xr:uid="{00000000-0005-0000-0000-0000503E0000}"/>
    <cellStyle name="注释 2 3 10 8 2 2" xfId="15907" xr:uid="{00000000-0005-0000-0000-0000533E0000}"/>
    <cellStyle name="注释 2 3 10 8 3" xfId="15909" xr:uid="{00000000-0005-0000-0000-0000553E0000}"/>
    <cellStyle name="注释 2 3 10 8 3 2" xfId="35787" xr:uid="{00000000-0005-0000-0000-0000FB8B0000}"/>
    <cellStyle name="注释 2 3 10 8 4" xfId="52572" xr:uid="{00000000-0005-0000-0000-00008CCD0000}"/>
    <cellStyle name="注释 2 3 10 8 4 2" xfId="39040" xr:uid="{00000000-0005-0000-0000-0000B0980000}"/>
    <cellStyle name="注释 2 3 10 8 5" xfId="52573" xr:uid="{00000000-0005-0000-0000-00008DCD0000}"/>
    <cellStyle name="注释 2 3 10 9" xfId="17834" xr:uid="{00000000-0005-0000-0000-0000DA450000}"/>
    <cellStyle name="注释 2 3 10 9 2" xfId="15930" xr:uid="{00000000-0005-0000-0000-00006A3E0000}"/>
    <cellStyle name="注释 2 3 11" xfId="52574" xr:uid="{00000000-0005-0000-0000-00008ECD0000}"/>
    <cellStyle name="注释 2 3 11 10" xfId="52575" xr:uid="{00000000-0005-0000-0000-00008FCD0000}"/>
    <cellStyle name="注释 2 3 11 10 2" xfId="52576" xr:uid="{00000000-0005-0000-0000-000090CD0000}"/>
    <cellStyle name="注释 2 3 11 11" xfId="52577" xr:uid="{00000000-0005-0000-0000-000091CD0000}"/>
    <cellStyle name="注释 2 3 11 11 2" xfId="52578" xr:uid="{00000000-0005-0000-0000-000092CD0000}"/>
    <cellStyle name="注释 2 3 11 12" xfId="52579" xr:uid="{00000000-0005-0000-0000-000093CD0000}"/>
    <cellStyle name="注释 2 3 11 12 2" xfId="52580" xr:uid="{00000000-0005-0000-0000-000094CD0000}"/>
    <cellStyle name="注释 2 3 11 13" xfId="36585" xr:uid="{00000000-0005-0000-0000-0000198F0000}"/>
    <cellStyle name="注释 2 3 11 14" xfId="52581" xr:uid="{00000000-0005-0000-0000-000095CD0000}"/>
    <cellStyle name="注释 2 3 11 15" xfId="52582" xr:uid="{00000000-0005-0000-0000-000096CD0000}"/>
    <cellStyle name="注释 2 3 11 16" xfId="52583" xr:uid="{00000000-0005-0000-0000-000097CD0000}"/>
    <cellStyle name="注释 2 3 11 2" xfId="52584" xr:uid="{00000000-0005-0000-0000-000098CD0000}"/>
    <cellStyle name="注释 2 3 11 2 2" xfId="8566" xr:uid="{00000000-0005-0000-0000-0000A6210000}"/>
    <cellStyle name="注释 2 3 11 2 2 2" xfId="42637" xr:uid="{00000000-0005-0000-0000-0000BDA60000}"/>
    <cellStyle name="注释 2 3 11 2 3" xfId="52585" xr:uid="{00000000-0005-0000-0000-000099CD0000}"/>
    <cellStyle name="注释 2 3 11 2 3 2" xfId="42644" xr:uid="{00000000-0005-0000-0000-0000C4A60000}"/>
    <cellStyle name="注释 2 3 11 2 4" xfId="47818" xr:uid="{00000000-0005-0000-0000-0000FABA0000}"/>
    <cellStyle name="注释 2 3 11 2 4 2" xfId="42649" xr:uid="{00000000-0005-0000-0000-0000C9A60000}"/>
    <cellStyle name="注释 2 3 11 2 5" xfId="52586" xr:uid="{00000000-0005-0000-0000-00009ACD0000}"/>
    <cellStyle name="注释 2 3 11 2 5 2" xfId="52587" xr:uid="{00000000-0005-0000-0000-00009BCD0000}"/>
    <cellStyle name="注释 2 3 11 2 6" xfId="52588" xr:uid="{00000000-0005-0000-0000-00009CCD0000}"/>
    <cellStyle name="注释 2 3 11 3" xfId="38721" xr:uid="{00000000-0005-0000-0000-000071970000}"/>
    <cellStyle name="注释 2 3 11 3 2" xfId="52589" xr:uid="{00000000-0005-0000-0000-00009DCD0000}"/>
    <cellStyle name="注释 2 3 11 3 2 2" xfId="52590" xr:uid="{00000000-0005-0000-0000-00009ECD0000}"/>
    <cellStyle name="注释 2 3 11 3 3" xfId="52591" xr:uid="{00000000-0005-0000-0000-00009FCD0000}"/>
    <cellStyle name="注释 2 3 11 3 3 2" xfId="52592" xr:uid="{00000000-0005-0000-0000-0000A0CD0000}"/>
    <cellStyle name="注释 2 3 11 3 4" xfId="47821" xr:uid="{00000000-0005-0000-0000-0000FDBA0000}"/>
    <cellStyle name="注释 2 3 11 3 4 2" xfId="52593" xr:uid="{00000000-0005-0000-0000-0000A1CD0000}"/>
    <cellStyle name="注释 2 3 11 3 5" xfId="52594" xr:uid="{00000000-0005-0000-0000-0000A2CD0000}"/>
    <cellStyle name="注释 2 3 11 3 5 2" xfId="32806" xr:uid="{00000000-0005-0000-0000-000056800000}"/>
    <cellStyle name="注释 2 3 11 3 6" xfId="52595" xr:uid="{00000000-0005-0000-0000-0000A3CD0000}"/>
    <cellStyle name="注释 2 3 11 4" xfId="52596" xr:uid="{00000000-0005-0000-0000-0000A4CD0000}"/>
    <cellStyle name="注释 2 3 11 4 2" xfId="52597" xr:uid="{00000000-0005-0000-0000-0000A5CD0000}"/>
    <cellStyle name="注释 2 3 11 4 2 2" xfId="52598" xr:uid="{00000000-0005-0000-0000-0000A6CD0000}"/>
    <cellStyle name="注释 2 3 11 4 3" xfId="52599" xr:uid="{00000000-0005-0000-0000-0000A7CD0000}"/>
    <cellStyle name="注释 2 3 11 4 3 2" xfId="52600" xr:uid="{00000000-0005-0000-0000-0000A8CD0000}"/>
    <cellStyle name="注释 2 3 11 4 4" xfId="52601" xr:uid="{00000000-0005-0000-0000-0000A9CD0000}"/>
    <cellStyle name="注释 2 3 11 4 4 2" xfId="52602" xr:uid="{00000000-0005-0000-0000-0000AACD0000}"/>
    <cellStyle name="注释 2 3 11 4 5" xfId="52603" xr:uid="{00000000-0005-0000-0000-0000ABCD0000}"/>
    <cellStyle name="注释 2 3 11 4 5 2" xfId="52604" xr:uid="{00000000-0005-0000-0000-0000ACCD0000}"/>
    <cellStyle name="注释 2 3 11 4 6" xfId="52605" xr:uid="{00000000-0005-0000-0000-0000ADCD0000}"/>
    <cellStyle name="注释 2 3 11 5" xfId="39842" xr:uid="{00000000-0005-0000-0000-0000D29B0000}"/>
    <cellStyle name="注释 2 3 11 5 2" xfId="52606" xr:uid="{00000000-0005-0000-0000-0000AECD0000}"/>
    <cellStyle name="注释 2 3 11 5 2 2" xfId="52607" xr:uid="{00000000-0005-0000-0000-0000AFCD0000}"/>
    <cellStyle name="注释 2 3 11 5 3" xfId="52608" xr:uid="{00000000-0005-0000-0000-0000B0CD0000}"/>
    <cellStyle name="注释 2 3 11 5 3 2" xfId="52609" xr:uid="{00000000-0005-0000-0000-0000B1CD0000}"/>
    <cellStyle name="注释 2 3 11 5 4" xfId="52610" xr:uid="{00000000-0005-0000-0000-0000B2CD0000}"/>
    <cellStyle name="注释 2 3 11 5 4 2" xfId="52611" xr:uid="{00000000-0005-0000-0000-0000B3CD0000}"/>
    <cellStyle name="注释 2 3 11 5 5" xfId="52612" xr:uid="{00000000-0005-0000-0000-0000B4CD0000}"/>
    <cellStyle name="注释 2 3 11 5 5 2" xfId="52613" xr:uid="{00000000-0005-0000-0000-0000B5CD0000}"/>
    <cellStyle name="注释 2 3 11 5 6" xfId="52614" xr:uid="{00000000-0005-0000-0000-0000B6CD0000}"/>
    <cellStyle name="注释 2 3 11 6" xfId="52615" xr:uid="{00000000-0005-0000-0000-0000B7CD0000}"/>
    <cellStyle name="注释 2 3 11 6 2" xfId="52616" xr:uid="{00000000-0005-0000-0000-0000B8CD0000}"/>
    <cellStyle name="注释 2 3 11 6 2 2" xfId="52617" xr:uid="{00000000-0005-0000-0000-0000B9CD0000}"/>
    <cellStyle name="注释 2 3 11 6 3" xfId="52618" xr:uid="{00000000-0005-0000-0000-0000BACD0000}"/>
    <cellStyle name="注释 2 3 11 6 3 2" xfId="52619" xr:uid="{00000000-0005-0000-0000-0000BBCD0000}"/>
    <cellStyle name="注释 2 3 11 6 4" xfId="52620" xr:uid="{00000000-0005-0000-0000-0000BCCD0000}"/>
    <cellStyle name="注释 2 3 11 6 4 2" xfId="52621" xr:uid="{00000000-0005-0000-0000-0000BDCD0000}"/>
    <cellStyle name="注释 2 3 11 6 5" xfId="52622" xr:uid="{00000000-0005-0000-0000-0000BECD0000}"/>
    <cellStyle name="注释 2 3 11 6 5 2" xfId="52623" xr:uid="{00000000-0005-0000-0000-0000BFCD0000}"/>
    <cellStyle name="注释 2 3 11 6 6" xfId="52624" xr:uid="{00000000-0005-0000-0000-0000C0CD0000}"/>
    <cellStyle name="注释 2 3 11 7" xfId="52625" xr:uid="{00000000-0005-0000-0000-0000C1CD0000}"/>
    <cellStyle name="注释 2 3 11 7 2" xfId="52626" xr:uid="{00000000-0005-0000-0000-0000C2CD0000}"/>
    <cellStyle name="注释 2 3 11 7 2 2" xfId="52627" xr:uid="{00000000-0005-0000-0000-0000C3CD0000}"/>
    <cellStyle name="注释 2 3 11 7 3" xfId="52628" xr:uid="{00000000-0005-0000-0000-0000C4CD0000}"/>
    <cellStyle name="注释 2 3 11 7 3 2" xfId="52629" xr:uid="{00000000-0005-0000-0000-0000C5CD0000}"/>
    <cellStyle name="注释 2 3 11 7 4" xfId="52630" xr:uid="{00000000-0005-0000-0000-0000C6CD0000}"/>
    <cellStyle name="注释 2 3 11 7 4 2" xfId="52631" xr:uid="{00000000-0005-0000-0000-0000C7CD0000}"/>
    <cellStyle name="注释 2 3 11 7 5" xfId="52632" xr:uid="{00000000-0005-0000-0000-0000C8CD0000}"/>
    <cellStyle name="注释 2 3 11 7 5 2" xfId="52633" xr:uid="{00000000-0005-0000-0000-0000C9CD0000}"/>
    <cellStyle name="注释 2 3 11 7 6" xfId="52634" xr:uid="{00000000-0005-0000-0000-0000CACD0000}"/>
    <cellStyle name="注释 2 3 11 8" xfId="27543" xr:uid="{00000000-0005-0000-0000-0000C76B0000}"/>
    <cellStyle name="注释 2 3 11 8 2" xfId="52635" xr:uid="{00000000-0005-0000-0000-0000CBCD0000}"/>
    <cellStyle name="注释 2 3 11 8 2 2" xfId="29345" xr:uid="{00000000-0005-0000-0000-0000D1720000}"/>
    <cellStyle name="注释 2 3 11 8 3" xfId="52636" xr:uid="{00000000-0005-0000-0000-0000CCCD0000}"/>
    <cellStyle name="注释 2 3 11 8 3 2" xfId="36188" xr:uid="{00000000-0005-0000-0000-00008C8D0000}"/>
    <cellStyle name="注释 2 3 11 8 4" xfId="52637" xr:uid="{00000000-0005-0000-0000-0000CDCD0000}"/>
    <cellStyle name="注释 2 3 11 8 4 2" xfId="52638" xr:uid="{00000000-0005-0000-0000-0000CECD0000}"/>
    <cellStyle name="注释 2 3 11 8 5" xfId="52639" xr:uid="{00000000-0005-0000-0000-0000CFCD0000}"/>
    <cellStyle name="注释 2 3 11 9" xfId="17836" xr:uid="{00000000-0005-0000-0000-0000DC450000}"/>
    <cellStyle name="注释 2 3 11 9 2" xfId="52640" xr:uid="{00000000-0005-0000-0000-0000D0CD0000}"/>
    <cellStyle name="注释 2 3 12" xfId="49751" xr:uid="{00000000-0005-0000-0000-000087C20000}"/>
    <cellStyle name="注释 2 3 12 2" xfId="49753" xr:uid="{00000000-0005-0000-0000-000089C20000}"/>
    <cellStyle name="注释 2 3 12 2 2" xfId="59" xr:uid="{00000000-0005-0000-0000-000040000000}"/>
    <cellStyle name="注释 2 3 12 3" xfId="52641" xr:uid="{00000000-0005-0000-0000-0000D1CD0000}"/>
    <cellStyle name="注释 2 3 12 3 2" xfId="23714" xr:uid="{00000000-0005-0000-0000-0000D25C0000}"/>
    <cellStyle name="注释 2 3 12 4" xfId="22935" xr:uid="{00000000-0005-0000-0000-0000C7590000}"/>
    <cellStyle name="注释 2 3 12 4 2" xfId="52642" xr:uid="{00000000-0005-0000-0000-0000D2CD0000}"/>
    <cellStyle name="注释 2 3 12 5" xfId="52643" xr:uid="{00000000-0005-0000-0000-0000D3CD0000}"/>
    <cellStyle name="注释 2 3 12 5 2" xfId="42046" xr:uid="{00000000-0005-0000-0000-00006EA40000}"/>
    <cellStyle name="注释 2 3 12 6" xfId="52644" xr:uid="{00000000-0005-0000-0000-0000D4CD0000}"/>
    <cellStyle name="注释 2 3 12 7" xfId="30185" xr:uid="{00000000-0005-0000-0000-000019760000}"/>
    <cellStyle name="注释 2 3 12 8" xfId="52645" xr:uid="{00000000-0005-0000-0000-0000D5CD0000}"/>
    <cellStyle name="注释 2 3 12 9" xfId="42488" xr:uid="{00000000-0005-0000-0000-000028A60000}"/>
    <cellStyle name="注释 2 3 13" xfId="49755" xr:uid="{00000000-0005-0000-0000-00008BC20000}"/>
    <cellStyle name="注释 2 3 13 2" xfId="49757" xr:uid="{00000000-0005-0000-0000-00008DC20000}"/>
    <cellStyle name="注释 2 3 13 2 2" xfId="8617" xr:uid="{00000000-0005-0000-0000-0000D9210000}"/>
    <cellStyle name="注释 2 3 13 3" xfId="52646" xr:uid="{00000000-0005-0000-0000-0000D6CD0000}"/>
    <cellStyle name="注释 2 3 13 3 2" xfId="52647" xr:uid="{00000000-0005-0000-0000-0000D7CD0000}"/>
    <cellStyle name="注释 2 3 13 4" xfId="22939" xr:uid="{00000000-0005-0000-0000-0000CB590000}"/>
    <cellStyle name="注释 2 3 13 4 2" xfId="27816" xr:uid="{00000000-0005-0000-0000-0000D86C0000}"/>
    <cellStyle name="注释 2 3 13 5" xfId="16976" xr:uid="{00000000-0005-0000-0000-000080420000}"/>
    <cellStyle name="注释 2 3 13 5 2" xfId="27820" xr:uid="{00000000-0005-0000-0000-0000DC6C0000}"/>
    <cellStyle name="注释 2 3 13 6" xfId="27824" xr:uid="{00000000-0005-0000-0000-0000E06C0000}"/>
    <cellStyle name="注释 2 3 14" xfId="19556" xr:uid="{00000000-0005-0000-0000-0000944C0000}"/>
    <cellStyle name="注释 2 3 14 2" xfId="49759" xr:uid="{00000000-0005-0000-0000-00008FC20000}"/>
    <cellStyle name="注释 2 3 14 2 2" xfId="8660" xr:uid="{00000000-0005-0000-0000-000004220000}"/>
    <cellStyle name="注释 2 3 14 3" xfId="52648" xr:uid="{00000000-0005-0000-0000-0000D8CD0000}"/>
    <cellStyle name="注释 2 3 14 3 2" xfId="52649" xr:uid="{00000000-0005-0000-0000-0000D9CD0000}"/>
    <cellStyle name="注释 2 3 14 4" xfId="22943" xr:uid="{00000000-0005-0000-0000-0000CF590000}"/>
    <cellStyle name="注释 2 3 14 4 2" xfId="52650" xr:uid="{00000000-0005-0000-0000-0000DACD0000}"/>
    <cellStyle name="注释 2 3 14 5" xfId="52651" xr:uid="{00000000-0005-0000-0000-0000DBCD0000}"/>
    <cellStyle name="注释 2 3 14 5 2" xfId="52652" xr:uid="{00000000-0005-0000-0000-0000DCCD0000}"/>
    <cellStyle name="注释 2 3 14 6" xfId="52045" xr:uid="{00000000-0005-0000-0000-00007DCB0000}"/>
    <cellStyle name="注释 2 3 15" xfId="49761" xr:uid="{00000000-0005-0000-0000-000091C20000}"/>
    <cellStyle name="注释 2 3 15 2" xfId="49764" xr:uid="{00000000-0005-0000-0000-000094C20000}"/>
    <cellStyle name="注释 2 3 15 2 2" xfId="1376" xr:uid="{00000000-0005-0000-0000-000090050000}"/>
    <cellStyle name="注释 2 3 15 3" xfId="52653" xr:uid="{00000000-0005-0000-0000-0000DDCD0000}"/>
    <cellStyle name="注释 2 3 15 3 2" xfId="52654" xr:uid="{00000000-0005-0000-0000-0000DECD0000}"/>
    <cellStyle name="注释 2 3 15 4" xfId="22948" xr:uid="{00000000-0005-0000-0000-0000D4590000}"/>
    <cellStyle name="注释 2 3 15 4 2" xfId="17283" xr:uid="{00000000-0005-0000-0000-0000B3430000}"/>
    <cellStyle name="注释 2 3 15 5" xfId="52655" xr:uid="{00000000-0005-0000-0000-0000DFCD0000}"/>
    <cellStyle name="注释 2 3 15 5 2" xfId="17406" xr:uid="{00000000-0005-0000-0000-00002E440000}"/>
    <cellStyle name="注释 2 3 15 6" xfId="26224" xr:uid="{00000000-0005-0000-0000-0000A0660000}"/>
    <cellStyle name="注释 2 3 16" xfId="49767" xr:uid="{00000000-0005-0000-0000-000097C20000}"/>
    <cellStyle name="注释 2 3 16 2" xfId="52656" xr:uid="{00000000-0005-0000-0000-0000E0CD0000}"/>
    <cellStyle name="注释 2 3 16 2 2" xfId="52658" xr:uid="{00000000-0005-0000-0000-0000E2CD0000}"/>
    <cellStyle name="注释 2 3 16 3" xfId="45839" xr:uid="{00000000-0005-0000-0000-00003FB30000}"/>
    <cellStyle name="注释 2 3 16 3 2" xfId="52659" xr:uid="{00000000-0005-0000-0000-0000E3CD0000}"/>
    <cellStyle name="注释 2 3 16 4" xfId="52660" xr:uid="{00000000-0005-0000-0000-0000E4CD0000}"/>
    <cellStyle name="注释 2 3 16 4 2" xfId="52661" xr:uid="{00000000-0005-0000-0000-0000E5CD0000}"/>
    <cellStyle name="注释 2 3 16 5" xfId="52662" xr:uid="{00000000-0005-0000-0000-0000E6CD0000}"/>
    <cellStyle name="注释 2 3 16 5 2" xfId="52663" xr:uid="{00000000-0005-0000-0000-0000E7CD0000}"/>
    <cellStyle name="注释 2 3 16 6" xfId="30209" xr:uid="{00000000-0005-0000-0000-000031760000}"/>
    <cellStyle name="注释 2 3 17" xfId="52664" xr:uid="{00000000-0005-0000-0000-0000E8CD0000}"/>
    <cellStyle name="注释 2 3 17 2" xfId="52666" xr:uid="{00000000-0005-0000-0000-0000EACD0000}"/>
    <cellStyle name="注释 2 3 17 2 2" xfId="2921" xr:uid="{00000000-0005-0000-0000-0000990B0000}"/>
    <cellStyle name="注释 2 3 17 3" xfId="45841" xr:uid="{00000000-0005-0000-0000-000041B30000}"/>
    <cellStyle name="注释 2 3 17 3 2" xfId="24828" xr:uid="{00000000-0005-0000-0000-00002C610000}"/>
    <cellStyle name="注释 2 3 17 4" xfId="52668" xr:uid="{00000000-0005-0000-0000-0000ECCD0000}"/>
    <cellStyle name="注释 2 3 17 4 2" xfId="52669" xr:uid="{00000000-0005-0000-0000-0000EDCD0000}"/>
    <cellStyle name="注释 2 3 17 5" xfId="52670" xr:uid="{00000000-0005-0000-0000-0000EECD0000}"/>
    <cellStyle name="注释 2 3 17 5 2" xfId="52671" xr:uid="{00000000-0005-0000-0000-0000EFCD0000}"/>
    <cellStyle name="注释 2 3 17 6" xfId="30216" xr:uid="{00000000-0005-0000-0000-000038760000}"/>
    <cellStyle name="注释 2 3 18" xfId="52672" xr:uid="{00000000-0005-0000-0000-0000F0CD0000}"/>
    <cellStyle name="注释 2 3 18 2" xfId="52674" xr:uid="{00000000-0005-0000-0000-0000F2CD0000}"/>
    <cellStyle name="注释 2 3 18 2 2" xfId="52676" xr:uid="{00000000-0005-0000-0000-0000F4CD0000}"/>
    <cellStyle name="注释 2 3 18 3" xfId="45844" xr:uid="{00000000-0005-0000-0000-000044B30000}"/>
    <cellStyle name="注释 2 3 18 3 2" xfId="50118" xr:uid="{00000000-0005-0000-0000-0000F6C30000}"/>
    <cellStyle name="注释 2 3 18 4" xfId="26261" xr:uid="{00000000-0005-0000-0000-0000C5660000}"/>
    <cellStyle name="注释 2 3 18 4 2" xfId="26265" xr:uid="{00000000-0005-0000-0000-0000C9660000}"/>
    <cellStyle name="注释 2 3 18 5" xfId="15572" xr:uid="{00000000-0005-0000-0000-0000043D0000}"/>
    <cellStyle name="注释 2 3 18 5 2" xfId="27955" xr:uid="{00000000-0005-0000-0000-0000636D0000}"/>
    <cellStyle name="注释 2 3 18 6" xfId="27960" xr:uid="{00000000-0005-0000-0000-0000686D0000}"/>
    <cellStyle name="注释 2 3 19" xfId="3317" xr:uid="{00000000-0005-0000-0000-0000250D0000}"/>
    <cellStyle name="注释 2 3 19 2" xfId="26273" xr:uid="{00000000-0005-0000-0000-0000D1660000}"/>
    <cellStyle name="注释 2 3 19 2 2" xfId="52677" xr:uid="{00000000-0005-0000-0000-0000F5CD0000}"/>
    <cellStyle name="注释 2 3 19 3" xfId="45846" xr:uid="{00000000-0005-0000-0000-000046B30000}"/>
    <cellStyle name="注释 2 3 19 3 2" xfId="52678" xr:uid="{00000000-0005-0000-0000-0000F6CD0000}"/>
    <cellStyle name="注释 2 3 19 4" xfId="52679" xr:uid="{00000000-0005-0000-0000-0000F7CD0000}"/>
    <cellStyle name="注释 2 3 19 4 2" xfId="52680" xr:uid="{00000000-0005-0000-0000-0000F8CD0000}"/>
    <cellStyle name="注释 2 3 19 5" xfId="52681" xr:uid="{00000000-0005-0000-0000-0000F9CD0000}"/>
    <cellStyle name="注释 2 3 2" xfId="52682" xr:uid="{00000000-0005-0000-0000-0000FACD0000}"/>
    <cellStyle name="注释 2 3 2 10" xfId="11619" xr:uid="{00000000-0005-0000-0000-0000932D0000}"/>
    <cellStyle name="注释 2 3 2 10 2" xfId="11625" xr:uid="{00000000-0005-0000-0000-0000992D0000}"/>
    <cellStyle name="注释 2 3 2 11" xfId="8549" xr:uid="{00000000-0005-0000-0000-000095210000}"/>
    <cellStyle name="注释 2 3 2 11 2" xfId="26767" xr:uid="{00000000-0005-0000-0000-0000BF680000}"/>
    <cellStyle name="注释 2 3 2 12" xfId="45" xr:uid="{00000000-0005-0000-0000-000031000000}"/>
    <cellStyle name="注释 2 3 2 12 2" xfId="26794" xr:uid="{00000000-0005-0000-0000-0000DA680000}"/>
    <cellStyle name="注释 2 3 2 13" xfId="13361" xr:uid="{00000000-0005-0000-0000-000061340000}"/>
    <cellStyle name="注释 2 3 2 14" xfId="13520" xr:uid="{00000000-0005-0000-0000-000000350000}"/>
    <cellStyle name="注释 2 3 2 15" xfId="52684" xr:uid="{00000000-0005-0000-0000-0000FCCD0000}"/>
    <cellStyle name="注释 2 3 2 16" xfId="52686" xr:uid="{00000000-0005-0000-0000-0000FECD0000}"/>
    <cellStyle name="注释 2 3 2 2" xfId="52687" xr:uid="{00000000-0005-0000-0000-0000FFCD0000}"/>
    <cellStyle name="注释 2 3 2 2 2" xfId="52688" xr:uid="{00000000-0005-0000-0000-000000CE0000}"/>
    <cellStyle name="注释 2 3 2 2 2 2" xfId="52689" xr:uid="{00000000-0005-0000-0000-000001CE0000}"/>
    <cellStyle name="注释 2 3 2 2 3" xfId="52690" xr:uid="{00000000-0005-0000-0000-000002CE0000}"/>
    <cellStyle name="注释 2 3 2 2 3 2" xfId="52691" xr:uid="{00000000-0005-0000-0000-000003CE0000}"/>
    <cellStyle name="注释 2 3 2 2 4" xfId="51442" xr:uid="{00000000-0005-0000-0000-000022C90000}"/>
    <cellStyle name="注释 2 3 2 2 4 2" xfId="52692" xr:uid="{00000000-0005-0000-0000-000004CE0000}"/>
    <cellStyle name="注释 2 3 2 2 5" xfId="52693" xr:uid="{00000000-0005-0000-0000-000005CE0000}"/>
    <cellStyle name="注释 2 3 2 2 5 2" xfId="52694" xr:uid="{00000000-0005-0000-0000-000006CE0000}"/>
    <cellStyle name="注释 2 3 2 2 6" xfId="32889" xr:uid="{00000000-0005-0000-0000-0000A9800000}"/>
    <cellStyle name="注释 2 3 2 2 7" xfId="52695" xr:uid="{00000000-0005-0000-0000-000007CE0000}"/>
    <cellStyle name="注释 2 3 2 2 8" xfId="14550" xr:uid="{00000000-0005-0000-0000-000006390000}"/>
    <cellStyle name="注释 2 3 2 2 9" xfId="43588" xr:uid="{00000000-0005-0000-0000-000074AA0000}"/>
    <cellStyle name="注释 2 3 2 3" xfId="52696" xr:uid="{00000000-0005-0000-0000-000008CE0000}"/>
    <cellStyle name="注释 2 3 2 3 2" xfId="52697" xr:uid="{00000000-0005-0000-0000-000009CE0000}"/>
    <cellStyle name="注释 2 3 2 3 2 2" xfId="52698" xr:uid="{00000000-0005-0000-0000-00000ACE0000}"/>
    <cellStyle name="注释 2 3 2 3 3" xfId="52699" xr:uid="{00000000-0005-0000-0000-00000BCE0000}"/>
    <cellStyle name="注释 2 3 2 3 3 2" xfId="52700" xr:uid="{00000000-0005-0000-0000-00000CCE0000}"/>
    <cellStyle name="注释 2 3 2 3 4" xfId="51445" xr:uid="{00000000-0005-0000-0000-000025C90000}"/>
    <cellStyle name="注释 2 3 2 3 4 2" xfId="52701" xr:uid="{00000000-0005-0000-0000-00000DCE0000}"/>
    <cellStyle name="注释 2 3 2 3 5" xfId="52702" xr:uid="{00000000-0005-0000-0000-00000ECE0000}"/>
    <cellStyle name="注释 2 3 2 3 5 2" xfId="52703" xr:uid="{00000000-0005-0000-0000-00000FCE0000}"/>
    <cellStyle name="注释 2 3 2 3 6" xfId="32893" xr:uid="{00000000-0005-0000-0000-0000AD800000}"/>
    <cellStyle name="注释 2 3 2 4" xfId="52704" xr:uid="{00000000-0005-0000-0000-000010CE0000}"/>
    <cellStyle name="注释 2 3 2 4 2" xfId="52705" xr:uid="{00000000-0005-0000-0000-000011CE0000}"/>
    <cellStyle name="注释 2 3 2 4 2 2" xfId="52706" xr:uid="{00000000-0005-0000-0000-000012CE0000}"/>
    <cellStyle name="注释 2 3 2 4 3" xfId="52707" xr:uid="{00000000-0005-0000-0000-000013CE0000}"/>
    <cellStyle name="注释 2 3 2 4 3 2" xfId="42327" xr:uid="{00000000-0005-0000-0000-000087A50000}"/>
    <cellStyle name="注释 2 3 2 4 4" xfId="51448" xr:uid="{00000000-0005-0000-0000-000028C90000}"/>
    <cellStyle name="注释 2 3 2 4 4 2" xfId="52708" xr:uid="{00000000-0005-0000-0000-000014CE0000}"/>
    <cellStyle name="注释 2 3 2 4 5" xfId="52709" xr:uid="{00000000-0005-0000-0000-000015CE0000}"/>
    <cellStyle name="注释 2 3 2 4 5 2" xfId="52710" xr:uid="{00000000-0005-0000-0000-000016CE0000}"/>
    <cellStyle name="注释 2 3 2 4 6" xfId="32897" xr:uid="{00000000-0005-0000-0000-0000B1800000}"/>
    <cellStyle name="注释 2 3 2 5" xfId="81" xr:uid="{00000000-0005-0000-0000-000058000000}"/>
    <cellStyle name="注释 2 3 2 5 2" xfId="1199" xr:uid="{00000000-0005-0000-0000-0000DF040000}"/>
    <cellStyle name="注释 2 3 2 5 2 2" xfId="52711" xr:uid="{00000000-0005-0000-0000-000017CE0000}"/>
    <cellStyle name="注释 2 3 2 5 3" xfId="1208" xr:uid="{00000000-0005-0000-0000-0000E8040000}"/>
    <cellStyle name="注释 2 3 2 5 3 2" xfId="42611" xr:uid="{00000000-0005-0000-0000-0000A3A60000}"/>
    <cellStyle name="注释 2 3 2 5 4" xfId="51451" xr:uid="{00000000-0005-0000-0000-00002BC90000}"/>
    <cellStyle name="注释 2 3 2 5 4 2" xfId="52712" xr:uid="{00000000-0005-0000-0000-000018CE0000}"/>
    <cellStyle name="注释 2 3 2 5 5" xfId="52713" xr:uid="{00000000-0005-0000-0000-000019CE0000}"/>
    <cellStyle name="注释 2 3 2 5 5 2" xfId="52714" xr:uid="{00000000-0005-0000-0000-00001ACE0000}"/>
    <cellStyle name="注释 2 3 2 5 6" xfId="32902" xr:uid="{00000000-0005-0000-0000-0000B6800000}"/>
    <cellStyle name="注释 2 3 2 6" xfId="52715" xr:uid="{00000000-0005-0000-0000-00001BCE0000}"/>
    <cellStyle name="注释 2 3 2 6 2" xfId="52716" xr:uid="{00000000-0005-0000-0000-00001CCE0000}"/>
    <cellStyle name="注释 2 3 2 6 2 2" xfId="52717" xr:uid="{00000000-0005-0000-0000-00001DCE0000}"/>
    <cellStyle name="注释 2 3 2 6 3" xfId="52719" xr:uid="{00000000-0005-0000-0000-00001FCE0000}"/>
    <cellStyle name="注释 2 3 2 6 3 2" xfId="52720" xr:uid="{00000000-0005-0000-0000-000020CE0000}"/>
    <cellStyle name="注释 2 3 2 6 4" xfId="52721" xr:uid="{00000000-0005-0000-0000-000021CE0000}"/>
    <cellStyle name="注释 2 3 2 6 4 2" xfId="52722" xr:uid="{00000000-0005-0000-0000-000022CE0000}"/>
    <cellStyle name="注释 2 3 2 6 5" xfId="52723" xr:uid="{00000000-0005-0000-0000-000023CE0000}"/>
    <cellStyle name="注释 2 3 2 6 5 2" xfId="52724" xr:uid="{00000000-0005-0000-0000-000024CE0000}"/>
    <cellStyle name="注释 2 3 2 6 6" xfId="52725" xr:uid="{00000000-0005-0000-0000-000025CE0000}"/>
    <cellStyle name="注释 2 3 2 7" xfId="52726" xr:uid="{00000000-0005-0000-0000-000026CE0000}"/>
    <cellStyle name="注释 2 3 2 7 2" xfId="52727" xr:uid="{00000000-0005-0000-0000-000027CE0000}"/>
    <cellStyle name="注释 2 3 2 7 2 2" xfId="52728" xr:uid="{00000000-0005-0000-0000-000028CE0000}"/>
    <cellStyle name="注释 2 3 2 7 3" xfId="52730" xr:uid="{00000000-0005-0000-0000-00002ACE0000}"/>
    <cellStyle name="注释 2 3 2 7 3 2" xfId="52731" xr:uid="{00000000-0005-0000-0000-00002BCE0000}"/>
    <cellStyle name="注释 2 3 2 7 4" xfId="52732" xr:uid="{00000000-0005-0000-0000-00002CCE0000}"/>
    <cellStyle name="注释 2 3 2 7 4 2" xfId="52733" xr:uid="{00000000-0005-0000-0000-00002DCE0000}"/>
    <cellStyle name="注释 2 3 2 7 5" xfId="52734" xr:uid="{00000000-0005-0000-0000-00002ECE0000}"/>
    <cellStyle name="注释 2 3 2 7 5 2" xfId="52735" xr:uid="{00000000-0005-0000-0000-00002FCE0000}"/>
    <cellStyle name="注释 2 3 2 7 6" xfId="52736" xr:uid="{00000000-0005-0000-0000-000030CE0000}"/>
    <cellStyle name="注释 2 3 2 8" xfId="52737" xr:uid="{00000000-0005-0000-0000-000031CE0000}"/>
    <cellStyle name="注释 2 3 2 8 2" xfId="52738" xr:uid="{00000000-0005-0000-0000-000032CE0000}"/>
    <cellStyle name="注释 2 3 2 8 2 2" xfId="52739" xr:uid="{00000000-0005-0000-0000-000033CE0000}"/>
    <cellStyle name="注释 2 3 2 8 3" xfId="52741" xr:uid="{00000000-0005-0000-0000-000035CE0000}"/>
    <cellStyle name="注释 2 3 2 8 3 2" xfId="52742" xr:uid="{00000000-0005-0000-0000-000036CE0000}"/>
    <cellStyle name="注释 2 3 2 8 4" xfId="52743" xr:uid="{00000000-0005-0000-0000-000037CE0000}"/>
    <cellStyle name="注释 2 3 2 8 4 2" xfId="52744" xr:uid="{00000000-0005-0000-0000-000038CE0000}"/>
    <cellStyle name="注释 2 3 2 8 5" xfId="52745" xr:uid="{00000000-0005-0000-0000-000039CE0000}"/>
    <cellStyle name="注释 2 3 2 9" xfId="52746" xr:uid="{00000000-0005-0000-0000-00003ACE0000}"/>
    <cellStyle name="注释 2 3 2 9 2" xfId="52748" xr:uid="{00000000-0005-0000-0000-00003CCE0000}"/>
    <cellStyle name="注释 2 3 20" xfId="49762" xr:uid="{00000000-0005-0000-0000-000092C20000}"/>
    <cellStyle name="注释 2 3 20 2" xfId="49765" xr:uid="{00000000-0005-0000-0000-000095C20000}"/>
    <cellStyle name="注释 2 3 21" xfId="49768" xr:uid="{00000000-0005-0000-0000-000098C20000}"/>
    <cellStyle name="注释 2 3 21 2" xfId="52657" xr:uid="{00000000-0005-0000-0000-0000E1CD0000}"/>
    <cellStyle name="注释 2 3 22" xfId="52665" xr:uid="{00000000-0005-0000-0000-0000E9CD0000}"/>
    <cellStyle name="注释 2 3 22 2" xfId="52667" xr:uid="{00000000-0005-0000-0000-0000EBCD0000}"/>
    <cellStyle name="注释 2 3 23" xfId="52673" xr:uid="{00000000-0005-0000-0000-0000F1CD0000}"/>
    <cellStyle name="注释 2 3 23 2" xfId="52675" xr:uid="{00000000-0005-0000-0000-0000F3CD0000}"/>
    <cellStyle name="注释 2 3 24" xfId="3318" xr:uid="{00000000-0005-0000-0000-0000260D0000}"/>
    <cellStyle name="注释 2 3 25" xfId="40163" xr:uid="{00000000-0005-0000-0000-0000139D0000}"/>
    <cellStyle name="注释 2 3 26" xfId="41144" xr:uid="{00000000-0005-0000-0000-0000E8A00000}"/>
    <cellStyle name="注释 2 3 27" xfId="41146" xr:uid="{00000000-0005-0000-0000-0000EAA00000}"/>
    <cellStyle name="注释 2 3 3" xfId="52750" xr:uid="{00000000-0005-0000-0000-00003ECE0000}"/>
    <cellStyle name="注释 2 3 3 10" xfId="13632" xr:uid="{00000000-0005-0000-0000-000070350000}"/>
    <cellStyle name="注释 2 3 3 10 2" xfId="13637" xr:uid="{00000000-0005-0000-0000-000075350000}"/>
    <cellStyle name="注释 2 3 3 11" xfId="13641" xr:uid="{00000000-0005-0000-0000-000079350000}"/>
    <cellStyle name="注释 2 3 3 11 2" xfId="32602" xr:uid="{00000000-0005-0000-0000-00008A7F0000}"/>
    <cellStyle name="注释 2 3 3 12" xfId="32605" xr:uid="{00000000-0005-0000-0000-00008D7F0000}"/>
    <cellStyle name="注释 2 3 3 12 2" xfId="32607" xr:uid="{00000000-0005-0000-0000-00008F7F0000}"/>
    <cellStyle name="注释 2 3 3 13" xfId="32610" xr:uid="{00000000-0005-0000-0000-0000927F0000}"/>
    <cellStyle name="注释 2 3 3 14" xfId="38446" xr:uid="{00000000-0005-0000-0000-00005E960000}"/>
    <cellStyle name="注释 2 3 3 15" xfId="52751" xr:uid="{00000000-0005-0000-0000-00003FCE0000}"/>
    <cellStyle name="注释 2 3 3 16" xfId="52752" xr:uid="{00000000-0005-0000-0000-000040CE0000}"/>
    <cellStyle name="注释 2 3 3 2" xfId="52753" xr:uid="{00000000-0005-0000-0000-000041CE0000}"/>
    <cellStyle name="注释 2 3 3 2 2" xfId="52754" xr:uid="{00000000-0005-0000-0000-000042CE0000}"/>
    <cellStyle name="注释 2 3 3 2 2 2" xfId="52755" xr:uid="{00000000-0005-0000-0000-000043CE0000}"/>
    <cellStyle name="注释 2 3 3 2 3" xfId="52756" xr:uid="{00000000-0005-0000-0000-000044CE0000}"/>
    <cellStyle name="注释 2 3 3 2 3 2" xfId="46382" xr:uid="{00000000-0005-0000-0000-00005EB50000}"/>
    <cellStyle name="注释 2 3 3 2 4" xfId="51456" xr:uid="{00000000-0005-0000-0000-000030C90000}"/>
    <cellStyle name="注释 2 3 3 2 4 2" xfId="26177" xr:uid="{00000000-0005-0000-0000-000071660000}"/>
    <cellStyle name="注释 2 3 3 2 5" xfId="52757" xr:uid="{00000000-0005-0000-0000-000045CE0000}"/>
    <cellStyle name="注释 2 3 3 2 5 2" xfId="52758" xr:uid="{00000000-0005-0000-0000-000046CE0000}"/>
    <cellStyle name="注释 2 3 3 2 6" xfId="32914" xr:uid="{00000000-0005-0000-0000-0000C2800000}"/>
    <cellStyle name="注释 2 3 3 2 7" xfId="52759" xr:uid="{00000000-0005-0000-0000-000047CE0000}"/>
    <cellStyle name="注释 2 3 3 2 8" xfId="14574" xr:uid="{00000000-0005-0000-0000-00001E390000}"/>
    <cellStyle name="注释 2 3 3 2 9" xfId="52760" xr:uid="{00000000-0005-0000-0000-000048CE0000}"/>
    <cellStyle name="注释 2 3 3 3" xfId="52761" xr:uid="{00000000-0005-0000-0000-000049CE0000}"/>
    <cellStyle name="注释 2 3 3 3 2" xfId="52762" xr:uid="{00000000-0005-0000-0000-00004ACE0000}"/>
    <cellStyle name="注释 2 3 3 3 2 2" xfId="52763" xr:uid="{00000000-0005-0000-0000-00004BCE0000}"/>
    <cellStyle name="注释 2 3 3 3 3" xfId="52764" xr:uid="{00000000-0005-0000-0000-00004CCE0000}"/>
    <cellStyle name="注释 2 3 3 3 3 2" xfId="52765" xr:uid="{00000000-0005-0000-0000-00004DCE0000}"/>
    <cellStyle name="注释 2 3 3 3 4" xfId="51459" xr:uid="{00000000-0005-0000-0000-000033C90000}"/>
    <cellStyle name="注释 2 3 3 3 4 2" xfId="29241" xr:uid="{00000000-0005-0000-0000-000069720000}"/>
    <cellStyle name="注释 2 3 3 3 5" xfId="52766" xr:uid="{00000000-0005-0000-0000-00004ECE0000}"/>
    <cellStyle name="注释 2 3 3 3 5 2" xfId="52767" xr:uid="{00000000-0005-0000-0000-00004FCE0000}"/>
    <cellStyle name="注释 2 3 3 3 6" xfId="32916" xr:uid="{00000000-0005-0000-0000-0000C4800000}"/>
    <cellStyle name="注释 2 3 3 4" xfId="52768" xr:uid="{00000000-0005-0000-0000-000050CE0000}"/>
    <cellStyle name="注释 2 3 3 4 2" xfId="52769" xr:uid="{00000000-0005-0000-0000-000051CE0000}"/>
    <cellStyle name="注释 2 3 3 4 2 2" xfId="52770" xr:uid="{00000000-0005-0000-0000-000052CE0000}"/>
    <cellStyle name="注释 2 3 3 4 3" xfId="52771" xr:uid="{00000000-0005-0000-0000-000053CE0000}"/>
    <cellStyle name="注释 2 3 3 4 3 2" xfId="52772" xr:uid="{00000000-0005-0000-0000-000054CE0000}"/>
    <cellStyle name="注释 2 3 3 4 4" xfId="51462" xr:uid="{00000000-0005-0000-0000-000036C90000}"/>
    <cellStyle name="注释 2 3 3 4 4 2" xfId="52773" xr:uid="{00000000-0005-0000-0000-000055CE0000}"/>
    <cellStyle name="注释 2 3 3 4 5" xfId="52774" xr:uid="{00000000-0005-0000-0000-000056CE0000}"/>
    <cellStyle name="注释 2 3 3 4 5 2" xfId="52775" xr:uid="{00000000-0005-0000-0000-000057CE0000}"/>
    <cellStyle name="注释 2 3 3 4 6" xfId="32919" xr:uid="{00000000-0005-0000-0000-0000C7800000}"/>
    <cellStyle name="注释 2 3 3 5" xfId="52776" xr:uid="{00000000-0005-0000-0000-000058CE0000}"/>
    <cellStyle name="注释 2 3 3 5 2" xfId="52777" xr:uid="{00000000-0005-0000-0000-000059CE0000}"/>
    <cellStyle name="注释 2 3 3 5 2 2" xfId="52778" xr:uid="{00000000-0005-0000-0000-00005ACE0000}"/>
    <cellStyle name="注释 2 3 3 5 3" xfId="52779" xr:uid="{00000000-0005-0000-0000-00005BCE0000}"/>
    <cellStyle name="注释 2 3 3 5 3 2" xfId="52780" xr:uid="{00000000-0005-0000-0000-00005CCE0000}"/>
    <cellStyle name="注释 2 3 3 5 4" xfId="51465" xr:uid="{00000000-0005-0000-0000-000039C90000}"/>
    <cellStyle name="注释 2 3 3 5 4 2" xfId="52781" xr:uid="{00000000-0005-0000-0000-00005DCE0000}"/>
    <cellStyle name="注释 2 3 3 5 5" xfId="52782" xr:uid="{00000000-0005-0000-0000-00005ECE0000}"/>
    <cellStyle name="注释 2 3 3 5 5 2" xfId="52783" xr:uid="{00000000-0005-0000-0000-00005FCE0000}"/>
    <cellStyle name="注释 2 3 3 5 6" xfId="32922" xr:uid="{00000000-0005-0000-0000-0000CA800000}"/>
    <cellStyle name="注释 2 3 3 6" xfId="30383" xr:uid="{00000000-0005-0000-0000-0000DF760000}"/>
    <cellStyle name="注释 2 3 3 6 2" xfId="30385" xr:uid="{00000000-0005-0000-0000-0000E1760000}"/>
    <cellStyle name="注释 2 3 3 6 2 2" xfId="52784" xr:uid="{00000000-0005-0000-0000-000060CE0000}"/>
    <cellStyle name="注释 2 3 3 6 3" xfId="22150" xr:uid="{00000000-0005-0000-0000-0000B6560000}"/>
    <cellStyle name="注释 2 3 3 6 3 2" xfId="52786" xr:uid="{00000000-0005-0000-0000-000062CE0000}"/>
    <cellStyle name="注释 2 3 3 6 4" xfId="52787" xr:uid="{00000000-0005-0000-0000-000063CE0000}"/>
    <cellStyle name="注释 2 3 3 6 4 2" xfId="52788" xr:uid="{00000000-0005-0000-0000-000064CE0000}"/>
    <cellStyle name="注释 2 3 3 6 5" xfId="52789" xr:uid="{00000000-0005-0000-0000-000065CE0000}"/>
    <cellStyle name="注释 2 3 3 6 5 2" xfId="52790" xr:uid="{00000000-0005-0000-0000-000066CE0000}"/>
    <cellStyle name="注释 2 3 3 6 6" xfId="52791" xr:uid="{00000000-0005-0000-0000-000067CE0000}"/>
    <cellStyle name="注释 2 3 3 7" xfId="30387" xr:uid="{00000000-0005-0000-0000-0000E3760000}"/>
    <cellStyle name="注释 2 3 3 7 2" xfId="30389" xr:uid="{00000000-0005-0000-0000-0000E5760000}"/>
    <cellStyle name="注释 2 3 3 7 2 2" xfId="52792" xr:uid="{00000000-0005-0000-0000-000068CE0000}"/>
    <cellStyle name="注释 2 3 3 7 3" xfId="22153" xr:uid="{00000000-0005-0000-0000-0000B9560000}"/>
    <cellStyle name="注释 2 3 3 7 3 2" xfId="47059" xr:uid="{00000000-0005-0000-0000-000003B80000}"/>
    <cellStyle name="注释 2 3 3 7 4" xfId="52794" xr:uid="{00000000-0005-0000-0000-00006ACE0000}"/>
    <cellStyle name="注释 2 3 3 7 4 2" xfId="29799" xr:uid="{00000000-0005-0000-0000-000097740000}"/>
    <cellStyle name="注释 2 3 3 7 5" xfId="52795" xr:uid="{00000000-0005-0000-0000-00006BCE0000}"/>
    <cellStyle name="注释 2 3 3 7 5 2" xfId="52796" xr:uid="{00000000-0005-0000-0000-00006CCE0000}"/>
    <cellStyle name="注释 2 3 3 7 6" xfId="52797" xr:uid="{00000000-0005-0000-0000-00006DCE0000}"/>
    <cellStyle name="注释 2 3 3 8" xfId="30391" xr:uid="{00000000-0005-0000-0000-0000E7760000}"/>
    <cellStyle name="注释 2 3 3 8 2" xfId="30395" xr:uid="{00000000-0005-0000-0000-0000EB760000}"/>
    <cellStyle name="注释 2 3 3 8 2 2" xfId="52798" xr:uid="{00000000-0005-0000-0000-00006ECE0000}"/>
    <cellStyle name="注释 2 3 3 8 3" xfId="22156" xr:uid="{00000000-0005-0000-0000-0000BC560000}"/>
    <cellStyle name="注释 2 3 3 8 3 2" xfId="52800" xr:uid="{00000000-0005-0000-0000-000070CE0000}"/>
    <cellStyle name="注释 2 3 3 8 4" xfId="52801" xr:uid="{00000000-0005-0000-0000-000071CE0000}"/>
    <cellStyle name="注释 2 3 3 8 4 2" xfId="30291" xr:uid="{00000000-0005-0000-0000-000083760000}"/>
    <cellStyle name="注释 2 3 3 8 5" xfId="52802" xr:uid="{00000000-0005-0000-0000-000072CE0000}"/>
    <cellStyle name="注释 2 3 3 9" xfId="30398" xr:uid="{00000000-0005-0000-0000-0000EE760000}"/>
    <cellStyle name="注释 2 3 3 9 2" xfId="30401" xr:uid="{00000000-0005-0000-0000-0000F1760000}"/>
    <cellStyle name="注释 2 3 4" xfId="52803" xr:uid="{00000000-0005-0000-0000-000073CE0000}"/>
    <cellStyle name="注释 2 3 4 10" xfId="44839" xr:uid="{00000000-0005-0000-0000-000057AF0000}"/>
    <cellStyle name="注释 2 3 4 10 2" xfId="32050" xr:uid="{00000000-0005-0000-0000-0000627D0000}"/>
    <cellStyle name="注释 2 3 4 11" xfId="30720" xr:uid="{00000000-0005-0000-0000-000030780000}"/>
    <cellStyle name="注释 2 3 4 11 2" xfId="32065" xr:uid="{00000000-0005-0000-0000-0000717D0000}"/>
    <cellStyle name="注释 2 3 4 12" xfId="33419" xr:uid="{00000000-0005-0000-0000-0000BB820000}"/>
    <cellStyle name="注释 2 3 4 12 2" xfId="32080" xr:uid="{00000000-0005-0000-0000-0000807D0000}"/>
    <cellStyle name="注释 2 3 4 13" xfId="52804" xr:uid="{00000000-0005-0000-0000-000074CE0000}"/>
    <cellStyle name="注释 2 3 4 14" xfId="45621" xr:uid="{00000000-0005-0000-0000-000065B20000}"/>
    <cellStyle name="注释 2 3 4 15" xfId="23406" xr:uid="{00000000-0005-0000-0000-00009E5B0000}"/>
    <cellStyle name="注释 2 3 4 16" xfId="6266" xr:uid="{00000000-0005-0000-0000-0000AA180000}"/>
    <cellStyle name="注释 2 3 4 2" xfId="52805" xr:uid="{00000000-0005-0000-0000-000075CE0000}"/>
    <cellStyle name="注释 2 3 4 2 2" xfId="52806" xr:uid="{00000000-0005-0000-0000-000076CE0000}"/>
    <cellStyle name="注释 2 3 4 2 2 2" xfId="52807" xr:uid="{00000000-0005-0000-0000-000077CE0000}"/>
    <cellStyle name="注释 2 3 4 2 3" xfId="52808" xr:uid="{00000000-0005-0000-0000-000078CE0000}"/>
    <cellStyle name="注释 2 3 4 2 3 2" xfId="49293" xr:uid="{00000000-0005-0000-0000-0000BDC00000}"/>
    <cellStyle name="注释 2 3 4 2 4" xfId="51470" xr:uid="{00000000-0005-0000-0000-00003EC90000}"/>
    <cellStyle name="注释 2 3 4 2 4 2" xfId="33889" xr:uid="{00000000-0005-0000-0000-000091840000}"/>
    <cellStyle name="注释 2 3 4 2 5" xfId="52809" xr:uid="{00000000-0005-0000-0000-000079CE0000}"/>
    <cellStyle name="注释 2 3 4 2 5 2" xfId="52810" xr:uid="{00000000-0005-0000-0000-00007ACE0000}"/>
    <cellStyle name="注释 2 3 4 2 6" xfId="32924" xr:uid="{00000000-0005-0000-0000-0000CC800000}"/>
    <cellStyle name="注释 2 3 4 2 7" xfId="52811" xr:uid="{00000000-0005-0000-0000-00007BCE0000}"/>
    <cellStyle name="注释 2 3 4 2 8" xfId="14599" xr:uid="{00000000-0005-0000-0000-000037390000}"/>
    <cellStyle name="注释 2 3 4 2 9" xfId="42868" xr:uid="{00000000-0005-0000-0000-0000A4A70000}"/>
    <cellStyle name="注释 2 3 4 3" xfId="50850" xr:uid="{00000000-0005-0000-0000-0000D2C60000}"/>
    <cellStyle name="注释 2 3 4 3 2" xfId="50852" xr:uid="{00000000-0005-0000-0000-0000D4C60000}"/>
    <cellStyle name="注释 2 3 4 3 2 2" xfId="52812" xr:uid="{00000000-0005-0000-0000-00007CCE0000}"/>
    <cellStyle name="注释 2 3 4 3 3" xfId="52813" xr:uid="{00000000-0005-0000-0000-00007DCE0000}"/>
    <cellStyle name="注释 2 3 4 3 3 2" xfId="52814" xr:uid="{00000000-0005-0000-0000-00007ECE0000}"/>
    <cellStyle name="注释 2 3 4 3 4" xfId="51473" xr:uid="{00000000-0005-0000-0000-000041C90000}"/>
    <cellStyle name="注释 2 3 4 3 4 2" xfId="34040" xr:uid="{00000000-0005-0000-0000-000028850000}"/>
    <cellStyle name="注释 2 3 4 3 5" xfId="52815" xr:uid="{00000000-0005-0000-0000-00007FCE0000}"/>
    <cellStyle name="注释 2 3 4 3 5 2" xfId="26001" xr:uid="{00000000-0005-0000-0000-0000C1650000}"/>
    <cellStyle name="注释 2 3 4 3 6" xfId="32926" xr:uid="{00000000-0005-0000-0000-0000CE800000}"/>
    <cellStyle name="注释 2 3 4 4" xfId="50854" xr:uid="{00000000-0005-0000-0000-0000D6C60000}"/>
    <cellStyle name="注释 2 3 4 4 2" xfId="50856" xr:uid="{00000000-0005-0000-0000-0000D8C60000}"/>
    <cellStyle name="注释 2 3 4 4 2 2" xfId="52816" xr:uid="{00000000-0005-0000-0000-000080CE0000}"/>
    <cellStyle name="注释 2 3 4 4 3" xfId="52817" xr:uid="{00000000-0005-0000-0000-000081CE0000}"/>
    <cellStyle name="注释 2 3 4 4 3 2" xfId="52818" xr:uid="{00000000-0005-0000-0000-000082CE0000}"/>
    <cellStyle name="注释 2 3 4 4 4" xfId="51476" xr:uid="{00000000-0005-0000-0000-000044C90000}"/>
    <cellStyle name="注释 2 3 4 4 4 2" xfId="52819" xr:uid="{00000000-0005-0000-0000-000083CE0000}"/>
    <cellStyle name="注释 2 3 4 4 5" xfId="52820" xr:uid="{00000000-0005-0000-0000-000084CE0000}"/>
    <cellStyle name="注释 2 3 4 4 5 2" xfId="33051" xr:uid="{00000000-0005-0000-0000-00004B810000}"/>
    <cellStyle name="注释 2 3 4 4 6" xfId="32929" xr:uid="{00000000-0005-0000-0000-0000D1800000}"/>
    <cellStyle name="注释 2 3 4 5" xfId="50858" xr:uid="{00000000-0005-0000-0000-0000DAC60000}"/>
    <cellStyle name="注释 2 3 4 5 2" xfId="23390" xr:uid="{00000000-0005-0000-0000-00008E5B0000}"/>
    <cellStyle name="注释 2 3 4 5 2 2" xfId="23393" xr:uid="{00000000-0005-0000-0000-0000915B0000}"/>
    <cellStyle name="注释 2 3 4 5 3" xfId="23395" xr:uid="{00000000-0005-0000-0000-0000935B0000}"/>
    <cellStyle name="注释 2 3 4 5 3 2" xfId="52821" xr:uid="{00000000-0005-0000-0000-000085CE0000}"/>
    <cellStyle name="注释 2 3 4 5 4" xfId="23397" xr:uid="{00000000-0005-0000-0000-0000955B0000}"/>
    <cellStyle name="注释 2 3 4 5 4 2" xfId="52822" xr:uid="{00000000-0005-0000-0000-000086CE0000}"/>
    <cellStyle name="注释 2 3 4 5 5" xfId="23400" xr:uid="{00000000-0005-0000-0000-0000985B0000}"/>
    <cellStyle name="注释 2 3 4 5 5 2" xfId="52823" xr:uid="{00000000-0005-0000-0000-000087CE0000}"/>
    <cellStyle name="注释 2 3 4 5 6" xfId="23402" xr:uid="{00000000-0005-0000-0000-00009A5B0000}"/>
    <cellStyle name="注释 2 3 4 6" xfId="30415" xr:uid="{00000000-0005-0000-0000-0000FF760000}"/>
    <cellStyle name="注释 2 3 4 6 2" xfId="27865" xr:uid="{00000000-0005-0000-0000-0000096D0000}"/>
    <cellStyle name="注释 2 3 4 6 2 2" xfId="52824" xr:uid="{00000000-0005-0000-0000-000088CE0000}"/>
    <cellStyle name="注释 2 3 4 6 3" xfId="22163" xr:uid="{00000000-0005-0000-0000-0000C3560000}"/>
    <cellStyle name="注释 2 3 4 6 3 2" xfId="52826" xr:uid="{00000000-0005-0000-0000-00008ACE0000}"/>
    <cellStyle name="注释 2 3 4 6 4" xfId="27868" xr:uid="{00000000-0005-0000-0000-00000C6D0000}"/>
    <cellStyle name="注释 2 3 4 6 4 2" xfId="52827" xr:uid="{00000000-0005-0000-0000-00008BCE0000}"/>
    <cellStyle name="注释 2 3 4 6 5" xfId="52828" xr:uid="{00000000-0005-0000-0000-00008CCE0000}"/>
    <cellStyle name="注释 2 3 4 6 5 2" xfId="52829" xr:uid="{00000000-0005-0000-0000-00008DCE0000}"/>
    <cellStyle name="注释 2 3 4 6 6" xfId="52830" xr:uid="{00000000-0005-0000-0000-00008ECE0000}"/>
    <cellStyle name="注释 2 3 4 7" xfId="30418" xr:uid="{00000000-0005-0000-0000-000002770000}"/>
    <cellStyle name="注释 2 3 4 7 2" xfId="30421" xr:uid="{00000000-0005-0000-0000-000005770000}"/>
    <cellStyle name="注释 2 3 4 7 2 2" xfId="52831" xr:uid="{00000000-0005-0000-0000-00008FCE0000}"/>
    <cellStyle name="注释 2 3 4 7 3" xfId="22167" xr:uid="{00000000-0005-0000-0000-0000C7560000}"/>
    <cellStyle name="注释 2 3 4 7 3 2" xfId="49924" xr:uid="{00000000-0005-0000-0000-000034C30000}"/>
    <cellStyle name="注释 2 3 4 7 4" xfId="52833" xr:uid="{00000000-0005-0000-0000-000091CE0000}"/>
    <cellStyle name="注释 2 3 4 7 4 2" xfId="52834" xr:uid="{00000000-0005-0000-0000-000092CE0000}"/>
    <cellStyle name="注释 2 3 4 7 5" xfId="52835" xr:uid="{00000000-0005-0000-0000-000093CE0000}"/>
    <cellStyle name="注释 2 3 4 7 5 2" xfId="52836" xr:uid="{00000000-0005-0000-0000-000094CE0000}"/>
    <cellStyle name="注释 2 3 4 7 6" xfId="52837" xr:uid="{00000000-0005-0000-0000-000095CE0000}"/>
    <cellStyle name="注释 2 3 4 8" xfId="30423" xr:uid="{00000000-0005-0000-0000-000007770000}"/>
    <cellStyle name="注释 2 3 4 8 2" xfId="30427" xr:uid="{00000000-0005-0000-0000-00000B770000}"/>
    <cellStyle name="注释 2 3 4 8 2 2" xfId="37536" xr:uid="{00000000-0005-0000-0000-0000D0920000}"/>
    <cellStyle name="注释 2 3 4 8 3" xfId="22170" xr:uid="{00000000-0005-0000-0000-0000CA560000}"/>
    <cellStyle name="注释 2 3 4 8 3 2" xfId="37548" xr:uid="{00000000-0005-0000-0000-0000DC920000}"/>
    <cellStyle name="注释 2 3 4 8 4" xfId="52838" xr:uid="{00000000-0005-0000-0000-000096CE0000}"/>
    <cellStyle name="注释 2 3 4 8 4 2" xfId="37556" xr:uid="{00000000-0005-0000-0000-0000E4920000}"/>
    <cellStyle name="注释 2 3 4 8 5" xfId="52839" xr:uid="{00000000-0005-0000-0000-000097CE0000}"/>
    <cellStyle name="注释 2 3 4 9" xfId="30430" xr:uid="{00000000-0005-0000-0000-00000E770000}"/>
    <cellStyle name="注释 2 3 4 9 2" xfId="30434" xr:uid="{00000000-0005-0000-0000-000012770000}"/>
    <cellStyle name="注释 2 3 5" xfId="52840" xr:uid="{00000000-0005-0000-0000-000098CE0000}"/>
    <cellStyle name="注释 2 3 5 10" xfId="28402" xr:uid="{00000000-0005-0000-0000-0000226F0000}"/>
    <cellStyle name="注释 2 3 5 10 2" xfId="40620" xr:uid="{00000000-0005-0000-0000-0000DC9E0000}"/>
    <cellStyle name="注释 2 3 5 11" xfId="40632" xr:uid="{00000000-0005-0000-0000-0000E89E0000}"/>
    <cellStyle name="注释 2 3 5 11 2" xfId="40634" xr:uid="{00000000-0005-0000-0000-0000EA9E0000}"/>
    <cellStyle name="注释 2 3 5 12" xfId="40644" xr:uid="{00000000-0005-0000-0000-0000F49E0000}"/>
    <cellStyle name="注释 2 3 5 12 2" xfId="40646" xr:uid="{00000000-0005-0000-0000-0000F69E0000}"/>
    <cellStyle name="注释 2 3 5 13" xfId="40649" xr:uid="{00000000-0005-0000-0000-0000F99E0000}"/>
    <cellStyle name="注释 2 3 5 14" xfId="16813" xr:uid="{00000000-0005-0000-0000-0000DD410000}"/>
    <cellStyle name="注释 2 3 5 15" xfId="44564" xr:uid="{00000000-0005-0000-0000-000044AE0000}"/>
    <cellStyle name="注释 2 3 5 16" xfId="35747" xr:uid="{00000000-0005-0000-0000-0000D38B0000}"/>
    <cellStyle name="注释 2 3 5 2" xfId="52841" xr:uid="{00000000-0005-0000-0000-000099CE0000}"/>
    <cellStyle name="注释 2 3 5 2 2" xfId="7262" xr:uid="{00000000-0005-0000-0000-00008E1C0000}"/>
    <cellStyle name="注释 2 3 5 2 2 2" xfId="7267" xr:uid="{00000000-0005-0000-0000-0000931C0000}"/>
    <cellStyle name="注释 2 3 5 2 3" xfId="2490" xr:uid="{00000000-0005-0000-0000-0000EA090000}"/>
    <cellStyle name="注释 2 3 5 2 3 2" xfId="40460" xr:uid="{00000000-0005-0000-0000-00003C9E0000}"/>
    <cellStyle name="注释 2 3 5 2 4" xfId="40465" xr:uid="{00000000-0005-0000-0000-0000419E0000}"/>
    <cellStyle name="注释 2 3 5 2 4 2" xfId="40467" xr:uid="{00000000-0005-0000-0000-0000439E0000}"/>
    <cellStyle name="注释 2 3 5 2 5" xfId="52842" xr:uid="{00000000-0005-0000-0000-00009ACE0000}"/>
    <cellStyle name="注释 2 3 5 2 5 2" xfId="52843" xr:uid="{00000000-0005-0000-0000-00009BCE0000}"/>
    <cellStyle name="注释 2 3 5 2 6" xfId="32932" xr:uid="{00000000-0005-0000-0000-0000D4800000}"/>
    <cellStyle name="注释 2 3 5 2 7" xfId="52844" xr:uid="{00000000-0005-0000-0000-00009CCE0000}"/>
    <cellStyle name="注释 2 3 5 2 8" xfId="52845" xr:uid="{00000000-0005-0000-0000-00009DCE0000}"/>
    <cellStyle name="注释 2 3 5 2 9" xfId="42934" xr:uid="{00000000-0005-0000-0000-0000E6A70000}"/>
    <cellStyle name="注释 2 3 5 3" xfId="52846" xr:uid="{00000000-0005-0000-0000-00009ECE0000}"/>
    <cellStyle name="注释 2 3 5 3 2" xfId="7291" xr:uid="{00000000-0005-0000-0000-0000AB1C0000}"/>
    <cellStyle name="注释 2 3 5 3 2 2" xfId="52847" xr:uid="{00000000-0005-0000-0000-00009FCE0000}"/>
    <cellStyle name="注释 2 3 5 3 3" xfId="40471" xr:uid="{00000000-0005-0000-0000-0000479E0000}"/>
    <cellStyle name="注释 2 3 5 3 3 2" xfId="52848" xr:uid="{00000000-0005-0000-0000-0000A0CE0000}"/>
    <cellStyle name="注释 2 3 5 3 4" xfId="40474" xr:uid="{00000000-0005-0000-0000-00004A9E0000}"/>
    <cellStyle name="注释 2 3 5 3 4 2" xfId="52849" xr:uid="{00000000-0005-0000-0000-0000A1CE0000}"/>
    <cellStyle name="注释 2 3 5 3 5" xfId="40577" xr:uid="{00000000-0005-0000-0000-0000B19E0000}"/>
    <cellStyle name="注释 2 3 5 3 5 2" xfId="40579" xr:uid="{00000000-0005-0000-0000-0000B39E0000}"/>
    <cellStyle name="注释 2 3 5 3 6" xfId="32935" xr:uid="{00000000-0005-0000-0000-0000D7800000}"/>
    <cellStyle name="注释 2 3 5 4" xfId="52850" xr:uid="{00000000-0005-0000-0000-0000A2CE0000}"/>
    <cellStyle name="注释 2 3 5 4 2" xfId="52851" xr:uid="{00000000-0005-0000-0000-0000A3CE0000}"/>
    <cellStyle name="注释 2 3 5 4 2 2" xfId="52852" xr:uid="{00000000-0005-0000-0000-0000A4CE0000}"/>
    <cellStyle name="注释 2 3 5 4 3" xfId="52853" xr:uid="{00000000-0005-0000-0000-0000A5CE0000}"/>
    <cellStyle name="注释 2 3 5 4 3 2" xfId="52854" xr:uid="{00000000-0005-0000-0000-0000A6CE0000}"/>
    <cellStyle name="注释 2 3 5 4 4" xfId="51482" xr:uid="{00000000-0005-0000-0000-00004AC90000}"/>
    <cellStyle name="注释 2 3 5 4 4 2" xfId="52855" xr:uid="{00000000-0005-0000-0000-0000A7CE0000}"/>
    <cellStyle name="注释 2 3 5 4 5" xfId="52856" xr:uid="{00000000-0005-0000-0000-0000A8CE0000}"/>
    <cellStyle name="注释 2 3 5 4 5 2" xfId="52857" xr:uid="{00000000-0005-0000-0000-0000A9CE0000}"/>
    <cellStyle name="注释 2 3 5 4 6" xfId="32938" xr:uid="{00000000-0005-0000-0000-0000DA800000}"/>
    <cellStyle name="注释 2 3 5 5" xfId="52858" xr:uid="{00000000-0005-0000-0000-0000AACE0000}"/>
    <cellStyle name="注释 2 3 5 5 2" xfId="52859" xr:uid="{00000000-0005-0000-0000-0000ABCE0000}"/>
    <cellStyle name="注释 2 3 5 5 2 2" xfId="52860" xr:uid="{00000000-0005-0000-0000-0000ACCE0000}"/>
    <cellStyle name="注释 2 3 5 5 3" xfId="52861" xr:uid="{00000000-0005-0000-0000-0000ADCE0000}"/>
    <cellStyle name="注释 2 3 5 5 3 2" xfId="52862" xr:uid="{00000000-0005-0000-0000-0000AECE0000}"/>
    <cellStyle name="注释 2 3 5 5 4" xfId="51485" xr:uid="{00000000-0005-0000-0000-00004DC90000}"/>
    <cellStyle name="注释 2 3 5 5 4 2" xfId="52863" xr:uid="{00000000-0005-0000-0000-0000AFCE0000}"/>
    <cellStyle name="注释 2 3 5 5 5" xfId="43119" xr:uid="{00000000-0005-0000-0000-00009FA80000}"/>
    <cellStyle name="注释 2 3 5 5 5 2" xfId="52864" xr:uid="{00000000-0005-0000-0000-0000B0CE0000}"/>
    <cellStyle name="注释 2 3 5 5 6" xfId="32940" xr:uid="{00000000-0005-0000-0000-0000DC800000}"/>
    <cellStyle name="注释 2 3 5 6" xfId="30441" xr:uid="{00000000-0005-0000-0000-000019770000}"/>
    <cellStyle name="注释 2 3 5 6 2" xfId="30443" xr:uid="{00000000-0005-0000-0000-00001B770000}"/>
    <cellStyle name="注释 2 3 5 6 2 2" xfId="52865" xr:uid="{00000000-0005-0000-0000-0000B1CE0000}"/>
    <cellStyle name="注释 2 3 5 6 3" xfId="16012" xr:uid="{00000000-0005-0000-0000-0000BC3E0000}"/>
    <cellStyle name="注释 2 3 5 6 3 2" xfId="52867" xr:uid="{00000000-0005-0000-0000-0000B3CE0000}"/>
    <cellStyle name="注释 2 3 5 6 4" xfId="52868" xr:uid="{00000000-0005-0000-0000-0000B4CE0000}"/>
    <cellStyle name="注释 2 3 5 6 4 2" xfId="52869" xr:uid="{00000000-0005-0000-0000-0000B5CE0000}"/>
    <cellStyle name="注释 2 3 5 6 5" xfId="43122" xr:uid="{00000000-0005-0000-0000-0000A2A80000}"/>
    <cellStyle name="注释 2 3 5 6 5 2" xfId="52870" xr:uid="{00000000-0005-0000-0000-0000B6CE0000}"/>
    <cellStyle name="注释 2 3 5 6 6" xfId="52871" xr:uid="{00000000-0005-0000-0000-0000B7CE0000}"/>
    <cellStyle name="注释 2 3 5 7" xfId="30445" xr:uid="{00000000-0005-0000-0000-00001D770000}"/>
    <cellStyle name="注释 2 3 5 7 2" xfId="30447" xr:uid="{00000000-0005-0000-0000-00001F770000}"/>
    <cellStyle name="注释 2 3 5 7 2 2" xfId="52872" xr:uid="{00000000-0005-0000-0000-0000B8CE0000}"/>
    <cellStyle name="注释 2 3 5 7 3" xfId="16049" xr:uid="{00000000-0005-0000-0000-0000E13E0000}"/>
    <cellStyle name="注释 2 3 5 7 3 2" xfId="52874" xr:uid="{00000000-0005-0000-0000-0000BACE0000}"/>
    <cellStyle name="注释 2 3 5 7 4" xfId="52875" xr:uid="{00000000-0005-0000-0000-0000BBCE0000}"/>
    <cellStyle name="注释 2 3 5 7 4 2" xfId="52876" xr:uid="{00000000-0005-0000-0000-0000BCCE0000}"/>
    <cellStyle name="注释 2 3 5 7 5" xfId="43126" xr:uid="{00000000-0005-0000-0000-0000A6A80000}"/>
    <cellStyle name="注释 2 3 5 7 5 2" xfId="52877" xr:uid="{00000000-0005-0000-0000-0000BDCE0000}"/>
    <cellStyle name="注释 2 3 5 7 6" xfId="52878" xr:uid="{00000000-0005-0000-0000-0000BECE0000}"/>
    <cellStyle name="注释 2 3 5 8" xfId="30449" xr:uid="{00000000-0005-0000-0000-000021770000}"/>
    <cellStyle name="注释 2 3 5 8 2" xfId="30452" xr:uid="{00000000-0005-0000-0000-000024770000}"/>
    <cellStyle name="注释 2 3 5 8 2 2" xfId="52879" xr:uid="{00000000-0005-0000-0000-0000BFCE0000}"/>
    <cellStyle name="注释 2 3 5 8 3" xfId="22180" xr:uid="{00000000-0005-0000-0000-0000D4560000}"/>
    <cellStyle name="注释 2 3 5 8 3 2" xfId="52881" xr:uid="{00000000-0005-0000-0000-0000C1CE0000}"/>
    <cellStyle name="注释 2 3 5 8 4" xfId="52882" xr:uid="{00000000-0005-0000-0000-0000C2CE0000}"/>
    <cellStyle name="注释 2 3 5 8 4 2" xfId="52883" xr:uid="{00000000-0005-0000-0000-0000C3CE0000}"/>
    <cellStyle name="注释 2 3 5 8 5" xfId="40653" xr:uid="{00000000-0005-0000-0000-0000FD9E0000}"/>
    <cellStyle name="注释 2 3 5 9" xfId="30455" xr:uid="{00000000-0005-0000-0000-000027770000}"/>
    <cellStyle name="注释 2 3 5 9 2" xfId="30458" xr:uid="{00000000-0005-0000-0000-00002A770000}"/>
    <cellStyle name="注释 2 3 6" xfId="52884" xr:uid="{00000000-0005-0000-0000-0000C4CE0000}"/>
    <cellStyle name="注释 2 3 6 10" xfId="31408" xr:uid="{00000000-0005-0000-0000-0000E07A0000}"/>
    <cellStyle name="注释 2 3 6 10 2" xfId="31412" xr:uid="{00000000-0005-0000-0000-0000E47A0000}"/>
    <cellStyle name="注释 2 3 6 11" xfId="31437" xr:uid="{00000000-0005-0000-0000-0000FD7A0000}"/>
    <cellStyle name="注释 2 3 6 11 2" xfId="31442" xr:uid="{00000000-0005-0000-0000-0000027B0000}"/>
    <cellStyle name="注释 2 3 6 12" xfId="24996" xr:uid="{00000000-0005-0000-0000-0000D4610000}"/>
    <cellStyle name="注释 2 3 6 12 2" xfId="31470" xr:uid="{00000000-0005-0000-0000-00001E7B0000}"/>
    <cellStyle name="注释 2 3 6 13" xfId="31503" xr:uid="{00000000-0005-0000-0000-00003F7B0000}"/>
    <cellStyle name="注释 2 3 6 14" xfId="11413" xr:uid="{00000000-0005-0000-0000-0000C52C0000}"/>
    <cellStyle name="注释 2 3 6 15" xfId="45871" xr:uid="{00000000-0005-0000-0000-00005FB30000}"/>
    <cellStyle name="注释 2 3 6 16" xfId="18379" xr:uid="{00000000-0005-0000-0000-0000FB470000}"/>
    <cellStyle name="注释 2 3 6 2" xfId="52885" xr:uid="{00000000-0005-0000-0000-0000C5CE0000}"/>
    <cellStyle name="注释 2 3 6 2 2" xfId="52886" xr:uid="{00000000-0005-0000-0000-0000C6CE0000}"/>
    <cellStyle name="注释 2 3 6 2 2 2" xfId="52887" xr:uid="{00000000-0005-0000-0000-0000C7CE0000}"/>
    <cellStyle name="注释 2 3 6 2 3" xfId="52888" xr:uid="{00000000-0005-0000-0000-0000C8CE0000}"/>
    <cellStyle name="注释 2 3 6 2 3 2" xfId="52889" xr:uid="{00000000-0005-0000-0000-0000C9CE0000}"/>
    <cellStyle name="注释 2 3 6 2 4" xfId="51490" xr:uid="{00000000-0005-0000-0000-000052C90000}"/>
    <cellStyle name="注释 2 3 6 2 4 2" xfId="52890" xr:uid="{00000000-0005-0000-0000-0000CACE0000}"/>
    <cellStyle name="注释 2 3 6 2 5" xfId="52891" xr:uid="{00000000-0005-0000-0000-0000CBCE0000}"/>
    <cellStyle name="注释 2 3 6 2 5 2" xfId="52892" xr:uid="{00000000-0005-0000-0000-0000CCCE0000}"/>
    <cellStyle name="注释 2 3 6 2 6" xfId="30714" xr:uid="{00000000-0005-0000-0000-00002A780000}"/>
    <cellStyle name="注释 2 3 6 2 7" xfId="52893" xr:uid="{00000000-0005-0000-0000-0000CDCE0000}"/>
    <cellStyle name="注释 2 3 6 2 8" xfId="52894" xr:uid="{00000000-0005-0000-0000-0000CECE0000}"/>
    <cellStyle name="注释 2 3 6 2 9" xfId="42999" xr:uid="{00000000-0005-0000-0000-000027A80000}"/>
    <cellStyle name="注释 2 3 6 3" xfId="16196" xr:uid="{00000000-0005-0000-0000-0000743F0000}"/>
    <cellStyle name="注释 2 3 6 3 2" xfId="52895" xr:uid="{00000000-0005-0000-0000-0000CFCE0000}"/>
    <cellStyle name="注释 2 3 6 3 2 2" xfId="52896" xr:uid="{00000000-0005-0000-0000-0000D0CE0000}"/>
    <cellStyle name="注释 2 3 6 3 3" xfId="52897" xr:uid="{00000000-0005-0000-0000-0000D1CE0000}"/>
    <cellStyle name="注释 2 3 6 3 3 2" xfId="52898" xr:uid="{00000000-0005-0000-0000-0000D2CE0000}"/>
    <cellStyle name="注释 2 3 6 3 4" xfId="51492" xr:uid="{00000000-0005-0000-0000-000054C90000}"/>
    <cellStyle name="注释 2 3 6 3 4 2" xfId="52899" xr:uid="{00000000-0005-0000-0000-0000D3CE0000}"/>
    <cellStyle name="注释 2 3 6 3 5" xfId="30725" xr:uid="{00000000-0005-0000-0000-000035780000}"/>
    <cellStyle name="注释 2 3 6 3 5 2" xfId="30728" xr:uid="{00000000-0005-0000-0000-000038780000}"/>
    <cellStyle name="注释 2 3 6 3 6" xfId="30732" xr:uid="{00000000-0005-0000-0000-00003C780000}"/>
    <cellStyle name="注释 2 3 6 4" xfId="26519" xr:uid="{00000000-0005-0000-0000-0000C7670000}"/>
    <cellStyle name="注释 2 3 6 4 2" xfId="26526" xr:uid="{00000000-0005-0000-0000-0000CE670000}"/>
    <cellStyle name="注释 2 3 6 4 2 2" xfId="30736" xr:uid="{00000000-0005-0000-0000-000040780000}"/>
    <cellStyle name="注释 2 3 6 4 3" xfId="52900" xr:uid="{00000000-0005-0000-0000-0000D4CE0000}"/>
    <cellStyle name="注释 2 3 6 4 3 2" xfId="30742" xr:uid="{00000000-0005-0000-0000-000046780000}"/>
    <cellStyle name="注释 2 3 6 4 4" xfId="51495" xr:uid="{00000000-0005-0000-0000-000057C90000}"/>
    <cellStyle name="注释 2 3 6 4 4 2" xfId="30746" xr:uid="{00000000-0005-0000-0000-00004A780000}"/>
    <cellStyle name="注释 2 3 6 4 5" xfId="52901" xr:uid="{00000000-0005-0000-0000-0000D5CE0000}"/>
    <cellStyle name="注释 2 3 6 4 5 2" xfId="30750" xr:uid="{00000000-0005-0000-0000-00004E780000}"/>
    <cellStyle name="注释 2 3 6 4 6" xfId="30754" xr:uid="{00000000-0005-0000-0000-000052780000}"/>
    <cellStyle name="注释 2 3 6 5" xfId="26532" xr:uid="{00000000-0005-0000-0000-0000D4670000}"/>
    <cellStyle name="注释 2 3 6 5 2" xfId="21276" xr:uid="{00000000-0005-0000-0000-00004C530000}"/>
    <cellStyle name="注释 2 3 6 5 2 2" xfId="13085" xr:uid="{00000000-0005-0000-0000-00004D330000}"/>
    <cellStyle name="注释 2 3 6 5 3" xfId="52902" xr:uid="{00000000-0005-0000-0000-0000D6CE0000}"/>
    <cellStyle name="注释 2 3 6 5 3 2" xfId="30759" xr:uid="{00000000-0005-0000-0000-000057780000}"/>
    <cellStyle name="注释 2 3 6 5 4" xfId="52903" xr:uid="{00000000-0005-0000-0000-0000D7CE0000}"/>
    <cellStyle name="注释 2 3 6 5 4 2" xfId="30765" xr:uid="{00000000-0005-0000-0000-00005D780000}"/>
    <cellStyle name="注释 2 3 6 5 5" xfId="52904" xr:uid="{00000000-0005-0000-0000-0000D8CE0000}"/>
    <cellStyle name="注释 2 3 6 5 5 2" xfId="33714" xr:uid="{00000000-0005-0000-0000-0000E2830000}"/>
    <cellStyle name="注释 2 3 6 5 6" xfId="32943" xr:uid="{00000000-0005-0000-0000-0000DF800000}"/>
    <cellStyle name="注释 2 3 6 6" xfId="25285" xr:uid="{00000000-0005-0000-0000-0000F5620000}"/>
    <cellStyle name="注释 2 3 6 6 2" xfId="26539" xr:uid="{00000000-0005-0000-0000-0000DB670000}"/>
    <cellStyle name="注释 2 3 6 6 2 2" xfId="52905" xr:uid="{00000000-0005-0000-0000-0000D9CE0000}"/>
    <cellStyle name="注释 2 3 6 6 3" xfId="22187" xr:uid="{00000000-0005-0000-0000-0000DB560000}"/>
    <cellStyle name="注释 2 3 6 6 3 2" xfId="52907" xr:uid="{00000000-0005-0000-0000-0000DBCE0000}"/>
    <cellStyle name="注释 2 3 6 6 4" xfId="52908" xr:uid="{00000000-0005-0000-0000-0000DCCE0000}"/>
    <cellStyle name="注释 2 3 6 6 4 2" xfId="52909" xr:uid="{00000000-0005-0000-0000-0000DDCE0000}"/>
    <cellStyle name="注释 2 3 6 6 5" xfId="52910" xr:uid="{00000000-0005-0000-0000-0000DECE0000}"/>
    <cellStyle name="注释 2 3 6 6 5 2" xfId="52911" xr:uid="{00000000-0005-0000-0000-0000DFCE0000}"/>
    <cellStyle name="注释 2 3 6 6 6" xfId="52912" xr:uid="{00000000-0005-0000-0000-0000E0CE0000}"/>
    <cellStyle name="注释 2 3 6 7" xfId="26544" xr:uid="{00000000-0005-0000-0000-0000E0670000}"/>
    <cellStyle name="注释 2 3 6 7 2" xfId="26550" xr:uid="{00000000-0005-0000-0000-0000E6670000}"/>
    <cellStyle name="注释 2 3 6 7 2 2" xfId="51213" xr:uid="{00000000-0005-0000-0000-00003DC80000}"/>
    <cellStyle name="注释 2 3 6 7 3" xfId="22192" xr:uid="{00000000-0005-0000-0000-0000E0560000}"/>
    <cellStyle name="注释 2 3 6 7 3 2" xfId="52913" xr:uid="{00000000-0005-0000-0000-0000E1CE0000}"/>
    <cellStyle name="注释 2 3 6 7 4" xfId="52914" xr:uid="{00000000-0005-0000-0000-0000E2CE0000}"/>
    <cellStyle name="注释 2 3 6 7 4 2" xfId="52915" xr:uid="{00000000-0005-0000-0000-0000E3CE0000}"/>
    <cellStyle name="注释 2 3 6 7 5" xfId="52916" xr:uid="{00000000-0005-0000-0000-0000E4CE0000}"/>
    <cellStyle name="注释 2 3 6 7 5 2" xfId="52917" xr:uid="{00000000-0005-0000-0000-0000E5CE0000}"/>
    <cellStyle name="注释 2 3 6 7 6" xfId="52918" xr:uid="{00000000-0005-0000-0000-0000E6CE0000}"/>
    <cellStyle name="注释 2 3 6 8" xfId="26555" xr:uid="{00000000-0005-0000-0000-0000EB670000}"/>
    <cellStyle name="注释 2 3 6 8 2" xfId="30464" xr:uid="{00000000-0005-0000-0000-000030770000}"/>
    <cellStyle name="注释 2 3 6 8 2 2" xfId="52109" xr:uid="{00000000-0005-0000-0000-0000BDCB0000}"/>
    <cellStyle name="注释 2 3 6 8 3" xfId="22196" xr:uid="{00000000-0005-0000-0000-0000E4560000}"/>
    <cellStyle name="注释 2 3 6 8 3 2" xfId="52919" xr:uid="{00000000-0005-0000-0000-0000E7CE0000}"/>
    <cellStyle name="注释 2 3 6 8 4" xfId="52920" xr:uid="{00000000-0005-0000-0000-0000E8CE0000}"/>
    <cellStyle name="注释 2 3 6 8 4 2" xfId="52921" xr:uid="{00000000-0005-0000-0000-0000E9CE0000}"/>
    <cellStyle name="注释 2 3 6 8 5" xfId="52922" xr:uid="{00000000-0005-0000-0000-0000EACE0000}"/>
    <cellStyle name="注释 2 3 6 9" xfId="26560" xr:uid="{00000000-0005-0000-0000-0000F0670000}"/>
    <cellStyle name="注释 2 3 6 9 2" xfId="30467" xr:uid="{00000000-0005-0000-0000-000033770000}"/>
    <cellStyle name="注释 2 3 7" xfId="52923" xr:uid="{00000000-0005-0000-0000-0000EBCE0000}"/>
    <cellStyle name="注释 2 3 7 10" xfId="11777" xr:uid="{00000000-0005-0000-0000-0000312E0000}"/>
    <cellStyle name="注释 2 3 7 10 2" xfId="32632" xr:uid="{00000000-0005-0000-0000-0000A87F0000}"/>
    <cellStyle name="注释 2 3 7 11" xfId="32634" xr:uid="{00000000-0005-0000-0000-0000AA7F0000}"/>
    <cellStyle name="注释 2 3 7 11 2" xfId="32636" xr:uid="{00000000-0005-0000-0000-0000AC7F0000}"/>
    <cellStyle name="注释 2 3 7 12" xfId="32638" xr:uid="{00000000-0005-0000-0000-0000AE7F0000}"/>
    <cellStyle name="注释 2 3 7 12 2" xfId="32640" xr:uid="{00000000-0005-0000-0000-0000B07F0000}"/>
    <cellStyle name="注释 2 3 7 13" xfId="32642" xr:uid="{00000000-0005-0000-0000-0000B27F0000}"/>
    <cellStyle name="注释 2 3 7 14" xfId="32645" xr:uid="{00000000-0005-0000-0000-0000B57F0000}"/>
    <cellStyle name="注释 2 3 7 15" xfId="52924" xr:uid="{00000000-0005-0000-0000-0000ECCE0000}"/>
    <cellStyle name="注释 2 3 7 16" xfId="52926" xr:uid="{00000000-0005-0000-0000-0000EECE0000}"/>
    <cellStyle name="注释 2 3 7 2" xfId="50730" xr:uid="{00000000-0005-0000-0000-00005AC60000}"/>
    <cellStyle name="注释 2 3 7 2 2" xfId="50732" xr:uid="{00000000-0005-0000-0000-00005CC60000}"/>
    <cellStyle name="注释 2 3 7 2 2 2" xfId="52927" xr:uid="{00000000-0005-0000-0000-0000EFCE0000}"/>
    <cellStyle name="注释 2 3 7 2 3" xfId="52928" xr:uid="{00000000-0005-0000-0000-0000F0CE0000}"/>
    <cellStyle name="注释 2 3 7 2 3 2" xfId="27870" xr:uid="{00000000-0005-0000-0000-00000E6D0000}"/>
    <cellStyle name="注释 2 3 7 2 4" xfId="36202" xr:uid="{00000000-0005-0000-0000-00009A8D0000}"/>
    <cellStyle name="注释 2 3 7 2 4 2" xfId="27987" xr:uid="{00000000-0005-0000-0000-0000836D0000}"/>
    <cellStyle name="注释 2 3 7 2 5" xfId="52929" xr:uid="{00000000-0005-0000-0000-0000F1CE0000}"/>
    <cellStyle name="注释 2 3 7 2 5 2" xfId="24202" xr:uid="{00000000-0005-0000-0000-0000BA5E0000}"/>
    <cellStyle name="注释 2 3 7 2 6" xfId="19470" xr:uid="{00000000-0005-0000-0000-00003E4C0000}"/>
    <cellStyle name="注释 2 3 7 2 7" xfId="19479" xr:uid="{00000000-0005-0000-0000-0000474C0000}"/>
    <cellStyle name="注释 2 3 7 2 8" xfId="19485" xr:uid="{00000000-0005-0000-0000-00004D4C0000}"/>
    <cellStyle name="注释 2 3 7 2 9" xfId="19494" xr:uid="{00000000-0005-0000-0000-0000564C0000}"/>
    <cellStyle name="注释 2 3 7 3" xfId="33851" xr:uid="{00000000-0005-0000-0000-00006B840000}"/>
    <cellStyle name="注释 2 3 7 3 2" xfId="52930" xr:uid="{00000000-0005-0000-0000-0000F2CE0000}"/>
    <cellStyle name="注释 2 3 7 3 2 2" xfId="52931" xr:uid="{00000000-0005-0000-0000-0000F3CE0000}"/>
    <cellStyle name="注释 2 3 7 3 3" xfId="52932" xr:uid="{00000000-0005-0000-0000-0000F4CE0000}"/>
    <cellStyle name="注释 2 3 7 3 3 2" xfId="52933" xr:uid="{00000000-0005-0000-0000-0000F5CE0000}"/>
    <cellStyle name="注释 2 3 7 3 4" xfId="36206" xr:uid="{00000000-0005-0000-0000-00009E8D0000}"/>
    <cellStyle name="注释 2 3 7 3 4 2" xfId="42776" xr:uid="{00000000-0005-0000-0000-000048A70000}"/>
    <cellStyle name="注释 2 3 7 3 5" xfId="52934" xr:uid="{00000000-0005-0000-0000-0000F6CE0000}"/>
    <cellStyle name="注释 2 3 7 3 5 2" xfId="52935" xr:uid="{00000000-0005-0000-0000-0000F7CE0000}"/>
    <cellStyle name="注释 2 3 7 3 6" xfId="19515" xr:uid="{00000000-0005-0000-0000-00006B4C0000}"/>
    <cellStyle name="注释 2 3 7 4" xfId="26579" xr:uid="{00000000-0005-0000-0000-000003680000}"/>
    <cellStyle name="注释 2 3 7 4 2" xfId="26585" xr:uid="{00000000-0005-0000-0000-000009680000}"/>
    <cellStyle name="注释 2 3 7 4 2 2" xfId="52936" xr:uid="{00000000-0005-0000-0000-0000F8CE0000}"/>
    <cellStyle name="注释 2 3 7 4 3" xfId="52937" xr:uid="{00000000-0005-0000-0000-0000F9CE0000}"/>
    <cellStyle name="注释 2 3 7 4 3 2" xfId="52938" xr:uid="{00000000-0005-0000-0000-0000FACE0000}"/>
    <cellStyle name="注释 2 3 7 4 4" xfId="36209" xr:uid="{00000000-0005-0000-0000-0000A18D0000}"/>
    <cellStyle name="注释 2 3 7 4 4 2" xfId="52939" xr:uid="{00000000-0005-0000-0000-0000FBCE0000}"/>
    <cellStyle name="注释 2 3 7 4 5" xfId="52940" xr:uid="{00000000-0005-0000-0000-0000FCCE0000}"/>
    <cellStyle name="注释 2 3 7 4 5 2" xfId="52941" xr:uid="{00000000-0005-0000-0000-0000FDCE0000}"/>
    <cellStyle name="注释 2 3 7 4 6" xfId="19542" xr:uid="{00000000-0005-0000-0000-0000864C0000}"/>
    <cellStyle name="注释 2 3 7 5" xfId="26591" xr:uid="{00000000-0005-0000-0000-00000F680000}"/>
    <cellStyle name="注释 2 3 7 5 2" xfId="26598" xr:uid="{00000000-0005-0000-0000-000016680000}"/>
    <cellStyle name="注释 2 3 7 5 2 2" xfId="20714" xr:uid="{00000000-0005-0000-0000-00001A510000}"/>
    <cellStyle name="注释 2 3 7 5 3" xfId="52942" xr:uid="{00000000-0005-0000-0000-0000FECE0000}"/>
    <cellStyle name="注释 2 3 7 5 3 2" xfId="52943" xr:uid="{00000000-0005-0000-0000-0000FFCE0000}"/>
    <cellStyle name="注释 2 3 7 5 4" xfId="52944" xr:uid="{00000000-0005-0000-0000-000000CF0000}"/>
    <cellStyle name="注释 2 3 7 5 4 2" xfId="52945" xr:uid="{00000000-0005-0000-0000-000001CF0000}"/>
    <cellStyle name="注释 2 3 7 5 5" xfId="52946" xr:uid="{00000000-0005-0000-0000-000002CF0000}"/>
    <cellStyle name="注释 2 3 7 5 5 2" xfId="52947" xr:uid="{00000000-0005-0000-0000-000003CF0000}"/>
    <cellStyle name="注释 2 3 7 5 6" xfId="19571" xr:uid="{00000000-0005-0000-0000-0000A34C0000}"/>
    <cellStyle name="注释 2 3 7 6" xfId="25296" xr:uid="{00000000-0005-0000-0000-000000630000}"/>
    <cellStyle name="注释 2 3 7 6 2" xfId="26604" xr:uid="{00000000-0005-0000-0000-00001C680000}"/>
    <cellStyle name="注释 2 3 7 6 2 2" xfId="21199" xr:uid="{00000000-0005-0000-0000-0000FF520000}"/>
    <cellStyle name="注释 2 3 7 6 3" xfId="22213" xr:uid="{00000000-0005-0000-0000-0000F5560000}"/>
    <cellStyle name="注释 2 3 7 6 3 2" xfId="52948" xr:uid="{00000000-0005-0000-0000-000004CF0000}"/>
    <cellStyle name="注释 2 3 7 6 4" xfId="52949" xr:uid="{00000000-0005-0000-0000-000005CF0000}"/>
    <cellStyle name="注释 2 3 7 6 4 2" xfId="52950" xr:uid="{00000000-0005-0000-0000-000006CF0000}"/>
    <cellStyle name="注释 2 3 7 6 5" xfId="52951" xr:uid="{00000000-0005-0000-0000-000007CF0000}"/>
    <cellStyle name="注释 2 3 7 6 5 2" xfId="52952" xr:uid="{00000000-0005-0000-0000-000008CF0000}"/>
    <cellStyle name="注释 2 3 7 6 6" xfId="19590" xr:uid="{00000000-0005-0000-0000-0000B64C0000}"/>
    <cellStyle name="注释 2 3 7 7" xfId="26610" xr:uid="{00000000-0005-0000-0000-000022680000}"/>
    <cellStyle name="注释 2 3 7 7 2" xfId="26613" xr:uid="{00000000-0005-0000-0000-000025680000}"/>
    <cellStyle name="注释 2 3 7 7 2 2" xfId="26761" xr:uid="{00000000-0005-0000-0000-0000B9680000}"/>
    <cellStyle name="注释 2 3 7 7 3" xfId="22218" xr:uid="{00000000-0005-0000-0000-0000FA560000}"/>
    <cellStyle name="注释 2 3 7 7 3 2" xfId="28744" xr:uid="{00000000-0005-0000-0000-000078700000}"/>
    <cellStyle name="注释 2 3 7 7 4" xfId="52953" xr:uid="{00000000-0005-0000-0000-000009CF0000}"/>
    <cellStyle name="注释 2 3 7 7 4 2" xfId="28893" xr:uid="{00000000-0005-0000-0000-00000D710000}"/>
    <cellStyle name="注释 2 3 7 7 5" xfId="52954" xr:uid="{00000000-0005-0000-0000-00000ACF0000}"/>
    <cellStyle name="注释 2 3 7 7 5 2" xfId="24346" xr:uid="{00000000-0005-0000-0000-00004A5F0000}"/>
    <cellStyle name="注释 2 3 7 7 6" xfId="19600" xr:uid="{00000000-0005-0000-0000-0000C04C0000}"/>
    <cellStyle name="注释 2 3 7 8" xfId="26616" xr:uid="{00000000-0005-0000-0000-000028680000}"/>
    <cellStyle name="注释 2 3 7 8 2" xfId="30472" xr:uid="{00000000-0005-0000-0000-000038770000}"/>
    <cellStyle name="注释 2 3 7 8 2 2" xfId="52955" xr:uid="{00000000-0005-0000-0000-00000BCF0000}"/>
    <cellStyle name="注释 2 3 7 8 3" xfId="22221" xr:uid="{00000000-0005-0000-0000-0000FD560000}"/>
    <cellStyle name="注释 2 3 7 8 3 2" xfId="52957" xr:uid="{00000000-0005-0000-0000-00000DCF0000}"/>
    <cellStyle name="注释 2 3 7 8 4" xfId="52958" xr:uid="{00000000-0005-0000-0000-00000ECF0000}"/>
    <cellStyle name="注释 2 3 7 8 4 2" xfId="52959" xr:uid="{00000000-0005-0000-0000-00000FCF0000}"/>
    <cellStyle name="注释 2 3 7 8 5" xfId="52960" xr:uid="{00000000-0005-0000-0000-000010CF0000}"/>
    <cellStyle name="注释 2 3 7 9" xfId="30475" xr:uid="{00000000-0005-0000-0000-00003B770000}"/>
    <cellStyle name="注释 2 3 7 9 2" xfId="30479" xr:uid="{00000000-0005-0000-0000-00003F770000}"/>
    <cellStyle name="注释 2 3 8" xfId="52961" xr:uid="{00000000-0005-0000-0000-000011CF0000}"/>
    <cellStyle name="注释 2 3 8 10" xfId="32701" xr:uid="{00000000-0005-0000-0000-0000ED7F0000}"/>
    <cellStyle name="注释 2 3 8 10 2" xfId="32703" xr:uid="{00000000-0005-0000-0000-0000EF7F0000}"/>
    <cellStyle name="注释 2 3 8 11" xfId="32706" xr:uid="{00000000-0005-0000-0000-0000F27F0000}"/>
    <cellStyle name="注释 2 3 8 11 2" xfId="32708" xr:uid="{00000000-0005-0000-0000-0000F47F0000}"/>
    <cellStyle name="注释 2 3 8 12" xfId="26509" xr:uid="{00000000-0005-0000-0000-0000BD670000}"/>
    <cellStyle name="注释 2 3 8 12 2" xfId="32711" xr:uid="{00000000-0005-0000-0000-0000F77F0000}"/>
    <cellStyle name="注释 2 3 8 13" xfId="32716" xr:uid="{00000000-0005-0000-0000-0000FC7F0000}"/>
    <cellStyle name="注释 2 3 8 14" xfId="38460" xr:uid="{00000000-0005-0000-0000-00006C960000}"/>
    <cellStyle name="注释 2 3 8 15" xfId="52962" xr:uid="{00000000-0005-0000-0000-000012CF0000}"/>
    <cellStyle name="注释 2 3 8 16" xfId="52963" xr:uid="{00000000-0005-0000-0000-000013CF0000}"/>
    <cellStyle name="注释 2 3 8 2" xfId="50796" xr:uid="{00000000-0005-0000-0000-00009CC60000}"/>
    <cellStyle name="注释 2 3 8 2 2" xfId="50798" xr:uid="{00000000-0005-0000-0000-00009EC60000}"/>
    <cellStyle name="注释 2 3 8 2 2 2" xfId="52964" xr:uid="{00000000-0005-0000-0000-000014CF0000}"/>
    <cellStyle name="注释 2 3 8 2 3" xfId="52965" xr:uid="{00000000-0005-0000-0000-000015CF0000}"/>
    <cellStyle name="注释 2 3 8 2 3 2" xfId="1728" xr:uid="{00000000-0005-0000-0000-0000F0060000}"/>
    <cellStyle name="注释 2 3 8 2 4" xfId="29402" xr:uid="{00000000-0005-0000-0000-00000A730000}"/>
    <cellStyle name="注释 2 3 8 2 4 2" xfId="32827" xr:uid="{00000000-0005-0000-0000-00006B800000}"/>
    <cellStyle name="注释 2 3 8 2 5" xfId="52967" xr:uid="{00000000-0005-0000-0000-000017CF0000}"/>
    <cellStyle name="注释 2 3 8 2 5 2" xfId="32891" xr:uid="{00000000-0005-0000-0000-0000AB800000}"/>
    <cellStyle name="注释 2 3 8 2 6" xfId="19642" xr:uid="{00000000-0005-0000-0000-0000EA4C0000}"/>
    <cellStyle name="注释 2 3 8 2 7" xfId="19647" xr:uid="{00000000-0005-0000-0000-0000EF4C0000}"/>
    <cellStyle name="注释 2 3 8 2 8" xfId="19651" xr:uid="{00000000-0005-0000-0000-0000F34C0000}"/>
    <cellStyle name="注释 2 3 8 2 9" xfId="19656" xr:uid="{00000000-0005-0000-0000-0000F84C0000}"/>
    <cellStyle name="注释 2 3 8 3" xfId="33853" xr:uid="{00000000-0005-0000-0000-00006D840000}"/>
    <cellStyle name="注释 2 3 8 3 2" xfId="52968" xr:uid="{00000000-0005-0000-0000-000018CF0000}"/>
    <cellStyle name="注释 2 3 8 3 2 2" xfId="52969" xr:uid="{00000000-0005-0000-0000-000019CF0000}"/>
    <cellStyle name="注释 2 3 8 3 3" xfId="52970" xr:uid="{00000000-0005-0000-0000-00001ACF0000}"/>
    <cellStyle name="注释 2 3 8 3 3 2" xfId="52972" xr:uid="{00000000-0005-0000-0000-00001CCF0000}"/>
    <cellStyle name="注释 2 3 8 3 4" xfId="29405" xr:uid="{00000000-0005-0000-0000-00000D730000}"/>
    <cellStyle name="注释 2 3 8 3 4 2" xfId="52973" xr:uid="{00000000-0005-0000-0000-00001DCF0000}"/>
    <cellStyle name="注释 2 3 8 3 5" xfId="52974" xr:uid="{00000000-0005-0000-0000-00001ECF0000}"/>
    <cellStyle name="注释 2 3 8 3 5 2" xfId="52975" xr:uid="{00000000-0005-0000-0000-00001FCF0000}"/>
    <cellStyle name="注释 2 3 8 3 6" xfId="10424" xr:uid="{00000000-0005-0000-0000-0000E8280000}"/>
    <cellStyle name="注释 2 3 8 4" xfId="26622" xr:uid="{00000000-0005-0000-0000-00002E680000}"/>
    <cellStyle name="注释 2 3 8 4 2" xfId="26624" xr:uid="{00000000-0005-0000-0000-000030680000}"/>
    <cellStyle name="注释 2 3 8 4 2 2" xfId="52976" xr:uid="{00000000-0005-0000-0000-000020CF0000}"/>
    <cellStyle name="注释 2 3 8 4 3" xfId="52977" xr:uid="{00000000-0005-0000-0000-000021CF0000}"/>
    <cellStyle name="注释 2 3 8 4 3 2" xfId="52979" xr:uid="{00000000-0005-0000-0000-000023CF0000}"/>
    <cellStyle name="注释 2 3 8 4 4" xfId="36215" xr:uid="{00000000-0005-0000-0000-0000A78D0000}"/>
    <cellStyle name="注释 2 3 8 4 4 2" xfId="52980" xr:uid="{00000000-0005-0000-0000-000024CF0000}"/>
    <cellStyle name="注释 2 3 8 4 5" xfId="52981" xr:uid="{00000000-0005-0000-0000-000025CF0000}"/>
    <cellStyle name="注释 2 3 8 4 5 2" xfId="52982" xr:uid="{00000000-0005-0000-0000-000026CF0000}"/>
    <cellStyle name="注释 2 3 8 4 6" xfId="19684" xr:uid="{00000000-0005-0000-0000-0000144D0000}"/>
    <cellStyle name="注释 2 3 8 5" xfId="26626" xr:uid="{00000000-0005-0000-0000-000032680000}"/>
    <cellStyle name="注释 2 3 8 5 2" xfId="26629" xr:uid="{00000000-0005-0000-0000-000035680000}"/>
    <cellStyle name="注释 2 3 8 5 2 2" xfId="52983" xr:uid="{00000000-0005-0000-0000-000027CF0000}"/>
    <cellStyle name="注释 2 3 8 5 3" xfId="52984" xr:uid="{00000000-0005-0000-0000-000028CF0000}"/>
    <cellStyle name="注释 2 3 8 5 3 2" xfId="52985" xr:uid="{00000000-0005-0000-0000-000029CF0000}"/>
    <cellStyle name="注释 2 3 8 5 4" xfId="52986" xr:uid="{00000000-0005-0000-0000-00002ACF0000}"/>
    <cellStyle name="注释 2 3 8 5 4 2" xfId="52987" xr:uid="{00000000-0005-0000-0000-00002BCF0000}"/>
    <cellStyle name="注释 2 3 8 5 5" xfId="52988" xr:uid="{00000000-0005-0000-0000-00002CCF0000}"/>
    <cellStyle name="注释 2 3 8 5 5 2" xfId="52989" xr:uid="{00000000-0005-0000-0000-00002DCF0000}"/>
    <cellStyle name="注释 2 3 8 5 6" xfId="19707" xr:uid="{00000000-0005-0000-0000-00002B4D0000}"/>
    <cellStyle name="注释 2 3 8 6" xfId="25300" xr:uid="{00000000-0005-0000-0000-000004630000}"/>
    <cellStyle name="注释 2 3 8 6 2" xfId="26631" xr:uid="{00000000-0005-0000-0000-000037680000}"/>
    <cellStyle name="注释 2 3 8 6 2 2" xfId="39111" xr:uid="{00000000-0005-0000-0000-0000F7980000}"/>
    <cellStyle name="注释 2 3 8 6 3" xfId="22230" xr:uid="{00000000-0005-0000-0000-000006570000}"/>
    <cellStyle name="注释 2 3 8 6 3 2" xfId="52990" xr:uid="{00000000-0005-0000-0000-00002ECF0000}"/>
    <cellStyle name="注释 2 3 8 6 4" xfId="52991" xr:uid="{00000000-0005-0000-0000-00002FCF0000}"/>
    <cellStyle name="注释 2 3 8 6 4 2" xfId="52992" xr:uid="{00000000-0005-0000-0000-000030CF0000}"/>
    <cellStyle name="注释 2 3 8 6 5" xfId="52993" xr:uid="{00000000-0005-0000-0000-000031CF0000}"/>
    <cellStyle name="注释 2 3 8 6 5 2" xfId="52994" xr:uid="{00000000-0005-0000-0000-000032CF0000}"/>
    <cellStyle name="注释 2 3 8 6 6" xfId="19719" xr:uid="{00000000-0005-0000-0000-0000374D0000}"/>
    <cellStyle name="注释 2 3 8 7" xfId="26634" xr:uid="{00000000-0005-0000-0000-00003A680000}"/>
    <cellStyle name="注释 2 3 8 7 2" xfId="26637" xr:uid="{00000000-0005-0000-0000-00003D680000}"/>
    <cellStyle name="注释 2 3 8 7 2 2" xfId="52995" xr:uid="{00000000-0005-0000-0000-000033CF0000}"/>
    <cellStyle name="注释 2 3 8 7 3" xfId="22237" xr:uid="{00000000-0005-0000-0000-00000D570000}"/>
    <cellStyle name="注释 2 3 8 7 3 2" xfId="33593" xr:uid="{00000000-0005-0000-0000-000069830000}"/>
    <cellStyle name="注释 2 3 8 7 4" xfId="52996" xr:uid="{00000000-0005-0000-0000-000034CF0000}"/>
    <cellStyle name="注释 2 3 8 7 4 2" xfId="33697" xr:uid="{00000000-0005-0000-0000-0000D1830000}"/>
    <cellStyle name="注释 2 3 8 7 5" xfId="52997" xr:uid="{00000000-0005-0000-0000-000035CF0000}"/>
    <cellStyle name="注释 2 3 8 7 5 2" xfId="33755" xr:uid="{00000000-0005-0000-0000-00000B840000}"/>
    <cellStyle name="注释 2 3 8 7 6" xfId="19733" xr:uid="{00000000-0005-0000-0000-0000454D0000}"/>
    <cellStyle name="注释 2 3 8 8" xfId="26640" xr:uid="{00000000-0005-0000-0000-000040680000}"/>
    <cellStyle name="注释 2 3 8 8 2" xfId="30487" xr:uid="{00000000-0005-0000-0000-000047770000}"/>
    <cellStyle name="注释 2 3 8 8 2 2" xfId="52998" xr:uid="{00000000-0005-0000-0000-000036CF0000}"/>
    <cellStyle name="注释 2 3 8 8 3" xfId="22240" xr:uid="{00000000-0005-0000-0000-000010570000}"/>
    <cellStyle name="注释 2 3 8 8 3 2" xfId="52999" xr:uid="{00000000-0005-0000-0000-000037CF0000}"/>
    <cellStyle name="注释 2 3 8 8 4" xfId="53000" xr:uid="{00000000-0005-0000-0000-000038CF0000}"/>
    <cellStyle name="注释 2 3 8 8 4 2" xfId="53001" xr:uid="{00000000-0005-0000-0000-000039CF0000}"/>
    <cellStyle name="注释 2 3 8 8 5" xfId="53002" xr:uid="{00000000-0005-0000-0000-00003ACF0000}"/>
    <cellStyle name="注释 2 3 8 9" xfId="30490" xr:uid="{00000000-0005-0000-0000-00004A770000}"/>
    <cellStyle name="注释 2 3 8 9 2" xfId="30493" xr:uid="{00000000-0005-0000-0000-00004D770000}"/>
    <cellStyle name="注释 2 3 9" xfId="42222" xr:uid="{00000000-0005-0000-0000-00001EA50000}"/>
    <cellStyle name="注释 2 3 9 10" xfId="44848" xr:uid="{00000000-0005-0000-0000-000060AF0000}"/>
    <cellStyle name="注释 2 3 9 10 2" xfId="53003" xr:uid="{00000000-0005-0000-0000-00003BCF0000}"/>
    <cellStyle name="注释 2 3 9 11" xfId="30740" xr:uid="{00000000-0005-0000-0000-000044780000}"/>
    <cellStyle name="注释 2 3 9 11 2" xfId="53004" xr:uid="{00000000-0005-0000-0000-00003CCF0000}"/>
    <cellStyle name="注释 2 3 9 12" xfId="33428" xr:uid="{00000000-0005-0000-0000-0000C4820000}"/>
    <cellStyle name="注释 2 3 9 12 2" xfId="53005" xr:uid="{00000000-0005-0000-0000-00003DCF0000}"/>
    <cellStyle name="注释 2 3 9 13" xfId="53006" xr:uid="{00000000-0005-0000-0000-00003ECF0000}"/>
    <cellStyle name="注释 2 3 9 14" xfId="45627" xr:uid="{00000000-0005-0000-0000-00006BB20000}"/>
    <cellStyle name="注释 2 3 9 15" xfId="53007" xr:uid="{00000000-0005-0000-0000-00003FCF0000}"/>
    <cellStyle name="注释 2 3 9 16" xfId="6306" xr:uid="{00000000-0005-0000-0000-0000D2180000}"/>
    <cellStyle name="注释 2 3 9 2" xfId="50807" xr:uid="{00000000-0005-0000-0000-0000A7C60000}"/>
    <cellStyle name="注释 2 3 9 2 2" xfId="53008" xr:uid="{00000000-0005-0000-0000-000040CF0000}"/>
    <cellStyle name="注释 2 3 9 2 2 2" xfId="53009" xr:uid="{00000000-0005-0000-0000-000041CF0000}"/>
    <cellStyle name="注释 2 3 9 2 3" xfId="53010" xr:uid="{00000000-0005-0000-0000-000042CF0000}"/>
    <cellStyle name="注释 2 3 9 2 3 2" xfId="53012" xr:uid="{00000000-0005-0000-0000-000044CF0000}"/>
    <cellStyle name="注释 2 3 9 2 4" xfId="29416" xr:uid="{00000000-0005-0000-0000-000018730000}"/>
    <cellStyle name="注释 2 3 9 2 4 2" xfId="53013" xr:uid="{00000000-0005-0000-0000-000045CF0000}"/>
    <cellStyle name="注释 2 3 9 2 5" xfId="53014" xr:uid="{00000000-0005-0000-0000-000046CF0000}"/>
    <cellStyle name="注释 2 3 9 2 5 2" xfId="53015" xr:uid="{00000000-0005-0000-0000-000047CF0000}"/>
    <cellStyle name="注释 2 3 9 2 6" xfId="1123" xr:uid="{00000000-0005-0000-0000-000093040000}"/>
    <cellStyle name="注释 2 3 9 2 7" xfId="19779" xr:uid="{00000000-0005-0000-0000-0000734D0000}"/>
    <cellStyle name="注释 2 3 9 2 8" xfId="19782" xr:uid="{00000000-0005-0000-0000-0000764D0000}"/>
    <cellStyle name="注释 2 3 9 2 9" xfId="19788" xr:uid="{00000000-0005-0000-0000-00007C4D0000}"/>
    <cellStyle name="注释 2 3 9 3" xfId="6046" xr:uid="{00000000-0005-0000-0000-0000CE170000}"/>
    <cellStyle name="注释 2 3 9 3 2" xfId="50868" xr:uid="{00000000-0005-0000-0000-0000E4C60000}"/>
    <cellStyle name="注释 2 3 9 3 2 2" xfId="53016" xr:uid="{00000000-0005-0000-0000-000048CF0000}"/>
    <cellStyle name="注释 2 3 9 3 3" xfId="53017" xr:uid="{00000000-0005-0000-0000-000049CF0000}"/>
    <cellStyle name="注释 2 3 9 3 3 2" xfId="53019" xr:uid="{00000000-0005-0000-0000-00004BCF0000}"/>
    <cellStyle name="注释 2 3 9 3 4" xfId="29421" xr:uid="{00000000-0005-0000-0000-00001D730000}"/>
    <cellStyle name="注释 2 3 9 3 4 2" xfId="53020" xr:uid="{00000000-0005-0000-0000-00004CCF0000}"/>
    <cellStyle name="注释 2 3 9 3 5" xfId="53021" xr:uid="{00000000-0005-0000-0000-00004DCF0000}"/>
    <cellStyle name="注释 2 3 9 3 5 2" xfId="53022" xr:uid="{00000000-0005-0000-0000-00004ECF0000}"/>
    <cellStyle name="注释 2 3 9 3 6" xfId="1154" xr:uid="{00000000-0005-0000-0000-0000B2040000}"/>
    <cellStyle name="注释 2 3 9 4" xfId="26648" xr:uid="{00000000-0005-0000-0000-000048680000}"/>
    <cellStyle name="注释 2 3 9 4 2" xfId="26651" xr:uid="{00000000-0005-0000-0000-00004B680000}"/>
    <cellStyle name="注释 2 3 9 4 2 2" xfId="53023" xr:uid="{00000000-0005-0000-0000-00004FCF0000}"/>
    <cellStyle name="注释 2 3 9 4 3" xfId="53024" xr:uid="{00000000-0005-0000-0000-000050CF0000}"/>
    <cellStyle name="注释 2 3 9 4 3 2" xfId="53026" xr:uid="{00000000-0005-0000-0000-000052CF0000}"/>
    <cellStyle name="注释 2 3 9 4 4" xfId="36218" xr:uid="{00000000-0005-0000-0000-0000AA8D0000}"/>
    <cellStyle name="注释 2 3 9 4 4 2" xfId="53027" xr:uid="{00000000-0005-0000-0000-000053CF0000}"/>
    <cellStyle name="注释 2 3 9 4 5" xfId="53028" xr:uid="{00000000-0005-0000-0000-000054CF0000}"/>
    <cellStyle name="注释 2 3 9 4 5 2" xfId="53029" xr:uid="{00000000-0005-0000-0000-000055CF0000}"/>
    <cellStyle name="注释 2 3 9 4 6" xfId="1164" xr:uid="{00000000-0005-0000-0000-0000BC040000}"/>
    <cellStyle name="注释 2 3 9 5" xfId="26654" xr:uid="{00000000-0005-0000-0000-00004E680000}"/>
    <cellStyle name="注释 2 3 9 5 2" xfId="26658" xr:uid="{00000000-0005-0000-0000-000052680000}"/>
    <cellStyle name="注释 2 3 9 5 2 2" xfId="53030" xr:uid="{00000000-0005-0000-0000-000056CF0000}"/>
    <cellStyle name="注释 2 3 9 5 3" xfId="53031" xr:uid="{00000000-0005-0000-0000-000057CF0000}"/>
    <cellStyle name="注释 2 3 9 5 3 2" xfId="53032" xr:uid="{00000000-0005-0000-0000-000058CF0000}"/>
    <cellStyle name="注释 2 3 9 5 4" xfId="53033" xr:uid="{00000000-0005-0000-0000-000059CF0000}"/>
    <cellStyle name="注释 2 3 9 5 4 2" xfId="53034" xr:uid="{00000000-0005-0000-0000-00005ACF0000}"/>
    <cellStyle name="注释 2 3 9 5 5" xfId="53035" xr:uid="{00000000-0005-0000-0000-00005BCF0000}"/>
    <cellStyle name="注释 2 3 9 5 5 2" xfId="53036" xr:uid="{00000000-0005-0000-0000-00005CCF0000}"/>
    <cellStyle name="注释 2 3 9 5 6" xfId="19820" xr:uid="{00000000-0005-0000-0000-00009C4D0000}"/>
    <cellStyle name="注释 2 3 9 6" xfId="26661" xr:uid="{00000000-0005-0000-0000-000055680000}"/>
    <cellStyle name="注释 2 3 9 6 2" xfId="26666" xr:uid="{00000000-0005-0000-0000-00005A680000}"/>
    <cellStyle name="注释 2 3 9 6 2 2" xfId="53037" xr:uid="{00000000-0005-0000-0000-00005DCF0000}"/>
    <cellStyle name="注释 2 3 9 6 3" xfId="22246" xr:uid="{00000000-0005-0000-0000-000016570000}"/>
    <cellStyle name="注释 2 3 9 6 3 2" xfId="53038" xr:uid="{00000000-0005-0000-0000-00005ECF0000}"/>
    <cellStyle name="注释 2 3 9 6 4" xfId="53039" xr:uid="{00000000-0005-0000-0000-00005FCF0000}"/>
    <cellStyle name="注释 2 3 9 6 4 2" xfId="53040" xr:uid="{00000000-0005-0000-0000-000060CF0000}"/>
    <cellStyle name="注释 2 3 9 6 5" xfId="53041" xr:uid="{00000000-0005-0000-0000-000061CF0000}"/>
    <cellStyle name="注释 2 3 9 6 5 2" xfId="53042" xr:uid="{00000000-0005-0000-0000-000062CF0000}"/>
    <cellStyle name="注释 2 3 9 6 6" xfId="19824" xr:uid="{00000000-0005-0000-0000-0000A04D0000}"/>
    <cellStyle name="注释 2 3 9 7" xfId="26669" xr:uid="{00000000-0005-0000-0000-00005D680000}"/>
    <cellStyle name="注释 2 3 9 7 2" xfId="26673" xr:uid="{00000000-0005-0000-0000-000061680000}"/>
    <cellStyle name="注释 2 3 9 7 2 2" xfId="53043" xr:uid="{00000000-0005-0000-0000-000063CF0000}"/>
    <cellStyle name="注释 2 3 9 7 3" xfId="22251" xr:uid="{00000000-0005-0000-0000-00001B570000}"/>
    <cellStyle name="注释 2 3 9 7 3 2" xfId="53044" xr:uid="{00000000-0005-0000-0000-000064CF0000}"/>
    <cellStyle name="注释 2 3 9 7 4" xfId="53045" xr:uid="{00000000-0005-0000-0000-000065CF0000}"/>
    <cellStyle name="注释 2 3 9 7 4 2" xfId="53046" xr:uid="{00000000-0005-0000-0000-000066CF0000}"/>
    <cellStyle name="注释 2 3 9 7 5" xfId="53047" xr:uid="{00000000-0005-0000-0000-000067CF0000}"/>
    <cellStyle name="注释 2 3 9 7 5 2" xfId="53048" xr:uid="{00000000-0005-0000-0000-000068CF0000}"/>
    <cellStyle name="注释 2 3 9 7 6" xfId="19829" xr:uid="{00000000-0005-0000-0000-0000A54D0000}"/>
    <cellStyle name="注释 2 3 9 8" xfId="26676" xr:uid="{00000000-0005-0000-0000-000064680000}"/>
    <cellStyle name="注释 2 3 9 8 2" xfId="30500" xr:uid="{00000000-0005-0000-0000-000054770000}"/>
    <cellStyle name="注释 2 3 9 8 2 2" xfId="53049" xr:uid="{00000000-0005-0000-0000-000069CF0000}"/>
    <cellStyle name="注释 2 3 9 8 3" xfId="22254" xr:uid="{00000000-0005-0000-0000-00001E570000}"/>
    <cellStyle name="注释 2 3 9 8 3 2" xfId="53050" xr:uid="{00000000-0005-0000-0000-00006ACF0000}"/>
    <cellStyle name="注释 2 3 9 8 4" xfId="53051" xr:uid="{00000000-0005-0000-0000-00006BCF0000}"/>
    <cellStyle name="注释 2 3 9 8 4 2" xfId="53052" xr:uid="{00000000-0005-0000-0000-00006CCF0000}"/>
    <cellStyle name="注释 2 3 9 8 5" xfId="53053" xr:uid="{00000000-0005-0000-0000-00006DCF0000}"/>
    <cellStyle name="注释 2 3 9 9" xfId="30504" xr:uid="{00000000-0005-0000-0000-000058770000}"/>
    <cellStyle name="注释 2 3 9 9 2" xfId="53054" xr:uid="{00000000-0005-0000-0000-00006ECF0000}"/>
    <cellStyle name="注释 2 4" xfId="53055" xr:uid="{00000000-0005-0000-0000-00006FCF0000}"/>
    <cellStyle name="注释 2 4 10" xfId="53057" xr:uid="{00000000-0005-0000-0000-000071CF0000}"/>
    <cellStyle name="注释 2 4 10 10" xfId="53058" xr:uid="{00000000-0005-0000-0000-000072CF0000}"/>
    <cellStyle name="注释 2 4 10 10 2" xfId="53059" xr:uid="{00000000-0005-0000-0000-000073CF0000}"/>
    <cellStyle name="注释 2 4 10 11" xfId="53060" xr:uid="{00000000-0005-0000-0000-000074CF0000}"/>
    <cellStyle name="注释 2 4 10 11 2" xfId="53061" xr:uid="{00000000-0005-0000-0000-000075CF0000}"/>
    <cellStyle name="注释 2 4 10 12" xfId="53062" xr:uid="{00000000-0005-0000-0000-000076CF0000}"/>
    <cellStyle name="注释 2 4 10 12 2" xfId="53063" xr:uid="{00000000-0005-0000-0000-000077CF0000}"/>
    <cellStyle name="注释 2 4 10 13" xfId="47234" xr:uid="{00000000-0005-0000-0000-0000B2B80000}"/>
    <cellStyle name="注释 2 4 10 14" xfId="53064" xr:uid="{00000000-0005-0000-0000-000078CF0000}"/>
    <cellStyle name="注释 2 4 10 15" xfId="53065" xr:uid="{00000000-0005-0000-0000-000079CF0000}"/>
    <cellStyle name="注释 2 4 10 16" xfId="53066" xr:uid="{00000000-0005-0000-0000-00007ACF0000}"/>
    <cellStyle name="注释 2 4 10 2" xfId="53067" xr:uid="{00000000-0005-0000-0000-00007BCF0000}"/>
    <cellStyle name="注释 2 4 10 2 2" xfId="53068" xr:uid="{00000000-0005-0000-0000-00007CCF0000}"/>
    <cellStyle name="注释 2 4 10 2 2 2" xfId="53069" xr:uid="{00000000-0005-0000-0000-00007DCF0000}"/>
    <cellStyle name="注释 2 4 10 2 3" xfId="46017" xr:uid="{00000000-0005-0000-0000-0000F1B30000}"/>
    <cellStyle name="注释 2 4 10 2 3 2" xfId="31633" xr:uid="{00000000-0005-0000-0000-0000C17B0000}"/>
    <cellStyle name="注释 2 4 10 2 4" xfId="50105" xr:uid="{00000000-0005-0000-0000-0000E9C30000}"/>
    <cellStyle name="注释 2 4 10 2 4 2" xfId="53070" xr:uid="{00000000-0005-0000-0000-00007ECF0000}"/>
    <cellStyle name="注释 2 4 10 2 5" xfId="42314" xr:uid="{00000000-0005-0000-0000-00007AA50000}"/>
    <cellStyle name="注释 2 4 10 2 5 2" xfId="53071" xr:uid="{00000000-0005-0000-0000-00007FCF0000}"/>
    <cellStyle name="注释 2 4 10 2 6" xfId="53072" xr:uid="{00000000-0005-0000-0000-000080CF0000}"/>
    <cellStyle name="注释 2 4 10 2 7" xfId="53073" xr:uid="{00000000-0005-0000-0000-000081CF0000}"/>
    <cellStyle name="注释 2 4 10 2 8" xfId="2971" xr:uid="{00000000-0005-0000-0000-0000CB0B0000}"/>
    <cellStyle name="注释 2 4 10 2 9" xfId="53074" xr:uid="{00000000-0005-0000-0000-000082CF0000}"/>
    <cellStyle name="注释 2 4 10 3" xfId="53075" xr:uid="{00000000-0005-0000-0000-000083CF0000}"/>
    <cellStyle name="注释 2 4 10 3 2" xfId="53076" xr:uid="{00000000-0005-0000-0000-000084CF0000}"/>
    <cellStyle name="注释 2 4 10 3 2 2" xfId="53077" xr:uid="{00000000-0005-0000-0000-000085CF0000}"/>
    <cellStyle name="注释 2 4 10 3 3" xfId="46020" xr:uid="{00000000-0005-0000-0000-0000F4B30000}"/>
    <cellStyle name="注释 2 4 10 3 3 2" xfId="31736" xr:uid="{00000000-0005-0000-0000-0000287C0000}"/>
    <cellStyle name="注释 2 4 10 3 4" xfId="53078" xr:uid="{00000000-0005-0000-0000-000086CF0000}"/>
    <cellStyle name="注释 2 4 10 3 4 2" xfId="53079" xr:uid="{00000000-0005-0000-0000-000087CF0000}"/>
    <cellStyle name="注释 2 4 10 3 5" xfId="53080" xr:uid="{00000000-0005-0000-0000-000088CF0000}"/>
    <cellStyle name="注释 2 4 10 3 5 2" xfId="53081" xr:uid="{00000000-0005-0000-0000-000089CF0000}"/>
    <cellStyle name="注释 2 4 10 3 6" xfId="53082" xr:uid="{00000000-0005-0000-0000-00008ACF0000}"/>
    <cellStyle name="注释 2 4 10 4" xfId="53083" xr:uid="{00000000-0005-0000-0000-00008BCF0000}"/>
    <cellStyle name="注释 2 4 10 4 2" xfId="53084" xr:uid="{00000000-0005-0000-0000-00008CCF0000}"/>
    <cellStyle name="注释 2 4 10 4 2 2" xfId="53085" xr:uid="{00000000-0005-0000-0000-00008DCF0000}"/>
    <cellStyle name="注释 2 4 10 4 3" xfId="46023" xr:uid="{00000000-0005-0000-0000-0000F7B30000}"/>
    <cellStyle name="注释 2 4 10 4 3 2" xfId="31835" xr:uid="{00000000-0005-0000-0000-00008B7C0000}"/>
    <cellStyle name="注释 2 4 10 4 4" xfId="53087" xr:uid="{00000000-0005-0000-0000-00008FCF0000}"/>
    <cellStyle name="注释 2 4 10 4 4 2" xfId="53088" xr:uid="{00000000-0005-0000-0000-000090CF0000}"/>
    <cellStyle name="注释 2 4 10 4 5" xfId="53090" xr:uid="{00000000-0005-0000-0000-000092CF0000}"/>
    <cellStyle name="注释 2 4 10 4 5 2" xfId="53091" xr:uid="{00000000-0005-0000-0000-000093CF0000}"/>
    <cellStyle name="注释 2 4 10 4 6" xfId="53093" xr:uid="{00000000-0005-0000-0000-000095CF0000}"/>
    <cellStyle name="注释 2 4 10 5" xfId="37884" xr:uid="{00000000-0005-0000-0000-00002C940000}"/>
    <cellStyle name="注释 2 4 10 5 2" xfId="53094" xr:uid="{00000000-0005-0000-0000-000096CF0000}"/>
    <cellStyle name="注释 2 4 10 5 2 2" xfId="53095" xr:uid="{00000000-0005-0000-0000-000097CF0000}"/>
    <cellStyle name="注释 2 4 10 5 3" xfId="53097" xr:uid="{00000000-0005-0000-0000-000099CF0000}"/>
    <cellStyle name="注释 2 4 10 5 3 2" xfId="53098" xr:uid="{00000000-0005-0000-0000-00009ACF0000}"/>
    <cellStyle name="注释 2 4 10 5 4" xfId="53100" xr:uid="{00000000-0005-0000-0000-00009CCF0000}"/>
    <cellStyle name="注释 2 4 10 5 4 2" xfId="53101" xr:uid="{00000000-0005-0000-0000-00009DCF0000}"/>
    <cellStyle name="注释 2 4 10 5 5" xfId="53103" xr:uid="{00000000-0005-0000-0000-00009FCF0000}"/>
    <cellStyle name="注释 2 4 10 5 5 2" xfId="53104" xr:uid="{00000000-0005-0000-0000-0000A0CF0000}"/>
    <cellStyle name="注释 2 4 10 5 6" xfId="53106" xr:uid="{00000000-0005-0000-0000-0000A2CF0000}"/>
    <cellStyle name="注释 2 4 10 6" xfId="53107" xr:uid="{00000000-0005-0000-0000-0000A3CF0000}"/>
    <cellStyle name="注释 2 4 10 6 2" xfId="53108" xr:uid="{00000000-0005-0000-0000-0000A4CF0000}"/>
    <cellStyle name="注释 2 4 10 6 2 2" xfId="53109" xr:uid="{00000000-0005-0000-0000-0000A5CF0000}"/>
    <cellStyle name="注释 2 4 10 6 3" xfId="53111" xr:uid="{00000000-0005-0000-0000-0000A7CF0000}"/>
    <cellStyle name="注释 2 4 10 6 3 2" xfId="53112" xr:uid="{00000000-0005-0000-0000-0000A8CF0000}"/>
    <cellStyle name="注释 2 4 10 6 4" xfId="53114" xr:uid="{00000000-0005-0000-0000-0000AACF0000}"/>
    <cellStyle name="注释 2 4 10 6 4 2" xfId="53115" xr:uid="{00000000-0005-0000-0000-0000ABCF0000}"/>
    <cellStyle name="注释 2 4 10 6 5" xfId="53117" xr:uid="{00000000-0005-0000-0000-0000ADCF0000}"/>
    <cellStyle name="注释 2 4 10 6 5 2" xfId="53118" xr:uid="{00000000-0005-0000-0000-0000AECF0000}"/>
    <cellStyle name="注释 2 4 10 6 6" xfId="53120" xr:uid="{00000000-0005-0000-0000-0000B0CF0000}"/>
    <cellStyle name="注释 2 4 10 7" xfId="53121" xr:uid="{00000000-0005-0000-0000-0000B1CF0000}"/>
    <cellStyle name="注释 2 4 10 7 2" xfId="53122" xr:uid="{00000000-0005-0000-0000-0000B2CF0000}"/>
    <cellStyle name="注释 2 4 10 7 2 2" xfId="53123" xr:uid="{00000000-0005-0000-0000-0000B3CF0000}"/>
    <cellStyle name="注释 2 4 10 7 3" xfId="53125" xr:uid="{00000000-0005-0000-0000-0000B5CF0000}"/>
    <cellStyle name="注释 2 4 10 7 3 2" xfId="53126" xr:uid="{00000000-0005-0000-0000-0000B6CF0000}"/>
    <cellStyle name="注释 2 4 10 7 4" xfId="53128" xr:uid="{00000000-0005-0000-0000-0000B8CF0000}"/>
    <cellStyle name="注释 2 4 10 7 4 2" xfId="53129" xr:uid="{00000000-0005-0000-0000-0000B9CF0000}"/>
    <cellStyle name="注释 2 4 10 7 5" xfId="32018" xr:uid="{00000000-0005-0000-0000-0000427D0000}"/>
    <cellStyle name="注释 2 4 10 7 5 2" xfId="53131" xr:uid="{00000000-0005-0000-0000-0000BBCF0000}"/>
    <cellStyle name="注释 2 4 10 7 6" xfId="50439" xr:uid="{00000000-0005-0000-0000-000037C50000}"/>
    <cellStyle name="注释 2 4 10 8" xfId="27597" xr:uid="{00000000-0005-0000-0000-0000FD6B0000}"/>
    <cellStyle name="注释 2 4 10 8 2" xfId="43552" xr:uid="{00000000-0005-0000-0000-000050AA0000}"/>
    <cellStyle name="注释 2 4 10 8 2 2" xfId="53133" xr:uid="{00000000-0005-0000-0000-0000BDCF0000}"/>
    <cellStyle name="注释 2 4 10 8 3" xfId="53135" xr:uid="{00000000-0005-0000-0000-0000BFCF0000}"/>
    <cellStyle name="注释 2 4 10 8 3 2" xfId="53136" xr:uid="{00000000-0005-0000-0000-0000C0CF0000}"/>
    <cellStyle name="注释 2 4 10 8 4" xfId="53138" xr:uid="{00000000-0005-0000-0000-0000C2CF0000}"/>
    <cellStyle name="注释 2 4 10 8 4 2" xfId="53139" xr:uid="{00000000-0005-0000-0000-0000C3CF0000}"/>
    <cellStyle name="注释 2 4 10 8 5" xfId="32021" xr:uid="{00000000-0005-0000-0000-0000457D0000}"/>
    <cellStyle name="注释 2 4 10 9" xfId="17940" xr:uid="{00000000-0005-0000-0000-000044460000}"/>
    <cellStyle name="注释 2 4 10 9 2" xfId="43554" xr:uid="{00000000-0005-0000-0000-000052AA0000}"/>
    <cellStyle name="注释 2 4 11" xfId="53141" xr:uid="{00000000-0005-0000-0000-0000C5CF0000}"/>
    <cellStyle name="注释 2 4 11 10" xfId="53142" xr:uid="{00000000-0005-0000-0000-0000C6CF0000}"/>
    <cellStyle name="注释 2 4 11 10 2" xfId="53143" xr:uid="{00000000-0005-0000-0000-0000C7CF0000}"/>
    <cellStyle name="注释 2 4 11 11" xfId="53144" xr:uid="{00000000-0005-0000-0000-0000C8CF0000}"/>
    <cellStyle name="注释 2 4 11 11 2" xfId="53145" xr:uid="{00000000-0005-0000-0000-0000C9CF0000}"/>
    <cellStyle name="注释 2 4 11 12" xfId="53146" xr:uid="{00000000-0005-0000-0000-0000CACF0000}"/>
    <cellStyle name="注释 2 4 11 12 2" xfId="53147" xr:uid="{00000000-0005-0000-0000-0000CBCF0000}"/>
    <cellStyle name="注释 2 4 11 13" xfId="4160" xr:uid="{00000000-0005-0000-0000-000070100000}"/>
    <cellStyle name="注释 2 4 11 14" xfId="53148" xr:uid="{00000000-0005-0000-0000-0000CCCF0000}"/>
    <cellStyle name="注释 2 4 11 15" xfId="53149" xr:uid="{00000000-0005-0000-0000-0000CDCF0000}"/>
    <cellStyle name="注释 2 4 11 16" xfId="53150" xr:uid="{00000000-0005-0000-0000-0000CECF0000}"/>
    <cellStyle name="注释 2 4 11 2" xfId="53151" xr:uid="{00000000-0005-0000-0000-0000CFCF0000}"/>
    <cellStyle name="注释 2 4 11 2 2" xfId="53152" xr:uid="{00000000-0005-0000-0000-0000D0CF0000}"/>
    <cellStyle name="注释 2 4 11 2 2 2" xfId="53153" xr:uid="{00000000-0005-0000-0000-0000D1CF0000}"/>
    <cellStyle name="注释 2 4 11 2 3" xfId="46029" xr:uid="{00000000-0005-0000-0000-0000FDB30000}"/>
    <cellStyle name="注释 2 4 11 2 3 2" xfId="32507" xr:uid="{00000000-0005-0000-0000-00002B7F0000}"/>
    <cellStyle name="注释 2 4 11 2 4" xfId="53154" xr:uid="{00000000-0005-0000-0000-0000D2CF0000}"/>
    <cellStyle name="注释 2 4 11 2 4 2" xfId="53155" xr:uid="{00000000-0005-0000-0000-0000D3CF0000}"/>
    <cellStyle name="注释 2 4 11 2 5" xfId="53156" xr:uid="{00000000-0005-0000-0000-0000D4CF0000}"/>
    <cellStyle name="注释 2 4 11 2 5 2" xfId="53157" xr:uid="{00000000-0005-0000-0000-0000D5CF0000}"/>
    <cellStyle name="注释 2 4 11 2 6" xfId="53158" xr:uid="{00000000-0005-0000-0000-0000D6CF0000}"/>
    <cellStyle name="注释 2 4 11 3" xfId="53159" xr:uid="{00000000-0005-0000-0000-0000D7CF0000}"/>
    <cellStyle name="注释 2 4 11 3 2" xfId="53160" xr:uid="{00000000-0005-0000-0000-0000D8CF0000}"/>
    <cellStyle name="注释 2 4 11 3 2 2" xfId="53161" xr:uid="{00000000-0005-0000-0000-0000D9CF0000}"/>
    <cellStyle name="注释 2 4 11 3 3" xfId="46032" xr:uid="{00000000-0005-0000-0000-000000B40000}"/>
    <cellStyle name="注释 2 4 11 3 3 2" xfId="32568" xr:uid="{00000000-0005-0000-0000-0000687F0000}"/>
    <cellStyle name="注释 2 4 11 3 4" xfId="53162" xr:uid="{00000000-0005-0000-0000-0000DACF0000}"/>
    <cellStyle name="注释 2 4 11 3 4 2" xfId="52685" xr:uid="{00000000-0005-0000-0000-0000FDCD0000}"/>
    <cellStyle name="注释 2 4 11 3 5" xfId="53163" xr:uid="{00000000-0005-0000-0000-0000DBCF0000}"/>
    <cellStyle name="注释 2 4 11 3 5 2" xfId="53164" xr:uid="{00000000-0005-0000-0000-0000DCCF0000}"/>
    <cellStyle name="注释 2 4 11 3 6" xfId="53165" xr:uid="{00000000-0005-0000-0000-0000DDCF0000}"/>
    <cellStyle name="注释 2 4 11 4" xfId="53166" xr:uid="{00000000-0005-0000-0000-0000DECF0000}"/>
    <cellStyle name="注释 2 4 11 4 2" xfId="53168" xr:uid="{00000000-0005-0000-0000-0000E0CF0000}"/>
    <cellStyle name="注释 2 4 11 4 2 2" xfId="4409" xr:uid="{00000000-0005-0000-0000-000069110000}"/>
    <cellStyle name="注释 2 4 11 4 3" xfId="46035" xr:uid="{00000000-0005-0000-0000-000003B40000}"/>
    <cellStyle name="注释 2 4 11 4 3 2" xfId="32629" xr:uid="{00000000-0005-0000-0000-0000A57F0000}"/>
    <cellStyle name="注释 2 4 11 4 4" xfId="53169" xr:uid="{00000000-0005-0000-0000-0000E1CF0000}"/>
    <cellStyle name="注释 2 4 11 4 4 2" xfId="52925" xr:uid="{00000000-0005-0000-0000-0000EDCE0000}"/>
    <cellStyle name="注释 2 4 11 4 5" xfId="53170" xr:uid="{00000000-0005-0000-0000-0000E2CF0000}"/>
    <cellStyle name="注释 2 4 11 4 5 2" xfId="53171" xr:uid="{00000000-0005-0000-0000-0000E3CF0000}"/>
    <cellStyle name="注释 2 4 11 4 6" xfId="53172" xr:uid="{00000000-0005-0000-0000-0000E4CF0000}"/>
    <cellStyle name="注释 2 4 11 5" xfId="37887" xr:uid="{00000000-0005-0000-0000-00002F940000}"/>
    <cellStyle name="注释 2 4 11 5 2" xfId="53173" xr:uid="{00000000-0005-0000-0000-0000E5CF0000}"/>
    <cellStyle name="注释 2 4 11 5 2 2" xfId="53174" xr:uid="{00000000-0005-0000-0000-0000E6CF0000}"/>
    <cellStyle name="注释 2 4 11 5 3" xfId="53175" xr:uid="{00000000-0005-0000-0000-0000E7CF0000}"/>
    <cellStyle name="注释 2 4 11 5 3 2" xfId="53176" xr:uid="{00000000-0005-0000-0000-0000E8CF0000}"/>
    <cellStyle name="注释 2 4 11 5 4" xfId="53177" xr:uid="{00000000-0005-0000-0000-0000E9CF0000}"/>
    <cellStyle name="注释 2 4 11 5 4 2" xfId="53178" xr:uid="{00000000-0005-0000-0000-0000EACF0000}"/>
    <cellStyle name="注释 2 4 11 5 5" xfId="53179" xr:uid="{00000000-0005-0000-0000-0000EBCF0000}"/>
    <cellStyle name="注释 2 4 11 5 5 2" xfId="53180" xr:uid="{00000000-0005-0000-0000-0000ECCF0000}"/>
    <cellStyle name="注释 2 4 11 5 6" xfId="53181" xr:uid="{00000000-0005-0000-0000-0000EDCF0000}"/>
    <cellStyle name="注释 2 4 11 6" xfId="53182" xr:uid="{00000000-0005-0000-0000-0000EECF0000}"/>
    <cellStyle name="注释 2 4 11 6 2" xfId="27813" xr:uid="{00000000-0005-0000-0000-0000D56C0000}"/>
    <cellStyle name="注释 2 4 11 6 2 2" xfId="53183" xr:uid="{00000000-0005-0000-0000-0000EFCF0000}"/>
    <cellStyle name="注释 2 4 11 6 3" xfId="40196" xr:uid="{00000000-0005-0000-0000-0000349D0000}"/>
    <cellStyle name="注释 2 4 11 6 3 2" xfId="53184" xr:uid="{00000000-0005-0000-0000-0000F0CF0000}"/>
    <cellStyle name="注释 2 4 11 6 4" xfId="40198" xr:uid="{00000000-0005-0000-0000-0000369D0000}"/>
    <cellStyle name="注释 2 4 11 6 4 2" xfId="24489" xr:uid="{00000000-0005-0000-0000-0000D95F0000}"/>
    <cellStyle name="注释 2 4 11 6 5" xfId="53185" xr:uid="{00000000-0005-0000-0000-0000F1CF0000}"/>
    <cellStyle name="注释 2 4 11 6 5 2" xfId="25510" xr:uid="{00000000-0005-0000-0000-0000D6630000}"/>
    <cellStyle name="注释 2 4 11 6 6" xfId="53186" xr:uid="{00000000-0005-0000-0000-0000F2CF0000}"/>
    <cellStyle name="注释 2 4 11 7" xfId="53187" xr:uid="{00000000-0005-0000-0000-0000F3CF0000}"/>
    <cellStyle name="注释 2 4 11 7 2" xfId="53188" xr:uid="{00000000-0005-0000-0000-0000F4CF0000}"/>
    <cellStyle name="注释 2 4 11 7 2 2" xfId="53189" xr:uid="{00000000-0005-0000-0000-0000F5CF0000}"/>
    <cellStyle name="注释 2 4 11 7 3" xfId="53190" xr:uid="{00000000-0005-0000-0000-0000F6CF0000}"/>
    <cellStyle name="注释 2 4 11 7 3 2" xfId="53191" xr:uid="{00000000-0005-0000-0000-0000F7CF0000}"/>
    <cellStyle name="注释 2 4 11 7 4" xfId="53192" xr:uid="{00000000-0005-0000-0000-0000F8CF0000}"/>
    <cellStyle name="注释 2 4 11 7 4 2" xfId="53193" xr:uid="{00000000-0005-0000-0000-0000F9CF0000}"/>
    <cellStyle name="注释 2 4 11 7 5" xfId="32025" xr:uid="{00000000-0005-0000-0000-0000497D0000}"/>
    <cellStyle name="注释 2 4 11 7 5 2" xfId="53194" xr:uid="{00000000-0005-0000-0000-0000FACF0000}"/>
    <cellStyle name="注释 2 4 11 7 6" xfId="53195" xr:uid="{00000000-0005-0000-0000-0000FBCF0000}"/>
    <cellStyle name="注释 2 4 11 8" xfId="43561" xr:uid="{00000000-0005-0000-0000-000059AA0000}"/>
    <cellStyle name="注释 2 4 11 8 2" xfId="43563" xr:uid="{00000000-0005-0000-0000-00005BAA0000}"/>
    <cellStyle name="注释 2 4 11 8 2 2" xfId="53196" xr:uid="{00000000-0005-0000-0000-0000FCCF0000}"/>
    <cellStyle name="注释 2 4 11 8 3" xfId="53197" xr:uid="{00000000-0005-0000-0000-0000FDCF0000}"/>
    <cellStyle name="注释 2 4 11 8 3 2" xfId="53198" xr:uid="{00000000-0005-0000-0000-0000FECF0000}"/>
    <cellStyle name="注释 2 4 11 8 4" xfId="53199" xr:uid="{00000000-0005-0000-0000-0000FFCF0000}"/>
    <cellStyle name="注释 2 4 11 8 4 2" xfId="53200" xr:uid="{00000000-0005-0000-0000-000000D00000}"/>
    <cellStyle name="注释 2 4 11 8 5" xfId="32029" xr:uid="{00000000-0005-0000-0000-00004D7D0000}"/>
    <cellStyle name="注释 2 4 11 9" xfId="43565" xr:uid="{00000000-0005-0000-0000-00005DAA0000}"/>
    <cellStyle name="注释 2 4 11 9 2" xfId="43567" xr:uid="{00000000-0005-0000-0000-00005FAA0000}"/>
    <cellStyle name="注释 2 4 12" xfId="53202" xr:uid="{00000000-0005-0000-0000-000002D00000}"/>
    <cellStyle name="注释 2 4 12 2" xfId="53203" xr:uid="{00000000-0005-0000-0000-000003D00000}"/>
    <cellStyle name="注释 2 4 12 2 2" xfId="53204" xr:uid="{00000000-0005-0000-0000-000004D00000}"/>
    <cellStyle name="注释 2 4 12 3" xfId="53205" xr:uid="{00000000-0005-0000-0000-000005D00000}"/>
    <cellStyle name="注释 2 4 12 3 2" xfId="53206" xr:uid="{00000000-0005-0000-0000-000006D00000}"/>
    <cellStyle name="注释 2 4 12 4" xfId="53207" xr:uid="{00000000-0005-0000-0000-000007D00000}"/>
    <cellStyle name="注释 2 4 12 4 2" xfId="53209" xr:uid="{00000000-0005-0000-0000-000009D00000}"/>
    <cellStyle name="注释 2 4 12 5" xfId="37891" xr:uid="{00000000-0005-0000-0000-000033940000}"/>
    <cellStyle name="注释 2 4 12 5 2" xfId="53210" xr:uid="{00000000-0005-0000-0000-00000AD00000}"/>
    <cellStyle name="注释 2 4 12 6" xfId="53211" xr:uid="{00000000-0005-0000-0000-00000BD00000}"/>
    <cellStyle name="注释 2 4 12 7" xfId="53212" xr:uid="{00000000-0005-0000-0000-00000CD00000}"/>
    <cellStyle name="注释 2 4 12 8" xfId="43572" xr:uid="{00000000-0005-0000-0000-000064AA0000}"/>
    <cellStyle name="注释 2 4 12 9" xfId="43575" xr:uid="{00000000-0005-0000-0000-000067AA0000}"/>
    <cellStyle name="注释 2 4 13" xfId="53213" xr:uid="{00000000-0005-0000-0000-00000DD00000}"/>
    <cellStyle name="注释 2 4 13 2" xfId="53215" xr:uid="{00000000-0005-0000-0000-00000FD00000}"/>
    <cellStyle name="注释 2 4 13 2 2" xfId="53216" xr:uid="{00000000-0005-0000-0000-000010D00000}"/>
    <cellStyle name="注释 2 4 13 3" xfId="53217" xr:uid="{00000000-0005-0000-0000-000011D00000}"/>
    <cellStyle name="注释 2 4 13 3 2" xfId="53218" xr:uid="{00000000-0005-0000-0000-000012D00000}"/>
    <cellStyle name="注释 2 4 13 4" xfId="53219" xr:uid="{00000000-0005-0000-0000-000013D00000}"/>
    <cellStyle name="注释 2 4 13 4 2" xfId="53221" xr:uid="{00000000-0005-0000-0000-000015D00000}"/>
    <cellStyle name="注释 2 4 13 5" xfId="53222" xr:uid="{00000000-0005-0000-0000-000016D00000}"/>
    <cellStyle name="注释 2 4 13 5 2" xfId="53223" xr:uid="{00000000-0005-0000-0000-000017D00000}"/>
    <cellStyle name="注释 2 4 13 6" xfId="53224" xr:uid="{00000000-0005-0000-0000-000018D00000}"/>
    <cellStyle name="注释 2 4 14" xfId="9421" xr:uid="{00000000-0005-0000-0000-0000FD240000}"/>
    <cellStyle name="注释 2 4 14 2" xfId="34275" xr:uid="{00000000-0005-0000-0000-000013860000}"/>
    <cellStyle name="注释 2 4 14 2 2" xfId="34277" xr:uid="{00000000-0005-0000-0000-000015860000}"/>
    <cellStyle name="注释 2 4 14 3" xfId="11649" xr:uid="{00000000-0005-0000-0000-0000B12D0000}"/>
    <cellStyle name="注释 2 4 14 3 2" xfId="34279" xr:uid="{00000000-0005-0000-0000-000017860000}"/>
    <cellStyle name="注释 2 4 14 4" xfId="34281" xr:uid="{00000000-0005-0000-0000-000019860000}"/>
    <cellStyle name="注释 2 4 14 4 2" xfId="34284" xr:uid="{00000000-0005-0000-0000-00001C860000}"/>
    <cellStyle name="注释 2 4 14 5" xfId="34286" xr:uid="{00000000-0005-0000-0000-00001E860000}"/>
    <cellStyle name="注释 2 4 14 5 2" xfId="34289" xr:uid="{00000000-0005-0000-0000-000021860000}"/>
    <cellStyle name="注释 2 4 14 6" xfId="34291" xr:uid="{00000000-0005-0000-0000-000023860000}"/>
    <cellStyle name="注释 2 4 15" xfId="9119" xr:uid="{00000000-0005-0000-0000-0000CF230000}"/>
    <cellStyle name="注释 2 4 15 2" xfId="28712" xr:uid="{00000000-0005-0000-0000-000058700000}"/>
    <cellStyle name="注释 2 4 15 2 2" xfId="28716" xr:uid="{00000000-0005-0000-0000-00005C700000}"/>
    <cellStyle name="注释 2 4 15 3" xfId="11660" xr:uid="{00000000-0005-0000-0000-0000BC2D0000}"/>
    <cellStyle name="注释 2 4 15 3 2" xfId="28720" xr:uid="{00000000-0005-0000-0000-000060700000}"/>
    <cellStyle name="注释 2 4 15 4" xfId="28724" xr:uid="{00000000-0005-0000-0000-000064700000}"/>
    <cellStyle name="注释 2 4 15 4 2" xfId="28728" xr:uid="{00000000-0005-0000-0000-000068700000}"/>
    <cellStyle name="注释 2 4 15 5" xfId="28732" xr:uid="{00000000-0005-0000-0000-00006C700000}"/>
    <cellStyle name="注释 2 4 15 5 2" xfId="34297" xr:uid="{00000000-0005-0000-0000-000029860000}"/>
    <cellStyle name="注释 2 4 15 6" xfId="28737" xr:uid="{00000000-0005-0000-0000-000071700000}"/>
    <cellStyle name="注释 2 4 16" xfId="34299" xr:uid="{00000000-0005-0000-0000-00002B860000}"/>
    <cellStyle name="注释 2 4 16 2" xfId="28755" xr:uid="{00000000-0005-0000-0000-000083700000}"/>
    <cellStyle name="注释 2 4 16 2 2" xfId="28759" xr:uid="{00000000-0005-0000-0000-000087700000}"/>
    <cellStyle name="注释 2 4 16 3" xfId="28763" xr:uid="{00000000-0005-0000-0000-00008B700000}"/>
    <cellStyle name="注释 2 4 16 3 2" xfId="16170" xr:uid="{00000000-0005-0000-0000-00005A3F0000}"/>
    <cellStyle name="注释 2 4 16 4" xfId="28768" xr:uid="{00000000-0005-0000-0000-000090700000}"/>
    <cellStyle name="注释 2 4 16 4 2" xfId="6298" xr:uid="{00000000-0005-0000-0000-0000CA180000}"/>
    <cellStyle name="注释 2 4 16 5" xfId="28772" xr:uid="{00000000-0005-0000-0000-000094700000}"/>
    <cellStyle name="注释 2 4 16 5 2" xfId="34302" xr:uid="{00000000-0005-0000-0000-00002E860000}"/>
    <cellStyle name="注释 2 4 16 6" xfId="34305" xr:uid="{00000000-0005-0000-0000-000031860000}"/>
    <cellStyle name="注释 2 4 17" xfId="34307" xr:uid="{00000000-0005-0000-0000-000033860000}"/>
    <cellStyle name="注释 2 4 17 2" xfId="28786" xr:uid="{00000000-0005-0000-0000-0000A2700000}"/>
    <cellStyle name="注释 2 4 17 2 2" xfId="28790" xr:uid="{00000000-0005-0000-0000-0000A6700000}"/>
    <cellStyle name="注释 2 4 17 3" xfId="28794" xr:uid="{00000000-0005-0000-0000-0000AA700000}"/>
    <cellStyle name="注释 2 4 17 3 2" xfId="16883" xr:uid="{00000000-0005-0000-0000-000023420000}"/>
    <cellStyle name="注释 2 4 17 4" xfId="27849" xr:uid="{00000000-0005-0000-0000-0000F96C0000}"/>
    <cellStyle name="注释 2 4 17 4 2" xfId="6686" xr:uid="{00000000-0005-0000-0000-00004E1A0000}"/>
    <cellStyle name="注释 2 4 17 5" xfId="28800" xr:uid="{00000000-0005-0000-0000-0000B0700000}"/>
    <cellStyle name="注释 2 4 17 5 2" xfId="53225" xr:uid="{00000000-0005-0000-0000-000019D00000}"/>
    <cellStyle name="注释 2 4 17 6" xfId="42970" xr:uid="{00000000-0005-0000-0000-00000AA80000}"/>
    <cellStyle name="注释 2 4 18" xfId="34310" xr:uid="{00000000-0005-0000-0000-000036860000}"/>
    <cellStyle name="注释 2 4 18 2" xfId="28814" xr:uid="{00000000-0005-0000-0000-0000BE700000}"/>
    <cellStyle name="注释 2 4 18 2 2" xfId="53226" xr:uid="{00000000-0005-0000-0000-00001AD00000}"/>
    <cellStyle name="注释 2 4 18 3" xfId="28824" xr:uid="{00000000-0005-0000-0000-0000C8700000}"/>
    <cellStyle name="注释 2 4 18 3 2" xfId="50685" xr:uid="{00000000-0005-0000-0000-00002DC60000}"/>
    <cellStyle name="注释 2 4 18 4" xfId="27855" xr:uid="{00000000-0005-0000-0000-0000FF6C0000}"/>
    <cellStyle name="注释 2 4 18 4 2" xfId="53227" xr:uid="{00000000-0005-0000-0000-00001BD00000}"/>
    <cellStyle name="注释 2 4 18 5" xfId="53228" xr:uid="{00000000-0005-0000-0000-00001CD00000}"/>
    <cellStyle name="注释 2 4 18 5 2" xfId="53229" xr:uid="{00000000-0005-0000-0000-00001DD00000}"/>
    <cellStyle name="注释 2 4 18 6" xfId="43031" xr:uid="{00000000-0005-0000-0000-000047A80000}"/>
    <cellStyle name="注释 2 4 19" xfId="34315" xr:uid="{00000000-0005-0000-0000-00003B860000}"/>
    <cellStyle name="注释 2 4 19 2" xfId="28840" xr:uid="{00000000-0005-0000-0000-0000D8700000}"/>
    <cellStyle name="注释 2 4 19 2 2" xfId="53230" xr:uid="{00000000-0005-0000-0000-00001ED00000}"/>
    <cellStyle name="注释 2 4 19 3" xfId="53231" xr:uid="{00000000-0005-0000-0000-00001FD00000}"/>
    <cellStyle name="注释 2 4 19 3 2" xfId="53232" xr:uid="{00000000-0005-0000-0000-000020D00000}"/>
    <cellStyle name="注释 2 4 19 4" xfId="27858" xr:uid="{00000000-0005-0000-0000-0000026D0000}"/>
    <cellStyle name="注释 2 4 19 4 2" xfId="53233" xr:uid="{00000000-0005-0000-0000-000021D00000}"/>
    <cellStyle name="注释 2 4 19 5" xfId="14990" xr:uid="{00000000-0005-0000-0000-0000BE3A0000}"/>
    <cellStyle name="注释 2 4 2" xfId="53234" xr:uid="{00000000-0005-0000-0000-000022D00000}"/>
    <cellStyle name="注释 2 4 2 10" xfId="53236" xr:uid="{00000000-0005-0000-0000-000024D00000}"/>
    <cellStyle name="注释 2 4 2 10 2" xfId="46391" xr:uid="{00000000-0005-0000-0000-000067B50000}"/>
    <cellStyle name="注释 2 4 2 11" xfId="53237" xr:uid="{00000000-0005-0000-0000-000025D00000}"/>
    <cellStyle name="注释 2 4 2 11 2" xfId="53238" xr:uid="{00000000-0005-0000-0000-000026D00000}"/>
    <cellStyle name="注释 2 4 2 12" xfId="53239" xr:uid="{00000000-0005-0000-0000-000027D00000}"/>
    <cellStyle name="注释 2 4 2 12 2" xfId="53240" xr:uid="{00000000-0005-0000-0000-000028D00000}"/>
    <cellStyle name="注释 2 4 2 13" xfId="53241" xr:uid="{00000000-0005-0000-0000-000029D00000}"/>
    <cellStyle name="注释 2 4 2 14" xfId="48396" xr:uid="{00000000-0005-0000-0000-00003CBD0000}"/>
    <cellStyle name="注释 2 4 2 15" xfId="53201" xr:uid="{00000000-0005-0000-0000-000001D00000}"/>
    <cellStyle name="注释 2 4 2 16" xfId="53242" xr:uid="{00000000-0005-0000-0000-00002AD00000}"/>
    <cellStyle name="注释 2 4 2 2" xfId="53243" xr:uid="{00000000-0005-0000-0000-00002BD00000}"/>
    <cellStyle name="注释 2 4 2 2 2" xfId="53244" xr:uid="{00000000-0005-0000-0000-00002CD00000}"/>
    <cellStyle name="注释 2 4 2 2 2 2" xfId="53245" xr:uid="{00000000-0005-0000-0000-00002DD00000}"/>
    <cellStyle name="注释 2 4 2 2 3" xfId="53246" xr:uid="{00000000-0005-0000-0000-00002ED00000}"/>
    <cellStyle name="注释 2 4 2 2 3 2" xfId="53247" xr:uid="{00000000-0005-0000-0000-00002FD00000}"/>
    <cellStyle name="注释 2 4 2 2 4" xfId="51529" xr:uid="{00000000-0005-0000-0000-000079C90000}"/>
    <cellStyle name="注释 2 4 2 2 4 2" xfId="53248" xr:uid="{00000000-0005-0000-0000-000030D00000}"/>
    <cellStyle name="注释 2 4 2 2 5" xfId="53249" xr:uid="{00000000-0005-0000-0000-000031D00000}"/>
    <cellStyle name="注释 2 4 2 2 5 2" xfId="53250" xr:uid="{00000000-0005-0000-0000-000032D00000}"/>
    <cellStyle name="注释 2 4 2 2 6" xfId="53251" xr:uid="{00000000-0005-0000-0000-000033D00000}"/>
    <cellStyle name="注释 2 4 2 2 7" xfId="52718" xr:uid="{00000000-0005-0000-0000-00001ECE0000}"/>
    <cellStyle name="注释 2 4 2 2 8" xfId="14706" xr:uid="{00000000-0005-0000-0000-0000A2390000}"/>
    <cellStyle name="注释 2 4 2 2 9" xfId="43683" xr:uid="{00000000-0005-0000-0000-0000D3AA0000}"/>
    <cellStyle name="注释 2 4 2 3" xfId="53252" xr:uid="{00000000-0005-0000-0000-000034D00000}"/>
    <cellStyle name="注释 2 4 2 3 2" xfId="53253" xr:uid="{00000000-0005-0000-0000-000035D00000}"/>
    <cellStyle name="注释 2 4 2 3 2 2" xfId="53254" xr:uid="{00000000-0005-0000-0000-000036D00000}"/>
    <cellStyle name="注释 2 4 2 3 3" xfId="53255" xr:uid="{00000000-0005-0000-0000-000037D00000}"/>
    <cellStyle name="注释 2 4 2 3 3 2" xfId="53256" xr:uid="{00000000-0005-0000-0000-000038D00000}"/>
    <cellStyle name="注释 2 4 2 3 4" xfId="51532" xr:uid="{00000000-0005-0000-0000-00007CC90000}"/>
    <cellStyle name="注释 2 4 2 3 4 2" xfId="53257" xr:uid="{00000000-0005-0000-0000-000039D00000}"/>
    <cellStyle name="注释 2 4 2 3 5" xfId="53258" xr:uid="{00000000-0005-0000-0000-00003AD00000}"/>
    <cellStyle name="注释 2 4 2 3 5 2" xfId="53259" xr:uid="{00000000-0005-0000-0000-00003BD00000}"/>
    <cellStyle name="注释 2 4 2 3 6" xfId="53260" xr:uid="{00000000-0005-0000-0000-00003CD00000}"/>
    <cellStyle name="注释 2 4 2 4" xfId="53261" xr:uid="{00000000-0005-0000-0000-00003DD00000}"/>
    <cellStyle name="注释 2 4 2 4 2" xfId="53263" xr:uid="{00000000-0005-0000-0000-00003FD00000}"/>
    <cellStyle name="注释 2 4 2 4 2 2" xfId="53264" xr:uid="{00000000-0005-0000-0000-000040D00000}"/>
    <cellStyle name="注释 2 4 2 4 3" xfId="53265" xr:uid="{00000000-0005-0000-0000-000041D00000}"/>
    <cellStyle name="注释 2 4 2 4 3 2" xfId="53266" xr:uid="{00000000-0005-0000-0000-000042D00000}"/>
    <cellStyle name="注释 2 4 2 4 4" xfId="51535" xr:uid="{00000000-0005-0000-0000-00007FC90000}"/>
    <cellStyle name="注释 2 4 2 4 4 2" xfId="53267" xr:uid="{00000000-0005-0000-0000-000043D00000}"/>
    <cellStyle name="注释 2 4 2 4 5" xfId="53268" xr:uid="{00000000-0005-0000-0000-000044D00000}"/>
    <cellStyle name="注释 2 4 2 4 5 2" xfId="53269" xr:uid="{00000000-0005-0000-0000-000045D00000}"/>
    <cellStyle name="注释 2 4 2 4 6" xfId="53270" xr:uid="{00000000-0005-0000-0000-000046D00000}"/>
    <cellStyle name="注释 2 4 2 5" xfId="53271" xr:uid="{00000000-0005-0000-0000-000047D00000}"/>
    <cellStyle name="注释 2 4 2 5 2" xfId="53272" xr:uid="{00000000-0005-0000-0000-000048D00000}"/>
    <cellStyle name="注释 2 4 2 5 2 2" xfId="53273" xr:uid="{00000000-0005-0000-0000-000049D00000}"/>
    <cellStyle name="注释 2 4 2 5 3" xfId="53274" xr:uid="{00000000-0005-0000-0000-00004AD00000}"/>
    <cellStyle name="注释 2 4 2 5 3 2" xfId="53275" xr:uid="{00000000-0005-0000-0000-00004BD00000}"/>
    <cellStyle name="注释 2 4 2 5 4" xfId="51538" xr:uid="{00000000-0005-0000-0000-000082C90000}"/>
    <cellStyle name="注释 2 4 2 5 4 2" xfId="53276" xr:uid="{00000000-0005-0000-0000-00004CD00000}"/>
    <cellStyle name="注释 2 4 2 5 5" xfId="53277" xr:uid="{00000000-0005-0000-0000-00004DD00000}"/>
    <cellStyle name="注释 2 4 2 5 5 2" xfId="53278" xr:uid="{00000000-0005-0000-0000-00004ED00000}"/>
    <cellStyle name="注释 2 4 2 5 6" xfId="53279" xr:uid="{00000000-0005-0000-0000-00004FD00000}"/>
    <cellStyle name="注释 2 4 2 6" xfId="53280" xr:uid="{00000000-0005-0000-0000-000050D00000}"/>
    <cellStyle name="注释 2 4 2 6 2" xfId="53281" xr:uid="{00000000-0005-0000-0000-000051D00000}"/>
    <cellStyle name="注释 2 4 2 6 2 2" xfId="53282" xr:uid="{00000000-0005-0000-0000-000052D00000}"/>
    <cellStyle name="注释 2 4 2 6 3" xfId="53283" xr:uid="{00000000-0005-0000-0000-000053D00000}"/>
    <cellStyle name="注释 2 4 2 6 3 2" xfId="53284" xr:uid="{00000000-0005-0000-0000-000054D00000}"/>
    <cellStyle name="注释 2 4 2 6 4" xfId="53285" xr:uid="{00000000-0005-0000-0000-000055D00000}"/>
    <cellStyle name="注释 2 4 2 6 4 2" xfId="53286" xr:uid="{00000000-0005-0000-0000-000056D00000}"/>
    <cellStyle name="注释 2 4 2 6 5" xfId="53287" xr:uid="{00000000-0005-0000-0000-000057D00000}"/>
    <cellStyle name="注释 2 4 2 6 5 2" xfId="53288" xr:uid="{00000000-0005-0000-0000-000058D00000}"/>
    <cellStyle name="注释 2 4 2 6 6" xfId="53289" xr:uid="{00000000-0005-0000-0000-000059D00000}"/>
    <cellStyle name="注释 2 4 2 7" xfId="53290" xr:uid="{00000000-0005-0000-0000-00005AD00000}"/>
    <cellStyle name="注释 2 4 2 7 2" xfId="53291" xr:uid="{00000000-0005-0000-0000-00005BD00000}"/>
    <cellStyle name="注释 2 4 2 7 2 2" xfId="53292" xr:uid="{00000000-0005-0000-0000-00005CD00000}"/>
    <cellStyle name="注释 2 4 2 7 3" xfId="53293" xr:uid="{00000000-0005-0000-0000-00005DD00000}"/>
    <cellStyle name="注释 2 4 2 7 3 2" xfId="53294" xr:uid="{00000000-0005-0000-0000-00005ED00000}"/>
    <cellStyle name="注释 2 4 2 7 4" xfId="53295" xr:uid="{00000000-0005-0000-0000-00005FD00000}"/>
    <cellStyle name="注释 2 4 2 7 4 2" xfId="53296" xr:uid="{00000000-0005-0000-0000-000060D00000}"/>
    <cellStyle name="注释 2 4 2 7 5" xfId="53297" xr:uid="{00000000-0005-0000-0000-000061D00000}"/>
    <cellStyle name="注释 2 4 2 7 5 2" xfId="53298" xr:uid="{00000000-0005-0000-0000-000062D00000}"/>
    <cellStyle name="注释 2 4 2 7 6" xfId="53299" xr:uid="{00000000-0005-0000-0000-000063D00000}"/>
    <cellStyle name="注释 2 4 2 8" xfId="53300" xr:uid="{00000000-0005-0000-0000-000064D00000}"/>
    <cellStyle name="注释 2 4 2 8 2" xfId="53301" xr:uid="{00000000-0005-0000-0000-000065D00000}"/>
    <cellStyle name="注释 2 4 2 8 2 2" xfId="53302" xr:uid="{00000000-0005-0000-0000-000066D00000}"/>
    <cellStyle name="注释 2 4 2 8 3" xfId="53303" xr:uid="{00000000-0005-0000-0000-000067D00000}"/>
    <cellStyle name="注释 2 4 2 8 3 2" xfId="53304" xr:uid="{00000000-0005-0000-0000-000068D00000}"/>
    <cellStyle name="注释 2 4 2 8 4" xfId="53305" xr:uid="{00000000-0005-0000-0000-000069D00000}"/>
    <cellStyle name="注释 2 4 2 8 4 2" xfId="53306" xr:uid="{00000000-0005-0000-0000-00006AD00000}"/>
    <cellStyle name="注释 2 4 2 8 5" xfId="53307" xr:uid="{00000000-0005-0000-0000-00006BD00000}"/>
    <cellStyle name="注释 2 4 2 9" xfId="53308" xr:uid="{00000000-0005-0000-0000-00006CD00000}"/>
    <cellStyle name="注释 2 4 2 9 2" xfId="53310" xr:uid="{00000000-0005-0000-0000-00006ED00000}"/>
    <cellStyle name="注释 2 4 20" xfId="9120" xr:uid="{00000000-0005-0000-0000-0000D0230000}"/>
    <cellStyle name="注释 2 4 20 2" xfId="28711" xr:uid="{00000000-0005-0000-0000-000057700000}"/>
    <cellStyle name="注释 2 4 21" xfId="34300" xr:uid="{00000000-0005-0000-0000-00002C860000}"/>
    <cellStyle name="注释 2 4 21 2" xfId="28754" xr:uid="{00000000-0005-0000-0000-000082700000}"/>
    <cellStyle name="注释 2 4 22" xfId="34308" xr:uid="{00000000-0005-0000-0000-000034860000}"/>
    <cellStyle name="注释 2 4 22 2" xfId="28785" xr:uid="{00000000-0005-0000-0000-0000A1700000}"/>
    <cellStyle name="注释 2 4 23" xfId="34311" xr:uid="{00000000-0005-0000-0000-000037860000}"/>
    <cellStyle name="注释 2 4 23 2" xfId="28813" xr:uid="{00000000-0005-0000-0000-0000BD700000}"/>
    <cellStyle name="注释 2 4 24" xfId="34316" xr:uid="{00000000-0005-0000-0000-00003C860000}"/>
    <cellStyle name="注释 2 4 25" xfId="34319" xr:uid="{00000000-0005-0000-0000-00003F860000}"/>
    <cellStyle name="注释 2 4 26" xfId="34321" xr:uid="{00000000-0005-0000-0000-000041860000}"/>
    <cellStyle name="注释 2 4 27" xfId="53312" xr:uid="{00000000-0005-0000-0000-000070D00000}"/>
    <cellStyle name="注释 2 4 3" xfId="53313" xr:uid="{00000000-0005-0000-0000-000071D00000}"/>
    <cellStyle name="注释 2 4 3 10" xfId="43531" xr:uid="{00000000-0005-0000-0000-00003BAA0000}"/>
    <cellStyle name="注释 2 4 3 10 2" xfId="36191" xr:uid="{00000000-0005-0000-0000-00008F8D0000}"/>
    <cellStyle name="注释 2 4 3 11" xfId="43533" xr:uid="{00000000-0005-0000-0000-00003DAA0000}"/>
    <cellStyle name="注释 2 4 3 11 2" xfId="36344" xr:uid="{00000000-0005-0000-0000-0000288E0000}"/>
    <cellStyle name="注释 2 4 3 12" xfId="43535" xr:uid="{00000000-0005-0000-0000-00003FAA0000}"/>
    <cellStyle name="注释 2 4 3 12 2" xfId="36351" xr:uid="{00000000-0005-0000-0000-00002F8E0000}"/>
    <cellStyle name="注释 2 4 3 13" xfId="43537" xr:uid="{00000000-0005-0000-0000-000041AA0000}"/>
    <cellStyle name="注释 2 4 3 14" xfId="38503" xr:uid="{00000000-0005-0000-0000-000097960000}"/>
    <cellStyle name="注释 2 4 3 15" xfId="43540" xr:uid="{00000000-0005-0000-0000-000044AA0000}"/>
    <cellStyle name="注释 2 4 3 16" xfId="53314" xr:uid="{00000000-0005-0000-0000-000072D00000}"/>
    <cellStyle name="注释 2 4 3 2" xfId="53315" xr:uid="{00000000-0005-0000-0000-000073D00000}"/>
    <cellStyle name="注释 2 4 3 2 2" xfId="53316" xr:uid="{00000000-0005-0000-0000-000074D00000}"/>
    <cellStyle name="注释 2 4 3 2 2 2" xfId="53317" xr:uid="{00000000-0005-0000-0000-000075D00000}"/>
    <cellStyle name="注释 2 4 3 2 3" xfId="53318" xr:uid="{00000000-0005-0000-0000-000076D00000}"/>
    <cellStyle name="注释 2 4 3 2 3 2" xfId="53319" xr:uid="{00000000-0005-0000-0000-000077D00000}"/>
    <cellStyle name="注释 2 4 3 2 4" xfId="51543" xr:uid="{00000000-0005-0000-0000-000087C90000}"/>
    <cellStyle name="注释 2 4 3 2 4 2" xfId="53320" xr:uid="{00000000-0005-0000-0000-000078D00000}"/>
    <cellStyle name="注释 2 4 3 2 5" xfId="53321" xr:uid="{00000000-0005-0000-0000-000079D00000}"/>
    <cellStyle name="注释 2 4 3 2 5 2" xfId="53322" xr:uid="{00000000-0005-0000-0000-00007AD00000}"/>
    <cellStyle name="注释 2 4 3 2 6" xfId="53323" xr:uid="{00000000-0005-0000-0000-00007BD00000}"/>
    <cellStyle name="注释 2 4 3 2 7" xfId="52729" xr:uid="{00000000-0005-0000-0000-000029CE0000}"/>
    <cellStyle name="注释 2 4 3 2 8" xfId="14723" xr:uid="{00000000-0005-0000-0000-0000B3390000}"/>
    <cellStyle name="注释 2 4 3 2 9" xfId="53324" xr:uid="{00000000-0005-0000-0000-00007CD00000}"/>
    <cellStyle name="注释 2 4 3 3" xfId="53325" xr:uid="{00000000-0005-0000-0000-00007DD00000}"/>
    <cellStyle name="注释 2 4 3 3 2" xfId="53326" xr:uid="{00000000-0005-0000-0000-00007ED00000}"/>
    <cellStyle name="注释 2 4 3 3 2 2" xfId="53327" xr:uid="{00000000-0005-0000-0000-00007FD00000}"/>
    <cellStyle name="注释 2 4 3 3 3" xfId="53328" xr:uid="{00000000-0005-0000-0000-000080D00000}"/>
    <cellStyle name="注释 2 4 3 3 3 2" xfId="53329" xr:uid="{00000000-0005-0000-0000-000081D00000}"/>
    <cellStyle name="注释 2 4 3 3 4" xfId="51546" xr:uid="{00000000-0005-0000-0000-00008AC90000}"/>
    <cellStyle name="注释 2 4 3 3 4 2" xfId="53330" xr:uid="{00000000-0005-0000-0000-000082D00000}"/>
    <cellStyle name="注释 2 4 3 3 5" xfId="53331" xr:uid="{00000000-0005-0000-0000-000083D00000}"/>
    <cellStyle name="注释 2 4 3 3 5 2" xfId="53332" xr:uid="{00000000-0005-0000-0000-000084D00000}"/>
    <cellStyle name="注释 2 4 3 3 6" xfId="53333" xr:uid="{00000000-0005-0000-0000-000085D00000}"/>
    <cellStyle name="注释 2 4 3 4" xfId="53334" xr:uid="{00000000-0005-0000-0000-000086D00000}"/>
    <cellStyle name="注释 2 4 3 4 2" xfId="53336" xr:uid="{00000000-0005-0000-0000-000088D00000}"/>
    <cellStyle name="注释 2 4 3 4 2 2" xfId="53337" xr:uid="{00000000-0005-0000-0000-000089D00000}"/>
    <cellStyle name="注释 2 4 3 4 3" xfId="53338" xr:uid="{00000000-0005-0000-0000-00008AD00000}"/>
    <cellStyle name="注释 2 4 3 4 3 2" xfId="53339" xr:uid="{00000000-0005-0000-0000-00008BD00000}"/>
    <cellStyle name="注释 2 4 3 4 4" xfId="51548" xr:uid="{00000000-0005-0000-0000-00008CC90000}"/>
    <cellStyle name="注释 2 4 3 4 4 2" xfId="53340" xr:uid="{00000000-0005-0000-0000-00008CD00000}"/>
    <cellStyle name="注释 2 4 3 4 5" xfId="53341" xr:uid="{00000000-0005-0000-0000-00008DD00000}"/>
    <cellStyle name="注释 2 4 3 4 5 2" xfId="53342" xr:uid="{00000000-0005-0000-0000-00008ED00000}"/>
    <cellStyle name="注释 2 4 3 4 6" xfId="53343" xr:uid="{00000000-0005-0000-0000-00008FD00000}"/>
    <cellStyle name="注释 2 4 3 5" xfId="53344" xr:uid="{00000000-0005-0000-0000-000090D00000}"/>
    <cellStyle name="注释 2 4 3 5 2" xfId="53345" xr:uid="{00000000-0005-0000-0000-000091D00000}"/>
    <cellStyle name="注释 2 4 3 5 2 2" xfId="53346" xr:uid="{00000000-0005-0000-0000-000092D00000}"/>
    <cellStyle name="注释 2 4 3 5 3" xfId="53347" xr:uid="{00000000-0005-0000-0000-000093D00000}"/>
    <cellStyle name="注释 2 4 3 5 3 2" xfId="53348" xr:uid="{00000000-0005-0000-0000-000094D00000}"/>
    <cellStyle name="注释 2 4 3 5 4" xfId="51551" xr:uid="{00000000-0005-0000-0000-00008FC90000}"/>
    <cellStyle name="注释 2 4 3 5 4 2" xfId="53349" xr:uid="{00000000-0005-0000-0000-000095D00000}"/>
    <cellStyle name="注释 2 4 3 5 5" xfId="53350" xr:uid="{00000000-0005-0000-0000-000096D00000}"/>
    <cellStyle name="注释 2 4 3 5 5 2" xfId="53351" xr:uid="{00000000-0005-0000-0000-000097D00000}"/>
    <cellStyle name="注释 2 4 3 5 6" xfId="53352" xr:uid="{00000000-0005-0000-0000-000098D00000}"/>
    <cellStyle name="注释 2 4 3 6" xfId="13518" xr:uid="{00000000-0005-0000-0000-0000FE340000}"/>
    <cellStyle name="注释 2 4 3 6 2" xfId="53353" xr:uid="{00000000-0005-0000-0000-000099D00000}"/>
    <cellStyle name="注释 2 4 3 6 2 2" xfId="53354" xr:uid="{00000000-0005-0000-0000-00009AD00000}"/>
    <cellStyle name="注释 2 4 3 6 3" xfId="22294" xr:uid="{00000000-0005-0000-0000-000046570000}"/>
    <cellStyle name="注释 2 4 3 6 3 2" xfId="53355" xr:uid="{00000000-0005-0000-0000-00009BD00000}"/>
    <cellStyle name="注释 2 4 3 6 4" xfId="53356" xr:uid="{00000000-0005-0000-0000-00009CD00000}"/>
    <cellStyle name="注释 2 4 3 6 4 2" xfId="53357" xr:uid="{00000000-0005-0000-0000-00009DD00000}"/>
    <cellStyle name="注释 2 4 3 6 5" xfId="53358" xr:uid="{00000000-0005-0000-0000-00009ED00000}"/>
    <cellStyle name="注释 2 4 3 6 5 2" xfId="53359" xr:uid="{00000000-0005-0000-0000-00009FD00000}"/>
    <cellStyle name="注释 2 4 3 6 6" xfId="53360" xr:uid="{00000000-0005-0000-0000-0000A0D00000}"/>
    <cellStyle name="注释 2 4 3 7" xfId="53361" xr:uid="{00000000-0005-0000-0000-0000A1D00000}"/>
    <cellStyle name="注释 2 4 3 7 2" xfId="53362" xr:uid="{00000000-0005-0000-0000-0000A2D00000}"/>
    <cellStyle name="注释 2 4 3 7 2 2" xfId="47350" xr:uid="{00000000-0005-0000-0000-000026B90000}"/>
    <cellStyle name="注释 2 4 3 7 3" xfId="22298" xr:uid="{00000000-0005-0000-0000-00004A570000}"/>
    <cellStyle name="注释 2 4 3 7 3 2" xfId="47358" xr:uid="{00000000-0005-0000-0000-00002EB90000}"/>
    <cellStyle name="注释 2 4 3 7 4" xfId="53363" xr:uid="{00000000-0005-0000-0000-0000A3D00000}"/>
    <cellStyle name="注释 2 4 3 7 4 2" xfId="47364" xr:uid="{00000000-0005-0000-0000-000034B90000}"/>
    <cellStyle name="注释 2 4 3 7 5" xfId="53364" xr:uid="{00000000-0005-0000-0000-0000A4D00000}"/>
    <cellStyle name="注释 2 4 3 7 5 2" xfId="53365" xr:uid="{00000000-0005-0000-0000-0000A5D00000}"/>
    <cellStyle name="注释 2 4 3 7 6" xfId="53366" xr:uid="{00000000-0005-0000-0000-0000A6D00000}"/>
    <cellStyle name="注释 2 4 3 8" xfId="53367" xr:uid="{00000000-0005-0000-0000-0000A7D00000}"/>
    <cellStyle name="注释 2 4 3 8 2" xfId="34766" xr:uid="{00000000-0005-0000-0000-0000FE870000}"/>
    <cellStyle name="注释 2 4 3 8 2 2" xfId="47399" xr:uid="{00000000-0005-0000-0000-000057B90000}"/>
    <cellStyle name="注释 2 4 3 8 3" xfId="22300" xr:uid="{00000000-0005-0000-0000-00004C570000}"/>
    <cellStyle name="注释 2 4 3 8 3 2" xfId="47408" xr:uid="{00000000-0005-0000-0000-000060B90000}"/>
    <cellStyle name="注释 2 4 3 8 4" xfId="34768" xr:uid="{00000000-0005-0000-0000-000000880000}"/>
    <cellStyle name="注释 2 4 3 8 4 2" xfId="47418" xr:uid="{00000000-0005-0000-0000-00006AB90000}"/>
    <cellStyle name="注释 2 4 3 8 5" xfId="34770" xr:uid="{00000000-0005-0000-0000-000002880000}"/>
    <cellStyle name="注释 2 4 3 9" xfId="53368" xr:uid="{00000000-0005-0000-0000-0000A8D00000}"/>
    <cellStyle name="注释 2 4 3 9 2" xfId="53370" xr:uid="{00000000-0005-0000-0000-0000AAD00000}"/>
    <cellStyle name="注释 2 4 4" xfId="53372" xr:uid="{00000000-0005-0000-0000-0000ACD00000}"/>
    <cellStyle name="注释 2 4 4 10" xfId="43578" xr:uid="{00000000-0005-0000-0000-00006AAA0000}"/>
    <cellStyle name="注释 2 4 4 10 2" xfId="32822" xr:uid="{00000000-0005-0000-0000-000066800000}"/>
    <cellStyle name="注释 2 4 4 11" xfId="43580" xr:uid="{00000000-0005-0000-0000-00006CAA0000}"/>
    <cellStyle name="注释 2 4 4 11 2" xfId="32841" xr:uid="{00000000-0005-0000-0000-000079800000}"/>
    <cellStyle name="注释 2 4 4 12" xfId="33472" xr:uid="{00000000-0005-0000-0000-0000F0820000}"/>
    <cellStyle name="注释 2 4 4 12 2" xfId="32849" xr:uid="{00000000-0005-0000-0000-000081800000}"/>
    <cellStyle name="注释 2 4 4 13" xfId="53373" xr:uid="{00000000-0005-0000-0000-0000ADD00000}"/>
    <cellStyle name="注释 2 4 4 14" xfId="45653" xr:uid="{00000000-0005-0000-0000-000085B20000}"/>
    <cellStyle name="注释 2 4 4 15" xfId="34940" xr:uid="{00000000-0005-0000-0000-0000AC880000}"/>
    <cellStyle name="注释 2 4 4 16" xfId="6480" xr:uid="{00000000-0005-0000-0000-000080190000}"/>
    <cellStyle name="注释 2 4 4 2" xfId="53374" xr:uid="{00000000-0005-0000-0000-0000AED00000}"/>
    <cellStyle name="注释 2 4 4 2 2" xfId="53375" xr:uid="{00000000-0005-0000-0000-0000AFD00000}"/>
    <cellStyle name="注释 2 4 4 2 2 2" xfId="45746" xr:uid="{00000000-0005-0000-0000-0000E2B20000}"/>
    <cellStyle name="注释 2 4 4 2 3" xfId="53376" xr:uid="{00000000-0005-0000-0000-0000B0D00000}"/>
    <cellStyle name="注释 2 4 4 2 3 2" xfId="45754" xr:uid="{00000000-0005-0000-0000-0000EAB20000}"/>
    <cellStyle name="注释 2 4 4 2 4" xfId="51556" xr:uid="{00000000-0005-0000-0000-000094C90000}"/>
    <cellStyle name="注释 2 4 4 2 4 2" xfId="45762" xr:uid="{00000000-0005-0000-0000-0000F2B20000}"/>
    <cellStyle name="注释 2 4 4 2 5" xfId="53377" xr:uid="{00000000-0005-0000-0000-0000B1D00000}"/>
    <cellStyle name="注释 2 4 4 2 5 2" xfId="45768" xr:uid="{00000000-0005-0000-0000-0000F8B20000}"/>
    <cellStyle name="注释 2 4 4 2 6" xfId="53378" xr:uid="{00000000-0005-0000-0000-0000B2D00000}"/>
    <cellStyle name="注释 2 4 4 2 7" xfId="52740" xr:uid="{00000000-0005-0000-0000-000034CE0000}"/>
    <cellStyle name="注释 2 4 4 2 8" xfId="14741" xr:uid="{00000000-0005-0000-0000-0000C5390000}"/>
    <cellStyle name="注释 2 4 4 2 9" xfId="53379" xr:uid="{00000000-0005-0000-0000-0000B3D00000}"/>
    <cellStyle name="注释 2 4 4 3" xfId="51062" xr:uid="{00000000-0005-0000-0000-0000A6C70000}"/>
    <cellStyle name="注释 2 4 4 3 2" xfId="34950" xr:uid="{00000000-0005-0000-0000-0000B6880000}"/>
    <cellStyle name="注释 2 4 4 3 2 2" xfId="39880" xr:uid="{00000000-0005-0000-0000-0000F89B0000}"/>
    <cellStyle name="注释 2 4 4 3 3" xfId="34952" xr:uid="{00000000-0005-0000-0000-0000B8880000}"/>
    <cellStyle name="注释 2 4 4 3 3 2" xfId="28463" xr:uid="{00000000-0005-0000-0000-00005F6F0000}"/>
    <cellStyle name="注释 2 4 4 3 4" xfId="34955" xr:uid="{00000000-0005-0000-0000-0000BB880000}"/>
    <cellStyle name="注释 2 4 4 3 4 2" xfId="24886" xr:uid="{00000000-0005-0000-0000-000066610000}"/>
    <cellStyle name="注释 2 4 4 3 5" xfId="34957" xr:uid="{00000000-0005-0000-0000-0000BD880000}"/>
    <cellStyle name="注释 2 4 4 3 5 2" xfId="24949" xr:uid="{00000000-0005-0000-0000-0000A5610000}"/>
    <cellStyle name="注释 2 4 4 3 6" xfId="53380" xr:uid="{00000000-0005-0000-0000-0000B4D00000}"/>
    <cellStyle name="注释 2 4 4 4" xfId="51064" xr:uid="{00000000-0005-0000-0000-0000A8C70000}"/>
    <cellStyle name="注释 2 4 4 4 2" xfId="51067" xr:uid="{00000000-0005-0000-0000-0000ABC70000}"/>
    <cellStyle name="注释 2 4 4 4 2 2" xfId="40326" xr:uid="{00000000-0005-0000-0000-0000B69D0000}"/>
    <cellStyle name="注释 2 4 4 4 3" xfId="53381" xr:uid="{00000000-0005-0000-0000-0000B5D00000}"/>
    <cellStyle name="注释 2 4 4 4 3 2" xfId="29749" xr:uid="{00000000-0005-0000-0000-000065740000}"/>
    <cellStyle name="注释 2 4 4 4 4" xfId="51559" xr:uid="{00000000-0005-0000-0000-000097C90000}"/>
    <cellStyle name="注释 2 4 4 4 4 2" xfId="29868" xr:uid="{00000000-0005-0000-0000-0000DC740000}"/>
    <cellStyle name="注释 2 4 4 4 5" xfId="53382" xr:uid="{00000000-0005-0000-0000-0000B6D00000}"/>
    <cellStyle name="注释 2 4 4 4 5 2" xfId="29995" xr:uid="{00000000-0005-0000-0000-00005B750000}"/>
    <cellStyle name="注释 2 4 4 4 6" xfId="53383" xr:uid="{00000000-0005-0000-0000-0000B7D00000}"/>
    <cellStyle name="注释 2 4 4 5" xfId="51069" xr:uid="{00000000-0005-0000-0000-0000ADC70000}"/>
    <cellStyle name="注释 2 4 4 5 2" xfId="51071" xr:uid="{00000000-0005-0000-0000-0000AFC70000}"/>
    <cellStyle name="注释 2 4 4 5 2 2" xfId="40766" xr:uid="{00000000-0005-0000-0000-00006E9F0000}"/>
    <cellStyle name="注释 2 4 4 5 3" xfId="53384" xr:uid="{00000000-0005-0000-0000-0000B8D00000}"/>
    <cellStyle name="注释 2 4 4 5 3 2" xfId="30965" xr:uid="{00000000-0005-0000-0000-000025790000}"/>
    <cellStyle name="注释 2 4 4 5 4" xfId="51562" xr:uid="{00000000-0005-0000-0000-00009AC90000}"/>
    <cellStyle name="注释 2 4 4 5 4 2" xfId="31116" xr:uid="{00000000-0005-0000-0000-0000BC790000}"/>
    <cellStyle name="注释 2 4 4 5 5" xfId="53385" xr:uid="{00000000-0005-0000-0000-0000B9D00000}"/>
    <cellStyle name="注释 2 4 4 5 5 2" xfId="31303" xr:uid="{00000000-0005-0000-0000-0000777A0000}"/>
    <cellStyle name="注释 2 4 4 5 6" xfId="53386" xr:uid="{00000000-0005-0000-0000-0000BAD00000}"/>
    <cellStyle name="注释 2 4 4 6" xfId="11607" xr:uid="{00000000-0005-0000-0000-0000872D0000}"/>
    <cellStyle name="注释 2 4 4 6 2" xfId="53387" xr:uid="{00000000-0005-0000-0000-0000BBD00000}"/>
    <cellStyle name="注释 2 4 4 6 2 2" xfId="41013" xr:uid="{00000000-0005-0000-0000-000065A00000}"/>
    <cellStyle name="注释 2 4 4 6 3" xfId="22308" xr:uid="{00000000-0005-0000-0000-000054570000}"/>
    <cellStyle name="注释 2 4 4 6 3 2" xfId="32257" xr:uid="{00000000-0005-0000-0000-0000317E0000}"/>
    <cellStyle name="注释 2 4 4 6 4" xfId="53388" xr:uid="{00000000-0005-0000-0000-0000BCD00000}"/>
    <cellStyle name="注释 2 4 4 6 4 2" xfId="32333" xr:uid="{00000000-0005-0000-0000-00007D7E0000}"/>
    <cellStyle name="注释 2 4 4 6 5" xfId="53389" xr:uid="{00000000-0005-0000-0000-0000BDD00000}"/>
    <cellStyle name="注释 2 4 4 6 5 2" xfId="32404" xr:uid="{00000000-0005-0000-0000-0000C47E0000}"/>
    <cellStyle name="注释 2 4 4 6 6" xfId="53390" xr:uid="{00000000-0005-0000-0000-0000BED00000}"/>
    <cellStyle name="注释 2 4 4 7" xfId="51073" xr:uid="{00000000-0005-0000-0000-0000B1C70000}"/>
    <cellStyle name="注释 2 4 4 7 2" xfId="53391" xr:uid="{00000000-0005-0000-0000-0000BFD00000}"/>
    <cellStyle name="注释 2 4 4 7 2 2" xfId="41320" xr:uid="{00000000-0005-0000-0000-000098A10000}"/>
    <cellStyle name="注释 2 4 4 7 3" xfId="7322" xr:uid="{00000000-0005-0000-0000-0000CA1C0000}"/>
    <cellStyle name="注释 2 4 4 7 3 2" xfId="33042" xr:uid="{00000000-0005-0000-0000-000042810000}"/>
    <cellStyle name="注释 2 4 4 7 4" xfId="53392" xr:uid="{00000000-0005-0000-0000-0000C0D00000}"/>
    <cellStyle name="注释 2 4 4 7 4 2" xfId="33138" xr:uid="{00000000-0005-0000-0000-0000A2810000}"/>
    <cellStyle name="注释 2 4 4 7 5" xfId="53393" xr:uid="{00000000-0005-0000-0000-0000C1D00000}"/>
    <cellStyle name="注释 2 4 4 7 5 2" xfId="595" xr:uid="{00000000-0005-0000-0000-000083020000}"/>
    <cellStyle name="注释 2 4 4 7 6" xfId="53394" xr:uid="{00000000-0005-0000-0000-0000C2D00000}"/>
    <cellStyle name="注释 2 4 4 8" xfId="51075" xr:uid="{00000000-0005-0000-0000-0000B3C70000}"/>
    <cellStyle name="注释 2 4 4 8 2" xfId="34988" xr:uid="{00000000-0005-0000-0000-0000DC880000}"/>
    <cellStyle name="注释 2 4 4 8 2 2" xfId="41790" xr:uid="{00000000-0005-0000-0000-00006EA30000}"/>
    <cellStyle name="注释 2 4 4 8 3" xfId="7341" xr:uid="{00000000-0005-0000-0000-0000DD1C0000}"/>
    <cellStyle name="注释 2 4 4 8 3 2" xfId="41838" xr:uid="{00000000-0005-0000-0000-00009EA30000}"/>
    <cellStyle name="注释 2 4 4 8 4" xfId="34990" xr:uid="{00000000-0005-0000-0000-0000DE880000}"/>
    <cellStyle name="注释 2 4 4 8 4 2" xfId="41876" xr:uid="{00000000-0005-0000-0000-0000C4A30000}"/>
    <cellStyle name="注释 2 4 4 8 5" xfId="34992" xr:uid="{00000000-0005-0000-0000-0000E0880000}"/>
    <cellStyle name="注释 2 4 4 9" xfId="51077" xr:uid="{00000000-0005-0000-0000-0000B5C70000}"/>
    <cellStyle name="注释 2 4 4 9 2" xfId="53395" xr:uid="{00000000-0005-0000-0000-0000C3D00000}"/>
    <cellStyle name="注释 2 4 5" xfId="53397" xr:uid="{00000000-0005-0000-0000-0000C5D00000}"/>
    <cellStyle name="注释 2 4 5 10" xfId="42997" xr:uid="{00000000-0005-0000-0000-000025A80000}"/>
    <cellStyle name="注释 2 4 5 10 2" xfId="43000" xr:uid="{00000000-0005-0000-0000-000028A80000}"/>
    <cellStyle name="注释 2 4 5 11" xfId="43005" xr:uid="{00000000-0005-0000-0000-00002DA80000}"/>
    <cellStyle name="注释 2 4 5 11 2" xfId="40827" xr:uid="{00000000-0005-0000-0000-0000AB9F0000}"/>
    <cellStyle name="注释 2 4 5 12" xfId="43010" xr:uid="{00000000-0005-0000-0000-000032A80000}"/>
    <cellStyle name="注释 2 4 5 12 2" xfId="43012" xr:uid="{00000000-0005-0000-0000-000034A80000}"/>
    <cellStyle name="注释 2 4 5 13" xfId="43017" xr:uid="{00000000-0005-0000-0000-000039A80000}"/>
    <cellStyle name="注释 2 4 5 14" xfId="53398" xr:uid="{00000000-0005-0000-0000-0000C6D00000}"/>
    <cellStyle name="注释 2 4 5 15" xfId="217" xr:uid="{00000000-0005-0000-0000-0000EB000000}"/>
    <cellStyle name="注释 2 4 5 16" xfId="36006" xr:uid="{00000000-0005-0000-0000-0000D68C0000}"/>
    <cellStyle name="注释 2 4 5 2" xfId="53399" xr:uid="{00000000-0005-0000-0000-0000C7D00000}"/>
    <cellStyle name="注释 2 4 5 2 2" xfId="22761" xr:uid="{00000000-0005-0000-0000-000019590000}"/>
    <cellStyle name="注释 2 4 5 2 2 2" xfId="22765" xr:uid="{00000000-0005-0000-0000-00001D590000}"/>
    <cellStyle name="注释 2 4 5 2 3" xfId="22773" xr:uid="{00000000-0005-0000-0000-000025590000}"/>
    <cellStyle name="注释 2 4 5 2 3 2" xfId="22777" xr:uid="{00000000-0005-0000-0000-000029590000}"/>
    <cellStyle name="注释 2 4 5 2 4" xfId="22784" xr:uid="{00000000-0005-0000-0000-000030590000}"/>
    <cellStyle name="注释 2 4 5 2 4 2" xfId="22789" xr:uid="{00000000-0005-0000-0000-000035590000}"/>
    <cellStyle name="注释 2 4 5 2 5" xfId="22796" xr:uid="{00000000-0005-0000-0000-00003C590000}"/>
    <cellStyle name="注释 2 4 5 2 5 2" xfId="19924" xr:uid="{00000000-0005-0000-0000-0000044E0000}"/>
    <cellStyle name="注释 2 4 5 2 6" xfId="53400" xr:uid="{00000000-0005-0000-0000-0000C8D00000}"/>
    <cellStyle name="注释 2 4 5 2 7" xfId="53401" xr:uid="{00000000-0005-0000-0000-0000C9D00000}"/>
    <cellStyle name="注释 2 4 5 2 8" xfId="53402" xr:uid="{00000000-0005-0000-0000-0000CAD00000}"/>
    <cellStyle name="注释 2 4 5 2 9" xfId="53403" xr:uid="{00000000-0005-0000-0000-0000CBD00000}"/>
    <cellStyle name="注释 2 4 5 3" xfId="53404" xr:uid="{00000000-0005-0000-0000-0000CCD00000}"/>
    <cellStyle name="注释 2 4 5 3 2" xfId="22808" xr:uid="{00000000-0005-0000-0000-000048590000}"/>
    <cellStyle name="注释 2 4 5 3 2 2" xfId="22812" xr:uid="{00000000-0005-0000-0000-00004C590000}"/>
    <cellStyle name="注释 2 4 5 3 3" xfId="22819" xr:uid="{00000000-0005-0000-0000-000053590000}"/>
    <cellStyle name="注释 2 4 5 3 3 2" xfId="22824" xr:uid="{00000000-0005-0000-0000-000058590000}"/>
    <cellStyle name="注释 2 4 5 3 4" xfId="22831" xr:uid="{00000000-0005-0000-0000-00005F590000}"/>
    <cellStyle name="注释 2 4 5 3 4 2" xfId="22840" xr:uid="{00000000-0005-0000-0000-000068590000}"/>
    <cellStyle name="注释 2 4 5 3 5" xfId="22843" xr:uid="{00000000-0005-0000-0000-00006B590000}"/>
    <cellStyle name="注释 2 4 5 3 5 2" xfId="42957" xr:uid="{00000000-0005-0000-0000-0000FDA70000}"/>
    <cellStyle name="注释 2 4 5 3 6" xfId="42959" xr:uid="{00000000-0005-0000-0000-0000FFA70000}"/>
    <cellStyle name="注释 2 4 5 4" xfId="53405" xr:uid="{00000000-0005-0000-0000-0000CDD00000}"/>
    <cellStyle name="注释 2 4 5 4 2" xfId="22857" xr:uid="{00000000-0005-0000-0000-000079590000}"/>
    <cellStyle name="注释 2 4 5 4 2 2" xfId="22860" xr:uid="{00000000-0005-0000-0000-00007C590000}"/>
    <cellStyle name="注释 2 4 5 4 3" xfId="22870" xr:uid="{00000000-0005-0000-0000-000086590000}"/>
    <cellStyle name="注释 2 4 5 4 3 2" xfId="21295" xr:uid="{00000000-0005-0000-0000-00005F530000}"/>
    <cellStyle name="注释 2 4 5 4 4" xfId="22875" xr:uid="{00000000-0005-0000-0000-00008B590000}"/>
    <cellStyle name="注释 2 4 5 4 4 2" xfId="22880" xr:uid="{00000000-0005-0000-0000-000090590000}"/>
    <cellStyle name="注释 2 4 5 4 5" xfId="22887" xr:uid="{00000000-0005-0000-0000-000097590000}"/>
    <cellStyle name="注释 2 4 5 4 5 2" xfId="46408" xr:uid="{00000000-0005-0000-0000-000078B50000}"/>
    <cellStyle name="注释 2 4 5 4 6" xfId="53407" xr:uid="{00000000-0005-0000-0000-0000CFD00000}"/>
    <cellStyle name="注释 2 4 5 5" xfId="53408" xr:uid="{00000000-0005-0000-0000-0000D0D00000}"/>
    <cellStyle name="注释 2 4 5 5 2" xfId="22900" xr:uid="{00000000-0005-0000-0000-0000A4590000}"/>
    <cellStyle name="注释 2 4 5 5 2 2" xfId="22903" xr:uid="{00000000-0005-0000-0000-0000A7590000}"/>
    <cellStyle name="注释 2 4 5 5 3" xfId="22910" xr:uid="{00000000-0005-0000-0000-0000AE590000}"/>
    <cellStyle name="注释 2 4 5 5 3 2" xfId="22915" xr:uid="{00000000-0005-0000-0000-0000B3590000}"/>
    <cellStyle name="注释 2 4 5 5 4" xfId="22921" xr:uid="{00000000-0005-0000-0000-0000B9590000}"/>
    <cellStyle name="注释 2 4 5 5 4 2" xfId="46467" xr:uid="{00000000-0005-0000-0000-0000B3B50000}"/>
    <cellStyle name="注释 2 4 5 5 5" xfId="53409" xr:uid="{00000000-0005-0000-0000-0000D1D00000}"/>
    <cellStyle name="注释 2 4 5 5 5 2" xfId="46477" xr:uid="{00000000-0005-0000-0000-0000BDB50000}"/>
    <cellStyle name="注释 2 4 5 5 6" xfId="53410" xr:uid="{00000000-0005-0000-0000-0000D2D00000}"/>
    <cellStyle name="注释 2 4 5 6" xfId="11617" xr:uid="{00000000-0005-0000-0000-0000912D0000}"/>
    <cellStyle name="注释 2 4 5 6 2" xfId="53411" xr:uid="{00000000-0005-0000-0000-0000D3D00000}"/>
    <cellStyle name="注释 2 4 5 6 2 2" xfId="46524" xr:uid="{00000000-0005-0000-0000-0000ECB50000}"/>
    <cellStyle name="注释 2 4 5 6 3" xfId="22318" xr:uid="{00000000-0005-0000-0000-00005E570000}"/>
    <cellStyle name="注释 2 4 5 6 3 2" xfId="46536" xr:uid="{00000000-0005-0000-0000-0000F8B50000}"/>
    <cellStyle name="注释 2 4 5 6 4" xfId="53412" xr:uid="{00000000-0005-0000-0000-0000D4D00000}"/>
    <cellStyle name="注释 2 4 5 6 4 2" xfId="46544" xr:uid="{00000000-0005-0000-0000-000000B60000}"/>
    <cellStyle name="注释 2 4 5 6 5" xfId="53413" xr:uid="{00000000-0005-0000-0000-0000D5D00000}"/>
    <cellStyle name="注释 2 4 5 6 5 2" xfId="46553" xr:uid="{00000000-0005-0000-0000-000009B60000}"/>
    <cellStyle name="注释 2 4 5 6 6" xfId="53414" xr:uid="{00000000-0005-0000-0000-0000D6D00000}"/>
    <cellStyle name="注释 2 4 5 7" xfId="53415" xr:uid="{00000000-0005-0000-0000-0000D7D00000}"/>
    <cellStyle name="注释 2 4 5 7 2" xfId="53416" xr:uid="{00000000-0005-0000-0000-0000D8D00000}"/>
    <cellStyle name="注释 2 4 5 7 2 2" xfId="46588" xr:uid="{00000000-0005-0000-0000-00002CB60000}"/>
    <cellStyle name="注释 2 4 5 7 3" xfId="7395" xr:uid="{00000000-0005-0000-0000-0000131D0000}"/>
    <cellStyle name="注释 2 4 5 7 3 2" xfId="46599" xr:uid="{00000000-0005-0000-0000-000037B60000}"/>
    <cellStyle name="注释 2 4 5 7 4" xfId="53417" xr:uid="{00000000-0005-0000-0000-0000D9D00000}"/>
    <cellStyle name="注释 2 4 5 7 4 2" xfId="46606" xr:uid="{00000000-0005-0000-0000-00003EB60000}"/>
    <cellStyle name="注释 2 4 5 7 5" xfId="53418" xr:uid="{00000000-0005-0000-0000-0000DAD00000}"/>
    <cellStyle name="注释 2 4 5 7 5 2" xfId="20938" xr:uid="{00000000-0005-0000-0000-0000FA510000}"/>
    <cellStyle name="注释 2 4 5 7 6" xfId="53419" xr:uid="{00000000-0005-0000-0000-0000DBD00000}"/>
    <cellStyle name="注释 2 4 5 8" xfId="53420" xr:uid="{00000000-0005-0000-0000-0000DCD00000}"/>
    <cellStyle name="注释 2 4 5 8 2" xfId="53421" xr:uid="{00000000-0005-0000-0000-0000DDD00000}"/>
    <cellStyle name="注释 2 4 5 8 2 2" xfId="53422" xr:uid="{00000000-0005-0000-0000-0000DED00000}"/>
    <cellStyle name="注释 2 4 5 8 3" xfId="7083" xr:uid="{00000000-0005-0000-0000-0000DB1B0000}"/>
    <cellStyle name="注释 2 4 5 8 3 2" xfId="39719" xr:uid="{00000000-0005-0000-0000-0000579B0000}"/>
    <cellStyle name="注释 2 4 5 8 4" xfId="53423" xr:uid="{00000000-0005-0000-0000-0000DFD00000}"/>
    <cellStyle name="注释 2 4 5 8 4 2" xfId="53424" xr:uid="{00000000-0005-0000-0000-0000E0D00000}"/>
    <cellStyle name="注释 2 4 5 8 5" xfId="43021" xr:uid="{00000000-0005-0000-0000-00003DA80000}"/>
    <cellStyle name="注释 2 4 5 9" xfId="53425" xr:uid="{00000000-0005-0000-0000-0000E1D00000}"/>
    <cellStyle name="注释 2 4 5 9 2" xfId="53427" xr:uid="{00000000-0005-0000-0000-0000E3D00000}"/>
    <cellStyle name="注释 2 4 6" xfId="53429" xr:uid="{00000000-0005-0000-0000-0000E5D00000}"/>
    <cellStyle name="注释 2 4 6 10" xfId="43263" xr:uid="{00000000-0005-0000-0000-00002FA90000}"/>
    <cellStyle name="注释 2 4 6 10 2" xfId="19946" xr:uid="{00000000-0005-0000-0000-00001A4E0000}"/>
    <cellStyle name="注释 2 4 6 11" xfId="43266" xr:uid="{00000000-0005-0000-0000-000032A90000}"/>
    <cellStyle name="注释 2 4 6 11 2" xfId="19963" xr:uid="{00000000-0005-0000-0000-00002B4E0000}"/>
    <cellStyle name="注释 2 4 6 12" xfId="43269" xr:uid="{00000000-0005-0000-0000-000035A90000}"/>
    <cellStyle name="注释 2 4 6 12 2" xfId="6484" xr:uid="{00000000-0005-0000-0000-000084190000}"/>
    <cellStyle name="注释 2 4 6 13" xfId="43273" xr:uid="{00000000-0005-0000-0000-000039A90000}"/>
    <cellStyle name="注释 2 4 6 14" xfId="53430" xr:uid="{00000000-0005-0000-0000-0000E6D00000}"/>
    <cellStyle name="注释 2 4 6 15" xfId="53431" xr:uid="{00000000-0005-0000-0000-0000E7D00000}"/>
    <cellStyle name="注释 2 4 6 16" xfId="36066" xr:uid="{00000000-0005-0000-0000-0000128D0000}"/>
    <cellStyle name="注释 2 4 6 2" xfId="53432" xr:uid="{00000000-0005-0000-0000-0000E8D00000}"/>
    <cellStyle name="注释 2 4 6 2 2" xfId="24774" xr:uid="{00000000-0005-0000-0000-0000F6600000}"/>
    <cellStyle name="注释 2 4 6 2 2 2" xfId="24776" xr:uid="{00000000-0005-0000-0000-0000F8600000}"/>
    <cellStyle name="注释 2 4 6 2 3" xfId="24779" xr:uid="{00000000-0005-0000-0000-0000FB600000}"/>
    <cellStyle name="注释 2 4 6 2 3 2" xfId="15255" xr:uid="{00000000-0005-0000-0000-0000C73B0000}"/>
    <cellStyle name="注释 2 4 6 2 4" xfId="24781" xr:uid="{00000000-0005-0000-0000-0000FD600000}"/>
    <cellStyle name="注释 2 4 6 2 4 2" xfId="16288" xr:uid="{00000000-0005-0000-0000-0000D03F0000}"/>
    <cellStyle name="注释 2 4 6 2 5" xfId="24784" xr:uid="{00000000-0005-0000-0000-000000610000}"/>
    <cellStyle name="注释 2 4 6 2 5 2" xfId="46996" xr:uid="{00000000-0005-0000-0000-0000C4B70000}"/>
    <cellStyle name="注释 2 4 6 2 6" xfId="53433" xr:uid="{00000000-0005-0000-0000-0000E9D00000}"/>
    <cellStyle name="注释 2 4 6 2 7" xfId="53434" xr:uid="{00000000-0005-0000-0000-0000EAD00000}"/>
    <cellStyle name="注释 2 4 6 2 8" xfId="53435" xr:uid="{00000000-0005-0000-0000-0000EBD00000}"/>
    <cellStyle name="注释 2 4 6 2 9" xfId="53436" xr:uid="{00000000-0005-0000-0000-0000ECD00000}"/>
    <cellStyle name="注释 2 4 6 3" xfId="16225" xr:uid="{00000000-0005-0000-0000-0000913F0000}"/>
    <cellStyle name="注释 2 4 6 3 2" xfId="24786" xr:uid="{00000000-0005-0000-0000-000002610000}"/>
    <cellStyle name="注释 2 4 6 3 2 2" xfId="19372" xr:uid="{00000000-0005-0000-0000-0000DC4B0000}"/>
    <cellStyle name="注释 2 4 6 3 3" xfId="24788" xr:uid="{00000000-0005-0000-0000-000004610000}"/>
    <cellStyle name="注释 2 4 6 3 3 2" xfId="17720" xr:uid="{00000000-0005-0000-0000-000068450000}"/>
    <cellStyle name="注释 2 4 6 3 4" xfId="24790" xr:uid="{00000000-0005-0000-0000-000006610000}"/>
    <cellStyle name="注释 2 4 6 3 4 2" xfId="17907" xr:uid="{00000000-0005-0000-0000-000023460000}"/>
    <cellStyle name="注释 2 4 6 3 5" xfId="24793" xr:uid="{00000000-0005-0000-0000-000009610000}"/>
    <cellStyle name="注释 2 4 6 3 5 2" xfId="43229" xr:uid="{00000000-0005-0000-0000-00000DA90000}"/>
    <cellStyle name="注释 2 4 6 3 6" xfId="43231" xr:uid="{00000000-0005-0000-0000-00000FA90000}"/>
    <cellStyle name="注释 2 4 6 4" xfId="26746" xr:uid="{00000000-0005-0000-0000-0000AA680000}"/>
    <cellStyle name="注释 2 4 6 4 2" xfId="24799" xr:uid="{00000000-0005-0000-0000-00000F610000}"/>
    <cellStyle name="注释 2 4 6 4 2 2" xfId="24802" xr:uid="{00000000-0005-0000-0000-000012610000}"/>
    <cellStyle name="注释 2 4 6 4 3" xfId="24806" xr:uid="{00000000-0005-0000-0000-000016610000}"/>
    <cellStyle name="注释 2 4 6 4 3 2" xfId="19567" xr:uid="{00000000-0005-0000-0000-00009F4C0000}"/>
    <cellStyle name="注释 2 4 6 4 4" xfId="24808" xr:uid="{00000000-0005-0000-0000-000018610000}"/>
    <cellStyle name="注释 2 4 6 4 4 2" xfId="19702" xr:uid="{00000000-0005-0000-0000-0000264D0000}"/>
    <cellStyle name="注释 2 4 6 4 5" xfId="24811" xr:uid="{00000000-0005-0000-0000-00001B610000}"/>
    <cellStyle name="注释 2 4 6 4 5 2" xfId="47090" xr:uid="{00000000-0005-0000-0000-000022B80000}"/>
    <cellStyle name="注释 2 4 6 4 6" xfId="53437" xr:uid="{00000000-0005-0000-0000-0000EDD00000}"/>
    <cellStyle name="注释 2 4 6 5" xfId="26748" xr:uid="{00000000-0005-0000-0000-0000AC680000}"/>
    <cellStyle name="注释 2 4 6 5 2" xfId="22538" xr:uid="{00000000-0005-0000-0000-00003A580000}"/>
    <cellStyle name="注释 2 4 6 5 2 2" xfId="24818" xr:uid="{00000000-0005-0000-0000-000022610000}"/>
    <cellStyle name="注释 2 4 6 5 3" xfId="24821" xr:uid="{00000000-0005-0000-0000-000025610000}"/>
    <cellStyle name="注释 2 4 6 5 3 2" xfId="20496" xr:uid="{00000000-0005-0000-0000-000040500000}"/>
    <cellStyle name="注释 2 4 6 5 4" xfId="24823" xr:uid="{00000000-0005-0000-0000-000027610000}"/>
    <cellStyle name="注释 2 4 6 5 4 2" xfId="20659" xr:uid="{00000000-0005-0000-0000-0000E3500000}"/>
    <cellStyle name="注释 2 4 6 5 5" xfId="53438" xr:uid="{00000000-0005-0000-0000-0000EED00000}"/>
    <cellStyle name="注释 2 4 6 5 5 2" xfId="47141" xr:uid="{00000000-0005-0000-0000-000055B80000}"/>
    <cellStyle name="注释 2 4 6 5 6" xfId="53439" xr:uid="{00000000-0005-0000-0000-0000EFD00000}"/>
    <cellStyle name="注释 2 4 6 6" xfId="11628" xr:uid="{00000000-0005-0000-0000-00009C2D0000}"/>
    <cellStyle name="注释 2 4 6 6 2" xfId="26751" xr:uid="{00000000-0005-0000-0000-0000AF680000}"/>
    <cellStyle name="注释 2 4 6 6 2 2" xfId="47182" xr:uid="{00000000-0005-0000-0000-00007EB80000}"/>
    <cellStyle name="注释 2 4 6 6 3" xfId="22324" xr:uid="{00000000-0005-0000-0000-000064570000}"/>
    <cellStyle name="注释 2 4 6 6 3 2" xfId="47189" xr:uid="{00000000-0005-0000-0000-000085B80000}"/>
    <cellStyle name="注释 2 4 6 6 4" xfId="53440" xr:uid="{00000000-0005-0000-0000-0000F0D00000}"/>
    <cellStyle name="注释 2 4 6 6 4 2" xfId="47197" xr:uid="{00000000-0005-0000-0000-00008DB80000}"/>
    <cellStyle name="注释 2 4 6 6 5" xfId="53441" xr:uid="{00000000-0005-0000-0000-0000F1D00000}"/>
    <cellStyle name="注释 2 4 6 6 5 2" xfId="47205" xr:uid="{00000000-0005-0000-0000-000095B80000}"/>
    <cellStyle name="注释 2 4 6 6 6" xfId="53442" xr:uid="{00000000-0005-0000-0000-0000F2D00000}"/>
    <cellStyle name="注释 2 4 6 7" xfId="26754" xr:uid="{00000000-0005-0000-0000-0000B2680000}"/>
    <cellStyle name="注释 2 4 6 7 2" xfId="26756" xr:uid="{00000000-0005-0000-0000-0000B4680000}"/>
    <cellStyle name="注释 2 4 6 7 2 2" xfId="47238" xr:uid="{00000000-0005-0000-0000-0000B6B80000}"/>
    <cellStyle name="注释 2 4 6 7 3" xfId="7430" xr:uid="{00000000-0005-0000-0000-0000361D0000}"/>
    <cellStyle name="注释 2 4 6 7 3 2" xfId="47248" xr:uid="{00000000-0005-0000-0000-0000C0B80000}"/>
    <cellStyle name="注释 2 4 6 7 4" xfId="53443" xr:uid="{00000000-0005-0000-0000-0000F3D00000}"/>
    <cellStyle name="注释 2 4 6 7 4 2" xfId="47257" xr:uid="{00000000-0005-0000-0000-0000C9B80000}"/>
    <cellStyle name="注释 2 4 6 7 5" xfId="53444" xr:uid="{00000000-0005-0000-0000-0000F4D00000}"/>
    <cellStyle name="注释 2 4 6 7 5 2" xfId="47267" xr:uid="{00000000-0005-0000-0000-0000D3B80000}"/>
    <cellStyle name="注释 2 4 6 7 6" xfId="53445" xr:uid="{00000000-0005-0000-0000-0000F5D00000}"/>
    <cellStyle name="注释 2 4 6 8" xfId="26758" xr:uid="{00000000-0005-0000-0000-0000B6680000}"/>
    <cellStyle name="注释 2 4 6 8 2" xfId="53446" xr:uid="{00000000-0005-0000-0000-0000F6D00000}"/>
    <cellStyle name="注释 2 4 6 8 2 2" xfId="53447" xr:uid="{00000000-0005-0000-0000-0000F7D00000}"/>
    <cellStyle name="注释 2 4 6 8 3" xfId="7447" xr:uid="{00000000-0005-0000-0000-0000471D0000}"/>
    <cellStyle name="注释 2 4 6 8 3 2" xfId="41657" xr:uid="{00000000-0005-0000-0000-0000E9A20000}"/>
    <cellStyle name="注释 2 4 6 8 4" xfId="53448" xr:uid="{00000000-0005-0000-0000-0000F8D00000}"/>
    <cellStyle name="注释 2 4 6 8 4 2" xfId="53449" xr:uid="{00000000-0005-0000-0000-0000F9D00000}"/>
    <cellStyle name="注释 2 4 6 8 5" xfId="53450" xr:uid="{00000000-0005-0000-0000-0000FAD00000}"/>
    <cellStyle name="注释 2 4 6 9" xfId="53451" xr:uid="{00000000-0005-0000-0000-0000FBD00000}"/>
    <cellStyle name="注释 2 4 6 9 2" xfId="53453" xr:uid="{00000000-0005-0000-0000-0000FDD00000}"/>
    <cellStyle name="注释 2 4 7" xfId="53455" xr:uid="{00000000-0005-0000-0000-0000FFD00000}"/>
    <cellStyle name="注释 2 4 7 10" xfId="53456" xr:uid="{00000000-0005-0000-0000-000000D10000}"/>
    <cellStyle name="注释 2 4 7 10 2" xfId="47070" xr:uid="{00000000-0005-0000-0000-00000EB80000}"/>
    <cellStyle name="注释 2 4 7 11" xfId="53457" xr:uid="{00000000-0005-0000-0000-000001D10000}"/>
    <cellStyle name="注释 2 4 7 11 2" xfId="41350" xr:uid="{00000000-0005-0000-0000-0000B6A10000}"/>
    <cellStyle name="注释 2 4 7 12" xfId="53458" xr:uid="{00000000-0005-0000-0000-000002D10000}"/>
    <cellStyle name="注释 2 4 7 12 2" xfId="53459" xr:uid="{00000000-0005-0000-0000-000003D10000}"/>
    <cellStyle name="注释 2 4 7 13" xfId="53460" xr:uid="{00000000-0005-0000-0000-000004D10000}"/>
    <cellStyle name="注释 2 4 7 14" xfId="48404" xr:uid="{00000000-0005-0000-0000-000044BD0000}"/>
    <cellStyle name="注释 2 4 7 15" xfId="53461" xr:uid="{00000000-0005-0000-0000-000005D10000}"/>
    <cellStyle name="注释 2 4 7 16" xfId="43348" xr:uid="{00000000-0005-0000-0000-000084A90000}"/>
    <cellStyle name="注释 2 4 7 2" xfId="18022" xr:uid="{00000000-0005-0000-0000-000096460000}"/>
    <cellStyle name="注释 2 4 7 2 2" xfId="53462" xr:uid="{00000000-0005-0000-0000-000006D10000}"/>
    <cellStyle name="注释 2 4 7 2 2 2" xfId="47621" xr:uid="{00000000-0005-0000-0000-000035BA0000}"/>
    <cellStyle name="注释 2 4 7 2 3" xfId="53463" xr:uid="{00000000-0005-0000-0000-000007D10000}"/>
    <cellStyle name="注释 2 4 7 2 3 2" xfId="35626" xr:uid="{00000000-0005-0000-0000-00005A8B0000}"/>
    <cellStyle name="注释 2 4 7 2 4" xfId="36227" xr:uid="{00000000-0005-0000-0000-0000B38D0000}"/>
    <cellStyle name="注释 2 4 7 2 4 2" xfId="3314" xr:uid="{00000000-0005-0000-0000-0000220D0000}"/>
    <cellStyle name="注释 2 4 7 2 5" xfId="53464" xr:uid="{00000000-0005-0000-0000-000008D10000}"/>
    <cellStyle name="注释 2 4 7 2 5 2" xfId="47632" xr:uid="{00000000-0005-0000-0000-000040BA0000}"/>
    <cellStyle name="注释 2 4 7 2 6" xfId="20447" xr:uid="{00000000-0005-0000-0000-00000F500000}"/>
    <cellStyle name="注释 2 4 7 2 7" xfId="20449" xr:uid="{00000000-0005-0000-0000-000011500000}"/>
    <cellStyle name="注释 2 4 7 2 8" xfId="20451" xr:uid="{00000000-0005-0000-0000-000013500000}"/>
    <cellStyle name="注释 2 4 7 2 9" xfId="20456" xr:uid="{00000000-0005-0000-0000-000018500000}"/>
    <cellStyle name="注释 2 4 7 3" xfId="18030" xr:uid="{00000000-0005-0000-0000-00009E460000}"/>
    <cellStyle name="注释 2 4 7 3 2" xfId="53465" xr:uid="{00000000-0005-0000-0000-000009D10000}"/>
    <cellStyle name="注释 2 4 7 3 2 2" xfId="47663" xr:uid="{00000000-0005-0000-0000-00005FBA0000}"/>
    <cellStyle name="注释 2 4 7 3 3" xfId="53466" xr:uid="{00000000-0005-0000-0000-00000AD10000}"/>
    <cellStyle name="注释 2 4 7 3 3 2" xfId="47673" xr:uid="{00000000-0005-0000-0000-000069BA0000}"/>
    <cellStyle name="注释 2 4 7 3 4" xfId="36231" xr:uid="{00000000-0005-0000-0000-0000B78D0000}"/>
    <cellStyle name="注释 2 4 7 3 4 2" xfId="47681" xr:uid="{00000000-0005-0000-0000-000071BA0000}"/>
    <cellStyle name="注释 2 4 7 3 5" xfId="53467" xr:uid="{00000000-0005-0000-0000-00000BD10000}"/>
    <cellStyle name="注释 2 4 7 3 5 2" xfId="47690" xr:uid="{00000000-0005-0000-0000-00007ABA0000}"/>
    <cellStyle name="注释 2 4 7 3 6" xfId="20462" xr:uid="{00000000-0005-0000-0000-00001E500000}"/>
    <cellStyle name="注释 2 4 7 4" xfId="18042" xr:uid="{00000000-0005-0000-0000-0000AA460000}"/>
    <cellStyle name="注释 2 4 7 4 2" xfId="26763" xr:uid="{00000000-0005-0000-0000-0000BB680000}"/>
    <cellStyle name="注释 2 4 7 4 2 2" xfId="47727" xr:uid="{00000000-0005-0000-0000-00009FBA0000}"/>
    <cellStyle name="注释 2 4 7 4 3" xfId="53468" xr:uid="{00000000-0005-0000-0000-00000CD10000}"/>
    <cellStyle name="注释 2 4 7 4 3 2" xfId="47737" xr:uid="{00000000-0005-0000-0000-0000A9BA0000}"/>
    <cellStyle name="注释 2 4 7 4 4" xfId="36234" xr:uid="{00000000-0005-0000-0000-0000BA8D0000}"/>
    <cellStyle name="注释 2 4 7 4 4 2" xfId="47746" xr:uid="{00000000-0005-0000-0000-0000B2BA0000}"/>
    <cellStyle name="注释 2 4 7 4 5" xfId="53469" xr:uid="{00000000-0005-0000-0000-00000DD10000}"/>
    <cellStyle name="注释 2 4 7 4 5 2" xfId="47755" xr:uid="{00000000-0005-0000-0000-0000BBBA0000}"/>
    <cellStyle name="注释 2 4 7 4 6" xfId="20479" xr:uid="{00000000-0005-0000-0000-00002F500000}"/>
    <cellStyle name="注释 2 4 7 5" xfId="47" xr:uid="{00000000-0005-0000-0000-000033000000}"/>
    <cellStyle name="注释 2 4 7 5 2" xfId="1659" xr:uid="{00000000-0005-0000-0000-0000AB060000}"/>
    <cellStyle name="注释 2 4 7 5 2 2" xfId="1850" xr:uid="{00000000-0005-0000-0000-00006A070000}"/>
    <cellStyle name="注释 2 4 7 5 3" xfId="665" xr:uid="{00000000-0005-0000-0000-0000C9020000}"/>
    <cellStyle name="注释 2 4 7 5 3 2" xfId="47793" xr:uid="{00000000-0005-0000-0000-0000E1BA0000}"/>
    <cellStyle name="注释 2 4 7 5 4" xfId="688" xr:uid="{00000000-0005-0000-0000-0000E0020000}"/>
    <cellStyle name="注释 2 4 7 5 4 2" xfId="47802" xr:uid="{00000000-0005-0000-0000-0000EABA0000}"/>
    <cellStyle name="注释 2 4 7 5 5" xfId="961" xr:uid="{00000000-0005-0000-0000-0000F1030000}"/>
    <cellStyle name="注释 2 4 7 5 5 2" xfId="47807" xr:uid="{00000000-0005-0000-0000-0000EFBA0000}"/>
    <cellStyle name="注释 2 4 7 5 6" xfId="159" xr:uid="{00000000-0005-0000-0000-0000AC000000}"/>
    <cellStyle name="注释 2 4 7 6" xfId="26765" xr:uid="{00000000-0005-0000-0000-0000BD680000}"/>
    <cellStyle name="注释 2 4 7 6 2" xfId="26769" xr:uid="{00000000-0005-0000-0000-0000C1680000}"/>
    <cellStyle name="注释 2 4 7 6 2 2" xfId="47837" xr:uid="{00000000-0005-0000-0000-00000DBB0000}"/>
    <cellStyle name="注释 2 4 7 6 3" xfId="22334" xr:uid="{00000000-0005-0000-0000-00006E570000}"/>
    <cellStyle name="注释 2 4 7 6 3 2" xfId="47845" xr:uid="{00000000-0005-0000-0000-000015BB0000}"/>
    <cellStyle name="注释 2 4 7 6 4" xfId="53470" xr:uid="{00000000-0005-0000-0000-00000ED10000}"/>
    <cellStyle name="注释 2 4 7 6 4 2" xfId="9001" xr:uid="{00000000-0005-0000-0000-000059230000}"/>
    <cellStyle name="注释 2 4 7 6 5" xfId="53471" xr:uid="{00000000-0005-0000-0000-00000FD10000}"/>
    <cellStyle name="注释 2 4 7 6 5 2" xfId="47853" xr:uid="{00000000-0005-0000-0000-00001DBB0000}"/>
    <cellStyle name="注释 2 4 7 6 6" xfId="20505" xr:uid="{00000000-0005-0000-0000-000049500000}"/>
    <cellStyle name="注释 2 4 7 7" xfId="26772" xr:uid="{00000000-0005-0000-0000-0000C4680000}"/>
    <cellStyle name="注释 2 4 7 7 2" xfId="26774" xr:uid="{00000000-0005-0000-0000-0000C6680000}"/>
    <cellStyle name="注释 2 4 7 7 2 2" xfId="47890" xr:uid="{00000000-0005-0000-0000-000042BB0000}"/>
    <cellStyle name="注释 2 4 7 7 3" xfId="7496" xr:uid="{00000000-0005-0000-0000-0000781D0000}"/>
    <cellStyle name="注释 2 4 7 7 3 2" xfId="35953" xr:uid="{00000000-0005-0000-0000-0000A18C0000}"/>
    <cellStyle name="注释 2 4 7 7 4" xfId="53472" xr:uid="{00000000-0005-0000-0000-000010D10000}"/>
    <cellStyle name="注释 2 4 7 7 4 2" xfId="6943" xr:uid="{00000000-0005-0000-0000-00004F1B0000}"/>
    <cellStyle name="注释 2 4 7 7 5" xfId="53473" xr:uid="{00000000-0005-0000-0000-000011D10000}"/>
    <cellStyle name="注释 2 4 7 7 5 2" xfId="47906" xr:uid="{00000000-0005-0000-0000-000052BB0000}"/>
    <cellStyle name="注释 2 4 7 7 6" xfId="20518" xr:uid="{00000000-0005-0000-0000-000056500000}"/>
    <cellStyle name="注释 2 4 7 8" xfId="26776" xr:uid="{00000000-0005-0000-0000-0000C8680000}"/>
    <cellStyle name="注释 2 4 7 8 2" xfId="41088" xr:uid="{00000000-0005-0000-0000-0000B0A00000}"/>
    <cellStyle name="注释 2 4 7 8 2 2" xfId="41090" xr:uid="{00000000-0005-0000-0000-0000B2A00000}"/>
    <cellStyle name="注释 2 4 7 8 3" xfId="7514" xr:uid="{00000000-0005-0000-0000-00008A1D0000}"/>
    <cellStyle name="注释 2 4 7 8 3 2" xfId="8560" xr:uid="{00000000-0005-0000-0000-0000A0210000}"/>
    <cellStyle name="注释 2 4 7 8 4" xfId="41092" xr:uid="{00000000-0005-0000-0000-0000B4A00000}"/>
    <cellStyle name="注释 2 4 7 8 4 2" xfId="53474" xr:uid="{00000000-0005-0000-0000-000012D10000}"/>
    <cellStyle name="注释 2 4 7 8 5" xfId="41094" xr:uid="{00000000-0005-0000-0000-0000B6A00000}"/>
    <cellStyle name="注释 2 4 7 9" xfId="53475" xr:uid="{00000000-0005-0000-0000-000013D10000}"/>
    <cellStyle name="注释 2 4 7 9 2" xfId="41096" xr:uid="{00000000-0005-0000-0000-0000B8A00000}"/>
    <cellStyle name="注释 2 4 8" xfId="53477" xr:uid="{00000000-0005-0000-0000-000015D10000}"/>
    <cellStyle name="注释 2 4 8 10" xfId="43617" xr:uid="{00000000-0005-0000-0000-000091AA0000}"/>
    <cellStyle name="注释 2 4 8 10 2" xfId="36753" xr:uid="{00000000-0005-0000-0000-0000C18F0000}"/>
    <cellStyle name="注释 2 4 8 11" xfId="43619" xr:uid="{00000000-0005-0000-0000-000093AA0000}"/>
    <cellStyle name="注释 2 4 8 11 2" xfId="36769" xr:uid="{00000000-0005-0000-0000-0000D18F0000}"/>
    <cellStyle name="注释 2 4 8 12" xfId="26741" xr:uid="{00000000-0005-0000-0000-0000A5680000}"/>
    <cellStyle name="注释 2 4 8 12 2" xfId="36774" xr:uid="{00000000-0005-0000-0000-0000D68F0000}"/>
    <cellStyle name="注释 2 4 8 13" xfId="43622" xr:uid="{00000000-0005-0000-0000-000096AA0000}"/>
    <cellStyle name="注释 2 4 8 14" xfId="43626" xr:uid="{00000000-0005-0000-0000-00009AAA0000}"/>
    <cellStyle name="注释 2 4 8 15" xfId="43629" xr:uid="{00000000-0005-0000-0000-00009DAA0000}"/>
    <cellStyle name="注释 2 4 8 16" xfId="52378" xr:uid="{00000000-0005-0000-0000-0000CACC0000}"/>
    <cellStyle name="注释 2 4 8 2" xfId="53478" xr:uid="{00000000-0005-0000-0000-000016D10000}"/>
    <cellStyle name="注释 2 4 8 2 2" xfId="53479" xr:uid="{00000000-0005-0000-0000-000017D10000}"/>
    <cellStyle name="注释 2 4 8 2 2 2" xfId="48199" xr:uid="{00000000-0005-0000-0000-000077BC0000}"/>
    <cellStyle name="注释 2 4 8 2 3" xfId="53480" xr:uid="{00000000-0005-0000-0000-000018D10000}"/>
    <cellStyle name="注释 2 4 8 2 3 2" xfId="48210" xr:uid="{00000000-0005-0000-0000-000082BC0000}"/>
    <cellStyle name="注释 2 4 8 2 4" xfId="36241" xr:uid="{00000000-0005-0000-0000-0000C18D0000}"/>
    <cellStyle name="注释 2 4 8 2 4 2" xfId="32562" xr:uid="{00000000-0005-0000-0000-0000627F0000}"/>
    <cellStyle name="注释 2 4 8 2 5" xfId="53481" xr:uid="{00000000-0005-0000-0000-000019D10000}"/>
    <cellStyle name="注释 2 4 8 2 5 2" xfId="48218" xr:uid="{00000000-0005-0000-0000-00008ABC0000}"/>
    <cellStyle name="注释 2 4 8 2 6" xfId="20591" xr:uid="{00000000-0005-0000-0000-00009F500000}"/>
    <cellStyle name="注释 2 4 8 2 7" xfId="20594" xr:uid="{00000000-0005-0000-0000-0000A2500000}"/>
    <cellStyle name="注释 2 4 8 2 8" xfId="20597" xr:uid="{00000000-0005-0000-0000-0000A5500000}"/>
    <cellStyle name="注释 2 4 8 2 9" xfId="20603" xr:uid="{00000000-0005-0000-0000-0000AB500000}"/>
    <cellStyle name="注释 2 4 8 3" xfId="33856" xr:uid="{00000000-0005-0000-0000-000070840000}"/>
    <cellStyle name="注释 2 4 8 3 2" xfId="53482" xr:uid="{00000000-0005-0000-0000-00001AD10000}"/>
    <cellStyle name="注释 2 4 8 3 2 2" xfId="48244" xr:uid="{00000000-0005-0000-0000-0000A4BC0000}"/>
    <cellStyle name="注释 2 4 8 3 3" xfId="53483" xr:uid="{00000000-0005-0000-0000-00001BD10000}"/>
    <cellStyle name="注释 2 4 8 3 3 2" xfId="48258" xr:uid="{00000000-0005-0000-0000-0000B2BC0000}"/>
    <cellStyle name="注释 2 4 8 3 4" xfId="36246" xr:uid="{00000000-0005-0000-0000-0000C68D0000}"/>
    <cellStyle name="注释 2 4 8 3 4 2" xfId="48269" xr:uid="{00000000-0005-0000-0000-0000BDBC0000}"/>
    <cellStyle name="注释 2 4 8 3 5" xfId="53484" xr:uid="{00000000-0005-0000-0000-00001CD10000}"/>
    <cellStyle name="注释 2 4 8 3 5 2" xfId="48282" xr:uid="{00000000-0005-0000-0000-0000CABC0000}"/>
    <cellStyle name="注释 2 4 8 3 6" xfId="20615" xr:uid="{00000000-0005-0000-0000-0000B7500000}"/>
    <cellStyle name="注释 2 4 8 4" xfId="26782" xr:uid="{00000000-0005-0000-0000-0000CE680000}"/>
    <cellStyle name="注释 2 4 8 4 2" xfId="26784" xr:uid="{00000000-0005-0000-0000-0000D0680000}"/>
    <cellStyle name="注释 2 4 8 4 2 2" xfId="48325" xr:uid="{00000000-0005-0000-0000-0000F5BC0000}"/>
    <cellStyle name="注释 2 4 8 4 3" xfId="53485" xr:uid="{00000000-0005-0000-0000-00001DD10000}"/>
    <cellStyle name="注释 2 4 8 4 3 2" xfId="48339" xr:uid="{00000000-0005-0000-0000-000003BD0000}"/>
    <cellStyle name="注释 2 4 8 4 4" xfId="36249" xr:uid="{00000000-0005-0000-0000-0000C98D0000}"/>
    <cellStyle name="注释 2 4 8 4 4 2" xfId="2686" xr:uid="{00000000-0005-0000-0000-0000AE0A0000}"/>
    <cellStyle name="注释 2 4 8 4 5" xfId="53486" xr:uid="{00000000-0005-0000-0000-00001ED10000}"/>
    <cellStyle name="注释 2 4 8 4 5 2" xfId="48353" xr:uid="{00000000-0005-0000-0000-000011BD0000}"/>
    <cellStyle name="注释 2 4 8 4 6" xfId="20640" xr:uid="{00000000-0005-0000-0000-0000D0500000}"/>
    <cellStyle name="注释 2 4 8 5" xfId="26786" xr:uid="{00000000-0005-0000-0000-0000D2680000}"/>
    <cellStyle name="注释 2 4 8 5 2" xfId="26789" xr:uid="{00000000-0005-0000-0000-0000D5680000}"/>
    <cellStyle name="注释 2 4 8 5 2 2" xfId="48387" xr:uid="{00000000-0005-0000-0000-000033BD0000}"/>
    <cellStyle name="注释 2 4 8 5 3" xfId="53487" xr:uid="{00000000-0005-0000-0000-00001FD10000}"/>
    <cellStyle name="注释 2 4 8 5 3 2" xfId="48398" xr:uid="{00000000-0005-0000-0000-00003EBD0000}"/>
    <cellStyle name="注释 2 4 8 5 4" xfId="53488" xr:uid="{00000000-0005-0000-0000-000020D10000}"/>
    <cellStyle name="注释 2 4 8 5 4 2" xfId="11860" xr:uid="{00000000-0005-0000-0000-0000842E0000}"/>
    <cellStyle name="注释 2 4 8 5 5" xfId="53489" xr:uid="{00000000-0005-0000-0000-000021D10000}"/>
    <cellStyle name="注释 2 4 8 5 5 2" xfId="48411" xr:uid="{00000000-0005-0000-0000-00004BBD0000}"/>
    <cellStyle name="注释 2 4 8 5 6" xfId="20667" xr:uid="{00000000-0005-0000-0000-0000EB500000}"/>
    <cellStyle name="注释 2 4 8 6" xfId="26792" xr:uid="{00000000-0005-0000-0000-0000D8680000}"/>
    <cellStyle name="注释 2 4 8 6 2" xfId="26796" xr:uid="{00000000-0005-0000-0000-0000DC680000}"/>
    <cellStyle name="注释 2 4 8 6 2 2" xfId="48460" xr:uid="{00000000-0005-0000-0000-00007CBD0000}"/>
    <cellStyle name="注释 2 4 8 6 3" xfId="22349" xr:uid="{00000000-0005-0000-0000-00007D570000}"/>
    <cellStyle name="注释 2 4 8 6 3 2" xfId="48470" xr:uid="{00000000-0005-0000-0000-000086BD0000}"/>
    <cellStyle name="注释 2 4 8 6 4" xfId="53490" xr:uid="{00000000-0005-0000-0000-000022D10000}"/>
    <cellStyle name="注释 2 4 8 6 4 2" xfId="33063" xr:uid="{00000000-0005-0000-0000-000057810000}"/>
    <cellStyle name="注释 2 4 8 6 5" xfId="53491" xr:uid="{00000000-0005-0000-0000-000023D10000}"/>
    <cellStyle name="注释 2 4 8 6 5 2" xfId="48481" xr:uid="{00000000-0005-0000-0000-000091BD0000}"/>
    <cellStyle name="注释 2 4 8 6 6" xfId="20687" xr:uid="{00000000-0005-0000-0000-0000FF500000}"/>
    <cellStyle name="注释 2 4 8 7" xfId="26798" xr:uid="{00000000-0005-0000-0000-0000DE680000}"/>
    <cellStyle name="注释 2 4 8 7 2" xfId="26800" xr:uid="{00000000-0005-0000-0000-0000E0680000}"/>
    <cellStyle name="注释 2 4 8 7 2 2" xfId="47965" xr:uid="{00000000-0005-0000-0000-00008DBB0000}"/>
    <cellStyle name="注释 2 4 8 7 3" xfId="7559" xr:uid="{00000000-0005-0000-0000-0000B71D0000}"/>
    <cellStyle name="注释 2 4 8 7 3 2" xfId="47982" xr:uid="{00000000-0005-0000-0000-00009EBB0000}"/>
    <cellStyle name="注释 2 4 8 7 4" xfId="53492" xr:uid="{00000000-0005-0000-0000-000024D10000}"/>
    <cellStyle name="注释 2 4 8 7 4 2" xfId="33389" xr:uid="{00000000-0005-0000-0000-00009D820000}"/>
    <cellStyle name="注释 2 4 8 7 5" xfId="53493" xr:uid="{00000000-0005-0000-0000-000025D10000}"/>
    <cellStyle name="注释 2 4 8 7 5 2" xfId="48511" xr:uid="{00000000-0005-0000-0000-0000AFBD0000}"/>
    <cellStyle name="注释 2 4 8 7 6" xfId="20705" xr:uid="{00000000-0005-0000-0000-000011510000}"/>
    <cellStyle name="注释 2 4 8 8" xfId="26802" xr:uid="{00000000-0005-0000-0000-0000E2680000}"/>
    <cellStyle name="注释 2 4 8 8 2" xfId="35097" xr:uid="{00000000-0005-0000-0000-000049890000}"/>
    <cellStyle name="注释 2 4 8 8 2 2" xfId="41137" xr:uid="{00000000-0005-0000-0000-0000E1A00000}"/>
    <cellStyle name="注释 2 4 8 8 3" xfId="7571" xr:uid="{00000000-0005-0000-0000-0000C31D0000}"/>
    <cellStyle name="注释 2 4 8 8 3 2" xfId="15321" xr:uid="{00000000-0005-0000-0000-0000093C0000}"/>
    <cellStyle name="注释 2 4 8 8 4" xfId="35099" xr:uid="{00000000-0005-0000-0000-00004B890000}"/>
    <cellStyle name="注释 2 4 8 8 4 2" xfId="48034" xr:uid="{00000000-0005-0000-0000-0000D2BB0000}"/>
    <cellStyle name="注释 2 4 8 8 5" xfId="35101" xr:uid="{00000000-0005-0000-0000-00004D890000}"/>
    <cellStyle name="注释 2 4 8 9" xfId="53494" xr:uid="{00000000-0005-0000-0000-000026D10000}"/>
    <cellStyle name="注释 2 4 8 9 2" xfId="41140" xr:uid="{00000000-0005-0000-0000-0000E4A00000}"/>
    <cellStyle name="注释 2 4 9" xfId="42224" xr:uid="{00000000-0005-0000-0000-000020A50000}"/>
    <cellStyle name="注释 2 4 9 10" xfId="43669" xr:uid="{00000000-0005-0000-0000-0000C5AA0000}"/>
    <cellStyle name="注释 2 4 9 10 2" xfId="43671" xr:uid="{00000000-0005-0000-0000-0000C7AA0000}"/>
    <cellStyle name="注释 2 4 9 11" xfId="41517" xr:uid="{00000000-0005-0000-0000-00005DA20000}"/>
    <cellStyle name="注释 2 4 9 11 2" xfId="42615" xr:uid="{00000000-0005-0000-0000-0000A7A60000}"/>
    <cellStyle name="注释 2 4 9 12" xfId="43673" xr:uid="{00000000-0005-0000-0000-0000C9AA0000}"/>
    <cellStyle name="注释 2 4 9 12 2" xfId="53496" xr:uid="{00000000-0005-0000-0000-000028D10000}"/>
    <cellStyle name="注释 2 4 9 13" xfId="53497" xr:uid="{00000000-0005-0000-0000-000029D10000}"/>
    <cellStyle name="注释 2 4 9 14" xfId="45661" xr:uid="{00000000-0005-0000-0000-00008DB20000}"/>
    <cellStyle name="注释 2 4 9 15" xfId="53499" xr:uid="{00000000-0005-0000-0000-00002BD10000}"/>
    <cellStyle name="注释 2 4 9 16" xfId="53501" xr:uid="{00000000-0005-0000-0000-00002DD10000}"/>
    <cellStyle name="注释 2 4 9 2" xfId="53503" xr:uid="{00000000-0005-0000-0000-00002FD10000}"/>
    <cellStyle name="注释 2 4 9 2 2" xfId="53504" xr:uid="{00000000-0005-0000-0000-000030D10000}"/>
    <cellStyle name="注释 2 4 9 2 2 2" xfId="48654" xr:uid="{00000000-0005-0000-0000-00003EBE0000}"/>
    <cellStyle name="注释 2 4 9 2 3" xfId="53505" xr:uid="{00000000-0005-0000-0000-000031D10000}"/>
    <cellStyle name="注释 2 4 9 2 3 2" xfId="48662" xr:uid="{00000000-0005-0000-0000-000046BE0000}"/>
    <cellStyle name="注释 2 4 9 2 4" xfId="36253" xr:uid="{00000000-0005-0000-0000-0000CD8D0000}"/>
    <cellStyle name="注释 2 4 9 2 4 2" xfId="48670" xr:uid="{00000000-0005-0000-0000-00004EBE0000}"/>
    <cellStyle name="注释 2 4 9 2 5" xfId="53506" xr:uid="{00000000-0005-0000-0000-000032D10000}"/>
    <cellStyle name="注释 2 4 9 2 5 2" xfId="48678" xr:uid="{00000000-0005-0000-0000-000056BE0000}"/>
    <cellStyle name="注释 2 4 9 2 6" xfId="20741" xr:uid="{00000000-0005-0000-0000-000035510000}"/>
    <cellStyle name="注释 2 4 9 2 7" xfId="20743" xr:uid="{00000000-0005-0000-0000-000037510000}"/>
    <cellStyle name="注释 2 4 9 2 8" xfId="20745" xr:uid="{00000000-0005-0000-0000-000039510000}"/>
    <cellStyle name="注释 2 4 9 2 9" xfId="20749" xr:uid="{00000000-0005-0000-0000-00003D510000}"/>
    <cellStyle name="注释 2 4 9 3" xfId="6087" xr:uid="{00000000-0005-0000-0000-0000F7170000}"/>
    <cellStyle name="注释 2 4 9 3 2" xfId="35288" xr:uid="{00000000-0005-0000-0000-0000088A0000}"/>
    <cellStyle name="注释 2 4 9 3 2 2" xfId="48693" xr:uid="{00000000-0005-0000-0000-000065BE0000}"/>
    <cellStyle name="注释 2 4 9 3 3" xfId="35290" xr:uid="{00000000-0005-0000-0000-00000A8A0000}"/>
    <cellStyle name="注释 2 4 9 3 3 2" xfId="48703" xr:uid="{00000000-0005-0000-0000-00006FBE0000}"/>
    <cellStyle name="注释 2 4 9 3 4" xfId="35293" xr:uid="{00000000-0005-0000-0000-00000D8A0000}"/>
    <cellStyle name="注释 2 4 9 3 4 2" xfId="48712" xr:uid="{00000000-0005-0000-0000-000078BE0000}"/>
    <cellStyle name="注释 2 4 9 3 5" xfId="35295" xr:uid="{00000000-0005-0000-0000-00000F8A0000}"/>
    <cellStyle name="注释 2 4 9 3 5 2" xfId="48723" xr:uid="{00000000-0005-0000-0000-000083BE0000}"/>
    <cellStyle name="注释 2 4 9 3 6" xfId="20754" xr:uid="{00000000-0005-0000-0000-000042510000}"/>
    <cellStyle name="注释 2 4 9 4" xfId="26807" xr:uid="{00000000-0005-0000-0000-0000E7680000}"/>
    <cellStyle name="注释 2 4 9 4 2" xfId="26810" xr:uid="{00000000-0005-0000-0000-0000EA680000}"/>
    <cellStyle name="注释 2 4 9 4 2 2" xfId="48753" xr:uid="{00000000-0005-0000-0000-0000A1BE0000}"/>
    <cellStyle name="注释 2 4 9 4 3" xfId="53507" xr:uid="{00000000-0005-0000-0000-000033D10000}"/>
    <cellStyle name="注释 2 4 9 4 3 2" xfId="48758" xr:uid="{00000000-0005-0000-0000-0000A6BE0000}"/>
    <cellStyle name="注释 2 4 9 4 4" xfId="36257" xr:uid="{00000000-0005-0000-0000-0000D18D0000}"/>
    <cellStyle name="注释 2 4 9 4 4 2" xfId="48762" xr:uid="{00000000-0005-0000-0000-0000AABE0000}"/>
    <cellStyle name="注释 2 4 9 4 5" xfId="53508" xr:uid="{00000000-0005-0000-0000-000034D10000}"/>
    <cellStyle name="注释 2 4 9 4 5 2" xfId="48766" xr:uid="{00000000-0005-0000-0000-0000AEBE0000}"/>
    <cellStyle name="注释 2 4 9 4 6" xfId="20768" xr:uid="{00000000-0005-0000-0000-000050510000}"/>
    <cellStyle name="注释 2 4 9 5" xfId="26813" xr:uid="{00000000-0005-0000-0000-0000ED680000}"/>
    <cellStyle name="注释 2 4 9 5 2" xfId="26818" xr:uid="{00000000-0005-0000-0000-0000F2680000}"/>
    <cellStyle name="注释 2 4 9 5 2 2" xfId="48788" xr:uid="{00000000-0005-0000-0000-0000C4BE0000}"/>
    <cellStyle name="注释 2 4 9 5 3" xfId="53509" xr:uid="{00000000-0005-0000-0000-000035D10000}"/>
    <cellStyle name="注释 2 4 9 5 3 2" xfId="48791" xr:uid="{00000000-0005-0000-0000-0000C7BE0000}"/>
    <cellStyle name="注释 2 4 9 5 4" xfId="53510" xr:uid="{00000000-0005-0000-0000-000036D10000}"/>
    <cellStyle name="注释 2 4 9 5 4 2" xfId="48793" xr:uid="{00000000-0005-0000-0000-0000C9BE0000}"/>
    <cellStyle name="注释 2 4 9 5 5" xfId="53511" xr:uid="{00000000-0005-0000-0000-000037D10000}"/>
    <cellStyle name="注释 2 4 9 5 5 2" xfId="48795" xr:uid="{00000000-0005-0000-0000-0000CBBE0000}"/>
    <cellStyle name="注释 2 4 9 5 6" xfId="20786" xr:uid="{00000000-0005-0000-0000-000062510000}"/>
    <cellStyle name="注释 2 4 9 6" xfId="26821" xr:uid="{00000000-0005-0000-0000-0000F5680000}"/>
    <cellStyle name="注释 2 4 9 6 2" xfId="26825" xr:uid="{00000000-0005-0000-0000-0000F9680000}"/>
    <cellStyle name="注释 2 4 9 6 2 2" xfId="48819" xr:uid="{00000000-0005-0000-0000-0000E3BE0000}"/>
    <cellStyle name="注释 2 4 9 6 3" xfId="22357" xr:uid="{00000000-0005-0000-0000-000085570000}"/>
    <cellStyle name="注释 2 4 9 6 3 2" xfId="48824" xr:uid="{00000000-0005-0000-0000-0000E8BE0000}"/>
    <cellStyle name="注释 2 4 9 6 4" xfId="53512" xr:uid="{00000000-0005-0000-0000-000038D10000}"/>
    <cellStyle name="注释 2 4 9 6 4 2" xfId="48827" xr:uid="{00000000-0005-0000-0000-0000EBBE0000}"/>
    <cellStyle name="注释 2 4 9 6 5" xfId="53513" xr:uid="{00000000-0005-0000-0000-000039D10000}"/>
    <cellStyle name="注释 2 4 9 6 5 2" xfId="48831" xr:uid="{00000000-0005-0000-0000-0000EFBE0000}"/>
    <cellStyle name="注释 2 4 9 6 6" xfId="20793" xr:uid="{00000000-0005-0000-0000-000069510000}"/>
    <cellStyle name="注释 2 4 9 7" xfId="26827" xr:uid="{00000000-0005-0000-0000-0000FB680000}"/>
    <cellStyle name="注释 2 4 9 7 2" xfId="26830" xr:uid="{00000000-0005-0000-0000-0000FE680000}"/>
    <cellStyle name="注释 2 4 9 7 2 2" xfId="48852" xr:uid="{00000000-0005-0000-0000-000004BF0000}"/>
    <cellStyle name="注释 2 4 9 7 3" xfId="7620" xr:uid="{00000000-0005-0000-0000-0000F41D0000}"/>
    <cellStyle name="注释 2 4 9 7 3 2" xfId="48857" xr:uid="{00000000-0005-0000-0000-000009BF0000}"/>
    <cellStyle name="注释 2 4 9 7 4" xfId="53514" xr:uid="{00000000-0005-0000-0000-00003AD10000}"/>
    <cellStyle name="注释 2 4 9 7 4 2" xfId="48860" xr:uid="{00000000-0005-0000-0000-00000CBF0000}"/>
    <cellStyle name="注释 2 4 9 7 5" xfId="53515" xr:uid="{00000000-0005-0000-0000-00003BD10000}"/>
    <cellStyle name="注释 2 4 9 7 5 2" xfId="48865" xr:uid="{00000000-0005-0000-0000-000011BF0000}"/>
    <cellStyle name="注释 2 4 9 7 6" xfId="20803" xr:uid="{00000000-0005-0000-0000-000073510000}"/>
    <cellStyle name="注释 2 4 9 8" xfId="26832" xr:uid="{00000000-0005-0000-0000-000000690000}"/>
    <cellStyle name="注释 2 4 9 8 2" xfId="35339" xr:uid="{00000000-0005-0000-0000-00003B8A0000}"/>
    <cellStyle name="注释 2 4 9 8 2 2" xfId="53516" xr:uid="{00000000-0005-0000-0000-00003CD10000}"/>
    <cellStyle name="注释 2 4 9 8 3" xfId="7639" xr:uid="{00000000-0005-0000-0000-0000071E0000}"/>
    <cellStyle name="注释 2 4 9 8 3 2" xfId="8938" xr:uid="{00000000-0005-0000-0000-00001A230000}"/>
    <cellStyle name="注释 2 4 9 8 4" xfId="35341" xr:uid="{00000000-0005-0000-0000-00003D8A0000}"/>
    <cellStyle name="注释 2 4 9 8 4 2" xfId="53517" xr:uid="{00000000-0005-0000-0000-00003DD10000}"/>
    <cellStyle name="注释 2 4 9 8 5" xfId="35343" xr:uid="{00000000-0005-0000-0000-00003F8A0000}"/>
    <cellStyle name="注释 2 4 9 9" xfId="51121" xr:uid="{00000000-0005-0000-0000-0000E1C70000}"/>
    <cellStyle name="注释 2 4 9 9 2" xfId="53518" xr:uid="{00000000-0005-0000-0000-00003ED10000}"/>
    <cellStyle name="注释 2 5" xfId="53519" xr:uid="{00000000-0005-0000-0000-00003FD10000}"/>
    <cellStyle name="注释 2 5 10" xfId="53521" xr:uid="{00000000-0005-0000-0000-000041D10000}"/>
    <cellStyle name="注释 2 5 10 10" xfId="53522" xr:uid="{00000000-0005-0000-0000-000042D10000}"/>
    <cellStyle name="注释 2 5 10 10 2" xfId="53523" xr:uid="{00000000-0005-0000-0000-000043D10000}"/>
    <cellStyle name="注释 2 5 10 11" xfId="53524" xr:uid="{00000000-0005-0000-0000-000044D10000}"/>
    <cellStyle name="注释 2 5 10 11 2" xfId="53525" xr:uid="{00000000-0005-0000-0000-000045D10000}"/>
    <cellStyle name="注释 2 5 10 12" xfId="53526" xr:uid="{00000000-0005-0000-0000-000046D10000}"/>
    <cellStyle name="注释 2 5 10 12 2" xfId="53527" xr:uid="{00000000-0005-0000-0000-000047D10000}"/>
    <cellStyle name="注释 2 5 10 13" xfId="41452" xr:uid="{00000000-0005-0000-0000-00001CA20000}"/>
    <cellStyle name="注释 2 5 10 14" xfId="41455" xr:uid="{00000000-0005-0000-0000-00001FA20000}"/>
    <cellStyle name="注释 2 5 10 15" xfId="41458" xr:uid="{00000000-0005-0000-0000-000022A20000}"/>
    <cellStyle name="注释 2 5 10 16" xfId="41460" xr:uid="{00000000-0005-0000-0000-000024A20000}"/>
    <cellStyle name="注释 2 5 10 2" xfId="53528" xr:uid="{00000000-0005-0000-0000-000048D10000}"/>
    <cellStyle name="注释 2 5 10 2 2" xfId="53529" xr:uid="{00000000-0005-0000-0000-000049D10000}"/>
    <cellStyle name="注释 2 5 10 2 2 2" xfId="28821" xr:uid="{00000000-0005-0000-0000-0000C5700000}"/>
    <cellStyle name="注释 2 5 10 2 3" xfId="53530" xr:uid="{00000000-0005-0000-0000-00004AD10000}"/>
    <cellStyle name="注释 2 5 10 2 3 2" xfId="28845" xr:uid="{00000000-0005-0000-0000-0000DD700000}"/>
    <cellStyle name="注释 2 5 10 2 4" xfId="53531" xr:uid="{00000000-0005-0000-0000-00004BD10000}"/>
    <cellStyle name="注释 2 5 10 2 4 2" xfId="28859" xr:uid="{00000000-0005-0000-0000-0000EB700000}"/>
    <cellStyle name="注释 2 5 10 2 5" xfId="42602" xr:uid="{00000000-0005-0000-0000-00009AA60000}"/>
    <cellStyle name="注释 2 5 10 2 5 2" xfId="21778" xr:uid="{00000000-0005-0000-0000-000042550000}"/>
    <cellStyle name="注释 2 5 10 2 6" xfId="24410" xr:uid="{00000000-0005-0000-0000-00008A5F0000}"/>
    <cellStyle name="注释 2 5 10 2 7" xfId="53533" xr:uid="{00000000-0005-0000-0000-00004DD10000}"/>
    <cellStyle name="注释 2 5 10 2 8" xfId="53534" xr:uid="{00000000-0005-0000-0000-00004ED10000}"/>
    <cellStyle name="注释 2 5 10 2 9" xfId="53535" xr:uid="{00000000-0005-0000-0000-00004FD10000}"/>
    <cellStyle name="注释 2 5 10 3" xfId="53536" xr:uid="{00000000-0005-0000-0000-000050D10000}"/>
    <cellStyle name="注释 2 5 10 3 2" xfId="53537" xr:uid="{00000000-0005-0000-0000-000051D10000}"/>
    <cellStyle name="注释 2 5 10 3 2 2" xfId="28940" xr:uid="{00000000-0005-0000-0000-00003C710000}"/>
    <cellStyle name="注释 2 5 10 3 3" xfId="53538" xr:uid="{00000000-0005-0000-0000-000052D10000}"/>
    <cellStyle name="注释 2 5 10 3 3 2" xfId="28960" xr:uid="{00000000-0005-0000-0000-000050710000}"/>
    <cellStyle name="注释 2 5 10 3 4" xfId="53539" xr:uid="{00000000-0005-0000-0000-000053D10000}"/>
    <cellStyle name="注释 2 5 10 3 4 2" xfId="28972" xr:uid="{00000000-0005-0000-0000-00005C710000}"/>
    <cellStyle name="注释 2 5 10 3 5" xfId="53540" xr:uid="{00000000-0005-0000-0000-000054D10000}"/>
    <cellStyle name="注释 2 5 10 3 5 2" xfId="22383" xr:uid="{00000000-0005-0000-0000-00009F570000}"/>
    <cellStyle name="注释 2 5 10 3 6" xfId="24418" xr:uid="{00000000-0005-0000-0000-0000925F0000}"/>
    <cellStyle name="注释 2 5 10 4" xfId="19279" xr:uid="{00000000-0005-0000-0000-00007F4B0000}"/>
    <cellStyle name="注释 2 5 10 4 2" xfId="53541" xr:uid="{00000000-0005-0000-0000-000055D10000}"/>
    <cellStyle name="注释 2 5 10 4 2 2" xfId="53542" xr:uid="{00000000-0005-0000-0000-000056D10000}"/>
    <cellStyle name="注释 2 5 10 4 3" xfId="53544" xr:uid="{00000000-0005-0000-0000-000058D10000}"/>
    <cellStyle name="注释 2 5 10 4 3 2" xfId="53545" xr:uid="{00000000-0005-0000-0000-000059D10000}"/>
    <cellStyle name="注释 2 5 10 4 4" xfId="53546" xr:uid="{00000000-0005-0000-0000-00005AD10000}"/>
    <cellStyle name="注释 2 5 10 4 4 2" xfId="53547" xr:uid="{00000000-0005-0000-0000-00005BD10000}"/>
    <cellStyle name="注释 2 5 10 4 5" xfId="53548" xr:uid="{00000000-0005-0000-0000-00005CD10000}"/>
    <cellStyle name="注释 2 5 10 4 5 2" xfId="53549" xr:uid="{00000000-0005-0000-0000-00005DD10000}"/>
    <cellStyle name="注释 2 5 10 4 6" xfId="24423" xr:uid="{00000000-0005-0000-0000-0000975F0000}"/>
    <cellStyle name="注释 2 5 10 5" xfId="36968" xr:uid="{00000000-0005-0000-0000-000098900000}"/>
    <cellStyle name="注释 2 5 10 5 2" xfId="53550" xr:uid="{00000000-0005-0000-0000-00005ED10000}"/>
    <cellStyle name="注释 2 5 10 5 2 2" xfId="51411" xr:uid="{00000000-0005-0000-0000-000003C90000}"/>
    <cellStyle name="注释 2 5 10 5 3" xfId="53551" xr:uid="{00000000-0005-0000-0000-00005FD10000}"/>
    <cellStyle name="注释 2 5 10 5 3 2" xfId="53552" xr:uid="{00000000-0005-0000-0000-000060D10000}"/>
    <cellStyle name="注释 2 5 10 5 4" xfId="53553" xr:uid="{00000000-0005-0000-0000-000061D10000}"/>
    <cellStyle name="注释 2 5 10 5 4 2" xfId="53554" xr:uid="{00000000-0005-0000-0000-000062D10000}"/>
    <cellStyle name="注释 2 5 10 5 5" xfId="53555" xr:uid="{00000000-0005-0000-0000-000063D10000}"/>
    <cellStyle name="注释 2 5 10 5 5 2" xfId="53556" xr:uid="{00000000-0005-0000-0000-000064D10000}"/>
    <cellStyle name="注释 2 5 10 5 6" xfId="53557" xr:uid="{00000000-0005-0000-0000-000065D10000}"/>
    <cellStyle name="注释 2 5 10 6" xfId="53558" xr:uid="{00000000-0005-0000-0000-000066D10000}"/>
    <cellStyle name="注释 2 5 10 6 2" xfId="53559" xr:uid="{00000000-0005-0000-0000-000067D10000}"/>
    <cellStyle name="注释 2 5 10 6 2 2" xfId="51824" xr:uid="{00000000-0005-0000-0000-0000A0CA0000}"/>
    <cellStyle name="注释 2 5 10 6 3" xfId="53560" xr:uid="{00000000-0005-0000-0000-000068D10000}"/>
    <cellStyle name="注释 2 5 10 6 3 2" xfId="53561" xr:uid="{00000000-0005-0000-0000-000069D10000}"/>
    <cellStyle name="注释 2 5 10 6 4" xfId="53562" xr:uid="{00000000-0005-0000-0000-00006AD10000}"/>
    <cellStyle name="注释 2 5 10 6 4 2" xfId="53563" xr:uid="{00000000-0005-0000-0000-00006BD10000}"/>
    <cellStyle name="注释 2 5 10 6 5" xfId="53564" xr:uid="{00000000-0005-0000-0000-00006CD10000}"/>
    <cellStyle name="注释 2 5 10 6 5 2" xfId="53565" xr:uid="{00000000-0005-0000-0000-00006DD10000}"/>
    <cellStyle name="注释 2 5 10 6 6" xfId="53566" xr:uid="{00000000-0005-0000-0000-00006ED10000}"/>
    <cellStyle name="注释 2 5 10 7" xfId="53567" xr:uid="{00000000-0005-0000-0000-00006FD10000}"/>
    <cellStyle name="注释 2 5 10 7 2" xfId="53568" xr:uid="{00000000-0005-0000-0000-000070D10000}"/>
    <cellStyle name="注释 2 5 10 7 2 2" xfId="53569" xr:uid="{00000000-0005-0000-0000-000071D10000}"/>
    <cellStyle name="注释 2 5 10 7 3" xfId="53570" xr:uid="{00000000-0005-0000-0000-000072D10000}"/>
    <cellStyle name="注释 2 5 10 7 3 2" xfId="53571" xr:uid="{00000000-0005-0000-0000-000073D10000}"/>
    <cellStyle name="注释 2 5 10 7 4" xfId="53572" xr:uid="{00000000-0005-0000-0000-000074D10000}"/>
    <cellStyle name="注释 2 5 10 7 4 2" xfId="53573" xr:uid="{00000000-0005-0000-0000-000075D10000}"/>
    <cellStyle name="注释 2 5 10 7 5" xfId="53574" xr:uid="{00000000-0005-0000-0000-000076D10000}"/>
    <cellStyle name="注释 2 5 10 7 5 2" xfId="53575" xr:uid="{00000000-0005-0000-0000-000077D10000}"/>
    <cellStyle name="注释 2 5 10 7 6" xfId="50939" xr:uid="{00000000-0005-0000-0000-00002BC70000}"/>
    <cellStyle name="注释 2 5 10 8" xfId="43914" xr:uid="{00000000-0005-0000-0000-0000BAAB0000}"/>
    <cellStyle name="注释 2 5 10 8 2" xfId="43916" xr:uid="{00000000-0005-0000-0000-0000BCAB0000}"/>
    <cellStyle name="注释 2 5 10 8 2 2" xfId="53576" xr:uid="{00000000-0005-0000-0000-000078D10000}"/>
    <cellStyle name="注释 2 5 10 8 3" xfId="53577" xr:uid="{00000000-0005-0000-0000-000079D10000}"/>
    <cellStyle name="注释 2 5 10 8 3 2" xfId="53578" xr:uid="{00000000-0005-0000-0000-00007AD10000}"/>
    <cellStyle name="注释 2 5 10 8 4" xfId="53579" xr:uid="{00000000-0005-0000-0000-00007BD10000}"/>
    <cellStyle name="注释 2 5 10 8 4 2" xfId="53580" xr:uid="{00000000-0005-0000-0000-00007CD10000}"/>
    <cellStyle name="注释 2 5 10 8 5" xfId="53581" xr:uid="{00000000-0005-0000-0000-00007DD10000}"/>
    <cellStyle name="注释 2 5 10 9" xfId="43918" xr:uid="{00000000-0005-0000-0000-0000BEAB0000}"/>
    <cellStyle name="注释 2 5 10 9 2" xfId="43920" xr:uid="{00000000-0005-0000-0000-0000C0AB0000}"/>
    <cellStyle name="注释 2 5 11" xfId="9728" xr:uid="{00000000-0005-0000-0000-000030260000}"/>
    <cellStyle name="注释 2 5 11 10" xfId="53582" xr:uid="{00000000-0005-0000-0000-00007ED10000}"/>
    <cellStyle name="注释 2 5 11 10 2" xfId="53583" xr:uid="{00000000-0005-0000-0000-00007FD10000}"/>
    <cellStyle name="注释 2 5 11 11" xfId="53584" xr:uid="{00000000-0005-0000-0000-000080D10000}"/>
    <cellStyle name="注释 2 5 11 11 2" xfId="53585" xr:uid="{00000000-0005-0000-0000-000081D10000}"/>
    <cellStyle name="注释 2 5 11 12" xfId="53586" xr:uid="{00000000-0005-0000-0000-000082D10000}"/>
    <cellStyle name="注释 2 5 11 12 2" xfId="53587" xr:uid="{00000000-0005-0000-0000-000083D10000}"/>
    <cellStyle name="注释 2 5 11 13" xfId="36685" xr:uid="{00000000-0005-0000-0000-00007D8F0000}"/>
    <cellStyle name="注释 2 5 11 14" xfId="47465" xr:uid="{00000000-0005-0000-0000-000099B90000}"/>
    <cellStyle name="注释 2 5 11 15" xfId="53588" xr:uid="{00000000-0005-0000-0000-000084D10000}"/>
    <cellStyle name="注释 2 5 11 16" xfId="53589" xr:uid="{00000000-0005-0000-0000-000085D10000}"/>
    <cellStyle name="注释 2 5 11 2" xfId="53590" xr:uid="{00000000-0005-0000-0000-000086D10000}"/>
    <cellStyle name="注释 2 5 11 2 2" xfId="53591" xr:uid="{00000000-0005-0000-0000-000087D10000}"/>
    <cellStyle name="注释 2 5 11 2 2 2" xfId="53592" xr:uid="{00000000-0005-0000-0000-000088D10000}"/>
    <cellStyle name="注释 2 5 11 2 3" xfId="53593" xr:uid="{00000000-0005-0000-0000-000089D10000}"/>
    <cellStyle name="注释 2 5 11 2 3 2" xfId="53594" xr:uid="{00000000-0005-0000-0000-00008AD10000}"/>
    <cellStyle name="注释 2 5 11 2 4" xfId="53595" xr:uid="{00000000-0005-0000-0000-00008BD10000}"/>
    <cellStyle name="注释 2 5 11 2 4 2" xfId="202" xr:uid="{00000000-0005-0000-0000-0000DB000000}"/>
    <cellStyle name="注释 2 5 11 2 5" xfId="53597" xr:uid="{00000000-0005-0000-0000-00008DD10000}"/>
    <cellStyle name="注释 2 5 11 2 5 2" xfId="53598" xr:uid="{00000000-0005-0000-0000-00008ED10000}"/>
    <cellStyle name="注释 2 5 11 2 6" xfId="53599" xr:uid="{00000000-0005-0000-0000-00008FD10000}"/>
    <cellStyle name="注释 2 5 11 3" xfId="53600" xr:uid="{00000000-0005-0000-0000-000090D10000}"/>
    <cellStyle name="注释 2 5 11 3 2" xfId="53601" xr:uid="{00000000-0005-0000-0000-000091D10000}"/>
    <cellStyle name="注释 2 5 11 3 2 2" xfId="53602" xr:uid="{00000000-0005-0000-0000-000092D10000}"/>
    <cellStyle name="注释 2 5 11 3 3" xfId="53603" xr:uid="{00000000-0005-0000-0000-000093D10000}"/>
    <cellStyle name="注释 2 5 11 3 3 2" xfId="53604" xr:uid="{00000000-0005-0000-0000-000094D10000}"/>
    <cellStyle name="注释 2 5 11 3 4" xfId="53605" xr:uid="{00000000-0005-0000-0000-000095D10000}"/>
    <cellStyle name="注释 2 5 11 3 4 2" xfId="53606" xr:uid="{00000000-0005-0000-0000-000096D10000}"/>
    <cellStyle name="注释 2 5 11 3 5" xfId="53607" xr:uid="{00000000-0005-0000-0000-000097D10000}"/>
    <cellStyle name="注释 2 5 11 3 5 2" xfId="53608" xr:uid="{00000000-0005-0000-0000-000098D10000}"/>
    <cellStyle name="注释 2 5 11 3 6" xfId="53609" xr:uid="{00000000-0005-0000-0000-000099D10000}"/>
    <cellStyle name="注释 2 5 11 4" xfId="19284" xr:uid="{00000000-0005-0000-0000-0000844B0000}"/>
    <cellStyle name="注释 2 5 11 4 2" xfId="53610" xr:uid="{00000000-0005-0000-0000-00009AD10000}"/>
    <cellStyle name="注释 2 5 11 4 2 2" xfId="53611" xr:uid="{00000000-0005-0000-0000-00009BD10000}"/>
    <cellStyle name="注释 2 5 11 4 3" xfId="53612" xr:uid="{00000000-0005-0000-0000-00009CD10000}"/>
    <cellStyle name="注释 2 5 11 4 3 2" xfId="53613" xr:uid="{00000000-0005-0000-0000-00009DD10000}"/>
    <cellStyle name="注释 2 5 11 4 4" xfId="53614" xr:uid="{00000000-0005-0000-0000-00009ED10000}"/>
    <cellStyle name="注释 2 5 11 4 4 2" xfId="53615" xr:uid="{00000000-0005-0000-0000-00009FD10000}"/>
    <cellStyle name="注释 2 5 11 4 5" xfId="53616" xr:uid="{00000000-0005-0000-0000-0000A0D10000}"/>
    <cellStyle name="注释 2 5 11 4 5 2" xfId="53617" xr:uid="{00000000-0005-0000-0000-0000A1D10000}"/>
    <cellStyle name="注释 2 5 11 4 6" xfId="53618" xr:uid="{00000000-0005-0000-0000-0000A2D10000}"/>
    <cellStyle name="注释 2 5 11 5" xfId="36970" xr:uid="{00000000-0005-0000-0000-00009A900000}"/>
    <cellStyle name="注释 2 5 11 5 2" xfId="32692" xr:uid="{00000000-0005-0000-0000-0000E47F0000}"/>
    <cellStyle name="注释 2 5 11 5 2 2" xfId="32695" xr:uid="{00000000-0005-0000-0000-0000E77F0000}"/>
    <cellStyle name="注释 2 5 11 5 3" xfId="32699" xr:uid="{00000000-0005-0000-0000-0000EB7F0000}"/>
    <cellStyle name="注释 2 5 11 5 3 2" xfId="41376" xr:uid="{00000000-0005-0000-0000-0000D0A10000}"/>
    <cellStyle name="注释 2 5 11 5 4" xfId="41379" xr:uid="{00000000-0005-0000-0000-0000D3A10000}"/>
    <cellStyle name="注释 2 5 11 5 4 2" xfId="41381" xr:uid="{00000000-0005-0000-0000-0000D5A10000}"/>
    <cellStyle name="注释 2 5 11 5 5" xfId="41384" xr:uid="{00000000-0005-0000-0000-0000D8A10000}"/>
    <cellStyle name="注释 2 5 11 5 5 2" xfId="41386" xr:uid="{00000000-0005-0000-0000-0000DAA10000}"/>
    <cellStyle name="注释 2 5 11 5 6" xfId="7926" xr:uid="{00000000-0005-0000-0000-0000261F0000}"/>
    <cellStyle name="注释 2 5 11 6" xfId="53619" xr:uid="{00000000-0005-0000-0000-0000A3D10000}"/>
    <cellStyle name="注释 2 5 11 6 2" xfId="32718" xr:uid="{00000000-0005-0000-0000-0000FE7F0000}"/>
    <cellStyle name="注释 2 5 11 6 2 2" xfId="41411" xr:uid="{00000000-0005-0000-0000-0000F3A10000}"/>
    <cellStyle name="注释 2 5 11 6 3" xfId="38458" xr:uid="{00000000-0005-0000-0000-00006A960000}"/>
    <cellStyle name="注释 2 5 11 6 3 2" xfId="41418" xr:uid="{00000000-0005-0000-0000-0000FAA10000}"/>
    <cellStyle name="注释 2 5 11 6 4" xfId="41424" xr:uid="{00000000-0005-0000-0000-000000A20000}"/>
    <cellStyle name="注释 2 5 11 6 4 2" xfId="41426" xr:uid="{00000000-0005-0000-0000-000002A20000}"/>
    <cellStyle name="注释 2 5 11 6 5" xfId="41432" xr:uid="{00000000-0005-0000-0000-000008A20000}"/>
    <cellStyle name="注释 2 5 11 6 5 2" xfId="41434" xr:uid="{00000000-0005-0000-0000-00000AA20000}"/>
    <cellStyle name="注释 2 5 11 6 6" xfId="41441" xr:uid="{00000000-0005-0000-0000-000011A20000}"/>
    <cellStyle name="注释 2 5 11 7" xfId="53620" xr:uid="{00000000-0005-0000-0000-0000A4D10000}"/>
    <cellStyle name="注释 2 5 11 7 2" xfId="41463" xr:uid="{00000000-0005-0000-0000-000027A20000}"/>
    <cellStyle name="注释 2 5 11 7 2 2" xfId="41465" xr:uid="{00000000-0005-0000-0000-000029A20000}"/>
    <cellStyle name="注释 2 5 11 7 3" xfId="38464" xr:uid="{00000000-0005-0000-0000-000070960000}"/>
    <cellStyle name="注释 2 5 11 7 3 2" xfId="41467" xr:uid="{00000000-0005-0000-0000-00002BA20000}"/>
    <cellStyle name="注释 2 5 11 7 4" xfId="41469" xr:uid="{00000000-0005-0000-0000-00002DA20000}"/>
    <cellStyle name="注释 2 5 11 7 4 2" xfId="41471" xr:uid="{00000000-0005-0000-0000-00002FA20000}"/>
    <cellStyle name="注释 2 5 11 7 5" xfId="41473" xr:uid="{00000000-0005-0000-0000-000031A20000}"/>
    <cellStyle name="注释 2 5 11 7 5 2" xfId="53621" xr:uid="{00000000-0005-0000-0000-0000A5D10000}"/>
    <cellStyle name="注释 2 5 11 7 6" xfId="41475" xr:uid="{00000000-0005-0000-0000-000033A20000}"/>
    <cellStyle name="注释 2 5 11 8" xfId="43928" xr:uid="{00000000-0005-0000-0000-0000C8AB0000}"/>
    <cellStyle name="注释 2 5 11 8 2" xfId="41480" xr:uid="{00000000-0005-0000-0000-000038A20000}"/>
    <cellStyle name="注释 2 5 11 8 2 2" xfId="41482" xr:uid="{00000000-0005-0000-0000-00003AA20000}"/>
    <cellStyle name="注释 2 5 11 8 3" xfId="41484" xr:uid="{00000000-0005-0000-0000-00003CA20000}"/>
    <cellStyle name="注释 2 5 11 8 3 2" xfId="41486" xr:uid="{00000000-0005-0000-0000-00003EA20000}"/>
    <cellStyle name="注释 2 5 11 8 4" xfId="41488" xr:uid="{00000000-0005-0000-0000-000040A20000}"/>
    <cellStyle name="注释 2 5 11 8 4 2" xfId="41490" xr:uid="{00000000-0005-0000-0000-000042A20000}"/>
    <cellStyle name="注释 2 5 11 8 5" xfId="41492" xr:uid="{00000000-0005-0000-0000-000044A20000}"/>
    <cellStyle name="注释 2 5 11 9" xfId="43930" xr:uid="{00000000-0005-0000-0000-0000CAAB0000}"/>
    <cellStyle name="注释 2 5 11 9 2" xfId="41495" xr:uid="{00000000-0005-0000-0000-000047A20000}"/>
    <cellStyle name="注释 2 5 12" xfId="360" xr:uid="{00000000-0005-0000-0000-00008B010000}"/>
    <cellStyle name="注释 2 5 12 2" xfId="53622" xr:uid="{00000000-0005-0000-0000-0000A6D10000}"/>
    <cellStyle name="注释 2 5 12 2 2" xfId="26947" xr:uid="{00000000-0005-0000-0000-000073690000}"/>
    <cellStyle name="注释 2 5 12 3" xfId="53623" xr:uid="{00000000-0005-0000-0000-0000A7D10000}"/>
    <cellStyle name="注释 2 5 12 3 2" xfId="53624" xr:uid="{00000000-0005-0000-0000-0000A8D10000}"/>
    <cellStyle name="注释 2 5 12 4" xfId="19287" xr:uid="{00000000-0005-0000-0000-0000874B0000}"/>
    <cellStyle name="注释 2 5 12 4 2" xfId="53625" xr:uid="{00000000-0005-0000-0000-0000A9D10000}"/>
    <cellStyle name="注释 2 5 12 5" xfId="36973" xr:uid="{00000000-0005-0000-0000-00009D900000}"/>
    <cellStyle name="注释 2 5 12 5 2" xfId="53626" xr:uid="{00000000-0005-0000-0000-0000AAD10000}"/>
    <cellStyle name="注释 2 5 12 6" xfId="53627" xr:uid="{00000000-0005-0000-0000-0000ABD10000}"/>
    <cellStyle name="注释 2 5 12 7" xfId="53628" xr:uid="{00000000-0005-0000-0000-0000ACD10000}"/>
    <cellStyle name="注释 2 5 12 8" xfId="43936" xr:uid="{00000000-0005-0000-0000-0000D0AB0000}"/>
    <cellStyle name="注释 2 5 12 9" xfId="43939" xr:uid="{00000000-0005-0000-0000-0000D3AB0000}"/>
    <cellStyle name="注释 2 5 13" xfId="53629" xr:uid="{00000000-0005-0000-0000-0000ADD10000}"/>
    <cellStyle name="注释 2 5 13 2" xfId="53630" xr:uid="{00000000-0005-0000-0000-0000AED10000}"/>
    <cellStyle name="注释 2 5 13 2 2" xfId="25393" xr:uid="{00000000-0005-0000-0000-000061630000}"/>
    <cellStyle name="注释 2 5 13 3" xfId="53631" xr:uid="{00000000-0005-0000-0000-0000AFD10000}"/>
    <cellStyle name="注释 2 5 13 3 2" xfId="26180" xr:uid="{00000000-0005-0000-0000-000074660000}"/>
    <cellStyle name="注释 2 5 13 4" xfId="19297" xr:uid="{00000000-0005-0000-0000-0000914B0000}"/>
    <cellStyle name="注释 2 5 13 4 2" xfId="26912" xr:uid="{00000000-0005-0000-0000-000050690000}"/>
    <cellStyle name="注释 2 5 13 5" xfId="53632" xr:uid="{00000000-0005-0000-0000-0000B0D10000}"/>
    <cellStyle name="注释 2 5 13 5 2" xfId="53633" xr:uid="{00000000-0005-0000-0000-0000B1D10000}"/>
    <cellStyle name="注释 2 5 13 6" xfId="53634" xr:uid="{00000000-0005-0000-0000-0000B2D10000}"/>
    <cellStyle name="注释 2 5 14" xfId="34539" xr:uid="{00000000-0005-0000-0000-00001B870000}"/>
    <cellStyle name="注释 2 5 14 2" xfId="34541" xr:uid="{00000000-0005-0000-0000-00001D870000}"/>
    <cellStyle name="注释 2 5 14 2 2" xfId="34544" xr:uid="{00000000-0005-0000-0000-000020870000}"/>
    <cellStyle name="注释 2 5 14 3" xfId="837" xr:uid="{00000000-0005-0000-0000-000075030000}"/>
    <cellStyle name="注释 2 5 14 3 2" xfId="34547" xr:uid="{00000000-0005-0000-0000-000023870000}"/>
    <cellStyle name="注释 2 5 14 4" xfId="34549" xr:uid="{00000000-0005-0000-0000-000025870000}"/>
    <cellStyle name="注释 2 5 14 4 2" xfId="34553" xr:uid="{00000000-0005-0000-0000-000029870000}"/>
    <cellStyle name="注释 2 5 14 5" xfId="34555" xr:uid="{00000000-0005-0000-0000-00002B870000}"/>
    <cellStyle name="注释 2 5 14 5 2" xfId="34559" xr:uid="{00000000-0005-0000-0000-00002F870000}"/>
    <cellStyle name="注释 2 5 14 6" xfId="34561" xr:uid="{00000000-0005-0000-0000-000031870000}"/>
    <cellStyle name="注释 2 5 15" xfId="30348" xr:uid="{00000000-0005-0000-0000-0000BC760000}"/>
    <cellStyle name="注释 2 5 15 2" xfId="34568" xr:uid="{00000000-0005-0000-0000-000038870000}"/>
    <cellStyle name="注释 2 5 15 2 2" xfId="34572" xr:uid="{00000000-0005-0000-0000-00003C870000}"/>
    <cellStyle name="注释 2 5 15 3" xfId="34574" xr:uid="{00000000-0005-0000-0000-00003E870000}"/>
    <cellStyle name="注释 2 5 15 3 2" xfId="34577" xr:uid="{00000000-0005-0000-0000-000041870000}"/>
    <cellStyle name="注释 2 5 15 4" xfId="34580" xr:uid="{00000000-0005-0000-0000-000044870000}"/>
    <cellStyle name="注释 2 5 15 4 2" xfId="34583" xr:uid="{00000000-0005-0000-0000-000047870000}"/>
    <cellStyle name="注释 2 5 15 5" xfId="34585" xr:uid="{00000000-0005-0000-0000-000049870000}"/>
    <cellStyle name="注释 2 5 15 5 2" xfId="34588" xr:uid="{00000000-0005-0000-0000-00004C870000}"/>
    <cellStyle name="注释 2 5 15 6" xfId="34590" xr:uid="{00000000-0005-0000-0000-00004E870000}"/>
    <cellStyle name="注释 2 5 16" xfId="22075" xr:uid="{00000000-0005-0000-0000-00006B560000}"/>
    <cellStyle name="注释 2 5 16 2" xfId="34593" xr:uid="{00000000-0005-0000-0000-000051870000}"/>
    <cellStyle name="注释 2 5 16 2 2" xfId="34597" xr:uid="{00000000-0005-0000-0000-000055870000}"/>
    <cellStyle name="注释 2 5 16 3" xfId="34599" xr:uid="{00000000-0005-0000-0000-000057870000}"/>
    <cellStyle name="注释 2 5 16 3 2" xfId="34602" xr:uid="{00000000-0005-0000-0000-00005A870000}"/>
    <cellStyle name="注释 2 5 16 4" xfId="34605" xr:uid="{00000000-0005-0000-0000-00005D870000}"/>
    <cellStyle name="注释 2 5 16 4 2" xfId="34608" xr:uid="{00000000-0005-0000-0000-000060870000}"/>
    <cellStyle name="注释 2 5 16 5" xfId="34610" xr:uid="{00000000-0005-0000-0000-000062870000}"/>
    <cellStyle name="注释 2 5 16 5 2" xfId="34613" xr:uid="{00000000-0005-0000-0000-000065870000}"/>
    <cellStyle name="注释 2 5 16 6" xfId="34615" xr:uid="{00000000-0005-0000-0000-000067870000}"/>
    <cellStyle name="注释 2 5 17" xfId="34618" xr:uid="{00000000-0005-0000-0000-00006A870000}"/>
    <cellStyle name="注释 2 5 17 2" xfId="34622" xr:uid="{00000000-0005-0000-0000-00006E870000}"/>
    <cellStyle name="注释 2 5 17 2 2" xfId="34626" xr:uid="{00000000-0005-0000-0000-000072870000}"/>
    <cellStyle name="注释 2 5 17 3" xfId="34628" xr:uid="{00000000-0005-0000-0000-000074870000}"/>
    <cellStyle name="注释 2 5 17 3 2" xfId="34631" xr:uid="{00000000-0005-0000-0000-000077870000}"/>
    <cellStyle name="注释 2 5 17 4" xfId="27930" xr:uid="{00000000-0005-0000-0000-00004A6D0000}"/>
    <cellStyle name="注释 2 5 17 4 2" xfId="34634" xr:uid="{00000000-0005-0000-0000-00007A870000}"/>
    <cellStyle name="注释 2 5 17 5" xfId="34636" xr:uid="{00000000-0005-0000-0000-00007C870000}"/>
    <cellStyle name="注释 2 5 17 5 2" xfId="53635" xr:uid="{00000000-0005-0000-0000-0000B3D10000}"/>
    <cellStyle name="注释 2 5 17 6" xfId="53636" xr:uid="{00000000-0005-0000-0000-0000B4D10000}"/>
    <cellStyle name="注释 2 5 18" xfId="34639" xr:uid="{00000000-0005-0000-0000-00007F870000}"/>
    <cellStyle name="注释 2 5 18 2" xfId="34644" xr:uid="{00000000-0005-0000-0000-000084870000}"/>
    <cellStyle name="注释 2 5 18 2 2" xfId="35357" xr:uid="{00000000-0005-0000-0000-00004D8A0000}"/>
    <cellStyle name="注释 2 5 18 3" xfId="53637" xr:uid="{00000000-0005-0000-0000-0000B5D10000}"/>
    <cellStyle name="注释 2 5 18 3 2" xfId="35374" xr:uid="{00000000-0005-0000-0000-00005E8A0000}"/>
    <cellStyle name="注释 2 5 18 4" xfId="27936" xr:uid="{00000000-0005-0000-0000-0000506D0000}"/>
    <cellStyle name="注释 2 5 18 4 2" xfId="35386" xr:uid="{00000000-0005-0000-0000-00006A8A0000}"/>
    <cellStyle name="注释 2 5 18 5" xfId="53638" xr:uid="{00000000-0005-0000-0000-0000B6D10000}"/>
    <cellStyle name="注释 2 5 18 5 2" xfId="53639" xr:uid="{00000000-0005-0000-0000-0000B7D10000}"/>
    <cellStyle name="注释 2 5 18 6" xfId="53640" xr:uid="{00000000-0005-0000-0000-0000B8D10000}"/>
    <cellStyle name="注释 2 5 19" xfId="34648" xr:uid="{00000000-0005-0000-0000-000088870000}"/>
    <cellStyle name="注释 2 5 19 2" xfId="34651" xr:uid="{00000000-0005-0000-0000-00008B870000}"/>
    <cellStyle name="注释 2 5 19 2 2" xfId="35426" xr:uid="{00000000-0005-0000-0000-0000928A0000}"/>
    <cellStyle name="注释 2 5 19 3" xfId="53641" xr:uid="{00000000-0005-0000-0000-0000B9D10000}"/>
    <cellStyle name="注释 2 5 19 3 2" xfId="35444" xr:uid="{00000000-0005-0000-0000-0000A48A0000}"/>
    <cellStyle name="注释 2 5 19 4" xfId="27939" xr:uid="{00000000-0005-0000-0000-0000536D0000}"/>
    <cellStyle name="注释 2 5 19 4 2" xfId="35459" xr:uid="{00000000-0005-0000-0000-0000B38A0000}"/>
    <cellStyle name="注释 2 5 19 5" xfId="53642" xr:uid="{00000000-0005-0000-0000-0000BAD10000}"/>
    <cellStyle name="注释 2 5 2" xfId="53643" xr:uid="{00000000-0005-0000-0000-0000BBD10000}"/>
    <cellStyle name="注释 2 5 2 10" xfId="53645" xr:uid="{00000000-0005-0000-0000-0000BDD10000}"/>
    <cellStyle name="注释 2 5 2 10 2" xfId="49304" xr:uid="{00000000-0005-0000-0000-0000C8C00000}"/>
    <cellStyle name="注释 2 5 2 11" xfId="37504" xr:uid="{00000000-0005-0000-0000-0000B0920000}"/>
    <cellStyle name="注释 2 5 2 11 2" xfId="53646" xr:uid="{00000000-0005-0000-0000-0000BED10000}"/>
    <cellStyle name="注释 2 5 2 12" xfId="53647" xr:uid="{00000000-0005-0000-0000-0000BFD10000}"/>
    <cellStyle name="注释 2 5 2 12 2" xfId="53648" xr:uid="{00000000-0005-0000-0000-0000C0D10000}"/>
    <cellStyle name="注释 2 5 2 13" xfId="53649" xr:uid="{00000000-0005-0000-0000-0000C1D10000}"/>
    <cellStyle name="注释 2 5 2 14" xfId="48438" xr:uid="{00000000-0005-0000-0000-000066BD0000}"/>
    <cellStyle name="注释 2 5 2 15" xfId="53650" xr:uid="{00000000-0005-0000-0000-0000C2D10000}"/>
    <cellStyle name="注释 2 5 2 16" xfId="27209" xr:uid="{00000000-0005-0000-0000-0000796A0000}"/>
    <cellStyle name="注释 2 5 2 2" xfId="53651" xr:uid="{00000000-0005-0000-0000-0000C3D10000}"/>
    <cellStyle name="注释 2 5 2 2 2" xfId="186" xr:uid="{00000000-0005-0000-0000-0000C9000000}"/>
    <cellStyle name="注释 2 5 2 2 2 2" xfId="3988" xr:uid="{00000000-0005-0000-0000-0000C40F0000}"/>
    <cellStyle name="注释 2 5 2 2 3" xfId="3993" xr:uid="{00000000-0005-0000-0000-0000C90F0000}"/>
    <cellStyle name="注释 2 5 2 2 3 2" xfId="5269" xr:uid="{00000000-0005-0000-0000-0000C5140000}"/>
    <cellStyle name="注释 2 5 2 2 4" xfId="2815" xr:uid="{00000000-0005-0000-0000-00002F0B0000}"/>
    <cellStyle name="注释 2 5 2 2 4 2" xfId="5310" xr:uid="{00000000-0005-0000-0000-0000EE140000}"/>
    <cellStyle name="注释 2 5 2 2 5" xfId="4005" xr:uid="{00000000-0005-0000-0000-0000D50F0000}"/>
    <cellStyle name="注释 2 5 2 2 5 2" xfId="5318" xr:uid="{00000000-0005-0000-0000-0000F6140000}"/>
    <cellStyle name="注释 2 5 2 2 6" xfId="4011" xr:uid="{00000000-0005-0000-0000-0000DB0F0000}"/>
    <cellStyle name="注释 2 5 2 2 7" xfId="52785" xr:uid="{00000000-0005-0000-0000-000061CE0000}"/>
    <cellStyle name="注释 2 5 2 2 8" xfId="14872" xr:uid="{00000000-0005-0000-0000-0000483A0000}"/>
    <cellStyle name="注释 2 5 2 2 9" xfId="43756" xr:uid="{00000000-0005-0000-0000-00001CAB0000}"/>
    <cellStyle name="注释 2 5 2 3" xfId="53652" xr:uid="{00000000-0005-0000-0000-0000C4D10000}"/>
    <cellStyle name="注释 2 5 2 3 2" xfId="27728" xr:uid="{00000000-0005-0000-0000-0000806C0000}"/>
    <cellStyle name="注释 2 5 2 3 2 2" xfId="27730" xr:uid="{00000000-0005-0000-0000-0000826C0000}"/>
    <cellStyle name="注释 2 5 2 3 3" xfId="13920" xr:uid="{00000000-0005-0000-0000-000090360000}"/>
    <cellStyle name="注释 2 5 2 3 3 2" xfId="1662" xr:uid="{00000000-0005-0000-0000-0000AE060000}"/>
    <cellStyle name="注释 2 5 2 3 4" xfId="27733" xr:uid="{00000000-0005-0000-0000-0000856C0000}"/>
    <cellStyle name="注释 2 5 2 3 4 2" xfId="1962" xr:uid="{00000000-0005-0000-0000-0000DA070000}"/>
    <cellStyle name="注释 2 5 2 3 5" xfId="27736" xr:uid="{00000000-0005-0000-0000-0000886C0000}"/>
    <cellStyle name="注释 2 5 2 3 5 2" xfId="5412" xr:uid="{00000000-0005-0000-0000-000054150000}"/>
    <cellStyle name="注释 2 5 2 3 6" xfId="27738" xr:uid="{00000000-0005-0000-0000-00008A6C0000}"/>
    <cellStyle name="注释 2 5 2 4" xfId="53653" xr:uid="{00000000-0005-0000-0000-0000C5D10000}"/>
    <cellStyle name="注释 2 5 2 4 2" xfId="27757" xr:uid="{00000000-0005-0000-0000-00009D6C0000}"/>
    <cellStyle name="注释 2 5 2 4 2 2" xfId="25741" xr:uid="{00000000-0005-0000-0000-0000BD640000}"/>
    <cellStyle name="注释 2 5 2 4 3" xfId="4753" xr:uid="{00000000-0005-0000-0000-0000C1120000}"/>
    <cellStyle name="注释 2 5 2 4 3 2" xfId="5242" xr:uid="{00000000-0005-0000-0000-0000AA140000}"/>
    <cellStyle name="注释 2 5 2 4 4" xfId="51602" xr:uid="{00000000-0005-0000-0000-0000C2C90000}"/>
    <cellStyle name="注释 2 5 2 4 4 2" xfId="5691" xr:uid="{00000000-0005-0000-0000-00006B160000}"/>
    <cellStyle name="注释 2 5 2 4 5" xfId="53655" xr:uid="{00000000-0005-0000-0000-0000C7D10000}"/>
    <cellStyle name="注释 2 5 2 4 5 2" xfId="5780" xr:uid="{00000000-0005-0000-0000-0000C4160000}"/>
    <cellStyle name="注释 2 5 2 4 6" xfId="53656" xr:uid="{00000000-0005-0000-0000-0000C8D10000}"/>
    <cellStyle name="注释 2 5 2 5" xfId="23419" xr:uid="{00000000-0005-0000-0000-0000AB5B0000}"/>
    <cellStyle name="注释 2 5 2 5 2" xfId="27766" xr:uid="{00000000-0005-0000-0000-0000A66C0000}"/>
    <cellStyle name="注释 2 5 2 5 2 2" xfId="27768" xr:uid="{00000000-0005-0000-0000-0000A86C0000}"/>
    <cellStyle name="注释 2 5 2 5 3" xfId="4791" xr:uid="{00000000-0005-0000-0000-0000E7120000}"/>
    <cellStyle name="注释 2 5 2 5 3 2" xfId="53657" xr:uid="{00000000-0005-0000-0000-0000C9D10000}"/>
    <cellStyle name="注释 2 5 2 5 4" xfId="51605" xr:uid="{00000000-0005-0000-0000-0000C5C90000}"/>
    <cellStyle name="注释 2 5 2 5 4 2" xfId="53658" xr:uid="{00000000-0005-0000-0000-0000CAD10000}"/>
    <cellStyle name="注释 2 5 2 5 5" xfId="53659" xr:uid="{00000000-0005-0000-0000-0000CBD10000}"/>
    <cellStyle name="注释 2 5 2 5 5 2" xfId="53660" xr:uid="{00000000-0005-0000-0000-0000CCD10000}"/>
    <cellStyle name="注释 2 5 2 5 6" xfId="53661" xr:uid="{00000000-0005-0000-0000-0000CDD10000}"/>
    <cellStyle name="注释 2 5 2 6" xfId="53662" xr:uid="{00000000-0005-0000-0000-0000CED10000}"/>
    <cellStyle name="注释 2 5 2 6 2" xfId="4819" xr:uid="{00000000-0005-0000-0000-000003130000}"/>
    <cellStyle name="注释 2 5 2 6 2 2" xfId="4827" xr:uid="{00000000-0005-0000-0000-00000B130000}"/>
    <cellStyle name="注释 2 5 2 6 3" xfId="4833" xr:uid="{00000000-0005-0000-0000-000011130000}"/>
    <cellStyle name="注释 2 5 2 6 3 2" xfId="53663" xr:uid="{00000000-0005-0000-0000-0000CFD10000}"/>
    <cellStyle name="注释 2 5 2 6 4" xfId="53664" xr:uid="{00000000-0005-0000-0000-0000D0D10000}"/>
    <cellStyle name="注释 2 5 2 6 4 2" xfId="53665" xr:uid="{00000000-0005-0000-0000-0000D1D10000}"/>
    <cellStyle name="注释 2 5 2 6 5" xfId="53666" xr:uid="{00000000-0005-0000-0000-0000D2D10000}"/>
    <cellStyle name="注释 2 5 2 6 5 2" xfId="53532" xr:uid="{00000000-0005-0000-0000-00004CD10000}"/>
    <cellStyle name="注释 2 5 2 6 6" xfId="14318" xr:uid="{00000000-0005-0000-0000-00001E380000}"/>
    <cellStyle name="注释 2 5 2 7" xfId="53667" xr:uid="{00000000-0005-0000-0000-0000D3D10000}"/>
    <cellStyle name="注释 2 5 2 7 2" xfId="4401" xr:uid="{00000000-0005-0000-0000-000061110000}"/>
    <cellStyle name="注释 2 5 2 7 2 2" xfId="4406" xr:uid="{00000000-0005-0000-0000-000066110000}"/>
    <cellStyle name="注释 2 5 2 7 3" xfId="4412" xr:uid="{00000000-0005-0000-0000-00006C110000}"/>
    <cellStyle name="注释 2 5 2 7 3 2" xfId="53668" xr:uid="{00000000-0005-0000-0000-0000D4D10000}"/>
    <cellStyle name="注释 2 5 2 7 4" xfId="4415" xr:uid="{00000000-0005-0000-0000-00006F110000}"/>
    <cellStyle name="注释 2 5 2 7 4 2" xfId="53669" xr:uid="{00000000-0005-0000-0000-0000D5D10000}"/>
    <cellStyle name="注释 2 5 2 7 5" xfId="179" xr:uid="{00000000-0005-0000-0000-0000C1000000}"/>
    <cellStyle name="注释 2 5 2 7 5 2" xfId="53596" xr:uid="{00000000-0005-0000-0000-00008CD10000}"/>
    <cellStyle name="注释 2 5 2 7 6" xfId="4417" xr:uid="{00000000-0005-0000-0000-000071110000}"/>
    <cellStyle name="注释 2 5 2 8" xfId="53670" xr:uid="{00000000-0005-0000-0000-0000D6D10000}"/>
    <cellStyle name="注释 2 5 2 8 2" xfId="27800" xr:uid="{00000000-0005-0000-0000-0000C86C0000}"/>
    <cellStyle name="注释 2 5 2 8 2 2" xfId="27803" xr:uid="{00000000-0005-0000-0000-0000CB6C0000}"/>
    <cellStyle name="注释 2 5 2 8 3" xfId="27806" xr:uid="{00000000-0005-0000-0000-0000CE6C0000}"/>
    <cellStyle name="注释 2 5 2 8 3 2" xfId="44841" xr:uid="{00000000-0005-0000-0000-000059AF0000}"/>
    <cellStyle name="注释 2 5 2 8 4" xfId="44851" xr:uid="{00000000-0005-0000-0000-000063AF0000}"/>
    <cellStyle name="注释 2 5 2 8 4 2" xfId="44853" xr:uid="{00000000-0005-0000-0000-000065AF0000}"/>
    <cellStyle name="注释 2 5 2 8 5" xfId="44859" xr:uid="{00000000-0005-0000-0000-00006BAF0000}"/>
    <cellStyle name="注释 2 5 2 9" xfId="53671" xr:uid="{00000000-0005-0000-0000-0000D7D10000}"/>
    <cellStyle name="注释 2 5 2 9 2" xfId="27810" xr:uid="{00000000-0005-0000-0000-0000D26C0000}"/>
    <cellStyle name="注释 2 5 20" xfId="30347" xr:uid="{00000000-0005-0000-0000-0000BB760000}"/>
    <cellStyle name="注释 2 5 20 2" xfId="34569" xr:uid="{00000000-0005-0000-0000-000039870000}"/>
    <cellStyle name="注释 2 5 21" xfId="22074" xr:uid="{00000000-0005-0000-0000-00006A560000}"/>
    <cellStyle name="注释 2 5 21 2" xfId="34594" xr:uid="{00000000-0005-0000-0000-000052870000}"/>
    <cellStyle name="注释 2 5 22" xfId="34619" xr:uid="{00000000-0005-0000-0000-00006B870000}"/>
    <cellStyle name="注释 2 5 22 2" xfId="34623" xr:uid="{00000000-0005-0000-0000-00006F870000}"/>
    <cellStyle name="注释 2 5 23" xfId="34640" xr:uid="{00000000-0005-0000-0000-000080870000}"/>
    <cellStyle name="注释 2 5 23 2" xfId="34645" xr:uid="{00000000-0005-0000-0000-000085870000}"/>
    <cellStyle name="注释 2 5 24" xfId="34649" xr:uid="{00000000-0005-0000-0000-000089870000}"/>
    <cellStyle name="注释 2 5 25" xfId="34654" xr:uid="{00000000-0005-0000-0000-00008E870000}"/>
    <cellStyle name="注释 2 5 26" xfId="34658" xr:uid="{00000000-0005-0000-0000-000092870000}"/>
    <cellStyle name="注释 2 5 27" xfId="35962" xr:uid="{00000000-0005-0000-0000-0000AA8C0000}"/>
    <cellStyle name="注释 2 5 3" xfId="53673" xr:uid="{00000000-0005-0000-0000-0000D9D10000}"/>
    <cellStyle name="注释 2 5 3 10" xfId="43878" xr:uid="{00000000-0005-0000-0000-000096AB0000}"/>
    <cellStyle name="注释 2 5 3 10 2" xfId="43880" xr:uid="{00000000-0005-0000-0000-000098AB0000}"/>
    <cellStyle name="注释 2 5 3 11" xfId="43882" xr:uid="{00000000-0005-0000-0000-00009AAB0000}"/>
    <cellStyle name="注释 2 5 3 11 2" xfId="43884" xr:uid="{00000000-0005-0000-0000-00009CAB0000}"/>
    <cellStyle name="注释 2 5 3 12" xfId="43886" xr:uid="{00000000-0005-0000-0000-00009EAB0000}"/>
    <cellStyle name="注释 2 5 3 12 2" xfId="53674" xr:uid="{00000000-0005-0000-0000-0000DAD10000}"/>
    <cellStyle name="注释 2 5 3 13" xfId="43888" xr:uid="{00000000-0005-0000-0000-0000A0AB0000}"/>
    <cellStyle name="注释 2 5 3 14" xfId="43890" xr:uid="{00000000-0005-0000-0000-0000A2AB0000}"/>
    <cellStyle name="注释 2 5 3 15" xfId="43892" xr:uid="{00000000-0005-0000-0000-0000A4AB0000}"/>
    <cellStyle name="注释 2 5 3 16" xfId="53675" xr:uid="{00000000-0005-0000-0000-0000DBD10000}"/>
    <cellStyle name="注释 2 5 3 2" xfId="53676" xr:uid="{00000000-0005-0000-0000-0000DCD10000}"/>
    <cellStyle name="注释 2 5 3 2 2" xfId="5448" xr:uid="{00000000-0005-0000-0000-000078150000}"/>
    <cellStyle name="注释 2 5 3 2 2 2" xfId="5455" xr:uid="{00000000-0005-0000-0000-00007F150000}"/>
    <cellStyle name="注释 2 5 3 2 3" xfId="5462" xr:uid="{00000000-0005-0000-0000-000086150000}"/>
    <cellStyle name="注释 2 5 3 2 3 2" xfId="6072" xr:uid="{00000000-0005-0000-0000-0000E8170000}"/>
    <cellStyle name="注释 2 5 3 2 4" xfId="3232" xr:uid="{00000000-0005-0000-0000-0000D00C0000}"/>
    <cellStyle name="注释 2 5 3 2 4 2" xfId="6079" xr:uid="{00000000-0005-0000-0000-0000EF170000}"/>
    <cellStyle name="注释 2 5 3 2 5" xfId="5478" xr:uid="{00000000-0005-0000-0000-000096150000}"/>
    <cellStyle name="注释 2 5 3 2 5 2" xfId="8770" xr:uid="{00000000-0005-0000-0000-000072220000}"/>
    <cellStyle name="注释 2 5 3 2 6" xfId="5486" xr:uid="{00000000-0005-0000-0000-00009E150000}"/>
    <cellStyle name="注释 2 5 3 2 7" xfId="52793" xr:uid="{00000000-0005-0000-0000-000069CE0000}"/>
    <cellStyle name="注释 2 5 3 2 8" xfId="14896" xr:uid="{00000000-0005-0000-0000-0000603A0000}"/>
    <cellStyle name="注释 2 5 3 2 9" xfId="53677" xr:uid="{00000000-0005-0000-0000-0000DDD10000}"/>
    <cellStyle name="注释 2 5 3 3" xfId="53678" xr:uid="{00000000-0005-0000-0000-0000DED10000}"/>
    <cellStyle name="注释 2 5 3 3 2" xfId="53679" xr:uid="{00000000-0005-0000-0000-0000DFD10000}"/>
    <cellStyle name="注释 2 5 3 3 2 2" xfId="37328" xr:uid="{00000000-0005-0000-0000-000000920000}"/>
    <cellStyle name="注释 2 5 3 3 3" xfId="53680" xr:uid="{00000000-0005-0000-0000-0000E0D10000}"/>
    <cellStyle name="注释 2 5 3 3 3 2" xfId="6121" xr:uid="{00000000-0005-0000-0000-000019180000}"/>
    <cellStyle name="注释 2 5 3 3 4" xfId="51611" xr:uid="{00000000-0005-0000-0000-0000CBC90000}"/>
    <cellStyle name="注释 2 5 3 3 4 2" xfId="8950" xr:uid="{00000000-0005-0000-0000-000026230000}"/>
    <cellStyle name="注释 2 5 3 3 5" xfId="53681" xr:uid="{00000000-0005-0000-0000-0000E1D10000}"/>
    <cellStyle name="注释 2 5 3 3 5 2" xfId="8989" xr:uid="{00000000-0005-0000-0000-00004D230000}"/>
    <cellStyle name="注释 2 5 3 3 6" xfId="47057" xr:uid="{00000000-0005-0000-0000-000001B80000}"/>
    <cellStyle name="注释 2 5 3 4" xfId="53682" xr:uid="{00000000-0005-0000-0000-0000E2D10000}"/>
    <cellStyle name="注释 2 5 3 4 2" xfId="53684" xr:uid="{00000000-0005-0000-0000-0000E4D10000}"/>
    <cellStyle name="注释 2 5 3 4 2 2" xfId="53685" xr:uid="{00000000-0005-0000-0000-0000E5D10000}"/>
    <cellStyle name="注释 2 5 3 4 3" xfId="29787" xr:uid="{00000000-0005-0000-0000-00008B740000}"/>
    <cellStyle name="注释 2 5 3 4 3 2" xfId="9204" xr:uid="{00000000-0005-0000-0000-000024240000}"/>
    <cellStyle name="注释 2 5 3 4 4" xfId="29791" xr:uid="{00000000-0005-0000-0000-00008F740000}"/>
    <cellStyle name="注释 2 5 3 4 4 2" xfId="84" xr:uid="{00000000-0005-0000-0000-00005B000000}"/>
    <cellStyle name="注释 2 5 3 4 5" xfId="29795" xr:uid="{00000000-0005-0000-0000-000093740000}"/>
    <cellStyle name="注释 2 5 3 4 5 2" xfId="2305" xr:uid="{00000000-0005-0000-0000-000031090000}"/>
    <cellStyle name="注释 2 5 3 4 6" xfId="29797" xr:uid="{00000000-0005-0000-0000-000095740000}"/>
    <cellStyle name="注释 2 5 3 5" xfId="53686" xr:uid="{00000000-0005-0000-0000-0000E6D10000}"/>
    <cellStyle name="注释 2 5 3 5 2" xfId="53687" xr:uid="{00000000-0005-0000-0000-0000E7D10000}"/>
    <cellStyle name="注释 2 5 3 5 2 2" xfId="45566" xr:uid="{00000000-0005-0000-0000-00002EB20000}"/>
    <cellStyle name="注释 2 5 3 5 3" xfId="53688" xr:uid="{00000000-0005-0000-0000-0000E8D10000}"/>
    <cellStyle name="注释 2 5 3 5 3 2" xfId="45577" xr:uid="{00000000-0005-0000-0000-000039B20000}"/>
    <cellStyle name="注释 2 5 3 5 4" xfId="51614" xr:uid="{00000000-0005-0000-0000-0000CEC90000}"/>
    <cellStyle name="注释 2 5 3 5 4 2" xfId="45585" xr:uid="{00000000-0005-0000-0000-000041B20000}"/>
    <cellStyle name="注释 2 5 3 5 5" xfId="53689" xr:uid="{00000000-0005-0000-0000-0000E9D10000}"/>
    <cellStyle name="注释 2 5 3 5 5 2" xfId="39655" xr:uid="{00000000-0005-0000-0000-0000179B0000}"/>
    <cellStyle name="注释 2 5 3 5 6" xfId="53690" xr:uid="{00000000-0005-0000-0000-0000EAD10000}"/>
    <cellStyle name="注释 2 5 3 6" xfId="13528" xr:uid="{00000000-0005-0000-0000-000008350000}"/>
    <cellStyle name="注释 2 5 3 6 2" xfId="53691" xr:uid="{00000000-0005-0000-0000-0000EBD10000}"/>
    <cellStyle name="注释 2 5 3 6 2 2" xfId="53692" xr:uid="{00000000-0005-0000-0000-0000ECD10000}"/>
    <cellStyle name="注释 2 5 3 6 3" xfId="5083" xr:uid="{00000000-0005-0000-0000-00000B140000}"/>
    <cellStyle name="注释 2 5 3 6 3 2" xfId="53693" xr:uid="{00000000-0005-0000-0000-0000EDD10000}"/>
    <cellStyle name="注释 2 5 3 6 4" xfId="53694" xr:uid="{00000000-0005-0000-0000-0000EED10000}"/>
    <cellStyle name="注释 2 5 3 6 4 2" xfId="53695" xr:uid="{00000000-0005-0000-0000-0000EFD10000}"/>
    <cellStyle name="注释 2 5 3 6 5" xfId="53696" xr:uid="{00000000-0005-0000-0000-0000F0D10000}"/>
    <cellStyle name="注释 2 5 3 6 5 2" xfId="41592" xr:uid="{00000000-0005-0000-0000-0000A8A20000}"/>
    <cellStyle name="注释 2 5 3 6 6" xfId="53697" xr:uid="{00000000-0005-0000-0000-0000F1D10000}"/>
    <cellStyle name="注释 2 5 3 7" xfId="53698" xr:uid="{00000000-0005-0000-0000-0000F2D10000}"/>
    <cellStyle name="注释 2 5 3 7 2" xfId="5131" xr:uid="{00000000-0005-0000-0000-00003B140000}"/>
    <cellStyle name="注释 2 5 3 7 2 2" xfId="5147" xr:uid="{00000000-0005-0000-0000-00004B140000}"/>
    <cellStyle name="注释 2 5 3 7 3" xfId="1077" xr:uid="{00000000-0005-0000-0000-000065040000}"/>
    <cellStyle name="注释 2 5 3 7 3 2" xfId="53699" xr:uid="{00000000-0005-0000-0000-0000F3D10000}"/>
    <cellStyle name="注释 2 5 3 7 4" xfId="5611" xr:uid="{00000000-0005-0000-0000-00001B160000}"/>
    <cellStyle name="注释 2 5 3 7 4 2" xfId="53700" xr:uid="{00000000-0005-0000-0000-0000F4D10000}"/>
    <cellStyle name="注释 2 5 3 7 5" xfId="2166" xr:uid="{00000000-0005-0000-0000-0000A6080000}"/>
    <cellStyle name="注释 2 5 3 7 5 2" xfId="53701" xr:uid="{00000000-0005-0000-0000-0000F5D10000}"/>
    <cellStyle name="注释 2 5 3 7 6" xfId="5620" xr:uid="{00000000-0005-0000-0000-000024160000}"/>
    <cellStyle name="注释 2 5 3 8" xfId="53702" xr:uid="{00000000-0005-0000-0000-0000F6D10000}"/>
    <cellStyle name="注释 2 5 3 8 2" xfId="29473" xr:uid="{00000000-0005-0000-0000-000051730000}"/>
    <cellStyle name="注释 2 5 3 8 2 2" xfId="29477" xr:uid="{00000000-0005-0000-0000-000055730000}"/>
    <cellStyle name="注释 2 5 3 8 3" xfId="22395" xr:uid="{00000000-0005-0000-0000-0000AB570000}"/>
    <cellStyle name="注释 2 5 3 8 3 2" xfId="53703" xr:uid="{00000000-0005-0000-0000-0000F7D10000}"/>
    <cellStyle name="注释 2 5 3 8 4" xfId="36514" xr:uid="{00000000-0005-0000-0000-0000D28E0000}"/>
    <cellStyle name="注释 2 5 3 8 4 2" xfId="53704" xr:uid="{00000000-0005-0000-0000-0000F8D10000}"/>
    <cellStyle name="注释 2 5 3 8 5" xfId="36516" xr:uid="{00000000-0005-0000-0000-0000D48E0000}"/>
    <cellStyle name="注释 2 5 3 9" xfId="51317" xr:uid="{00000000-0005-0000-0000-0000A5C80000}"/>
    <cellStyle name="注释 2 5 3 9 2" xfId="29505" xr:uid="{00000000-0005-0000-0000-000071730000}"/>
    <cellStyle name="注释 2 5 4" xfId="53705" xr:uid="{00000000-0005-0000-0000-0000F9D10000}"/>
    <cellStyle name="注释 2 5 4 10" xfId="43942" xr:uid="{00000000-0005-0000-0000-0000D6AB0000}"/>
    <cellStyle name="注释 2 5 4 10 2" xfId="10427" xr:uid="{00000000-0005-0000-0000-0000EB280000}"/>
    <cellStyle name="注释 2 5 4 11" xfId="41569" xr:uid="{00000000-0005-0000-0000-000091A20000}"/>
    <cellStyle name="注释 2 5 4 11 2" xfId="33702" xr:uid="{00000000-0005-0000-0000-0000D6830000}"/>
    <cellStyle name="注释 2 5 4 12" xfId="43944" xr:uid="{00000000-0005-0000-0000-0000D8AB0000}"/>
    <cellStyle name="注释 2 5 4 12 2" xfId="33709" xr:uid="{00000000-0005-0000-0000-0000DD830000}"/>
    <cellStyle name="注释 2 5 4 13" xfId="53706" xr:uid="{00000000-0005-0000-0000-0000FAD10000}"/>
    <cellStyle name="注释 2 5 4 14" xfId="32372" xr:uid="{00000000-0005-0000-0000-0000A47E0000}"/>
    <cellStyle name="注释 2 5 4 15" xfId="53707" xr:uid="{00000000-0005-0000-0000-0000FBD10000}"/>
    <cellStyle name="注释 2 5 4 16" xfId="53708" xr:uid="{00000000-0005-0000-0000-0000FCD10000}"/>
    <cellStyle name="注释 2 5 4 2" xfId="53709" xr:uid="{00000000-0005-0000-0000-0000FDD10000}"/>
    <cellStyle name="注释 2 5 4 2 2" xfId="53710" xr:uid="{00000000-0005-0000-0000-0000FED10000}"/>
    <cellStyle name="注释 2 5 4 2 2 2" xfId="6644" xr:uid="{00000000-0005-0000-0000-0000241A0000}"/>
    <cellStyle name="注释 2 5 4 2 3" xfId="53711" xr:uid="{00000000-0005-0000-0000-0000FFD10000}"/>
    <cellStyle name="注释 2 5 4 2 3 2" xfId="6701" xr:uid="{00000000-0005-0000-0000-00005D1A0000}"/>
    <cellStyle name="注释 2 5 4 2 4" xfId="51618" xr:uid="{00000000-0005-0000-0000-0000D2C90000}"/>
    <cellStyle name="注释 2 5 4 2 4 2" xfId="6379" xr:uid="{00000000-0005-0000-0000-00001B190000}"/>
    <cellStyle name="注释 2 5 4 2 5" xfId="53712" xr:uid="{00000000-0005-0000-0000-000000D20000}"/>
    <cellStyle name="注释 2 5 4 2 5 2" xfId="6409" xr:uid="{00000000-0005-0000-0000-000039190000}"/>
    <cellStyle name="注释 2 5 4 2 6" xfId="53713" xr:uid="{00000000-0005-0000-0000-000001D20000}"/>
    <cellStyle name="注释 2 5 4 2 7" xfId="52799" xr:uid="{00000000-0005-0000-0000-00006FCE0000}"/>
    <cellStyle name="注释 2 5 4 2 8" xfId="14914" xr:uid="{00000000-0005-0000-0000-0000723A0000}"/>
    <cellStyle name="注释 2 5 4 2 9" xfId="53714" xr:uid="{00000000-0005-0000-0000-000002D20000}"/>
    <cellStyle name="注释 2 5 4 3" xfId="53715" xr:uid="{00000000-0005-0000-0000-000003D20000}"/>
    <cellStyle name="注释 2 5 4 3 2" xfId="36724" xr:uid="{00000000-0005-0000-0000-0000A48F0000}"/>
    <cellStyle name="注释 2 5 4 3 2 2" xfId="15216" xr:uid="{00000000-0005-0000-0000-0000A03B0000}"/>
    <cellStyle name="注释 2 5 4 3 3" xfId="36726" xr:uid="{00000000-0005-0000-0000-0000A68F0000}"/>
    <cellStyle name="注释 2 5 4 3 3 2" xfId="11072" xr:uid="{00000000-0005-0000-0000-0000702B0000}"/>
    <cellStyle name="注释 2 5 4 3 4" xfId="36729" xr:uid="{00000000-0005-0000-0000-0000A98F0000}"/>
    <cellStyle name="注释 2 5 4 3 4 2" xfId="11119" xr:uid="{00000000-0005-0000-0000-00009F2B0000}"/>
    <cellStyle name="注释 2 5 4 3 5" xfId="36731" xr:uid="{00000000-0005-0000-0000-0000AB8F0000}"/>
    <cellStyle name="注释 2 5 4 3 5 2" xfId="11141" xr:uid="{00000000-0005-0000-0000-0000B52B0000}"/>
    <cellStyle name="注释 2 5 4 3 6" xfId="53716" xr:uid="{00000000-0005-0000-0000-000004D20000}"/>
    <cellStyle name="注释 2 5 4 4" xfId="53717" xr:uid="{00000000-0005-0000-0000-000005D20000}"/>
    <cellStyle name="注释 2 5 4 4 2" xfId="53719" xr:uid="{00000000-0005-0000-0000-000007D20000}"/>
    <cellStyle name="注释 2 5 4 4 2 2" xfId="5279" xr:uid="{00000000-0005-0000-0000-0000CF140000}"/>
    <cellStyle name="注释 2 5 4 4 3" xfId="30282" xr:uid="{00000000-0005-0000-0000-00007A760000}"/>
    <cellStyle name="注释 2 5 4 4 3 2" xfId="11278" xr:uid="{00000000-0005-0000-0000-00003E2C0000}"/>
    <cellStyle name="注释 2 5 4 4 4" xfId="30284" xr:uid="{00000000-0005-0000-0000-00007C760000}"/>
    <cellStyle name="注释 2 5 4 4 4 2" xfId="11314" xr:uid="{00000000-0005-0000-0000-0000622C0000}"/>
    <cellStyle name="注释 2 5 4 4 5" xfId="30287" xr:uid="{00000000-0005-0000-0000-00007F760000}"/>
    <cellStyle name="注释 2 5 4 4 5 2" xfId="11365" xr:uid="{00000000-0005-0000-0000-0000952C0000}"/>
    <cellStyle name="注释 2 5 4 4 6" xfId="30289" xr:uid="{00000000-0005-0000-0000-000081760000}"/>
    <cellStyle name="注释 2 5 4 5" xfId="53720" xr:uid="{00000000-0005-0000-0000-000008D20000}"/>
    <cellStyle name="注释 2 5 4 5 2" xfId="53721" xr:uid="{00000000-0005-0000-0000-000009D20000}"/>
    <cellStyle name="注释 2 5 4 5 2 2" xfId="2345" xr:uid="{00000000-0005-0000-0000-000059090000}"/>
    <cellStyle name="注释 2 5 4 5 3" xfId="53722" xr:uid="{00000000-0005-0000-0000-00000AD20000}"/>
    <cellStyle name="注释 2 5 4 5 3 2" xfId="15488" xr:uid="{00000000-0005-0000-0000-0000B03C0000}"/>
    <cellStyle name="注释 2 5 4 5 4" xfId="51621" xr:uid="{00000000-0005-0000-0000-0000D5C90000}"/>
    <cellStyle name="注释 2 5 4 5 4 2" xfId="12576" xr:uid="{00000000-0005-0000-0000-000050310000}"/>
    <cellStyle name="注释 2 5 4 5 5" xfId="53723" xr:uid="{00000000-0005-0000-0000-00000BD20000}"/>
    <cellStyle name="注释 2 5 4 5 5 2" xfId="12594" xr:uid="{00000000-0005-0000-0000-000062310000}"/>
    <cellStyle name="注释 2 5 4 5 6" xfId="53724" xr:uid="{00000000-0005-0000-0000-00000CD20000}"/>
    <cellStyle name="注释 2 5 4 6" xfId="381" xr:uid="{00000000-0005-0000-0000-0000A2010000}"/>
    <cellStyle name="注释 2 5 4 6 2" xfId="53725" xr:uid="{00000000-0005-0000-0000-00000DD20000}"/>
    <cellStyle name="注释 2 5 4 6 2 2" xfId="2398" xr:uid="{00000000-0005-0000-0000-00008E090000}"/>
    <cellStyle name="注释 2 5 4 6 3" xfId="22404" xr:uid="{00000000-0005-0000-0000-0000B4570000}"/>
    <cellStyle name="注释 2 5 4 6 3 2" xfId="2096" xr:uid="{00000000-0005-0000-0000-000060080000}"/>
    <cellStyle name="注释 2 5 4 6 4" xfId="53726" xr:uid="{00000000-0005-0000-0000-00000ED20000}"/>
    <cellStyle name="注释 2 5 4 6 4 2" xfId="15656" xr:uid="{00000000-0005-0000-0000-0000583D0000}"/>
    <cellStyle name="注释 2 5 4 6 5" xfId="53727" xr:uid="{00000000-0005-0000-0000-00000FD20000}"/>
    <cellStyle name="注释 2 5 4 6 5 2" xfId="15698" xr:uid="{00000000-0005-0000-0000-0000823D0000}"/>
    <cellStyle name="注释 2 5 4 6 6" xfId="53728" xr:uid="{00000000-0005-0000-0000-000010D20000}"/>
    <cellStyle name="注释 2 5 4 7" xfId="53729" xr:uid="{00000000-0005-0000-0000-000011D20000}"/>
    <cellStyle name="注释 2 5 4 7 2" xfId="53730" xr:uid="{00000000-0005-0000-0000-000012D20000}"/>
    <cellStyle name="注释 2 5 4 7 2 2" xfId="21183" xr:uid="{00000000-0005-0000-0000-0000EF520000}"/>
    <cellStyle name="注释 2 5 4 7 3" xfId="314" xr:uid="{00000000-0005-0000-0000-000059010000}"/>
    <cellStyle name="注释 2 5 4 7 3 2" xfId="532" xr:uid="{00000000-0005-0000-0000-000043020000}"/>
    <cellStyle name="注释 2 5 4 7 4" xfId="53731" xr:uid="{00000000-0005-0000-0000-000013D20000}"/>
    <cellStyle name="注释 2 5 4 7 4 2" xfId="53732" xr:uid="{00000000-0005-0000-0000-000014D20000}"/>
    <cellStyle name="注释 2 5 4 7 5" xfId="53733" xr:uid="{00000000-0005-0000-0000-000015D20000}"/>
    <cellStyle name="注释 2 5 4 7 5 2" xfId="53734" xr:uid="{00000000-0005-0000-0000-000016D20000}"/>
    <cellStyle name="注释 2 5 4 7 6" xfId="53735" xr:uid="{00000000-0005-0000-0000-000017D20000}"/>
    <cellStyle name="注释 2 5 4 8" xfId="53736" xr:uid="{00000000-0005-0000-0000-000018D20000}"/>
    <cellStyle name="注释 2 5 4 8 2" xfId="36787" xr:uid="{00000000-0005-0000-0000-0000E38F0000}"/>
    <cellStyle name="注释 2 5 4 8 2 2" xfId="5337" xr:uid="{00000000-0005-0000-0000-000009150000}"/>
    <cellStyle name="注释 2 5 4 8 3" xfId="699" xr:uid="{00000000-0005-0000-0000-0000EB020000}"/>
    <cellStyle name="注释 2 5 4 8 3 2" xfId="22523" xr:uid="{00000000-0005-0000-0000-00002B580000}"/>
    <cellStyle name="注释 2 5 4 8 4" xfId="36789" xr:uid="{00000000-0005-0000-0000-0000E58F0000}"/>
    <cellStyle name="注释 2 5 4 8 4 2" xfId="53737" xr:uid="{00000000-0005-0000-0000-000019D20000}"/>
    <cellStyle name="注释 2 5 4 8 5" xfId="36791" xr:uid="{00000000-0005-0000-0000-0000E78F0000}"/>
    <cellStyle name="注释 2 5 4 9" xfId="51323" xr:uid="{00000000-0005-0000-0000-0000ABC80000}"/>
    <cellStyle name="注释 2 5 4 9 2" xfId="53738" xr:uid="{00000000-0005-0000-0000-00001AD20000}"/>
    <cellStyle name="注释 2 5 5" xfId="53740" xr:uid="{00000000-0005-0000-0000-00001CD20000}"/>
    <cellStyle name="注释 2 5 5 10" xfId="53741" xr:uid="{00000000-0005-0000-0000-00001DD20000}"/>
    <cellStyle name="注释 2 5 5 10 2" xfId="53742" xr:uid="{00000000-0005-0000-0000-00001ED20000}"/>
    <cellStyle name="注释 2 5 5 11" xfId="53744" xr:uid="{00000000-0005-0000-0000-000020D20000}"/>
    <cellStyle name="注释 2 5 5 11 2" xfId="53745" xr:uid="{00000000-0005-0000-0000-000021D20000}"/>
    <cellStyle name="注释 2 5 5 12" xfId="53746" xr:uid="{00000000-0005-0000-0000-000022D20000}"/>
    <cellStyle name="注释 2 5 5 12 2" xfId="53747" xr:uid="{00000000-0005-0000-0000-000023D20000}"/>
    <cellStyle name="注释 2 5 5 13" xfId="53748" xr:uid="{00000000-0005-0000-0000-000024D20000}"/>
    <cellStyle name="注释 2 5 5 14" xfId="53749" xr:uid="{00000000-0005-0000-0000-000025D20000}"/>
    <cellStyle name="注释 2 5 5 15" xfId="53750" xr:uid="{00000000-0005-0000-0000-000026D20000}"/>
    <cellStyle name="注释 2 5 5 16" xfId="14377" xr:uid="{00000000-0005-0000-0000-000059380000}"/>
    <cellStyle name="注释 2 5 5 2" xfId="53751" xr:uid="{00000000-0005-0000-0000-000027D20000}"/>
    <cellStyle name="注释 2 5 5 2 2" xfId="53752" xr:uid="{00000000-0005-0000-0000-000028D20000}"/>
    <cellStyle name="注释 2 5 5 2 2 2" xfId="42584" xr:uid="{00000000-0005-0000-0000-000088A60000}"/>
    <cellStyle name="注释 2 5 5 2 3" xfId="9848" xr:uid="{00000000-0005-0000-0000-0000A8260000}"/>
    <cellStyle name="注释 2 5 5 2 3 2" xfId="53753" xr:uid="{00000000-0005-0000-0000-000029D20000}"/>
    <cellStyle name="注释 2 5 5 2 4" xfId="51625" xr:uid="{00000000-0005-0000-0000-0000D9C90000}"/>
    <cellStyle name="注释 2 5 5 2 4 2" xfId="53754" xr:uid="{00000000-0005-0000-0000-00002AD20000}"/>
    <cellStyle name="注释 2 5 5 2 5" xfId="53755" xr:uid="{00000000-0005-0000-0000-00002BD20000}"/>
    <cellStyle name="注释 2 5 5 2 5 2" xfId="53756" xr:uid="{00000000-0005-0000-0000-00002CD20000}"/>
    <cellStyle name="注释 2 5 5 2 6" xfId="53757" xr:uid="{00000000-0005-0000-0000-00002DD20000}"/>
    <cellStyle name="注释 2 5 5 2 7" xfId="53758" xr:uid="{00000000-0005-0000-0000-00002ED20000}"/>
    <cellStyle name="注释 2 5 5 2 8" xfId="53759" xr:uid="{00000000-0005-0000-0000-00002FD20000}"/>
    <cellStyle name="注释 2 5 5 2 9" xfId="14644" xr:uid="{00000000-0005-0000-0000-000064390000}"/>
    <cellStyle name="注释 2 5 5 3" xfId="53760" xr:uid="{00000000-0005-0000-0000-000030D20000}"/>
    <cellStyle name="注释 2 5 5 3 2" xfId="53761" xr:uid="{00000000-0005-0000-0000-000031D20000}"/>
    <cellStyle name="注释 2 5 5 3 2 2" xfId="24835" xr:uid="{00000000-0005-0000-0000-000033610000}"/>
    <cellStyle name="注释 2 5 5 3 3" xfId="48075" xr:uid="{00000000-0005-0000-0000-0000FBBB0000}"/>
    <cellStyle name="注释 2 5 5 3 3 2" xfId="53762" xr:uid="{00000000-0005-0000-0000-000032D20000}"/>
    <cellStyle name="注释 2 5 5 3 4" xfId="51627" xr:uid="{00000000-0005-0000-0000-0000DBC90000}"/>
    <cellStyle name="注释 2 5 5 3 4 2" xfId="53763" xr:uid="{00000000-0005-0000-0000-000033D20000}"/>
    <cellStyle name="注释 2 5 5 3 5" xfId="53764" xr:uid="{00000000-0005-0000-0000-000034D20000}"/>
    <cellStyle name="注释 2 5 5 3 5 2" xfId="53765" xr:uid="{00000000-0005-0000-0000-000035D20000}"/>
    <cellStyle name="注释 2 5 5 3 6" xfId="53766" xr:uid="{00000000-0005-0000-0000-000036D20000}"/>
    <cellStyle name="注释 2 5 5 4" xfId="53767" xr:uid="{00000000-0005-0000-0000-000037D20000}"/>
    <cellStyle name="注释 2 5 5 4 2" xfId="53769" xr:uid="{00000000-0005-0000-0000-000039D20000}"/>
    <cellStyle name="注释 2 5 5 4 2 2" xfId="53770" xr:uid="{00000000-0005-0000-0000-00003AD20000}"/>
    <cellStyle name="注释 2 5 5 4 3" xfId="48077" xr:uid="{00000000-0005-0000-0000-0000FDBB0000}"/>
    <cellStyle name="注释 2 5 5 4 3 2" xfId="53771" xr:uid="{00000000-0005-0000-0000-00003BD20000}"/>
    <cellStyle name="注释 2 5 5 4 4" xfId="51629" xr:uid="{00000000-0005-0000-0000-0000DDC90000}"/>
    <cellStyle name="注释 2 5 5 4 4 2" xfId="32724" xr:uid="{00000000-0005-0000-0000-000004800000}"/>
    <cellStyle name="注释 2 5 5 4 5" xfId="53772" xr:uid="{00000000-0005-0000-0000-00003CD20000}"/>
    <cellStyle name="注释 2 5 5 4 5 2" xfId="53773" xr:uid="{00000000-0005-0000-0000-00003DD20000}"/>
    <cellStyle name="注释 2 5 5 4 6" xfId="53774" xr:uid="{00000000-0005-0000-0000-00003ED20000}"/>
    <cellStyle name="注释 2 5 5 5" xfId="53775" xr:uid="{00000000-0005-0000-0000-00003FD20000}"/>
    <cellStyle name="注释 2 5 5 5 2" xfId="53776" xr:uid="{00000000-0005-0000-0000-000040D20000}"/>
    <cellStyle name="注释 2 5 5 5 2 2" xfId="53777" xr:uid="{00000000-0005-0000-0000-000041D20000}"/>
    <cellStyle name="注释 2 5 5 5 3" xfId="48079" xr:uid="{00000000-0005-0000-0000-0000FFBB0000}"/>
    <cellStyle name="注释 2 5 5 5 3 2" xfId="53778" xr:uid="{00000000-0005-0000-0000-000042D20000}"/>
    <cellStyle name="注释 2 5 5 5 4" xfId="51631" xr:uid="{00000000-0005-0000-0000-0000DFC90000}"/>
    <cellStyle name="注释 2 5 5 5 4 2" xfId="53779" xr:uid="{00000000-0005-0000-0000-000043D20000}"/>
    <cellStyle name="注释 2 5 5 5 5" xfId="53780" xr:uid="{00000000-0005-0000-0000-000044D20000}"/>
    <cellStyle name="注释 2 5 5 5 5 2" xfId="53781" xr:uid="{00000000-0005-0000-0000-000045D20000}"/>
    <cellStyle name="注释 2 5 5 5 6" xfId="53782" xr:uid="{00000000-0005-0000-0000-000046D20000}"/>
    <cellStyle name="注释 2 5 5 6" xfId="11651" xr:uid="{00000000-0005-0000-0000-0000B32D0000}"/>
    <cellStyle name="注释 2 5 5 6 2" xfId="53783" xr:uid="{00000000-0005-0000-0000-000047D20000}"/>
    <cellStyle name="注释 2 5 5 6 2 2" xfId="53784" xr:uid="{00000000-0005-0000-0000-000048D20000}"/>
    <cellStyle name="注释 2 5 5 6 3" xfId="22408" xr:uid="{00000000-0005-0000-0000-0000B8570000}"/>
    <cellStyle name="注释 2 5 5 6 3 2" xfId="53785" xr:uid="{00000000-0005-0000-0000-000049D20000}"/>
    <cellStyle name="注释 2 5 5 6 4" xfId="53786" xr:uid="{00000000-0005-0000-0000-00004AD20000}"/>
    <cellStyle name="注释 2 5 5 6 4 2" xfId="53787" xr:uid="{00000000-0005-0000-0000-00004BD20000}"/>
    <cellStyle name="注释 2 5 5 6 5" xfId="53788" xr:uid="{00000000-0005-0000-0000-00004CD20000}"/>
    <cellStyle name="注释 2 5 5 6 5 2" xfId="53789" xr:uid="{00000000-0005-0000-0000-00004DD20000}"/>
    <cellStyle name="注释 2 5 5 6 6" xfId="53790" xr:uid="{00000000-0005-0000-0000-00004ED20000}"/>
    <cellStyle name="注释 2 5 5 7" xfId="53791" xr:uid="{00000000-0005-0000-0000-00004FD20000}"/>
    <cellStyle name="注释 2 5 5 7 2" xfId="53792" xr:uid="{00000000-0005-0000-0000-000050D20000}"/>
    <cellStyle name="注释 2 5 5 7 2 2" xfId="53793" xr:uid="{00000000-0005-0000-0000-000051D20000}"/>
    <cellStyle name="注释 2 5 5 7 3" xfId="5535" xr:uid="{00000000-0005-0000-0000-0000CF150000}"/>
    <cellStyle name="注释 2 5 5 7 3 2" xfId="53794" xr:uid="{00000000-0005-0000-0000-000052D20000}"/>
    <cellStyle name="注释 2 5 5 7 4" xfId="53795" xr:uid="{00000000-0005-0000-0000-000053D20000}"/>
    <cellStyle name="注释 2 5 5 7 4 2" xfId="53796" xr:uid="{00000000-0005-0000-0000-000054D20000}"/>
    <cellStyle name="注释 2 5 5 7 5" xfId="53797" xr:uid="{00000000-0005-0000-0000-000055D20000}"/>
    <cellStyle name="注释 2 5 5 7 5 2" xfId="53798" xr:uid="{00000000-0005-0000-0000-000056D20000}"/>
    <cellStyle name="注释 2 5 5 7 6" xfId="53799" xr:uid="{00000000-0005-0000-0000-000057D20000}"/>
    <cellStyle name="注释 2 5 5 8" xfId="53800" xr:uid="{00000000-0005-0000-0000-000058D20000}"/>
    <cellStyle name="注释 2 5 5 8 2" xfId="53801" xr:uid="{00000000-0005-0000-0000-000059D20000}"/>
    <cellStyle name="注释 2 5 5 8 2 2" xfId="53802" xr:uid="{00000000-0005-0000-0000-00005AD20000}"/>
    <cellStyle name="注释 2 5 5 8 3" xfId="5582" xr:uid="{00000000-0005-0000-0000-0000FE150000}"/>
    <cellStyle name="注释 2 5 5 8 3 2" xfId="53803" xr:uid="{00000000-0005-0000-0000-00005BD20000}"/>
    <cellStyle name="注释 2 5 5 8 4" xfId="53804" xr:uid="{00000000-0005-0000-0000-00005CD20000}"/>
    <cellStyle name="注释 2 5 5 8 4 2" xfId="53805" xr:uid="{00000000-0005-0000-0000-00005DD20000}"/>
    <cellStyle name="注释 2 5 5 8 5" xfId="53806" xr:uid="{00000000-0005-0000-0000-00005ED20000}"/>
    <cellStyle name="注释 2 5 5 9" xfId="51328" xr:uid="{00000000-0005-0000-0000-0000B0C80000}"/>
    <cellStyle name="注释 2 5 5 9 2" xfId="53807" xr:uid="{00000000-0005-0000-0000-00005FD20000}"/>
    <cellStyle name="注释 2 5 6" xfId="51126" xr:uid="{00000000-0005-0000-0000-0000E6C70000}"/>
    <cellStyle name="注释 2 5 6 10" xfId="52269" xr:uid="{00000000-0005-0000-0000-00005DCC0000}"/>
    <cellStyle name="注释 2 5 6 10 2" xfId="52271" xr:uid="{00000000-0005-0000-0000-00005FCC0000}"/>
    <cellStyle name="注释 2 5 6 11" xfId="52273" xr:uid="{00000000-0005-0000-0000-000061CC0000}"/>
    <cellStyle name="注释 2 5 6 11 2" xfId="52275" xr:uid="{00000000-0005-0000-0000-000063CC0000}"/>
    <cellStyle name="注释 2 5 6 12" xfId="52277" xr:uid="{00000000-0005-0000-0000-000065CC0000}"/>
    <cellStyle name="注释 2 5 6 12 2" xfId="34163" xr:uid="{00000000-0005-0000-0000-0000A3850000}"/>
    <cellStyle name="注释 2 5 6 13" xfId="52279" xr:uid="{00000000-0005-0000-0000-000067CC0000}"/>
    <cellStyle name="注释 2 5 6 14" xfId="52281" xr:uid="{00000000-0005-0000-0000-000069CC0000}"/>
    <cellStyle name="注释 2 5 6 15" xfId="32774" xr:uid="{00000000-0005-0000-0000-000036800000}"/>
    <cellStyle name="注释 2 5 6 16" xfId="8377" xr:uid="{00000000-0005-0000-0000-0000E9200000}"/>
    <cellStyle name="注释 2 5 6 2" xfId="51128" xr:uid="{00000000-0005-0000-0000-0000E8C70000}"/>
    <cellStyle name="注释 2 5 6 2 2" xfId="53809" xr:uid="{00000000-0005-0000-0000-000061D20000}"/>
    <cellStyle name="注释 2 5 6 2 2 2" xfId="23668" xr:uid="{00000000-0005-0000-0000-0000A45C0000}"/>
    <cellStyle name="注释 2 5 6 2 3" xfId="53810" xr:uid="{00000000-0005-0000-0000-000062D20000}"/>
    <cellStyle name="注释 2 5 6 2 3 2" xfId="23677" xr:uid="{00000000-0005-0000-0000-0000AD5C0000}"/>
    <cellStyle name="注释 2 5 6 2 4" xfId="51636" xr:uid="{00000000-0005-0000-0000-0000E4C90000}"/>
    <cellStyle name="注释 2 5 6 2 4 2" xfId="17959" xr:uid="{00000000-0005-0000-0000-000057460000}"/>
    <cellStyle name="注释 2 5 6 2 5" xfId="53811" xr:uid="{00000000-0005-0000-0000-000063D20000}"/>
    <cellStyle name="注释 2 5 6 2 5 2" xfId="23683" xr:uid="{00000000-0005-0000-0000-0000B35C0000}"/>
    <cellStyle name="注释 2 5 6 2 6" xfId="53812" xr:uid="{00000000-0005-0000-0000-000064D20000}"/>
    <cellStyle name="注释 2 5 6 2 7" xfId="22972" xr:uid="{00000000-0005-0000-0000-0000EC590000}"/>
    <cellStyle name="注释 2 5 6 2 8" xfId="53813" xr:uid="{00000000-0005-0000-0000-000065D20000}"/>
    <cellStyle name="注释 2 5 6 2 9" xfId="53814" xr:uid="{00000000-0005-0000-0000-000066D20000}"/>
    <cellStyle name="注释 2 5 6 3" xfId="16255" xr:uid="{00000000-0005-0000-0000-0000AF3F0000}"/>
    <cellStyle name="注释 2 5 6 3 2" xfId="53815" xr:uid="{00000000-0005-0000-0000-000067D20000}"/>
    <cellStyle name="注释 2 5 6 3 2 2" xfId="12040" xr:uid="{00000000-0005-0000-0000-0000382F0000}"/>
    <cellStyle name="注释 2 5 6 3 3" xfId="48084" xr:uid="{00000000-0005-0000-0000-000004BC0000}"/>
    <cellStyle name="注释 2 5 6 3 3 2" xfId="12278" xr:uid="{00000000-0005-0000-0000-000026300000}"/>
    <cellStyle name="注释 2 5 6 3 4" xfId="51638" xr:uid="{00000000-0005-0000-0000-0000E6C90000}"/>
    <cellStyle name="注释 2 5 6 3 4 2" xfId="10874" xr:uid="{00000000-0005-0000-0000-0000AA2A0000}"/>
    <cellStyle name="注释 2 5 6 3 5" xfId="53816" xr:uid="{00000000-0005-0000-0000-000068D20000}"/>
    <cellStyle name="注释 2 5 6 3 5 2" xfId="23708" xr:uid="{00000000-0005-0000-0000-0000CC5C0000}"/>
    <cellStyle name="注释 2 5 6 3 6" xfId="53817" xr:uid="{00000000-0005-0000-0000-000069D20000}"/>
    <cellStyle name="注释 2 5 6 4" xfId="28704" xr:uid="{00000000-0005-0000-0000-000050700000}"/>
    <cellStyle name="注释 2 5 6 4 2" xfId="28706" xr:uid="{00000000-0005-0000-0000-000052700000}"/>
    <cellStyle name="注释 2 5 6 4 2 2" xfId="53818" xr:uid="{00000000-0005-0000-0000-00006AD20000}"/>
    <cellStyle name="注释 2 5 6 4 3" xfId="48087" xr:uid="{00000000-0005-0000-0000-000007BC0000}"/>
    <cellStyle name="注释 2 5 6 4 3 2" xfId="53819" xr:uid="{00000000-0005-0000-0000-00006BD20000}"/>
    <cellStyle name="注释 2 5 6 4 4" xfId="51640" xr:uid="{00000000-0005-0000-0000-0000E8C90000}"/>
    <cellStyle name="注释 2 5 6 4 4 2" xfId="33571" xr:uid="{00000000-0005-0000-0000-000053830000}"/>
    <cellStyle name="注释 2 5 6 4 5" xfId="53820" xr:uid="{00000000-0005-0000-0000-00006CD20000}"/>
    <cellStyle name="注释 2 5 6 4 5 2" xfId="53821" xr:uid="{00000000-0005-0000-0000-00006DD20000}"/>
    <cellStyle name="注释 2 5 6 4 6" xfId="53822" xr:uid="{00000000-0005-0000-0000-00006ED20000}"/>
    <cellStyle name="注释 2 5 6 5" xfId="28708" xr:uid="{00000000-0005-0000-0000-000054700000}"/>
    <cellStyle name="注释 2 5 6 5 2" xfId="28714" xr:uid="{00000000-0005-0000-0000-00005A700000}"/>
    <cellStyle name="注释 2 5 6 5 2 2" xfId="53823" xr:uid="{00000000-0005-0000-0000-00006FD20000}"/>
    <cellStyle name="注释 2 5 6 5 3" xfId="48090" xr:uid="{00000000-0005-0000-0000-00000ABC0000}"/>
    <cellStyle name="注释 2 5 6 5 3 2" xfId="53824" xr:uid="{00000000-0005-0000-0000-000070D20000}"/>
    <cellStyle name="注释 2 5 6 5 4" xfId="53825" xr:uid="{00000000-0005-0000-0000-000071D20000}"/>
    <cellStyle name="注释 2 5 6 5 4 2" xfId="53826" xr:uid="{00000000-0005-0000-0000-000072D20000}"/>
    <cellStyle name="注释 2 5 6 5 5" xfId="53827" xr:uid="{00000000-0005-0000-0000-000073D20000}"/>
    <cellStyle name="注释 2 5 6 5 5 2" xfId="53828" xr:uid="{00000000-0005-0000-0000-000074D20000}"/>
    <cellStyle name="注释 2 5 6 5 6" xfId="53829" xr:uid="{00000000-0005-0000-0000-000075D20000}"/>
    <cellStyle name="注释 2 5 6 6" xfId="11663" xr:uid="{00000000-0005-0000-0000-0000BF2D0000}"/>
    <cellStyle name="注释 2 5 6 6 2" xfId="28718" xr:uid="{00000000-0005-0000-0000-00005E700000}"/>
    <cellStyle name="注释 2 5 6 6 2 2" xfId="53830" xr:uid="{00000000-0005-0000-0000-000076D20000}"/>
    <cellStyle name="注释 2 5 6 6 3" xfId="22416" xr:uid="{00000000-0005-0000-0000-0000C0570000}"/>
    <cellStyle name="注释 2 5 6 6 3 2" xfId="53831" xr:uid="{00000000-0005-0000-0000-000077D20000}"/>
    <cellStyle name="注释 2 5 6 6 4" xfId="53832" xr:uid="{00000000-0005-0000-0000-000078D20000}"/>
    <cellStyle name="注释 2 5 6 6 4 2" xfId="53833" xr:uid="{00000000-0005-0000-0000-000079D20000}"/>
    <cellStyle name="注释 2 5 6 6 5" xfId="53834" xr:uid="{00000000-0005-0000-0000-00007AD20000}"/>
    <cellStyle name="注释 2 5 6 6 5 2" xfId="53835" xr:uid="{00000000-0005-0000-0000-00007BD20000}"/>
    <cellStyle name="注释 2 5 6 6 6" xfId="53836" xr:uid="{00000000-0005-0000-0000-00007CD20000}"/>
    <cellStyle name="注释 2 5 6 7" xfId="28722" xr:uid="{00000000-0005-0000-0000-000062700000}"/>
    <cellStyle name="注释 2 5 6 7 2" xfId="28726" xr:uid="{00000000-0005-0000-0000-000066700000}"/>
    <cellStyle name="注释 2 5 6 7 2 2" xfId="53837" xr:uid="{00000000-0005-0000-0000-00007DD20000}"/>
    <cellStyle name="注释 2 5 6 7 3" xfId="5964" xr:uid="{00000000-0005-0000-0000-00007C170000}"/>
    <cellStyle name="注释 2 5 6 7 3 2" xfId="53838" xr:uid="{00000000-0005-0000-0000-00007ED20000}"/>
    <cellStyle name="注释 2 5 6 7 4" xfId="53839" xr:uid="{00000000-0005-0000-0000-00007FD20000}"/>
    <cellStyle name="注释 2 5 6 7 4 2" xfId="53840" xr:uid="{00000000-0005-0000-0000-000080D20000}"/>
    <cellStyle name="注释 2 5 6 7 5" xfId="53841" xr:uid="{00000000-0005-0000-0000-000081D20000}"/>
    <cellStyle name="注释 2 5 6 7 5 2" xfId="53842" xr:uid="{00000000-0005-0000-0000-000082D20000}"/>
    <cellStyle name="注释 2 5 6 7 6" xfId="53843" xr:uid="{00000000-0005-0000-0000-000083D20000}"/>
    <cellStyle name="注释 2 5 6 8" xfId="28730" xr:uid="{00000000-0005-0000-0000-00006A700000}"/>
    <cellStyle name="注释 2 5 6 8 2" xfId="53844" xr:uid="{00000000-0005-0000-0000-000084D20000}"/>
    <cellStyle name="注释 2 5 6 8 2 2" xfId="53845" xr:uid="{00000000-0005-0000-0000-000085D20000}"/>
    <cellStyle name="注释 2 5 6 8 3" xfId="6068" xr:uid="{00000000-0005-0000-0000-0000E4170000}"/>
    <cellStyle name="注释 2 5 6 8 3 2" xfId="53846" xr:uid="{00000000-0005-0000-0000-000086D20000}"/>
    <cellStyle name="注释 2 5 6 8 4" xfId="53847" xr:uid="{00000000-0005-0000-0000-000087D20000}"/>
    <cellStyle name="注释 2 5 6 8 4 2" xfId="53848" xr:uid="{00000000-0005-0000-0000-000088D20000}"/>
    <cellStyle name="注释 2 5 6 8 5" xfId="53849" xr:uid="{00000000-0005-0000-0000-000089D20000}"/>
    <cellStyle name="注释 2 5 6 9" xfId="28735" xr:uid="{00000000-0005-0000-0000-00006F700000}"/>
    <cellStyle name="注释 2 5 6 9 2" xfId="53850" xr:uid="{00000000-0005-0000-0000-00008AD20000}"/>
    <cellStyle name="注释 2 5 7" xfId="51130" xr:uid="{00000000-0005-0000-0000-0000EAC70000}"/>
    <cellStyle name="注释 2 5 7 10" xfId="53852" xr:uid="{00000000-0005-0000-0000-00008CD20000}"/>
    <cellStyle name="注释 2 5 7 10 2" xfId="49936" xr:uid="{00000000-0005-0000-0000-000040C30000}"/>
    <cellStyle name="注释 2 5 7 11" xfId="37513" xr:uid="{00000000-0005-0000-0000-0000B9920000}"/>
    <cellStyle name="注释 2 5 7 11 2" xfId="53853" xr:uid="{00000000-0005-0000-0000-00008DD20000}"/>
    <cellStyle name="注释 2 5 7 12" xfId="53854" xr:uid="{00000000-0005-0000-0000-00008ED20000}"/>
    <cellStyle name="注释 2 5 7 12 2" xfId="53855" xr:uid="{00000000-0005-0000-0000-00008FD20000}"/>
    <cellStyle name="注释 2 5 7 13" xfId="53856" xr:uid="{00000000-0005-0000-0000-000090D20000}"/>
    <cellStyle name="注释 2 5 7 14" xfId="53857" xr:uid="{00000000-0005-0000-0000-000091D20000}"/>
    <cellStyle name="注释 2 5 7 15" xfId="53858" xr:uid="{00000000-0005-0000-0000-000092D20000}"/>
    <cellStyle name="注释 2 5 7 16" xfId="53859" xr:uid="{00000000-0005-0000-0000-000093D20000}"/>
    <cellStyle name="注释 2 5 7 2" xfId="51132" xr:uid="{00000000-0005-0000-0000-0000ECC70000}"/>
    <cellStyle name="注释 2 5 7 2 2" xfId="7741" xr:uid="{00000000-0005-0000-0000-00006D1E0000}"/>
    <cellStyle name="注释 2 5 7 2 2 2" xfId="7761" xr:uid="{00000000-0005-0000-0000-0000811E0000}"/>
    <cellStyle name="注释 2 5 7 2 3" xfId="7763" xr:uid="{00000000-0005-0000-0000-0000831E0000}"/>
    <cellStyle name="注释 2 5 7 2 3 2" xfId="53860" xr:uid="{00000000-0005-0000-0000-000094D20000}"/>
    <cellStyle name="注释 2 5 7 2 4" xfId="7765" xr:uid="{00000000-0005-0000-0000-0000851E0000}"/>
    <cellStyle name="注释 2 5 7 2 4 2" xfId="53861" xr:uid="{00000000-0005-0000-0000-000095D20000}"/>
    <cellStyle name="注释 2 5 7 2 5" xfId="7773" xr:uid="{00000000-0005-0000-0000-00008D1E0000}"/>
    <cellStyle name="注释 2 5 7 2 5 2" xfId="53862" xr:uid="{00000000-0005-0000-0000-000096D20000}"/>
    <cellStyle name="注释 2 5 7 2 6" xfId="6494" xr:uid="{00000000-0005-0000-0000-00008E190000}"/>
    <cellStyle name="注释 2 5 7 2 7" xfId="21808" xr:uid="{00000000-0005-0000-0000-000060550000}"/>
    <cellStyle name="注释 2 5 7 2 8" xfId="21811" xr:uid="{00000000-0005-0000-0000-000063550000}"/>
    <cellStyle name="注释 2 5 7 2 9" xfId="21814" xr:uid="{00000000-0005-0000-0000-000066550000}"/>
    <cellStyle name="注释 2 5 7 3" xfId="33860" xr:uid="{00000000-0005-0000-0000-000074840000}"/>
    <cellStyle name="注释 2 5 7 3 2" xfId="53863" xr:uid="{00000000-0005-0000-0000-000097D20000}"/>
    <cellStyle name="注释 2 5 7 3 2 2" xfId="53864" xr:uid="{00000000-0005-0000-0000-000098D20000}"/>
    <cellStyle name="注释 2 5 7 3 3" xfId="48093" xr:uid="{00000000-0005-0000-0000-00000DBC0000}"/>
    <cellStyle name="注释 2 5 7 3 3 2" xfId="53865" xr:uid="{00000000-0005-0000-0000-000099D20000}"/>
    <cellStyle name="注释 2 5 7 3 4" xfId="36269" xr:uid="{00000000-0005-0000-0000-0000DD8D0000}"/>
    <cellStyle name="注释 2 5 7 3 4 2" xfId="53866" xr:uid="{00000000-0005-0000-0000-00009AD20000}"/>
    <cellStyle name="注释 2 5 7 3 5" xfId="53867" xr:uid="{00000000-0005-0000-0000-00009BD20000}"/>
    <cellStyle name="注释 2 5 7 3 5 2" xfId="34405" xr:uid="{00000000-0005-0000-0000-000095860000}"/>
    <cellStyle name="注释 2 5 7 3 6" xfId="21821" xr:uid="{00000000-0005-0000-0000-00006D550000}"/>
    <cellStyle name="注释 2 5 7 4" xfId="28746" xr:uid="{00000000-0005-0000-0000-00007A700000}"/>
    <cellStyle name="注释 2 5 7 4 2" xfId="28748" xr:uid="{00000000-0005-0000-0000-00007C700000}"/>
    <cellStyle name="注释 2 5 7 4 2 2" xfId="53868" xr:uid="{00000000-0005-0000-0000-00009CD20000}"/>
    <cellStyle name="注释 2 5 7 4 3" xfId="48096" xr:uid="{00000000-0005-0000-0000-000010BC0000}"/>
    <cellStyle name="注释 2 5 7 4 3 2" xfId="53869" xr:uid="{00000000-0005-0000-0000-00009DD20000}"/>
    <cellStyle name="注释 2 5 7 4 4" xfId="36273" xr:uid="{00000000-0005-0000-0000-0000E18D0000}"/>
    <cellStyle name="注释 2 5 7 4 4 2" xfId="53870" xr:uid="{00000000-0005-0000-0000-00009ED20000}"/>
    <cellStyle name="注释 2 5 7 4 5" xfId="53871" xr:uid="{00000000-0005-0000-0000-00009FD20000}"/>
    <cellStyle name="注释 2 5 7 4 5 2" xfId="36905" xr:uid="{00000000-0005-0000-0000-000059900000}"/>
    <cellStyle name="注释 2 5 7 4 6" xfId="21831" xr:uid="{00000000-0005-0000-0000-000077550000}"/>
    <cellStyle name="注释 2 5 7 5" xfId="28751" xr:uid="{00000000-0005-0000-0000-00007F700000}"/>
    <cellStyle name="注释 2 5 7 5 2" xfId="28757" xr:uid="{00000000-0005-0000-0000-000085700000}"/>
    <cellStyle name="注释 2 5 7 5 2 2" xfId="53872" xr:uid="{00000000-0005-0000-0000-0000A0D20000}"/>
    <cellStyle name="注释 2 5 7 5 3" xfId="48099" xr:uid="{00000000-0005-0000-0000-000013BC0000}"/>
    <cellStyle name="注释 2 5 7 5 3 2" xfId="53873" xr:uid="{00000000-0005-0000-0000-0000A1D20000}"/>
    <cellStyle name="注释 2 5 7 5 4" xfId="53874" xr:uid="{00000000-0005-0000-0000-0000A2D20000}"/>
    <cellStyle name="注释 2 5 7 5 4 2" xfId="53875" xr:uid="{00000000-0005-0000-0000-0000A3D20000}"/>
    <cellStyle name="注释 2 5 7 5 5" xfId="53876" xr:uid="{00000000-0005-0000-0000-0000A4D20000}"/>
    <cellStyle name="注释 2 5 7 5 5 2" xfId="53877" xr:uid="{00000000-0005-0000-0000-0000A5D20000}"/>
    <cellStyle name="注释 2 5 7 5 6" xfId="21841" xr:uid="{00000000-0005-0000-0000-000081550000}"/>
    <cellStyle name="注释 2 5 7 6" xfId="28761" xr:uid="{00000000-0005-0000-0000-000089700000}"/>
    <cellStyle name="注释 2 5 7 6 2" xfId="16172" xr:uid="{00000000-0005-0000-0000-00005C3F0000}"/>
    <cellStyle name="注释 2 5 7 6 2 2" xfId="53878" xr:uid="{00000000-0005-0000-0000-0000A6D20000}"/>
    <cellStyle name="注释 2 5 7 6 3" xfId="16177" xr:uid="{00000000-0005-0000-0000-0000613F0000}"/>
    <cellStyle name="注释 2 5 7 6 3 2" xfId="53879" xr:uid="{00000000-0005-0000-0000-0000A7D20000}"/>
    <cellStyle name="注释 2 5 7 6 4" xfId="53880" xr:uid="{00000000-0005-0000-0000-0000A8D20000}"/>
    <cellStyle name="注释 2 5 7 6 4 2" xfId="53881" xr:uid="{00000000-0005-0000-0000-0000A9D20000}"/>
    <cellStyle name="注释 2 5 7 6 5" xfId="53882" xr:uid="{00000000-0005-0000-0000-0000AAD20000}"/>
    <cellStyle name="注释 2 5 7 6 5 2" xfId="53883" xr:uid="{00000000-0005-0000-0000-0000ABD20000}"/>
    <cellStyle name="注释 2 5 7 6 6" xfId="16186" xr:uid="{00000000-0005-0000-0000-00006A3F0000}"/>
    <cellStyle name="注释 2 5 7 7" xfId="28766" xr:uid="{00000000-0005-0000-0000-00008E700000}"/>
    <cellStyle name="注释 2 5 7 7 2" xfId="6295" xr:uid="{00000000-0005-0000-0000-0000C7180000}"/>
    <cellStyle name="注释 2 5 7 7 2 2" xfId="6310" xr:uid="{00000000-0005-0000-0000-0000D6180000}"/>
    <cellStyle name="注释 2 5 7 7 3" xfId="6321" xr:uid="{00000000-0005-0000-0000-0000E1180000}"/>
    <cellStyle name="注释 2 5 7 7 3 2" xfId="53885" xr:uid="{00000000-0005-0000-0000-0000ADD20000}"/>
    <cellStyle name="注释 2 5 7 7 4" xfId="6331" xr:uid="{00000000-0005-0000-0000-0000EB180000}"/>
    <cellStyle name="注释 2 5 7 7 4 2" xfId="53886" xr:uid="{00000000-0005-0000-0000-0000AED20000}"/>
    <cellStyle name="注释 2 5 7 7 5" xfId="3493" xr:uid="{00000000-0005-0000-0000-0000D50D0000}"/>
    <cellStyle name="注释 2 5 7 7 5 2" xfId="53888" xr:uid="{00000000-0005-0000-0000-0000B0D20000}"/>
    <cellStyle name="注释 2 5 7 7 6" xfId="6345" xr:uid="{00000000-0005-0000-0000-0000F9180000}"/>
    <cellStyle name="注释 2 5 7 8" xfId="28770" xr:uid="{00000000-0005-0000-0000-000092700000}"/>
    <cellStyle name="注释 2 5 7 8 2" xfId="53890" xr:uid="{00000000-0005-0000-0000-0000B2D20000}"/>
    <cellStyle name="注释 2 5 7 8 2 2" xfId="53891" xr:uid="{00000000-0005-0000-0000-0000B3D20000}"/>
    <cellStyle name="注释 2 5 7 8 3" xfId="2351" xr:uid="{00000000-0005-0000-0000-00005F090000}"/>
    <cellStyle name="注释 2 5 7 8 3 2" xfId="53892" xr:uid="{00000000-0005-0000-0000-0000B4D20000}"/>
    <cellStyle name="注释 2 5 7 8 4" xfId="53893" xr:uid="{00000000-0005-0000-0000-0000B5D20000}"/>
    <cellStyle name="注释 2 5 7 8 4 2" xfId="53894" xr:uid="{00000000-0005-0000-0000-0000B6D20000}"/>
    <cellStyle name="注释 2 5 7 8 5" xfId="53895" xr:uid="{00000000-0005-0000-0000-0000B7D20000}"/>
    <cellStyle name="注释 2 5 7 9" xfId="53896" xr:uid="{00000000-0005-0000-0000-0000B8D20000}"/>
    <cellStyle name="注释 2 5 7 9 2" xfId="53898" xr:uid="{00000000-0005-0000-0000-0000BAD20000}"/>
    <cellStyle name="注释 2 5 8" xfId="51134" xr:uid="{00000000-0005-0000-0000-0000EEC70000}"/>
    <cellStyle name="注释 2 5 8 10" xfId="33695" xr:uid="{00000000-0005-0000-0000-0000CF830000}"/>
    <cellStyle name="注释 2 5 8 10 2" xfId="43974" xr:uid="{00000000-0005-0000-0000-0000F6AB0000}"/>
    <cellStyle name="注释 2 5 8 11" xfId="43976" xr:uid="{00000000-0005-0000-0000-0000F8AB0000}"/>
    <cellStyle name="注释 2 5 8 11 2" xfId="43978" xr:uid="{00000000-0005-0000-0000-0000FAAB0000}"/>
    <cellStyle name="注释 2 5 8 12" xfId="28690" xr:uid="{00000000-0005-0000-0000-000042700000}"/>
    <cellStyle name="注释 2 5 8 12 2" xfId="53900" xr:uid="{00000000-0005-0000-0000-0000BCD20000}"/>
    <cellStyle name="注释 2 5 8 13" xfId="43980" xr:uid="{00000000-0005-0000-0000-0000FCAB0000}"/>
    <cellStyle name="注释 2 5 8 14" xfId="43982" xr:uid="{00000000-0005-0000-0000-0000FEAB0000}"/>
    <cellStyle name="注释 2 5 8 15" xfId="43984" xr:uid="{00000000-0005-0000-0000-000000AC0000}"/>
    <cellStyle name="注释 2 5 8 16" xfId="21110" xr:uid="{00000000-0005-0000-0000-0000A6520000}"/>
    <cellStyle name="注释 2 5 8 2" xfId="51136" xr:uid="{00000000-0005-0000-0000-0000F0C70000}"/>
    <cellStyle name="注释 2 5 8 2 2" xfId="8843" xr:uid="{00000000-0005-0000-0000-0000BB220000}"/>
    <cellStyle name="注释 2 5 8 2 2 2" xfId="8846" xr:uid="{00000000-0005-0000-0000-0000BE220000}"/>
    <cellStyle name="注释 2 5 8 2 3" xfId="8853" xr:uid="{00000000-0005-0000-0000-0000C5220000}"/>
    <cellStyle name="注释 2 5 8 2 3 2" xfId="43404" xr:uid="{00000000-0005-0000-0000-0000BCA90000}"/>
    <cellStyle name="注释 2 5 8 2 4" xfId="8859" xr:uid="{00000000-0005-0000-0000-0000CB220000}"/>
    <cellStyle name="注释 2 5 8 2 4 2" xfId="53901" xr:uid="{00000000-0005-0000-0000-0000BDD20000}"/>
    <cellStyle name="注释 2 5 8 2 5" xfId="8861" xr:uid="{00000000-0005-0000-0000-0000CD220000}"/>
    <cellStyle name="注释 2 5 8 2 5 2" xfId="53902" xr:uid="{00000000-0005-0000-0000-0000BED20000}"/>
    <cellStyle name="注释 2 5 8 2 6" xfId="8868" xr:uid="{00000000-0005-0000-0000-0000D4220000}"/>
    <cellStyle name="注释 2 5 8 2 7" xfId="21909" xr:uid="{00000000-0005-0000-0000-0000C5550000}"/>
    <cellStyle name="注释 2 5 8 2 8" xfId="19742" xr:uid="{00000000-0005-0000-0000-00004E4D0000}"/>
    <cellStyle name="注释 2 5 8 2 9" xfId="21914" xr:uid="{00000000-0005-0000-0000-0000CA550000}"/>
    <cellStyle name="注释 2 5 8 3" xfId="33862" xr:uid="{00000000-0005-0000-0000-000076840000}"/>
    <cellStyle name="注释 2 5 8 3 2" xfId="53903" xr:uid="{00000000-0005-0000-0000-0000BFD20000}"/>
    <cellStyle name="注释 2 5 8 3 2 2" xfId="53904" xr:uid="{00000000-0005-0000-0000-0000C0D20000}"/>
    <cellStyle name="注释 2 5 8 3 3" xfId="48102" xr:uid="{00000000-0005-0000-0000-000016BC0000}"/>
    <cellStyle name="注释 2 5 8 3 3 2" xfId="53905" xr:uid="{00000000-0005-0000-0000-0000C1D20000}"/>
    <cellStyle name="注释 2 5 8 3 4" xfId="36281" xr:uid="{00000000-0005-0000-0000-0000E98D0000}"/>
    <cellStyle name="注释 2 5 8 3 4 2" xfId="53906" xr:uid="{00000000-0005-0000-0000-0000C2D20000}"/>
    <cellStyle name="注释 2 5 8 3 5" xfId="53907" xr:uid="{00000000-0005-0000-0000-0000C3D20000}"/>
    <cellStyle name="注释 2 5 8 3 5 2" xfId="53908" xr:uid="{00000000-0005-0000-0000-0000C4D20000}"/>
    <cellStyle name="注释 2 5 8 3 6" xfId="21922" xr:uid="{00000000-0005-0000-0000-0000D2550000}"/>
    <cellStyle name="注释 2 5 8 4" xfId="28777" xr:uid="{00000000-0005-0000-0000-000099700000}"/>
    <cellStyle name="注释 2 5 8 4 2" xfId="28779" xr:uid="{00000000-0005-0000-0000-00009B700000}"/>
    <cellStyle name="注释 2 5 8 4 2 2" xfId="53909" xr:uid="{00000000-0005-0000-0000-0000C5D20000}"/>
    <cellStyle name="注释 2 5 8 4 3" xfId="30993" xr:uid="{00000000-0005-0000-0000-000041790000}"/>
    <cellStyle name="注释 2 5 8 4 3 2" xfId="30997" xr:uid="{00000000-0005-0000-0000-000045790000}"/>
    <cellStyle name="注释 2 5 8 4 4" xfId="30999" xr:uid="{00000000-0005-0000-0000-000047790000}"/>
    <cellStyle name="注释 2 5 8 4 4 2" xfId="31003" xr:uid="{00000000-0005-0000-0000-00004B790000}"/>
    <cellStyle name="注释 2 5 8 4 5" xfId="31005" xr:uid="{00000000-0005-0000-0000-00004D790000}"/>
    <cellStyle name="注释 2 5 8 4 5 2" xfId="31007" xr:uid="{00000000-0005-0000-0000-00004F790000}"/>
    <cellStyle name="注释 2 5 8 4 6" xfId="21945" xr:uid="{00000000-0005-0000-0000-0000E9550000}"/>
    <cellStyle name="注释 2 5 8 5" xfId="28782" xr:uid="{00000000-0005-0000-0000-00009E700000}"/>
    <cellStyle name="注释 2 5 8 5 2" xfId="28788" xr:uid="{00000000-0005-0000-0000-0000A4700000}"/>
    <cellStyle name="注释 2 5 8 5 2 2" xfId="498" xr:uid="{00000000-0005-0000-0000-00001E020000}"/>
    <cellStyle name="注释 2 5 8 5 3" xfId="48106" xr:uid="{00000000-0005-0000-0000-00001ABC0000}"/>
    <cellStyle name="注释 2 5 8 5 3 2" xfId="53910" xr:uid="{00000000-0005-0000-0000-0000C6D20000}"/>
    <cellStyle name="注释 2 5 8 5 4" xfId="53911" xr:uid="{00000000-0005-0000-0000-0000C7D20000}"/>
    <cellStyle name="注释 2 5 8 5 4 2" xfId="13656" xr:uid="{00000000-0005-0000-0000-000088350000}"/>
    <cellStyle name="注释 2 5 8 5 5" xfId="53912" xr:uid="{00000000-0005-0000-0000-0000C8D20000}"/>
    <cellStyle name="注释 2 5 8 5 5 2" xfId="53913" xr:uid="{00000000-0005-0000-0000-0000C9D20000}"/>
    <cellStyle name="注释 2 5 8 5 6" xfId="21961" xr:uid="{00000000-0005-0000-0000-0000F9550000}"/>
    <cellStyle name="注释 2 5 8 6" xfId="28792" xr:uid="{00000000-0005-0000-0000-0000A8700000}"/>
    <cellStyle name="注释 2 5 8 6 2" xfId="16881" xr:uid="{00000000-0005-0000-0000-000021420000}"/>
    <cellStyle name="注释 2 5 8 6 2 2" xfId="53914" xr:uid="{00000000-0005-0000-0000-0000CAD20000}"/>
    <cellStyle name="注释 2 5 8 6 3" xfId="16889" xr:uid="{00000000-0005-0000-0000-000029420000}"/>
    <cellStyle name="注释 2 5 8 6 3 2" xfId="53915" xr:uid="{00000000-0005-0000-0000-0000CBD20000}"/>
    <cellStyle name="注释 2 5 8 6 4" xfId="53916" xr:uid="{00000000-0005-0000-0000-0000CCD20000}"/>
    <cellStyle name="注释 2 5 8 6 4 2" xfId="16897" xr:uid="{00000000-0005-0000-0000-000031420000}"/>
    <cellStyle name="注释 2 5 8 6 5" xfId="53917" xr:uid="{00000000-0005-0000-0000-0000CDD20000}"/>
    <cellStyle name="注释 2 5 8 6 5 2" xfId="6659" xr:uid="{00000000-0005-0000-0000-0000331A0000}"/>
    <cellStyle name="注释 2 5 8 6 6" xfId="16902" xr:uid="{00000000-0005-0000-0000-000036420000}"/>
    <cellStyle name="注释 2 5 8 7" xfId="27847" xr:uid="{00000000-0005-0000-0000-0000F76C0000}"/>
    <cellStyle name="注释 2 5 8 7 2" xfId="6682" xr:uid="{00000000-0005-0000-0000-00004A1A0000}"/>
    <cellStyle name="注释 2 5 8 7 2 2" xfId="4498" xr:uid="{00000000-0005-0000-0000-0000C2110000}"/>
    <cellStyle name="注释 2 5 8 7 3" xfId="6696" xr:uid="{00000000-0005-0000-0000-0000581A0000}"/>
    <cellStyle name="注释 2 5 8 7 3 2" xfId="33998" xr:uid="{00000000-0005-0000-0000-0000FE840000}"/>
    <cellStyle name="注释 2 5 8 7 4" xfId="6708" xr:uid="{00000000-0005-0000-0000-0000641A0000}"/>
    <cellStyle name="注释 2 5 8 7 4 2" xfId="53918" xr:uid="{00000000-0005-0000-0000-0000CED20000}"/>
    <cellStyle name="注释 2 5 8 7 5" xfId="1415" xr:uid="{00000000-0005-0000-0000-0000B7050000}"/>
    <cellStyle name="注释 2 5 8 7 5 2" xfId="53919" xr:uid="{00000000-0005-0000-0000-0000CFD20000}"/>
    <cellStyle name="注释 2 5 8 7 6" xfId="6717" xr:uid="{00000000-0005-0000-0000-00006D1A0000}"/>
    <cellStyle name="注释 2 5 8 8" xfId="28797" xr:uid="{00000000-0005-0000-0000-0000AD700000}"/>
    <cellStyle name="注释 2 5 8 8 2" xfId="30642" xr:uid="{00000000-0005-0000-0000-0000E2770000}"/>
    <cellStyle name="注释 2 5 8 8 2 2" xfId="30645" xr:uid="{00000000-0005-0000-0000-0000E5770000}"/>
    <cellStyle name="注释 2 5 8 8 3" xfId="6750" xr:uid="{00000000-0005-0000-0000-00008E1A0000}"/>
    <cellStyle name="注释 2 5 8 8 3 2" xfId="53920" xr:uid="{00000000-0005-0000-0000-0000D0D20000}"/>
    <cellStyle name="注释 2 5 8 8 4" xfId="36919" xr:uid="{00000000-0005-0000-0000-000067900000}"/>
    <cellStyle name="注释 2 5 8 8 4 2" xfId="53921" xr:uid="{00000000-0005-0000-0000-0000D1D20000}"/>
    <cellStyle name="注释 2 5 8 8 5" xfId="36921" xr:uid="{00000000-0005-0000-0000-000069900000}"/>
    <cellStyle name="注释 2 5 8 9" xfId="45610" xr:uid="{00000000-0005-0000-0000-00005AB20000}"/>
    <cellStyle name="注释 2 5 8 9 2" xfId="30668" xr:uid="{00000000-0005-0000-0000-0000FC770000}"/>
    <cellStyle name="注释 2 5 9" xfId="42228" xr:uid="{00000000-0005-0000-0000-000024A50000}"/>
    <cellStyle name="注释 2 5 9 10" xfId="44026" xr:uid="{00000000-0005-0000-0000-00002AAC0000}"/>
    <cellStyle name="注释 2 5 9 10 2" xfId="20720" xr:uid="{00000000-0005-0000-0000-000020510000}"/>
    <cellStyle name="注释 2 5 9 11" xfId="41581" xr:uid="{00000000-0005-0000-0000-00009DA20000}"/>
    <cellStyle name="注释 2 5 9 11 2" xfId="44028" xr:uid="{00000000-0005-0000-0000-00002CAC0000}"/>
    <cellStyle name="注释 2 5 9 12" xfId="44030" xr:uid="{00000000-0005-0000-0000-00002EAC0000}"/>
    <cellStyle name="注释 2 5 9 12 2" xfId="53922" xr:uid="{00000000-0005-0000-0000-0000D2D20000}"/>
    <cellStyle name="注释 2 5 9 13" xfId="1393" xr:uid="{00000000-0005-0000-0000-0000A1050000}"/>
    <cellStyle name="注释 2 5 9 14" xfId="32381" xr:uid="{00000000-0005-0000-0000-0000AD7E0000}"/>
    <cellStyle name="注释 2 5 9 15" xfId="53923" xr:uid="{00000000-0005-0000-0000-0000D3D20000}"/>
    <cellStyle name="注释 2 5 9 16" xfId="53924" xr:uid="{00000000-0005-0000-0000-0000D4D20000}"/>
    <cellStyle name="注释 2 5 9 2" xfId="49457" xr:uid="{00000000-0005-0000-0000-000061C10000}"/>
    <cellStyle name="注释 2 5 9 2 2" xfId="49459" xr:uid="{00000000-0005-0000-0000-000063C10000}"/>
    <cellStyle name="注释 2 5 9 2 2 2" xfId="52387" xr:uid="{00000000-0005-0000-0000-0000D3CC0000}"/>
    <cellStyle name="注释 2 5 9 2 3" xfId="53925" xr:uid="{00000000-0005-0000-0000-0000D5D20000}"/>
    <cellStyle name="注释 2 5 9 2 3 2" xfId="52394" xr:uid="{00000000-0005-0000-0000-0000DACC0000}"/>
    <cellStyle name="注释 2 5 9 2 4" xfId="36285" xr:uid="{00000000-0005-0000-0000-0000ED8D0000}"/>
    <cellStyle name="注释 2 5 9 2 4 2" xfId="52399" xr:uid="{00000000-0005-0000-0000-0000DFCC0000}"/>
    <cellStyle name="注释 2 5 9 2 5" xfId="53926" xr:uid="{00000000-0005-0000-0000-0000D6D20000}"/>
    <cellStyle name="注释 2 5 9 2 5 2" xfId="38650" xr:uid="{00000000-0005-0000-0000-00002A970000}"/>
    <cellStyle name="注释 2 5 9 2 6" xfId="22035" xr:uid="{00000000-0005-0000-0000-000043560000}"/>
    <cellStyle name="注释 2 5 9 2 7" xfId="22040" xr:uid="{00000000-0005-0000-0000-000048560000}"/>
    <cellStyle name="注释 2 5 9 2 8" xfId="22044" xr:uid="{00000000-0005-0000-0000-00004C560000}"/>
    <cellStyle name="注释 2 5 9 2 9" xfId="22048" xr:uid="{00000000-0005-0000-0000-000050560000}"/>
    <cellStyle name="注释 2 5 9 3" xfId="10664" xr:uid="{00000000-0005-0000-0000-0000D8290000}"/>
    <cellStyle name="注释 2 5 9 3 2" xfId="37167" xr:uid="{00000000-0005-0000-0000-00005F910000}"/>
    <cellStyle name="注释 2 5 9 3 2 2" xfId="52428" xr:uid="{00000000-0005-0000-0000-0000FCCC0000}"/>
    <cellStyle name="注释 2 5 9 3 3" xfId="37170" xr:uid="{00000000-0005-0000-0000-000062910000}"/>
    <cellStyle name="注释 2 5 9 3 3 2" xfId="52434" xr:uid="{00000000-0005-0000-0000-000002CD0000}"/>
    <cellStyle name="注释 2 5 9 3 4" xfId="36290" xr:uid="{00000000-0005-0000-0000-0000F28D0000}"/>
    <cellStyle name="注释 2 5 9 3 4 2" xfId="52437" xr:uid="{00000000-0005-0000-0000-000005CD0000}"/>
    <cellStyle name="注释 2 5 9 3 5" xfId="37172" xr:uid="{00000000-0005-0000-0000-000064910000}"/>
    <cellStyle name="注释 2 5 9 3 5 2" xfId="52441" xr:uid="{00000000-0005-0000-0000-000009CD0000}"/>
    <cellStyle name="注释 2 5 9 3 6" xfId="22056" xr:uid="{00000000-0005-0000-0000-000058560000}"/>
    <cellStyle name="注释 2 5 9 4" xfId="28803" xr:uid="{00000000-0005-0000-0000-0000B3700000}"/>
    <cellStyle name="注释 2 5 9 4 2" xfId="28806" xr:uid="{00000000-0005-0000-0000-0000B6700000}"/>
    <cellStyle name="注释 2 5 9 4 2 2" xfId="52480" xr:uid="{00000000-0005-0000-0000-000030CD0000}"/>
    <cellStyle name="注释 2 5 9 4 3" xfId="31709" xr:uid="{00000000-0005-0000-0000-00000D7C0000}"/>
    <cellStyle name="注释 2 5 9 4 3 2" xfId="31712" xr:uid="{00000000-0005-0000-0000-0000107C0000}"/>
    <cellStyle name="注释 2 5 9 4 4" xfId="31715" xr:uid="{00000000-0005-0000-0000-0000137C0000}"/>
    <cellStyle name="注释 2 5 9 4 4 2" xfId="31718" xr:uid="{00000000-0005-0000-0000-0000167C0000}"/>
    <cellStyle name="注释 2 5 9 4 5" xfId="31724" xr:uid="{00000000-0005-0000-0000-00001C7C0000}"/>
    <cellStyle name="注释 2 5 9 4 5 2" xfId="31726" xr:uid="{00000000-0005-0000-0000-00001E7C0000}"/>
    <cellStyle name="注释 2 5 9 4 6" xfId="22084" xr:uid="{00000000-0005-0000-0000-000074560000}"/>
    <cellStyle name="注释 2 5 9 5" xfId="28809" xr:uid="{00000000-0005-0000-0000-0000B9700000}"/>
    <cellStyle name="注释 2 5 9 5 2" xfId="28817" xr:uid="{00000000-0005-0000-0000-0000C1700000}"/>
    <cellStyle name="注释 2 5 9 5 2 2" xfId="52528" xr:uid="{00000000-0005-0000-0000-000060CD0000}"/>
    <cellStyle name="注释 2 5 9 5 3" xfId="48110" xr:uid="{00000000-0005-0000-0000-00001EBC0000}"/>
    <cellStyle name="注释 2 5 9 5 3 2" xfId="17257" xr:uid="{00000000-0005-0000-0000-000099430000}"/>
    <cellStyle name="注释 2 5 9 5 4" xfId="53927" xr:uid="{00000000-0005-0000-0000-0000D7D20000}"/>
    <cellStyle name="注释 2 5 9 5 4 2" xfId="13865" xr:uid="{00000000-0005-0000-0000-000059360000}"/>
    <cellStyle name="注释 2 5 9 5 5" xfId="53929" xr:uid="{00000000-0005-0000-0000-0000D9D20000}"/>
    <cellStyle name="注释 2 5 9 5 5 2" xfId="10230" xr:uid="{00000000-0005-0000-0000-000026280000}"/>
    <cellStyle name="注释 2 5 9 5 6" xfId="22111" xr:uid="{00000000-0005-0000-0000-00008F560000}"/>
    <cellStyle name="注释 2 5 9 6" xfId="28820" xr:uid="{00000000-0005-0000-0000-0000C4700000}"/>
    <cellStyle name="注释 2 5 9 6 2" xfId="28827" xr:uid="{00000000-0005-0000-0000-0000CB700000}"/>
    <cellStyle name="注释 2 5 9 6 2 2" xfId="52543" xr:uid="{00000000-0005-0000-0000-00006FCD0000}"/>
    <cellStyle name="注释 2 5 9 6 3" xfId="22432" xr:uid="{00000000-0005-0000-0000-0000D0570000}"/>
    <cellStyle name="注释 2 5 9 6 3 2" xfId="17342" xr:uid="{00000000-0005-0000-0000-0000EE430000}"/>
    <cellStyle name="注释 2 5 9 6 4" xfId="53931" xr:uid="{00000000-0005-0000-0000-0000DBD20000}"/>
    <cellStyle name="注释 2 5 9 6 4 2" xfId="17370" xr:uid="{00000000-0005-0000-0000-00000A440000}"/>
    <cellStyle name="注释 2 5 9 6 5" xfId="53933" xr:uid="{00000000-0005-0000-0000-0000DDD20000}"/>
    <cellStyle name="注释 2 5 9 6 5 2" xfId="10544" xr:uid="{00000000-0005-0000-0000-000060290000}"/>
    <cellStyle name="注释 2 5 9 6 6" xfId="22120" xr:uid="{00000000-0005-0000-0000-000098560000}"/>
    <cellStyle name="注释 2 5 9 7" xfId="27852" xr:uid="{00000000-0005-0000-0000-0000FC6C0000}"/>
    <cellStyle name="注释 2 5 9 7 2" xfId="28830" xr:uid="{00000000-0005-0000-0000-0000CE700000}"/>
    <cellStyle name="注释 2 5 9 7 2 2" xfId="53935" xr:uid="{00000000-0005-0000-0000-0000DFD20000}"/>
    <cellStyle name="注释 2 5 9 7 3" xfId="7884" xr:uid="{00000000-0005-0000-0000-0000FC1E0000}"/>
    <cellStyle name="注释 2 5 9 7 3 2" xfId="53937" xr:uid="{00000000-0005-0000-0000-0000E1D20000}"/>
    <cellStyle name="注释 2 5 9 7 4" xfId="53939" xr:uid="{00000000-0005-0000-0000-0000E3D20000}"/>
    <cellStyle name="注释 2 5 9 7 4 2" xfId="53941" xr:uid="{00000000-0005-0000-0000-0000E5D20000}"/>
    <cellStyle name="注释 2 5 9 7 5" xfId="53943" xr:uid="{00000000-0005-0000-0000-0000E7D20000}"/>
    <cellStyle name="注释 2 5 9 7 5 2" xfId="35833" xr:uid="{00000000-0005-0000-0000-0000298C0000}"/>
    <cellStyle name="注释 2 5 9 7 6" xfId="22128" xr:uid="{00000000-0005-0000-0000-0000A0560000}"/>
    <cellStyle name="注释 2 5 9 8" xfId="28832" xr:uid="{00000000-0005-0000-0000-0000D0700000}"/>
    <cellStyle name="注释 2 5 9 8 2" xfId="37247" xr:uid="{00000000-0005-0000-0000-0000AF910000}"/>
    <cellStyle name="注释 2 5 9 8 2 2" xfId="53945" xr:uid="{00000000-0005-0000-0000-0000E9D20000}"/>
    <cellStyle name="注释 2 5 9 8 3" xfId="7905" xr:uid="{00000000-0005-0000-0000-0000111F0000}"/>
    <cellStyle name="注释 2 5 9 8 3 2" xfId="53947" xr:uid="{00000000-0005-0000-0000-0000EBD20000}"/>
    <cellStyle name="注释 2 5 9 8 4" xfId="37250" xr:uid="{00000000-0005-0000-0000-0000B2910000}"/>
    <cellStyle name="注释 2 5 9 8 4 2" xfId="53949" xr:uid="{00000000-0005-0000-0000-0000EDD20000}"/>
    <cellStyle name="注释 2 5 9 8 5" xfId="37253" xr:uid="{00000000-0005-0000-0000-0000B5910000}"/>
    <cellStyle name="注释 2 5 9 9" xfId="46159" xr:uid="{00000000-0005-0000-0000-00007FB40000}"/>
    <cellStyle name="注释 2 5 9 9 2" xfId="46171" xr:uid="{00000000-0005-0000-0000-00008BB40000}"/>
    <cellStyle name="注释 2 6" xfId="53951" xr:uid="{00000000-0005-0000-0000-0000EFD20000}"/>
    <cellStyle name="注释 2 6 10" xfId="53953" xr:uid="{00000000-0005-0000-0000-0000F1D20000}"/>
    <cellStyle name="注释 2 6 10 10" xfId="53954" xr:uid="{00000000-0005-0000-0000-0000F2D20000}"/>
    <cellStyle name="注释 2 6 10 10 2" xfId="53955" xr:uid="{00000000-0005-0000-0000-0000F3D20000}"/>
    <cellStyle name="注释 2 6 10 11" xfId="43733" xr:uid="{00000000-0005-0000-0000-000005AB0000}"/>
    <cellStyle name="注释 2 6 10 11 2" xfId="43735" xr:uid="{00000000-0005-0000-0000-000007AB0000}"/>
    <cellStyle name="注释 2 6 10 12" xfId="43737" xr:uid="{00000000-0005-0000-0000-000009AB0000}"/>
    <cellStyle name="注释 2 6 10 12 2" xfId="43739" xr:uid="{00000000-0005-0000-0000-00000BAB0000}"/>
    <cellStyle name="注释 2 6 10 13" xfId="43741" xr:uid="{00000000-0005-0000-0000-00000DAB0000}"/>
    <cellStyle name="注释 2 6 10 14" xfId="41530" xr:uid="{00000000-0005-0000-0000-00006AA20000}"/>
    <cellStyle name="注释 2 6 10 15" xfId="43745" xr:uid="{00000000-0005-0000-0000-000011AB0000}"/>
    <cellStyle name="注释 2 6 10 16" xfId="53956" xr:uid="{00000000-0005-0000-0000-0000F4D20000}"/>
    <cellStyle name="注释 2 6 10 2" xfId="53957" xr:uid="{00000000-0005-0000-0000-0000F5D20000}"/>
    <cellStyle name="注释 2 6 10 2 2" xfId="53958" xr:uid="{00000000-0005-0000-0000-0000F6D20000}"/>
    <cellStyle name="注释 2 6 10 2 2 2" xfId="53959" xr:uid="{00000000-0005-0000-0000-0000F7D20000}"/>
    <cellStyle name="注释 2 6 10 2 3" xfId="3258" xr:uid="{00000000-0005-0000-0000-0000EA0C0000}"/>
    <cellStyle name="注释 2 6 10 2 3 2" xfId="53960" xr:uid="{00000000-0005-0000-0000-0000F8D20000}"/>
    <cellStyle name="注释 2 6 10 2 4" xfId="53884" xr:uid="{00000000-0005-0000-0000-0000ACD20000}"/>
    <cellStyle name="注释 2 6 10 2 4 2" xfId="53961" xr:uid="{00000000-0005-0000-0000-0000F9D20000}"/>
    <cellStyle name="注释 2 6 10 2 5" xfId="53962" xr:uid="{00000000-0005-0000-0000-0000FAD20000}"/>
    <cellStyle name="注释 2 6 10 2 5 2" xfId="53963" xr:uid="{00000000-0005-0000-0000-0000FBD20000}"/>
    <cellStyle name="注释 2 6 10 2 6" xfId="53964" xr:uid="{00000000-0005-0000-0000-0000FCD20000}"/>
    <cellStyle name="注释 2 6 10 2 7" xfId="14587" xr:uid="{00000000-0005-0000-0000-00002B390000}"/>
    <cellStyle name="注释 2 6 10 2 8" xfId="14590" xr:uid="{00000000-0005-0000-0000-00002E390000}"/>
    <cellStyle name="注释 2 6 10 2 9" xfId="14593" xr:uid="{00000000-0005-0000-0000-000031390000}"/>
    <cellStyle name="注释 2 6 10 3" xfId="27819" xr:uid="{00000000-0005-0000-0000-0000DB6C0000}"/>
    <cellStyle name="注释 2 6 10 3 2" xfId="53965" xr:uid="{00000000-0005-0000-0000-0000FDD20000}"/>
    <cellStyle name="注释 2 6 10 3 2 2" xfId="53966" xr:uid="{00000000-0005-0000-0000-0000FED20000}"/>
    <cellStyle name="注释 2 6 10 3 3" xfId="26258" xr:uid="{00000000-0005-0000-0000-0000C2660000}"/>
    <cellStyle name="注释 2 6 10 3 3 2" xfId="53967" xr:uid="{00000000-0005-0000-0000-0000FFD20000}"/>
    <cellStyle name="注释 2 6 10 3 4" xfId="21856" xr:uid="{00000000-0005-0000-0000-000090550000}"/>
    <cellStyle name="注释 2 6 10 3 4 2" xfId="53968" xr:uid="{00000000-0005-0000-0000-000000D30000}"/>
    <cellStyle name="注释 2 6 10 3 5" xfId="53969" xr:uid="{00000000-0005-0000-0000-000001D30000}"/>
    <cellStyle name="注释 2 6 10 3 5 2" xfId="53970" xr:uid="{00000000-0005-0000-0000-000002D30000}"/>
    <cellStyle name="注释 2 6 10 3 6" xfId="53971" xr:uid="{00000000-0005-0000-0000-000003D30000}"/>
    <cellStyle name="注释 2 6 10 4" xfId="53972" xr:uid="{00000000-0005-0000-0000-000004D30000}"/>
    <cellStyle name="注释 2 6 10 4 2" xfId="53973" xr:uid="{00000000-0005-0000-0000-000005D30000}"/>
    <cellStyle name="注释 2 6 10 4 2 2" xfId="53974" xr:uid="{00000000-0005-0000-0000-000006D30000}"/>
    <cellStyle name="注释 2 6 10 4 3" xfId="26267" xr:uid="{00000000-0005-0000-0000-0000CB660000}"/>
    <cellStyle name="注释 2 6 10 4 3 2" xfId="53975" xr:uid="{00000000-0005-0000-0000-000007D30000}"/>
    <cellStyle name="注释 2 6 10 4 4" xfId="21858" xr:uid="{00000000-0005-0000-0000-000092550000}"/>
    <cellStyle name="注释 2 6 10 4 4 2" xfId="53976" xr:uid="{00000000-0005-0000-0000-000008D30000}"/>
    <cellStyle name="注释 2 6 10 4 5" xfId="53977" xr:uid="{00000000-0005-0000-0000-000009D30000}"/>
    <cellStyle name="注释 2 6 10 4 5 2" xfId="53978" xr:uid="{00000000-0005-0000-0000-00000AD30000}"/>
    <cellStyle name="注释 2 6 10 4 6" xfId="53979" xr:uid="{00000000-0005-0000-0000-00000BD30000}"/>
    <cellStyle name="注释 2 6 10 5" xfId="53980" xr:uid="{00000000-0005-0000-0000-00000CD30000}"/>
    <cellStyle name="注释 2 6 10 5 2" xfId="53981" xr:uid="{00000000-0005-0000-0000-00000DD30000}"/>
    <cellStyle name="注释 2 6 10 5 2 2" xfId="53982" xr:uid="{00000000-0005-0000-0000-00000ED30000}"/>
    <cellStyle name="注释 2 6 10 5 3" xfId="27957" xr:uid="{00000000-0005-0000-0000-0000656D0000}"/>
    <cellStyle name="注释 2 6 10 5 3 2" xfId="50683" xr:uid="{00000000-0005-0000-0000-00002BC60000}"/>
    <cellStyle name="注释 2 6 10 5 4" xfId="21860" xr:uid="{00000000-0005-0000-0000-000094550000}"/>
    <cellStyle name="注释 2 6 10 5 4 2" xfId="53983" xr:uid="{00000000-0005-0000-0000-00000FD30000}"/>
    <cellStyle name="注释 2 6 10 5 5" xfId="53984" xr:uid="{00000000-0005-0000-0000-000010D30000}"/>
    <cellStyle name="注释 2 6 10 5 5 2" xfId="53985" xr:uid="{00000000-0005-0000-0000-000011D30000}"/>
    <cellStyle name="注释 2 6 10 5 6" xfId="53986" xr:uid="{00000000-0005-0000-0000-000012D30000}"/>
    <cellStyle name="注释 2 6 10 6" xfId="53987" xr:uid="{00000000-0005-0000-0000-000013D30000}"/>
    <cellStyle name="注释 2 6 10 6 2" xfId="53988" xr:uid="{00000000-0005-0000-0000-000014D30000}"/>
    <cellStyle name="注释 2 6 10 6 2 2" xfId="53989" xr:uid="{00000000-0005-0000-0000-000015D30000}"/>
    <cellStyle name="注释 2 6 10 6 3" xfId="53990" xr:uid="{00000000-0005-0000-0000-000016D30000}"/>
    <cellStyle name="注释 2 6 10 6 3 2" xfId="53991" xr:uid="{00000000-0005-0000-0000-000017D30000}"/>
    <cellStyle name="注释 2 6 10 6 4" xfId="53992" xr:uid="{00000000-0005-0000-0000-000018D30000}"/>
    <cellStyle name="注释 2 6 10 6 4 2" xfId="53993" xr:uid="{00000000-0005-0000-0000-000019D30000}"/>
    <cellStyle name="注释 2 6 10 6 5" xfId="53994" xr:uid="{00000000-0005-0000-0000-00001AD30000}"/>
    <cellStyle name="注释 2 6 10 6 5 2" xfId="53995" xr:uid="{00000000-0005-0000-0000-00001BD30000}"/>
    <cellStyle name="注释 2 6 10 6 6" xfId="53996" xr:uid="{00000000-0005-0000-0000-00001CD30000}"/>
    <cellStyle name="注释 2 6 10 7" xfId="20107" xr:uid="{00000000-0005-0000-0000-0000BB4E0000}"/>
    <cellStyle name="注释 2 6 10 7 2" xfId="53997" xr:uid="{00000000-0005-0000-0000-00001DD30000}"/>
    <cellStyle name="注释 2 6 10 7 2 2" xfId="53998" xr:uid="{00000000-0005-0000-0000-00001ED30000}"/>
    <cellStyle name="注释 2 6 10 7 3" xfId="53999" xr:uid="{00000000-0005-0000-0000-00001FD30000}"/>
    <cellStyle name="注释 2 6 10 7 3 2" xfId="54000" xr:uid="{00000000-0005-0000-0000-000020D30000}"/>
    <cellStyle name="注释 2 6 10 7 4" xfId="54001" xr:uid="{00000000-0005-0000-0000-000021D30000}"/>
    <cellStyle name="注释 2 6 10 7 4 2" xfId="54002" xr:uid="{00000000-0005-0000-0000-000022D30000}"/>
    <cellStyle name="注释 2 6 10 7 5" xfId="54003" xr:uid="{00000000-0005-0000-0000-000023D30000}"/>
    <cellStyle name="注释 2 6 10 7 5 2" xfId="54004" xr:uid="{00000000-0005-0000-0000-000024D30000}"/>
    <cellStyle name="注释 2 6 10 7 6" xfId="51570" xr:uid="{00000000-0005-0000-0000-0000A2C90000}"/>
    <cellStyle name="注释 2 6 10 8" xfId="54005" xr:uid="{00000000-0005-0000-0000-000025D30000}"/>
    <cellStyle name="注释 2 6 10 8 2" xfId="54006" xr:uid="{00000000-0005-0000-0000-000026D30000}"/>
    <cellStyle name="注释 2 6 10 8 2 2" xfId="54007" xr:uid="{00000000-0005-0000-0000-000027D30000}"/>
    <cellStyle name="注释 2 6 10 8 3" xfId="54008" xr:uid="{00000000-0005-0000-0000-000028D30000}"/>
    <cellStyle name="注释 2 6 10 8 3 2" xfId="54009" xr:uid="{00000000-0005-0000-0000-000029D30000}"/>
    <cellStyle name="注释 2 6 10 8 4" xfId="54010" xr:uid="{00000000-0005-0000-0000-00002AD30000}"/>
    <cellStyle name="注释 2 6 10 8 4 2" xfId="54011" xr:uid="{00000000-0005-0000-0000-00002BD30000}"/>
    <cellStyle name="注释 2 6 10 8 5" xfId="54012" xr:uid="{00000000-0005-0000-0000-00002CD30000}"/>
    <cellStyle name="注释 2 6 10 9" xfId="54013" xr:uid="{00000000-0005-0000-0000-00002DD30000}"/>
    <cellStyle name="注释 2 6 10 9 2" xfId="54014" xr:uid="{00000000-0005-0000-0000-00002ED30000}"/>
    <cellStyle name="注释 2 6 11" xfId="45313" xr:uid="{00000000-0005-0000-0000-000031B10000}"/>
    <cellStyle name="注释 2 6 11 10" xfId="54015" xr:uid="{00000000-0005-0000-0000-00002FD30000}"/>
    <cellStyle name="注释 2 6 11 10 2" xfId="54016" xr:uid="{00000000-0005-0000-0000-000030D30000}"/>
    <cellStyle name="注释 2 6 11 11" xfId="54017" xr:uid="{00000000-0005-0000-0000-000031D30000}"/>
    <cellStyle name="注释 2 6 11 11 2" xfId="54018" xr:uid="{00000000-0005-0000-0000-000032D30000}"/>
    <cellStyle name="注释 2 6 11 12" xfId="54019" xr:uid="{00000000-0005-0000-0000-000033D30000}"/>
    <cellStyle name="注释 2 6 11 12 2" xfId="54020" xr:uid="{00000000-0005-0000-0000-000034D30000}"/>
    <cellStyle name="注释 2 6 11 13" xfId="36750" xr:uid="{00000000-0005-0000-0000-0000BE8F0000}"/>
    <cellStyle name="注释 2 6 11 14" xfId="54021" xr:uid="{00000000-0005-0000-0000-000035D30000}"/>
    <cellStyle name="注释 2 6 11 15" xfId="54022" xr:uid="{00000000-0005-0000-0000-000036D30000}"/>
    <cellStyle name="注释 2 6 11 16" xfId="54023" xr:uid="{00000000-0005-0000-0000-000037D30000}"/>
    <cellStyle name="注释 2 6 11 2" xfId="54024" xr:uid="{00000000-0005-0000-0000-000038D30000}"/>
    <cellStyle name="注释 2 6 11 2 2" xfId="54025" xr:uid="{00000000-0005-0000-0000-000039D30000}"/>
    <cellStyle name="注释 2 6 11 2 2 2" xfId="54026" xr:uid="{00000000-0005-0000-0000-00003AD30000}"/>
    <cellStyle name="注释 2 6 11 2 3" xfId="301" xr:uid="{00000000-0005-0000-0000-00004C010000}"/>
    <cellStyle name="注释 2 6 11 2 3 2" xfId="54027" xr:uid="{00000000-0005-0000-0000-00003BD30000}"/>
    <cellStyle name="注释 2 6 11 2 4" xfId="53889" xr:uid="{00000000-0005-0000-0000-0000B1D20000}"/>
    <cellStyle name="注释 2 6 11 2 4 2" xfId="54028" xr:uid="{00000000-0005-0000-0000-00003CD30000}"/>
    <cellStyle name="注释 2 6 11 2 5" xfId="54029" xr:uid="{00000000-0005-0000-0000-00003DD30000}"/>
    <cellStyle name="注释 2 6 11 2 5 2" xfId="54030" xr:uid="{00000000-0005-0000-0000-00003ED30000}"/>
    <cellStyle name="注释 2 6 11 2 6" xfId="54031" xr:uid="{00000000-0005-0000-0000-00003FD30000}"/>
    <cellStyle name="注释 2 6 11 3" xfId="27829" xr:uid="{00000000-0005-0000-0000-0000E56C0000}"/>
    <cellStyle name="注释 2 6 11 3 2" xfId="54032" xr:uid="{00000000-0005-0000-0000-000040D30000}"/>
    <cellStyle name="注释 2 6 11 3 2 2" xfId="54033" xr:uid="{00000000-0005-0000-0000-000041D30000}"/>
    <cellStyle name="注释 2 6 11 3 3" xfId="26281" xr:uid="{00000000-0005-0000-0000-0000D9660000}"/>
    <cellStyle name="注释 2 6 11 3 3 2" xfId="54034" xr:uid="{00000000-0005-0000-0000-000042D30000}"/>
    <cellStyle name="注释 2 6 11 3 4" xfId="54035" xr:uid="{00000000-0005-0000-0000-000043D30000}"/>
    <cellStyle name="注释 2 6 11 3 4 2" xfId="54036" xr:uid="{00000000-0005-0000-0000-000044D30000}"/>
    <cellStyle name="注释 2 6 11 3 5" xfId="54037" xr:uid="{00000000-0005-0000-0000-000045D30000}"/>
    <cellStyle name="注释 2 6 11 3 5 2" xfId="54038" xr:uid="{00000000-0005-0000-0000-000046D30000}"/>
    <cellStyle name="注释 2 6 11 3 6" xfId="54039" xr:uid="{00000000-0005-0000-0000-000047D30000}"/>
    <cellStyle name="注释 2 6 11 4" xfId="54040" xr:uid="{00000000-0005-0000-0000-000048D30000}"/>
    <cellStyle name="注释 2 6 11 4 2" xfId="54041" xr:uid="{00000000-0005-0000-0000-000049D30000}"/>
    <cellStyle name="注释 2 6 11 4 2 2" xfId="54042" xr:uid="{00000000-0005-0000-0000-00004AD30000}"/>
    <cellStyle name="注释 2 6 11 4 3" xfId="26284" xr:uid="{00000000-0005-0000-0000-0000DC660000}"/>
    <cellStyle name="注释 2 6 11 4 3 2" xfId="54043" xr:uid="{00000000-0005-0000-0000-00004BD30000}"/>
    <cellStyle name="注释 2 6 11 4 4" xfId="54044" xr:uid="{00000000-0005-0000-0000-00004CD30000}"/>
    <cellStyle name="注释 2 6 11 4 4 2" xfId="54045" xr:uid="{00000000-0005-0000-0000-00004DD30000}"/>
    <cellStyle name="注释 2 6 11 4 5" xfId="54046" xr:uid="{00000000-0005-0000-0000-00004ED30000}"/>
    <cellStyle name="注释 2 6 11 4 5 2" xfId="54047" xr:uid="{00000000-0005-0000-0000-00004FD30000}"/>
    <cellStyle name="注释 2 6 11 4 6" xfId="54048" xr:uid="{00000000-0005-0000-0000-000050D30000}"/>
    <cellStyle name="注释 2 6 11 5" xfId="54049" xr:uid="{00000000-0005-0000-0000-000051D30000}"/>
    <cellStyle name="注释 2 6 11 5 2" xfId="54050" xr:uid="{00000000-0005-0000-0000-000052D30000}"/>
    <cellStyle name="注释 2 6 11 5 2 2" xfId="54051" xr:uid="{00000000-0005-0000-0000-000053D30000}"/>
    <cellStyle name="注释 2 6 11 5 3" xfId="54052" xr:uid="{00000000-0005-0000-0000-000054D30000}"/>
    <cellStyle name="注释 2 6 11 5 3 2" xfId="54053" xr:uid="{00000000-0005-0000-0000-000055D30000}"/>
    <cellStyle name="注释 2 6 11 5 4" xfId="54054" xr:uid="{00000000-0005-0000-0000-000056D30000}"/>
    <cellStyle name="注释 2 6 11 5 4 2" xfId="54055" xr:uid="{00000000-0005-0000-0000-000057D30000}"/>
    <cellStyle name="注释 2 6 11 5 5" xfId="54056" xr:uid="{00000000-0005-0000-0000-000058D30000}"/>
    <cellStyle name="注释 2 6 11 5 5 2" xfId="54057" xr:uid="{00000000-0005-0000-0000-000059D30000}"/>
    <cellStyle name="注释 2 6 11 5 6" xfId="54058" xr:uid="{00000000-0005-0000-0000-00005AD30000}"/>
    <cellStyle name="注释 2 6 11 6" xfId="54059" xr:uid="{00000000-0005-0000-0000-00005BD30000}"/>
    <cellStyle name="注释 2 6 11 6 2" xfId="54061" xr:uid="{00000000-0005-0000-0000-00005DD30000}"/>
    <cellStyle name="注释 2 6 11 6 2 2" xfId="54062" xr:uid="{00000000-0005-0000-0000-00005ED30000}"/>
    <cellStyle name="注释 2 6 11 6 3" xfId="54063" xr:uid="{00000000-0005-0000-0000-00005FD30000}"/>
    <cellStyle name="注释 2 6 11 6 3 2" xfId="54064" xr:uid="{00000000-0005-0000-0000-000060D30000}"/>
    <cellStyle name="注释 2 6 11 6 4" xfId="54065" xr:uid="{00000000-0005-0000-0000-000061D30000}"/>
    <cellStyle name="注释 2 6 11 6 4 2" xfId="54066" xr:uid="{00000000-0005-0000-0000-000062D30000}"/>
    <cellStyle name="注释 2 6 11 6 5" xfId="54067" xr:uid="{00000000-0005-0000-0000-000063D30000}"/>
    <cellStyle name="注释 2 6 11 6 5 2" xfId="54068" xr:uid="{00000000-0005-0000-0000-000064D30000}"/>
    <cellStyle name="注释 2 6 11 6 6" xfId="54069" xr:uid="{00000000-0005-0000-0000-000065D30000}"/>
    <cellStyle name="注释 2 6 11 7" xfId="19619" xr:uid="{00000000-0005-0000-0000-0000D34C0000}"/>
    <cellStyle name="注释 2 6 11 7 2" xfId="54070" xr:uid="{00000000-0005-0000-0000-000066D30000}"/>
    <cellStyle name="注释 2 6 11 7 2 2" xfId="52115" xr:uid="{00000000-0005-0000-0000-0000C3CB0000}"/>
    <cellStyle name="注释 2 6 11 7 3" xfId="30784" xr:uid="{00000000-0005-0000-0000-000070780000}"/>
    <cellStyle name="注释 2 6 11 7 3 2" xfId="30787" xr:uid="{00000000-0005-0000-0000-000073780000}"/>
    <cellStyle name="注释 2 6 11 7 4" xfId="30791" xr:uid="{00000000-0005-0000-0000-000077780000}"/>
    <cellStyle name="注释 2 6 11 7 4 2" xfId="30795" xr:uid="{00000000-0005-0000-0000-00007B780000}"/>
    <cellStyle name="注释 2 6 11 7 5" xfId="30799" xr:uid="{00000000-0005-0000-0000-00007F780000}"/>
    <cellStyle name="注释 2 6 11 7 5 2" xfId="30803" xr:uid="{00000000-0005-0000-0000-000083780000}"/>
    <cellStyle name="注释 2 6 11 7 6" xfId="30807" xr:uid="{00000000-0005-0000-0000-000087780000}"/>
    <cellStyle name="注释 2 6 11 8" xfId="54071" xr:uid="{00000000-0005-0000-0000-000067D30000}"/>
    <cellStyle name="注释 2 6 11 8 2" xfId="54072" xr:uid="{00000000-0005-0000-0000-000068D30000}"/>
    <cellStyle name="注释 2 6 11 8 2 2" xfId="54073" xr:uid="{00000000-0005-0000-0000-000069D30000}"/>
    <cellStyle name="注释 2 6 11 8 3" xfId="30826" xr:uid="{00000000-0005-0000-0000-00009A780000}"/>
    <cellStyle name="注释 2 6 11 8 3 2" xfId="30829" xr:uid="{00000000-0005-0000-0000-00009D780000}"/>
    <cellStyle name="注释 2 6 11 8 4" xfId="30832" xr:uid="{00000000-0005-0000-0000-0000A0780000}"/>
    <cellStyle name="注释 2 6 11 8 4 2" xfId="30835" xr:uid="{00000000-0005-0000-0000-0000A3780000}"/>
    <cellStyle name="注释 2 6 11 8 5" xfId="30838" xr:uid="{00000000-0005-0000-0000-0000A6780000}"/>
    <cellStyle name="注释 2 6 11 9" xfId="54074" xr:uid="{00000000-0005-0000-0000-00006AD30000}"/>
    <cellStyle name="注释 2 6 11 9 2" xfId="54075" xr:uid="{00000000-0005-0000-0000-00006BD30000}"/>
    <cellStyle name="注释 2 6 12" xfId="54076" xr:uid="{00000000-0005-0000-0000-00006CD30000}"/>
    <cellStyle name="注释 2 6 12 2" xfId="54077" xr:uid="{00000000-0005-0000-0000-00006DD30000}"/>
    <cellStyle name="注释 2 6 12 2 2" xfId="54078" xr:uid="{00000000-0005-0000-0000-00006ED30000}"/>
    <cellStyle name="注释 2 6 12 3" xfId="54079" xr:uid="{00000000-0005-0000-0000-00006FD30000}"/>
    <cellStyle name="注释 2 6 12 3 2" xfId="54080" xr:uid="{00000000-0005-0000-0000-000070D30000}"/>
    <cellStyle name="注释 2 6 12 4" xfId="54081" xr:uid="{00000000-0005-0000-0000-000071D30000}"/>
    <cellStyle name="注释 2 6 12 4 2" xfId="54082" xr:uid="{00000000-0005-0000-0000-000072D30000}"/>
    <cellStyle name="注释 2 6 12 5" xfId="54083" xr:uid="{00000000-0005-0000-0000-000073D30000}"/>
    <cellStyle name="注释 2 6 12 5 2" xfId="54084" xr:uid="{00000000-0005-0000-0000-000074D30000}"/>
    <cellStyle name="注释 2 6 12 6" xfId="54085" xr:uid="{00000000-0005-0000-0000-000075D30000}"/>
    <cellStyle name="注释 2 6 12 7" xfId="54087" xr:uid="{00000000-0005-0000-0000-000077D30000}"/>
    <cellStyle name="注释 2 6 12 8" xfId="54088" xr:uid="{00000000-0005-0000-0000-000078D30000}"/>
    <cellStyle name="注释 2 6 12 9" xfId="54089" xr:uid="{00000000-0005-0000-0000-000079D30000}"/>
    <cellStyle name="注释 2 6 13" xfId="54090" xr:uid="{00000000-0005-0000-0000-00007AD30000}"/>
    <cellStyle name="注释 2 6 13 2" xfId="54091" xr:uid="{00000000-0005-0000-0000-00007BD30000}"/>
    <cellStyle name="注释 2 6 13 2 2" xfId="36934" xr:uid="{00000000-0005-0000-0000-000076900000}"/>
    <cellStyle name="注释 2 6 13 3" xfId="54092" xr:uid="{00000000-0005-0000-0000-00007CD30000}"/>
    <cellStyle name="注释 2 6 13 3 2" xfId="1986" xr:uid="{00000000-0005-0000-0000-0000F2070000}"/>
    <cellStyle name="注释 2 6 13 4" xfId="54093" xr:uid="{00000000-0005-0000-0000-00007DD30000}"/>
    <cellStyle name="注释 2 6 13 4 2" xfId="36964" xr:uid="{00000000-0005-0000-0000-000094900000}"/>
    <cellStyle name="注释 2 6 13 5" xfId="54094" xr:uid="{00000000-0005-0000-0000-00007ED30000}"/>
    <cellStyle name="注释 2 6 13 5 2" xfId="54095" xr:uid="{00000000-0005-0000-0000-00007FD30000}"/>
    <cellStyle name="注释 2 6 13 6" xfId="54096" xr:uid="{00000000-0005-0000-0000-000080D30000}"/>
    <cellStyle name="注释 2 6 14" xfId="54098" xr:uid="{00000000-0005-0000-0000-000082D30000}"/>
    <cellStyle name="注释 2 6 14 2" xfId="54099" xr:uid="{00000000-0005-0000-0000-000083D30000}"/>
    <cellStyle name="注释 2 6 14 2 2" xfId="36991" xr:uid="{00000000-0005-0000-0000-0000AF900000}"/>
    <cellStyle name="注释 2 6 14 3" xfId="54100" xr:uid="{00000000-0005-0000-0000-000084D30000}"/>
    <cellStyle name="注释 2 6 14 3 2" xfId="37000" xr:uid="{00000000-0005-0000-0000-0000B8900000}"/>
    <cellStyle name="注释 2 6 14 4" xfId="54101" xr:uid="{00000000-0005-0000-0000-000085D30000}"/>
    <cellStyle name="注释 2 6 14 4 2" xfId="37010" xr:uid="{00000000-0005-0000-0000-0000C2900000}"/>
    <cellStyle name="注释 2 6 14 5" xfId="54102" xr:uid="{00000000-0005-0000-0000-000086D30000}"/>
    <cellStyle name="注释 2 6 14 5 2" xfId="54103" xr:uid="{00000000-0005-0000-0000-000087D30000}"/>
    <cellStyle name="注释 2 6 14 6" xfId="54104" xr:uid="{00000000-0005-0000-0000-000088D30000}"/>
    <cellStyle name="注释 2 6 15" xfId="33725" xr:uid="{00000000-0005-0000-0000-0000ED830000}"/>
    <cellStyle name="注释 2 6 15 2" xfId="41243" xr:uid="{00000000-0005-0000-0000-00004BA10000}"/>
    <cellStyle name="注释 2 6 15 2 2" xfId="37037" xr:uid="{00000000-0005-0000-0000-0000DD900000}"/>
    <cellStyle name="注释 2 6 15 3" xfId="54106" xr:uid="{00000000-0005-0000-0000-00008AD30000}"/>
    <cellStyle name="注释 2 6 15 3 2" xfId="37060" xr:uid="{00000000-0005-0000-0000-0000F4900000}"/>
    <cellStyle name="注释 2 6 15 4" xfId="54107" xr:uid="{00000000-0005-0000-0000-00008BD30000}"/>
    <cellStyle name="注释 2 6 15 4 2" xfId="37073" xr:uid="{00000000-0005-0000-0000-000001910000}"/>
    <cellStyle name="注释 2 6 15 5" xfId="31227" xr:uid="{00000000-0005-0000-0000-00002B7A0000}"/>
    <cellStyle name="注释 2 6 15 5 2" xfId="54108" xr:uid="{00000000-0005-0000-0000-00008CD30000}"/>
    <cellStyle name="注释 2 6 15 6" xfId="54109" xr:uid="{00000000-0005-0000-0000-00008DD30000}"/>
    <cellStyle name="注释 2 6 16" xfId="41246" xr:uid="{00000000-0005-0000-0000-00004EA10000}"/>
    <cellStyle name="注释 2 6 16 2" xfId="41249" xr:uid="{00000000-0005-0000-0000-000051A10000}"/>
    <cellStyle name="注释 2 6 16 2 2" xfId="37106" xr:uid="{00000000-0005-0000-0000-000022910000}"/>
    <cellStyle name="注释 2 6 16 3" xfId="54110" xr:uid="{00000000-0005-0000-0000-00008ED30000}"/>
    <cellStyle name="注释 2 6 16 3 2" xfId="37131" xr:uid="{00000000-0005-0000-0000-00003B910000}"/>
    <cellStyle name="注释 2 6 16 4" xfId="54111" xr:uid="{00000000-0005-0000-0000-00008FD30000}"/>
    <cellStyle name="注释 2 6 16 4 2" xfId="37148" xr:uid="{00000000-0005-0000-0000-00004C910000}"/>
    <cellStyle name="注释 2 6 16 5" xfId="31233" xr:uid="{00000000-0005-0000-0000-0000317A0000}"/>
    <cellStyle name="注释 2 6 16 5 2" xfId="54112" xr:uid="{00000000-0005-0000-0000-000090D30000}"/>
    <cellStyle name="注释 2 6 16 6" xfId="54113" xr:uid="{00000000-0005-0000-0000-000091D30000}"/>
    <cellStyle name="注释 2 6 17" xfId="31585" xr:uid="{00000000-0005-0000-0000-0000917B0000}"/>
    <cellStyle name="注释 2 6 17 2" xfId="41252" xr:uid="{00000000-0005-0000-0000-000054A10000}"/>
    <cellStyle name="注释 2 6 17 2 2" xfId="37197" xr:uid="{00000000-0005-0000-0000-00007D910000}"/>
    <cellStyle name="注释 2 6 17 3" xfId="54114" xr:uid="{00000000-0005-0000-0000-000092D30000}"/>
    <cellStyle name="注释 2 6 17 3 2" xfId="37221" xr:uid="{00000000-0005-0000-0000-000095910000}"/>
    <cellStyle name="注释 2 6 17 4" xfId="54115" xr:uid="{00000000-0005-0000-0000-000093D30000}"/>
    <cellStyle name="注释 2 6 17 4 2" xfId="20246" xr:uid="{00000000-0005-0000-0000-0000464F0000}"/>
    <cellStyle name="注释 2 6 17 5" xfId="31238" xr:uid="{00000000-0005-0000-0000-0000367A0000}"/>
    <cellStyle name="注释 2 6 17 5 2" xfId="54116" xr:uid="{00000000-0005-0000-0000-000094D30000}"/>
    <cellStyle name="注释 2 6 17 6" xfId="54117" xr:uid="{00000000-0005-0000-0000-000095D30000}"/>
    <cellStyle name="注释 2 6 18" xfId="22233" xr:uid="{00000000-0005-0000-0000-000009570000}"/>
    <cellStyle name="注释 2 6 18 2" xfId="41255" xr:uid="{00000000-0005-0000-0000-000057A10000}"/>
    <cellStyle name="注释 2 6 18 2 2" xfId="37273" xr:uid="{00000000-0005-0000-0000-0000C9910000}"/>
    <cellStyle name="注释 2 6 18 3" xfId="54118" xr:uid="{00000000-0005-0000-0000-000096D30000}"/>
    <cellStyle name="注释 2 6 18 3 2" xfId="37296" xr:uid="{00000000-0005-0000-0000-0000E0910000}"/>
    <cellStyle name="注释 2 6 18 4" xfId="54119" xr:uid="{00000000-0005-0000-0000-000097D30000}"/>
    <cellStyle name="注释 2 6 18 4 2" xfId="37310" xr:uid="{00000000-0005-0000-0000-0000EE910000}"/>
    <cellStyle name="注释 2 6 18 5" xfId="31244" xr:uid="{00000000-0005-0000-0000-00003C7A0000}"/>
    <cellStyle name="注释 2 6 18 5 2" xfId="54120" xr:uid="{00000000-0005-0000-0000-000098D30000}"/>
    <cellStyle name="注释 2 6 18 6" xfId="54121" xr:uid="{00000000-0005-0000-0000-000099D30000}"/>
    <cellStyle name="注释 2 6 19" xfId="41258" xr:uid="{00000000-0005-0000-0000-00005AA10000}"/>
    <cellStyle name="注释 2 6 19 2" xfId="54122" xr:uid="{00000000-0005-0000-0000-00009AD30000}"/>
    <cellStyle name="注释 2 6 19 2 2" xfId="37351" xr:uid="{00000000-0005-0000-0000-000017920000}"/>
    <cellStyle name="注释 2 6 19 3" xfId="54123" xr:uid="{00000000-0005-0000-0000-00009BD30000}"/>
    <cellStyle name="注释 2 6 19 3 2" xfId="37366" xr:uid="{00000000-0005-0000-0000-000026920000}"/>
    <cellStyle name="注释 2 6 19 4" xfId="54124" xr:uid="{00000000-0005-0000-0000-00009CD30000}"/>
    <cellStyle name="注释 2 6 19 4 2" xfId="37380" xr:uid="{00000000-0005-0000-0000-000034920000}"/>
    <cellStyle name="注释 2 6 19 5" xfId="54125" xr:uid="{00000000-0005-0000-0000-00009DD30000}"/>
    <cellStyle name="注释 2 6 2" xfId="54126" xr:uid="{00000000-0005-0000-0000-00009ED30000}"/>
    <cellStyle name="注释 2 6 2 10" xfId="54127" xr:uid="{00000000-0005-0000-0000-00009FD30000}"/>
    <cellStyle name="注释 2 6 2 10 2" xfId="54128" xr:uid="{00000000-0005-0000-0000-0000A0D30000}"/>
    <cellStyle name="注释 2 6 2 11" xfId="54129" xr:uid="{00000000-0005-0000-0000-0000A1D30000}"/>
    <cellStyle name="注释 2 6 2 11 2" xfId="54130" xr:uid="{00000000-0005-0000-0000-0000A2D30000}"/>
    <cellStyle name="注释 2 6 2 12" xfId="54131" xr:uid="{00000000-0005-0000-0000-0000A3D30000}"/>
    <cellStyle name="注释 2 6 2 12 2" xfId="54132" xr:uid="{00000000-0005-0000-0000-0000A4D30000}"/>
    <cellStyle name="注释 2 6 2 13" xfId="54133" xr:uid="{00000000-0005-0000-0000-0000A5D30000}"/>
    <cellStyle name="注释 2 6 2 14" xfId="54134" xr:uid="{00000000-0005-0000-0000-0000A6D30000}"/>
    <cellStyle name="注释 2 6 2 15" xfId="54135" xr:uid="{00000000-0005-0000-0000-0000A7D30000}"/>
    <cellStyle name="注释 2 6 2 16" xfId="12925" xr:uid="{00000000-0005-0000-0000-0000AD320000}"/>
    <cellStyle name="注释 2 6 2 2" xfId="54136" xr:uid="{00000000-0005-0000-0000-0000A8D30000}"/>
    <cellStyle name="注释 2 6 2 2 2" xfId="54137" xr:uid="{00000000-0005-0000-0000-0000A9D30000}"/>
    <cellStyle name="注释 2 6 2 2 2 2" xfId="54138" xr:uid="{00000000-0005-0000-0000-0000AAD30000}"/>
    <cellStyle name="注释 2 6 2 2 3" xfId="54139" xr:uid="{00000000-0005-0000-0000-0000ABD30000}"/>
    <cellStyle name="注释 2 6 2 2 3 2" xfId="54140" xr:uid="{00000000-0005-0000-0000-0000ACD30000}"/>
    <cellStyle name="注释 2 6 2 2 4" xfId="51668" xr:uid="{00000000-0005-0000-0000-000004CA0000}"/>
    <cellStyle name="注释 2 6 2 2 4 2" xfId="41039" xr:uid="{00000000-0005-0000-0000-00007FA00000}"/>
    <cellStyle name="注释 2 6 2 2 5" xfId="54141" xr:uid="{00000000-0005-0000-0000-0000ADD30000}"/>
    <cellStyle name="注释 2 6 2 2 5 2" xfId="54142" xr:uid="{00000000-0005-0000-0000-0000AED30000}"/>
    <cellStyle name="注释 2 6 2 2 6" xfId="54143" xr:uid="{00000000-0005-0000-0000-0000AFD30000}"/>
    <cellStyle name="注释 2 6 2 2 7" xfId="52825" xr:uid="{00000000-0005-0000-0000-000089CE0000}"/>
    <cellStyle name="注释 2 6 2 2 8" xfId="15004" xr:uid="{00000000-0005-0000-0000-0000CC3A0000}"/>
    <cellStyle name="注释 2 6 2 2 9" xfId="43247" xr:uid="{00000000-0005-0000-0000-00001FA90000}"/>
    <cellStyle name="注释 2 6 2 3" xfId="54144" xr:uid="{00000000-0005-0000-0000-0000B0D30000}"/>
    <cellStyle name="注释 2 6 2 3 2" xfId="22136" xr:uid="{00000000-0005-0000-0000-0000A8560000}"/>
    <cellStyle name="注释 2 6 2 3 2 2" xfId="2878" xr:uid="{00000000-0005-0000-0000-00006E0B0000}"/>
    <cellStyle name="注释 2 6 2 3 3" xfId="17452" xr:uid="{00000000-0005-0000-0000-00005C440000}"/>
    <cellStyle name="注释 2 6 2 3 3 2" xfId="54145" xr:uid="{00000000-0005-0000-0000-0000B1D30000}"/>
    <cellStyle name="注释 2 6 2 3 4" xfId="28638" xr:uid="{00000000-0005-0000-0000-00000E700000}"/>
    <cellStyle name="注释 2 6 2 3 4 2" xfId="54146" xr:uid="{00000000-0005-0000-0000-0000B2D30000}"/>
    <cellStyle name="注释 2 6 2 3 5" xfId="28641" xr:uid="{00000000-0005-0000-0000-000011700000}"/>
    <cellStyle name="注释 2 6 2 3 5 2" xfId="54147" xr:uid="{00000000-0005-0000-0000-0000B3D30000}"/>
    <cellStyle name="注释 2 6 2 3 6" xfId="28643" xr:uid="{00000000-0005-0000-0000-000013700000}"/>
    <cellStyle name="注释 2 6 2 4" xfId="54148" xr:uid="{00000000-0005-0000-0000-0000B4D30000}"/>
    <cellStyle name="注释 2 6 2 4 2" xfId="22140" xr:uid="{00000000-0005-0000-0000-0000AC560000}"/>
    <cellStyle name="注释 2 6 2 4 2 2" xfId="8192" xr:uid="{00000000-0005-0000-0000-000030200000}"/>
    <cellStyle name="注释 2 6 2 4 3" xfId="8201" xr:uid="{00000000-0005-0000-0000-000039200000}"/>
    <cellStyle name="注释 2 6 2 4 3 2" xfId="54150" xr:uid="{00000000-0005-0000-0000-0000B6D30000}"/>
    <cellStyle name="注释 2 6 2 4 4" xfId="51672" xr:uid="{00000000-0005-0000-0000-000008CA0000}"/>
    <cellStyle name="注释 2 6 2 4 4 2" xfId="54151" xr:uid="{00000000-0005-0000-0000-0000B7D30000}"/>
    <cellStyle name="注释 2 6 2 4 5" xfId="54152" xr:uid="{00000000-0005-0000-0000-0000B8D30000}"/>
    <cellStyle name="注释 2 6 2 4 5 2" xfId="54153" xr:uid="{00000000-0005-0000-0000-0000B9D30000}"/>
    <cellStyle name="注释 2 6 2 4 6" xfId="23838" xr:uid="{00000000-0005-0000-0000-00004E5D0000}"/>
    <cellStyle name="注释 2 6 2 5" xfId="9568" xr:uid="{00000000-0005-0000-0000-000090250000}"/>
    <cellStyle name="注释 2 6 2 5 2" xfId="28654" xr:uid="{00000000-0005-0000-0000-00001E700000}"/>
    <cellStyle name="注释 2 6 2 5 2 2" xfId="8249" xr:uid="{00000000-0005-0000-0000-000069200000}"/>
    <cellStyle name="注释 2 6 2 5 3" xfId="8259" xr:uid="{00000000-0005-0000-0000-000073200000}"/>
    <cellStyle name="注释 2 6 2 5 3 2" xfId="54154" xr:uid="{00000000-0005-0000-0000-0000BAD30000}"/>
    <cellStyle name="注释 2 6 2 5 4" xfId="51675" xr:uid="{00000000-0005-0000-0000-00000BCA0000}"/>
    <cellStyle name="注释 2 6 2 5 4 2" xfId="54155" xr:uid="{00000000-0005-0000-0000-0000BBD30000}"/>
    <cellStyle name="注释 2 6 2 5 5" xfId="54156" xr:uid="{00000000-0005-0000-0000-0000BCD30000}"/>
    <cellStyle name="注释 2 6 2 5 5 2" xfId="54157" xr:uid="{00000000-0005-0000-0000-0000BDD30000}"/>
    <cellStyle name="注释 2 6 2 5 6" xfId="23841" xr:uid="{00000000-0005-0000-0000-0000515D0000}"/>
    <cellStyle name="注释 2 6 2 6" xfId="54158" xr:uid="{00000000-0005-0000-0000-0000BED30000}"/>
    <cellStyle name="注释 2 6 2 6 2" xfId="21865" xr:uid="{00000000-0005-0000-0000-000099550000}"/>
    <cellStyle name="注释 2 6 2 6 2 2" xfId="8297" xr:uid="{00000000-0005-0000-0000-000099200000}"/>
    <cellStyle name="注释 2 6 2 6 3" xfId="8307" xr:uid="{00000000-0005-0000-0000-0000A3200000}"/>
    <cellStyle name="注释 2 6 2 6 3 2" xfId="54159" xr:uid="{00000000-0005-0000-0000-0000BFD30000}"/>
    <cellStyle name="注释 2 6 2 6 4" xfId="21871" xr:uid="{00000000-0005-0000-0000-00009F550000}"/>
    <cellStyle name="注释 2 6 2 6 4 2" xfId="11829" xr:uid="{00000000-0005-0000-0000-0000652E0000}"/>
    <cellStyle name="注释 2 6 2 6 5" xfId="54160" xr:uid="{00000000-0005-0000-0000-0000C0D30000}"/>
    <cellStyle name="注释 2 6 2 6 5 2" xfId="54161" xr:uid="{00000000-0005-0000-0000-0000C1D30000}"/>
    <cellStyle name="注释 2 6 2 6 6" xfId="21877" xr:uid="{00000000-0005-0000-0000-0000A5550000}"/>
    <cellStyle name="注释 2 6 2 7" xfId="54162" xr:uid="{00000000-0005-0000-0000-0000C2D30000}"/>
    <cellStyle name="注释 2 6 2 7 2" xfId="28662" xr:uid="{00000000-0005-0000-0000-000026700000}"/>
    <cellStyle name="注释 2 6 2 7 2 2" xfId="8355" xr:uid="{00000000-0005-0000-0000-0000D3200000}"/>
    <cellStyle name="注释 2 6 2 7 3" xfId="28665" xr:uid="{00000000-0005-0000-0000-000029700000}"/>
    <cellStyle name="注释 2 6 2 7 3 2" xfId="54163" xr:uid="{00000000-0005-0000-0000-0000C3D30000}"/>
    <cellStyle name="注释 2 6 2 7 4" xfId="54164" xr:uid="{00000000-0005-0000-0000-0000C4D30000}"/>
    <cellStyle name="注释 2 6 2 7 4 2" xfId="41335" xr:uid="{00000000-0005-0000-0000-0000A7A10000}"/>
    <cellStyle name="注释 2 6 2 7 5" xfId="51917" xr:uid="{00000000-0005-0000-0000-0000FDCA0000}"/>
    <cellStyle name="注释 2 6 2 7 5 2" xfId="51919" xr:uid="{00000000-0005-0000-0000-0000FFCA0000}"/>
    <cellStyle name="注释 2 6 2 7 6" xfId="23850" xr:uid="{00000000-0005-0000-0000-00005A5D0000}"/>
    <cellStyle name="注释 2 6 2 8" xfId="54165" xr:uid="{00000000-0005-0000-0000-0000C5D30000}"/>
    <cellStyle name="注释 2 6 2 8 2" xfId="28667" xr:uid="{00000000-0005-0000-0000-00002B700000}"/>
    <cellStyle name="注释 2 6 2 8 2 2" xfId="8402" xr:uid="{00000000-0005-0000-0000-000002210000}"/>
    <cellStyle name="注释 2 6 2 8 3" xfId="28669" xr:uid="{00000000-0005-0000-0000-00002D700000}"/>
    <cellStyle name="注释 2 6 2 8 3 2" xfId="54166" xr:uid="{00000000-0005-0000-0000-0000C6D30000}"/>
    <cellStyle name="注释 2 6 2 8 4" xfId="54167" xr:uid="{00000000-0005-0000-0000-0000C7D30000}"/>
    <cellStyle name="注释 2 6 2 8 4 2" xfId="54168" xr:uid="{00000000-0005-0000-0000-0000C8D30000}"/>
    <cellStyle name="注释 2 6 2 8 5" xfId="51931" xr:uid="{00000000-0005-0000-0000-00000BCB0000}"/>
    <cellStyle name="注释 2 6 2 9" xfId="54169" xr:uid="{00000000-0005-0000-0000-0000C9D30000}"/>
    <cellStyle name="注释 2 6 2 9 2" xfId="28672" xr:uid="{00000000-0005-0000-0000-000030700000}"/>
    <cellStyle name="注释 2 6 20" xfId="33726" xr:uid="{00000000-0005-0000-0000-0000EE830000}"/>
    <cellStyle name="注释 2 6 20 2" xfId="41244" xr:uid="{00000000-0005-0000-0000-00004CA10000}"/>
    <cellStyle name="注释 2 6 21" xfId="41247" xr:uid="{00000000-0005-0000-0000-00004FA10000}"/>
    <cellStyle name="注释 2 6 21 2" xfId="41250" xr:uid="{00000000-0005-0000-0000-000052A10000}"/>
    <cellStyle name="注释 2 6 22" xfId="31584" xr:uid="{00000000-0005-0000-0000-0000907B0000}"/>
    <cellStyle name="注释 2 6 22 2" xfId="41253" xr:uid="{00000000-0005-0000-0000-000055A10000}"/>
    <cellStyle name="注释 2 6 23" xfId="22232" xr:uid="{00000000-0005-0000-0000-000008570000}"/>
    <cellStyle name="注释 2 6 23 2" xfId="41256" xr:uid="{00000000-0005-0000-0000-000058A10000}"/>
    <cellStyle name="注释 2 6 24" xfId="41259" xr:uid="{00000000-0005-0000-0000-00005BA10000}"/>
    <cellStyle name="注释 2 6 25" xfId="54171" xr:uid="{00000000-0005-0000-0000-0000CBD30000}"/>
    <cellStyle name="注释 2 6 26" xfId="4585" xr:uid="{00000000-0005-0000-0000-000019120000}"/>
    <cellStyle name="注释 2 6 27" xfId="18098" xr:uid="{00000000-0005-0000-0000-0000E2460000}"/>
    <cellStyle name="注释 2 6 3" xfId="54172" xr:uid="{00000000-0005-0000-0000-0000CCD30000}"/>
    <cellStyle name="注释 2 6 3 10" xfId="33736" xr:uid="{00000000-0005-0000-0000-0000F8830000}"/>
    <cellStyle name="注释 2 6 3 10 2" xfId="54173" xr:uid="{00000000-0005-0000-0000-0000CDD30000}"/>
    <cellStyle name="注释 2 6 3 11" xfId="54174" xr:uid="{00000000-0005-0000-0000-0000CED30000}"/>
    <cellStyle name="注释 2 6 3 11 2" xfId="54175" xr:uid="{00000000-0005-0000-0000-0000CFD30000}"/>
    <cellStyle name="注释 2 6 3 12" xfId="31599" xr:uid="{00000000-0005-0000-0000-00009F7B0000}"/>
    <cellStyle name="注释 2 6 3 12 2" xfId="6208" xr:uid="{00000000-0005-0000-0000-000070180000}"/>
    <cellStyle name="注释 2 6 3 13" xfId="54176" xr:uid="{00000000-0005-0000-0000-0000D0D30000}"/>
    <cellStyle name="注释 2 6 3 14" xfId="54177" xr:uid="{00000000-0005-0000-0000-0000D1D30000}"/>
    <cellStyle name="注释 2 6 3 15" xfId="54178" xr:uid="{00000000-0005-0000-0000-0000D2D30000}"/>
    <cellStyle name="注释 2 6 3 16" xfId="4603" xr:uid="{00000000-0005-0000-0000-00002B120000}"/>
    <cellStyle name="注释 2 6 3 2" xfId="54180" xr:uid="{00000000-0005-0000-0000-0000D4D30000}"/>
    <cellStyle name="注释 2 6 3 2 2" xfId="38134" xr:uid="{00000000-0005-0000-0000-000026950000}"/>
    <cellStyle name="注释 2 6 3 2 2 2" xfId="54181" xr:uid="{00000000-0005-0000-0000-0000D5D30000}"/>
    <cellStyle name="注释 2 6 3 2 3" xfId="54182" xr:uid="{00000000-0005-0000-0000-0000D6D30000}"/>
    <cellStyle name="注释 2 6 3 2 3 2" xfId="54183" xr:uid="{00000000-0005-0000-0000-0000D7D30000}"/>
    <cellStyle name="注释 2 6 3 2 4" xfId="51680" xr:uid="{00000000-0005-0000-0000-000010CA0000}"/>
    <cellStyle name="注释 2 6 3 2 4 2" xfId="54184" xr:uid="{00000000-0005-0000-0000-0000D8D30000}"/>
    <cellStyle name="注释 2 6 3 2 5" xfId="54185" xr:uid="{00000000-0005-0000-0000-0000D9D30000}"/>
    <cellStyle name="注释 2 6 3 2 5 2" xfId="54186" xr:uid="{00000000-0005-0000-0000-0000DAD30000}"/>
    <cellStyle name="注释 2 6 3 2 6" xfId="54187" xr:uid="{00000000-0005-0000-0000-0000DBD30000}"/>
    <cellStyle name="注释 2 6 3 2 7" xfId="52832" xr:uid="{00000000-0005-0000-0000-000090CE0000}"/>
    <cellStyle name="注释 2 6 3 2 8" xfId="15026" xr:uid="{00000000-0005-0000-0000-0000E23A0000}"/>
    <cellStyle name="注释 2 6 3 2 9" xfId="54188" xr:uid="{00000000-0005-0000-0000-0000DCD30000}"/>
    <cellStyle name="注释 2 6 3 3" xfId="54189" xr:uid="{00000000-0005-0000-0000-0000DDD30000}"/>
    <cellStyle name="注释 2 6 3 3 2" xfId="38142" xr:uid="{00000000-0005-0000-0000-00002E950000}"/>
    <cellStyle name="注释 2 6 3 3 2 2" xfId="6568" xr:uid="{00000000-0005-0000-0000-0000D8190000}"/>
    <cellStyle name="注释 2 6 3 3 3" xfId="54190" xr:uid="{00000000-0005-0000-0000-0000DED30000}"/>
    <cellStyle name="注释 2 6 3 3 3 2" xfId="54191" xr:uid="{00000000-0005-0000-0000-0000DFD30000}"/>
    <cellStyle name="注释 2 6 3 3 4" xfId="51683" xr:uid="{00000000-0005-0000-0000-000013CA0000}"/>
    <cellStyle name="注释 2 6 3 3 4 2" xfId="54192" xr:uid="{00000000-0005-0000-0000-0000E0D30000}"/>
    <cellStyle name="注释 2 6 3 3 5" xfId="54193" xr:uid="{00000000-0005-0000-0000-0000E1D30000}"/>
    <cellStyle name="注释 2 6 3 3 5 2" xfId="54194" xr:uid="{00000000-0005-0000-0000-0000E2D30000}"/>
    <cellStyle name="注释 2 6 3 3 6" xfId="49921" xr:uid="{00000000-0005-0000-0000-000031C30000}"/>
    <cellStyle name="注释 2 6 3 4" xfId="54195" xr:uid="{00000000-0005-0000-0000-0000E3D30000}"/>
    <cellStyle name="注释 2 6 3 4 2" xfId="38152" xr:uid="{00000000-0005-0000-0000-000038950000}"/>
    <cellStyle name="注释 2 6 3 4 2 2" xfId="54197" xr:uid="{00000000-0005-0000-0000-0000E5D30000}"/>
    <cellStyle name="注释 2 6 3 4 3" xfId="54198" xr:uid="{00000000-0005-0000-0000-0000E6D30000}"/>
    <cellStyle name="注释 2 6 3 4 3 2" xfId="54199" xr:uid="{00000000-0005-0000-0000-0000E7D30000}"/>
    <cellStyle name="注释 2 6 3 4 4" xfId="51685" xr:uid="{00000000-0005-0000-0000-000015CA0000}"/>
    <cellStyle name="注释 2 6 3 4 4 2" xfId="54200" xr:uid="{00000000-0005-0000-0000-0000E8D30000}"/>
    <cellStyle name="注释 2 6 3 4 5" xfId="54201" xr:uid="{00000000-0005-0000-0000-0000E9D30000}"/>
    <cellStyle name="注释 2 6 3 4 5 2" xfId="54202" xr:uid="{00000000-0005-0000-0000-0000EAD30000}"/>
    <cellStyle name="注释 2 6 3 4 6" xfId="23856" xr:uid="{00000000-0005-0000-0000-0000605D0000}"/>
    <cellStyle name="注释 2 6 3 5" xfId="54203" xr:uid="{00000000-0005-0000-0000-0000EBD30000}"/>
    <cellStyle name="注释 2 6 3 5 2" xfId="54204" xr:uid="{00000000-0005-0000-0000-0000ECD30000}"/>
    <cellStyle name="注释 2 6 3 5 2 2" xfId="39606" xr:uid="{00000000-0005-0000-0000-0000E69A0000}"/>
    <cellStyle name="注释 2 6 3 5 3" xfId="54205" xr:uid="{00000000-0005-0000-0000-0000EDD30000}"/>
    <cellStyle name="注释 2 6 3 5 3 2" xfId="39612" xr:uid="{00000000-0005-0000-0000-0000EC9A0000}"/>
    <cellStyle name="注释 2 6 3 5 4" xfId="51688" xr:uid="{00000000-0005-0000-0000-000018CA0000}"/>
    <cellStyle name="注释 2 6 3 5 4 2" xfId="39619" xr:uid="{00000000-0005-0000-0000-0000F39A0000}"/>
    <cellStyle name="注释 2 6 3 5 5" xfId="54206" xr:uid="{00000000-0005-0000-0000-0000EED30000}"/>
    <cellStyle name="注释 2 6 3 5 5 2" xfId="3560" xr:uid="{00000000-0005-0000-0000-0000180E0000}"/>
    <cellStyle name="注释 2 6 3 5 6" xfId="23859" xr:uid="{00000000-0005-0000-0000-0000635D0000}"/>
    <cellStyle name="注释 2 6 3 6" xfId="13539" xr:uid="{00000000-0005-0000-0000-000013350000}"/>
    <cellStyle name="注释 2 6 3 6 2" xfId="22438" xr:uid="{00000000-0005-0000-0000-0000D6570000}"/>
    <cellStyle name="注释 2 6 3 6 2 2" xfId="32813" xr:uid="{00000000-0005-0000-0000-00005D800000}"/>
    <cellStyle name="注释 2 6 3 6 3" xfId="22442" xr:uid="{00000000-0005-0000-0000-0000DA570000}"/>
    <cellStyle name="注释 2 6 3 6 3 2" xfId="39676" xr:uid="{00000000-0005-0000-0000-00002C9B0000}"/>
    <cellStyle name="注释 2 6 3 6 4" xfId="22448" xr:uid="{00000000-0005-0000-0000-0000E0570000}"/>
    <cellStyle name="注释 2 6 3 6 4 2" xfId="39687" xr:uid="{00000000-0005-0000-0000-0000379B0000}"/>
    <cellStyle name="注释 2 6 3 6 5" xfId="54207" xr:uid="{00000000-0005-0000-0000-0000EFD30000}"/>
    <cellStyle name="注释 2 6 3 6 5 2" xfId="39696" xr:uid="{00000000-0005-0000-0000-0000409B0000}"/>
    <cellStyle name="注释 2 6 3 6 6" xfId="22454" xr:uid="{00000000-0005-0000-0000-0000E6570000}"/>
    <cellStyle name="注释 2 6 3 7" xfId="54208" xr:uid="{00000000-0005-0000-0000-0000F0D30000}"/>
    <cellStyle name="注释 2 6 3 7 2" xfId="54209" xr:uid="{00000000-0005-0000-0000-0000F1D30000}"/>
    <cellStyle name="注释 2 6 3 7 2 2" xfId="39725" xr:uid="{00000000-0005-0000-0000-00005D9B0000}"/>
    <cellStyle name="注释 2 6 3 7 3" xfId="22462" xr:uid="{00000000-0005-0000-0000-0000EE570000}"/>
    <cellStyle name="注释 2 6 3 7 3 2" xfId="39736" xr:uid="{00000000-0005-0000-0000-0000689B0000}"/>
    <cellStyle name="注释 2 6 3 7 4" xfId="54210" xr:uid="{00000000-0005-0000-0000-0000F2D30000}"/>
    <cellStyle name="注释 2 6 3 7 4 2" xfId="39748" xr:uid="{00000000-0005-0000-0000-0000749B0000}"/>
    <cellStyle name="注释 2 6 3 7 5" xfId="51973" xr:uid="{00000000-0005-0000-0000-000035CB0000}"/>
    <cellStyle name="注释 2 6 3 7 5 2" xfId="39761" xr:uid="{00000000-0005-0000-0000-0000819B0000}"/>
    <cellStyle name="注释 2 6 3 7 6" xfId="23863" xr:uid="{00000000-0005-0000-0000-0000675D0000}"/>
    <cellStyle name="注释 2 6 3 8" xfId="54211" xr:uid="{00000000-0005-0000-0000-0000F3D30000}"/>
    <cellStyle name="注释 2 6 3 8 2" xfId="54212" xr:uid="{00000000-0005-0000-0000-0000F4D30000}"/>
    <cellStyle name="注释 2 6 3 8 2 2" xfId="39805" xr:uid="{00000000-0005-0000-0000-0000AD9B0000}"/>
    <cellStyle name="注释 2 6 3 8 3" xfId="22464" xr:uid="{00000000-0005-0000-0000-0000F0570000}"/>
    <cellStyle name="注释 2 6 3 8 3 2" xfId="39816" xr:uid="{00000000-0005-0000-0000-0000B89B0000}"/>
    <cellStyle name="注释 2 6 3 8 4" xfId="54213" xr:uid="{00000000-0005-0000-0000-0000F5D30000}"/>
    <cellStyle name="注释 2 6 3 8 4 2" xfId="39827" xr:uid="{00000000-0005-0000-0000-0000C39B0000}"/>
    <cellStyle name="注释 2 6 3 8 5" xfId="51982" xr:uid="{00000000-0005-0000-0000-00003ECB0000}"/>
    <cellStyle name="注释 2 6 3 9" xfId="54214" xr:uid="{00000000-0005-0000-0000-0000F6D30000}"/>
    <cellStyle name="注释 2 6 3 9 2" xfId="54216" xr:uid="{00000000-0005-0000-0000-0000F8D30000}"/>
    <cellStyle name="注释 2 6 4" xfId="54218" xr:uid="{00000000-0005-0000-0000-0000FAD30000}"/>
    <cellStyle name="注释 2 6 4 10" xfId="54219" xr:uid="{00000000-0005-0000-0000-0000FBD30000}"/>
    <cellStyle name="注释 2 6 4 10 2" xfId="54220" xr:uid="{00000000-0005-0000-0000-0000FCD30000}"/>
    <cellStyle name="注释 2 6 4 11" xfId="54221" xr:uid="{00000000-0005-0000-0000-0000FDD30000}"/>
    <cellStyle name="注释 2 6 4 11 2" xfId="54222" xr:uid="{00000000-0005-0000-0000-0000FED30000}"/>
    <cellStyle name="注释 2 6 4 12" xfId="54223" xr:uid="{00000000-0005-0000-0000-0000FFD30000}"/>
    <cellStyle name="注释 2 6 4 12 2" xfId="54225" xr:uid="{00000000-0005-0000-0000-000001D40000}"/>
    <cellStyle name="注释 2 6 4 13" xfId="54226" xr:uid="{00000000-0005-0000-0000-000002D40000}"/>
    <cellStyle name="注释 2 6 4 14" xfId="54227" xr:uid="{00000000-0005-0000-0000-000003D40000}"/>
    <cellStyle name="注释 2 6 4 15" xfId="54228" xr:uid="{00000000-0005-0000-0000-000004D40000}"/>
    <cellStyle name="注释 2 6 4 16" xfId="54229" xr:uid="{00000000-0005-0000-0000-000005D40000}"/>
    <cellStyle name="注释 2 6 4 2" xfId="54230" xr:uid="{00000000-0005-0000-0000-000006D40000}"/>
    <cellStyle name="注释 2 6 4 2 2" xfId="38199" xr:uid="{00000000-0005-0000-0000-000067950000}"/>
    <cellStyle name="注释 2 6 4 2 2 2" xfId="47296" xr:uid="{00000000-0005-0000-0000-0000F0B80000}"/>
    <cellStyle name="注释 2 6 4 2 3" xfId="54231" xr:uid="{00000000-0005-0000-0000-000007D40000}"/>
    <cellStyle name="注释 2 6 4 2 3 2" xfId="54232" xr:uid="{00000000-0005-0000-0000-000008D40000}"/>
    <cellStyle name="注释 2 6 4 2 4" xfId="51692" xr:uid="{00000000-0005-0000-0000-00001CCA0000}"/>
    <cellStyle name="注释 2 6 4 2 4 2" xfId="54233" xr:uid="{00000000-0005-0000-0000-000009D40000}"/>
    <cellStyle name="注释 2 6 4 2 5" xfId="54234" xr:uid="{00000000-0005-0000-0000-00000AD40000}"/>
    <cellStyle name="注释 2 6 4 2 5 2" xfId="54235" xr:uid="{00000000-0005-0000-0000-00000BD40000}"/>
    <cellStyle name="注释 2 6 4 2 6" xfId="37533" xr:uid="{00000000-0005-0000-0000-0000CD920000}"/>
    <cellStyle name="注释 2 6 4 2 7" xfId="37537" xr:uid="{00000000-0005-0000-0000-0000D1920000}"/>
    <cellStyle name="注释 2 6 4 2 8" xfId="15044" xr:uid="{00000000-0005-0000-0000-0000F43A0000}"/>
    <cellStyle name="注释 2 6 4 2 9" xfId="37541" xr:uid="{00000000-0005-0000-0000-0000D5920000}"/>
    <cellStyle name="注释 2 6 4 3" xfId="54236" xr:uid="{00000000-0005-0000-0000-00000CD40000}"/>
    <cellStyle name="注释 2 6 4 3 2" xfId="38211" xr:uid="{00000000-0005-0000-0000-000073950000}"/>
    <cellStyle name="注释 2 6 4 3 2 2" xfId="47927" xr:uid="{00000000-0005-0000-0000-000067BB0000}"/>
    <cellStyle name="注释 2 6 4 3 3" xfId="54237" xr:uid="{00000000-0005-0000-0000-00000DD40000}"/>
    <cellStyle name="注释 2 6 4 3 3 2" xfId="54238" xr:uid="{00000000-0005-0000-0000-00000ED40000}"/>
    <cellStyle name="注释 2 6 4 3 4" xfId="51694" xr:uid="{00000000-0005-0000-0000-00001ECA0000}"/>
    <cellStyle name="注释 2 6 4 3 4 2" xfId="54239" xr:uid="{00000000-0005-0000-0000-00000FD40000}"/>
    <cellStyle name="注释 2 6 4 3 5" xfId="54240" xr:uid="{00000000-0005-0000-0000-000010D40000}"/>
    <cellStyle name="注释 2 6 4 3 5 2" xfId="54241" xr:uid="{00000000-0005-0000-0000-000011D40000}"/>
    <cellStyle name="注释 2 6 4 3 6" xfId="37545" xr:uid="{00000000-0005-0000-0000-0000D9920000}"/>
    <cellStyle name="注释 2 6 4 4" xfId="54242" xr:uid="{00000000-0005-0000-0000-000012D40000}"/>
    <cellStyle name="注释 2 6 4 4 2" xfId="38225" xr:uid="{00000000-0005-0000-0000-000081950000}"/>
    <cellStyle name="注释 2 6 4 4 2 2" xfId="48535" xr:uid="{00000000-0005-0000-0000-0000C7BD0000}"/>
    <cellStyle name="注释 2 6 4 4 3" xfId="54244" xr:uid="{00000000-0005-0000-0000-000014D40000}"/>
    <cellStyle name="注释 2 6 4 4 3 2" xfId="54245" xr:uid="{00000000-0005-0000-0000-000015D40000}"/>
    <cellStyle name="注释 2 6 4 4 4" xfId="51696" xr:uid="{00000000-0005-0000-0000-000020CA0000}"/>
    <cellStyle name="注释 2 6 4 4 4 2" xfId="48187" xr:uid="{00000000-0005-0000-0000-00006BBC0000}"/>
    <cellStyle name="注释 2 6 4 4 5" xfId="54246" xr:uid="{00000000-0005-0000-0000-000016D40000}"/>
    <cellStyle name="注释 2 6 4 4 5 2" xfId="54247" xr:uid="{00000000-0005-0000-0000-000017D40000}"/>
    <cellStyle name="注释 2 6 4 4 6" xfId="23871" xr:uid="{00000000-0005-0000-0000-00006F5D0000}"/>
    <cellStyle name="注释 2 6 4 5" xfId="54248" xr:uid="{00000000-0005-0000-0000-000018D40000}"/>
    <cellStyle name="注释 2 6 4 5 2" xfId="54249" xr:uid="{00000000-0005-0000-0000-000019D40000}"/>
    <cellStyle name="注释 2 6 4 5 2 2" xfId="40176" xr:uid="{00000000-0005-0000-0000-0000209D0000}"/>
    <cellStyle name="注释 2 6 4 5 3" xfId="54250" xr:uid="{00000000-0005-0000-0000-00001AD40000}"/>
    <cellStyle name="注释 2 6 4 5 3 2" xfId="18240" xr:uid="{00000000-0005-0000-0000-000070470000}"/>
    <cellStyle name="注释 2 6 4 5 4" xfId="51699" xr:uid="{00000000-0005-0000-0000-000023CA0000}"/>
    <cellStyle name="注释 2 6 4 5 4 2" xfId="18286" xr:uid="{00000000-0005-0000-0000-00009E470000}"/>
    <cellStyle name="注释 2 6 4 5 5" xfId="54251" xr:uid="{00000000-0005-0000-0000-00001BD40000}"/>
    <cellStyle name="注释 2 6 4 5 5 2" xfId="18329" xr:uid="{00000000-0005-0000-0000-0000C9470000}"/>
    <cellStyle name="注释 2 6 4 5 6" xfId="23878" xr:uid="{00000000-0005-0000-0000-0000765D0000}"/>
    <cellStyle name="注释 2 6 4 6" xfId="11681" xr:uid="{00000000-0005-0000-0000-0000D12D0000}"/>
    <cellStyle name="注释 2 6 4 6 2" xfId="54252" xr:uid="{00000000-0005-0000-0000-00001CD40000}"/>
    <cellStyle name="注释 2 6 4 6 2 2" xfId="33689" xr:uid="{00000000-0005-0000-0000-0000C9830000}"/>
    <cellStyle name="注释 2 6 4 6 3" xfId="22472" xr:uid="{00000000-0005-0000-0000-0000F8570000}"/>
    <cellStyle name="注释 2 6 4 6 3 2" xfId="13662" xr:uid="{00000000-0005-0000-0000-00008E350000}"/>
    <cellStyle name="注释 2 6 4 6 4" xfId="54253" xr:uid="{00000000-0005-0000-0000-00001DD40000}"/>
    <cellStyle name="注释 2 6 4 6 4 2" xfId="18582" xr:uid="{00000000-0005-0000-0000-0000C6480000}"/>
    <cellStyle name="注释 2 6 4 6 5" xfId="54254" xr:uid="{00000000-0005-0000-0000-00001ED40000}"/>
    <cellStyle name="注释 2 6 4 6 5 2" xfId="18640" xr:uid="{00000000-0005-0000-0000-000000490000}"/>
    <cellStyle name="注释 2 6 4 6 6" xfId="23882" xr:uid="{00000000-0005-0000-0000-00007A5D0000}"/>
    <cellStyle name="注释 2 6 4 7" xfId="54255" xr:uid="{00000000-0005-0000-0000-00001FD40000}"/>
    <cellStyle name="注释 2 6 4 7 2" xfId="54256" xr:uid="{00000000-0005-0000-0000-000020D40000}"/>
    <cellStyle name="注释 2 6 4 7 2 2" xfId="40240" xr:uid="{00000000-0005-0000-0000-0000609D0000}"/>
    <cellStyle name="注释 2 6 4 7 3" xfId="2326" xr:uid="{00000000-0005-0000-0000-000046090000}"/>
    <cellStyle name="注释 2 6 4 7 3 2" xfId="40245" xr:uid="{00000000-0005-0000-0000-0000659D0000}"/>
    <cellStyle name="注释 2 6 4 7 4" xfId="54257" xr:uid="{00000000-0005-0000-0000-000021D40000}"/>
    <cellStyle name="注释 2 6 4 7 4 2" xfId="40253" xr:uid="{00000000-0005-0000-0000-00006D9D0000}"/>
    <cellStyle name="注释 2 6 4 7 5" xfId="52021" xr:uid="{00000000-0005-0000-0000-000065CB0000}"/>
    <cellStyle name="注释 2 6 4 7 5 2" xfId="40261" xr:uid="{00000000-0005-0000-0000-0000759D0000}"/>
    <cellStyle name="注释 2 6 4 7 6" xfId="23890" xr:uid="{00000000-0005-0000-0000-0000825D0000}"/>
    <cellStyle name="注释 2 6 4 8" xfId="54258" xr:uid="{00000000-0005-0000-0000-000022D40000}"/>
    <cellStyle name="注释 2 6 4 8 2" xfId="54259" xr:uid="{00000000-0005-0000-0000-000023D40000}"/>
    <cellStyle name="注释 2 6 4 8 2 2" xfId="40285" xr:uid="{00000000-0005-0000-0000-00008D9D0000}"/>
    <cellStyle name="注释 2 6 4 8 3" xfId="242" xr:uid="{00000000-0005-0000-0000-000009010000}"/>
    <cellStyle name="注释 2 6 4 8 3 2" xfId="40294" xr:uid="{00000000-0005-0000-0000-0000969D0000}"/>
    <cellStyle name="注释 2 6 4 8 4" xfId="54260" xr:uid="{00000000-0005-0000-0000-000024D40000}"/>
    <cellStyle name="注释 2 6 4 8 4 2" xfId="40301" xr:uid="{00000000-0005-0000-0000-00009D9D0000}"/>
    <cellStyle name="注释 2 6 4 8 5" xfId="52027" xr:uid="{00000000-0005-0000-0000-00006BCB0000}"/>
    <cellStyle name="注释 2 6 4 9" xfId="54261" xr:uid="{00000000-0005-0000-0000-000025D40000}"/>
    <cellStyle name="注释 2 6 4 9 2" xfId="54263" xr:uid="{00000000-0005-0000-0000-000027D40000}"/>
    <cellStyle name="注释 2 6 5" xfId="54265" xr:uid="{00000000-0005-0000-0000-000029D40000}"/>
    <cellStyle name="注释 2 6 5 10" xfId="54266" xr:uid="{00000000-0005-0000-0000-00002AD40000}"/>
    <cellStyle name="注释 2 6 5 10 2" xfId="54267" xr:uid="{00000000-0005-0000-0000-00002BD40000}"/>
    <cellStyle name="注释 2 6 5 11" xfId="54268" xr:uid="{00000000-0005-0000-0000-00002CD40000}"/>
    <cellStyle name="注释 2 6 5 11 2" xfId="54269" xr:uid="{00000000-0005-0000-0000-00002DD40000}"/>
    <cellStyle name="注释 2 6 5 12" xfId="36176" xr:uid="{00000000-0005-0000-0000-0000808D0000}"/>
    <cellStyle name="注释 2 6 5 12 2" xfId="54270" xr:uid="{00000000-0005-0000-0000-00002ED40000}"/>
    <cellStyle name="注释 2 6 5 13" xfId="46755" xr:uid="{00000000-0005-0000-0000-0000D3B60000}"/>
    <cellStyle name="注释 2 6 5 14" xfId="17658" xr:uid="{00000000-0005-0000-0000-00002A450000}"/>
    <cellStyle name="注释 2 6 5 15" xfId="17662" xr:uid="{00000000-0005-0000-0000-00002E450000}"/>
    <cellStyle name="注释 2 6 5 16" xfId="17665" xr:uid="{00000000-0005-0000-0000-000031450000}"/>
    <cellStyle name="注释 2 6 5 2" xfId="42400" xr:uid="{00000000-0005-0000-0000-0000D0A50000}"/>
    <cellStyle name="注释 2 6 5 2 2" xfId="54271" xr:uid="{00000000-0005-0000-0000-00002FD40000}"/>
    <cellStyle name="注释 2 6 5 2 2 2" xfId="54272" xr:uid="{00000000-0005-0000-0000-000030D40000}"/>
    <cellStyle name="注释 2 6 5 2 3" xfId="11038" xr:uid="{00000000-0005-0000-0000-00004E2B0000}"/>
    <cellStyle name="注释 2 6 5 2 3 2" xfId="54273" xr:uid="{00000000-0005-0000-0000-000031D40000}"/>
    <cellStyle name="注释 2 6 5 2 4" xfId="51703" xr:uid="{00000000-0005-0000-0000-000027CA0000}"/>
    <cellStyle name="注释 2 6 5 2 4 2" xfId="19477" xr:uid="{00000000-0005-0000-0000-0000454C0000}"/>
    <cellStyle name="注释 2 6 5 2 5" xfId="54274" xr:uid="{00000000-0005-0000-0000-000032D40000}"/>
    <cellStyle name="注释 2 6 5 2 5 2" xfId="54275" xr:uid="{00000000-0005-0000-0000-000033D40000}"/>
    <cellStyle name="注释 2 6 5 2 6" xfId="54276" xr:uid="{00000000-0005-0000-0000-000034D40000}"/>
    <cellStyle name="注释 2 6 5 2 7" xfId="54277" xr:uid="{00000000-0005-0000-0000-000035D40000}"/>
    <cellStyle name="注释 2 6 5 2 8" xfId="54278" xr:uid="{00000000-0005-0000-0000-000036D40000}"/>
    <cellStyle name="注释 2 6 5 2 9" xfId="54279" xr:uid="{00000000-0005-0000-0000-000037D40000}"/>
    <cellStyle name="注释 2 6 5 3" xfId="42402" xr:uid="{00000000-0005-0000-0000-0000D2A50000}"/>
    <cellStyle name="注释 2 6 5 3 2" xfId="54280" xr:uid="{00000000-0005-0000-0000-000038D40000}"/>
    <cellStyle name="注释 2 6 5 3 2 2" xfId="54060" xr:uid="{00000000-0005-0000-0000-00005CD30000}"/>
    <cellStyle name="注释 2 6 5 3 3" xfId="48141" xr:uid="{00000000-0005-0000-0000-00003DBC0000}"/>
    <cellStyle name="注释 2 6 5 3 3 2" xfId="54086" xr:uid="{00000000-0005-0000-0000-000076D30000}"/>
    <cellStyle name="注释 2 6 5 3 4" xfId="51705" xr:uid="{00000000-0005-0000-0000-000029CA0000}"/>
    <cellStyle name="注释 2 6 5 3 4 2" xfId="54097" xr:uid="{00000000-0005-0000-0000-000081D30000}"/>
    <cellStyle name="注释 2 6 5 3 5" xfId="54281" xr:uid="{00000000-0005-0000-0000-000039D40000}"/>
    <cellStyle name="注释 2 6 5 3 5 2" xfId="54105" xr:uid="{00000000-0005-0000-0000-000089D30000}"/>
    <cellStyle name="注释 2 6 5 3 6" xfId="54282" xr:uid="{00000000-0005-0000-0000-00003AD40000}"/>
    <cellStyle name="注释 2 6 5 4" xfId="42404" xr:uid="{00000000-0005-0000-0000-0000D4A50000}"/>
    <cellStyle name="注释 2 6 5 4 2" xfId="54283" xr:uid="{00000000-0005-0000-0000-00003BD40000}"/>
    <cellStyle name="注释 2 6 5 4 2 2" xfId="54284" xr:uid="{00000000-0005-0000-0000-00003CD40000}"/>
    <cellStyle name="注释 2 6 5 4 3" xfId="48143" xr:uid="{00000000-0005-0000-0000-00003FBC0000}"/>
    <cellStyle name="注释 2 6 5 4 3 2" xfId="54285" xr:uid="{00000000-0005-0000-0000-00003DD40000}"/>
    <cellStyle name="注释 2 6 5 4 4" xfId="51707" xr:uid="{00000000-0005-0000-0000-00002BCA0000}"/>
    <cellStyle name="注释 2 6 5 4 4 2" xfId="54286" xr:uid="{00000000-0005-0000-0000-00003ED40000}"/>
    <cellStyle name="注释 2 6 5 4 5" xfId="54287" xr:uid="{00000000-0005-0000-0000-00003FD40000}"/>
    <cellStyle name="注释 2 6 5 4 5 2" xfId="54288" xr:uid="{00000000-0005-0000-0000-000040D40000}"/>
    <cellStyle name="注释 2 6 5 4 6" xfId="23901" xr:uid="{00000000-0005-0000-0000-00008D5D0000}"/>
    <cellStyle name="注释 2 6 5 5" xfId="54289" xr:uid="{00000000-0005-0000-0000-000041D40000}"/>
    <cellStyle name="注释 2 6 5 5 2" xfId="54290" xr:uid="{00000000-0005-0000-0000-000042D40000}"/>
    <cellStyle name="注释 2 6 5 5 2 2" xfId="8969" xr:uid="{00000000-0005-0000-0000-000039230000}"/>
    <cellStyle name="注释 2 6 5 5 3" xfId="48145" xr:uid="{00000000-0005-0000-0000-000041BC0000}"/>
    <cellStyle name="注释 2 6 5 5 3 2" xfId="35516" xr:uid="{00000000-0005-0000-0000-0000EC8A0000}"/>
    <cellStyle name="注释 2 6 5 5 4" xfId="51709" xr:uid="{00000000-0005-0000-0000-00002DCA0000}"/>
    <cellStyle name="注释 2 6 5 5 4 2" xfId="36784" xr:uid="{00000000-0005-0000-0000-0000E08F0000}"/>
    <cellStyle name="注释 2 6 5 5 5" xfId="54291" xr:uid="{00000000-0005-0000-0000-000043D40000}"/>
    <cellStyle name="注释 2 6 5 5 5 2" xfId="37244" xr:uid="{00000000-0005-0000-0000-0000AC910000}"/>
    <cellStyle name="注释 2 6 5 5 6" xfId="23904" xr:uid="{00000000-0005-0000-0000-0000905D0000}"/>
    <cellStyle name="注释 2 6 5 6" xfId="11694" xr:uid="{00000000-0005-0000-0000-0000DE2D0000}"/>
    <cellStyle name="注释 2 6 5 6 2" xfId="54292" xr:uid="{00000000-0005-0000-0000-000044D40000}"/>
    <cellStyle name="注释 2 6 5 6 2 2" xfId="40532" xr:uid="{00000000-0005-0000-0000-0000849E0000}"/>
    <cellStyle name="注释 2 6 5 6 3" xfId="22476" xr:uid="{00000000-0005-0000-0000-0000FC570000}"/>
    <cellStyle name="注释 2 6 5 6 3 2" xfId="40542" xr:uid="{00000000-0005-0000-0000-00008E9E0000}"/>
    <cellStyle name="注释 2 6 5 6 4" xfId="54293" xr:uid="{00000000-0005-0000-0000-000045D40000}"/>
    <cellStyle name="注释 2 6 5 6 4 2" xfId="40550" xr:uid="{00000000-0005-0000-0000-0000969E0000}"/>
    <cellStyle name="注释 2 6 5 6 5" xfId="54294" xr:uid="{00000000-0005-0000-0000-000046D40000}"/>
    <cellStyle name="注释 2 6 5 6 5 2" xfId="40557" xr:uid="{00000000-0005-0000-0000-00009D9E0000}"/>
    <cellStyle name="注释 2 6 5 6 6" xfId="23906" xr:uid="{00000000-0005-0000-0000-0000925D0000}"/>
    <cellStyle name="注释 2 6 5 7" xfId="54295" xr:uid="{00000000-0005-0000-0000-000047D40000}"/>
    <cellStyle name="注释 2 6 5 7 2" xfId="54296" xr:uid="{00000000-0005-0000-0000-000048D40000}"/>
    <cellStyle name="注释 2 6 5 7 2 2" xfId="40593" xr:uid="{00000000-0005-0000-0000-0000C19E0000}"/>
    <cellStyle name="注释 2 6 5 7 3" xfId="7021" xr:uid="{00000000-0005-0000-0000-00009D1B0000}"/>
    <cellStyle name="注释 2 6 5 7 3 2" xfId="40603" xr:uid="{00000000-0005-0000-0000-0000CB9E0000}"/>
    <cellStyle name="注释 2 6 5 7 4" xfId="54297" xr:uid="{00000000-0005-0000-0000-000049D40000}"/>
    <cellStyle name="注释 2 6 5 7 4 2" xfId="20045" xr:uid="{00000000-0005-0000-0000-00007D4E0000}"/>
    <cellStyle name="注释 2 6 5 7 5" xfId="52055" xr:uid="{00000000-0005-0000-0000-000087CB0000}"/>
    <cellStyle name="注释 2 6 5 7 5 2" xfId="40616" xr:uid="{00000000-0005-0000-0000-0000D89E0000}"/>
    <cellStyle name="注释 2 6 5 7 6" xfId="52057" xr:uid="{00000000-0005-0000-0000-000089CB0000}"/>
    <cellStyle name="注释 2 6 5 8" xfId="54298" xr:uid="{00000000-0005-0000-0000-00004AD40000}"/>
    <cellStyle name="注释 2 6 5 8 2" xfId="54299" xr:uid="{00000000-0005-0000-0000-00004BD40000}"/>
    <cellStyle name="注释 2 6 5 8 2 2" xfId="40671" xr:uid="{00000000-0005-0000-0000-00000F9F0000}"/>
    <cellStyle name="注释 2 6 5 8 3" xfId="7103" xr:uid="{00000000-0005-0000-0000-0000EF1B0000}"/>
    <cellStyle name="注释 2 6 5 8 3 2" xfId="40692" xr:uid="{00000000-0005-0000-0000-0000249F0000}"/>
    <cellStyle name="注释 2 6 5 8 4" xfId="54300" xr:uid="{00000000-0005-0000-0000-00004CD40000}"/>
    <cellStyle name="注释 2 6 5 8 4 2" xfId="40709" xr:uid="{00000000-0005-0000-0000-0000359F0000}"/>
    <cellStyle name="注释 2 6 5 8 5" xfId="52065" xr:uid="{00000000-0005-0000-0000-000091CB0000}"/>
    <cellStyle name="注释 2 6 5 9" xfId="54301" xr:uid="{00000000-0005-0000-0000-00004DD40000}"/>
    <cellStyle name="注释 2 6 5 9 2" xfId="54303" xr:uid="{00000000-0005-0000-0000-00004FD40000}"/>
    <cellStyle name="注释 2 6 6" xfId="51139" xr:uid="{00000000-0005-0000-0000-0000F3C70000}"/>
    <cellStyle name="注释 2 6 6 10" xfId="12783" xr:uid="{00000000-0005-0000-0000-00001F320000}"/>
    <cellStyle name="注释 2 6 6 10 2" xfId="52501" xr:uid="{00000000-0005-0000-0000-000045CD0000}"/>
    <cellStyle name="注释 2 6 6 11" xfId="22088" xr:uid="{00000000-0005-0000-0000-000078560000}"/>
    <cellStyle name="注释 2 6 6 11 2" xfId="52503" xr:uid="{00000000-0005-0000-0000-000047CD0000}"/>
    <cellStyle name="注释 2 6 6 12" xfId="52505" xr:uid="{00000000-0005-0000-0000-000049CD0000}"/>
    <cellStyle name="注释 2 6 6 12 2" xfId="52507" xr:uid="{00000000-0005-0000-0000-00004BCD0000}"/>
    <cellStyle name="注释 2 6 6 13" xfId="52509" xr:uid="{00000000-0005-0000-0000-00004DCD0000}"/>
    <cellStyle name="注释 2 6 6 14" xfId="17750" xr:uid="{00000000-0005-0000-0000-000086450000}"/>
    <cellStyle name="注释 2 6 6 15" xfId="17758" xr:uid="{00000000-0005-0000-0000-00008E450000}"/>
    <cellStyle name="注释 2 6 6 16" xfId="17764" xr:uid="{00000000-0005-0000-0000-000094450000}"/>
    <cellStyle name="注释 2 6 6 2" xfId="51141" xr:uid="{00000000-0005-0000-0000-0000F5C70000}"/>
    <cellStyle name="注释 2 6 6 2 2" xfId="54305" xr:uid="{00000000-0005-0000-0000-000051D40000}"/>
    <cellStyle name="注释 2 6 6 2 2 2" xfId="39068" xr:uid="{00000000-0005-0000-0000-0000CC980000}"/>
    <cellStyle name="注释 2 6 6 2 3" xfId="54306" xr:uid="{00000000-0005-0000-0000-000052D40000}"/>
    <cellStyle name="注释 2 6 6 2 3 2" xfId="39079" xr:uid="{00000000-0005-0000-0000-0000D7980000}"/>
    <cellStyle name="注释 2 6 6 2 4" xfId="51712" xr:uid="{00000000-0005-0000-0000-000030CA0000}"/>
    <cellStyle name="注释 2 6 6 2 4 2" xfId="39087" xr:uid="{00000000-0005-0000-0000-0000DF980000}"/>
    <cellStyle name="注释 2 6 6 2 5" xfId="54307" xr:uid="{00000000-0005-0000-0000-000053D40000}"/>
    <cellStyle name="注释 2 6 6 2 5 2" xfId="39097" xr:uid="{00000000-0005-0000-0000-0000E9980000}"/>
    <cellStyle name="注释 2 6 6 2 6" xfId="54308" xr:uid="{00000000-0005-0000-0000-000054D40000}"/>
    <cellStyle name="注释 2 6 6 2 7" xfId="23459" xr:uid="{00000000-0005-0000-0000-0000D35B0000}"/>
    <cellStyle name="注释 2 6 6 2 8" xfId="54309" xr:uid="{00000000-0005-0000-0000-000055D40000}"/>
    <cellStyle name="注释 2 6 6 2 9" xfId="54310" xr:uid="{00000000-0005-0000-0000-000056D40000}"/>
    <cellStyle name="注释 2 6 6 3" xfId="13688" xr:uid="{00000000-0005-0000-0000-0000A8350000}"/>
    <cellStyle name="注释 2 6 6 3 2" xfId="54311" xr:uid="{00000000-0005-0000-0000-000057D40000}"/>
    <cellStyle name="注释 2 6 6 3 2 2" xfId="39133" xr:uid="{00000000-0005-0000-0000-00000D990000}"/>
    <cellStyle name="注释 2 6 6 3 3" xfId="48149" xr:uid="{00000000-0005-0000-0000-000045BC0000}"/>
    <cellStyle name="注释 2 6 6 3 3 2" xfId="39141" xr:uid="{00000000-0005-0000-0000-000015990000}"/>
    <cellStyle name="注释 2 6 6 3 4" xfId="51714" xr:uid="{00000000-0005-0000-0000-000032CA0000}"/>
    <cellStyle name="注释 2 6 6 3 4 2" xfId="39148" xr:uid="{00000000-0005-0000-0000-00001C990000}"/>
    <cellStyle name="注释 2 6 6 3 5" xfId="54312" xr:uid="{00000000-0005-0000-0000-000058D40000}"/>
    <cellStyle name="注释 2 6 6 3 5 2" xfId="39157" xr:uid="{00000000-0005-0000-0000-000025990000}"/>
    <cellStyle name="注释 2 6 6 3 6" xfId="54313" xr:uid="{00000000-0005-0000-0000-000059D40000}"/>
    <cellStyle name="注释 2 6 6 4" xfId="28869" xr:uid="{00000000-0005-0000-0000-0000F5700000}"/>
    <cellStyle name="注释 2 6 6 4 2" xfId="28871" xr:uid="{00000000-0005-0000-0000-0000F7700000}"/>
    <cellStyle name="注释 2 6 6 4 2 2" xfId="39201" xr:uid="{00000000-0005-0000-0000-000051990000}"/>
    <cellStyle name="注释 2 6 6 4 3" xfId="48152" xr:uid="{00000000-0005-0000-0000-000048BC0000}"/>
    <cellStyle name="注释 2 6 6 4 3 2" xfId="39211" xr:uid="{00000000-0005-0000-0000-00005B990000}"/>
    <cellStyle name="注释 2 6 6 4 4" xfId="51716" xr:uid="{00000000-0005-0000-0000-000034CA0000}"/>
    <cellStyle name="注释 2 6 6 4 4 2" xfId="39219" xr:uid="{00000000-0005-0000-0000-000063990000}"/>
    <cellStyle name="注释 2 6 6 4 5" xfId="54314" xr:uid="{00000000-0005-0000-0000-00005AD40000}"/>
    <cellStyle name="注释 2 6 6 4 5 2" xfId="39228" xr:uid="{00000000-0005-0000-0000-00006C990000}"/>
    <cellStyle name="注释 2 6 6 4 6" xfId="54315" xr:uid="{00000000-0005-0000-0000-00005BD40000}"/>
    <cellStyle name="注释 2 6 6 5" xfId="28873" xr:uid="{00000000-0005-0000-0000-0000F9700000}"/>
    <cellStyle name="注释 2 6 6 5 2" xfId="28878" xr:uid="{00000000-0005-0000-0000-0000FE700000}"/>
    <cellStyle name="注释 2 6 6 5 2 2" xfId="39290" xr:uid="{00000000-0005-0000-0000-0000AA990000}"/>
    <cellStyle name="注释 2 6 6 5 3" xfId="48155" xr:uid="{00000000-0005-0000-0000-00004BBC0000}"/>
    <cellStyle name="注释 2 6 6 5 3 2" xfId="39303" xr:uid="{00000000-0005-0000-0000-0000B7990000}"/>
    <cellStyle name="注释 2 6 6 5 4" xfId="54316" xr:uid="{00000000-0005-0000-0000-00005CD40000}"/>
    <cellStyle name="注释 2 6 6 5 4 2" xfId="39317" xr:uid="{00000000-0005-0000-0000-0000C5990000}"/>
    <cellStyle name="注释 2 6 6 5 5" xfId="54317" xr:uid="{00000000-0005-0000-0000-00005DD40000}"/>
    <cellStyle name="注释 2 6 6 5 5 2" xfId="39329" xr:uid="{00000000-0005-0000-0000-0000D1990000}"/>
    <cellStyle name="注释 2 6 6 5 6" xfId="54318" xr:uid="{00000000-0005-0000-0000-00005ED40000}"/>
    <cellStyle name="注释 2 6 6 6" xfId="11711" xr:uid="{00000000-0005-0000-0000-0000EF2D0000}"/>
    <cellStyle name="注释 2 6 6 6 2" xfId="28881" xr:uid="{00000000-0005-0000-0000-000001710000}"/>
    <cellStyle name="注释 2 6 6 6 2 2" xfId="39373" xr:uid="{00000000-0005-0000-0000-0000FD990000}"/>
    <cellStyle name="注释 2 6 6 6 3" xfId="3607" xr:uid="{00000000-0005-0000-0000-0000470E0000}"/>
    <cellStyle name="注释 2 6 6 6 3 2" xfId="1302" xr:uid="{00000000-0005-0000-0000-000046050000}"/>
    <cellStyle name="注释 2 6 6 6 4" xfId="3612" xr:uid="{00000000-0005-0000-0000-00004C0E0000}"/>
    <cellStyle name="注释 2 6 6 6 4 2" xfId="2210" xr:uid="{00000000-0005-0000-0000-0000D2080000}"/>
    <cellStyle name="注释 2 6 6 6 5" xfId="2840" xr:uid="{00000000-0005-0000-0000-0000480B0000}"/>
    <cellStyle name="注释 2 6 6 6 5 2" xfId="1563" xr:uid="{00000000-0005-0000-0000-00004B060000}"/>
    <cellStyle name="注释 2 6 6 6 6" xfId="3696" xr:uid="{00000000-0005-0000-0000-0000A00E0000}"/>
    <cellStyle name="注释 2 6 6 7" xfId="28884" xr:uid="{00000000-0005-0000-0000-000004710000}"/>
    <cellStyle name="注释 2 6 6 7 2" xfId="28887" xr:uid="{00000000-0005-0000-0000-000007710000}"/>
    <cellStyle name="注释 2 6 6 7 2 2" xfId="9294" xr:uid="{00000000-0005-0000-0000-00007E240000}"/>
    <cellStyle name="注释 2 6 6 7 3" xfId="4017" xr:uid="{00000000-0005-0000-0000-0000E10F0000}"/>
    <cellStyle name="注释 2 6 6 7 3 2" xfId="4029" xr:uid="{00000000-0005-0000-0000-0000ED0F0000}"/>
    <cellStyle name="注释 2 6 6 7 4" xfId="4145" xr:uid="{00000000-0005-0000-0000-000061100000}"/>
    <cellStyle name="注释 2 6 6 7 4 2" xfId="4155" xr:uid="{00000000-0005-0000-0000-00006B100000}"/>
    <cellStyle name="注释 2 6 6 7 5" xfId="4025" xr:uid="{00000000-0005-0000-0000-0000E90F0000}"/>
    <cellStyle name="注释 2 6 6 7 5 2" xfId="4042" xr:uid="{00000000-0005-0000-0000-0000FA0F0000}"/>
    <cellStyle name="注释 2 6 6 7 6" xfId="4050" xr:uid="{00000000-0005-0000-0000-000002100000}"/>
    <cellStyle name="注释 2 6 6 8" xfId="28890" xr:uid="{00000000-0005-0000-0000-00000A710000}"/>
    <cellStyle name="注释 2 6 6 8 2" xfId="54319" xr:uid="{00000000-0005-0000-0000-00005FD40000}"/>
    <cellStyle name="注释 2 6 6 8 2 2" xfId="21094" xr:uid="{00000000-0005-0000-0000-000096520000}"/>
    <cellStyle name="注释 2 6 6 8 3" xfId="4425" xr:uid="{00000000-0005-0000-0000-000079110000}"/>
    <cellStyle name="注释 2 6 6 8 3 2" xfId="4433" xr:uid="{00000000-0005-0000-0000-000081110000}"/>
    <cellStyle name="注释 2 6 6 8 4" xfId="4503" xr:uid="{00000000-0005-0000-0000-0000C7110000}"/>
    <cellStyle name="注释 2 6 6 8 4 2" xfId="4511" xr:uid="{00000000-0005-0000-0000-0000CF110000}"/>
    <cellStyle name="注释 2 6 6 8 5" xfId="4149" xr:uid="{00000000-0005-0000-0000-000065100000}"/>
    <cellStyle name="注释 2 6 6 9" xfId="54320" xr:uid="{00000000-0005-0000-0000-000060D40000}"/>
    <cellStyle name="注释 2 6 6 9 2" xfId="54322" xr:uid="{00000000-0005-0000-0000-000062D40000}"/>
    <cellStyle name="注释 2 6 7" xfId="51143" xr:uid="{00000000-0005-0000-0000-0000F7C70000}"/>
    <cellStyle name="注释 2 6 7 10" xfId="54324" xr:uid="{00000000-0005-0000-0000-000064D40000}"/>
    <cellStyle name="注释 2 6 7 10 2" xfId="54325" xr:uid="{00000000-0005-0000-0000-000065D40000}"/>
    <cellStyle name="注释 2 6 7 11" xfId="54326" xr:uid="{00000000-0005-0000-0000-000066D40000}"/>
    <cellStyle name="注释 2 6 7 11 2" xfId="54327" xr:uid="{00000000-0005-0000-0000-000067D40000}"/>
    <cellStyle name="注释 2 6 7 12" xfId="54328" xr:uid="{00000000-0005-0000-0000-000068D40000}"/>
    <cellStyle name="注释 2 6 7 12 2" xfId="54329" xr:uid="{00000000-0005-0000-0000-000069D40000}"/>
    <cellStyle name="注释 2 6 7 13" xfId="54330" xr:uid="{00000000-0005-0000-0000-00006AD40000}"/>
    <cellStyle name="注释 2 6 7 14" xfId="54331" xr:uid="{00000000-0005-0000-0000-00006BD40000}"/>
    <cellStyle name="注释 2 6 7 15" xfId="54332" xr:uid="{00000000-0005-0000-0000-00006CD40000}"/>
    <cellStyle name="注释 2 6 7 16" xfId="47588" xr:uid="{00000000-0005-0000-0000-000014BA0000}"/>
    <cellStyle name="注释 2 6 7 2" xfId="51145" xr:uid="{00000000-0005-0000-0000-0000F9C70000}"/>
    <cellStyle name="注释 2 6 7 2 2" xfId="54333" xr:uid="{00000000-0005-0000-0000-00006DD40000}"/>
    <cellStyle name="注释 2 6 7 2 2 2" xfId="54334" xr:uid="{00000000-0005-0000-0000-00006ED40000}"/>
    <cellStyle name="注释 2 6 7 2 3" xfId="54335" xr:uid="{00000000-0005-0000-0000-00006FD40000}"/>
    <cellStyle name="注释 2 6 7 2 3 2" xfId="54336" xr:uid="{00000000-0005-0000-0000-000070D40000}"/>
    <cellStyle name="注释 2 6 7 2 4" xfId="36315" xr:uid="{00000000-0005-0000-0000-00000B8E0000}"/>
    <cellStyle name="注释 2 6 7 2 4 2" xfId="54337" xr:uid="{00000000-0005-0000-0000-000071D40000}"/>
    <cellStyle name="注释 2 6 7 2 5" xfId="54338" xr:uid="{00000000-0005-0000-0000-000072D40000}"/>
    <cellStyle name="注释 2 6 7 2 5 2" xfId="54339" xr:uid="{00000000-0005-0000-0000-000073D40000}"/>
    <cellStyle name="注释 2 6 7 2 6" xfId="23003" xr:uid="{00000000-0005-0000-0000-00000B5A0000}"/>
    <cellStyle name="注释 2 6 7 2 7" xfId="23005" xr:uid="{00000000-0005-0000-0000-00000D5A0000}"/>
    <cellStyle name="注释 2 6 7 2 8" xfId="23007" xr:uid="{00000000-0005-0000-0000-00000F5A0000}"/>
    <cellStyle name="注释 2 6 7 2 9" xfId="23009" xr:uid="{00000000-0005-0000-0000-0000115A0000}"/>
    <cellStyle name="注释 2 6 7 3" xfId="33865" xr:uid="{00000000-0005-0000-0000-000079840000}"/>
    <cellStyle name="注释 2 6 7 3 2" xfId="54340" xr:uid="{00000000-0005-0000-0000-000074D40000}"/>
    <cellStyle name="注释 2 6 7 3 2 2" xfId="54341" xr:uid="{00000000-0005-0000-0000-000075D40000}"/>
    <cellStyle name="注释 2 6 7 3 3" xfId="32269" xr:uid="{00000000-0005-0000-0000-00003D7E0000}"/>
    <cellStyle name="注释 2 6 7 3 3 2" xfId="54342" xr:uid="{00000000-0005-0000-0000-000076D40000}"/>
    <cellStyle name="注释 2 6 7 3 4" xfId="36319" xr:uid="{00000000-0005-0000-0000-00000F8E0000}"/>
    <cellStyle name="注释 2 6 7 3 4 2" xfId="54343" xr:uid="{00000000-0005-0000-0000-000077D40000}"/>
    <cellStyle name="注释 2 6 7 3 5" xfId="54344" xr:uid="{00000000-0005-0000-0000-000078D40000}"/>
    <cellStyle name="注释 2 6 7 3 5 2" xfId="54345" xr:uid="{00000000-0005-0000-0000-000079D40000}"/>
    <cellStyle name="注释 2 6 7 3 6" xfId="23016" xr:uid="{00000000-0005-0000-0000-0000185A0000}"/>
    <cellStyle name="注释 2 6 7 4" xfId="22265" xr:uid="{00000000-0005-0000-0000-000029570000}"/>
    <cellStyle name="注释 2 6 7 4 2" xfId="22269" xr:uid="{00000000-0005-0000-0000-00002D570000}"/>
    <cellStyle name="注释 2 6 7 4 2 2" xfId="54346" xr:uid="{00000000-0005-0000-0000-00007AD40000}"/>
    <cellStyle name="注释 2 6 7 4 3" xfId="32275" xr:uid="{00000000-0005-0000-0000-0000437E0000}"/>
    <cellStyle name="注释 2 6 7 4 3 2" xfId="54347" xr:uid="{00000000-0005-0000-0000-00007BD40000}"/>
    <cellStyle name="注释 2 6 7 4 4" xfId="36322" xr:uid="{00000000-0005-0000-0000-0000128E0000}"/>
    <cellStyle name="注释 2 6 7 4 4 2" xfId="54348" xr:uid="{00000000-0005-0000-0000-00007CD40000}"/>
    <cellStyle name="注释 2 6 7 4 5" xfId="54349" xr:uid="{00000000-0005-0000-0000-00007DD40000}"/>
    <cellStyle name="注释 2 6 7 4 5 2" xfId="54350" xr:uid="{00000000-0005-0000-0000-00007ED40000}"/>
    <cellStyle name="注释 2 6 7 4 6" xfId="23027" xr:uid="{00000000-0005-0000-0000-0000235A0000}"/>
    <cellStyle name="注释 2 6 7 5" xfId="22272" xr:uid="{00000000-0005-0000-0000-000030570000}"/>
    <cellStyle name="注释 2 6 7 5 2" xfId="28895" xr:uid="{00000000-0005-0000-0000-00000F710000}"/>
    <cellStyle name="注释 2 6 7 5 2 2" xfId="34641" xr:uid="{00000000-0005-0000-0000-000081870000}"/>
    <cellStyle name="注释 2 6 7 5 3" xfId="32280" xr:uid="{00000000-0005-0000-0000-0000487E0000}"/>
    <cellStyle name="注释 2 6 7 5 3 2" xfId="34727" xr:uid="{00000000-0005-0000-0000-0000D7870000}"/>
    <cellStyle name="注释 2 6 7 5 4" xfId="54351" xr:uid="{00000000-0005-0000-0000-00007FD40000}"/>
    <cellStyle name="注释 2 6 7 5 4 2" xfId="34744" xr:uid="{00000000-0005-0000-0000-0000E8870000}"/>
    <cellStyle name="注释 2 6 7 5 5" xfId="54352" xr:uid="{00000000-0005-0000-0000-000080D40000}"/>
    <cellStyle name="注释 2 6 7 5 5 2" xfId="41238" xr:uid="{00000000-0005-0000-0000-000046A10000}"/>
    <cellStyle name="注释 2 6 7 5 6" xfId="23035" xr:uid="{00000000-0005-0000-0000-00002B5A0000}"/>
    <cellStyle name="注释 2 6 7 6" xfId="22278" xr:uid="{00000000-0005-0000-0000-000036570000}"/>
    <cellStyle name="注释 2 6 7 6 2" xfId="23048" xr:uid="{00000000-0005-0000-0000-0000385A0000}"/>
    <cellStyle name="注释 2 6 7 6 2 2" xfId="35027" xr:uid="{00000000-0005-0000-0000-000003890000}"/>
    <cellStyle name="注释 2 6 7 6 3" xfId="7310" xr:uid="{00000000-0005-0000-0000-0000BE1C0000}"/>
    <cellStyle name="注释 2 6 7 6 3 2" xfId="7318" xr:uid="{00000000-0005-0000-0000-0000C61C0000}"/>
    <cellStyle name="注释 2 6 7 6 4" xfId="7384" xr:uid="{00000000-0005-0000-0000-0000081D0000}"/>
    <cellStyle name="注释 2 6 7 6 4 2" xfId="7388" xr:uid="{00000000-0005-0000-0000-00000C1D0000}"/>
    <cellStyle name="注释 2 6 7 6 5" xfId="7424" xr:uid="{00000000-0005-0000-0000-0000301D0000}"/>
    <cellStyle name="注释 2 6 7 6 5 2" xfId="7427" xr:uid="{00000000-0005-0000-0000-0000331D0000}"/>
    <cellStyle name="注释 2 6 7 6 6" xfId="7489" xr:uid="{00000000-0005-0000-0000-0000711D0000}"/>
    <cellStyle name="注释 2 6 7 7" xfId="22283" xr:uid="{00000000-0005-0000-0000-00003B570000}"/>
    <cellStyle name="注释 2 6 7 7 2" xfId="28898" xr:uid="{00000000-0005-0000-0000-000012710000}"/>
    <cellStyle name="注释 2 6 7 7 2 2" xfId="35393" xr:uid="{00000000-0005-0000-0000-0000718A0000}"/>
    <cellStyle name="注释 2 6 7 7 3" xfId="7775" xr:uid="{00000000-0005-0000-0000-00008F1E0000}"/>
    <cellStyle name="注释 2 6 7 7 3 2" xfId="7782" xr:uid="{00000000-0005-0000-0000-0000961E0000}"/>
    <cellStyle name="注释 2 6 7 7 4" xfId="7789" xr:uid="{00000000-0005-0000-0000-00009D1E0000}"/>
    <cellStyle name="注释 2 6 7 7 4 2" xfId="7796" xr:uid="{00000000-0005-0000-0000-0000A41E0000}"/>
    <cellStyle name="注释 2 6 7 7 5" xfId="7810" xr:uid="{00000000-0005-0000-0000-0000B21E0000}"/>
    <cellStyle name="注释 2 6 7 7 5 2" xfId="7815" xr:uid="{00000000-0005-0000-0000-0000B71E0000}"/>
    <cellStyle name="注释 2 6 7 7 6" xfId="7833" xr:uid="{00000000-0005-0000-0000-0000C91E0000}"/>
    <cellStyle name="注释 2 6 7 8" xfId="22287" xr:uid="{00000000-0005-0000-0000-00003F570000}"/>
    <cellStyle name="注释 2 6 7 8 2" xfId="54353" xr:uid="{00000000-0005-0000-0000-000081D40000}"/>
    <cellStyle name="注释 2 6 7 8 2 2" xfId="35670" xr:uid="{00000000-0005-0000-0000-0000868B0000}"/>
    <cellStyle name="注释 2 6 7 8 3" xfId="6156" xr:uid="{00000000-0005-0000-0000-00003C180000}"/>
    <cellStyle name="注释 2 6 7 8 3 2" xfId="6167" xr:uid="{00000000-0005-0000-0000-000047180000}"/>
    <cellStyle name="注释 2 6 7 8 4" xfId="6172" xr:uid="{00000000-0005-0000-0000-00004C180000}"/>
    <cellStyle name="注释 2 6 7 8 4 2" xfId="6186" xr:uid="{00000000-0005-0000-0000-00005A180000}"/>
    <cellStyle name="注释 2 6 7 8 5" xfId="6195" xr:uid="{00000000-0005-0000-0000-000063180000}"/>
    <cellStyle name="注释 2 6 7 9" xfId="54354" xr:uid="{00000000-0005-0000-0000-000082D40000}"/>
    <cellStyle name="注释 2 6 7 9 2" xfId="54356" xr:uid="{00000000-0005-0000-0000-000084D40000}"/>
    <cellStyle name="注释 2 6 8" xfId="51147" xr:uid="{00000000-0005-0000-0000-0000FBC70000}"/>
    <cellStyle name="注释 2 6 8 10" xfId="33743" xr:uid="{00000000-0005-0000-0000-0000FF830000}"/>
    <cellStyle name="注释 2 6 8 10 2" xfId="54358" xr:uid="{00000000-0005-0000-0000-000086D40000}"/>
    <cellStyle name="注释 2 6 8 11" xfId="54359" xr:uid="{00000000-0005-0000-0000-000087D40000}"/>
    <cellStyle name="注释 2 6 8 11 2" xfId="54360" xr:uid="{00000000-0005-0000-0000-000088D40000}"/>
    <cellStyle name="注释 2 6 8 12" xfId="22364" xr:uid="{00000000-0005-0000-0000-00008C570000}"/>
    <cellStyle name="注释 2 6 8 12 2" xfId="54361" xr:uid="{00000000-0005-0000-0000-000089D40000}"/>
    <cellStyle name="注释 2 6 8 13" xfId="54362" xr:uid="{00000000-0005-0000-0000-00008AD40000}"/>
    <cellStyle name="注释 2 6 8 14" xfId="54363" xr:uid="{00000000-0005-0000-0000-00008BD40000}"/>
    <cellStyle name="注释 2 6 8 15" xfId="54364" xr:uid="{00000000-0005-0000-0000-00008CD40000}"/>
    <cellStyle name="注释 2 6 8 16" xfId="4623" xr:uid="{00000000-0005-0000-0000-00003F120000}"/>
    <cellStyle name="注释 2 6 8 2" xfId="51149" xr:uid="{00000000-0005-0000-0000-0000FDC70000}"/>
    <cellStyle name="注释 2 6 8 2 2" xfId="54366" xr:uid="{00000000-0005-0000-0000-00008ED40000}"/>
    <cellStyle name="注释 2 6 8 2 2 2" xfId="54367" xr:uid="{00000000-0005-0000-0000-00008FD40000}"/>
    <cellStyle name="注释 2 6 8 2 3" xfId="54368" xr:uid="{00000000-0005-0000-0000-000090D40000}"/>
    <cellStyle name="注释 2 6 8 2 3 2" xfId="54369" xr:uid="{00000000-0005-0000-0000-000091D40000}"/>
    <cellStyle name="注释 2 6 8 2 4" xfId="36330" xr:uid="{00000000-0005-0000-0000-00001A8E0000}"/>
    <cellStyle name="注释 2 6 8 2 4 2" xfId="54370" xr:uid="{00000000-0005-0000-0000-000092D40000}"/>
    <cellStyle name="注释 2 6 8 2 5" xfId="49451" xr:uid="{00000000-0005-0000-0000-00005BC10000}"/>
    <cellStyle name="注释 2 6 8 2 5 2" xfId="54371" xr:uid="{00000000-0005-0000-0000-000093D40000}"/>
    <cellStyle name="注释 2 6 8 2 6" xfId="23072" xr:uid="{00000000-0005-0000-0000-0000505A0000}"/>
    <cellStyle name="注释 2 6 8 2 7" xfId="23074" xr:uid="{00000000-0005-0000-0000-0000525A0000}"/>
    <cellStyle name="注释 2 6 8 2 8" xfId="20169" xr:uid="{00000000-0005-0000-0000-0000F94E0000}"/>
    <cellStyle name="注释 2 6 8 2 9" xfId="7300" xr:uid="{00000000-0005-0000-0000-0000B41C0000}"/>
    <cellStyle name="注释 2 6 8 3" xfId="33867" xr:uid="{00000000-0005-0000-0000-00007B840000}"/>
    <cellStyle name="注释 2 6 8 3 2" xfId="54372" xr:uid="{00000000-0005-0000-0000-000094D40000}"/>
    <cellStyle name="注释 2 6 8 3 2 2" xfId="54373" xr:uid="{00000000-0005-0000-0000-000095D40000}"/>
    <cellStyle name="注释 2 6 8 3 3" xfId="48160" xr:uid="{00000000-0005-0000-0000-000050BC0000}"/>
    <cellStyle name="注释 2 6 8 3 3 2" xfId="54374" xr:uid="{00000000-0005-0000-0000-000096D40000}"/>
    <cellStyle name="注释 2 6 8 3 4" xfId="36332" xr:uid="{00000000-0005-0000-0000-00001C8E0000}"/>
    <cellStyle name="注释 2 6 8 3 4 2" xfId="54375" xr:uid="{00000000-0005-0000-0000-000097D40000}"/>
    <cellStyle name="注释 2 6 8 3 5" xfId="54376" xr:uid="{00000000-0005-0000-0000-000098D40000}"/>
    <cellStyle name="注释 2 6 8 3 5 2" xfId="54377" xr:uid="{00000000-0005-0000-0000-000099D40000}"/>
    <cellStyle name="注释 2 6 8 3 6" xfId="23077" xr:uid="{00000000-0005-0000-0000-0000555A0000}"/>
    <cellStyle name="注释 2 6 8 4" xfId="28903" xr:uid="{00000000-0005-0000-0000-000017710000}"/>
    <cellStyle name="注释 2 6 8 4 2" xfId="28905" xr:uid="{00000000-0005-0000-0000-000019710000}"/>
    <cellStyle name="注释 2 6 8 4 2 2" xfId="47442" xr:uid="{00000000-0005-0000-0000-000082B90000}"/>
    <cellStyle name="注释 2 6 8 4 3" xfId="47454" xr:uid="{00000000-0005-0000-0000-00008EB90000}"/>
    <cellStyle name="注释 2 6 8 4 3 2" xfId="47457" xr:uid="{00000000-0005-0000-0000-000091B90000}"/>
    <cellStyle name="注释 2 6 8 4 4" xfId="36336" xr:uid="{00000000-0005-0000-0000-0000208E0000}"/>
    <cellStyle name="注释 2 6 8 4 4 2" xfId="47469" xr:uid="{00000000-0005-0000-0000-00009DB90000}"/>
    <cellStyle name="注释 2 6 8 4 5" xfId="47475" xr:uid="{00000000-0005-0000-0000-0000A3B90000}"/>
    <cellStyle name="注释 2 6 8 4 5 2" xfId="47478" xr:uid="{00000000-0005-0000-0000-0000A6B90000}"/>
    <cellStyle name="注释 2 6 8 4 6" xfId="23093" xr:uid="{00000000-0005-0000-0000-0000655A0000}"/>
    <cellStyle name="注释 2 6 8 5" xfId="28908" xr:uid="{00000000-0005-0000-0000-00001C710000}"/>
    <cellStyle name="注释 2 6 8 5 2" xfId="28913" xr:uid="{00000000-0005-0000-0000-000021710000}"/>
    <cellStyle name="注释 2 6 8 5 2 2" xfId="41522" xr:uid="{00000000-0005-0000-0000-000062A20000}"/>
    <cellStyle name="注释 2 6 8 5 3" xfId="48164" xr:uid="{00000000-0005-0000-0000-000054BC0000}"/>
    <cellStyle name="注释 2 6 8 5 3 2" xfId="41535" xr:uid="{00000000-0005-0000-0000-00006FA20000}"/>
    <cellStyle name="注释 2 6 8 5 4" xfId="54378" xr:uid="{00000000-0005-0000-0000-00009AD40000}"/>
    <cellStyle name="注释 2 6 8 5 4 2" xfId="41546" xr:uid="{00000000-0005-0000-0000-00007AA20000}"/>
    <cellStyle name="注释 2 6 8 5 5" xfId="54379" xr:uid="{00000000-0005-0000-0000-00009BD40000}"/>
    <cellStyle name="注释 2 6 8 5 5 2" xfId="41560" xr:uid="{00000000-0005-0000-0000-000088A20000}"/>
    <cellStyle name="注释 2 6 8 5 6" xfId="23110" xr:uid="{00000000-0005-0000-0000-0000765A0000}"/>
    <cellStyle name="注释 2 6 8 6" xfId="28916" xr:uid="{00000000-0005-0000-0000-000024710000}"/>
    <cellStyle name="注释 2 6 8 6 2" xfId="23499" xr:uid="{00000000-0005-0000-0000-0000FB5B0000}"/>
    <cellStyle name="注释 2 6 8 6 2 2" xfId="41604" xr:uid="{00000000-0005-0000-0000-0000B4A20000}"/>
    <cellStyle name="注释 2 6 8 6 3" xfId="9551" xr:uid="{00000000-0005-0000-0000-00007F250000}"/>
    <cellStyle name="注释 2 6 8 6 3 2" xfId="5127" xr:uid="{00000000-0005-0000-0000-000037140000}"/>
    <cellStyle name="注释 2 6 8 6 4" xfId="9585" xr:uid="{00000000-0005-0000-0000-0000A1250000}"/>
    <cellStyle name="注释 2 6 8 6 4 2" xfId="5158" xr:uid="{00000000-0005-0000-0000-000056140000}"/>
    <cellStyle name="注释 2 6 8 6 5" xfId="9600" xr:uid="{00000000-0005-0000-0000-0000B0250000}"/>
    <cellStyle name="注释 2 6 8 6 5 2" xfId="5192" xr:uid="{00000000-0005-0000-0000-000078140000}"/>
    <cellStyle name="注释 2 6 8 6 6" xfId="9641" xr:uid="{00000000-0005-0000-0000-0000D9250000}"/>
    <cellStyle name="注释 2 6 8 7" xfId="27873" xr:uid="{00000000-0005-0000-0000-0000116D0000}"/>
    <cellStyle name="注释 2 6 8 7 2" xfId="377" xr:uid="{00000000-0005-0000-0000-00009E010000}"/>
    <cellStyle name="注释 2 6 8 7 2 2" xfId="650" xr:uid="{00000000-0005-0000-0000-0000BA020000}"/>
    <cellStyle name="注释 2 6 8 7 3" xfId="7" xr:uid="{00000000-0005-0000-0000-000008000000}"/>
    <cellStyle name="注释 2 6 8 7 3 2" xfId="662" xr:uid="{00000000-0005-0000-0000-0000C6020000}"/>
    <cellStyle name="注释 2 6 8 7 4" xfId="428" xr:uid="{00000000-0005-0000-0000-0000D5010000}"/>
    <cellStyle name="注释 2 6 8 7 4 2" xfId="677" xr:uid="{00000000-0005-0000-0000-0000D5020000}"/>
    <cellStyle name="注释 2 6 8 7 5" xfId="331" xr:uid="{00000000-0005-0000-0000-00006C010000}"/>
    <cellStyle name="注释 2 6 8 7 5 2" xfId="733" xr:uid="{00000000-0005-0000-0000-00000D030000}"/>
    <cellStyle name="注释 2 6 8 7 6" xfId="264" xr:uid="{00000000-0005-0000-0000-000023010000}"/>
    <cellStyle name="注释 2 6 8 8" xfId="28920" xr:uid="{00000000-0005-0000-0000-000028710000}"/>
    <cellStyle name="注释 2 6 8 8 2" xfId="54380" xr:uid="{00000000-0005-0000-0000-00009CD40000}"/>
    <cellStyle name="注释 2 6 8 8 2 2" xfId="41758" xr:uid="{00000000-0005-0000-0000-00004EA30000}"/>
    <cellStyle name="注释 2 6 8 8 3" xfId="8047" xr:uid="{00000000-0005-0000-0000-00009F1F0000}"/>
    <cellStyle name="注释 2 6 8 8 3 2" xfId="5524" xr:uid="{00000000-0005-0000-0000-0000C4150000}"/>
    <cellStyle name="注释 2 6 8 8 4" xfId="10238" xr:uid="{00000000-0005-0000-0000-00002E280000}"/>
    <cellStyle name="注释 2 6 8 8 4 2" xfId="5567" xr:uid="{00000000-0005-0000-0000-0000EF150000}"/>
    <cellStyle name="注释 2 6 8 8 5" xfId="10248" xr:uid="{00000000-0005-0000-0000-000038280000}"/>
    <cellStyle name="注释 2 6 8 9" xfId="54381" xr:uid="{00000000-0005-0000-0000-00009DD40000}"/>
    <cellStyle name="注释 2 6 8 9 2" xfId="48057" xr:uid="{00000000-0005-0000-0000-0000E9BB0000}"/>
    <cellStyle name="注释 2 6 9" xfId="49500" xr:uid="{00000000-0005-0000-0000-00008CC10000}"/>
    <cellStyle name="注释 2 6 9 10" xfId="54383" xr:uid="{00000000-0005-0000-0000-00009FD40000}"/>
    <cellStyle name="注释 2 6 9 10 2" xfId="7723" xr:uid="{00000000-0005-0000-0000-00005B1E0000}"/>
    <cellStyle name="注释 2 6 9 11" xfId="54384" xr:uid="{00000000-0005-0000-0000-0000A0D40000}"/>
    <cellStyle name="注释 2 6 9 11 2" xfId="54385" xr:uid="{00000000-0005-0000-0000-0000A1D40000}"/>
    <cellStyle name="注释 2 6 9 12" xfId="46448" xr:uid="{00000000-0005-0000-0000-0000A0B50000}"/>
    <cellStyle name="注释 2 6 9 12 2" xfId="54386" xr:uid="{00000000-0005-0000-0000-0000A2D40000}"/>
    <cellStyle name="注释 2 6 9 13" xfId="54387" xr:uid="{00000000-0005-0000-0000-0000A3D40000}"/>
    <cellStyle name="注释 2 6 9 14" xfId="54388" xr:uid="{00000000-0005-0000-0000-0000A4D40000}"/>
    <cellStyle name="注释 2 6 9 15" xfId="54389" xr:uid="{00000000-0005-0000-0000-0000A5D40000}"/>
    <cellStyle name="注释 2 6 9 16" xfId="54390" xr:uid="{00000000-0005-0000-0000-0000A6D40000}"/>
    <cellStyle name="注释 2 6 9 2" xfId="49503" xr:uid="{00000000-0005-0000-0000-00008FC10000}"/>
    <cellStyle name="注释 2 6 9 2 2" xfId="49505" xr:uid="{00000000-0005-0000-0000-000091C10000}"/>
    <cellStyle name="注释 2 6 9 2 2 2" xfId="54391" xr:uid="{00000000-0005-0000-0000-0000A7D40000}"/>
    <cellStyle name="注释 2 6 9 2 3" xfId="54392" xr:uid="{00000000-0005-0000-0000-0000A8D40000}"/>
    <cellStyle name="注释 2 6 9 2 3 2" xfId="54393" xr:uid="{00000000-0005-0000-0000-0000A9D40000}"/>
    <cellStyle name="注释 2 6 9 2 4" xfId="36346" xr:uid="{00000000-0005-0000-0000-00002A8E0000}"/>
    <cellStyle name="注释 2 6 9 2 4 2" xfId="54394" xr:uid="{00000000-0005-0000-0000-0000AAD40000}"/>
    <cellStyle name="注释 2 6 9 2 5" xfId="54395" xr:uid="{00000000-0005-0000-0000-0000ABD40000}"/>
    <cellStyle name="注释 2 6 9 2 5 2" xfId="54396" xr:uid="{00000000-0005-0000-0000-0000ACD40000}"/>
    <cellStyle name="注释 2 6 9 2 6" xfId="23168" xr:uid="{00000000-0005-0000-0000-0000B05A0000}"/>
    <cellStyle name="注释 2 6 9 2 7" xfId="23175" xr:uid="{00000000-0005-0000-0000-0000B75A0000}"/>
    <cellStyle name="注释 2 6 9 2 8" xfId="23180" xr:uid="{00000000-0005-0000-0000-0000BC5A0000}"/>
    <cellStyle name="注释 2 6 9 2 9" xfId="7750" xr:uid="{00000000-0005-0000-0000-0000761E0000}"/>
    <cellStyle name="注释 2 6 9 3" xfId="10736" xr:uid="{00000000-0005-0000-0000-0000202A0000}"/>
    <cellStyle name="注释 2 6 9 3 2" xfId="49507" xr:uid="{00000000-0005-0000-0000-000093C10000}"/>
    <cellStyle name="注释 2 6 9 3 2 2" xfId="54397" xr:uid="{00000000-0005-0000-0000-0000ADD40000}"/>
    <cellStyle name="注释 2 6 9 3 3" xfId="48168" xr:uid="{00000000-0005-0000-0000-000058BC0000}"/>
    <cellStyle name="注释 2 6 9 3 3 2" xfId="54398" xr:uid="{00000000-0005-0000-0000-0000AED40000}"/>
    <cellStyle name="注释 2 6 9 3 4" xfId="29142" xr:uid="{00000000-0005-0000-0000-000006720000}"/>
    <cellStyle name="注释 2 6 9 3 4 2" xfId="54399" xr:uid="{00000000-0005-0000-0000-0000AFD40000}"/>
    <cellStyle name="注释 2 6 9 3 5" xfId="54400" xr:uid="{00000000-0005-0000-0000-0000B0D40000}"/>
    <cellStyle name="注释 2 6 9 3 5 2" xfId="54401" xr:uid="{00000000-0005-0000-0000-0000B1D40000}"/>
    <cellStyle name="注释 2 6 9 3 6" xfId="23190" xr:uid="{00000000-0005-0000-0000-0000C65A0000}"/>
    <cellStyle name="注释 2 6 9 4" xfId="28925" xr:uid="{00000000-0005-0000-0000-00002D710000}"/>
    <cellStyle name="注释 2 6 9 4 2" xfId="28928" xr:uid="{00000000-0005-0000-0000-000030710000}"/>
    <cellStyle name="注释 2 6 9 4 2 2" xfId="54402" xr:uid="{00000000-0005-0000-0000-0000B2D40000}"/>
    <cellStyle name="注释 2 6 9 4 3" xfId="48170" xr:uid="{00000000-0005-0000-0000-00005ABC0000}"/>
    <cellStyle name="注释 2 6 9 4 3 2" xfId="54403" xr:uid="{00000000-0005-0000-0000-0000B3D40000}"/>
    <cellStyle name="注释 2 6 9 4 4" xfId="29145" xr:uid="{00000000-0005-0000-0000-000009720000}"/>
    <cellStyle name="注释 2 6 9 4 4 2" xfId="54404" xr:uid="{00000000-0005-0000-0000-0000B4D40000}"/>
    <cellStyle name="注释 2 6 9 4 5" xfId="54405" xr:uid="{00000000-0005-0000-0000-0000B5D40000}"/>
    <cellStyle name="注释 2 6 9 4 5 2" xfId="54406" xr:uid="{00000000-0005-0000-0000-0000B6D40000}"/>
    <cellStyle name="注释 2 6 9 4 6" xfId="23221" xr:uid="{00000000-0005-0000-0000-0000E55A0000}"/>
    <cellStyle name="注释 2 6 9 5" xfId="28931" xr:uid="{00000000-0005-0000-0000-000033710000}"/>
    <cellStyle name="注释 2 6 9 5 2" xfId="28936" xr:uid="{00000000-0005-0000-0000-000038710000}"/>
    <cellStyle name="注释 2 6 9 5 2 2" xfId="42179" xr:uid="{00000000-0005-0000-0000-0000F3A40000}"/>
    <cellStyle name="注释 2 6 9 5 3" xfId="48172" xr:uid="{00000000-0005-0000-0000-00005CBC0000}"/>
    <cellStyle name="注释 2 6 9 5 3 2" xfId="42189" xr:uid="{00000000-0005-0000-0000-0000FDA40000}"/>
    <cellStyle name="注释 2 6 9 5 4" xfId="54407" xr:uid="{00000000-0005-0000-0000-0000B7D40000}"/>
    <cellStyle name="注释 2 6 9 5 4 2" xfId="42199" xr:uid="{00000000-0005-0000-0000-000007A50000}"/>
    <cellStyle name="注释 2 6 9 5 5" xfId="54408" xr:uid="{00000000-0005-0000-0000-0000B8D40000}"/>
    <cellStyle name="注释 2 6 9 5 5 2" xfId="42210" xr:uid="{00000000-0005-0000-0000-000012A50000}"/>
    <cellStyle name="注释 2 6 9 5 6" xfId="23245" xr:uid="{00000000-0005-0000-0000-0000FD5A0000}"/>
    <cellStyle name="注释 2 6 9 6" xfId="28939" xr:uid="{00000000-0005-0000-0000-00003B710000}"/>
    <cellStyle name="注释 2 6 9 6 2" xfId="28945" xr:uid="{00000000-0005-0000-0000-000041710000}"/>
    <cellStyle name="注释 2 6 9 6 2 2" xfId="42264" xr:uid="{00000000-0005-0000-0000-000048A50000}"/>
    <cellStyle name="注释 2 6 9 6 3" xfId="11538" xr:uid="{00000000-0005-0000-0000-0000422D0000}"/>
    <cellStyle name="注释 2 6 9 6 3 2" xfId="8623" xr:uid="{00000000-0005-0000-0000-0000DF210000}"/>
    <cellStyle name="注释 2 6 9 6 4" xfId="11541" xr:uid="{00000000-0005-0000-0000-0000452D0000}"/>
    <cellStyle name="注释 2 6 9 6 4 2" xfId="8666" xr:uid="{00000000-0005-0000-0000-00000A220000}"/>
    <cellStyle name="注释 2 6 9 6 5" xfId="11543" xr:uid="{00000000-0005-0000-0000-0000472D0000}"/>
    <cellStyle name="注释 2 6 9 6 5 2" xfId="8695" xr:uid="{00000000-0005-0000-0000-000027220000}"/>
    <cellStyle name="注释 2 6 9 6 6" xfId="11556" xr:uid="{00000000-0005-0000-0000-0000542D0000}"/>
    <cellStyle name="注释 2 6 9 7" xfId="27877" xr:uid="{00000000-0005-0000-0000-0000156D0000}"/>
    <cellStyle name="注释 2 6 9 7 2" xfId="28947" xr:uid="{00000000-0005-0000-0000-000043710000}"/>
    <cellStyle name="注释 2 6 9 7 2 2" xfId="42340" xr:uid="{00000000-0005-0000-0000-000094A50000}"/>
    <cellStyle name="注释 2 6 9 7 3" xfId="8077" xr:uid="{00000000-0005-0000-0000-0000BD1F0000}"/>
    <cellStyle name="注释 2 6 9 7 3 2" xfId="3518" xr:uid="{00000000-0005-0000-0000-0000EE0D0000}"/>
    <cellStyle name="注释 2 6 9 7 4" xfId="11571" xr:uid="{00000000-0005-0000-0000-0000632D0000}"/>
    <cellStyle name="注释 2 6 9 7 4 2" xfId="109" xr:uid="{00000000-0005-0000-0000-000076000000}"/>
    <cellStyle name="注释 2 6 9 7 5" xfId="11573" xr:uid="{00000000-0005-0000-0000-0000652D0000}"/>
    <cellStyle name="注释 2 6 9 7 5 2" xfId="8797" xr:uid="{00000000-0005-0000-0000-00008D220000}"/>
    <cellStyle name="注释 2 6 9 7 6" xfId="11585" xr:uid="{00000000-0005-0000-0000-0000712D0000}"/>
    <cellStyle name="注释 2 6 9 8" xfId="28949" xr:uid="{00000000-0005-0000-0000-000045710000}"/>
    <cellStyle name="注释 2 6 9 8 2" xfId="54409" xr:uid="{00000000-0005-0000-0000-0000B9D40000}"/>
    <cellStyle name="注释 2 6 9 8 2 2" xfId="42413" xr:uid="{00000000-0005-0000-0000-0000DDA50000}"/>
    <cellStyle name="注释 2 6 9 8 3" xfId="8092" xr:uid="{00000000-0005-0000-0000-0000CC1F0000}"/>
    <cellStyle name="注释 2 6 9 8 3 2" xfId="9019" xr:uid="{00000000-0005-0000-0000-00006B230000}"/>
    <cellStyle name="注释 2 6 9 8 4" xfId="11592" xr:uid="{00000000-0005-0000-0000-0000782D0000}"/>
    <cellStyle name="注释 2 6 9 8 4 2" xfId="9082" xr:uid="{00000000-0005-0000-0000-0000AA230000}"/>
    <cellStyle name="注释 2 6 9 8 5" xfId="11594" xr:uid="{00000000-0005-0000-0000-00007A2D0000}"/>
    <cellStyle name="注释 2 6 9 9" xfId="54410" xr:uid="{00000000-0005-0000-0000-0000BAD40000}"/>
    <cellStyle name="注释 2 6 9 9 2" xfId="54413" xr:uid="{00000000-0005-0000-0000-0000BDD40000}"/>
    <cellStyle name="注释 2 7" xfId="54414" xr:uid="{00000000-0005-0000-0000-0000BED40000}"/>
    <cellStyle name="注释 2 7 10" xfId="54415" xr:uid="{00000000-0005-0000-0000-0000BFD40000}"/>
    <cellStyle name="注释 2 7 10 10" xfId="54416" xr:uid="{00000000-0005-0000-0000-0000C0D40000}"/>
    <cellStyle name="注释 2 7 10 10 2" xfId="54417" xr:uid="{00000000-0005-0000-0000-0000C1D40000}"/>
    <cellStyle name="注释 2 7 10 11" xfId="44496" xr:uid="{00000000-0005-0000-0000-000000AE0000}"/>
    <cellStyle name="注释 2 7 10 11 2" xfId="44498" xr:uid="{00000000-0005-0000-0000-000002AE0000}"/>
    <cellStyle name="注释 2 7 10 12" xfId="27036" xr:uid="{00000000-0005-0000-0000-0000CC690000}"/>
    <cellStyle name="注释 2 7 10 12 2" xfId="44500" xr:uid="{00000000-0005-0000-0000-000004AE0000}"/>
    <cellStyle name="注释 2 7 10 13" xfId="44502" xr:uid="{00000000-0005-0000-0000-000006AE0000}"/>
    <cellStyle name="注释 2 7 10 14" xfId="41615" xr:uid="{00000000-0005-0000-0000-0000BFA20000}"/>
    <cellStyle name="注释 2 7 10 15" xfId="44506" xr:uid="{00000000-0005-0000-0000-00000AAE0000}"/>
    <cellStyle name="注释 2 7 10 16" xfId="54418" xr:uid="{00000000-0005-0000-0000-0000C2D40000}"/>
    <cellStyle name="注释 2 7 10 2" xfId="54419" xr:uid="{00000000-0005-0000-0000-0000C3D40000}"/>
    <cellStyle name="注释 2 7 10 2 2" xfId="54420" xr:uid="{00000000-0005-0000-0000-0000C4D40000}"/>
    <cellStyle name="注释 2 7 10 2 2 2" xfId="54421" xr:uid="{00000000-0005-0000-0000-0000C5D40000}"/>
    <cellStyle name="注释 2 7 10 2 3" xfId="28816" xr:uid="{00000000-0005-0000-0000-0000C0700000}"/>
    <cellStyle name="注释 2 7 10 2 3 2" xfId="52529" xr:uid="{00000000-0005-0000-0000-000061CD0000}"/>
    <cellStyle name="注释 2 7 10 2 4" xfId="48111" xr:uid="{00000000-0005-0000-0000-00001FBC0000}"/>
    <cellStyle name="注释 2 7 10 2 4 2" xfId="17256" xr:uid="{00000000-0005-0000-0000-000098430000}"/>
    <cellStyle name="注释 2 7 10 2 5" xfId="53928" xr:uid="{00000000-0005-0000-0000-0000D8D20000}"/>
    <cellStyle name="注释 2 7 10 2 5 2" xfId="13866" xr:uid="{00000000-0005-0000-0000-00005A360000}"/>
    <cellStyle name="注释 2 7 10 2 6" xfId="53930" xr:uid="{00000000-0005-0000-0000-0000DAD20000}"/>
    <cellStyle name="注释 2 7 10 2 7" xfId="22110" xr:uid="{00000000-0005-0000-0000-00008E560000}"/>
    <cellStyle name="注释 2 7 10 2 8" xfId="22115" xr:uid="{00000000-0005-0000-0000-000093560000}"/>
    <cellStyle name="注释 2 7 10 2 9" xfId="22117" xr:uid="{00000000-0005-0000-0000-000095560000}"/>
    <cellStyle name="注释 2 7 10 3" xfId="27954" xr:uid="{00000000-0005-0000-0000-0000626D0000}"/>
    <cellStyle name="注释 2 7 10 3 2" xfId="54422" xr:uid="{00000000-0005-0000-0000-0000C6D40000}"/>
    <cellStyle name="注释 2 7 10 3 2 2" xfId="35742" xr:uid="{00000000-0005-0000-0000-0000CE8B0000}"/>
    <cellStyle name="注释 2 7 10 3 3" xfId="28826" xr:uid="{00000000-0005-0000-0000-0000CA700000}"/>
    <cellStyle name="注释 2 7 10 3 3 2" xfId="52544" xr:uid="{00000000-0005-0000-0000-000070CD0000}"/>
    <cellStyle name="注释 2 7 10 3 4" xfId="22431" xr:uid="{00000000-0005-0000-0000-0000CF570000}"/>
    <cellStyle name="注释 2 7 10 3 4 2" xfId="17341" xr:uid="{00000000-0005-0000-0000-0000ED430000}"/>
    <cellStyle name="注释 2 7 10 3 5" xfId="53932" xr:uid="{00000000-0005-0000-0000-0000DCD20000}"/>
    <cellStyle name="注释 2 7 10 3 5 2" xfId="17369" xr:uid="{00000000-0005-0000-0000-000009440000}"/>
    <cellStyle name="注释 2 7 10 3 6" xfId="53934" xr:uid="{00000000-0005-0000-0000-0000DED20000}"/>
    <cellStyle name="注释 2 7 10 4" xfId="54423" xr:uid="{00000000-0005-0000-0000-0000C7D40000}"/>
    <cellStyle name="注释 2 7 10 4 2" xfId="54424" xr:uid="{00000000-0005-0000-0000-0000C8D40000}"/>
    <cellStyle name="注释 2 7 10 4 2 2" xfId="38770" xr:uid="{00000000-0005-0000-0000-0000A2970000}"/>
    <cellStyle name="注释 2 7 10 4 3" xfId="28829" xr:uid="{00000000-0005-0000-0000-0000CD700000}"/>
    <cellStyle name="注释 2 7 10 4 3 2" xfId="53936" xr:uid="{00000000-0005-0000-0000-0000E0D20000}"/>
    <cellStyle name="注释 2 7 10 4 4" xfId="7883" xr:uid="{00000000-0005-0000-0000-0000FB1E0000}"/>
    <cellStyle name="注释 2 7 10 4 4 2" xfId="53938" xr:uid="{00000000-0005-0000-0000-0000E2D20000}"/>
    <cellStyle name="注释 2 7 10 4 5" xfId="53940" xr:uid="{00000000-0005-0000-0000-0000E4D20000}"/>
    <cellStyle name="注释 2 7 10 4 5 2" xfId="53942" xr:uid="{00000000-0005-0000-0000-0000E6D20000}"/>
    <cellStyle name="注释 2 7 10 4 6" xfId="53944" xr:uid="{00000000-0005-0000-0000-0000E8D20000}"/>
    <cellStyle name="注释 2 7 10 5" xfId="54425" xr:uid="{00000000-0005-0000-0000-0000C9D40000}"/>
    <cellStyle name="注释 2 7 10 5 2" xfId="54426" xr:uid="{00000000-0005-0000-0000-0000CAD40000}"/>
    <cellStyle name="注释 2 7 10 5 2 2" xfId="27158" xr:uid="{00000000-0005-0000-0000-0000466A0000}"/>
    <cellStyle name="注释 2 7 10 5 3" xfId="37248" xr:uid="{00000000-0005-0000-0000-0000B0910000}"/>
    <cellStyle name="注释 2 7 10 5 3 2" xfId="53946" xr:uid="{00000000-0005-0000-0000-0000EAD20000}"/>
    <cellStyle name="注释 2 7 10 5 4" xfId="7904" xr:uid="{00000000-0005-0000-0000-0000101F0000}"/>
    <cellStyle name="注释 2 7 10 5 4 2" xfId="53948" xr:uid="{00000000-0005-0000-0000-0000ECD20000}"/>
    <cellStyle name="注释 2 7 10 5 5" xfId="37251" xr:uid="{00000000-0005-0000-0000-0000B3910000}"/>
    <cellStyle name="注释 2 7 10 5 5 2" xfId="53950" xr:uid="{00000000-0005-0000-0000-0000EED20000}"/>
    <cellStyle name="注释 2 7 10 5 6" xfId="37254" xr:uid="{00000000-0005-0000-0000-0000B6910000}"/>
    <cellStyle name="注释 2 7 10 6" xfId="54427" xr:uid="{00000000-0005-0000-0000-0000CBD40000}"/>
    <cellStyle name="注释 2 7 10 6 2" xfId="54428" xr:uid="{00000000-0005-0000-0000-0000CCD40000}"/>
    <cellStyle name="注释 2 7 10 6 2 2" xfId="38825" xr:uid="{00000000-0005-0000-0000-0000D9970000}"/>
    <cellStyle name="注释 2 7 10 6 3" xfId="46172" xr:uid="{00000000-0005-0000-0000-00008CB40000}"/>
    <cellStyle name="注释 2 7 10 6 3 2" xfId="46174" xr:uid="{00000000-0005-0000-0000-00008EB40000}"/>
    <cellStyle name="注释 2 7 10 6 4" xfId="31791" xr:uid="{00000000-0005-0000-0000-00005F7C0000}"/>
    <cellStyle name="注释 2 7 10 6 4 2" xfId="31794" xr:uid="{00000000-0005-0000-0000-0000627C0000}"/>
    <cellStyle name="注释 2 7 10 6 5" xfId="31797" xr:uid="{00000000-0005-0000-0000-0000657C0000}"/>
    <cellStyle name="注释 2 7 10 6 5 2" xfId="31800" xr:uid="{00000000-0005-0000-0000-0000687C0000}"/>
    <cellStyle name="注释 2 7 10 6 6" xfId="31805" xr:uid="{00000000-0005-0000-0000-00006D7C0000}"/>
    <cellStyle name="注释 2 7 10 7" xfId="20156" xr:uid="{00000000-0005-0000-0000-0000EC4E0000}"/>
    <cellStyle name="注释 2 7 10 7 2" xfId="54429" xr:uid="{00000000-0005-0000-0000-0000CDD40000}"/>
    <cellStyle name="注释 2 7 10 7 2 2" xfId="38890" xr:uid="{00000000-0005-0000-0000-00001A980000}"/>
    <cellStyle name="注释 2 7 10 7 3" xfId="46218" xr:uid="{00000000-0005-0000-0000-0000BAB40000}"/>
    <cellStyle name="注释 2 7 10 7 3 2" xfId="46220" xr:uid="{00000000-0005-0000-0000-0000BCB40000}"/>
    <cellStyle name="注释 2 7 10 7 4" xfId="46227" xr:uid="{00000000-0005-0000-0000-0000C3B40000}"/>
    <cellStyle name="注释 2 7 10 7 4 2" xfId="46229" xr:uid="{00000000-0005-0000-0000-0000C5B40000}"/>
    <cellStyle name="注释 2 7 10 7 5" xfId="46233" xr:uid="{00000000-0005-0000-0000-0000C9B40000}"/>
    <cellStyle name="注释 2 7 10 7 5 2" xfId="46235" xr:uid="{00000000-0005-0000-0000-0000CBB40000}"/>
    <cellStyle name="注释 2 7 10 7 6" xfId="46241" xr:uid="{00000000-0005-0000-0000-0000D1B40000}"/>
    <cellStyle name="注释 2 7 10 8" xfId="54430" xr:uid="{00000000-0005-0000-0000-0000CED40000}"/>
    <cellStyle name="注释 2 7 10 8 2" xfId="54431" xr:uid="{00000000-0005-0000-0000-0000CFD40000}"/>
    <cellStyle name="注释 2 7 10 8 2 2" xfId="19423" xr:uid="{00000000-0005-0000-0000-00000F4C0000}"/>
    <cellStyle name="注释 2 7 10 8 3" xfId="46280" xr:uid="{00000000-0005-0000-0000-0000F8B40000}"/>
    <cellStyle name="注释 2 7 10 8 3 2" xfId="46282" xr:uid="{00000000-0005-0000-0000-0000FAB40000}"/>
    <cellStyle name="注释 2 7 10 8 4" xfId="46286" xr:uid="{00000000-0005-0000-0000-0000FEB40000}"/>
    <cellStyle name="注释 2 7 10 8 4 2" xfId="46288" xr:uid="{00000000-0005-0000-0000-000000B50000}"/>
    <cellStyle name="注释 2 7 10 8 5" xfId="46294" xr:uid="{00000000-0005-0000-0000-000006B50000}"/>
    <cellStyle name="注释 2 7 10 9" xfId="54432" xr:uid="{00000000-0005-0000-0000-0000D0D40000}"/>
    <cellStyle name="注释 2 7 10 9 2" xfId="54433" xr:uid="{00000000-0005-0000-0000-0000D1D40000}"/>
    <cellStyle name="注释 2 7 11" xfId="54434" xr:uid="{00000000-0005-0000-0000-0000D2D40000}"/>
    <cellStyle name="注释 2 7 11 10" xfId="54435" xr:uid="{00000000-0005-0000-0000-0000D3D40000}"/>
    <cellStyle name="注释 2 7 11 10 2" xfId="54436" xr:uid="{00000000-0005-0000-0000-0000D4D40000}"/>
    <cellStyle name="注释 2 7 11 11" xfId="54437" xr:uid="{00000000-0005-0000-0000-0000D5D40000}"/>
    <cellStyle name="注释 2 7 11 11 2" xfId="54438" xr:uid="{00000000-0005-0000-0000-0000D6D40000}"/>
    <cellStyle name="注释 2 7 11 12" xfId="54439" xr:uid="{00000000-0005-0000-0000-0000D7D40000}"/>
    <cellStyle name="注释 2 7 11 12 2" xfId="54440" xr:uid="{00000000-0005-0000-0000-0000D8D40000}"/>
    <cellStyle name="注释 2 7 11 13" xfId="36812" xr:uid="{00000000-0005-0000-0000-0000FC8F0000}"/>
    <cellStyle name="注释 2 7 11 14" xfId="9577" xr:uid="{00000000-0005-0000-0000-000099250000}"/>
    <cellStyle name="注释 2 7 11 15" xfId="54441" xr:uid="{00000000-0005-0000-0000-0000D9D40000}"/>
    <cellStyle name="注释 2 7 11 16" xfId="54442" xr:uid="{00000000-0005-0000-0000-0000DAD40000}"/>
    <cellStyle name="注释 2 7 11 2" xfId="54443" xr:uid="{00000000-0005-0000-0000-0000DBD40000}"/>
    <cellStyle name="注释 2 7 11 2 2" xfId="54444" xr:uid="{00000000-0005-0000-0000-0000DCD40000}"/>
    <cellStyle name="注释 2 7 11 2 2 2" xfId="50791" xr:uid="{00000000-0005-0000-0000-000097C60000}"/>
    <cellStyle name="注释 2 7 11 2 3" xfId="28842" xr:uid="{00000000-0005-0000-0000-0000DA700000}"/>
    <cellStyle name="注释 2 7 11 2 3 2" xfId="52966" xr:uid="{00000000-0005-0000-0000-000016CF0000}"/>
    <cellStyle name="注释 2 7 11 2 4" xfId="48116" xr:uid="{00000000-0005-0000-0000-000024BC0000}"/>
    <cellStyle name="注释 2 7 11 2 4 2" xfId="52971" xr:uid="{00000000-0005-0000-0000-00001BCF0000}"/>
    <cellStyle name="注释 2 7 11 2 5" xfId="54445" xr:uid="{00000000-0005-0000-0000-0000DDD40000}"/>
    <cellStyle name="注释 2 7 11 2 5 2" xfId="52978" xr:uid="{00000000-0005-0000-0000-000022CF0000}"/>
    <cellStyle name="注释 2 7 11 2 6" xfId="54446" xr:uid="{00000000-0005-0000-0000-0000DED40000}"/>
    <cellStyle name="注释 2 7 11 3" xfId="27963" xr:uid="{00000000-0005-0000-0000-00006B6D0000}"/>
    <cellStyle name="注释 2 7 11 3 2" xfId="40661" xr:uid="{00000000-0005-0000-0000-0000059F0000}"/>
    <cellStyle name="注释 2 7 11 3 2 2" xfId="48913" xr:uid="{00000000-0005-0000-0000-000041BF0000}"/>
    <cellStyle name="注释 2 7 11 3 3" xfId="28848" xr:uid="{00000000-0005-0000-0000-0000E0700000}"/>
    <cellStyle name="注释 2 7 11 3 3 2" xfId="53011" xr:uid="{00000000-0005-0000-0000-000043CF0000}"/>
    <cellStyle name="注释 2 7 11 3 4" xfId="48118" xr:uid="{00000000-0005-0000-0000-000026BC0000}"/>
    <cellStyle name="注释 2 7 11 3 4 2" xfId="53018" xr:uid="{00000000-0005-0000-0000-00004ACF0000}"/>
    <cellStyle name="注释 2 7 11 3 5" xfId="54447" xr:uid="{00000000-0005-0000-0000-0000DFD40000}"/>
    <cellStyle name="注释 2 7 11 3 5 2" xfId="53025" xr:uid="{00000000-0005-0000-0000-000051CF0000}"/>
    <cellStyle name="注释 2 7 11 3 6" xfId="54448" xr:uid="{00000000-0005-0000-0000-0000E0D40000}"/>
    <cellStyle name="注释 2 7 11 4" xfId="40663" xr:uid="{00000000-0005-0000-0000-0000079F0000}"/>
    <cellStyle name="注释 2 7 11 4 2" xfId="40665" xr:uid="{00000000-0005-0000-0000-0000099F0000}"/>
    <cellStyle name="注释 2 7 11 4 2 2" xfId="40850" xr:uid="{00000000-0005-0000-0000-0000C29F0000}"/>
    <cellStyle name="注释 2 7 11 4 3" xfId="28850" xr:uid="{00000000-0005-0000-0000-0000E2700000}"/>
    <cellStyle name="注释 2 7 11 4 3 2" xfId="40869" xr:uid="{00000000-0005-0000-0000-0000D59F0000}"/>
    <cellStyle name="注释 2 7 11 4 4" xfId="54449" xr:uid="{00000000-0005-0000-0000-0000E1D40000}"/>
    <cellStyle name="注释 2 7 11 4 4 2" xfId="40877" xr:uid="{00000000-0005-0000-0000-0000DD9F0000}"/>
    <cellStyle name="注释 2 7 11 4 5" xfId="54450" xr:uid="{00000000-0005-0000-0000-0000E2D40000}"/>
    <cellStyle name="注释 2 7 11 4 5 2" xfId="54451" xr:uid="{00000000-0005-0000-0000-0000E3D40000}"/>
    <cellStyle name="注释 2 7 11 4 6" xfId="54452" xr:uid="{00000000-0005-0000-0000-0000E4D40000}"/>
    <cellStyle name="注释 2 7 11 5" xfId="40667" xr:uid="{00000000-0005-0000-0000-00000B9F0000}"/>
    <cellStyle name="注释 2 7 11 5 2" xfId="40669" xr:uid="{00000000-0005-0000-0000-00000D9F0000}"/>
    <cellStyle name="注释 2 7 11 5 2 2" xfId="54453" xr:uid="{00000000-0005-0000-0000-0000E5D40000}"/>
    <cellStyle name="注释 2 7 11 5 3" xfId="54454" xr:uid="{00000000-0005-0000-0000-0000E6D40000}"/>
    <cellStyle name="注释 2 7 11 5 3 2" xfId="54455" xr:uid="{00000000-0005-0000-0000-0000E7D40000}"/>
    <cellStyle name="注释 2 7 11 5 4" xfId="54456" xr:uid="{00000000-0005-0000-0000-0000E8D40000}"/>
    <cellStyle name="注释 2 7 11 5 4 2" xfId="54457" xr:uid="{00000000-0005-0000-0000-0000E9D40000}"/>
    <cellStyle name="注释 2 7 11 5 5" xfId="54458" xr:uid="{00000000-0005-0000-0000-0000EAD40000}"/>
    <cellStyle name="注释 2 7 11 5 5 2" xfId="54459" xr:uid="{00000000-0005-0000-0000-0000EBD40000}"/>
    <cellStyle name="注释 2 7 11 5 6" xfId="54460" xr:uid="{00000000-0005-0000-0000-0000ECD40000}"/>
    <cellStyle name="注释 2 7 11 6" xfId="40672" xr:uid="{00000000-0005-0000-0000-0000109F0000}"/>
    <cellStyle name="注释 2 7 11 6 2" xfId="40674" xr:uid="{00000000-0005-0000-0000-0000129F0000}"/>
    <cellStyle name="注释 2 7 11 6 2 2" xfId="54461" xr:uid="{00000000-0005-0000-0000-0000EDD40000}"/>
    <cellStyle name="注释 2 7 11 6 3" xfId="46863" xr:uid="{00000000-0005-0000-0000-00003FB70000}"/>
    <cellStyle name="注释 2 7 11 6 3 2" xfId="46865" xr:uid="{00000000-0005-0000-0000-000041B70000}"/>
    <cellStyle name="注释 2 7 11 6 4" xfId="46869" xr:uid="{00000000-0005-0000-0000-000045B70000}"/>
    <cellStyle name="注释 2 7 11 6 4 2" xfId="11347" xr:uid="{00000000-0005-0000-0000-0000832C0000}"/>
    <cellStyle name="注释 2 7 11 6 5" xfId="46874" xr:uid="{00000000-0005-0000-0000-00004AB70000}"/>
    <cellStyle name="注释 2 7 11 6 5 2" xfId="46876" xr:uid="{00000000-0005-0000-0000-00004CB70000}"/>
    <cellStyle name="注释 2 7 11 6 6" xfId="46882" xr:uid="{00000000-0005-0000-0000-000052B70000}"/>
    <cellStyle name="注释 2 7 11 7" xfId="20104" xr:uid="{00000000-0005-0000-0000-0000B84E0000}"/>
    <cellStyle name="注释 2 7 11 7 2" xfId="54462" xr:uid="{00000000-0005-0000-0000-0000EED40000}"/>
    <cellStyle name="注释 2 7 11 7 2 2" xfId="54463" xr:uid="{00000000-0005-0000-0000-0000EFD40000}"/>
    <cellStyle name="注释 2 7 11 7 3" xfId="46923" xr:uid="{00000000-0005-0000-0000-00007BB70000}"/>
    <cellStyle name="注释 2 7 11 7 3 2" xfId="46925" xr:uid="{00000000-0005-0000-0000-00007DB70000}"/>
    <cellStyle name="注释 2 7 11 7 4" xfId="41358" xr:uid="{00000000-0005-0000-0000-0000BEA10000}"/>
    <cellStyle name="注释 2 7 11 7 4 2" xfId="14209" xr:uid="{00000000-0005-0000-0000-0000B1370000}"/>
    <cellStyle name="注释 2 7 11 7 5" xfId="41361" xr:uid="{00000000-0005-0000-0000-0000C1A10000}"/>
    <cellStyle name="注释 2 7 11 7 5 2" xfId="4716" xr:uid="{00000000-0005-0000-0000-00009C120000}"/>
    <cellStyle name="注释 2 7 11 7 6" xfId="11426" xr:uid="{00000000-0005-0000-0000-0000D22C0000}"/>
    <cellStyle name="注释 2 7 11 8" xfId="40676" xr:uid="{00000000-0005-0000-0000-0000149F0000}"/>
    <cellStyle name="注释 2 7 11 8 2" xfId="54464" xr:uid="{00000000-0005-0000-0000-0000F0D40000}"/>
    <cellStyle name="注释 2 7 11 8 2 2" xfId="54465" xr:uid="{00000000-0005-0000-0000-0000F1D40000}"/>
    <cellStyle name="注释 2 7 11 8 3" xfId="46968" xr:uid="{00000000-0005-0000-0000-0000A8B70000}"/>
    <cellStyle name="注释 2 7 11 8 3 2" xfId="46970" xr:uid="{00000000-0005-0000-0000-0000AAB70000}"/>
    <cellStyle name="注释 2 7 11 8 4" xfId="46976" xr:uid="{00000000-0005-0000-0000-0000B0B70000}"/>
    <cellStyle name="注释 2 7 11 8 4 2" xfId="46978" xr:uid="{00000000-0005-0000-0000-0000B2B70000}"/>
    <cellStyle name="注释 2 7 11 8 5" xfId="46984" xr:uid="{00000000-0005-0000-0000-0000B8B70000}"/>
    <cellStyle name="注释 2 7 11 9" xfId="40678" xr:uid="{00000000-0005-0000-0000-0000169F0000}"/>
    <cellStyle name="注释 2 7 11 9 2" xfId="54466" xr:uid="{00000000-0005-0000-0000-0000F2D40000}"/>
    <cellStyle name="注释 2 7 12" xfId="54467" xr:uid="{00000000-0005-0000-0000-0000F3D40000}"/>
    <cellStyle name="注释 2 7 12 2" xfId="54468" xr:uid="{00000000-0005-0000-0000-0000F4D40000}"/>
    <cellStyle name="注释 2 7 12 2 2" xfId="54469" xr:uid="{00000000-0005-0000-0000-0000F5D40000}"/>
    <cellStyle name="注释 2 7 12 3" xfId="40680" xr:uid="{00000000-0005-0000-0000-0000189F0000}"/>
    <cellStyle name="注释 2 7 12 3 2" xfId="40682" xr:uid="{00000000-0005-0000-0000-00001A9F0000}"/>
    <cellStyle name="注释 2 7 12 4" xfId="40684" xr:uid="{00000000-0005-0000-0000-00001C9F0000}"/>
    <cellStyle name="注释 2 7 12 4 2" xfId="40686" xr:uid="{00000000-0005-0000-0000-00001E9F0000}"/>
    <cellStyle name="注释 2 7 12 5" xfId="40688" xr:uid="{00000000-0005-0000-0000-0000209F0000}"/>
    <cellStyle name="注释 2 7 12 5 2" xfId="40690" xr:uid="{00000000-0005-0000-0000-0000229F0000}"/>
    <cellStyle name="注释 2 7 12 6" xfId="40693" xr:uid="{00000000-0005-0000-0000-0000259F0000}"/>
    <cellStyle name="注释 2 7 12 7" xfId="40697" xr:uid="{00000000-0005-0000-0000-0000299F0000}"/>
    <cellStyle name="注释 2 7 12 8" xfId="54470" xr:uid="{00000000-0005-0000-0000-0000F6D40000}"/>
    <cellStyle name="注释 2 7 12 9" xfId="54471" xr:uid="{00000000-0005-0000-0000-0000F7D40000}"/>
    <cellStyle name="注释 2 7 13" xfId="54472" xr:uid="{00000000-0005-0000-0000-0000F8D40000}"/>
    <cellStyle name="注释 2 7 13 2" xfId="54473" xr:uid="{00000000-0005-0000-0000-0000F9D40000}"/>
    <cellStyle name="注释 2 7 13 2 2" xfId="54474" xr:uid="{00000000-0005-0000-0000-0000FAD40000}"/>
    <cellStyle name="注释 2 7 13 3" xfId="40699" xr:uid="{00000000-0005-0000-0000-00002B9F0000}"/>
    <cellStyle name="注释 2 7 13 3 2" xfId="40701" xr:uid="{00000000-0005-0000-0000-00002D9F0000}"/>
    <cellStyle name="注释 2 7 13 4" xfId="40703" xr:uid="{00000000-0005-0000-0000-00002F9F0000}"/>
    <cellStyle name="注释 2 7 13 4 2" xfId="2031" xr:uid="{00000000-0005-0000-0000-00001F080000}"/>
    <cellStyle name="注释 2 7 13 5" xfId="40705" xr:uid="{00000000-0005-0000-0000-0000319F0000}"/>
    <cellStyle name="注释 2 7 13 5 2" xfId="40707" xr:uid="{00000000-0005-0000-0000-0000339F0000}"/>
    <cellStyle name="注释 2 7 13 6" xfId="40710" xr:uid="{00000000-0005-0000-0000-0000369F0000}"/>
    <cellStyle name="注释 2 7 14" xfId="54475" xr:uid="{00000000-0005-0000-0000-0000FBD40000}"/>
    <cellStyle name="注释 2 7 14 2" xfId="54476" xr:uid="{00000000-0005-0000-0000-0000FCD40000}"/>
    <cellStyle name="注释 2 7 14 2 2" xfId="54477" xr:uid="{00000000-0005-0000-0000-0000FDD40000}"/>
    <cellStyle name="注释 2 7 14 3" xfId="40716" xr:uid="{00000000-0005-0000-0000-00003C9F0000}"/>
    <cellStyle name="注释 2 7 14 3 2" xfId="14240" xr:uid="{00000000-0005-0000-0000-0000D0370000}"/>
    <cellStyle name="注释 2 7 14 4" xfId="40718" xr:uid="{00000000-0005-0000-0000-00003E9F0000}"/>
    <cellStyle name="注释 2 7 14 4 2" xfId="69" xr:uid="{00000000-0005-0000-0000-00004B000000}"/>
    <cellStyle name="注释 2 7 14 5" xfId="40720" xr:uid="{00000000-0005-0000-0000-0000409F0000}"/>
    <cellStyle name="注释 2 7 14 5 2" xfId="32121" xr:uid="{00000000-0005-0000-0000-0000A97D0000}"/>
    <cellStyle name="注释 2 7 14 6" xfId="40723" xr:uid="{00000000-0005-0000-0000-0000439F0000}"/>
    <cellStyle name="注释 2 7 15" xfId="54478" xr:uid="{00000000-0005-0000-0000-0000FED40000}"/>
    <cellStyle name="注释 2 7 15 2" xfId="54480" xr:uid="{00000000-0005-0000-0000-000000D50000}"/>
    <cellStyle name="注释 2 7 15 2 2" xfId="54482" xr:uid="{00000000-0005-0000-0000-000002D50000}"/>
    <cellStyle name="注释 2 7 15 3" xfId="40727" xr:uid="{00000000-0005-0000-0000-0000479F0000}"/>
    <cellStyle name="注释 2 7 15 3 2" xfId="14388" xr:uid="{00000000-0005-0000-0000-000064380000}"/>
    <cellStyle name="注释 2 7 15 4" xfId="40729" xr:uid="{00000000-0005-0000-0000-0000499F0000}"/>
    <cellStyle name="注释 2 7 15 4 2" xfId="40731" xr:uid="{00000000-0005-0000-0000-00004B9F0000}"/>
    <cellStyle name="注释 2 7 15 5" xfId="40733" xr:uid="{00000000-0005-0000-0000-00004D9F0000}"/>
    <cellStyle name="注释 2 7 15 5 2" xfId="40735" xr:uid="{00000000-0005-0000-0000-00004F9F0000}"/>
    <cellStyle name="注释 2 7 15 6" xfId="40738" xr:uid="{00000000-0005-0000-0000-0000529F0000}"/>
    <cellStyle name="注释 2 7 16" xfId="54483" xr:uid="{00000000-0005-0000-0000-000003D50000}"/>
    <cellStyle name="注释 2 7 16 2" xfId="54485" xr:uid="{00000000-0005-0000-0000-000005D50000}"/>
    <cellStyle name="注释 2 7 16 2 2" xfId="54487" xr:uid="{00000000-0005-0000-0000-000007D50000}"/>
    <cellStyle name="注释 2 7 16 3" xfId="40744" xr:uid="{00000000-0005-0000-0000-0000589F0000}"/>
    <cellStyle name="注释 2 7 16 3 2" xfId="40746" xr:uid="{00000000-0005-0000-0000-00005A9F0000}"/>
    <cellStyle name="注释 2 7 16 4" xfId="40748" xr:uid="{00000000-0005-0000-0000-00005C9F0000}"/>
    <cellStyle name="注释 2 7 16 4 2" xfId="40750" xr:uid="{00000000-0005-0000-0000-00005E9F0000}"/>
    <cellStyle name="注释 2 7 16 5" xfId="38980" xr:uid="{00000000-0005-0000-0000-000074980000}"/>
    <cellStyle name="注释 2 7 16 5 2" xfId="40752" xr:uid="{00000000-0005-0000-0000-0000609F0000}"/>
    <cellStyle name="注释 2 7 16 6" xfId="40755" xr:uid="{00000000-0005-0000-0000-0000639F0000}"/>
    <cellStyle name="注释 2 7 17" xfId="54488" xr:uid="{00000000-0005-0000-0000-000008D50000}"/>
    <cellStyle name="注释 2 7 17 2" xfId="54490" xr:uid="{00000000-0005-0000-0000-00000AD50000}"/>
    <cellStyle name="注释 2 7 17 2 2" xfId="54492" xr:uid="{00000000-0005-0000-0000-00000CD50000}"/>
    <cellStyle name="注释 2 7 17 3" xfId="40761" xr:uid="{00000000-0005-0000-0000-0000699F0000}"/>
    <cellStyle name="注释 2 7 17 3 2" xfId="40763" xr:uid="{00000000-0005-0000-0000-00006B9F0000}"/>
    <cellStyle name="注释 2 7 17 4" xfId="38801" xr:uid="{00000000-0005-0000-0000-0000C1970000}"/>
    <cellStyle name="注释 2 7 17 4 2" xfId="38804" xr:uid="{00000000-0005-0000-0000-0000C4970000}"/>
    <cellStyle name="注释 2 7 17 5" xfId="38807" xr:uid="{00000000-0005-0000-0000-0000C7970000}"/>
    <cellStyle name="注释 2 7 17 5 2" xfId="38811" xr:uid="{00000000-0005-0000-0000-0000CB970000}"/>
    <cellStyle name="注释 2 7 17 6" xfId="38815" xr:uid="{00000000-0005-0000-0000-0000CF970000}"/>
    <cellStyle name="注释 2 7 18" xfId="54493" xr:uid="{00000000-0005-0000-0000-00000DD50000}"/>
    <cellStyle name="注释 2 7 18 2" xfId="54495" xr:uid="{00000000-0005-0000-0000-00000FD50000}"/>
    <cellStyle name="注释 2 7 18 2 2" xfId="54497" xr:uid="{00000000-0005-0000-0000-000011D50000}"/>
    <cellStyle name="注释 2 7 18 3" xfId="40769" xr:uid="{00000000-0005-0000-0000-0000719F0000}"/>
    <cellStyle name="注释 2 7 18 3 2" xfId="54498" xr:uid="{00000000-0005-0000-0000-000012D50000}"/>
    <cellStyle name="注释 2 7 18 4" xfId="38829" xr:uid="{00000000-0005-0000-0000-0000DD970000}"/>
    <cellStyle name="注释 2 7 18 4 2" xfId="38831" xr:uid="{00000000-0005-0000-0000-0000DF970000}"/>
    <cellStyle name="注释 2 7 18 5" xfId="38834" xr:uid="{00000000-0005-0000-0000-0000E2970000}"/>
    <cellStyle name="注释 2 7 18 5 2" xfId="38836" xr:uid="{00000000-0005-0000-0000-0000E4970000}"/>
    <cellStyle name="注释 2 7 18 6" xfId="38838" xr:uid="{00000000-0005-0000-0000-0000E6970000}"/>
    <cellStyle name="注释 2 7 19" xfId="11732" xr:uid="{00000000-0005-0000-0000-0000042E0000}"/>
    <cellStyle name="注释 2 7 19 2" xfId="54499" xr:uid="{00000000-0005-0000-0000-000013D50000}"/>
    <cellStyle name="注释 2 7 19 2 2" xfId="54500" xr:uid="{00000000-0005-0000-0000-000014D50000}"/>
    <cellStyle name="注释 2 7 19 3" xfId="45864" xr:uid="{00000000-0005-0000-0000-000058B30000}"/>
    <cellStyle name="注释 2 7 19 3 2" xfId="54501" xr:uid="{00000000-0005-0000-0000-000015D50000}"/>
    <cellStyle name="注释 2 7 19 4" xfId="6906" xr:uid="{00000000-0005-0000-0000-00002A1B0000}"/>
    <cellStyle name="注释 2 7 19 4 2" xfId="32786" xr:uid="{00000000-0005-0000-0000-000042800000}"/>
    <cellStyle name="注释 2 7 19 5" xfId="38846" xr:uid="{00000000-0005-0000-0000-0000EE970000}"/>
    <cellStyle name="注释 2 7 2" xfId="53498" xr:uid="{00000000-0005-0000-0000-00002AD10000}"/>
    <cellStyle name="注释 2 7 2 10" xfId="13072" xr:uid="{00000000-0005-0000-0000-000040330000}"/>
    <cellStyle name="注释 2 7 2 10 2" xfId="11579" xr:uid="{00000000-0005-0000-0000-00006B2D0000}"/>
    <cellStyle name="注释 2 7 2 11" xfId="13183" xr:uid="{00000000-0005-0000-0000-0000AF330000}"/>
    <cellStyle name="注释 2 7 2 11 2" xfId="33105" xr:uid="{00000000-0005-0000-0000-000081810000}"/>
    <cellStyle name="注释 2 7 2 12" xfId="127" xr:uid="{00000000-0005-0000-0000-000089000000}"/>
    <cellStyle name="注释 2 7 2 12 2" xfId="33110" xr:uid="{00000000-0005-0000-0000-000086810000}"/>
    <cellStyle name="注释 2 7 2 13" xfId="8537" xr:uid="{00000000-0005-0000-0000-000089210000}"/>
    <cellStyle name="注释 2 7 2 14" xfId="7509" xr:uid="{00000000-0005-0000-0000-0000851D0000}"/>
    <cellStyle name="注释 2 7 2 15" xfId="54502" xr:uid="{00000000-0005-0000-0000-000016D50000}"/>
    <cellStyle name="注释 2 7 2 16" xfId="8573" xr:uid="{00000000-0005-0000-0000-0000AD210000}"/>
    <cellStyle name="注释 2 7 2 2" xfId="54503" xr:uid="{00000000-0005-0000-0000-000017D50000}"/>
    <cellStyle name="注释 2 7 2 2 2" xfId="54504" xr:uid="{00000000-0005-0000-0000-000018D50000}"/>
    <cellStyle name="注释 2 7 2 2 2 2" xfId="54505" xr:uid="{00000000-0005-0000-0000-000019D50000}"/>
    <cellStyle name="注释 2 7 2 2 3" xfId="54506" xr:uid="{00000000-0005-0000-0000-00001AD50000}"/>
    <cellStyle name="注释 2 7 2 2 3 2" xfId="54507" xr:uid="{00000000-0005-0000-0000-00001BD50000}"/>
    <cellStyle name="注释 2 7 2 2 4" xfId="51760" xr:uid="{00000000-0005-0000-0000-000060CA0000}"/>
    <cellStyle name="注释 2 7 2 2 4 2" xfId="54508" xr:uid="{00000000-0005-0000-0000-00001CD50000}"/>
    <cellStyle name="注释 2 7 2 2 5" xfId="54509" xr:uid="{00000000-0005-0000-0000-00001DD50000}"/>
    <cellStyle name="注释 2 7 2 2 5 2" xfId="54510" xr:uid="{00000000-0005-0000-0000-00001ED50000}"/>
    <cellStyle name="注释 2 7 2 2 6" xfId="54511" xr:uid="{00000000-0005-0000-0000-00001FD50000}"/>
    <cellStyle name="注释 2 7 2 2 7" xfId="52866" xr:uid="{00000000-0005-0000-0000-0000B2CE0000}"/>
    <cellStyle name="注释 2 7 2 2 8" xfId="15153" xr:uid="{00000000-0005-0000-0000-0000613B0000}"/>
    <cellStyle name="注释 2 7 2 2 9" xfId="43861" xr:uid="{00000000-0005-0000-0000-000085AB0000}"/>
    <cellStyle name="注释 2 7 2 3" xfId="54512" xr:uid="{00000000-0005-0000-0000-000020D50000}"/>
    <cellStyle name="注释 2 7 2 3 2" xfId="355" xr:uid="{00000000-0005-0000-0000-000085010000}"/>
    <cellStyle name="注释 2 7 2 3 2 2" xfId="29276" xr:uid="{00000000-0005-0000-0000-00008C720000}"/>
    <cellStyle name="注释 2 7 2 3 3" xfId="29278" xr:uid="{00000000-0005-0000-0000-00008E720000}"/>
    <cellStyle name="注释 2 7 2 3 3 2" xfId="54513" xr:uid="{00000000-0005-0000-0000-000021D50000}"/>
    <cellStyle name="注释 2 7 2 3 4" xfId="29281" xr:uid="{00000000-0005-0000-0000-000091720000}"/>
    <cellStyle name="注释 2 7 2 3 4 2" xfId="54514" xr:uid="{00000000-0005-0000-0000-000022D50000}"/>
    <cellStyle name="注释 2 7 2 3 5" xfId="29284" xr:uid="{00000000-0005-0000-0000-000094720000}"/>
    <cellStyle name="注释 2 7 2 3 5 2" xfId="54515" xr:uid="{00000000-0005-0000-0000-000023D50000}"/>
    <cellStyle name="注释 2 7 2 3 6" xfId="17365" xr:uid="{00000000-0005-0000-0000-000005440000}"/>
    <cellStyle name="注释 2 7 2 4" xfId="54516" xr:uid="{00000000-0005-0000-0000-000024D50000}"/>
    <cellStyle name="注释 2 7 2 4 2" xfId="1234" xr:uid="{00000000-0005-0000-0000-000002050000}"/>
    <cellStyle name="注释 2 7 2 4 2 2" xfId="29290" xr:uid="{00000000-0005-0000-0000-00009A720000}"/>
    <cellStyle name="注释 2 7 2 4 3" xfId="29293" xr:uid="{00000000-0005-0000-0000-00009D720000}"/>
    <cellStyle name="注释 2 7 2 4 3 2" xfId="54518" xr:uid="{00000000-0005-0000-0000-000026D50000}"/>
    <cellStyle name="注释 2 7 2 4 4" xfId="51764" xr:uid="{00000000-0005-0000-0000-000064CA0000}"/>
    <cellStyle name="注释 2 7 2 4 4 2" xfId="54519" xr:uid="{00000000-0005-0000-0000-000027D50000}"/>
    <cellStyle name="注释 2 7 2 4 5" xfId="54520" xr:uid="{00000000-0005-0000-0000-000028D50000}"/>
    <cellStyle name="注释 2 7 2 4 5 2" xfId="7371" xr:uid="{00000000-0005-0000-0000-0000FB1C0000}"/>
    <cellStyle name="注释 2 7 2 4 6" xfId="10539" xr:uid="{00000000-0005-0000-0000-00005B290000}"/>
    <cellStyle name="注释 2 7 2 5" xfId="1292" xr:uid="{00000000-0005-0000-0000-00003C050000}"/>
    <cellStyle name="注释 2 7 2 5 2" xfId="10588" xr:uid="{00000000-0005-0000-0000-00008C290000}"/>
    <cellStyle name="注释 2 7 2 5 2 2" xfId="29300" xr:uid="{00000000-0005-0000-0000-0000A4720000}"/>
    <cellStyle name="注释 2 7 2 5 3" xfId="29302" xr:uid="{00000000-0005-0000-0000-0000A6720000}"/>
    <cellStyle name="注释 2 7 2 5 3 2" xfId="54521" xr:uid="{00000000-0005-0000-0000-000029D50000}"/>
    <cellStyle name="注释 2 7 2 5 4" xfId="51767" xr:uid="{00000000-0005-0000-0000-000067CA0000}"/>
    <cellStyle name="注释 2 7 2 5 4 2" xfId="54522" xr:uid="{00000000-0005-0000-0000-00002AD50000}"/>
    <cellStyle name="注释 2 7 2 5 5" xfId="54523" xr:uid="{00000000-0005-0000-0000-00002BD50000}"/>
    <cellStyle name="注释 2 7 2 5 5 2" xfId="54524" xr:uid="{00000000-0005-0000-0000-00002CD50000}"/>
    <cellStyle name="注释 2 7 2 5 6" xfId="10955" xr:uid="{00000000-0005-0000-0000-0000FB2A0000}"/>
    <cellStyle name="注释 2 7 2 6" xfId="54525" xr:uid="{00000000-0005-0000-0000-00002DD50000}"/>
    <cellStyle name="注释 2 7 2 6 2" xfId="10640" xr:uid="{00000000-0005-0000-0000-0000C0290000}"/>
    <cellStyle name="注释 2 7 2 6 2 2" xfId="164" xr:uid="{00000000-0005-0000-0000-0000B1000000}"/>
    <cellStyle name="注释 2 7 2 6 3" xfId="25604" xr:uid="{00000000-0005-0000-0000-000034640000}"/>
    <cellStyle name="注释 2 7 2 6 3 2" xfId="54526" xr:uid="{00000000-0005-0000-0000-00002ED50000}"/>
    <cellStyle name="注释 2 7 2 6 4" xfId="25607" xr:uid="{00000000-0005-0000-0000-000037640000}"/>
    <cellStyle name="注释 2 7 2 6 4 2" xfId="54527" xr:uid="{00000000-0005-0000-0000-00002FD50000}"/>
    <cellStyle name="注释 2 7 2 6 5" xfId="54528" xr:uid="{00000000-0005-0000-0000-000030D50000}"/>
    <cellStyle name="注释 2 7 2 6 5 2" xfId="54529" xr:uid="{00000000-0005-0000-0000-000031D50000}"/>
    <cellStyle name="注释 2 7 2 6 6" xfId="17430" xr:uid="{00000000-0005-0000-0000-000046440000}"/>
    <cellStyle name="注释 2 7 2 7" xfId="54530" xr:uid="{00000000-0005-0000-0000-000032D50000}"/>
    <cellStyle name="注释 2 7 2 7 2" xfId="29305" xr:uid="{00000000-0005-0000-0000-0000A9720000}"/>
    <cellStyle name="注释 2 7 2 7 2 2" xfId="27096" xr:uid="{00000000-0005-0000-0000-0000086A0000}"/>
    <cellStyle name="注释 2 7 2 7 3" xfId="29307" xr:uid="{00000000-0005-0000-0000-0000AB720000}"/>
    <cellStyle name="注释 2 7 2 7 3 2" xfId="54531" xr:uid="{00000000-0005-0000-0000-000033D50000}"/>
    <cellStyle name="注释 2 7 2 7 4" xfId="54532" xr:uid="{00000000-0005-0000-0000-000034D50000}"/>
    <cellStyle name="注释 2 7 2 7 4 2" xfId="54533" xr:uid="{00000000-0005-0000-0000-000035D50000}"/>
    <cellStyle name="注释 2 7 2 7 5" xfId="54534" xr:uid="{00000000-0005-0000-0000-000036D50000}"/>
    <cellStyle name="注释 2 7 2 7 5 2" xfId="54535" xr:uid="{00000000-0005-0000-0000-000037D50000}"/>
    <cellStyle name="注释 2 7 2 7 6" xfId="17461" xr:uid="{00000000-0005-0000-0000-000065440000}"/>
    <cellStyle name="注释 2 7 2 8" xfId="54536" xr:uid="{00000000-0005-0000-0000-000038D50000}"/>
    <cellStyle name="注释 2 7 2 8 2" xfId="29310" xr:uid="{00000000-0005-0000-0000-0000AE720000}"/>
    <cellStyle name="注释 2 7 2 8 2 2" xfId="29312" xr:uid="{00000000-0005-0000-0000-0000B0720000}"/>
    <cellStyle name="注释 2 7 2 8 3" xfId="29316" xr:uid="{00000000-0005-0000-0000-0000B4720000}"/>
    <cellStyle name="注释 2 7 2 8 3 2" xfId="54537" xr:uid="{00000000-0005-0000-0000-000039D50000}"/>
    <cellStyle name="注释 2 7 2 8 4" xfId="54538" xr:uid="{00000000-0005-0000-0000-00003AD50000}"/>
    <cellStyle name="注释 2 7 2 8 4 2" xfId="54539" xr:uid="{00000000-0005-0000-0000-00003BD50000}"/>
    <cellStyle name="注释 2 7 2 8 5" xfId="54540" xr:uid="{00000000-0005-0000-0000-00003CD50000}"/>
    <cellStyle name="注释 2 7 2 9" xfId="54541" xr:uid="{00000000-0005-0000-0000-00003DD50000}"/>
    <cellStyle name="注释 2 7 2 9 2" xfId="29320" xr:uid="{00000000-0005-0000-0000-0000B8720000}"/>
    <cellStyle name="注释 2 7 20" xfId="54479" xr:uid="{00000000-0005-0000-0000-0000FFD40000}"/>
    <cellStyle name="注释 2 7 20 2" xfId="54481" xr:uid="{00000000-0005-0000-0000-000001D50000}"/>
    <cellStyle name="注释 2 7 21" xfId="54484" xr:uid="{00000000-0005-0000-0000-000004D50000}"/>
    <cellStyle name="注释 2 7 21 2" xfId="54486" xr:uid="{00000000-0005-0000-0000-000006D50000}"/>
    <cellStyle name="注释 2 7 22" xfId="54489" xr:uid="{00000000-0005-0000-0000-000009D50000}"/>
    <cellStyle name="注释 2 7 22 2" xfId="54491" xr:uid="{00000000-0005-0000-0000-00000BD50000}"/>
    <cellStyle name="注释 2 7 23" xfId="54494" xr:uid="{00000000-0005-0000-0000-00000ED50000}"/>
    <cellStyle name="注释 2 7 23 2" xfId="54496" xr:uid="{00000000-0005-0000-0000-000010D50000}"/>
    <cellStyle name="注释 2 7 24" xfId="11733" xr:uid="{00000000-0005-0000-0000-0000052E0000}"/>
    <cellStyle name="注释 2 7 25" xfId="54543" xr:uid="{00000000-0005-0000-0000-00003FD50000}"/>
    <cellStyle name="注释 2 7 26" xfId="54544" xr:uid="{00000000-0005-0000-0000-000040D50000}"/>
    <cellStyle name="注释 2 7 27" xfId="26817" xr:uid="{00000000-0005-0000-0000-0000F1680000}"/>
    <cellStyle name="注释 2 7 3" xfId="45662" xr:uid="{00000000-0005-0000-0000-00008EB20000}"/>
    <cellStyle name="注释 2 7 3 10" xfId="9939" xr:uid="{00000000-0005-0000-0000-000003270000}"/>
    <cellStyle name="注释 2 7 3 10 2" xfId="14597" xr:uid="{00000000-0005-0000-0000-000035390000}"/>
    <cellStyle name="注释 2 7 3 11" xfId="14603" xr:uid="{00000000-0005-0000-0000-00003B390000}"/>
    <cellStyle name="注释 2 7 3 11 2" xfId="33141" xr:uid="{00000000-0005-0000-0000-0000A5810000}"/>
    <cellStyle name="注释 2 7 3 12" xfId="33144" xr:uid="{00000000-0005-0000-0000-0000A8810000}"/>
    <cellStyle name="注释 2 7 3 12 2" xfId="33146" xr:uid="{00000000-0005-0000-0000-0000AA810000}"/>
    <cellStyle name="注释 2 7 3 13" xfId="5689" xr:uid="{00000000-0005-0000-0000-000069160000}"/>
    <cellStyle name="注释 2 7 3 14" xfId="8705" xr:uid="{00000000-0005-0000-0000-000031220000}"/>
    <cellStyle name="注释 2 7 3 15" xfId="54545" xr:uid="{00000000-0005-0000-0000-000041D50000}"/>
    <cellStyle name="注释 2 7 3 16" xfId="54546" xr:uid="{00000000-0005-0000-0000-000042D50000}"/>
    <cellStyle name="注释 2 7 3 2" xfId="54547" xr:uid="{00000000-0005-0000-0000-000043D50000}"/>
    <cellStyle name="注释 2 7 3 2 2" xfId="54548" xr:uid="{00000000-0005-0000-0000-000044D50000}"/>
    <cellStyle name="注释 2 7 3 2 2 2" xfId="54549" xr:uid="{00000000-0005-0000-0000-000045D50000}"/>
    <cellStyle name="注释 2 7 3 2 3" xfId="54550" xr:uid="{00000000-0005-0000-0000-000046D50000}"/>
    <cellStyle name="注释 2 7 3 2 3 2" xfId="54551" xr:uid="{00000000-0005-0000-0000-000047D50000}"/>
    <cellStyle name="注释 2 7 3 2 4" xfId="51772" xr:uid="{00000000-0005-0000-0000-00006CCA0000}"/>
    <cellStyle name="注释 2 7 3 2 4 2" xfId="54552" xr:uid="{00000000-0005-0000-0000-000048D50000}"/>
    <cellStyle name="注释 2 7 3 2 5" xfId="54553" xr:uid="{00000000-0005-0000-0000-000049D50000}"/>
    <cellStyle name="注释 2 7 3 2 5 2" xfId="54554" xr:uid="{00000000-0005-0000-0000-00004AD50000}"/>
    <cellStyle name="注释 2 7 3 2 6" xfId="54555" xr:uid="{00000000-0005-0000-0000-00004BD50000}"/>
    <cellStyle name="注释 2 7 3 2 7" xfId="52873" xr:uid="{00000000-0005-0000-0000-0000B9CE0000}"/>
    <cellStyle name="注释 2 7 3 2 8" xfId="15172" xr:uid="{00000000-0005-0000-0000-0000743B0000}"/>
    <cellStyle name="注释 2 7 3 2 9" xfId="54556" xr:uid="{00000000-0005-0000-0000-00004CD50000}"/>
    <cellStyle name="注释 2 7 3 3" xfId="54557" xr:uid="{00000000-0005-0000-0000-00004DD50000}"/>
    <cellStyle name="注释 2 7 3 3 2" xfId="54558" xr:uid="{00000000-0005-0000-0000-00004ED50000}"/>
    <cellStyle name="注释 2 7 3 3 2 2" xfId="54559" xr:uid="{00000000-0005-0000-0000-00004FD50000}"/>
    <cellStyle name="注释 2 7 3 3 3" xfId="54560" xr:uid="{00000000-0005-0000-0000-000050D50000}"/>
    <cellStyle name="注释 2 7 3 3 3 2" xfId="54561" xr:uid="{00000000-0005-0000-0000-000051D50000}"/>
    <cellStyle name="注释 2 7 3 3 4" xfId="51775" xr:uid="{00000000-0005-0000-0000-00006FCA0000}"/>
    <cellStyle name="注释 2 7 3 3 4 2" xfId="54562" xr:uid="{00000000-0005-0000-0000-000052D50000}"/>
    <cellStyle name="注释 2 7 3 3 5" xfId="54563" xr:uid="{00000000-0005-0000-0000-000053D50000}"/>
    <cellStyle name="注释 2 7 3 3 5 2" xfId="54564" xr:uid="{00000000-0005-0000-0000-000054D50000}"/>
    <cellStyle name="注释 2 7 3 3 6" xfId="54565" xr:uid="{00000000-0005-0000-0000-000055D50000}"/>
    <cellStyle name="注释 2 7 3 4" xfId="54566" xr:uid="{00000000-0005-0000-0000-000056D50000}"/>
    <cellStyle name="注释 2 7 3 4 2" xfId="54568" xr:uid="{00000000-0005-0000-0000-000058D50000}"/>
    <cellStyle name="注释 2 7 3 4 2 2" xfId="54569" xr:uid="{00000000-0005-0000-0000-000059D50000}"/>
    <cellStyle name="注释 2 7 3 4 3" xfId="54570" xr:uid="{00000000-0005-0000-0000-00005AD50000}"/>
    <cellStyle name="注释 2 7 3 4 3 2" xfId="54571" xr:uid="{00000000-0005-0000-0000-00005BD50000}"/>
    <cellStyle name="注释 2 7 3 4 4" xfId="51777" xr:uid="{00000000-0005-0000-0000-000071CA0000}"/>
    <cellStyle name="注释 2 7 3 4 4 2" xfId="53214" xr:uid="{00000000-0005-0000-0000-00000ED00000}"/>
    <cellStyle name="注释 2 7 3 4 5" xfId="54572" xr:uid="{00000000-0005-0000-0000-00005CD50000}"/>
    <cellStyle name="注释 2 7 3 4 5 2" xfId="5618" xr:uid="{00000000-0005-0000-0000-000022160000}"/>
    <cellStyle name="注释 2 7 3 4 6" xfId="10917" xr:uid="{00000000-0005-0000-0000-0000D52A0000}"/>
    <cellStyle name="注释 2 7 3 5" xfId="54573" xr:uid="{00000000-0005-0000-0000-00005DD50000}"/>
    <cellStyle name="注释 2 7 3 5 2" xfId="54574" xr:uid="{00000000-0005-0000-0000-00005ED50000}"/>
    <cellStyle name="注释 2 7 3 5 2 2" xfId="54575" xr:uid="{00000000-0005-0000-0000-00005FD50000}"/>
    <cellStyle name="注释 2 7 3 5 3" xfId="54576" xr:uid="{00000000-0005-0000-0000-000060D50000}"/>
    <cellStyle name="注释 2 7 3 5 3 2" xfId="54577" xr:uid="{00000000-0005-0000-0000-000061D50000}"/>
    <cellStyle name="注释 2 7 3 5 4" xfId="51780" xr:uid="{00000000-0005-0000-0000-000074CA0000}"/>
    <cellStyle name="注释 2 7 3 5 4 2" xfId="54578" xr:uid="{00000000-0005-0000-0000-000062D50000}"/>
    <cellStyle name="注释 2 7 3 5 5" xfId="54580" xr:uid="{00000000-0005-0000-0000-000064D50000}"/>
    <cellStyle name="注释 2 7 3 5 5 2" xfId="54581" xr:uid="{00000000-0005-0000-0000-000065D50000}"/>
    <cellStyle name="注释 2 7 3 5 6" xfId="2416" xr:uid="{00000000-0005-0000-0000-0000A0090000}"/>
    <cellStyle name="注释 2 7 3 6" xfId="13553" xr:uid="{00000000-0005-0000-0000-000021350000}"/>
    <cellStyle name="注释 2 7 3 6 2" xfId="2056" xr:uid="{00000000-0005-0000-0000-000038080000}"/>
    <cellStyle name="注释 2 7 3 6 2 2" xfId="54582" xr:uid="{00000000-0005-0000-0000-000066D50000}"/>
    <cellStyle name="注释 2 7 3 6 3" xfId="22479" xr:uid="{00000000-0005-0000-0000-0000FF570000}"/>
    <cellStyle name="注释 2 7 3 6 3 2" xfId="54583" xr:uid="{00000000-0005-0000-0000-000067D50000}"/>
    <cellStyle name="注释 2 7 3 6 4" xfId="25681" xr:uid="{00000000-0005-0000-0000-000081640000}"/>
    <cellStyle name="注释 2 7 3 6 4 2" xfId="54584" xr:uid="{00000000-0005-0000-0000-000068D50000}"/>
    <cellStyle name="注释 2 7 3 6 5" xfId="54585" xr:uid="{00000000-0005-0000-0000-000069D50000}"/>
    <cellStyle name="注释 2 7 3 6 5 2" xfId="54586" xr:uid="{00000000-0005-0000-0000-00006AD50000}"/>
    <cellStyle name="注释 2 7 3 6 6" xfId="20304" xr:uid="{00000000-0005-0000-0000-0000804F0000}"/>
    <cellStyle name="注释 2 7 3 7" xfId="54587" xr:uid="{00000000-0005-0000-0000-00006BD50000}"/>
    <cellStyle name="注释 2 7 3 7 2" xfId="54588" xr:uid="{00000000-0005-0000-0000-00006CD50000}"/>
    <cellStyle name="注释 2 7 3 7 2 2" xfId="54589" xr:uid="{00000000-0005-0000-0000-00006DD50000}"/>
    <cellStyle name="注释 2 7 3 7 3" xfId="22484" xr:uid="{00000000-0005-0000-0000-000004580000}"/>
    <cellStyle name="注释 2 7 3 7 3 2" xfId="54590" xr:uid="{00000000-0005-0000-0000-00006ED50000}"/>
    <cellStyle name="注释 2 7 3 7 4" xfId="54591" xr:uid="{00000000-0005-0000-0000-00006FD50000}"/>
    <cellStyle name="注释 2 7 3 7 4 2" xfId="54592" xr:uid="{00000000-0005-0000-0000-000070D50000}"/>
    <cellStyle name="注释 2 7 3 7 5" xfId="54593" xr:uid="{00000000-0005-0000-0000-000071D50000}"/>
    <cellStyle name="注释 2 7 3 7 5 2" xfId="54594" xr:uid="{00000000-0005-0000-0000-000072D50000}"/>
    <cellStyle name="注释 2 7 3 7 6" xfId="20313" xr:uid="{00000000-0005-0000-0000-0000894F0000}"/>
    <cellStyle name="注释 2 7 3 8" xfId="54595" xr:uid="{00000000-0005-0000-0000-000073D50000}"/>
    <cellStyle name="注释 2 7 3 8 2" xfId="54596" xr:uid="{00000000-0005-0000-0000-000074D50000}"/>
    <cellStyle name="注释 2 7 3 8 2 2" xfId="54597" xr:uid="{00000000-0005-0000-0000-000075D50000}"/>
    <cellStyle name="注释 2 7 3 8 3" xfId="22489" xr:uid="{00000000-0005-0000-0000-000009580000}"/>
    <cellStyle name="注释 2 7 3 8 3 2" xfId="6233" xr:uid="{00000000-0005-0000-0000-000089180000}"/>
    <cellStyle name="注释 2 7 3 8 4" xfId="54598" xr:uid="{00000000-0005-0000-0000-000076D50000}"/>
    <cellStyle name="注释 2 7 3 8 4 2" xfId="6277" xr:uid="{00000000-0005-0000-0000-0000B5180000}"/>
    <cellStyle name="注释 2 7 3 8 5" xfId="54599" xr:uid="{00000000-0005-0000-0000-000077D50000}"/>
    <cellStyle name="注释 2 7 3 9" xfId="54600" xr:uid="{00000000-0005-0000-0000-000078D50000}"/>
    <cellStyle name="注释 2 7 3 9 2" xfId="54602" xr:uid="{00000000-0005-0000-0000-00007AD50000}"/>
    <cellStyle name="注释 2 7 4" xfId="53500" xr:uid="{00000000-0005-0000-0000-00002CD10000}"/>
    <cellStyle name="注释 2 7 4 10" xfId="54604" xr:uid="{00000000-0005-0000-0000-00007CD50000}"/>
    <cellStyle name="注释 2 7 4 10 2" xfId="54605" xr:uid="{00000000-0005-0000-0000-00007DD50000}"/>
    <cellStyle name="注释 2 7 4 11" xfId="54606" xr:uid="{00000000-0005-0000-0000-00007ED50000}"/>
    <cellStyle name="注释 2 7 4 11 2" xfId="54607" xr:uid="{00000000-0005-0000-0000-00007FD50000}"/>
    <cellStyle name="注释 2 7 4 12" xfId="46483" xr:uid="{00000000-0005-0000-0000-0000C3B50000}"/>
    <cellStyle name="注释 2 7 4 12 2" xfId="54608" xr:uid="{00000000-0005-0000-0000-000080D50000}"/>
    <cellStyle name="注释 2 7 4 13" xfId="54609" xr:uid="{00000000-0005-0000-0000-000081D50000}"/>
    <cellStyle name="注释 2 7 4 14" xfId="54610" xr:uid="{00000000-0005-0000-0000-000082D50000}"/>
    <cellStyle name="注释 2 7 4 15" xfId="54611" xr:uid="{00000000-0005-0000-0000-000083D50000}"/>
    <cellStyle name="注释 2 7 4 16" xfId="54612" xr:uid="{00000000-0005-0000-0000-000084D50000}"/>
    <cellStyle name="注释 2 7 4 2" xfId="54613" xr:uid="{00000000-0005-0000-0000-000085D50000}"/>
    <cellStyle name="注释 2 7 4 2 2" xfId="54614" xr:uid="{00000000-0005-0000-0000-000086D50000}"/>
    <cellStyle name="注释 2 7 4 2 2 2" xfId="54615" xr:uid="{00000000-0005-0000-0000-000087D50000}"/>
    <cellStyle name="注释 2 7 4 2 3" xfId="54616" xr:uid="{00000000-0005-0000-0000-000088D50000}"/>
    <cellStyle name="注释 2 7 4 2 3 2" xfId="54617" xr:uid="{00000000-0005-0000-0000-000089D50000}"/>
    <cellStyle name="注释 2 7 4 2 4" xfId="51785" xr:uid="{00000000-0005-0000-0000-000079CA0000}"/>
    <cellStyle name="注释 2 7 4 2 4 2" xfId="54618" xr:uid="{00000000-0005-0000-0000-00008AD50000}"/>
    <cellStyle name="注释 2 7 4 2 5" xfId="54619" xr:uid="{00000000-0005-0000-0000-00008BD50000}"/>
    <cellStyle name="注释 2 7 4 2 5 2" xfId="54620" xr:uid="{00000000-0005-0000-0000-00008CD50000}"/>
    <cellStyle name="注释 2 7 4 2 6" xfId="54621" xr:uid="{00000000-0005-0000-0000-00008DD50000}"/>
    <cellStyle name="注释 2 7 4 2 7" xfId="52880" xr:uid="{00000000-0005-0000-0000-0000C0CE0000}"/>
    <cellStyle name="注释 2 7 4 2 8" xfId="15186" xr:uid="{00000000-0005-0000-0000-0000823B0000}"/>
    <cellStyle name="注释 2 7 4 2 9" xfId="54622" xr:uid="{00000000-0005-0000-0000-00008ED50000}"/>
    <cellStyle name="注释 2 7 4 3" xfId="54623" xr:uid="{00000000-0005-0000-0000-00008FD50000}"/>
    <cellStyle name="注释 2 7 4 3 2" xfId="54624" xr:uid="{00000000-0005-0000-0000-000090D50000}"/>
    <cellStyle name="注释 2 7 4 3 2 2" xfId="6654" xr:uid="{00000000-0005-0000-0000-00002E1A0000}"/>
    <cellStyle name="注释 2 7 4 3 3" xfId="54625" xr:uid="{00000000-0005-0000-0000-000091D50000}"/>
    <cellStyle name="注释 2 7 4 3 3 2" xfId="7279" xr:uid="{00000000-0005-0000-0000-00009F1C0000}"/>
    <cellStyle name="注释 2 7 4 3 4" xfId="51788" xr:uid="{00000000-0005-0000-0000-00007CCA0000}"/>
    <cellStyle name="注释 2 7 4 3 4 2" xfId="54626" xr:uid="{00000000-0005-0000-0000-000092D50000}"/>
    <cellStyle name="注释 2 7 4 3 5" xfId="54627" xr:uid="{00000000-0005-0000-0000-000093D50000}"/>
    <cellStyle name="注释 2 7 4 3 5 2" xfId="54628" xr:uid="{00000000-0005-0000-0000-000094D50000}"/>
    <cellStyle name="注释 2 7 4 3 6" xfId="54629" xr:uid="{00000000-0005-0000-0000-000095D50000}"/>
    <cellStyle name="注释 2 7 4 4" xfId="54630" xr:uid="{00000000-0005-0000-0000-000096D50000}"/>
    <cellStyle name="注释 2 7 4 4 2" xfId="54632" xr:uid="{00000000-0005-0000-0000-000098D50000}"/>
    <cellStyle name="注释 2 7 4 4 2 2" xfId="54633" xr:uid="{00000000-0005-0000-0000-000099D50000}"/>
    <cellStyle name="注释 2 7 4 4 3" xfId="54634" xr:uid="{00000000-0005-0000-0000-00009AD50000}"/>
    <cellStyle name="注释 2 7 4 4 3 2" xfId="54635" xr:uid="{00000000-0005-0000-0000-00009BD50000}"/>
    <cellStyle name="注释 2 7 4 4 4" xfId="51790" xr:uid="{00000000-0005-0000-0000-00007ECA0000}"/>
    <cellStyle name="注释 2 7 4 4 4 2" xfId="54636" xr:uid="{00000000-0005-0000-0000-00009CD50000}"/>
    <cellStyle name="注释 2 7 4 4 5" xfId="54637" xr:uid="{00000000-0005-0000-0000-00009DD50000}"/>
    <cellStyle name="注释 2 7 4 4 5 2" xfId="21270" xr:uid="{00000000-0005-0000-0000-000046530000}"/>
    <cellStyle name="注释 2 7 4 4 6" xfId="10988" xr:uid="{00000000-0005-0000-0000-00001C2B0000}"/>
    <cellStyle name="注释 2 7 4 5" xfId="54638" xr:uid="{00000000-0005-0000-0000-00009ED50000}"/>
    <cellStyle name="注释 2 7 4 5 2" xfId="54639" xr:uid="{00000000-0005-0000-0000-00009FD50000}"/>
    <cellStyle name="注释 2 7 4 5 2 2" xfId="54640" xr:uid="{00000000-0005-0000-0000-0000A0D50000}"/>
    <cellStyle name="注释 2 7 4 5 3" xfId="54641" xr:uid="{00000000-0005-0000-0000-0000A1D50000}"/>
    <cellStyle name="注释 2 7 4 5 3 2" xfId="54642" xr:uid="{00000000-0005-0000-0000-0000A2D50000}"/>
    <cellStyle name="注释 2 7 4 5 4" xfId="51793" xr:uid="{00000000-0005-0000-0000-000081CA0000}"/>
    <cellStyle name="注释 2 7 4 5 4 2" xfId="54643" xr:uid="{00000000-0005-0000-0000-0000A3D50000}"/>
    <cellStyle name="注释 2 7 4 5 5" xfId="54644" xr:uid="{00000000-0005-0000-0000-0000A4D50000}"/>
    <cellStyle name="注释 2 7 4 5 5 2" xfId="54645" xr:uid="{00000000-0005-0000-0000-0000A5D50000}"/>
    <cellStyle name="注释 2 7 4 5 6" xfId="23985" xr:uid="{00000000-0005-0000-0000-0000E15D0000}"/>
    <cellStyle name="注释 2 7 4 6" xfId="13560" xr:uid="{00000000-0005-0000-0000-000028350000}"/>
    <cellStyle name="注释 2 7 4 6 2" xfId="54646" xr:uid="{00000000-0005-0000-0000-0000A6D50000}"/>
    <cellStyle name="注释 2 7 4 6 2 2" xfId="54647" xr:uid="{00000000-0005-0000-0000-0000A7D50000}"/>
    <cellStyle name="注释 2 7 4 6 3" xfId="22501" xr:uid="{00000000-0005-0000-0000-000015580000}"/>
    <cellStyle name="注释 2 7 4 6 3 2" xfId="54648" xr:uid="{00000000-0005-0000-0000-0000A8D50000}"/>
    <cellStyle name="注释 2 7 4 6 4" xfId="54649" xr:uid="{00000000-0005-0000-0000-0000A9D50000}"/>
    <cellStyle name="注释 2 7 4 6 4 2" xfId="54650" xr:uid="{00000000-0005-0000-0000-0000AAD50000}"/>
    <cellStyle name="注释 2 7 4 6 5" xfId="54651" xr:uid="{00000000-0005-0000-0000-0000ABD50000}"/>
    <cellStyle name="注释 2 7 4 6 5 2" xfId="54652" xr:uid="{00000000-0005-0000-0000-0000ACD50000}"/>
    <cellStyle name="注释 2 7 4 6 6" xfId="23987" xr:uid="{00000000-0005-0000-0000-0000E35D0000}"/>
    <cellStyle name="注释 2 7 4 7" xfId="54653" xr:uid="{00000000-0005-0000-0000-0000ADD50000}"/>
    <cellStyle name="注释 2 7 4 7 2" xfId="54654" xr:uid="{00000000-0005-0000-0000-0000AED50000}"/>
    <cellStyle name="注释 2 7 4 7 2 2" xfId="54655" xr:uid="{00000000-0005-0000-0000-0000AFD50000}"/>
    <cellStyle name="注释 2 7 4 7 3" xfId="6882" xr:uid="{00000000-0005-0000-0000-0000121B0000}"/>
    <cellStyle name="注释 2 7 4 7 3 2" xfId="54656" xr:uid="{00000000-0005-0000-0000-0000B0D50000}"/>
    <cellStyle name="注释 2 7 4 7 4" xfId="54657" xr:uid="{00000000-0005-0000-0000-0000B1D50000}"/>
    <cellStyle name="注释 2 7 4 7 4 2" xfId="54658" xr:uid="{00000000-0005-0000-0000-0000B2D50000}"/>
    <cellStyle name="注释 2 7 4 7 5" xfId="54659" xr:uid="{00000000-0005-0000-0000-0000B3D50000}"/>
    <cellStyle name="注释 2 7 4 7 5 2" xfId="54660" xr:uid="{00000000-0005-0000-0000-0000B4D50000}"/>
    <cellStyle name="注释 2 7 4 7 6" xfId="23989" xr:uid="{00000000-0005-0000-0000-0000E55D0000}"/>
    <cellStyle name="注释 2 7 4 8" xfId="54661" xr:uid="{00000000-0005-0000-0000-0000B5D50000}"/>
    <cellStyle name="注释 2 7 4 8 2" xfId="54662" xr:uid="{00000000-0005-0000-0000-0000B6D50000}"/>
    <cellStyle name="注释 2 7 4 8 2 2" xfId="54663" xr:uid="{00000000-0005-0000-0000-0000B7D50000}"/>
    <cellStyle name="注释 2 7 4 8 3" xfId="8172" xr:uid="{00000000-0005-0000-0000-00001C200000}"/>
    <cellStyle name="注释 2 7 4 8 3 2" xfId="54664" xr:uid="{00000000-0005-0000-0000-0000B8D50000}"/>
    <cellStyle name="注释 2 7 4 8 4" xfId="54665" xr:uid="{00000000-0005-0000-0000-0000B9D50000}"/>
    <cellStyle name="注释 2 7 4 8 4 2" xfId="54666" xr:uid="{00000000-0005-0000-0000-0000BAD50000}"/>
    <cellStyle name="注释 2 7 4 8 5" xfId="54667" xr:uid="{00000000-0005-0000-0000-0000BBD50000}"/>
    <cellStyle name="注释 2 7 4 9" xfId="54668" xr:uid="{00000000-0005-0000-0000-0000BCD50000}"/>
    <cellStyle name="注释 2 7 4 9 2" xfId="54670" xr:uid="{00000000-0005-0000-0000-0000BED50000}"/>
    <cellStyle name="注释 2 7 5" xfId="53502" xr:uid="{00000000-0005-0000-0000-00002ED10000}"/>
    <cellStyle name="注释 2 7 5 10" xfId="38823" xr:uid="{00000000-0005-0000-0000-0000D7970000}"/>
    <cellStyle name="注释 2 7 5 10 2" xfId="54672" xr:uid="{00000000-0005-0000-0000-0000C0D50000}"/>
    <cellStyle name="注释 2 7 5 11" xfId="38826" xr:uid="{00000000-0005-0000-0000-0000DA970000}"/>
    <cellStyle name="注释 2 7 5 11 2" xfId="483" xr:uid="{00000000-0005-0000-0000-00000F020000}"/>
    <cellStyle name="注释 2 7 5 12" xfId="54673" xr:uid="{00000000-0005-0000-0000-0000C1D50000}"/>
    <cellStyle name="注释 2 7 5 12 2" xfId="54674" xr:uid="{00000000-0005-0000-0000-0000C2D50000}"/>
    <cellStyle name="注释 2 7 5 13" xfId="22699" xr:uid="{00000000-0005-0000-0000-0000DB580000}"/>
    <cellStyle name="注释 2 7 5 14" xfId="18832" xr:uid="{00000000-0005-0000-0000-0000C0490000}"/>
    <cellStyle name="注释 2 7 5 15" xfId="18836" xr:uid="{00000000-0005-0000-0000-0000C4490000}"/>
    <cellStyle name="注释 2 7 5 16" xfId="18840" xr:uid="{00000000-0005-0000-0000-0000C8490000}"/>
    <cellStyle name="注释 2 7 5 2" xfId="54675" xr:uid="{00000000-0005-0000-0000-0000C3D50000}"/>
    <cellStyle name="注释 2 7 5 2 2" xfId="54676" xr:uid="{00000000-0005-0000-0000-0000C4D50000}"/>
    <cellStyle name="注释 2 7 5 2 2 2" xfId="43893" xr:uid="{00000000-0005-0000-0000-0000A5AB0000}"/>
    <cellStyle name="注释 2 7 5 2 3" xfId="54677" xr:uid="{00000000-0005-0000-0000-0000C5D50000}"/>
    <cellStyle name="注释 2 7 5 2 3 2" xfId="54678" xr:uid="{00000000-0005-0000-0000-0000C6D50000}"/>
    <cellStyle name="注释 2 7 5 2 4" xfId="51797" xr:uid="{00000000-0005-0000-0000-000085CA0000}"/>
    <cellStyle name="注释 2 7 5 2 4 2" xfId="54679" xr:uid="{00000000-0005-0000-0000-0000C7D50000}"/>
    <cellStyle name="注释 2 7 5 2 5" xfId="54680" xr:uid="{00000000-0005-0000-0000-0000C8D50000}"/>
    <cellStyle name="注释 2 7 5 2 5 2" xfId="54681" xr:uid="{00000000-0005-0000-0000-0000C9D50000}"/>
    <cellStyle name="注释 2 7 5 2 6" xfId="54682" xr:uid="{00000000-0005-0000-0000-0000CAD50000}"/>
    <cellStyle name="注释 2 7 5 2 7" xfId="54683" xr:uid="{00000000-0005-0000-0000-0000CBD50000}"/>
    <cellStyle name="注释 2 7 5 2 8" xfId="40105" xr:uid="{00000000-0005-0000-0000-0000D99C0000}"/>
    <cellStyle name="注释 2 7 5 2 9" xfId="40110" xr:uid="{00000000-0005-0000-0000-0000DE9C0000}"/>
    <cellStyle name="注释 2 7 5 3" xfId="54684" xr:uid="{00000000-0005-0000-0000-0000CCD50000}"/>
    <cellStyle name="注释 2 7 5 3 2" xfId="54685" xr:uid="{00000000-0005-0000-0000-0000CDD50000}"/>
    <cellStyle name="注释 2 7 5 3 2 2" xfId="43985" xr:uid="{00000000-0005-0000-0000-000001AC0000}"/>
    <cellStyle name="注释 2 7 5 3 3" xfId="48194" xr:uid="{00000000-0005-0000-0000-000072BC0000}"/>
    <cellStyle name="注释 2 7 5 3 3 2" xfId="54686" xr:uid="{00000000-0005-0000-0000-0000CED50000}"/>
    <cellStyle name="注释 2 7 5 3 4" xfId="51799" xr:uid="{00000000-0005-0000-0000-000087CA0000}"/>
    <cellStyle name="注释 2 7 5 3 4 2" xfId="54687" xr:uid="{00000000-0005-0000-0000-0000CFD50000}"/>
    <cellStyle name="注释 2 7 5 3 5" xfId="54688" xr:uid="{00000000-0005-0000-0000-0000D0D50000}"/>
    <cellStyle name="注释 2 7 5 3 5 2" xfId="54689" xr:uid="{00000000-0005-0000-0000-0000D1D50000}"/>
    <cellStyle name="注释 2 7 5 3 6" xfId="54690" xr:uid="{00000000-0005-0000-0000-0000D2D50000}"/>
    <cellStyle name="注释 2 7 5 4" xfId="54691" xr:uid="{00000000-0005-0000-0000-0000D3D50000}"/>
    <cellStyle name="注释 2 7 5 4 2" xfId="54693" xr:uid="{00000000-0005-0000-0000-0000D5D50000}"/>
    <cellStyle name="注释 2 7 5 4 2 2" xfId="54694" xr:uid="{00000000-0005-0000-0000-0000D6D50000}"/>
    <cellStyle name="注释 2 7 5 4 3" xfId="48197" xr:uid="{00000000-0005-0000-0000-000075BC0000}"/>
    <cellStyle name="注释 2 7 5 4 3 2" xfId="54695" xr:uid="{00000000-0005-0000-0000-0000D7D50000}"/>
    <cellStyle name="注释 2 7 5 4 4" xfId="51801" xr:uid="{00000000-0005-0000-0000-000089CA0000}"/>
    <cellStyle name="注释 2 7 5 4 4 2" xfId="54696" xr:uid="{00000000-0005-0000-0000-0000D8D50000}"/>
    <cellStyle name="注释 2 7 5 4 5" xfId="54697" xr:uid="{00000000-0005-0000-0000-0000D9D50000}"/>
    <cellStyle name="注释 2 7 5 4 5 2" xfId="22534" xr:uid="{00000000-0005-0000-0000-000036580000}"/>
    <cellStyle name="注释 2 7 5 4 6" xfId="11105" xr:uid="{00000000-0005-0000-0000-0000912B0000}"/>
    <cellStyle name="注释 2 7 5 5" xfId="54698" xr:uid="{00000000-0005-0000-0000-0000DAD50000}"/>
    <cellStyle name="注释 2 7 5 5 2" xfId="54699" xr:uid="{00000000-0005-0000-0000-0000DBD50000}"/>
    <cellStyle name="注释 2 7 5 5 2 2" xfId="54700" xr:uid="{00000000-0005-0000-0000-0000DCD50000}"/>
    <cellStyle name="注释 2 7 5 5 3" xfId="48201" xr:uid="{00000000-0005-0000-0000-000079BC0000}"/>
    <cellStyle name="注释 2 7 5 5 3 2" xfId="54701" xr:uid="{00000000-0005-0000-0000-0000DDD50000}"/>
    <cellStyle name="注释 2 7 5 5 4" xfId="51803" xr:uid="{00000000-0005-0000-0000-00008BCA0000}"/>
    <cellStyle name="注释 2 7 5 5 4 2" xfId="54702" xr:uid="{00000000-0005-0000-0000-0000DED50000}"/>
    <cellStyle name="注释 2 7 5 5 5" xfId="54703" xr:uid="{00000000-0005-0000-0000-0000DFD50000}"/>
    <cellStyle name="注释 2 7 5 5 5 2" xfId="54704" xr:uid="{00000000-0005-0000-0000-0000E0D50000}"/>
    <cellStyle name="注释 2 7 5 5 6" xfId="23993" xr:uid="{00000000-0005-0000-0000-0000E95D0000}"/>
    <cellStyle name="注释 2 7 5 6" xfId="13572" xr:uid="{00000000-0005-0000-0000-000034350000}"/>
    <cellStyle name="注释 2 7 5 6 2" xfId="54705" xr:uid="{00000000-0005-0000-0000-0000E1D50000}"/>
    <cellStyle name="注释 2 7 5 6 2 2" xfId="54706" xr:uid="{00000000-0005-0000-0000-0000E2D50000}"/>
    <cellStyle name="注释 2 7 5 6 3" xfId="22503" xr:uid="{00000000-0005-0000-0000-000017580000}"/>
    <cellStyle name="注释 2 7 5 6 3 2" xfId="54707" xr:uid="{00000000-0005-0000-0000-0000E3D50000}"/>
    <cellStyle name="注释 2 7 5 6 4" xfId="54708" xr:uid="{00000000-0005-0000-0000-0000E4D50000}"/>
    <cellStyle name="注释 2 7 5 6 4 2" xfId="54709" xr:uid="{00000000-0005-0000-0000-0000E5D50000}"/>
    <cellStyle name="注释 2 7 5 6 5" xfId="54710" xr:uid="{00000000-0005-0000-0000-0000E6D50000}"/>
    <cellStyle name="注释 2 7 5 6 5 2" xfId="54711" xr:uid="{00000000-0005-0000-0000-0000E7D50000}"/>
    <cellStyle name="注释 2 7 5 6 6" xfId="23995" xr:uid="{00000000-0005-0000-0000-0000EB5D0000}"/>
    <cellStyle name="注释 2 7 5 7" xfId="54712" xr:uid="{00000000-0005-0000-0000-0000E8D50000}"/>
    <cellStyle name="注释 2 7 5 7 2" xfId="54713" xr:uid="{00000000-0005-0000-0000-0000E9D50000}"/>
    <cellStyle name="注释 2 7 5 7 2 2" xfId="54179" xr:uid="{00000000-0005-0000-0000-0000D3D30000}"/>
    <cellStyle name="注释 2 7 5 7 3" xfId="8226" xr:uid="{00000000-0005-0000-0000-000052200000}"/>
    <cellStyle name="注释 2 7 5 7 3 2" xfId="54714" xr:uid="{00000000-0005-0000-0000-0000EAD50000}"/>
    <cellStyle name="注释 2 7 5 7 4" xfId="54715" xr:uid="{00000000-0005-0000-0000-0000EBD50000}"/>
    <cellStyle name="注释 2 7 5 7 4 2" xfId="54716" xr:uid="{00000000-0005-0000-0000-0000ECD50000}"/>
    <cellStyle name="注释 2 7 5 7 5" xfId="54717" xr:uid="{00000000-0005-0000-0000-0000EDD50000}"/>
    <cellStyle name="注释 2 7 5 7 5 2" xfId="54718" xr:uid="{00000000-0005-0000-0000-0000EED50000}"/>
    <cellStyle name="注释 2 7 5 7 6" xfId="54719" xr:uid="{00000000-0005-0000-0000-0000EFD50000}"/>
    <cellStyle name="注释 2 7 5 8" xfId="54720" xr:uid="{00000000-0005-0000-0000-0000F0D50000}"/>
    <cellStyle name="注释 2 7 5 8 2" xfId="54721" xr:uid="{00000000-0005-0000-0000-0000F1D50000}"/>
    <cellStyle name="注释 2 7 5 8 2 2" xfId="54365" xr:uid="{00000000-0005-0000-0000-00008DD40000}"/>
    <cellStyle name="注释 2 7 5 8 3" xfId="8233" xr:uid="{00000000-0005-0000-0000-000059200000}"/>
    <cellStyle name="注释 2 7 5 8 3 2" xfId="54722" xr:uid="{00000000-0005-0000-0000-0000F2D50000}"/>
    <cellStyle name="注释 2 7 5 8 4" xfId="54723" xr:uid="{00000000-0005-0000-0000-0000F3D50000}"/>
    <cellStyle name="注释 2 7 5 8 4 2" xfId="54724" xr:uid="{00000000-0005-0000-0000-0000F4D50000}"/>
    <cellStyle name="注释 2 7 5 8 5" xfId="54725" xr:uid="{00000000-0005-0000-0000-0000F5D50000}"/>
    <cellStyle name="注释 2 7 5 9" xfId="54726" xr:uid="{00000000-0005-0000-0000-0000F6D50000}"/>
    <cellStyle name="注释 2 7 5 9 2" xfId="54728" xr:uid="{00000000-0005-0000-0000-0000F8D50000}"/>
    <cellStyle name="注释 2 7 6" xfId="51152" xr:uid="{00000000-0005-0000-0000-000000C80000}"/>
    <cellStyle name="注释 2 7 6 10" xfId="26481" xr:uid="{00000000-0005-0000-0000-0000A1670000}"/>
    <cellStyle name="注释 2 7 6 10 2" xfId="54730" xr:uid="{00000000-0005-0000-0000-0000FAD50000}"/>
    <cellStyle name="注释 2 7 6 11" xfId="46188" xr:uid="{00000000-0005-0000-0000-00009CB40000}"/>
    <cellStyle name="注释 2 7 6 11 2" xfId="46190" xr:uid="{00000000-0005-0000-0000-00009EB40000}"/>
    <cellStyle name="注释 2 7 6 12" xfId="29089" xr:uid="{00000000-0005-0000-0000-0000D1710000}"/>
    <cellStyle name="注释 2 7 6 12 2" xfId="46192" xr:uid="{00000000-0005-0000-0000-0000A0B40000}"/>
    <cellStyle name="注释 2 7 6 13" xfId="36658" xr:uid="{00000000-0005-0000-0000-0000628F0000}"/>
    <cellStyle name="注释 2 7 6 14" xfId="18915" xr:uid="{00000000-0005-0000-0000-0000134A0000}"/>
    <cellStyle name="注释 2 7 6 15" xfId="18924" xr:uid="{00000000-0005-0000-0000-00001C4A0000}"/>
    <cellStyle name="注释 2 7 6 16" xfId="18930" xr:uid="{00000000-0005-0000-0000-0000224A0000}"/>
    <cellStyle name="注释 2 7 6 2" xfId="51154" xr:uid="{00000000-0005-0000-0000-000002C80000}"/>
    <cellStyle name="注释 2 7 6 2 2" xfId="54731" xr:uid="{00000000-0005-0000-0000-0000FBD50000}"/>
    <cellStyle name="注释 2 7 6 2 2 2" xfId="44670" xr:uid="{00000000-0005-0000-0000-0000AEAE0000}"/>
    <cellStyle name="注释 2 7 6 2 3" xfId="54732" xr:uid="{00000000-0005-0000-0000-0000FCD50000}"/>
    <cellStyle name="注释 2 7 6 2 3 2" xfId="54733" xr:uid="{00000000-0005-0000-0000-0000FDD50000}"/>
    <cellStyle name="注释 2 7 6 2 4" xfId="51806" xr:uid="{00000000-0005-0000-0000-00008ECA0000}"/>
    <cellStyle name="注释 2 7 6 2 4 2" xfId="54734" xr:uid="{00000000-0005-0000-0000-0000FED50000}"/>
    <cellStyle name="注释 2 7 6 2 5" xfId="54735" xr:uid="{00000000-0005-0000-0000-0000FFD50000}"/>
    <cellStyle name="注释 2 7 6 2 5 2" xfId="54736" xr:uid="{00000000-0005-0000-0000-000000D60000}"/>
    <cellStyle name="注释 2 7 6 2 6" xfId="54737" xr:uid="{00000000-0005-0000-0000-000001D60000}"/>
    <cellStyle name="注释 2 7 6 2 7" xfId="54738" xr:uid="{00000000-0005-0000-0000-000002D60000}"/>
    <cellStyle name="注释 2 7 6 2 8" xfId="54739" xr:uid="{00000000-0005-0000-0000-000003D60000}"/>
    <cellStyle name="注释 2 7 6 2 9" xfId="54740" xr:uid="{00000000-0005-0000-0000-000004D60000}"/>
    <cellStyle name="注释 2 7 6 3" xfId="14017" xr:uid="{00000000-0005-0000-0000-0000F1360000}"/>
    <cellStyle name="注释 2 7 6 3 2" xfId="54741" xr:uid="{00000000-0005-0000-0000-000005D60000}"/>
    <cellStyle name="注释 2 7 6 3 2 2" xfId="43433" xr:uid="{00000000-0005-0000-0000-0000D9A90000}"/>
    <cellStyle name="注释 2 7 6 3 3" xfId="48205" xr:uid="{00000000-0005-0000-0000-00007DBC0000}"/>
    <cellStyle name="注释 2 7 6 3 3 2" xfId="43444" xr:uid="{00000000-0005-0000-0000-0000E4A90000}"/>
    <cellStyle name="注释 2 7 6 3 4" xfId="51808" xr:uid="{00000000-0005-0000-0000-000090CA0000}"/>
    <cellStyle name="注释 2 7 6 3 4 2" xfId="43450" xr:uid="{00000000-0005-0000-0000-0000EAA90000}"/>
    <cellStyle name="注释 2 7 6 3 5" xfId="54742" xr:uid="{00000000-0005-0000-0000-000006D60000}"/>
    <cellStyle name="注释 2 7 6 3 5 2" xfId="54743" xr:uid="{00000000-0005-0000-0000-000007D60000}"/>
    <cellStyle name="注释 2 7 6 3 6" xfId="54744" xr:uid="{00000000-0005-0000-0000-000008D60000}"/>
    <cellStyle name="注释 2 7 6 4" xfId="14027" xr:uid="{00000000-0005-0000-0000-0000FB360000}"/>
    <cellStyle name="注释 2 7 6 4 2" xfId="54745" xr:uid="{00000000-0005-0000-0000-000009D60000}"/>
    <cellStyle name="注释 2 7 6 4 2 2" xfId="54746" xr:uid="{00000000-0005-0000-0000-00000AD60000}"/>
    <cellStyle name="注释 2 7 6 4 3" xfId="48208" xr:uid="{00000000-0005-0000-0000-000080BC0000}"/>
    <cellStyle name="注释 2 7 6 4 3 2" xfId="54747" xr:uid="{00000000-0005-0000-0000-00000BD60000}"/>
    <cellStyle name="注释 2 7 6 4 4" xfId="51811" xr:uid="{00000000-0005-0000-0000-000093CA0000}"/>
    <cellStyle name="注释 2 7 6 4 4 2" xfId="54748" xr:uid="{00000000-0005-0000-0000-00000CD60000}"/>
    <cellStyle name="注释 2 7 6 4 5" xfId="54749" xr:uid="{00000000-0005-0000-0000-00000DD60000}"/>
    <cellStyle name="注释 2 7 6 4 5 2" xfId="54750" xr:uid="{00000000-0005-0000-0000-00000ED60000}"/>
    <cellStyle name="注释 2 7 6 4 6" xfId="54751" xr:uid="{00000000-0005-0000-0000-00000FD60000}"/>
    <cellStyle name="注释 2 7 6 5" xfId="52446" xr:uid="{00000000-0005-0000-0000-00000ECD0000}"/>
    <cellStyle name="注释 2 7 6 5 2" xfId="54752" xr:uid="{00000000-0005-0000-0000-000010D60000}"/>
    <cellStyle name="注释 2 7 6 5 2 2" xfId="54753" xr:uid="{00000000-0005-0000-0000-000011D60000}"/>
    <cellStyle name="注释 2 7 6 5 3" xfId="48212" xr:uid="{00000000-0005-0000-0000-000084BC0000}"/>
    <cellStyle name="注释 2 7 6 5 3 2" xfId="54754" xr:uid="{00000000-0005-0000-0000-000012D60000}"/>
    <cellStyle name="注释 2 7 6 5 4" xfId="54755" xr:uid="{00000000-0005-0000-0000-000013D60000}"/>
    <cellStyle name="注释 2 7 6 5 4 2" xfId="40492" xr:uid="{00000000-0005-0000-0000-00005C9E0000}"/>
    <cellStyle name="注释 2 7 6 5 5" xfId="54756" xr:uid="{00000000-0005-0000-0000-000014D60000}"/>
    <cellStyle name="注释 2 7 6 5 5 2" xfId="54757" xr:uid="{00000000-0005-0000-0000-000015D60000}"/>
    <cellStyle name="注释 2 7 6 5 6" xfId="54758" xr:uid="{00000000-0005-0000-0000-000016D60000}"/>
    <cellStyle name="注释 2 7 6 6" xfId="13577" xr:uid="{00000000-0005-0000-0000-000039350000}"/>
    <cellStyle name="注释 2 7 6 6 2" xfId="54759" xr:uid="{00000000-0005-0000-0000-000017D60000}"/>
    <cellStyle name="注释 2 7 6 6 2 2" xfId="54760" xr:uid="{00000000-0005-0000-0000-000018D60000}"/>
    <cellStyle name="注释 2 7 6 6 3" xfId="22506" xr:uid="{00000000-0005-0000-0000-00001A580000}"/>
    <cellStyle name="注释 2 7 6 6 3 2" xfId="54761" xr:uid="{00000000-0005-0000-0000-000019D60000}"/>
    <cellStyle name="注释 2 7 6 6 4" xfId="54762" xr:uid="{00000000-0005-0000-0000-00001AD60000}"/>
    <cellStyle name="注释 2 7 6 6 4 2" xfId="40801" xr:uid="{00000000-0005-0000-0000-0000919F0000}"/>
    <cellStyle name="注释 2 7 6 6 5" xfId="54763" xr:uid="{00000000-0005-0000-0000-00001BD60000}"/>
    <cellStyle name="注释 2 7 6 6 5 2" xfId="54764" xr:uid="{00000000-0005-0000-0000-00001CD60000}"/>
    <cellStyle name="注释 2 7 6 6 6" xfId="54765" xr:uid="{00000000-0005-0000-0000-00001DD60000}"/>
    <cellStyle name="注释 2 7 6 7" xfId="54766" xr:uid="{00000000-0005-0000-0000-00001ED60000}"/>
    <cellStyle name="注释 2 7 6 7 2" xfId="54767" xr:uid="{00000000-0005-0000-0000-00001FD60000}"/>
    <cellStyle name="注释 2 7 6 7 2 2" xfId="54768" xr:uid="{00000000-0005-0000-0000-000020D60000}"/>
    <cellStyle name="注释 2 7 6 7 3" xfId="8273" xr:uid="{00000000-0005-0000-0000-000081200000}"/>
    <cellStyle name="注释 2 7 6 7 3 2" xfId="54769" xr:uid="{00000000-0005-0000-0000-000021D60000}"/>
    <cellStyle name="注释 2 7 6 7 4" xfId="54770" xr:uid="{00000000-0005-0000-0000-000022D60000}"/>
    <cellStyle name="注释 2 7 6 7 4 2" xfId="54771" xr:uid="{00000000-0005-0000-0000-000023D60000}"/>
    <cellStyle name="注释 2 7 6 7 5" xfId="54772" xr:uid="{00000000-0005-0000-0000-000024D60000}"/>
    <cellStyle name="注释 2 7 6 7 5 2" xfId="54773" xr:uid="{00000000-0005-0000-0000-000025D60000}"/>
    <cellStyle name="注释 2 7 6 7 6" xfId="54774" xr:uid="{00000000-0005-0000-0000-000026D60000}"/>
    <cellStyle name="注释 2 7 6 8" xfId="54775" xr:uid="{00000000-0005-0000-0000-000027D60000}"/>
    <cellStyle name="注释 2 7 6 8 2" xfId="54776" xr:uid="{00000000-0005-0000-0000-000028D60000}"/>
    <cellStyle name="注释 2 7 6 8 2 2" xfId="44235" xr:uid="{00000000-0005-0000-0000-0000FBAC0000}"/>
    <cellStyle name="注释 2 7 6 8 3" xfId="8282" xr:uid="{00000000-0005-0000-0000-00008A200000}"/>
    <cellStyle name="注释 2 7 6 8 3 2" xfId="44241" xr:uid="{00000000-0005-0000-0000-000001AD0000}"/>
    <cellStyle name="注释 2 7 6 8 4" xfId="54777" xr:uid="{00000000-0005-0000-0000-000029D60000}"/>
    <cellStyle name="注释 2 7 6 8 4 2" xfId="44251" xr:uid="{00000000-0005-0000-0000-00000BAD0000}"/>
    <cellStyle name="注释 2 7 6 8 5" xfId="54778" xr:uid="{00000000-0005-0000-0000-00002AD60000}"/>
    <cellStyle name="注释 2 7 6 9" xfId="54779" xr:uid="{00000000-0005-0000-0000-00002BD60000}"/>
    <cellStyle name="注释 2 7 6 9 2" xfId="54781" xr:uid="{00000000-0005-0000-0000-00002DD60000}"/>
    <cellStyle name="注释 2 7 7" xfId="51156" xr:uid="{00000000-0005-0000-0000-000004C80000}"/>
    <cellStyle name="注释 2 7 7 10" xfId="13328" xr:uid="{00000000-0005-0000-0000-000040340000}"/>
    <cellStyle name="注释 2 7 7 10 2" xfId="12360" xr:uid="{00000000-0005-0000-0000-000078300000}"/>
    <cellStyle name="注释 2 7 7 11" xfId="14673" xr:uid="{00000000-0005-0000-0000-000081390000}"/>
    <cellStyle name="注释 2 7 7 11 2" xfId="33184" xr:uid="{00000000-0005-0000-0000-0000D0810000}"/>
    <cellStyle name="注释 2 7 7 12" xfId="3063" xr:uid="{00000000-0005-0000-0000-0000270C0000}"/>
    <cellStyle name="注释 2 7 7 12 2" xfId="33188" xr:uid="{00000000-0005-0000-0000-0000D4810000}"/>
    <cellStyle name="注释 2 7 7 13" xfId="8748" xr:uid="{00000000-0005-0000-0000-00005C220000}"/>
    <cellStyle name="注释 2 7 7 14" xfId="7576" xr:uid="{00000000-0005-0000-0000-0000C81D0000}"/>
    <cellStyle name="注释 2 7 7 15" xfId="54783" xr:uid="{00000000-0005-0000-0000-00002FD60000}"/>
    <cellStyle name="注释 2 7 7 16" xfId="54784" xr:uid="{00000000-0005-0000-0000-000030D60000}"/>
    <cellStyle name="注释 2 7 7 2" xfId="51158" xr:uid="{00000000-0005-0000-0000-000006C80000}"/>
    <cellStyle name="注释 2 7 7 2 2" xfId="54785" xr:uid="{00000000-0005-0000-0000-000031D60000}"/>
    <cellStyle name="注释 2 7 7 2 2 2" xfId="45224" xr:uid="{00000000-0005-0000-0000-0000D8B00000}"/>
    <cellStyle name="注释 2 7 7 2 3" xfId="54786" xr:uid="{00000000-0005-0000-0000-000032D60000}"/>
    <cellStyle name="注释 2 7 7 2 3 2" xfId="54787" xr:uid="{00000000-0005-0000-0000-000033D60000}"/>
    <cellStyle name="注释 2 7 7 2 4" xfId="36375" xr:uid="{00000000-0005-0000-0000-0000478E0000}"/>
    <cellStyle name="注释 2 7 7 2 4 2" xfId="54788" xr:uid="{00000000-0005-0000-0000-000034D60000}"/>
    <cellStyle name="注释 2 7 7 2 5" xfId="54789" xr:uid="{00000000-0005-0000-0000-000035D60000}"/>
    <cellStyle name="注释 2 7 7 2 5 2" xfId="54790" xr:uid="{00000000-0005-0000-0000-000036D60000}"/>
    <cellStyle name="注释 2 7 7 2 6" xfId="54791" xr:uid="{00000000-0005-0000-0000-000037D60000}"/>
    <cellStyle name="注释 2 7 7 2 7" xfId="54792" xr:uid="{00000000-0005-0000-0000-000038D60000}"/>
    <cellStyle name="注释 2 7 7 2 8" xfId="54793" xr:uid="{00000000-0005-0000-0000-000039D60000}"/>
    <cellStyle name="注释 2 7 7 2 9" xfId="54794" xr:uid="{00000000-0005-0000-0000-00003AD60000}"/>
    <cellStyle name="注释 2 7 7 3" xfId="14049" xr:uid="{00000000-0005-0000-0000-000011370000}"/>
    <cellStyle name="注释 2 7 7 3 2" xfId="54795" xr:uid="{00000000-0005-0000-0000-00003BD60000}"/>
    <cellStyle name="注释 2 7 7 3 2 2" xfId="54796" xr:uid="{00000000-0005-0000-0000-00003CD60000}"/>
    <cellStyle name="注释 2 7 7 3 3" xfId="32553" xr:uid="{00000000-0005-0000-0000-0000597F0000}"/>
    <cellStyle name="注释 2 7 7 3 3 2" xfId="54797" xr:uid="{00000000-0005-0000-0000-00003DD60000}"/>
    <cellStyle name="注释 2 7 7 3 4" xfId="36379" xr:uid="{00000000-0005-0000-0000-00004B8E0000}"/>
    <cellStyle name="注释 2 7 7 3 4 2" xfId="54798" xr:uid="{00000000-0005-0000-0000-00003ED60000}"/>
    <cellStyle name="注释 2 7 7 3 5" xfId="54799" xr:uid="{00000000-0005-0000-0000-00003FD60000}"/>
    <cellStyle name="注释 2 7 7 3 5 2" xfId="54800" xr:uid="{00000000-0005-0000-0000-000040D60000}"/>
    <cellStyle name="注释 2 7 7 3 6" xfId="54801" xr:uid="{00000000-0005-0000-0000-000041D60000}"/>
    <cellStyle name="注释 2 7 7 4" xfId="14061" xr:uid="{00000000-0005-0000-0000-00001D370000}"/>
    <cellStyle name="注释 2 7 7 4 2" xfId="43521" xr:uid="{00000000-0005-0000-0000-000031AA0000}"/>
    <cellStyle name="注释 2 7 7 4 2 2" xfId="46655" xr:uid="{00000000-0005-0000-0000-00006FB60000}"/>
    <cellStyle name="注释 2 7 7 4 3" xfId="32558" xr:uid="{00000000-0005-0000-0000-00005E7F0000}"/>
    <cellStyle name="注释 2 7 7 4 3 2" xfId="54802" xr:uid="{00000000-0005-0000-0000-000042D60000}"/>
    <cellStyle name="注释 2 7 7 4 4" xfId="36382" xr:uid="{00000000-0005-0000-0000-00004E8E0000}"/>
    <cellStyle name="注释 2 7 7 4 4 2" xfId="54803" xr:uid="{00000000-0005-0000-0000-000043D60000}"/>
    <cellStyle name="注释 2 7 7 4 5" xfId="54804" xr:uid="{00000000-0005-0000-0000-000044D60000}"/>
    <cellStyle name="注释 2 7 7 4 5 2" xfId="54805" xr:uid="{00000000-0005-0000-0000-000045D60000}"/>
    <cellStyle name="注释 2 7 7 4 6" xfId="54806" xr:uid="{00000000-0005-0000-0000-000046D60000}"/>
    <cellStyle name="注释 2 7 7 5" xfId="52448" xr:uid="{00000000-0005-0000-0000-000010CD0000}"/>
    <cellStyle name="注释 2 7 7 5 2" xfId="54807" xr:uid="{00000000-0005-0000-0000-000047D60000}"/>
    <cellStyle name="注释 2 7 7 5 2 2" xfId="54808" xr:uid="{00000000-0005-0000-0000-000048D60000}"/>
    <cellStyle name="注释 2 7 7 5 3" xfId="32565" xr:uid="{00000000-0005-0000-0000-0000657F0000}"/>
    <cellStyle name="注释 2 7 7 5 3 2" xfId="54809" xr:uid="{00000000-0005-0000-0000-000049D60000}"/>
    <cellStyle name="注释 2 7 7 5 4" xfId="54810" xr:uid="{00000000-0005-0000-0000-00004AD60000}"/>
    <cellStyle name="注释 2 7 7 5 4 2" xfId="42820" xr:uid="{00000000-0005-0000-0000-000074A70000}"/>
    <cellStyle name="注释 2 7 7 5 5" xfId="54811" xr:uid="{00000000-0005-0000-0000-00004BD60000}"/>
    <cellStyle name="注释 2 7 7 5 5 2" xfId="54812" xr:uid="{00000000-0005-0000-0000-00004CD60000}"/>
    <cellStyle name="注释 2 7 7 5 6" xfId="54813" xr:uid="{00000000-0005-0000-0000-00004DD60000}"/>
    <cellStyle name="注释 2 7 7 6" xfId="54814" xr:uid="{00000000-0005-0000-0000-00004ED60000}"/>
    <cellStyle name="注释 2 7 7 6 2" xfId="54815" xr:uid="{00000000-0005-0000-0000-00004FD60000}"/>
    <cellStyle name="注释 2 7 7 6 2 2" xfId="54816" xr:uid="{00000000-0005-0000-0000-000050D60000}"/>
    <cellStyle name="注释 2 7 7 6 3" xfId="22513" xr:uid="{00000000-0005-0000-0000-000021580000}"/>
    <cellStyle name="注释 2 7 7 6 3 2" xfId="54817" xr:uid="{00000000-0005-0000-0000-000051D60000}"/>
    <cellStyle name="注释 2 7 7 6 4" xfId="54818" xr:uid="{00000000-0005-0000-0000-000052D60000}"/>
    <cellStyle name="注释 2 7 7 6 4 2" xfId="43124" xr:uid="{00000000-0005-0000-0000-0000A4A80000}"/>
    <cellStyle name="注释 2 7 7 6 5" xfId="54819" xr:uid="{00000000-0005-0000-0000-000053D60000}"/>
    <cellStyle name="注释 2 7 7 6 5 2" xfId="54820" xr:uid="{00000000-0005-0000-0000-000054D60000}"/>
    <cellStyle name="注释 2 7 7 6 6" xfId="54821" xr:uid="{00000000-0005-0000-0000-000055D60000}"/>
    <cellStyle name="注释 2 7 7 7" xfId="54822" xr:uid="{00000000-0005-0000-0000-000056D60000}"/>
    <cellStyle name="注释 2 7 7 7 2" xfId="54823" xr:uid="{00000000-0005-0000-0000-000057D60000}"/>
    <cellStyle name="注释 2 7 7 7 2 2" xfId="54824" xr:uid="{00000000-0005-0000-0000-000058D60000}"/>
    <cellStyle name="注释 2 7 7 7 3" xfId="8328" xr:uid="{00000000-0005-0000-0000-0000B8200000}"/>
    <cellStyle name="注释 2 7 7 7 3 2" xfId="54825" xr:uid="{00000000-0005-0000-0000-000059D60000}"/>
    <cellStyle name="注释 2 7 7 7 4" xfId="54826" xr:uid="{00000000-0005-0000-0000-00005AD60000}"/>
    <cellStyle name="注释 2 7 7 7 4 2" xfId="54827" xr:uid="{00000000-0005-0000-0000-00005BD60000}"/>
    <cellStyle name="注释 2 7 7 7 5" xfId="54828" xr:uid="{00000000-0005-0000-0000-00005CD60000}"/>
    <cellStyle name="注释 2 7 7 7 5 2" xfId="54829" xr:uid="{00000000-0005-0000-0000-00005DD60000}"/>
    <cellStyle name="注释 2 7 7 7 6" xfId="54830" xr:uid="{00000000-0005-0000-0000-00005ED60000}"/>
    <cellStyle name="注释 2 7 7 8" xfId="54831" xr:uid="{00000000-0005-0000-0000-00005FD60000}"/>
    <cellStyle name="注释 2 7 7 8 2" xfId="54832" xr:uid="{00000000-0005-0000-0000-000060D60000}"/>
    <cellStyle name="注释 2 7 7 8 2 2" xfId="54833" xr:uid="{00000000-0005-0000-0000-000061D60000}"/>
    <cellStyle name="注释 2 7 7 8 3" xfId="8335" xr:uid="{00000000-0005-0000-0000-0000BF200000}"/>
    <cellStyle name="注释 2 7 7 8 3 2" xfId="54834" xr:uid="{00000000-0005-0000-0000-000062D60000}"/>
    <cellStyle name="注释 2 7 7 8 4" xfId="54835" xr:uid="{00000000-0005-0000-0000-000063D60000}"/>
    <cellStyle name="注释 2 7 7 8 4 2" xfId="54836" xr:uid="{00000000-0005-0000-0000-000064D60000}"/>
    <cellStyle name="注释 2 7 7 8 5" xfId="54837" xr:uid="{00000000-0005-0000-0000-000065D60000}"/>
    <cellStyle name="注释 2 7 7 9" xfId="54838" xr:uid="{00000000-0005-0000-0000-000066D60000}"/>
    <cellStyle name="注释 2 7 7 9 2" xfId="43609" xr:uid="{00000000-0005-0000-0000-000089AA0000}"/>
    <cellStyle name="注释 2 7 8" xfId="51160" xr:uid="{00000000-0005-0000-0000-000008C80000}"/>
    <cellStyle name="注释 2 7 8 10" xfId="9992" xr:uid="{00000000-0005-0000-0000-000038270000}"/>
    <cellStyle name="注释 2 7 8 10 2" xfId="14739" xr:uid="{00000000-0005-0000-0000-0000C3390000}"/>
    <cellStyle name="注释 2 7 8 11" xfId="14745" xr:uid="{00000000-0005-0000-0000-0000C9390000}"/>
    <cellStyle name="注释 2 7 8 11 2" xfId="33218" xr:uid="{00000000-0005-0000-0000-0000F2810000}"/>
    <cellStyle name="注释 2 7 8 12" xfId="33221" xr:uid="{00000000-0005-0000-0000-0000F5810000}"/>
    <cellStyle name="注释 2 7 8 12 2" xfId="33223" xr:uid="{00000000-0005-0000-0000-0000F7810000}"/>
    <cellStyle name="注释 2 7 8 13" xfId="295" xr:uid="{00000000-0005-0000-0000-000044010000}"/>
    <cellStyle name="注释 2 7 8 14" xfId="8806" xr:uid="{00000000-0005-0000-0000-000096220000}"/>
    <cellStyle name="注释 2 7 8 15" xfId="54840" xr:uid="{00000000-0005-0000-0000-000068D60000}"/>
    <cellStyle name="注释 2 7 8 16" xfId="54841" xr:uid="{00000000-0005-0000-0000-000069D60000}"/>
    <cellStyle name="注释 2 7 8 2" xfId="51162" xr:uid="{00000000-0005-0000-0000-00000AC80000}"/>
    <cellStyle name="注释 2 7 8 2 2" xfId="54842" xr:uid="{00000000-0005-0000-0000-00006AD60000}"/>
    <cellStyle name="注释 2 7 8 2 2 2" xfId="54843" xr:uid="{00000000-0005-0000-0000-00006BD60000}"/>
    <cellStyle name="注释 2 7 8 2 3" xfId="54844" xr:uid="{00000000-0005-0000-0000-00006CD60000}"/>
    <cellStyle name="注释 2 7 8 2 3 2" xfId="54845" xr:uid="{00000000-0005-0000-0000-00006DD60000}"/>
    <cellStyle name="注释 2 7 8 2 4" xfId="36394" xr:uid="{00000000-0005-0000-0000-00005A8E0000}"/>
    <cellStyle name="注释 2 7 8 2 4 2" xfId="54846" xr:uid="{00000000-0005-0000-0000-00006ED60000}"/>
    <cellStyle name="注释 2 7 8 2 5" xfId="54847" xr:uid="{00000000-0005-0000-0000-00006FD60000}"/>
    <cellStyle name="注释 2 7 8 2 5 2" xfId="54848" xr:uid="{00000000-0005-0000-0000-000070D60000}"/>
    <cellStyle name="注释 2 7 8 2 6" xfId="54849" xr:uid="{00000000-0005-0000-0000-000071D60000}"/>
    <cellStyle name="注释 2 7 8 2 7" xfId="54850" xr:uid="{00000000-0005-0000-0000-000072D60000}"/>
    <cellStyle name="注释 2 7 8 2 8" xfId="54851" xr:uid="{00000000-0005-0000-0000-000073D60000}"/>
    <cellStyle name="注释 2 7 8 2 9" xfId="54852" xr:uid="{00000000-0005-0000-0000-000074D60000}"/>
    <cellStyle name="注释 2 7 8 3" xfId="14097" xr:uid="{00000000-0005-0000-0000-000041370000}"/>
    <cellStyle name="注释 2 7 8 3 2" xfId="14106" xr:uid="{00000000-0005-0000-0000-00004A370000}"/>
    <cellStyle name="注释 2 7 8 3 2 2" xfId="14653" xr:uid="{00000000-0005-0000-0000-00006D390000}"/>
    <cellStyle name="注释 2 7 8 3 3" xfId="14375" xr:uid="{00000000-0005-0000-0000-000057380000}"/>
    <cellStyle name="注释 2 7 8 3 3 2" xfId="15191" xr:uid="{00000000-0005-0000-0000-0000873B0000}"/>
    <cellStyle name="注释 2 7 8 3 4" xfId="17579" xr:uid="{00000000-0005-0000-0000-0000DB440000}"/>
    <cellStyle name="注释 2 7 8 3 4 2" xfId="7879" xr:uid="{00000000-0005-0000-0000-0000F71E0000}"/>
    <cellStyle name="注释 2 7 8 3 5" xfId="19177" xr:uid="{00000000-0005-0000-0000-0000194B0000}"/>
    <cellStyle name="注释 2 7 8 3 5 2" xfId="54853" xr:uid="{00000000-0005-0000-0000-000075D60000}"/>
    <cellStyle name="注释 2 7 8 3 6" xfId="19179" xr:uid="{00000000-0005-0000-0000-00001B4B0000}"/>
    <cellStyle name="注释 2 7 8 4" xfId="14113" xr:uid="{00000000-0005-0000-0000-000051370000}"/>
    <cellStyle name="注释 2 7 8 4 2" xfId="2117" xr:uid="{00000000-0005-0000-0000-000075080000}"/>
    <cellStyle name="注释 2 7 8 4 2 2" xfId="15636" xr:uid="{00000000-0005-0000-0000-0000443D0000}"/>
    <cellStyle name="注释 2 7 8 4 3" xfId="1869" xr:uid="{00000000-0005-0000-0000-00007D070000}"/>
    <cellStyle name="注释 2 7 8 4 3 2" xfId="17012" xr:uid="{00000000-0005-0000-0000-0000A4420000}"/>
    <cellStyle name="注释 2 7 8 4 4" xfId="2131" xr:uid="{00000000-0005-0000-0000-000083080000}"/>
    <cellStyle name="注释 2 7 8 4 4 2" xfId="7951" xr:uid="{00000000-0005-0000-0000-00003F1F0000}"/>
    <cellStyle name="注释 2 7 8 4 5" xfId="32" xr:uid="{00000000-0005-0000-0000-000024000000}"/>
    <cellStyle name="注释 2 7 8 4 5 2" xfId="30170" xr:uid="{00000000-0005-0000-0000-00000A760000}"/>
    <cellStyle name="注释 2 7 8 4 6" xfId="54854" xr:uid="{00000000-0005-0000-0000-000076D60000}"/>
    <cellStyle name="注释 2 7 8 5" xfId="52451" xr:uid="{00000000-0005-0000-0000-000013CD0000}"/>
    <cellStyle name="注释 2 7 8 5 2" xfId="14120" xr:uid="{00000000-0005-0000-0000-000058370000}"/>
    <cellStyle name="注释 2 7 8 5 2 2" xfId="15663" xr:uid="{00000000-0005-0000-0000-00005F3D0000}"/>
    <cellStyle name="注释 2 7 8 5 3" xfId="15671" xr:uid="{00000000-0005-0000-0000-0000673D0000}"/>
    <cellStyle name="注释 2 7 8 5 3 2" xfId="19052" xr:uid="{00000000-0005-0000-0000-00009C4A0000}"/>
    <cellStyle name="注释 2 7 8 5 4" xfId="17586" xr:uid="{00000000-0005-0000-0000-0000E2440000}"/>
    <cellStyle name="注释 2 7 8 5 4 2" xfId="15475" xr:uid="{00000000-0005-0000-0000-0000A33C0000}"/>
    <cellStyle name="注释 2 7 8 5 5" xfId="19185" xr:uid="{00000000-0005-0000-0000-0000214B0000}"/>
    <cellStyle name="注释 2 7 8 5 5 2" xfId="54855" xr:uid="{00000000-0005-0000-0000-000077D60000}"/>
    <cellStyle name="注释 2 7 8 5 6" xfId="54856" xr:uid="{00000000-0005-0000-0000-000078D60000}"/>
    <cellStyle name="注释 2 7 8 6" xfId="54857" xr:uid="{00000000-0005-0000-0000-000079D60000}"/>
    <cellStyle name="注释 2 7 8 6 2" xfId="14128" xr:uid="{00000000-0005-0000-0000-000060370000}"/>
    <cellStyle name="注释 2 7 8 6 2 2" xfId="15715" xr:uid="{00000000-0005-0000-0000-0000933D0000}"/>
    <cellStyle name="注释 2 7 8 6 3" xfId="15719" xr:uid="{00000000-0005-0000-0000-0000973D0000}"/>
    <cellStyle name="注释 2 7 8 6 3 2" xfId="19190" xr:uid="{00000000-0005-0000-0000-0000264B0000}"/>
    <cellStyle name="注释 2 7 8 6 4" xfId="19192" xr:uid="{00000000-0005-0000-0000-0000284B0000}"/>
    <cellStyle name="注释 2 7 8 6 4 2" xfId="2087" xr:uid="{00000000-0005-0000-0000-000057080000}"/>
    <cellStyle name="注释 2 7 8 6 5" xfId="19194" xr:uid="{00000000-0005-0000-0000-00002A4B0000}"/>
    <cellStyle name="注释 2 7 8 6 5 2" xfId="54858" xr:uid="{00000000-0005-0000-0000-00007AD60000}"/>
    <cellStyle name="注释 2 7 8 6 6" xfId="54859" xr:uid="{00000000-0005-0000-0000-00007BD60000}"/>
    <cellStyle name="注释 2 7 8 7" xfId="54860" xr:uid="{00000000-0005-0000-0000-00007CD60000}"/>
    <cellStyle name="注释 2 7 8 7 2" xfId="15752" xr:uid="{00000000-0005-0000-0000-0000B83D0000}"/>
    <cellStyle name="注释 2 7 8 7 2 2" xfId="15756" xr:uid="{00000000-0005-0000-0000-0000BC3D0000}"/>
    <cellStyle name="注释 2 7 8 7 3" xfId="8365" xr:uid="{00000000-0005-0000-0000-0000DD200000}"/>
    <cellStyle name="注释 2 7 8 7 3 2" xfId="19197" xr:uid="{00000000-0005-0000-0000-00002D4B0000}"/>
    <cellStyle name="注释 2 7 8 7 4" xfId="19203" xr:uid="{00000000-0005-0000-0000-0000334B0000}"/>
    <cellStyle name="注释 2 7 8 7 4 2" xfId="486" xr:uid="{00000000-0005-0000-0000-000012020000}"/>
    <cellStyle name="注释 2 7 8 7 5" xfId="19205" xr:uid="{00000000-0005-0000-0000-0000354B0000}"/>
    <cellStyle name="注释 2 7 8 7 5 2" xfId="39444" xr:uid="{00000000-0005-0000-0000-0000449A0000}"/>
    <cellStyle name="注释 2 7 8 7 6" xfId="54861" xr:uid="{00000000-0005-0000-0000-00007DD60000}"/>
    <cellStyle name="注释 2 7 8 8" xfId="54862" xr:uid="{00000000-0005-0000-0000-00007ED60000}"/>
    <cellStyle name="注释 2 7 8 8 2" xfId="15795" xr:uid="{00000000-0005-0000-0000-0000E33D0000}"/>
    <cellStyle name="注释 2 7 8 8 2 2" xfId="15799" xr:uid="{00000000-0005-0000-0000-0000E73D0000}"/>
    <cellStyle name="注释 2 7 8 8 3" xfId="8380" xr:uid="{00000000-0005-0000-0000-0000EC200000}"/>
    <cellStyle name="注释 2 7 8 8 3 2" xfId="11503" xr:uid="{00000000-0005-0000-0000-00001F2D0000}"/>
    <cellStyle name="注释 2 7 8 8 4" xfId="19210" xr:uid="{00000000-0005-0000-0000-00003A4B0000}"/>
    <cellStyle name="注释 2 7 8 8 4 2" xfId="19212" xr:uid="{00000000-0005-0000-0000-00003C4B0000}"/>
    <cellStyle name="注释 2 7 8 8 5" xfId="19216" xr:uid="{00000000-0005-0000-0000-0000404B0000}"/>
    <cellStyle name="注释 2 7 8 9" xfId="54863" xr:uid="{00000000-0005-0000-0000-00007FD60000}"/>
    <cellStyle name="注释 2 7 8 9 2" xfId="4932" xr:uid="{00000000-0005-0000-0000-000074130000}"/>
    <cellStyle name="注释 2 7 9" xfId="49549" xr:uid="{00000000-0005-0000-0000-0000BDC10000}"/>
    <cellStyle name="注释 2 7 9 10" xfId="44873" xr:uid="{00000000-0005-0000-0000-000079AF0000}"/>
    <cellStyle name="注释 2 7 9 10 2" xfId="54865" xr:uid="{00000000-0005-0000-0000-000081D60000}"/>
    <cellStyle name="注释 2 7 9 11" xfId="54866" xr:uid="{00000000-0005-0000-0000-000082D60000}"/>
    <cellStyle name="注释 2 7 9 11 2" xfId="54867" xr:uid="{00000000-0005-0000-0000-000083D60000}"/>
    <cellStyle name="注释 2 7 9 12" xfId="46496" xr:uid="{00000000-0005-0000-0000-0000D0B50000}"/>
    <cellStyle name="注释 2 7 9 12 2" xfId="54868" xr:uid="{00000000-0005-0000-0000-000084D60000}"/>
    <cellStyle name="注释 2 7 9 13" xfId="54869" xr:uid="{00000000-0005-0000-0000-000085D60000}"/>
    <cellStyle name="注释 2 7 9 14" xfId="54870" xr:uid="{00000000-0005-0000-0000-000086D60000}"/>
    <cellStyle name="注释 2 7 9 15" xfId="54871" xr:uid="{00000000-0005-0000-0000-000087D60000}"/>
    <cellStyle name="注释 2 7 9 16" xfId="54872" xr:uid="{00000000-0005-0000-0000-000088D60000}"/>
    <cellStyle name="注释 2 7 9 2" xfId="49552" xr:uid="{00000000-0005-0000-0000-0000C0C10000}"/>
    <cellStyle name="注释 2 7 9 2 2" xfId="54873" xr:uid="{00000000-0005-0000-0000-000089D60000}"/>
    <cellStyle name="注释 2 7 9 2 2 2" xfId="53167" xr:uid="{00000000-0005-0000-0000-0000DFCF0000}"/>
    <cellStyle name="注释 2 7 9 2 3" xfId="54874" xr:uid="{00000000-0005-0000-0000-00008AD60000}"/>
    <cellStyle name="注释 2 7 9 2 3 2" xfId="53208" xr:uid="{00000000-0005-0000-0000-000008D00000}"/>
    <cellStyle name="注释 2 7 9 2 4" xfId="36407" xr:uid="{00000000-0005-0000-0000-0000678E0000}"/>
    <cellStyle name="注释 2 7 9 2 4 2" xfId="53220" xr:uid="{00000000-0005-0000-0000-000014D00000}"/>
    <cellStyle name="注释 2 7 9 2 5" xfId="54875" xr:uid="{00000000-0005-0000-0000-00008BD60000}"/>
    <cellStyle name="注释 2 7 9 2 5 2" xfId="34282" xr:uid="{00000000-0005-0000-0000-00001A860000}"/>
    <cellStyle name="注释 2 7 9 2 6" xfId="50871" xr:uid="{00000000-0005-0000-0000-0000E7C60000}"/>
    <cellStyle name="注释 2 7 9 2 7" xfId="54876" xr:uid="{00000000-0005-0000-0000-00008CD60000}"/>
    <cellStyle name="注释 2 7 9 2 8" xfId="27845" xr:uid="{00000000-0005-0000-0000-0000F56C0000}"/>
    <cellStyle name="注释 2 7 9 2 9" xfId="11026" xr:uid="{00000000-0005-0000-0000-0000422B0000}"/>
    <cellStyle name="注释 2 7 9 3" xfId="1783" xr:uid="{00000000-0005-0000-0000-000027070000}"/>
    <cellStyle name="注释 2 7 9 3 2" xfId="14137" xr:uid="{00000000-0005-0000-0000-000069370000}"/>
    <cellStyle name="注释 2 7 9 3 2 2" xfId="19228" xr:uid="{00000000-0005-0000-0000-00004C4B0000}"/>
    <cellStyle name="注释 2 7 9 3 3" xfId="14399" xr:uid="{00000000-0005-0000-0000-00006F380000}"/>
    <cellStyle name="注释 2 7 9 3 3 2" xfId="19230" xr:uid="{00000000-0005-0000-0000-00004E4B0000}"/>
    <cellStyle name="注释 2 7 9 3 4" xfId="17598" xr:uid="{00000000-0005-0000-0000-0000EE440000}"/>
    <cellStyle name="注释 2 7 9 3 4 2" xfId="19232" xr:uid="{00000000-0005-0000-0000-0000504B0000}"/>
    <cellStyle name="注释 2 7 9 3 5" xfId="19235" xr:uid="{00000000-0005-0000-0000-0000534B0000}"/>
    <cellStyle name="注释 2 7 9 3 5 2" xfId="34333" xr:uid="{00000000-0005-0000-0000-00004D860000}"/>
    <cellStyle name="注释 2 7 9 3 6" xfId="50873" xr:uid="{00000000-0005-0000-0000-0000E9C60000}"/>
    <cellStyle name="注释 2 7 9 4" xfId="1808" xr:uid="{00000000-0005-0000-0000-000040070000}"/>
    <cellStyle name="注释 2 7 9 4 2" xfId="14143" xr:uid="{00000000-0005-0000-0000-00006F370000}"/>
    <cellStyle name="注释 2 7 9 4 2 2" xfId="13978" xr:uid="{00000000-0005-0000-0000-0000CA360000}"/>
    <cellStyle name="注释 2 7 9 4 3" xfId="14404" xr:uid="{00000000-0005-0000-0000-000074380000}"/>
    <cellStyle name="注释 2 7 9 4 3 2" xfId="13990" xr:uid="{00000000-0005-0000-0000-0000D6360000}"/>
    <cellStyle name="注释 2 7 9 4 4" xfId="17604" xr:uid="{00000000-0005-0000-0000-0000F4440000}"/>
    <cellStyle name="注释 2 7 9 4 4 2" xfId="13997" xr:uid="{00000000-0005-0000-0000-0000DD360000}"/>
    <cellStyle name="注释 2 7 9 4 5" xfId="19237" xr:uid="{00000000-0005-0000-0000-0000554B0000}"/>
    <cellStyle name="注释 2 7 9 4 5 2" xfId="14013" xr:uid="{00000000-0005-0000-0000-0000ED360000}"/>
    <cellStyle name="注释 2 7 9 4 6" xfId="50875" xr:uid="{00000000-0005-0000-0000-0000EBC60000}"/>
    <cellStyle name="注释 2 7 9 5" xfId="52454" xr:uid="{00000000-0005-0000-0000-000016CD0000}"/>
    <cellStyle name="注释 2 7 9 5 2" xfId="14146" xr:uid="{00000000-0005-0000-0000-000072370000}"/>
    <cellStyle name="注释 2 7 9 5 2 2" xfId="19245" xr:uid="{00000000-0005-0000-0000-00005D4B0000}"/>
    <cellStyle name="注释 2 7 9 5 3" xfId="19248" xr:uid="{00000000-0005-0000-0000-0000604B0000}"/>
    <cellStyle name="注释 2 7 9 5 3 2" xfId="19251" xr:uid="{00000000-0005-0000-0000-0000634B0000}"/>
    <cellStyle name="注释 2 7 9 5 4" xfId="17613" xr:uid="{00000000-0005-0000-0000-0000FD440000}"/>
    <cellStyle name="注释 2 7 9 5 4 2" xfId="19254" xr:uid="{00000000-0005-0000-0000-0000664B0000}"/>
    <cellStyle name="注释 2 7 9 5 5" xfId="19257" xr:uid="{00000000-0005-0000-0000-0000694B0000}"/>
    <cellStyle name="注释 2 7 9 5 5 2" xfId="34410" xr:uid="{00000000-0005-0000-0000-00009A860000}"/>
    <cellStyle name="注释 2 7 9 5 6" xfId="48886" xr:uid="{00000000-0005-0000-0000-000026BF0000}"/>
    <cellStyle name="注释 2 7 9 6" xfId="53543" xr:uid="{00000000-0005-0000-0000-000057D10000}"/>
    <cellStyle name="注释 2 7 9 6 2" xfId="1842" xr:uid="{00000000-0005-0000-0000-000062070000}"/>
    <cellStyle name="注释 2 7 9 6 2 2" xfId="19263" xr:uid="{00000000-0005-0000-0000-00006F4B0000}"/>
    <cellStyle name="注释 2 7 9 6 3" xfId="19265" xr:uid="{00000000-0005-0000-0000-0000714B0000}"/>
    <cellStyle name="注释 2 7 9 6 3 2" xfId="19269" xr:uid="{00000000-0005-0000-0000-0000754B0000}"/>
    <cellStyle name="注释 2 7 9 6 4" xfId="19271" xr:uid="{00000000-0005-0000-0000-0000774B0000}"/>
    <cellStyle name="注释 2 7 9 6 4 2" xfId="19273" xr:uid="{00000000-0005-0000-0000-0000794B0000}"/>
    <cellStyle name="注释 2 7 9 6 5" xfId="19275" xr:uid="{00000000-0005-0000-0000-00007B4B0000}"/>
    <cellStyle name="注释 2 7 9 6 5 2" xfId="34470" xr:uid="{00000000-0005-0000-0000-0000D6860000}"/>
    <cellStyle name="注释 2 7 9 6 6" xfId="48890" xr:uid="{00000000-0005-0000-0000-00002ABF0000}"/>
    <cellStyle name="注释 2 7 9 7" xfId="54877" xr:uid="{00000000-0005-0000-0000-00008DD60000}"/>
    <cellStyle name="注释 2 7 9 7 2" xfId="19281" xr:uid="{00000000-0005-0000-0000-0000814B0000}"/>
    <cellStyle name="注释 2 7 9 7 2 2" xfId="19283" xr:uid="{00000000-0005-0000-0000-0000834B0000}"/>
    <cellStyle name="注释 2 7 9 7 3" xfId="8415" xr:uid="{00000000-0005-0000-0000-00000F210000}"/>
    <cellStyle name="注释 2 7 9 7 3 2" xfId="19286" xr:uid="{00000000-0005-0000-0000-0000864B0000}"/>
    <cellStyle name="注释 2 7 9 7 4" xfId="19294" xr:uid="{00000000-0005-0000-0000-00008E4B0000}"/>
    <cellStyle name="注释 2 7 9 7 4 2" xfId="19296" xr:uid="{00000000-0005-0000-0000-0000904B0000}"/>
    <cellStyle name="注释 2 7 9 7 5" xfId="19299" xr:uid="{00000000-0005-0000-0000-0000934B0000}"/>
    <cellStyle name="注释 2 7 9 7 5 2" xfId="34550" xr:uid="{00000000-0005-0000-0000-000026870000}"/>
    <cellStyle name="注释 2 7 9 7 6" xfId="48894" xr:uid="{00000000-0005-0000-0000-00002EBF0000}"/>
    <cellStyle name="注释 2 7 9 8" xfId="54878" xr:uid="{00000000-0005-0000-0000-00008ED60000}"/>
    <cellStyle name="注释 2 7 9 8 2" xfId="19303" xr:uid="{00000000-0005-0000-0000-0000974B0000}"/>
    <cellStyle name="注释 2 7 9 8 2 2" xfId="19306" xr:uid="{00000000-0005-0000-0000-00009A4B0000}"/>
    <cellStyle name="注释 2 7 9 8 3" xfId="8442" xr:uid="{00000000-0005-0000-0000-00002A210000}"/>
    <cellStyle name="注释 2 7 9 8 3 2" xfId="19308" xr:uid="{00000000-0005-0000-0000-00009C4B0000}"/>
    <cellStyle name="注释 2 7 9 8 4" xfId="10883" xr:uid="{00000000-0005-0000-0000-0000B32A0000}"/>
    <cellStyle name="注释 2 7 9 8 4 2" xfId="19310" xr:uid="{00000000-0005-0000-0000-00009E4B0000}"/>
    <cellStyle name="注释 2 7 9 8 5" xfId="19312" xr:uid="{00000000-0005-0000-0000-0000A04B0000}"/>
    <cellStyle name="注释 2 7 9 9" xfId="54879" xr:uid="{00000000-0005-0000-0000-00008FD60000}"/>
    <cellStyle name="注释 2 7 9 9 2" xfId="19315" xr:uid="{00000000-0005-0000-0000-0000A34B0000}"/>
    <cellStyle name="注释 2 8" xfId="54882" xr:uid="{00000000-0005-0000-0000-000092D60000}"/>
    <cellStyle name="注释 2 8 10" xfId="31229" xr:uid="{00000000-0005-0000-0000-00002D7A0000}"/>
    <cellStyle name="注释 2 8 10 10" xfId="54883" xr:uid="{00000000-0005-0000-0000-000093D60000}"/>
    <cellStyle name="注释 2 8 10 10 2" xfId="45521" xr:uid="{00000000-0005-0000-0000-000001B20000}"/>
    <cellStyle name="注释 2 8 10 11" xfId="45056" xr:uid="{00000000-0005-0000-0000-000030B00000}"/>
    <cellStyle name="注释 2 8 10 11 2" xfId="45059" xr:uid="{00000000-0005-0000-0000-000033B00000}"/>
    <cellStyle name="注释 2 8 10 12" xfId="27122" xr:uid="{00000000-0005-0000-0000-0000226A0000}"/>
    <cellStyle name="注释 2 8 10 12 2" xfId="45062" xr:uid="{00000000-0005-0000-0000-000036B00000}"/>
    <cellStyle name="注释 2 8 10 13" xfId="45064" xr:uid="{00000000-0005-0000-0000-000038B00000}"/>
    <cellStyle name="注释 2 8 10 14" xfId="41685" xr:uid="{00000000-0005-0000-0000-000005A30000}"/>
    <cellStyle name="注释 2 8 10 15" xfId="45070" xr:uid="{00000000-0005-0000-0000-00003EB00000}"/>
    <cellStyle name="注释 2 8 10 16" xfId="24526" xr:uid="{00000000-0005-0000-0000-0000FE5F0000}"/>
    <cellStyle name="注释 2 8 10 2" xfId="54884" xr:uid="{00000000-0005-0000-0000-000094D60000}"/>
    <cellStyle name="注释 2 8 10 2 2" xfId="54885" xr:uid="{00000000-0005-0000-0000-000095D60000}"/>
    <cellStyle name="注释 2 8 10 2 2 2" xfId="54886" xr:uid="{00000000-0005-0000-0000-000096D60000}"/>
    <cellStyle name="注释 2 8 10 2 3" xfId="54887" xr:uid="{00000000-0005-0000-0000-000097D60000}"/>
    <cellStyle name="注释 2 8 10 2 3 2" xfId="54888" xr:uid="{00000000-0005-0000-0000-000098D60000}"/>
    <cellStyle name="注释 2 8 10 2 4" xfId="48419" xr:uid="{00000000-0005-0000-0000-000053BD0000}"/>
    <cellStyle name="注释 2 8 10 2 4 2" xfId="54889" xr:uid="{00000000-0005-0000-0000-000099D60000}"/>
    <cellStyle name="注释 2 8 10 2 5" xfId="54890" xr:uid="{00000000-0005-0000-0000-00009AD60000}"/>
    <cellStyle name="注释 2 8 10 2 5 2" xfId="54891" xr:uid="{00000000-0005-0000-0000-00009BD60000}"/>
    <cellStyle name="注释 2 8 10 2 6" xfId="54892" xr:uid="{00000000-0005-0000-0000-00009CD60000}"/>
    <cellStyle name="注释 2 8 10 2 7" xfId="51012" xr:uid="{00000000-0005-0000-0000-000074C70000}"/>
    <cellStyle name="注释 2 8 10 2 8" xfId="54893" xr:uid="{00000000-0005-0000-0000-00009DD60000}"/>
    <cellStyle name="注释 2 8 10 2 9" xfId="54894" xr:uid="{00000000-0005-0000-0000-00009ED60000}"/>
    <cellStyle name="注释 2 8 10 3" xfId="54895" xr:uid="{00000000-0005-0000-0000-00009FD60000}"/>
    <cellStyle name="注释 2 8 10 3 2" xfId="54896" xr:uid="{00000000-0005-0000-0000-0000A0D60000}"/>
    <cellStyle name="注释 2 8 10 3 2 2" xfId="33075" xr:uid="{00000000-0005-0000-0000-000063810000}"/>
    <cellStyle name="注释 2 8 10 3 3" xfId="54897" xr:uid="{00000000-0005-0000-0000-0000A1D60000}"/>
    <cellStyle name="注释 2 8 10 3 3 2" xfId="54898" xr:uid="{00000000-0005-0000-0000-0000A2D60000}"/>
    <cellStyle name="注释 2 8 10 3 4" xfId="48422" xr:uid="{00000000-0005-0000-0000-000056BD0000}"/>
    <cellStyle name="注释 2 8 10 3 4 2" xfId="54899" xr:uid="{00000000-0005-0000-0000-0000A3D60000}"/>
    <cellStyle name="注释 2 8 10 3 5" xfId="54900" xr:uid="{00000000-0005-0000-0000-0000A4D60000}"/>
    <cellStyle name="注释 2 8 10 3 5 2" xfId="54901" xr:uid="{00000000-0005-0000-0000-0000A5D60000}"/>
    <cellStyle name="注释 2 8 10 3 6" xfId="54902" xr:uid="{00000000-0005-0000-0000-0000A6D60000}"/>
    <cellStyle name="注释 2 8 10 4" xfId="54903" xr:uid="{00000000-0005-0000-0000-0000A7D60000}"/>
    <cellStyle name="注释 2 8 10 4 2" xfId="54904" xr:uid="{00000000-0005-0000-0000-0000A8D60000}"/>
    <cellStyle name="注释 2 8 10 4 2 2" xfId="33404" xr:uid="{00000000-0005-0000-0000-0000AC820000}"/>
    <cellStyle name="注释 2 8 10 4 3" xfId="54905" xr:uid="{00000000-0005-0000-0000-0000A9D60000}"/>
    <cellStyle name="注释 2 8 10 4 3 2" xfId="54906" xr:uid="{00000000-0005-0000-0000-0000AAD60000}"/>
    <cellStyle name="注释 2 8 10 4 4" xfId="54907" xr:uid="{00000000-0005-0000-0000-0000ABD60000}"/>
    <cellStyle name="注释 2 8 10 4 4 2" xfId="54908" xr:uid="{00000000-0005-0000-0000-0000ACD60000}"/>
    <cellStyle name="注释 2 8 10 4 5" xfId="54909" xr:uid="{00000000-0005-0000-0000-0000ADD60000}"/>
    <cellStyle name="注释 2 8 10 4 5 2" xfId="54910" xr:uid="{00000000-0005-0000-0000-0000AED60000}"/>
    <cellStyle name="注释 2 8 10 4 6" xfId="54911" xr:uid="{00000000-0005-0000-0000-0000AFD60000}"/>
    <cellStyle name="注释 2 8 10 5" xfId="17131" xr:uid="{00000000-0005-0000-0000-00001B430000}"/>
    <cellStyle name="注释 2 8 10 5 2" xfId="15075" xr:uid="{00000000-0005-0000-0000-0000133B0000}"/>
    <cellStyle name="注释 2 8 10 5 2 2" xfId="37928" xr:uid="{00000000-0005-0000-0000-000058940000}"/>
    <cellStyle name="注释 2 8 10 5 3" xfId="15079" xr:uid="{00000000-0005-0000-0000-0000173B0000}"/>
    <cellStyle name="注释 2 8 10 5 3 2" xfId="37930" xr:uid="{00000000-0005-0000-0000-00005A940000}"/>
    <cellStyle name="注释 2 8 10 5 4" xfId="9126" xr:uid="{00000000-0005-0000-0000-0000D6230000}"/>
    <cellStyle name="注释 2 8 10 5 4 2" xfId="54912" xr:uid="{00000000-0005-0000-0000-0000B0D60000}"/>
    <cellStyle name="注释 2 8 10 5 5" xfId="37932" xr:uid="{00000000-0005-0000-0000-00005C940000}"/>
    <cellStyle name="注释 2 8 10 5 5 2" xfId="54913" xr:uid="{00000000-0005-0000-0000-0000B1D60000}"/>
    <cellStyle name="注释 2 8 10 5 6" xfId="37934" xr:uid="{00000000-0005-0000-0000-00005E940000}"/>
    <cellStyle name="注释 2 8 10 6" xfId="54914" xr:uid="{00000000-0005-0000-0000-0000B2D60000}"/>
    <cellStyle name="注释 2 8 10 6 2" xfId="43763" xr:uid="{00000000-0005-0000-0000-000023AB0000}"/>
    <cellStyle name="注释 2 8 10 6 2 2" xfId="54915" xr:uid="{00000000-0005-0000-0000-0000B3D60000}"/>
    <cellStyle name="注释 2 8 10 6 3" xfId="43765" xr:uid="{00000000-0005-0000-0000-000025AB0000}"/>
    <cellStyle name="注释 2 8 10 6 3 2" xfId="54916" xr:uid="{00000000-0005-0000-0000-0000B4D60000}"/>
    <cellStyle name="注释 2 8 10 6 4" xfId="43767" xr:uid="{00000000-0005-0000-0000-000027AB0000}"/>
    <cellStyle name="注释 2 8 10 6 4 2" xfId="54917" xr:uid="{00000000-0005-0000-0000-0000B5D60000}"/>
    <cellStyle name="注释 2 8 10 6 5" xfId="43769" xr:uid="{00000000-0005-0000-0000-000029AB0000}"/>
    <cellStyle name="注释 2 8 10 6 5 2" xfId="54918" xr:uid="{00000000-0005-0000-0000-0000B6D60000}"/>
    <cellStyle name="注释 2 8 10 6 6" xfId="54919" xr:uid="{00000000-0005-0000-0000-0000B7D60000}"/>
    <cellStyle name="注释 2 8 10 7" xfId="54920" xr:uid="{00000000-0005-0000-0000-0000B8D60000}"/>
    <cellStyle name="注释 2 8 10 7 2" xfId="43774" xr:uid="{00000000-0005-0000-0000-00002EAB0000}"/>
    <cellStyle name="注释 2 8 10 7 2 2" xfId="54921" xr:uid="{00000000-0005-0000-0000-0000B9D60000}"/>
    <cellStyle name="注释 2 8 10 7 3" xfId="54922" xr:uid="{00000000-0005-0000-0000-0000BAD60000}"/>
    <cellStyle name="注释 2 8 10 7 3 2" xfId="54923" xr:uid="{00000000-0005-0000-0000-0000BBD60000}"/>
    <cellStyle name="注释 2 8 10 7 4" xfId="54924" xr:uid="{00000000-0005-0000-0000-0000BCD60000}"/>
    <cellStyle name="注释 2 8 10 7 4 2" xfId="50674" xr:uid="{00000000-0005-0000-0000-000022C60000}"/>
    <cellStyle name="注释 2 8 10 7 5" xfId="54925" xr:uid="{00000000-0005-0000-0000-0000BDD60000}"/>
    <cellStyle name="注释 2 8 10 7 5 2" xfId="54926" xr:uid="{00000000-0005-0000-0000-0000BED60000}"/>
    <cellStyle name="注释 2 8 10 7 6" xfId="54927" xr:uid="{00000000-0005-0000-0000-0000BFD60000}"/>
    <cellStyle name="注释 2 8 10 8" xfId="27617" xr:uid="{00000000-0005-0000-0000-0000116C0000}"/>
    <cellStyle name="注释 2 8 10 8 2" xfId="43780" xr:uid="{00000000-0005-0000-0000-000034AB0000}"/>
    <cellStyle name="注释 2 8 10 8 2 2" xfId="33891" xr:uid="{00000000-0005-0000-0000-000093840000}"/>
    <cellStyle name="注释 2 8 10 8 3" xfId="54928" xr:uid="{00000000-0005-0000-0000-0000C0D60000}"/>
    <cellStyle name="注释 2 8 10 8 3 2" xfId="54929" xr:uid="{00000000-0005-0000-0000-0000C1D60000}"/>
    <cellStyle name="注释 2 8 10 8 4" xfId="54930" xr:uid="{00000000-0005-0000-0000-0000C2D60000}"/>
    <cellStyle name="注释 2 8 10 8 4 2" xfId="54931" xr:uid="{00000000-0005-0000-0000-0000C3D60000}"/>
    <cellStyle name="注释 2 8 10 8 5" xfId="54932" xr:uid="{00000000-0005-0000-0000-0000C4D60000}"/>
    <cellStyle name="注释 2 8 10 9" xfId="17996" xr:uid="{00000000-0005-0000-0000-00007C460000}"/>
    <cellStyle name="注释 2 8 10 9 2" xfId="43785" xr:uid="{00000000-0005-0000-0000-000039AB0000}"/>
    <cellStyle name="注释 2 8 11" xfId="54933" xr:uid="{00000000-0005-0000-0000-0000C5D60000}"/>
    <cellStyle name="注释 2 8 11 10" xfId="54934" xr:uid="{00000000-0005-0000-0000-0000C6D60000}"/>
    <cellStyle name="注释 2 8 11 10 2" xfId="46056" xr:uid="{00000000-0005-0000-0000-000018B40000}"/>
    <cellStyle name="注释 2 8 11 11" xfId="54935" xr:uid="{00000000-0005-0000-0000-0000C7D60000}"/>
    <cellStyle name="注释 2 8 11 11 2" xfId="46098" xr:uid="{00000000-0005-0000-0000-000042B40000}"/>
    <cellStyle name="注释 2 8 11 12" xfId="54936" xr:uid="{00000000-0005-0000-0000-0000C8D60000}"/>
    <cellStyle name="注释 2 8 11 12 2" xfId="46115" xr:uid="{00000000-0005-0000-0000-000053B40000}"/>
    <cellStyle name="注释 2 8 11 13" xfId="36868" xr:uid="{00000000-0005-0000-0000-000034900000}"/>
    <cellStyle name="注释 2 8 11 14" xfId="9881" xr:uid="{00000000-0005-0000-0000-0000C9260000}"/>
    <cellStyle name="注释 2 8 11 15" xfId="54937" xr:uid="{00000000-0005-0000-0000-0000C9D60000}"/>
    <cellStyle name="注释 2 8 11 16" xfId="24629" xr:uid="{00000000-0005-0000-0000-000065600000}"/>
    <cellStyle name="注释 2 8 11 2" xfId="54938" xr:uid="{00000000-0005-0000-0000-0000CAD60000}"/>
    <cellStyle name="注释 2 8 11 2 2" xfId="54939" xr:uid="{00000000-0005-0000-0000-0000CBD60000}"/>
    <cellStyle name="注释 2 8 11 2 2 2" xfId="54940" xr:uid="{00000000-0005-0000-0000-0000CCD60000}"/>
    <cellStyle name="注释 2 8 11 2 3" xfId="54941" xr:uid="{00000000-0005-0000-0000-0000CDD60000}"/>
    <cellStyle name="注释 2 8 11 2 3 2" xfId="54942" xr:uid="{00000000-0005-0000-0000-0000CED60000}"/>
    <cellStyle name="注释 2 8 11 2 4" xfId="48429" xr:uid="{00000000-0005-0000-0000-00005DBD0000}"/>
    <cellStyle name="注释 2 8 11 2 4 2" xfId="54943" xr:uid="{00000000-0005-0000-0000-0000CFD60000}"/>
    <cellStyle name="注释 2 8 11 2 5" xfId="54944" xr:uid="{00000000-0005-0000-0000-0000D0D60000}"/>
    <cellStyle name="注释 2 8 11 2 5 2" xfId="54945" xr:uid="{00000000-0005-0000-0000-0000D1D60000}"/>
    <cellStyle name="注释 2 8 11 2 6" xfId="54946" xr:uid="{00000000-0005-0000-0000-0000D2D60000}"/>
    <cellStyle name="注释 2 8 11 3" xfId="54947" xr:uid="{00000000-0005-0000-0000-0000D3D60000}"/>
    <cellStyle name="注释 2 8 11 3 2" xfId="54948" xr:uid="{00000000-0005-0000-0000-0000D4D60000}"/>
    <cellStyle name="注释 2 8 11 3 2 2" xfId="54949" xr:uid="{00000000-0005-0000-0000-0000D5D60000}"/>
    <cellStyle name="注释 2 8 11 3 3" xfId="54950" xr:uid="{00000000-0005-0000-0000-0000D6D60000}"/>
    <cellStyle name="注释 2 8 11 3 3 2" xfId="45449" xr:uid="{00000000-0005-0000-0000-0000B9B10000}"/>
    <cellStyle name="注释 2 8 11 3 4" xfId="48432" xr:uid="{00000000-0005-0000-0000-000060BD0000}"/>
    <cellStyle name="注释 2 8 11 3 4 2" xfId="45457" xr:uid="{00000000-0005-0000-0000-0000C1B10000}"/>
    <cellStyle name="注释 2 8 11 3 5" xfId="54951" xr:uid="{00000000-0005-0000-0000-0000D7D60000}"/>
    <cellStyle name="注释 2 8 11 3 5 2" xfId="45462" xr:uid="{00000000-0005-0000-0000-0000C6B10000}"/>
    <cellStyle name="注释 2 8 11 3 6" xfId="54952" xr:uid="{00000000-0005-0000-0000-0000D8D60000}"/>
    <cellStyle name="注释 2 8 11 4" xfId="54953" xr:uid="{00000000-0005-0000-0000-0000D9D60000}"/>
    <cellStyle name="注释 2 8 11 4 2" xfId="54954" xr:uid="{00000000-0005-0000-0000-0000DAD60000}"/>
    <cellStyle name="注释 2 8 11 4 2 2" xfId="54955" xr:uid="{00000000-0005-0000-0000-0000DBD60000}"/>
    <cellStyle name="注释 2 8 11 4 3" xfId="54956" xr:uid="{00000000-0005-0000-0000-0000DCD60000}"/>
    <cellStyle name="注释 2 8 11 4 3 2" xfId="45500" xr:uid="{00000000-0005-0000-0000-0000ECB10000}"/>
    <cellStyle name="注释 2 8 11 4 4" xfId="54957" xr:uid="{00000000-0005-0000-0000-0000DDD60000}"/>
    <cellStyle name="注释 2 8 11 4 4 2" xfId="45506" xr:uid="{00000000-0005-0000-0000-0000F2B10000}"/>
    <cellStyle name="注释 2 8 11 4 5" xfId="54958" xr:uid="{00000000-0005-0000-0000-0000DED60000}"/>
    <cellStyle name="注释 2 8 11 4 5 2" xfId="45511" xr:uid="{00000000-0005-0000-0000-0000F7B10000}"/>
    <cellStyle name="注释 2 8 11 4 6" xfId="54959" xr:uid="{00000000-0005-0000-0000-0000DFD60000}"/>
    <cellStyle name="注释 2 8 11 5" xfId="17143" xr:uid="{00000000-0005-0000-0000-000027430000}"/>
    <cellStyle name="注释 2 8 11 5 2" xfId="54960" xr:uid="{00000000-0005-0000-0000-0000E0D60000}"/>
    <cellStyle name="注释 2 8 11 5 2 2" xfId="54961" xr:uid="{00000000-0005-0000-0000-0000E1D60000}"/>
    <cellStyle name="注释 2 8 11 5 3" xfId="54962" xr:uid="{00000000-0005-0000-0000-0000E2D60000}"/>
    <cellStyle name="注释 2 8 11 5 3 2" xfId="54963" xr:uid="{00000000-0005-0000-0000-0000E3D60000}"/>
    <cellStyle name="注释 2 8 11 5 4" xfId="54964" xr:uid="{00000000-0005-0000-0000-0000E4D60000}"/>
    <cellStyle name="注释 2 8 11 5 4 2" xfId="54965" xr:uid="{00000000-0005-0000-0000-0000E5D60000}"/>
    <cellStyle name="注释 2 8 11 5 5" xfId="54966" xr:uid="{00000000-0005-0000-0000-0000E6D60000}"/>
    <cellStyle name="注释 2 8 11 5 5 2" xfId="54967" xr:uid="{00000000-0005-0000-0000-0000E7D60000}"/>
    <cellStyle name="注释 2 8 11 5 6" xfId="54968" xr:uid="{00000000-0005-0000-0000-0000E8D60000}"/>
    <cellStyle name="注释 2 8 11 6" xfId="54969" xr:uid="{00000000-0005-0000-0000-0000E9D60000}"/>
    <cellStyle name="注释 2 8 11 6 2" xfId="43810" xr:uid="{00000000-0005-0000-0000-000052AB0000}"/>
    <cellStyle name="注释 2 8 11 6 2 2" xfId="54970" xr:uid="{00000000-0005-0000-0000-0000EAD60000}"/>
    <cellStyle name="注释 2 8 11 6 3" xfId="43812" xr:uid="{00000000-0005-0000-0000-000054AB0000}"/>
    <cellStyle name="注释 2 8 11 6 3 2" xfId="54971" xr:uid="{00000000-0005-0000-0000-0000EBD60000}"/>
    <cellStyle name="注释 2 8 11 6 4" xfId="43814" xr:uid="{00000000-0005-0000-0000-000056AB0000}"/>
    <cellStyle name="注释 2 8 11 6 4 2" xfId="54972" xr:uid="{00000000-0005-0000-0000-0000ECD60000}"/>
    <cellStyle name="注释 2 8 11 6 5" xfId="43816" xr:uid="{00000000-0005-0000-0000-000058AB0000}"/>
    <cellStyle name="注释 2 8 11 6 5 2" xfId="54973" xr:uid="{00000000-0005-0000-0000-0000EDD60000}"/>
    <cellStyle name="注释 2 8 11 6 6" xfId="54974" xr:uid="{00000000-0005-0000-0000-0000EED60000}"/>
    <cellStyle name="注释 2 8 11 7" xfId="54975" xr:uid="{00000000-0005-0000-0000-0000EFD60000}"/>
    <cellStyle name="注释 2 8 11 7 2" xfId="43823" xr:uid="{00000000-0005-0000-0000-00005FAB0000}"/>
    <cellStyle name="注释 2 8 11 7 2 2" xfId="54976" xr:uid="{00000000-0005-0000-0000-0000F0D60000}"/>
    <cellStyle name="注释 2 8 11 7 3" xfId="54977" xr:uid="{00000000-0005-0000-0000-0000F1D60000}"/>
    <cellStyle name="注释 2 8 11 7 3 2" xfId="54978" xr:uid="{00000000-0005-0000-0000-0000F2D60000}"/>
    <cellStyle name="注释 2 8 11 7 4" xfId="54979" xr:uid="{00000000-0005-0000-0000-0000F3D60000}"/>
    <cellStyle name="注释 2 8 11 7 4 2" xfId="54980" xr:uid="{00000000-0005-0000-0000-0000F4D60000}"/>
    <cellStyle name="注释 2 8 11 7 5" xfId="54981" xr:uid="{00000000-0005-0000-0000-0000F5D60000}"/>
    <cellStyle name="注释 2 8 11 7 5 2" xfId="54982" xr:uid="{00000000-0005-0000-0000-0000F6D60000}"/>
    <cellStyle name="注释 2 8 11 7 6" xfId="54983" xr:uid="{00000000-0005-0000-0000-0000F7D60000}"/>
    <cellStyle name="注释 2 8 11 8" xfId="27620" xr:uid="{00000000-0005-0000-0000-0000146C0000}"/>
    <cellStyle name="注释 2 8 11 8 2" xfId="43829" xr:uid="{00000000-0005-0000-0000-000065AB0000}"/>
    <cellStyle name="注释 2 8 11 8 2 2" xfId="54984" xr:uid="{00000000-0005-0000-0000-0000F8D60000}"/>
    <cellStyle name="注释 2 8 11 8 3" xfId="54985" xr:uid="{00000000-0005-0000-0000-0000F9D60000}"/>
    <cellStyle name="注释 2 8 11 8 3 2" xfId="54986" xr:uid="{00000000-0005-0000-0000-0000FAD60000}"/>
    <cellStyle name="注释 2 8 11 8 4" xfId="54987" xr:uid="{00000000-0005-0000-0000-0000FBD60000}"/>
    <cellStyle name="注释 2 8 11 8 4 2" xfId="54988" xr:uid="{00000000-0005-0000-0000-0000FCD60000}"/>
    <cellStyle name="注释 2 8 11 8 5" xfId="54989" xr:uid="{00000000-0005-0000-0000-0000FDD60000}"/>
    <cellStyle name="注释 2 8 11 9" xfId="17998" xr:uid="{00000000-0005-0000-0000-00007E460000}"/>
    <cellStyle name="注释 2 8 11 9 2" xfId="43839" xr:uid="{00000000-0005-0000-0000-00006FAB0000}"/>
    <cellStyle name="注释 2 8 12" xfId="49832" xr:uid="{00000000-0005-0000-0000-0000D8C20000}"/>
    <cellStyle name="注释 2 8 12 2" xfId="49834" xr:uid="{00000000-0005-0000-0000-0000DAC20000}"/>
    <cellStyle name="注释 2 8 12 2 2" xfId="54990" xr:uid="{00000000-0005-0000-0000-0000FED60000}"/>
    <cellStyle name="注释 2 8 12 3" xfId="54991" xr:uid="{00000000-0005-0000-0000-0000FFD60000}"/>
    <cellStyle name="注释 2 8 12 3 2" xfId="54992" xr:uid="{00000000-0005-0000-0000-000000D70000}"/>
    <cellStyle name="注释 2 8 12 4" xfId="54993" xr:uid="{00000000-0005-0000-0000-000001D70000}"/>
    <cellStyle name="注释 2 8 12 4 2" xfId="54994" xr:uid="{00000000-0005-0000-0000-000002D70000}"/>
    <cellStyle name="注释 2 8 12 5" xfId="54995" xr:uid="{00000000-0005-0000-0000-000003D70000}"/>
    <cellStyle name="注释 2 8 12 5 2" xfId="54996" xr:uid="{00000000-0005-0000-0000-000004D70000}"/>
    <cellStyle name="注释 2 8 12 6" xfId="54997" xr:uid="{00000000-0005-0000-0000-000005D70000}"/>
    <cellStyle name="注释 2 8 12 7" xfId="31536" xr:uid="{00000000-0005-0000-0000-0000607B0000}"/>
    <cellStyle name="注释 2 8 12 8" xfId="54998" xr:uid="{00000000-0005-0000-0000-000006D70000}"/>
    <cellStyle name="注释 2 8 12 9" xfId="42555" xr:uid="{00000000-0005-0000-0000-00006BA60000}"/>
    <cellStyle name="注释 2 8 13" xfId="49836" xr:uid="{00000000-0005-0000-0000-0000DCC20000}"/>
    <cellStyle name="注释 2 8 13 2" xfId="49838" xr:uid="{00000000-0005-0000-0000-0000DEC20000}"/>
    <cellStyle name="注释 2 8 13 2 2" xfId="54999" xr:uid="{00000000-0005-0000-0000-000007D70000}"/>
    <cellStyle name="注释 2 8 13 3" xfId="55000" xr:uid="{00000000-0005-0000-0000-000008D70000}"/>
    <cellStyle name="注释 2 8 13 3 2" xfId="55001" xr:uid="{00000000-0005-0000-0000-000009D70000}"/>
    <cellStyle name="注释 2 8 13 4" xfId="28675" xr:uid="{00000000-0005-0000-0000-000033700000}"/>
    <cellStyle name="注释 2 8 13 4 2" xfId="28678" xr:uid="{00000000-0005-0000-0000-000036700000}"/>
    <cellStyle name="注释 2 8 13 5" xfId="17150" xr:uid="{00000000-0005-0000-0000-00002E430000}"/>
    <cellStyle name="注释 2 8 13 5 2" xfId="28681" xr:uid="{00000000-0005-0000-0000-000039700000}"/>
    <cellStyle name="注释 2 8 13 6" xfId="28685" xr:uid="{00000000-0005-0000-0000-00003D700000}"/>
    <cellStyle name="注释 2 8 14" xfId="19693" xr:uid="{00000000-0005-0000-0000-00001D4D0000}"/>
    <cellStyle name="注释 2 8 14 2" xfId="49840" xr:uid="{00000000-0005-0000-0000-0000E0C20000}"/>
    <cellStyle name="注释 2 8 14 2 2" xfId="55002" xr:uid="{00000000-0005-0000-0000-00000AD70000}"/>
    <cellStyle name="注释 2 8 14 3" xfId="55003" xr:uid="{00000000-0005-0000-0000-00000BD70000}"/>
    <cellStyle name="注释 2 8 14 3 2" xfId="55004" xr:uid="{00000000-0005-0000-0000-00000CD70000}"/>
    <cellStyle name="注释 2 8 14 4" xfId="55005" xr:uid="{00000000-0005-0000-0000-00000DD70000}"/>
    <cellStyle name="注释 2 8 14 4 2" xfId="55006" xr:uid="{00000000-0005-0000-0000-00000ED70000}"/>
    <cellStyle name="注释 2 8 14 5" xfId="55007" xr:uid="{00000000-0005-0000-0000-00000FD70000}"/>
    <cellStyle name="注释 2 8 14 5 2" xfId="16184" xr:uid="{00000000-0005-0000-0000-0000683F0000}"/>
    <cellStyle name="注释 2 8 14 6" xfId="52093" xr:uid="{00000000-0005-0000-0000-0000ADCB0000}"/>
    <cellStyle name="注释 2 8 15" xfId="49842" xr:uid="{00000000-0005-0000-0000-0000E2C20000}"/>
    <cellStyle name="注释 2 8 15 2" xfId="49845" xr:uid="{00000000-0005-0000-0000-0000E5C20000}"/>
    <cellStyle name="注释 2 8 15 2 2" xfId="55008" xr:uid="{00000000-0005-0000-0000-000010D70000}"/>
    <cellStyle name="注释 2 8 15 3" xfId="55009" xr:uid="{00000000-0005-0000-0000-000011D70000}"/>
    <cellStyle name="注释 2 8 15 3 2" xfId="55010" xr:uid="{00000000-0005-0000-0000-000012D70000}"/>
    <cellStyle name="注释 2 8 15 4" xfId="55011" xr:uid="{00000000-0005-0000-0000-000013D70000}"/>
    <cellStyle name="注释 2 8 15 4 2" xfId="55012" xr:uid="{00000000-0005-0000-0000-000014D70000}"/>
    <cellStyle name="注释 2 8 15 5" xfId="55013" xr:uid="{00000000-0005-0000-0000-000015D70000}"/>
    <cellStyle name="注释 2 8 15 5 2" xfId="16905" xr:uid="{00000000-0005-0000-0000-000039420000}"/>
    <cellStyle name="注释 2 8 15 6" xfId="52096" xr:uid="{00000000-0005-0000-0000-0000B0CB0000}"/>
    <cellStyle name="注释 2 8 16" xfId="49848" xr:uid="{00000000-0005-0000-0000-0000E8C20000}"/>
    <cellStyle name="注释 2 8 16 2" xfId="55014" xr:uid="{00000000-0005-0000-0000-000016D70000}"/>
    <cellStyle name="注释 2 8 16 2 2" xfId="55016" xr:uid="{00000000-0005-0000-0000-000018D70000}"/>
    <cellStyle name="注释 2 8 16 3" xfId="45874" xr:uid="{00000000-0005-0000-0000-000062B30000}"/>
    <cellStyle name="注释 2 8 16 3 2" xfId="55017" xr:uid="{00000000-0005-0000-0000-000019D70000}"/>
    <cellStyle name="注释 2 8 16 4" xfId="55018" xr:uid="{00000000-0005-0000-0000-00001AD70000}"/>
    <cellStyle name="注释 2 8 16 4 2" xfId="55019" xr:uid="{00000000-0005-0000-0000-00001BD70000}"/>
    <cellStyle name="注释 2 8 16 5" xfId="55020" xr:uid="{00000000-0005-0000-0000-00001CD70000}"/>
    <cellStyle name="注释 2 8 16 5 2" xfId="55021" xr:uid="{00000000-0005-0000-0000-00001DD70000}"/>
    <cellStyle name="注释 2 8 16 6" xfId="52099" xr:uid="{00000000-0005-0000-0000-0000B3CB0000}"/>
    <cellStyle name="注释 2 8 17" xfId="55022" xr:uid="{00000000-0005-0000-0000-00001ED70000}"/>
    <cellStyle name="注释 2 8 17 2" xfId="55024" xr:uid="{00000000-0005-0000-0000-000020D70000}"/>
    <cellStyle name="注释 2 8 17 2 2" xfId="55026" xr:uid="{00000000-0005-0000-0000-000022D70000}"/>
    <cellStyle name="注释 2 8 17 3" xfId="45876" xr:uid="{00000000-0005-0000-0000-000064B30000}"/>
    <cellStyle name="注释 2 8 17 3 2" xfId="55027" xr:uid="{00000000-0005-0000-0000-000023D70000}"/>
    <cellStyle name="注释 2 8 17 4" xfId="31580" xr:uid="{00000000-0005-0000-0000-00008C7B0000}"/>
    <cellStyle name="注释 2 8 17 4 2" xfId="31582" xr:uid="{00000000-0005-0000-0000-00008E7B0000}"/>
    <cellStyle name="注释 2 8 17 5" xfId="31589" xr:uid="{00000000-0005-0000-0000-0000957B0000}"/>
    <cellStyle name="注释 2 8 17 5 2" xfId="31591" xr:uid="{00000000-0005-0000-0000-0000977B0000}"/>
    <cellStyle name="注释 2 8 17 6" xfId="31596" xr:uid="{00000000-0005-0000-0000-00009C7B0000}"/>
    <cellStyle name="注释 2 8 18" xfId="55028" xr:uid="{00000000-0005-0000-0000-000024D70000}"/>
    <cellStyle name="注释 2 8 18 2" xfId="55030" xr:uid="{00000000-0005-0000-0000-000026D70000}"/>
    <cellStyle name="注释 2 8 18 2 2" xfId="55032" xr:uid="{00000000-0005-0000-0000-000028D70000}"/>
    <cellStyle name="注释 2 8 18 3" xfId="45879" xr:uid="{00000000-0005-0000-0000-000067B30000}"/>
    <cellStyle name="注释 2 8 18 3 2" xfId="55033" xr:uid="{00000000-0005-0000-0000-000029D70000}"/>
    <cellStyle name="注释 2 8 18 4" xfId="22337" xr:uid="{00000000-0005-0000-0000-000071570000}"/>
    <cellStyle name="注释 2 8 18 4 2" xfId="22342" xr:uid="{00000000-0005-0000-0000-000076570000}"/>
    <cellStyle name="注释 2 8 18 5" xfId="15792" xr:uid="{00000000-0005-0000-0000-0000E03D0000}"/>
    <cellStyle name="注释 2 8 18 5 2" xfId="22351" xr:uid="{00000000-0005-0000-0000-00007F570000}"/>
    <cellStyle name="注释 2 8 18 6" xfId="22360" xr:uid="{00000000-0005-0000-0000-000088570000}"/>
    <cellStyle name="注释 2 8 19" xfId="41181" xr:uid="{00000000-0005-0000-0000-00000DA10000}"/>
    <cellStyle name="注释 2 8 19 2" xfId="55034" xr:uid="{00000000-0005-0000-0000-00002AD70000}"/>
    <cellStyle name="注释 2 8 19 2 2" xfId="55035" xr:uid="{00000000-0005-0000-0000-00002BD70000}"/>
    <cellStyle name="注释 2 8 19 3" xfId="45881" xr:uid="{00000000-0005-0000-0000-000069B30000}"/>
    <cellStyle name="注释 2 8 19 3 2" xfId="55036" xr:uid="{00000000-0005-0000-0000-00002CD70000}"/>
    <cellStyle name="注释 2 8 19 4" xfId="7197" xr:uid="{00000000-0005-0000-0000-00004D1C0000}"/>
    <cellStyle name="注释 2 8 19 4 2" xfId="40397" xr:uid="{00000000-0005-0000-0000-0000FD9D0000}"/>
    <cellStyle name="注释 2 8 19 5" xfId="40399" xr:uid="{00000000-0005-0000-0000-0000FF9D0000}"/>
    <cellStyle name="注释 2 8 2" xfId="55037" xr:uid="{00000000-0005-0000-0000-00002DD70000}"/>
    <cellStyle name="注释 2 8 2 10" xfId="12093" xr:uid="{00000000-0005-0000-0000-00006D2F0000}"/>
    <cellStyle name="注释 2 8 2 10 2" xfId="15278" xr:uid="{00000000-0005-0000-0000-0000DE3B0000}"/>
    <cellStyle name="注释 2 8 2 11" xfId="15281" xr:uid="{00000000-0005-0000-0000-0000E13B0000}"/>
    <cellStyle name="注释 2 8 2 11 2" xfId="33420" xr:uid="{00000000-0005-0000-0000-0000BC820000}"/>
    <cellStyle name="注释 2 8 2 12" xfId="3001" xr:uid="{00000000-0005-0000-0000-0000E90B0000}"/>
    <cellStyle name="注释 2 8 2 12 2" xfId="33422" xr:uid="{00000000-0005-0000-0000-0000BE820000}"/>
    <cellStyle name="注释 2 8 2 13" xfId="13436" xr:uid="{00000000-0005-0000-0000-0000AC340000}"/>
    <cellStyle name="注释 2 8 2 14" xfId="15284" xr:uid="{00000000-0005-0000-0000-0000E43B0000}"/>
    <cellStyle name="注释 2 8 2 15" xfId="55038" xr:uid="{00000000-0005-0000-0000-00002ED70000}"/>
    <cellStyle name="注释 2 8 2 16" xfId="27340" xr:uid="{00000000-0005-0000-0000-0000FC6A0000}"/>
    <cellStyle name="注释 2 8 2 2" xfId="55039" xr:uid="{00000000-0005-0000-0000-00002FD70000}"/>
    <cellStyle name="注释 2 8 2 2 2" xfId="52747" xr:uid="{00000000-0005-0000-0000-00003BCE0000}"/>
    <cellStyle name="注释 2 8 2 2 2 2" xfId="52749" xr:uid="{00000000-0005-0000-0000-00003DCE0000}"/>
    <cellStyle name="注释 2 8 2 2 3" xfId="55040" xr:uid="{00000000-0005-0000-0000-000030D70000}"/>
    <cellStyle name="注释 2 8 2 2 3 2" xfId="55041" xr:uid="{00000000-0005-0000-0000-000031D70000}"/>
    <cellStyle name="注释 2 8 2 2 4" xfId="51854" xr:uid="{00000000-0005-0000-0000-0000BECA0000}"/>
    <cellStyle name="注释 2 8 2 2 4 2" xfId="55042" xr:uid="{00000000-0005-0000-0000-000032D70000}"/>
    <cellStyle name="注释 2 8 2 2 5" xfId="55043" xr:uid="{00000000-0005-0000-0000-000033D70000}"/>
    <cellStyle name="注释 2 8 2 2 5 2" xfId="55044" xr:uid="{00000000-0005-0000-0000-000034D70000}"/>
    <cellStyle name="注释 2 8 2 2 6" xfId="13510" xr:uid="{00000000-0005-0000-0000-0000F6340000}"/>
    <cellStyle name="注释 2 8 2 2 7" xfId="52906" xr:uid="{00000000-0005-0000-0000-0000DACE0000}"/>
    <cellStyle name="注释 2 8 2 2 8" xfId="1136" xr:uid="{00000000-0005-0000-0000-0000A0040000}"/>
    <cellStyle name="注释 2 8 2 2 9" xfId="43954" xr:uid="{00000000-0005-0000-0000-0000E2AB0000}"/>
    <cellStyle name="注释 2 8 2 3" xfId="55045" xr:uid="{00000000-0005-0000-0000-000035D70000}"/>
    <cellStyle name="注释 2 8 2 3 2" xfId="30397" xr:uid="{00000000-0005-0000-0000-0000ED760000}"/>
    <cellStyle name="注释 2 8 2 3 2 2" xfId="30400" xr:uid="{00000000-0005-0000-0000-0000F0760000}"/>
    <cellStyle name="注释 2 8 2 3 3" xfId="30403" xr:uid="{00000000-0005-0000-0000-0000F3760000}"/>
    <cellStyle name="注释 2 8 2 3 3 2" xfId="22970" xr:uid="{00000000-0005-0000-0000-0000EA590000}"/>
    <cellStyle name="注释 2 8 2 3 4" xfId="30405" xr:uid="{00000000-0005-0000-0000-0000F5760000}"/>
    <cellStyle name="注释 2 8 2 3 4 2" xfId="55046" xr:uid="{00000000-0005-0000-0000-000036D70000}"/>
    <cellStyle name="注释 2 8 2 3 5" xfId="30408" xr:uid="{00000000-0005-0000-0000-0000F8760000}"/>
    <cellStyle name="注释 2 8 2 3 5 2" xfId="55047" xr:uid="{00000000-0005-0000-0000-000037D70000}"/>
    <cellStyle name="注释 2 8 2 3 6" xfId="30411" xr:uid="{00000000-0005-0000-0000-0000FB760000}"/>
    <cellStyle name="注释 2 8 2 4" xfId="55048" xr:uid="{00000000-0005-0000-0000-000038D70000}"/>
    <cellStyle name="注释 2 8 2 4 2" xfId="30429" xr:uid="{00000000-0005-0000-0000-00000D770000}"/>
    <cellStyle name="注释 2 8 2 4 2 2" xfId="30433" xr:uid="{00000000-0005-0000-0000-000011770000}"/>
    <cellStyle name="注释 2 8 2 4 3" xfId="30437" xr:uid="{00000000-0005-0000-0000-000015770000}"/>
    <cellStyle name="注释 2 8 2 4 3 2" xfId="23457" xr:uid="{00000000-0005-0000-0000-0000D15B0000}"/>
    <cellStyle name="注释 2 8 2 4 4" xfId="51858" xr:uid="{00000000-0005-0000-0000-0000C2CA0000}"/>
    <cellStyle name="注释 2 8 2 4 4 2" xfId="55050" xr:uid="{00000000-0005-0000-0000-00003AD70000}"/>
    <cellStyle name="注释 2 8 2 4 5" xfId="41128" xr:uid="{00000000-0005-0000-0000-0000D8A00000}"/>
    <cellStyle name="注释 2 8 2 4 5 2" xfId="55051" xr:uid="{00000000-0005-0000-0000-00003BD70000}"/>
    <cellStyle name="注释 2 8 2 4 6" xfId="24111" xr:uid="{00000000-0005-0000-0000-00005F5E0000}"/>
    <cellStyle name="注释 2 8 2 5" xfId="9623" xr:uid="{00000000-0005-0000-0000-0000C7250000}"/>
    <cellStyle name="注释 2 8 2 5 2" xfId="30454" xr:uid="{00000000-0005-0000-0000-000026770000}"/>
    <cellStyle name="注释 2 8 2 5 2 2" xfId="30457" xr:uid="{00000000-0005-0000-0000-000029770000}"/>
    <cellStyle name="注释 2 8 2 5 3" xfId="30460" xr:uid="{00000000-0005-0000-0000-00002C770000}"/>
    <cellStyle name="注释 2 8 2 5 3 2" xfId="55052" xr:uid="{00000000-0005-0000-0000-00003CD70000}"/>
    <cellStyle name="注释 2 8 2 5 4" xfId="51861" xr:uid="{00000000-0005-0000-0000-0000C5CA0000}"/>
    <cellStyle name="注释 2 8 2 5 4 2" xfId="55053" xr:uid="{00000000-0005-0000-0000-00003DD70000}"/>
    <cellStyle name="注释 2 8 2 5 5" xfId="41131" xr:uid="{00000000-0005-0000-0000-0000DBA00000}"/>
    <cellStyle name="注释 2 8 2 5 5 2" xfId="55054" xr:uid="{00000000-0005-0000-0000-00003ED70000}"/>
    <cellStyle name="注释 2 8 2 5 6" xfId="24122" xr:uid="{00000000-0005-0000-0000-00006A5E0000}"/>
    <cellStyle name="注释 2 8 2 6" xfId="55055" xr:uid="{00000000-0005-0000-0000-00003FD70000}"/>
    <cellStyle name="注释 2 8 2 6 2" xfId="26559" xr:uid="{00000000-0005-0000-0000-0000EF670000}"/>
    <cellStyle name="注释 2 8 2 6 2 2" xfId="30466" xr:uid="{00000000-0005-0000-0000-000032770000}"/>
    <cellStyle name="注释 2 8 2 6 3" xfId="26564" xr:uid="{00000000-0005-0000-0000-0000F4670000}"/>
    <cellStyle name="注释 2 8 2 6 3 2" xfId="55056" xr:uid="{00000000-0005-0000-0000-000040D70000}"/>
    <cellStyle name="注释 2 8 2 6 4" xfId="26568" xr:uid="{00000000-0005-0000-0000-0000F8670000}"/>
    <cellStyle name="注释 2 8 2 6 4 2" xfId="55057" xr:uid="{00000000-0005-0000-0000-000041D70000}"/>
    <cellStyle name="注释 2 8 2 6 5" xfId="55058" xr:uid="{00000000-0005-0000-0000-000042D70000}"/>
    <cellStyle name="注释 2 8 2 6 5 2" xfId="55059" xr:uid="{00000000-0005-0000-0000-000043D70000}"/>
    <cellStyle name="注释 2 8 2 6 6" xfId="24132" xr:uid="{00000000-0005-0000-0000-0000745E0000}"/>
    <cellStyle name="注释 2 8 2 7" xfId="55060" xr:uid="{00000000-0005-0000-0000-000044D70000}"/>
    <cellStyle name="注释 2 8 2 7 2" xfId="30474" xr:uid="{00000000-0005-0000-0000-00003A770000}"/>
    <cellStyle name="注释 2 8 2 7 2 2" xfId="30478" xr:uid="{00000000-0005-0000-0000-00003E770000}"/>
    <cellStyle name="注释 2 8 2 7 3" xfId="30482" xr:uid="{00000000-0005-0000-0000-000042770000}"/>
    <cellStyle name="注释 2 8 2 7 3 2" xfId="55061" xr:uid="{00000000-0005-0000-0000-000045D70000}"/>
    <cellStyle name="注释 2 8 2 7 4" xfId="55062" xr:uid="{00000000-0005-0000-0000-000046D70000}"/>
    <cellStyle name="注释 2 8 2 7 4 2" xfId="55063" xr:uid="{00000000-0005-0000-0000-000047D70000}"/>
    <cellStyle name="注释 2 8 2 7 5" xfId="55064" xr:uid="{00000000-0005-0000-0000-000048D70000}"/>
    <cellStyle name="注释 2 8 2 7 5 2" xfId="55065" xr:uid="{00000000-0005-0000-0000-000049D70000}"/>
    <cellStyle name="注释 2 8 2 7 6" xfId="24141" xr:uid="{00000000-0005-0000-0000-00007D5E0000}"/>
    <cellStyle name="注释 2 8 2 8" xfId="55066" xr:uid="{00000000-0005-0000-0000-00004AD70000}"/>
    <cellStyle name="注释 2 8 2 8 2" xfId="30489" xr:uid="{00000000-0005-0000-0000-000049770000}"/>
    <cellStyle name="注释 2 8 2 8 2 2" xfId="30492" xr:uid="{00000000-0005-0000-0000-00004C770000}"/>
    <cellStyle name="注释 2 8 2 8 3" xfId="30495" xr:uid="{00000000-0005-0000-0000-00004F770000}"/>
    <cellStyle name="注释 2 8 2 8 3 2" xfId="55067" xr:uid="{00000000-0005-0000-0000-00004BD70000}"/>
    <cellStyle name="注释 2 8 2 8 4" xfId="55068" xr:uid="{00000000-0005-0000-0000-00004CD70000}"/>
    <cellStyle name="注释 2 8 2 8 4 2" xfId="55069" xr:uid="{00000000-0005-0000-0000-00004DD70000}"/>
    <cellStyle name="注释 2 8 2 8 5" xfId="55070" xr:uid="{00000000-0005-0000-0000-00004ED70000}"/>
    <cellStyle name="注释 2 8 2 9" xfId="55071" xr:uid="{00000000-0005-0000-0000-00004FD70000}"/>
    <cellStyle name="注释 2 8 2 9 2" xfId="30503" xr:uid="{00000000-0005-0000-0000-000057770000}"/>
    <cellStyle name="注释 2 8 20" xfId="49843" xr:uid="{00000000-0005-0000-0000-0000E3C20000}"/>
    <cellStyle name="注释 2 8 20 2" xfId="49846" xr:uid="{00000000-0005-0000-0000-0000E6C20000}"/>
    <cellStyle name="注释 2 8 21" xfId="49849" xr:uid="{00000000-0005-0000-0000-0000E9C20000}"/>
    <cellStyle name="注释 2 8 21 2" xfId="55015" xr:uid="{00000000-0005-0000-0000-000017D70000}"/>
    <cellStyle name="注释 2 8 22" xfId="55023" xr:uid="{00000000-0005-0000-0000-00001FD70000}"/>
    <cellStyle name="注释 2 8 22 2" xfId="55025" xr:uid="{00000000-0005-0000-0000-000021D70000}"/>
    <cellStyle name="注释 2 8 23" xfId="55029" xr:uid="{00000000-0005-0000-0000-000025D70000}"/>
    <cellStyle name="注释 2 8 23 2" xfId="55031" xr:uid="{00000000-0005-0000-0000-000027D70000}"/>
    <cellStyle name="注释 2 8 24" xfId="41182" xr:uid="{00000000-0005-0000-0000-00000EA10000}"/>
    <cellStyle name="注释 2 8 25" xfId="55073" xr:uid="{00000000-0005-0000-0000-000051D70000}"/>
    <cellStyle name="注释 2 8 26" xfId="55074" xr:uid="{00000000-0005-0000-0000-000052D70000}"/>
    <cellStyle name="注释 2 8 27" xfId="55075" xr:uid="{00000000-0005-0000-0000-000053D70000}"/>
    <cellStyle name="注释 2 8 3" xfId="45664" xr:uid="{00000000-0005-0000-0000-000090B20000}"/>
    <cellStyle name="注释 2 8 3 10" xfId="15405" xr:uid="{00000000-0005-0000-0000-00005D3C0000}"/>
    <cellStyle name="注释 2 8 3 10 2" xfId="15410" xr:uid="{00000000-0005-0000-0000-0000623C0000}"/>
    <cellStyle name="注释 2 8 3 11" xfId="15415" xr:uid="{00000000-0005-0000-0000-0000673C0000}"/>
    <cellStyle name="注释 2 8 3 11 2" xfId="33473" xr:uid="{00000000-0005-0000-0000-0000F1820000}"/>
    <cellStyle name="注释 2 8 3 12" xfId="33475" xr:uid="{00000000-0005-0000-0000-0000F3820000}"/>
    <cellStyle name="注释 2 8 3 12 2" xfId="33477" xr:uid="{00000000-0005-0000-0000-0000F5820000}"/>
    <cellStyle name="注释 2 8 3 13" xfId="33479" xr:uid="{00000000-0005-0000-0000-0000F7820000}"/>
    <cellStyle name="注释 2 8 3 14" xfId="38520" xr:uid="{00000000-0005-0000-0000-0000A8960000}"/>
    <cellStyle name="注释 2 8 3 15" xfId="55076" xr:uid="{00000000-0005-0000-0000-000054D70000}"/>
    <cellStyle name="注释 2 8 3 16" xfId="55077" xr:uid="{00000000-0005-0000-0000-000055D70000}"/>
    <cellStyle name="注释 2 8 3 2" xfId="55078" xr:uid="{00000000-0005-0000-0000-000056D70000}"/>
    <cellStyle name="注释 2 8 3 2 2" xfId="53309" xr:uid="{00000000-0005-0000-0000-00006DD00000}"/>
    <cellStyle name="注释 2 8 3 2 2 2" xfId="53311" xr:uid="{00000000-0005-0000-0000-00006FD00000}"/>
    <cellStyle name="注释 2 8 3 2 3" xfId="51172" xr:uid="{00000000-0005-0000-0000-000014C80000}"/>
    <cellStyle name="注释 2 8 3 2 3 2" xfId="51174" xr:uid="{00000000-0005-0000-0000-000016C80000}"/>
    <cellStyle name="注释 2 8 3 2 4" xfId="51185" xr:uid="{00000000-0005-0000-0000-000021C80000}"/>
    <cellStyle name="注释 2 8 3 2 4 2" xfId="51187" xr:uid="{00000000-0005-0000-0000-000023C80000}"/>
    <cellStyle name="注释 2 8 3 2 5" xfId="51195" xr:uid="{00000000-0005-0000-0000-00002BC80000}"/>
    <cellStyle name="注释 2 8 3 2 5 2" xfId="51197" xr:uid="{00000000-0005-0000-0000-00002DC80000}"/>
    <cellStyle name="注释 2 8 3 2 6" xfId="33758" xr:uid="{00000000-0005-0000-0000-00000E840000}"/>
    <cellStyle name="注释 2 8 3 2 7" xfId="51214" xr:uid="{00000000-0005-0000-0000-00003EC80000}"/>
    <cellStyle name="注释 2 8 3 2 8" xfId="15386" xr:uid="{00000000-0005-0000-0000-00004A3C0000}"/>
    <cellStyle name="注释 2 8 3 2 9" xfId="51235" xr:uid="{00000000-0005-0000-0000-000053C80000}"/>
    <cellStyle name="注释 2 8 3 3" xfId="55079" xr:uid="{00000000-0005-0000-0000-000057D70000}"/>
    <cellStyle name="注释 2 8 3 3 2" xfId="53369" xr:uid="{00000000-0005-0000-0000-0000A9D00000}"/>
    <cellStyle name="注释 2 8 3 3 2 2" xfId="53371" xr:uid="{00000000-0005-0000-0000-0000ABD00000}"/>
    <cellStyle name="注释 2 8 3 3 3" xfId="55080" xr:uid="{00000000-0005-0000-0000-000058D70000}"/>
    <cellStyle name="注释 2 8 3 3 3 2" xfId="55081" xr:uid="{00000000-0005-0000-0000-000059D70000}"/>
    <cellStyle name="注释 2 8 3 3 4" xfId="51866" xr:uid="{00000000-0005-0000-0000-0000CACA0000}"/>
    <cellStyle name="注释 2 8 3 3 4 2" xfId="55082" xr:uid="{00000000-0005-0000-0000-00005AD70000}"/>
    <cellStyle name="注释 2 8 3 3 5" xfId="55083" xr:uid="{00000000-0005-0000-0000-00005BD70000}"/>
    <cellStyle name="注释 2 8 3 3 5 2" xfId="55084" xr:uid="{00000000-0005-0000-0000-00005CD70000}"/>
    <cellStyle name="注释 2 8 3 3 6" xfId="33761" xr:uid="{00000000-0005-0000-0000-000011840000}"/>
    <cellStyle name="注释 2 8 3 4" xfId="55085" xr:uid="{00000000-0005-0000-0000-00005DD70000}"/>
    <cellStyle name="注释 2 8 3 4 2" xfId="51078" xr:uid="{00000000-0005-0000-0000-0000B6C70000}"/>
    <cellStyle name="注释 2 8 3 4 2 2" xfId="53396" xr:uid="{00000000-0005-0000-0000-0000C4D00000}"/>
    <cellStyle name="注释 2 8 3 4 3" xfId="55087" xr:uid="{00000000-0005-0000-0000-00005FD70000}"/>
    <cellStyle name="注释 2 8 3 4 3 2" xfId="55088" xr:uid="{00000000-0005-0000-0000-000060D70000}"/>
    <cellStyle name="注释 2 8 3 4 4" xfId="51869" xr:uid="{00000000-0005-0000-0000-0000CDCA0000}"/>
    <cellStyle name="注释 2 8 3 4 4 2" xfId="55089" xr:uid="{00000000-0005-0000-0000-000061D70000}"/>
    <cellStyle name="注释 2 8 3 4 5" xfId="55090" xr:uid="{00000000-0005-0000-0000-000062D70000}"/>
    <cellStyle name="注释 2 8 3 4 5 2" xfId="55091" xr:uid="{00000000-0005-0000-0000-000063D70000}"/>
    <cellStyle name="注释 2 8 3 4 6" xfId="24146" xr:uid="{00000000-0005-0000-0000-0000825E0000}"/>
    <cellStyle name="注释 2 8 3 5" xfId="55092" xr:uid="{00000000-0005-0000-0000-000064D70000}"/>
    <cellStyle name="注释 2 8 3 5 2" xfId="53426" xr:uid="{00000000-0005-0000-0000-0000E2D00000}"/>
    <cellStyle name="注释 2 8 3 5 2 2" xfId="53428" xr:uid="{00000000-0005-0000-0000-0000E4D00000}"/>
    <cellStyle name="注释 2 8 3 5 3" xfId="55093" xr:uid="{00000000-0005-0000-0000-000065D70000}"/>
    <cellStyle name="注释 2 8 3 5 3 2" xfId="55094" xr:uid="{00000000-0005-0000-0000-000066D70000}"/>
    <cellStyle name="注释 2 8 3 5 4" xfId="51872" xr:uid="{00000000-0005-0000-0000-0000D0CA0000}"/>
    <cellStyle name="注释 2 8 3 5 4 2" xfId="55095" xr:uid="{00000000-0005-0000-0000-000067D70000}"/>
    <cellStyle name="注释 2 8 3 5 5" xfId="55096" xr:uid="{00000000-0005-0000-0000-000068D70000}"/>
    <cellStyle name="注释 2 8 3 5 5 2" xfId="55097" xr:uid="{00000000-0005-0000-0000-000069D70000}"/>
    <cellStyle name="注释 2 8 3 5 6" xfId="24152" xr:uid="{00000000-0005-0000-0000-0000885E0000}"/>
    <cellStyle name="注释 2 8 3 6" xfId="13591" xr:uid="{00000000-0005-0000-0000-000047350000}"/>
    <cellStyle name="注释 2 8 3 6 2" xfId="53452" xr:uid="{00000000-0005-0000-0000-0000FCD00000}"/>
    <cellStyle name="注释 2 8 3 6 2 2" xfId="53454" xr:uid="{00000000-0005-0000-0000-0000FED00000}"/>
    <cellStyle name="注释 2 8 3 6 3" xfId="55098" xr:uid="{00000000-0005-0000-0000-00006AD70000}"/>
    <cellStyle name="注释 2 8 3 6 3 2" xfId="55099" xr:uid="{00000000-0005-0000-0000-00006BD70000}"/>
    <cellStyle name="注释 2 8 3 6 4" xfId="55100" xr:uid="{00000000-0005-0000-0000-00006CD70000}"/>
    <cellStyle name="注释 2 8 3 6 4 2" xfId="55101" xr:uid="{00000000-0005-0000-0000-00006DD70000}"/>
    <cellStyle name="注释 2 8 3 6 5" xfId="55102" xr:uid="{00000000-0005-0000-0000-00006ED70000}"/>
    <cellStyle name="注释 2 8 3 6 5 2" xfId="55103" xr:uid="{00000000-0005-0000-0000-00006FD70000}"/>
    <cellStyle name="注释 2 8 3 6 6" xfId="24155" xr:uid="{00000000-0005-0000-0000-00008B5E0000}"/>
    <cellStyle name="注释 2 8 3 7" xfId="55104" xr:uid="{00000000-0005-0000-0000-000070D70000}"/>
    <cellStyle name="注释 2 8 3 7 2" xfId="53476" xr:uid="{00000000-0005-0000-0000-000014D10000}"/>
    <cellStyle name="注释 2 8 3 7 2 2" xfId="41097" xr:uid="{00000000-0005-0000-0000-0000B9A00000}"/>
    <cellStyle name="注释 2 8 3 7 3" xfId="38279" xr:uid="{00000000-0005-0000-0000-0000B7950000}"/>
    <cellStyle name="注释 2 8 3 7 3 2" xfId="41101" xr:uid="{00000000-0005-0000-0000-0000BDA00000}"/>
    <cellStyle name="注释 2 8 3 7 4" xfId="51909" xr:uid="{00000000-0005-0000-0000-0000F5CA0000}"/>
    <cellStyle name="注释 2 8 3 7 4 2" xfId="38598" xr:uid="{00000000-0005-0000-0000-0000F6960000}"/>
    <cellStyle name="注释 2 8 3 7 5" xfId="51911" xr:uid="{00000000-0005-0000-0000-0000F7CA0000}"/>
    <cellStyle name="注释 2 8 3 7 5 2" xfId="41109" xr:uid="{00000000-0005-0000-0000-0000C5A00000}"/>
    <cellStyle name="注释 2 8 3 7 6" xfId="24159" xr:uid="{00000000-0005-0000-0000-00008F5E0000}"/>
    <cellStyle name="注释 2 8 3 8" xfId="55105" xr:uid="{00000000-0005-0000-0000-000071D70000}"/>
    <cellStyle name="注释 2 8 3 8 2" xfId="53495" xr:uid="{00000000-0005-0000-0000-000027D10000}"/>
    <cellStyle name="注释 2 8 3 8 2 2" xfId="41141" xr:uid="{00000000-0005-0000-0000-0000E5A00000}"/>
    <cellStyle name="注释 2 8 3 8 3" xfId="38282" xr:uid="{00000000-0005-0000-0000-0000BA950000}"/>
    <cellStyle name="注释 2 8 3 8 3 2" xfId="41147" xr:uid="{00000000-0005-0000-0000-0000EBA00000}"/>
    <cellStyle name="注释 2 8 3 8 4" xfId="55106" xr:uid="{00000000-0005-0000-0000-000072D70000}"/>
    <cellStyle name="注释 2 8 3 8 4 2" xfId="41153" xr:uid="{00000000-0005-0000-0000-0000F1A00000}"/>
    <cellStyle name="注释 2 8 3 8 5" xfId="55107" xr:uid="{00000000-0005-0000-0000-000073D70000}"/>
    <cellStyle name="注释 2 8 3 9" xfId="55108" xr:uid="{00000000-0005-0000-0000-000074D70000}"/>
    <cellStyle name="注释 2 8 3 9 2" xfId="51122" xr:uid="{00000000-0005-0000-0000-0000E2C70000}"/>
    <cellStyle name="注释 2 8 4" xfId="39983" xr:uid="{00000000-0005-0000-0000-00005F9C0000}"/>
    <cellStyle name="注释 2 8 4 10" xfId="44902" xr:uid="{00000000-0005-0000-0000-000096AF0000}"/>
    <cellStyle name="注释 2 8 4 10 2" xfId="43933" xr:uid="{00000000-0005-0000-0000-0000CDAB0000}"/>
    <cellStyle name="注释 2 8 4 11" xfId="55110" xr:uid="{00000000-0005-0000-0000-000076D70000}"/>
    <cellStyle name="注释 2 8 4 11 2" xfId="43945" xr:uid="{00000000-0005-0000-0000-0000D9AB0000}"/>
    <cellStyle name="注释 2 8 4 12" xfId="33509" xr:uid="{00000000-0005-0000-0000-000015830000}"/>
    <cellStyle name="注释 2 8 4 12 2" xfId="55111" xr:uid="{00000000-0005-0000-0000-000077D70000}"/>
    <cellStyle name="注释 2 8 4 13" xfId="55112" xr:uid="{00000000-0005-0000-0000-000078D70000}"/>
    <cellStyle name="注释 2 8 4 14" xfId="45684" xr:uid="{00000000-0005-0000-0000-0000A4B20000}"/>
    <cellStyle name="注释 2 8 4 15" xfId="55113" xr:uid="{00000000-0005-0000-0000-000079D70000}"/>
    <cellStyle name="注释 2 8 4 16" xfId="6626" xr:uid="{00000000-0005-0000-0000-0000121A0000}"/>
    <cellStyle name="注释 2 8 4 2" xfId="39985" xr:uid="{00000000-0005-0000-0000-0000619C0000}"/>
    <cellStyle name="注释 2 8 4 2 2" xfId="53672" xr:uid="{00000000-0005-0000-0000-0000D8D10000}"/>
    <cellStyle name="注释 2 8 4 2 2 2" xfId="27809" xr:uid="{00000000-0005-0000-0000-0000D16C0000}"/>
    <cellStyle name="注释 2 8 4 2 3" xfId="52105" xr:uid="{00000000-0005-0000-0000-0000B9CB0000}"/>
    <cellStyle name="注释 2 8 4 2 3 2" xfId="44984" xr:uid="{00000000-0005-0000-0000-0000E8AF0000}"/>
    <cellStyle name="注释 2 8 4 2 4" xfId="51878" xr:uid="{00000000-0005-0000-0000-0000D6CA0000}"/>
    <cellStyle name="注释 2 8 4 2 4 2" xfId="45047" xr:uid="{00000000-0005-0000-0000-000027B00000}"/>
    <cellStyle name="注释 2 8 4 2 5" xfId="52107" xr:uid="{00000000-0005-0000-0000-0000BBCB0000}"/>
    <cellStyle name="注释 2 8 4 2 5 2" xfId="3978" xr:uid="{00000000-0005-0000-0000-0000BA0F0000}"/>
    <cellStyle name="注释 2 8 4 2 6" xfId="33764" xr:uid="{00000000-0005-0000-0000-000014840000}"/>
    <cellStyle name="注释 2 8 4 2 7" xfId="52110" xr:uid="{00000000-0005-0000-0000-0000BECB0000}"/>
    <cellStyle name="注释 2 8 4 2 8" xfId="15413" xr:uid="{00000000-0005-0000-0000-0000653C0000}"/>
    <cellStyle name="注释 2 8 4 2 9" xfId="52112" xr:uid="{00000000-0005-0000-0000-0000C0CB0000}"/>
    <cellStyle name="注释 2 8 4 3" xfId="51315" xr:uid="{00000000-0005-0000-0000-0000A3C80000}"/>
    <cellStyle name="注释 2 8 4 3 2" xfId="51318" xr:uid="{00000000-0005-0000-0000-0000A6C80000}"/>
    <cellStyle name="注释 2 8 4 3 2 2" xfId="29504" xr:uid="{00000000-0005-0000-0000-000070730000}"/>
    <cellStyle name="注释 2 8 4 3 3" xfId="55114" xr:uid="{00000000-0005-0000-0000-00007AD70000}"/>
    <cellStyle name="注释 2 8 4 3 3 2" xfId="45389" xr:uid="{00000000-0005-0000-0000-00007DB10000}"/>
    <cellStyle name="注释 2 8 4 3 4" xfId="51881" xr:uid="{00000000-0005-0000-0000-0000D9CA0000}"/>
    <cellStyle name="注释 2 8 4 3 4 2" xfId="45397" xr:uid="{00000000-0005-0000-0000-000085B10000}"/>
    <cellStyle name="注释 2 8 4 3 5" xfId="55115" xr:uid="{00000000-0005-0000-0000-00007BD70000}"/>
    <cellStyle name="注释 2 8 4 3 5 2" xfId="45403" xr:uid="{00000000-0005-0000-0000-00008BB10000}"/>
    <cellStyle name="注释 2 8 4 3 6" xfId="33767" xr:uid="{00000000-0005-0000-0000-000017840000}"/>
    <cellStyle name="注释 2 8 4 4" xfId="51320" xr:uid="{00000000-0005-0000-0000-0000A8C80000}"/>
    <cellStyle name="注释 2 8 4 4 2" xfId="51324" xr:uid="{00000000-0005-0000-0000-0000ACC80000}"/>
    <cellStyle name="注释 2 8 4 4 2 2" xfId="53739" xr:uid="{00000000-0005-0000-0000-00001BD20000}"/>
    <cellStyle name="注释 2 8 4 4 3" xfId="55116" xr:uid="{00000000-0005-0000-0000-00007CD70000}"/>
    <cellStyle name="注释 2 8 4 4 3 2" xfId="55117" xr:uid="{00000000-0005-0000-0000-00007DD70000}"/>
    <cellStyle name="注释 2 8 4 4 4" xfId="51884" xr:uid="{00000000-0005-0000-0000-0000DCCA0000}"/>
    <cellStyle name="注释 2 8 4 4 4 2" xfId="55118" xr:uid="{00000000-0005-0000-0000-00007ED70000}"/>
    <cellStyle name="注释 2 8 4 4 5" xfId="55119" xr:uid="{00000000-0005-0000-0000-00007FD70000}"/>
    <cellStyle name="注释 2 8 4 4 5 2" xfId="55120" xr:uid="{00000000-0005-0000-0000-000080D70000}"/>
    <cellStyle name="注释 2 8 4 4 6" xfId="24166" xr:uid="{00000000-0005-0000-0000-0000965E0000}"/>
    <cellStyle name="注释 2 8 4 5" xfId="51326" xr:uid="{00000000-0005-0000-0000-0000AEC80000}"/>
    <cellStyle name="注释 2 8 4 5 2" xfId="51329" xr:uid="{00000000-0005-0000-0000-0000B1C80000}"/>
    <cellStyle name="注释 2 8 4 5 2 2" xfId="53808" xr:uid="{00000000-0005-0000-0000-000060D20000}"/>
    <cellStyle name="注释 2 8 4 5 3" xfId="55121" xr:uid="{00000000-0005-0000-0000-000081D70000}"/>
    <cellStyle name="注释 2 8 4 5 3 2" xfId="55122" xr:uid="{00000000-0005-0000-0000-000082D70000}"/>
    <cellStyle name="注释 2 8 4 5 4" xfId="51887" xr:uid="{00000000-0005-0000-0000-0000DFCA0000}"/>
    <cellStyle name="注释 2 8 4 5 4 2" xfId="55123" xr:uid="{00000000-0005-0000-0000-000083D70000}"/>
    <cellStyle name="注释 2 8 4 5 5" xfId="55124" xr:uid="{00000000-0005-0000-0000-000084D70000}"/>
    <cellStyle name="注释 2 8 4 5 5 2" xfId="55125" xr:uid="{00000000-0005-0000-0000-000085D70000}"/>
    <cellStyle name="注释 2 8 4 5 6" xfId="24172" xr:uid="{00000000-0005-0000-0000-00009C5E0000}"/>
    <cellStyle name="注释 2 8 4 6" xfId="13598" xr:uid="{00000000-0005-0000-0000-00004E350000}"/>
    <cellStyle name="注释 2 8 4 6 2" xfId="28734" xr:uid="{00000000-0005-0000-0000-00006E700000}"/>
    <cellStyle name="注释 2 8 4 6 2 2" xfId="53851" xr:uid="{00000000-0005-0000-0000-00008BD20000}"/>
    <cellStyle name="注释 2 8 4 6 3" xfId="28740" xr:uid="{00000000-0005-0000-0000-000074700000}"/>
    <cellStyle name="注释 2 8 4 6 3 2" xfId="55126" xr:uid="{00000000-0005-0000-0000-000086D70000}"/>
    <cellStyle name="注释 2 8 4 6 4" xfId="28742" xr:uid="{00000000-0005-0000-0000-000076700000}"/>
    <cellStyle name="注释 2 8 4 6 4 2" xfId="55127" xr:uid="{00000000-0005-0000-0000-000087D70000}"/>
    <cellStyle name="注释 2 8 4 6 5" xfId="55128" xr:uid="{00000000-0005-0000-0000-000088D70000}"/>
    <cellStyle name="注释 2 8 4 6 5 2" xfId="55129" xr:uid="{00000000-0005-0000-0000-000089D70000}"/>
    <cellStyle name="注释 2 8 4 6 6" xfId="24175" xr:uid="{00000000-0005-0000-0000-00009F5E0000}"/>
    <cellStyle name="注释 2 8 4 7" xfId="51331" xr:uid="{00000000-0005-0000-0000-0000B3C80000}"/>
    <cellStyle name="注释 2 8 4 7 2" xfId="53897" xr:uid="{00000000-0005-0000-0000-0000B9D20000}"/>
    <cellStyle name="注释 2 8 4 7 2 2" xfId="53899" xr:uid="{00000000-0005-0000-0000-0000BBD20000}"/>
    <cellStyle name="注释 2 8 4 7 3" xfId="38289" xr:uid="{00000000-0005-0000-0000-0000C1950000}"/>
    <cellStyle name="注释 2 8 4 7 3 2" xfId="55130" xr:uid="{00000000-0005-0000-0000-00008AD70000}"/>
    <cellStyle name="注释 2 8 4 7 4" xfId="55131" xr:uid="{00000000-0005-0000-0000-00008BD70000}"/>
    <cellStyle name="注释 2 8 4 7 4 2" xfId="55132" xr:uid="{00000000-0005-0000-0000-00008CD70000}"/>
    <cellStyle name="注释 2 8 4 7 5" xfId="55133" xr:uid="{00000000-0005-0000-0000-00008DD70000}"/>
    <cellStyle name="注释 2 8 4 7 5 2" xfId="6517" xr:uid="{00000000-0005-0000-0000-0000A5190000}"/>
    <cellStyle name="注释 2 8 4 7 6" xfId="24179" xr:uid="{00000000-0005-0000-0000-0000A35E0000}"/>
    <cellStyle name="注释 2 8 4 8" xfId="45441" xr:uid="{00000000-0005-0000-0000-0000B1B10000}"/>
    <cellStyle name="注释 2 8 4 8 2" xfId="45611" xr:uid="{00000000-0005-0000-0000-00005BB20000}"/>
    <cellStyle name="注释 2 8 4 8 2 2" xfId="30667" xr:uid="{00000000-0005-0000-0000-0000FB770000}"/>
    <cellStyle name="注释 2 8 4 8 3" xfId="38293" xr:uid="{00000000-0005-0000-0000-0000C5950000}"/>
    <cellStyle name="注释 2 8 4 8 3 2" xfId="45681" xr:uid="{00000000-0005-0000-0000-0000A1B20000}"/>
    <cellStyle name="注释 2 8 4 8 4" xfId="45736" xr:uid="{00000000-0005-0000-0000-0000D8B20000}"/>
    <cellStyle name="注释 2 8 4 8 4 2" xfId="45740" xr:uid="{00000000-0005-0000-0000-0000DCB20000}"/>
    <cellStyle name="注释 2 8 4 8 5" xfId="45784" xr:uid="{00000000-0005-0000-0000-000008B30000}"/>
    <cellStyle name="注释 2 8 4 9" xfId="45929" xr:uid="{00000000-0005-0000-0000-000099B30000}"/>
    <cellStyle name="注释 2 8 4 9 2" xfId="46160" xr:uid="{00000000-0005-0000-0000-000080B40000}"/>
    <cellStyle name="注释 2 8 5" xfId="39987" xr:uid="{00000000-0005-0000-0000-0000639C0000}"/>
    <cellStyle name="注释 2 8 5 10" xfId="28500" xr:uid="{00000000-0005-0000-0000-0000846F0000}"/>
    <cellStyle name="注释 2 8 5 10 2" xfId="55134" xr:uid="{00000000-0005-0000-0000-00008ED70000}"/>
    <cellStyle name="注释 2 8 5 11" xfId="19523" xr:uid="{00000000-0005-0000-0000-0000734C0000}"/>
    <cellStyle name="注释 2 8 5 11 2" xfId="54224" xr:uid="{00000000-0005-0000-0000-000000D40000}"/>
    <cellStyle name="注释 2 8 5 12" xfId="55135" xr:uid="{00000000-0005-0000-0000-00008FD70000}"/>
    <cellStyle name="注释 2 8 5 12 2" xfId="55136" xr:uid="{00000000-0005-0000-0000-000090D70000}"/>
    <cellStyle name="注释 2 8 5 13" xfId="22895" xr:uid="{00000000-0005-0000-0000-00009F590000}"/>
    <cellStyle name="注释 2 8 5 14" xfId="16957" xr:uid="{00000000-0005-0000-0000-00006D420000}"/>
    <cellStyle name="注释 2 8 5 15" xfId="44634" xr:uid="{00000000-0005-0000-0000-00008AAE0000}"/>
    <cellStyle name="注释 2 8 5 16" xfId="36174" xr:uid="{00000000-0005-0000-0000-00007E8D0000}"/>
    <cellStyle name="注释 2 8 5 2" xfId="39989" xr:uid="{00000000-0005-0000-0000-0000659C0000}"/>
    <cellStyle name="注释 2 8 5 2 2" xfId="54170" xr:uid="{00000000-0005-0000-0000-0000CAD30000}"/>
    <cellStyle name="注释 2 8 5 2 2 2" xfId="28671" xr:uid="{00000000-0005-0000-0000-00002F700000}"/>
    <cellStyle name="注释 2 8 5 2 3" xfId="55137" xr:uid="{00000000-0005-0000-0000-000091D70000}"/>
    <cellStyle name="注释 2 8 5 2 3 2" xfId="55138" xr:uid="{00000000-0005-0000-0000-000092D70000}"/>
    <cellStyle name="注释 2 8 5 2 4" xfId="51892" xr:uid="{00000000-0005-0000-0000-0000E4CA0000}"/>
    <cellStyle name="注释 2 8 5 2 4 2" xfId="55139" xr:uid="{00000000-0005-0000-0000-000093D70000}"/>
    <cellStyle name="注释 2 8 5 2 5" xfId="55140" xr:uid="{00000000-0005-0000-0000-000094D70000}"/>
    <cellStyle name="注释 2 8 5 2 5 2" xfId="55141" xr:uid="{00000000-0005-0000-0000-000095D70000}"/>
    <cellStyle name="注释 2 8 5 2 6" xfId="33771" xr:uid="{00000000-0005-0000-0000-00001B840000}"/>
    <cellStyle name="注释 2 8 5 2 7" xfId="55142" xr:uid="{00000000-0005-0000-0000-000096D70000}"/>
    <cellStyle name="注释 2 8 5 2 8" xfId="42108" xr:uid="{00000000-0005-0000-0000-0000ACA40000}"/>
    <cellStyle name="注释 2 8 5 2 9" xfId="42111" xr:uid="{00000000-0005-0000-0000-0000AFA40000}"/>
    <cellStyle name="注释 2 8 5 3" xfId="55143" xr:uid="{00000000-0005-0000-0000-000097D70000}"/>
    <cellStyle name="注释 2 8 5 3 2" xfId="54215" xr:uid="{00000000-0005-0000-0000-0000F7D30000}"/>
    <cellStyle name="注释 2 8 5 3 2 2" xfId="54217" xr:uid="{00000000-0005-0000-0000-0000F9D30000}"/>
    <cellStyle name="注释 2 8 5 3 3" xfId="48239" xr:uid="{00000000-0005-0000-0000-00009FBC0000}"/>
    <cellStyle name="注释 2 8 5 3 3 2" xfId="55144" xr:uid="{00000000-0005-0000-0000-000098D70000}"/>
    <cellStyle name="注释 2 8 5 3 4" xfId="51894" xr:uid="{00000000-0005-0000-0000-0000E6CA0000}"/>
    <cellStyle name="注释 2 8 5 3 4 2" xfId="55145" xr:uid="{00000000-0005-0000-0000-000099D70000}"/>
    <cellStyle name="注释 2 8 5 3 5" xfId="55146" xr:uid="{00000000-0005-0000-0000-00009AD70000}"/>
    <cellStyle name="注释 2 8 5 3 5 2" xfId="55147" xr:uid="{00000000-0005-0000-0000-00009BD70000}"/>
    <cellStyle name="注释 2 8 5 3 6" xfId="33774" xr:uid="{00000000-0005-0000-0000-00001E840000}"/>
    <cellStyle name="注释 2 8 5 4" xfId="55148" xr:uid="{00000000-0005-0000-0000-00009CD70000}"/>
    <cellStyle name="注释 2 8 5 4 2" xfId="54262" xr:uid="{00000000-0005-0000-0000-000026D40000}"/>
    <cellStyle name="注释 2 8 5 4 2 2" xfId="54264" xr:uid="{00000000-0005-0000-0000-000028D40000}"/>
    <cellStyle name="注释 2 8 5 4 3" xfId="48242" xr:uid="{00000000-0005-0000-0000-0000A2BC0000}"/>
    <cellStyle name="注释 2 8 5 4 3 2" xfId="55150" xr:uid="{00000000-0005-0000-0000-00009ED70000}"/>
    <cellStyle name="注释 2 8 5 4 4" xfId="51897" xr:uid="{00000000-0005-0000-0000-0000E9CA0000}"/>
    <cellStyle name="注释 2 8 5 4 4 2" xfId="55151" xr:uid="{00000000-0005-0000-0000-00009FD70000}"/>
    <cellStyle name="注释 2 8 5 4 5" xfId="55152" xr:uid="{00000000-0005-0000-0000-0000A0D70000}"/>
    <cellStyle name="注释 2 8 5 4 5 2" xfId="55153" xr:uid="{00000000-0005-0000-0000-0000A1D70000}"/>
    <cellStyle name="注释 2 8 5 4 6" xfId="24184" xr:uid="{00000000-0005-0000-0000-0000A85E0000}"/>
    <cellStyle name="注释 2 8 5 5" xfId="55154" xr:uid="{00000000-0005-0000-0000-0000A2D70000}"/>
    <cellStyle name="注释 2 8 5 5 2" xfId="54302" xr:uid="{00000000-0005-0000-0000-00004ED40000}"/>
    <cellStyle name="注释 2 8 5 5 2 2" xfId="54304" xr:uid="{00000000-0005-0000-0000-000050D40000}"/>
    <cellStyle name="注释 2 8 5 5 3" xfId="48246" xr:uid="{00000000-0005-0000-0000-0000A6BC0000}"/>
    <cellStyle name="注释 2 8 5 5 3 2" xfId="55155" xr:uid="{00000000-0005-0000-0000-0000A3D70000}"/>
    <cellStyle name="注释 2 8 5 5 4" xfId="51899" xr:uid="{00000000-0005-0000-0000-0000EBCA0000}"/>
    <cellStyle name="注释 2 8 5 5 4 2" xfId="55156" xr:uid="{00000000-0005-0000-0000-0000A4D70000}"/>
    <cellStyle name="注释 2 8 5 5 5" xfId="55157" xr:uid="{00000000-0005-0000-0000-0000A5D70000}"/>
    <cellStyle name="注释 2 8 5 5 5 2" xfId="55158" xr:uid="{00000000-0005-0000-0000-0000A6D70000}"/>
    <cellStyle name="注释 2 8 5 5 6" xfId="24190" xr:uid="{00000000-0005-0000-0000-0000AE5E0000}"/>
    <cellStyle name="注释 2 8 5 6" xfId="13606" xr:uid="{00000000-0005-0000-0000-000056350000}"/>
    <cellStyle name="注释 2 8 5 6 2" xfId="54321" xr:uid="{00000000-0005-0000-0000-000061D40000}"/>
    <cellStyle name="注释 2 8 5 6 2 2" xfId="54323" xr:uid="{00000000-0005-0000-0000-000063D40000}"/>
    <cellStyle name="注释 2 8 5 6 3" xfId="48250" xr:uid="{00000000-0005-0000-0000-0000AABC0000}"/>
    <cellStyle name="注释 2 8 5 6 3 2" xfId="55159" xr:uid="{00000000-0005-0000-0000-0000A7D70000}"/>
    <cellStyle name="注释 2 8 5 6 4" xfId="55160" xr:uid="{00000000-0005-0000-0000-0000A8D70000}"/>
    <cellStyle name="注释 2 8 5 6 4 2" xfId="55161" xr:uid="{00000000-0005-0000-0000-0000A9D70000}"/>
    <cellStyle name="注释 2 8 5 6 5" xfId="55162" xr:uid="{00000000-0005-0000-0000-0000AAD70000}"/>
    <cellStyle name="注释 2 8 5 6 5 2" xfId="55163" xr:uid="{00000000-0005-0000-0000-0000ABD70000}"/>
    <cellStyle name="注释 2 8 5 6 6" xfId="24193" xr:uid="{00000000-0005-0000-0000-0000B15E0000}"/>
    <cellStyle name="注释 2 8 5 7" xfId="55164" xr:uid="{00000000-0005-0000-0000-0000ACD70000}"/>
    <cellStyle name="注释 2 8 5 7 2" xfId="54355" xr:uid="{00000000-0005-0000-0000-000083D40000}"/>
    <cellStyle name="注释 2 8 5 7 2 2" xfId="54357" xr:uid="{00000000-0005-0000-0000-000085D40000}"/>
    <cellStyle name="注释 2 8 5 7 3" xfId="38304" xr:uid="{00000000-0005-0000-0000-0000D0950000}"/>
    <cellStyle name="注释 2 8 5 7 3 2" xfId="55165" xr:uid="{00000000-0005-0000-0000-0000ADD70000}"/>
    <cellStyle name="注释 2 8 5 7 4" xfId="55166" xr:uid="{00000000-0005-0000-0000-0000AED70000}"/>
    <cellStyle name="注释 2 8 5 7 4 2" xfId="55167" xr:uid="{00000000-0005-0000-0000-0000AFD70000}"/>
    <cellStyle name="注释 2 8 5 7 5" xfId="55168" xr:uid="{00000000-0005-0000-0000-0000B0D70000}"/>
    <cellStyle name="注释 2 8 5 7 5 2" xfId="55169" xr:uid="{00000000-0005-0000-0000-0000B1D70000}"/>
    <cellStyle name="注释 2 8 5 7 6" xfId="55170" xr:uid="{00000000-0005-0000-0000-0000B2D70000}"/>
    <cellStyle name="注释 2 8 5 8" xfId="55171" xr:uid="{00000000-0005-0000-0000-0000B3D70000}"/>
    <cellStyle name="注释 2 8 5 8 2" xfId="54382" xr:uid="{00000000-0005-0000-0000-00009ED40000}"/>
    <cellStyle name="注释 2 8 5 8 2 2" xfId="48058" xr:uid="{00000000-0005-0000-0000-0000EABB0000}"/>
    <cellStyle name="注释 2 8 5 8 3" xfId="38308" xr:uid="{00000000-0005-0000-0000-0000D4950000}"/>
    <cellStyle name="注释 2 8 5 8 3 2" xfId="55172" xr:uid="{00000000-0005-0000-0000-0000B4D70000}"/>
    <cellStyle name="注释 2 8 5 8 4" xfId="55173" xr:uid="{00000000-0005-0000-0000-0000B5D70000}"/>
    <cellStyle name="注释 2 8 5 8 4 2" xfId="55174" xr:uid="{00000000-0005-0000-0000-0000B6D70000}"/>
    <cellStyle name="注释 2 8 5 8 5" xfId="55175" xr:uid="{00000000-0005-0000-0000-0000B7D70000}"/>
    <cellStyle name="注释 2 8 5 9" xfId="55176" xr:uid="{00000000-0005-0000-0000-0000B8D70000}"/>
    <cellStyle name="注释 2 8 5 9 2" xfId="54411" xr:uid="{00000000-0005-0000-0000-0000BBD40000}"/>
    <cellStyle name="注释 2 8 6" xfId="39992" xr:uid="{00000000-0005-0000-0000-0000689C0000}"/>
    <cellStyle name="注释 2 8 6 10" xfId="55178" xr:uid="{00000000-0005-0000-0000-0000BAD70000}"/>
    <cellStyle name="注释 2 8 6 10 2" xfId="55179" xr:uid="{00000000-0005-0000-0000-0000BBD70000}"/>
    <cellStyle name="注释 2 8 6 11" xfId="46481" xr:uid="{00000000-0005-0000-0000-0000C1B50000}"/>
    <cellStyle name="注释 2 8 6 11 2" xfId="46484" xr:uid="{00000000-0005-0000-0000-0000C4B50000}"/>
    <cellStyle name="注释 2 8 6 12" xfId="21569" xr:uid="{00000000-0005-0000-0000-000071540000}"/>
    <cellStyle name="注释 2 8 6 12 2" xfId="46486" xr:uid="{00000000-0005-0000-0000-0000C6B50000}"/>
    <cellStyle name="注释 2 8 6 13" xfId="46488" xr:uid="{00000000-0005-0000-0000-0000C8B50000}"/>
    <cellStyle name="注释 2 8 6 14" xfId="12642" xr:uid="{00000000-0005-0000-0000-000092310000}"/>
    <cellStyle name="注释 2 8 6 15" xfId="46492" xr:uid="{00000000-0005-0000-0000-0000CCB50000}"/>
    <cellStyle name="注释 2 8 6 16" xfId="18700" xr:uid="{00000000-0005-0000-0000-00003C490000}"/>
    <cellStyle name="注释 2 8 6 2" xfId="39995" xr:uid="{00000000-0005-0000-0000-00006B9C0000}"/>
    <cellStyle name="注释 2 8 6 2 2" xfId="54542" xr:uid="{00000000-0005-0000-0000-00003ED50000}"/>
    <cellStyle name="注释 2 8 6 2 2 2" xfId="29319" xr:uid="{00000000-0005-0000-0000-0000B7720000}"/>
    <cellStyle name="注释 2 8 6 2 3" xfId="55180" xr:uid="{00000000-0005-0000-0000-0000BCD70000}"/>
    <cellStyle name="注释 2 8 6 2 3 2" xfId="55181" xr:uid="{00000000-0005-0000-0000-0000BDD70000}"/>
    <cellStyle name="注释 2 8 6 2 4" xfId="51902" xr:uid="{00000000-0005-0000-0000-0000EECA0000}"/>
    <cellStyle name="注释 2 8 6 2 4 2" xfId="55182" xr:uid="{00000000-0005-0000-0000-0000BED70000}"/>
    <cellStyle name="注释 2 8 6 2 5" xfId="55183" xr:uid="{00000000-0005-0000-0000-0000BFD70000}"/>
    <cellStyle name="注释 2 8 6 2 5 2" xfId="55184" xr:uid="{00000000-0005-0000-0000-0000C0D70000}"/>
    <cellStyle name="注释 2 8 6 2 6" xfId="14204" xr:uid="{00000000-0005-0000-0000-0000AC370000}"/>
    <cellStyle name="注释 2 8 6 2 7" xfId="55185" xr:uid="{00000000-0005-0000-0000-0000C1D70000}"/>
    <cellStyle name="注释 2 8 6 2 8" xfId="55186" xr:uid="{00000000-0005-0000-0000-0000C2D70000}"/>
    <cellStyle name="注释 2 8 6 2 9" xfId="53743" xr:uid="{00000000-0005-0000-0000-00001FD20000}"/>
    <cellStyle name="注释 2 8 6 3" xfId="16298" xr:uid="{00000000-0005-0000-0000-0000DA3F0000}"/>
    <cellStyle name="注释 2 8 6 3 2" xfId="54601" xr:uid="{00000000-0005-0000-0000-000079D50000}"/>
    <cellStyle name="注释 2 8 6 3 2 2" xfId="54603" xr:uid="{00000000-0005-0000-0000-00007BD50000}"/>
    <cellStyle name="注释 2 8 6 3 3" xfId="48253" xr:uid="{00000000-0005-0000-0000-0000ADBC0000}"/>
    <cellStyle name="注释 2 8 6 3 3 2" xfId="55187" xr:uid="{00000000-0005-0000-0000-0000C3D70000}"/>
    <cellStyle name="注释 2 8 6 3 4" xfId="51904" xr:uid="{00000000-0005-0000-0000-0000F0CA0000}"/>
    <cellStyle name="注释 2 8 6 3 4 2" xfId="55188" xr:uid="{00000000-0005-0000-0000-0000C4D70000}"/>
    <cellStyle name="注释 2 8 6 3 5" xfId="55189" xr:uid="{00000000-0005-0000-0000-0000C5D70000}"/>
    <cellStyle name="注释 2 8 6 3 5 2" xfId="55190" xr:uid="{00000000-0005-0000-0000-0000C6D70000}"/>
    <cellStyle name="注释 2 8 6 3 6" xfId="33781" xr:uid="{00000000-0005-0000-0000-000025840000}"/>
    <cellStyle name="注释 2 8 6 4" xfId="28985" xr:uid="{00000000-0005-0000-0000-000069710000}"/>
    <cellStyle name="注释 2 8 6 4 2" xfId="54669" xr:uid="{00000000-0005-0000-0000-0000BDD50000}"/>
    <cellStyle name="注释 2 8 6 4 2 2" xfId="54671" xr:uid="{00000000-0005-0000-0000-0000BFD50000}"/>
    <cellStyle name="注释 2 8 6 4 3" xfId="48256" xr:uid="{00000000-0005-0000-0000-0000B0BC0000}"/>
    <cellStyle name="注释 2 8 6 4 3 2" xfId="55191" xr:uid="{00000000-0005-0000-0000-0000C7D70000}"/>
    <cellStyle name="注释 2 8 6 4 4" xfId="51907" xr:uid="{00000000-0005-0000-0000-0000F3CA0000}"/>
    <cellStyle name="注释 2 8 6 4 4 2" xfId="55192" xr:uid="{00000000-0005-0000-0000-0000C8D70000}"/>
    <cellStyle name="注释 2 8 6 4 5" xfId="55193" xr:uid="{00000000-0005-0000-0000-0000C9D70000}"/>
    <cellStyle name="注释 2 8 6 4 5 2" xfId="55194" xr:uid="{00000000-0005-0000-0000-0000CAD70000}"/>
    <cellStyle name="注释 2 8 6 4 6" xfId="33783" xr:uid="{00000000-0005-0000-0000-000027840000}"/>
    <cellStyle name="注释 2 8 6 5" xfId="52457" xr:uid="{00000000-0005-0000-0000-000019CD0000}"/>
    <cellStyle name="注释 2 8 6 5 2" xfId="54727" xr:uid="{00000000-0005-0000-0000-0000F7D50000}"/>
    <cellStyle name="注释 2 8 6 5 2 2" xfId="54729" xr:uid="{00000000-0005-0000-0000-0000F9D50000}"/>
    <cellStyle name="注释 2 8 6 5 3" xfId="48260" xr:uid="{00000000-0005-0000-0000-0000B4BC0000}"/>
    <cellStyle name="注释 2 8 6 5 3 2" xfId="55195" xr:uid="{00000000-0005-0000-0000-0000CBD70000}"/>
    <cellStyle name="注释 2 8 6 5 4" xfId="55196" xr:uid="{00000000-0005-0000-0000-0000CCD70000}"/>
    <cellStyle name="注释 2 8 6 5 4 2" xfId="55197" xr:uid="{00000000-0005-0000-0000-0000CDD70000}"/>
    <cellStyle name="注释 2 8 6 5 5" xfId="55198" xr:uid="{00000000-0005-0000-0000-0000CED70000}"/>
    <cellStyle name="注释 2 8 6 5 5 2" xfId="55199" xr:uid="{00000000-0005-0000-0000-0000CFD70000}"/>
    <cellStyle name="注释 2 8 6 5 6" xfId="33787" xr:uid="{00000000-0005-0000-0000-00002B840000}"/>
    <cellStyle name="注释 2 8 6 6" xfId="13613" xr:uid="{00000000-0005-0000-0000-00005D350000}"/>
    <cellStyle name="注释 2 8 6 6 2" xfId="54780" xr:uid="{00000000-0005-0000-0000-00002CD60000}"/>
    <cellStyle name="注释 2 8 6 6 2 2" xfId="54782" xr:uid="{00000000-0005-0000-0000-00002ED60000}"/>
    <cellStyle name="注释 2 8 6 6 3" xfId="48264" xr:uid="{00000000-0005-0000-0000-0000B8BC0000}"/>
    <cellStyle name="注释 2 8 6 6 3 2" xfId="55200" xr:uid="{00000000-0005-0000-0000-0000D0D70000}"/>
    <cellStyle name="注释 2 8 6 6 4" xfId="55201" xr:uid="{00000000-0005-0000-0000-0000D1D70000}"/>
    <cellStyle name="注释 2 8 6 6 4 2" xfId="55202" xr:uid="{00000000-0005-0000-0000-0000D2D70000}"/>
    <cellStyle name="注释 2 8 6 6 5" xfId="55203" xr:uid="{00000000-0005-0000-0000-0000D3D70000}"/>
    <cellStyle name="注释 2 8 6 6 5 2" xfId="55204" xr:uid="{00000000-0005-0000-0000-0000D4D70000}"/>
    <cellStyle name="注释 2 8 6 6 6" xfId="55205" xr:uid="{00000000-0005-0000-0000-0000D5D70000}"/>
    <cellStyle name="注释 2 8 6 7" xfId="55206" xr:uid="{00000000-0005-0000-0000-0000D6D70000}"/>
    <cellStyle name="注释 2 8 6 7 2" xfId="54839" xr:uid="{00000000-0005-0000-0000-000067D60000}"/>
    <cellStyle name="注释 2 8 6 7 2 2" xfId="43610" xr:uid="{00000000-0005-0000-0000-00008AAA0000}"/>
    <cellStyle name="注释 2 8 6 7 3" xfId="38318" xr:uid="{00000000-0005-0000-0000-0000DE950000}"/>
    <cellStyle name="注释 2 8 6 7 3 2" xfId="55207" xr:uid="{00000000-0005-0000-0000-0000D7D70000}"/>
    <cellStyle name="注释 2 8 6 7 4" xfId="55208" xr:uid="{00000000-0005-0000-0000-0000D8D70000}"/>
    <cellStyle name="注释 2 8 6 7 4 2" xfId="55209" xr:uid="{00000000-0005-0000-0000-0000D9D70000}"/>
    <cellStyle name="注释 2 8 6 7 5" xfId="55210" xr:uid="{00000000-0005-0000-0000-0000DAD70000}"/>
    <cellStyle name="注释 2 8 6 7 5 2" xfId="55211" xr:uid="{00000000-0005-0000-0000-0000DBD70000}"/>
    <cellStyle name="注释 2 8 6 7 6" xfId="55212" xr:uid="{00000000-0005-0000-0000-0000DCD70000}"/>
    <cellStyle name="注释 2 8 6 8" xfId="55213" xr:uid="{00000000-0005-0000-0000-0000DDD70000}"/>
    <cellStyle name="注释 2 8 6 8 2" xfId="54864" xr:uid="{00000000-0005-0000-0000-000080D60000}"/>
    <cellStyle name="注释 2 8 6 8 2 2" xfId="4931" xr:uid="{00000000-0005-0000-0000-000073130000}"/>
    <cellStyle name="注释 2 8 6 8 3" xfId="38321" xr:uid="{00000000-0005-0000-0000-0000E1950000}"/>
    <cellStyle name="注释 2 8 6 8 3 2" xfId="55214" xr:uid="{00000000-0005-0000-0000-0000DED70000}"/>
    <cellStyle name="注释 2 8 6 8 4" xfId="55215" xr:uid="{00000000-0005-0000-0000-0000DFD70000}"/>
    <cellStyle name="注释 2 8 6 8 4 2" xfId="55216" xr:uid="{00000000-0005-0000-0000-0000E0D70000}"/>
    <cellStyle name="注释 2 8 6 8 5" xfId="55217" xr:uid="{00000000-0005-0000-0000-0000E1D70000}"/>
    <cellStyle name="注释 2 8 6 9" xfId="55218" xr:uid="{00000000-0005-0000-0000-0000E2D70000}"/>
    <cellStyle name="注释 2 8 6 9 2" xfId="54880" xr:uid="{00000000-0005-0000-0000-000090D60000}"/>
    <cellStyle name="注释 2 8 7" xfId="39998" xr:uid="{00000000-0005-0000-0000-00006E9C0000}"/>
    <cellStyle name="注释 2 8 7 10" xfId="12137" xr:uid="{00000000-0005-0000-0000-0000992F0000}"/>
    <cellStyle name="注释 2 8 7 10 2" xfId="33505" xr:uid="{00000000-0005-0000-0000-000011830000}"/>
    <cellStyle name="注释 2 8 7 11" xfId="33507" xr:uid="{00000000-0005-0000-0000-000013830000}"/>
    <cellStyle name="注释 2 8 7 11 2" xfId="33510" xr:uid="{00000000-0005-0000-0000-000016830000}"/>
    <cellStyle name="注释 2 8 7 12" xfId="33512" xr:uid="{00000000-0005-0000-0000-000018830000}"/>
    <cellStyle name="注释 2 8 7 12 2" xfId="33514" xr:uid="{00000000-0005-0000-0000-00001A830000}"/>
    <cellStyle name="注释 2 8 7 13" xfId="33516" xr:uid="{00000000-0005-0000-0000-00001C830000}"/>
    <cellStyle name="注释 2 8 7 14" xfId="32959" xr:uid="{00000000-0005-0000-0000-0000EF800000}"/>
    <cellStyle name="注释 2 8 7 15" xfId="55220" xr:uid="{00000000-0005-0000-0000-0000E4D70000}"/>
    <cellStyle name="注释 2 8 7 16" xfId="55221" xr:uid="{00000000-0005-0000-0000-0000E5D70000}"/>
    <cellStyle name="注释 2 8 7 2" xfId="40002" xr:uid="{00000000-0005-0000-0000-0000729C0000}"/>
    <cellStyle name="注释 2 8 7 2 2" xfId="55072" xr:uid="{00000000-0005-0000-0000-000050D70000}"/>
    <cellStyle name="注释 2 8 7 2 2 2" xfId="30502" xr:uid="{00000000-0005-0000-0000-000056770000}"/>
    <cellStyle name="注释 2 8 7 2 3" xfId="55222" xr:uid="{00000000-0005-0000-0000-0000E6D70000}"/>
    <cellStyle name="注释 2 8 7 2 3 2" xfId="55223" xr:uid="{00000000-0005-0000-0000-0000E7D70000}"/>
    <cellStyle name="注释 2 8 7 2 4" xfId="15220" xr:uid="{00000000-0005-0000-0000-0000A43B0000}"/>
    <cellStyle name="注释 2 8 7 2 4 2" xfId="55224" xr:uid="{00000000-0005-0000-0000-0000E8D70000}"/>
    <cellStyle name="注释 2 8 7 2 5" xfId="55225" xr:uid="{00000000-0005-0000-0000-0000E9D70000}"/>
    <cellStyle name="注释 2 8 7 2 5 2" xfId="55226" xr:uid="{00000000-0005-0000-0000-0000EAD70000}"/>
    <cellStyle name="注释 2 8 7 2 6" xfId="15239" xr:uid="{00000000-0005-0000-0000-0000B73B0000}"/>
    <cellStyle name="注释 2 8 7 2 7" xfId="55227" xr:uid="{00000000-0005-0000-0000-0000EBD70000}"/>
    <cellStyle name="注释 2 8 7 2 8" xfId="55228" xr:uid="{00000000-0005-0000-0000-0000ECD70000}"/>
    <cellStyle name="注释 2 8 7 2 9" xfId="52239" xr:uid="{00000000-0005-0000-0000-00003FCC0000}"/>
    <cellStyle name="注释 2 8 7 3" xfId="33871" xr:uid="{00000000-0005-0000-0000-00007F840000}"/>
    <cellStyle name="注释 2 8 7 3 2" xfId="55109" xr:uid="{00000000-0005-0000-0000-000075D70000}"/>
    <cellStyle name="注释 2 8 7 3 2 2" xfId="51123" xr:uid="{00000000-0005-0000-0000-0000E3C70000}"/>
    <cellStyle name="注释 2 8 7 3 3" xfId="48267" xr:uid="{00000000-0005-0000-0000-0000BBBC0000}"/>
    <cellStyle name="注释 2 8 7 3 3 2" xfId="55229" xr:uid="{00000000-0005-0000-0000-0000EDD70000}"/>
    <cellStyle name="注释 2 8 7 3 4" xfId="36448" xr:uid="{00000000-0005-0000-0000-0000908E0000}"/>
    <cellStyle name="注释 2 8 7 3 4 2" xfId="55230" xr:uid="{00000000-0005-0000-0000-0000EED70000}"/>
    <cellStyle name="注释 2 8 7 3 5" xfId="55231" xr:uid="{00000000-0005-0000-0000-0000EFD70000}"/>
    <cellStyle name="注释 2 8 7 3 5 2" xfId="55232" xr:uid="{00000000-0005-0000-0000-0000F0D70000}"/>
    <cellStyle name="注释 2 8 7 3 6" xfId="33795" xr:uid="{00000000-0005-0000-0000-000033840000}"/>
    <cellStyle name="注释 2 8 7 4" xfId="28987" xr:uid="{00000000-0005-0000-0000-00006B710000}"/>
    <cellStyle name="注释 2 8 7 4 2" xfId="45930" xr:uid="{00000000-0005-0000-0000-00009AB30000}"/>
    <cellStyle name="注释 2 8 7 4 2 2" xfId="46161" xr:uid="{00000000-0005-0000-0000-000081B40000}"/>
    <cellStyle name="注释 2 8 7 4 3" xfId="46633" xr:uid="{00000000-0005-0000-0000-000059B60000}"/>
    <cellStyle name="注释 2 8 7 4 3 2" xfId="46852" xr:uid="{00000000-0005-0000-0000-000034B70000}"/>
    <cellStyle name="注释 2 8 7 4 4" xfId="36452" xr:uid="{00000000-0005-0000-0000-0000948E0000}"/>
    <cellStyle name="注释 2 8 7 4 4 2" xfId="47501" xr:uid="{00000000-0005-0000-0000-0000BDB90000}"/>
    <cellStyle name="注释 2 8 7 4 5" xfId="47929" xr:uid="{00000000-0005-0000-0000-000069BB0000}"/>
    <cellStyle name="注释 2 8 7 4 5 2" xfId="48062" xr:uid="{00000000-0005-0000-0000-0000EEBB0000}"/>
    <cellStyle name="注释 2 8 7 4 6" xfId="33799" xr:uid="{00000000-0005-0000-0000-000037840000}"/>
    <cellStyle name="注释 2 8 7 5" xfId="52459" xr:uid="{00000000-0005-0000-0000-00001BCD0000}"/>
    <cellStyle name="注释 2 8 7 5 2" xfId="55177" xr:uid="{00000000-0005-0000-0000-0000B9D70000}"/>
    <cellStyle name="注释 2 8 7 5 2 2" xfId="54412" xr:uid="{00000000-0005-0000-0000-0000BCD40000}"/>
    <cellStyle name="注释 2 8 7 5 3" xfId="48271" xr:uid="{00000000-0005-0000-0000-0000BFBC0000}"/>
    <cellStyle name="注释 2 8 7 5 3 2" xfId="55233" xr:uid="{00000000-0005-0000-0000-0000F1D70000}"/>
    <cellStyle name="注释 2 8 7 5 4" xfId="55234" xr:uid="{00000000-0005-0000-0000-0000F2D70000}"/>
    <cellStyle name="注释 2 8 7 5 4 2" xfId="55235" xr:uid="{00000000-0005-0000-0000-0000F3D70000}"/>
    <cellStyle name="注释 2 8 7 5 5" xfId="55236" xr:uid="{00000000-0005-0000-0000-0000F4D70000}"/>
    <cellStyle name="注释 2 8 7 5 5 2" xfId="55237" xr:uid="{00000000-0005-0000-0000-0000F5D70000}"/>
    <cellStyle name="注释 2 8 7 5 6" xfId="33803" xr:uid="{00000000-0005-0000-0000-00003B840000}"/>
    <cellStyle name="注释 2 8 7 6" xfId="55238" xr:uid="{00000000-0005-0000-0000-0000F6D70000}"/>
    <cellStyle name="注释 2 8 7 6 2" xfId="55219" xr:uid="{00000000-0005-0000-0000-0000E3D70000}"/>
    <cellStyle name="注释 2 8 7 6 2 2" xfId="54881" xr:uid="{00000000-0005-0000-0000-000091D60000}"/>
    <cellStyle name="注释 2 8 7 6 3" xfId="48275" xr:uid="{00000000-0005-0000-0000-0000C3BC0000}"/>
    <cellStyle name="注释 2 8 7 6 3 2" xfId="55239" xr:uid="{00000000-0005-0000-0000-0000F7D70000}"/>
    <cellStyle name="注释 2 8 7 6 4" xfId="55240" xr:uid="{00000000-0005-0000-0000-0000F8D70000}"/>
    <cellStyle name="注释 2 8 7 6 4 2" xfId="55241" xr:uid="{00000000-0005-0000-0000-0000F9D70000}"/>
    <cellStyle name="注释 2 8 7 6 5" xfId="55242" xr:uid="{00000000-0005-0000-0000-0000FAD70000}"/>
    <cellStyle name="注释 2 8 7 6 5 2" xfId="55243" xr:uid="{00000000-0005-0000-0000-0000FBD70000}"/>
    <cellStyle name="注释 2 8 7 6 6" xfId="55244" xr:uid="{00000000-0005-0000-0000-0000FCD70000}"/>
    <cellStyle name="注释 2 8 7 7" xfId="55245" xr:uid="{00000000-0005-0000-0000-0000FDD70000}"/>
    <cellStyle name="注释 2 8 7 7 2" xfId="55246" xr:uid="{00000000-0005-0000-0000-0000FED70000}"/>
    <cellStyle name="注释 2 8 7 7 2 2" xfId="51417" xr:uid="{00000000-0005-0000-0000-000009C90000}"/>
    <cellStyle name="注释 2 8 7 7 3" xfId="55248" xr:uid="{00000000-0005-0000-0000-000000D80000}"/>
    <cellStyle name="注释 2 8 7 7 3 2" xfId="55249" xr:uid="{00000000-0005-0000-0000-000001D80000}"/>
    <cellStyle name="注释 2 8 7 7 4" xfId="55250" xr:uid="{00000000-0005-0000-0000-000002D80000}"/>
    <cellStyle name="注释 2 8 7 7 4 2" xfId="55251" xr:uid="{00000000-0005-0000-0000-000003D80000}"/>
    <cellStyle name="注释 2 8 7 7 5" xfId="55252" xr:uid="{00000000-0005-0000-0000-000004D80000}"/>
    <cellStyle name="注释 2 8 7 7 5 2" xfId="55253" xr:uid="{00000000-0005-0000-0000-000005D80000}"/>
    <cellStyle name="注释 2 8 7 7 6" xfId="55254" xr:uid="{00000000-0005-0000-0000-000006D80000}"/>
    <cellStyle name="注释 2 8 7 8" xfId="55255" xr:uid="{00000000-0005-0000-0000-000007D80000}"/>
    <cellStyle name="注释 2 8 7 8 2" xfId="55256" xr:uid="{00000000-0005-0000-0000-000008D80000}"/>
    <cellStyle name="注释 2 8 7 8 2 2" xfId="51831" xr:uid="{00000000-0005-0000-0000-0000A7CA0000}"/>
    <cellStyle name="注释 2 8 7 8 3" xfId="55258" xr:uid="{00000000-0005-0000-0000-00000AD80000}"/>
    <cellStyle name="注释 2 8 7 8 3 2" xfId="55259" xr:uid="{00000000-0005-0000-0000-00000BD80000}"/>
    <cellStyle name="注释 2 8 7 8 4" xfId="55260" xr:uid="{00000000-0005-0000-0000-00000CD80000}"/>
    <cellStyle name="注释 2 8 7 8 4 2" xfId="55261" xr:uid="{00000000-0005-0000-0000-00000DD80000}"/>
    <cellStyle name="注释 2 8 7 8 5" xfId="55262" xr:uid="{00000000-0005-0000-0000-00000ED80000}"/>
    <cellStyle name="注释 2 8 7 9" xfId="55247" xr:uid="{00000000-0005-0000-0000-0000FFD70000}"/>
    <cellStyle name="注释 2 8 7 9 2" xfId="51418" xr:uid="{00000000-0005-0000-0000-00000AC90000}"/>
    <cellStyle name="注释 2 8 8" xfId="40005" xr:uid="{00000000-0005-0000-0000-0000759C0000}"/>
    <cellStyle name="注释 2 8 8 10" xfId="33549" xr:uid="{00000000-0005-0000-0000-00003D830000}"/>
    <cellStyle name="注释 2 8 8 10 2" xfId="33552" xr:uid="{00000000-0005-0000-0000-000040830000}"/>
    <cellStyle name="注释 2 8 8 11" xfId="33554" xr:uid="{00000000-0005-0000-0000-000042830000}"/>
    <cellStyle name="注释 2 8 8 11 2" xfId="33557" xr:uid="{00000000-0005-0000-0000-000045830000}"/>
    <cellStyle name="注释 2 8 8 12" xfId="33560" xr:uid="{00000000-0005-0000-0000-000048830000}"/>
    <cellStyle name="注释 2 8 8 12 2" xfId="33562" xr:uid="{00000000-0005-0000-0000-00004A830000}"/>
    <cellStyle name="注释 2 8 8 13" xfId="33564" xr:uid="{00000000-0005-0000-0000-00004C830000}"/>
    <cellStyle name="注释 2 8 8 14" xfId="38527" xr:uid="{00000000-0005-0000-0000-0000AF960000}"/>
    <cellStyle name="注释 2 8 8 15" xfId="55263" xr:uid="{00000000-0005-0000-0000-00000FD80000}"/>
    <cellStyle name="注释 2 8 8 16" xfId="55264" xr:uid="{00000000-0005-0000-0000-000010D80000}"/>
    <cellStyle name="注释 2 8 8 2" xfId="51164" xr:uid="{00000000-0005-0000-0000-00000CC80000}"/>
    <cellStyle name="注释 2 8 8 2 2" xfId="55265" xr:uid="{00000000-0005-0000-0000-000011D80000}"/>
    <cellStyle name="注释 2 8 8 2 2 2" xfId="31938" xr:uid="{00000000-0005-0000-0000-0000F27C0000}"/>
    <cellStyle name="注释 2 8 8 2 3" xfId="55267" xr:uid="{00000000-0005-0000-0000-000013D80000}"/>
    <cellStyle name="注释 2 8 8 2 3 2" xfId="55268" xr:uid="{00000000-0005-0000-0000-000014D80000}"/>
    <cellStyle name="注释 2 8 8 2 4" xfId="36460" xr:uid="{00000000-0005-0000-0000-00009C8E0000}"/>
    <cellStyle name="注释 2 8 8 2 4 2" xfId="55269" xr:uid="{00000000-0005-0000-0000-000015D80000}"/>
    <cellStyle name="注释 2 8 8 2 5" xfId="55270" xr:uid="{00000000-0005-0000-0000-000016D80000}"/>
    <cellStyle name="注释 2 8 8 2 5 2" xfId="55271" xr:uid="{00000000-0005-0000-0000-000017D80000}"/>
    <cellStyle name="注释 2 8 8 2 6" xfId="33810" xr:uid="{00000000-0005-0000-0000-000042840000}"/>
    <cellStyle name="注释 2 8 8 2 7" xfId="55272" xr:uid="{00000000-0005-0000-0000-000018D80000}"/>
    <cellStyle name="注释 2 8 8 2 8" xfId="55273" xr:uid="{00000000-0005-0000-0000-000019D80000}"/>
    <cellStyle name="注释 2 8 8 2 9" xfId="52249" xr:uid="{00000000-0005-0000-0000-000049CC0000}"/>
    <cellStyle name="注释 2 8 8 3" xfId="33875" xr:uid="{00000000-0005-0000-0000-000083840000}"/>
    <cellStyle name="注释 2 8 8 3 2" xfId="55274" xr:uid="{00000000-0005-0000-0000-00001AD80000}"/>
    <cellStyle name="注释 2 8 8 3 2 2" xfId="55276" xr:uid="{00000000-0005-0000-0000-00001CD80000}"/>
    <cellStyle name="注释 2 8 8 3 3" xfId="48278" xr:uid="{00000000-0005-0000-0000-0000C6BC0000}"/>
    <cellStyle name="注释 2 8 8 3 3 2" xfId="55278" xr:uid="{00000000-0005-0000-0000-00001ED80000}"/>
    <cellStyle name="注释 2 8 8 3 4" xfId="36463" xr:uid="{00000000-0005-0000-0000-00009F8E0000}"/>
    <cellStyle name="注释 2 8 8 3 4 2" xfId="55279" xr:uid="{00000000-0005-0000-0000-00001FD80000}"/>
    <cellStyle name="注释 2 8 8 3 5" xfId="55280" xr:uid="{00000000-0005-0000-0000-000020D80000}"/>
    <cellStyle name="注释 2 8 8 3 5 2" xfId="55281" xr:uid="{00000000-0005-0000-0000-000021D80000}"/>
    <cellStyle name="注释 2 8 8 3 6" xfId="33814" xr:uid="{00000000-0005-0000-0000-000046840000}"/>
    <cellStyle name="注释 2 8 8 4" xfId="28990" xr:uid="{00000000-0005-0000-0000-00006E710000}"/>
    <cellStyle name="注释 2 8 8 4 2" xfId="51736" xr:uid="{00000000-0005-0000-0000-000048CA0000}"/>
    <cellStyle name="注释 2 8 8 4 2 2" xfId="55282" xr:uid="{00000000-0005-0000-0000-000022D80000}"/>
    <cellStyle name="注释 2 8 8 4 3" xfId="48280" xr:uid="{00000000-0005-0000-0000-0000C8BC0000}"/>
    <cellStyle name="注释 2 8 8 4 3 2" xfId="55284" xr:uid="{00000000-0005-0000-0000-000024D80000}"/>
    <cellStyle name="注释 2 8 8 4 4" xfId="36466" xr:uid="{00000000-0005-0000-0000-0000A28E0000}"/>
    <cellStyle name="注释 2 8 8 4 4 2" xfId="55285" xr:uid="{00000000-0005-0000-0000-000025D80000}"/>
    <cellStyle name="注释 2 8 8 4 5" xfId="55286" xr:uid="{00000000-0005-0000-0000-000026D80000}"/>
    <cellStyle name="注释 2 8 8 4 5 2" xfId="55287" xr:uid="{00000000-0005-0000-0000-000027D80000}"/>
    <cellStyle name="注释 2 8 8 4 6" xfId="33816" xr:uid="{00000000-0005-0000-0000-000048840000}"/>
    <cellStyle name="注释 2 8 8 5" xfId="52462" xr:uid="{00000000-0005-0000-0000-00001ECD0000}"/>
    <cellStyle name="注释 2 8 8 5 2" xfId="55288" xr:uid="{00000000-0005-0000-0000-000028D80000}"/>
    <cellStyle name="注释 2 8 8 5 2 2" xfId="55290" xr:uid="{00000000-0005-0000-0000-00002AD80000}"/>
    <cellStyle name="注释 2 8 8 5 3" xfId="48284" xr:uid="{00000000-0005-0000-0000-0000CCBC0000}"/>
    <cellStyle name="注释 2 8 8 5 3 2" xfId="55292" xr:uid="{00000000-0005-0000-0000-00002CD80000}"/>
    <cellStyle name="注释 2 8 8 5 4" xfId="55293" xr:uid="{00000000-0005-0000-0000-00002DD80000}"/>
    <cellStyle name="注释 2 8 8 5 4 2" xfId="55294" xr:uid="{00000000-0005-0000-0000-00002ED80000}"/>
    <cellStyle name="注释 2 8 8 5 5" xfId="55295" xr:uid="{00000000-0005-0000-0000-00002FD80000}"/>
    <cellStyle name="注释 2 8 8 5 5 2" xfId="55296" xr:uid="{00000000-0005-0000-0000-000030D80000}"/>
    <cellStyle name="注释 2 8 8 5 6" xfId="33820" xr:uid="{00000000-0005-0000-0000-00004C840000}"/>
    <cellStyle name="注释 2 8 8 6" xfId="55297" xr:uid="{00000000-0005-0000-0000-000031D80000}"/>
    <cellStyle name="注释 2 8 8 6 2" xfId="55298" xr:uid="{00000000-0005-0000-0000-000032D80000}"/>
    <cellStyle name="注释 2 8 8 6 2 2" xfId="55300" xr:uid="{00000000-0005-0000-0000-000034D80000}"/>
    <cellStyle name="注释 2 8 8 6 3" xfId="48287" xr:uid="{00000000-0005-0000-0000-0000CFBC0000}"/>
    <cellStyle name="注释 2 8 8 6 3 2" xfId="55302" xr:uid="{00000000-0005-0000-0000-000036D80000}"/>
    <cellStyle name="注释 2 8 8 6 4" xfId="55303" xr:uid="{00000000-0005-0000-0000-000037D80000}"/>
    <cellStyle name="注释 2 8 8 6 4 2" xfId="55304" xr:uid="{00000000-0005-0000-0000-000038D80000}"/>
    <cellStyle name="注释 2 8 8 6 5" xfId="55305" xr:uid="{00000000-0005-0000-0000-000039D80000}"/>
    <cellStyle name="注释 2 8 8 6 5 2" xfId="55306" xr:uid="{00000000-0005-0000-0000-00003AD80000}"/>
    <cellStyle name="注释 2 8 8 6 6" xfId="55307" xr:uid="{00000000-0005-0000-0000-00003BD80000}"/>
    <cellStyle name="注释 2 8 8 7" xfId="55308" xr:uid="{00000000-0005-0000-0000-00003CD80000}"/>
    <cellStyle name="注释 2 8 8 7 2" xfId="55309" xr:uid="{00000000-0005-0000-0000-00003DD80000}"/>
    <cellStyle name="注释 2 8 8 7 2 2" xfId="40007" xr:uid="{00000000-0005-0000-0000-0000779C0000}"/>
    <cellStyle name="注释 2 8 8 7 3" xfId="55311" xr:uid="{00000000-0005-0000-0000-00003FD80000}"/>
    <cellStyle name="注释 2 8 8 7 3 2" xfId="40070" xr:uid="{00000000-0005-0000-0000-0000B69C0000}"/>
    <cellStyle name="注释 2 8 8 7 4" xfId="55312" xr:uid="{00000000-0005-0000-0000-000040D80000}"/>
    <cellStyle name="注释 2 8 8 7 4 2" xfId="40080" xr:uid="{00000000-0005-0000-0000-0000C09C0000}"/>
    <cellStyle name="注释 2 8 8 7 5" xfId="55313" xr:uid="{00000000-0005-0000-0000-000041D80000}"/>
    <cellStyle name="注释 2 8 8 7 5 2" xfId="40092" xr:uid="{00000000-0005-0000-0000-0000CC9C0000}"/>
    <cellStyle name="注释 2 8 8 7 6" xfId="55314" xr:uid="{00000000-0005-0000-0000-000042D80000}"/>
    <cellStyle name="注释 2 8 8 8" xfId="55315" xr:uid="{00000000-0005-0000-0000-000043D80000}"/>
    <cellStyle name="注释 2 8 8 8 2" xfId="55316" xr:uid="{00000000-0005-0000-0000-000044D80000}"/>
    <cellStyle name="注释 2 8 8 8 2 2" xfId="41414" xr:uid="{00000000-0005-0000-0000-0000F6A10000}"/>
    <cellStyle name="注释 2 8 8 8 3" xfId="55318" xr:uid="{00000000-0005-0000-0000-000046D80000}"/>
    <cellStyle name="注释 2 8 8 8 3 2" xfId="41421" xr:uid="{00000000-0005-0000-0000-0000FDA10000}"/>
    <cellStyle name="注释 2 8 8 8 4" xfId="55319" xr:uid="{00000000-0005-0000-0000-000047D80000}"/>
    <cellStyle name="注释 2 8 8 8 4 2" xfId="41429" xr:uid="{00000000-0005-0000-0000-000005A20000}"/>
    <cellStyle name="注释 2 8 8 8 5" xfId="55320" xr:uid="{00000000-0005-0000-0000-000048D80000}"/>
    <cellStyle name="注释 2 8 8 9" xfId="55257" xr:uid="{00000000-0005-0000-0000-000009D80000}"/>
    <cellStyle name="注释 2 8 8 9 2" xfId="51832" xr:uid="{00000000-0005-0000-0000-0000A8CA0000}"/>
    <cellStyle name="注释 2 8 9" xfId="49565" xr:uid="{00000000-0005-0000-0000-0000CDC10000}"/>
    <cellStyle name="注释 2 8 9 10" xfId="44912" xr:uid="{00000000-0005-0000-0000-0000A0AF0000}"/>
    <cellStyle name="注释 2 8 9 10 2" xfId="44703" xr:uid="{00000000-0005-0000-0000-0000CFAE0000}"/>
    <cellStyle name="注释 2 8 9 11" xfId="55321" xr:uid="{00000000-0005-0000-0000-000049D80000}"/>
    <cellStyle name="注释 2 8 9 11 2" xfId="44715" xr:uid="{00000000-0005-0000-0000-0000DBAE0000}"/>
    <cellStyle name="注释 2 8 9 12" xfId="33521" xr:uid="{00000000-0005-0000-0000-000021830000}"/>
    <cellStyle name="注释 2 8 9 12 2" xfId="55322" xr:uid="{00000000-0005-0000-0000-00004AD80000}"/>
    <cellStyle name="注释 2 8 9 13" xfId="55323" xr:uid="{00000000-0005-0000-0000-00004BD80000}"/>
    <cellStyle name="注释 2 8 9 14" xfId="45692" xr:uid="{00000000-0005-0000-0000-0000ACB20000}"/>
    <cellStyle name="注释 2 8 9 15" xfId="55324" xr:uid="{00000000-0005-0000-0000-00004CD80000}"/>
    <cellStyle name="注释 2 8 9 16" xfId="4489" xr:uid="{00000000-0005-0000-0000-0000B9110000}"/>
    <cellStyle name="注释 2 8 9 2" xfId="49568" xr:uid="{00000000-0005-0000-0000-0000D0C10000}"/>
    <cellStyle name="注释 2 8 9 2 2" xfId="55325" xr:uid="{00000000-0005-0000-0000-00004DD80000}"/>
    <cellStyle name="注释 2 8 9 2 2 2" xfId="32715" xr:uid="{00000000-0005-0000-0000-0000FB7F0000}"/>
    <cellStyle name="注释 2 8 9 2 3" xfId="55326" xr:uid="{00000000-0005-0000-0000-00004ED80000}"/>
    <cellStyle name="注释 2 8 9 2 3 2" xfId="55327" xr:uid="{00000000-0005-0000-0000-00004FD80000}"/>
    <cellStyle name="注释 2 8 9 2 4" xfId="36471" xr:uid="{00000000-0005-0000-0000-0000A78E0000}"/>
    <cellStyle name="注释 2 8 9 2 4 2" xfId="55328" xr:uid="{00000000-0005-0000-0000-000050D80000}"/>
    <cellStyle name="注释 2 8 9 2 5" xfId="55329" xr:uid="{00000000-0005-0000-0000-000051D80000}"/>
    <cellStyle name="注释 2 8 9 2 5 2" xfId="55330" xr:uid="{00000000-0005-0000-0000-000052D80000}"/>
    <cellStyle name="注释 2 8 9 2 6" xfId="33826" xr:uid="{00000000-0005-0000-0000-000052840000}"/>
    <cellStyle name="注释 2 8 9 2 7" xfId="55331" xr:uid="{00000000-0005-0000-0000-000053D80000}"/>
    <cellStyle name="注释 2 8 9 2 8" xfId="55332" xr:uid="{00000000-0005-0000-0000-000054D80000}"/>
    <cellStyle name="注释 2 8 9 2 9" xfId="52257" xr:uid="{00000000-0005-0000-0000-000051CC0000}"/>
    <cellStyle name="注释 2 8 9 3" xfId="51400" xr:uid="{00000000-0005-0000-0000-0000F8C80000}"/>
    <cellStyle name="注释 2 8 9 3 2" xfId="51402" xr:uid="{00000000-0005-0000-0000-0000FAC80000}"/>
    <cellStyle name="注释 2 8 9 3 2 2" xfId="55333" xr:uid="{00000000-0005-0000-0000-000055D80000}"/>
    <cellStyle name="注释 2 8 9 3 3" xfId="48291" xr:uid="{00000000-0005-0000-0000-0000D3BC0000}"/>
    <cellStyle name="注释 2 8 9 3 3 2" xfId="55334" xr:uid="{00000000-0005-0000-0000-000056D80000}"/>
    <cellStyle name="注释 2 8 9 3 4" xfId="36474" xr:uid="{00000000-0005-0000-0000-0000AA8E0000}"/>
    <cellStyle name="注释 2 8 9 3 4 2" xfId="55335" xr:uid="{00000000-0005-0000-0000-000057D80000}"/>
    <cellStyle name="注释 2 8 9 3 5" xfId="55336" xr:uid="{00000000-0005-0000-0000-000058D80000}"/>
    <cellStyle name="注释 2 8 9 3 5 2" xfId="55337" xr:uid="{00000000-0005-0000-0000-000059D80000}"/>
    <cellStyle name="注释 2 8 9 3 6" xfId="33832" xr:uid="{00000000-0005-0000-0000-000058840000}"/>
    <cellStyle name="注释 2 8 9 4" xfId="28993" xr:uid="{00000000-0005-0000-0000-000071710000}"/>
    <cellStyle name="注释 2 8 9 4 2" xfId="51404" xr:uid="{00000000-0005-0000-0000-0000FCC80000}"/>
    <cellStyle name="注释 2 8 9 4 2 2" xfId="55338" xr:uid="{00000000-0005-0000-0000-00005AD80000}"/>
    <cellStyle name="注释 2 8 9 4 3" xfId="48293" xr:uid="{00000000-0005-0000-0000-0000D5BC0000}"/>
    <cellStyle name="注释 2 8 9 4 3 2" xfId="55339" xr:uid="{00000000-0005-0000-0000-00005BD80000}"/>
    <cellStyle name="注释 2 8 9 4 4" xfId="36477" xr:uid="{00000000-0005-0000-0000-0000AD8E0000}"/>
    <cellStyle name="注释 2 8 9 4 4 2" xfId="55340" xr:uid="{00000000-0005-0000-0000-00005CD80000}"/>
    <cellStyle name="注释 2 8 9 4 5" xfId="55341" xr:uid="{00000000-0005-0000-0000-00005DD80000}"/>
    <cellStyle name="注释 2 8 9 4 5 2" xfId="55342" xr:uid="{00000000-0005-0000-0000-00005ED80000}"/>
    <cellStyle name="注释 2 8 9 4 6" xfId="33835" xr:uid="{00000000-0005-0000-0000-00005B840000}"/>
    <cellStyle name="注释 2 8 9 5" xfId="51407" xr:uid="{00000000-0005-0000-0000-0000FFC80000}"/>
    <cellStyle name="注释 2 8 9 5 2" xfId="51409" xr:uid="{00000000-0005-0000-0000-000001C90000}"/>
    <cellStyle name="注释 2 8 9 5 2 2" xfId="43475" xr:uid="{00000000-0005-0000-0000-000003AA0000}"/>
    <cellStyle name="注释 2 8 9 5 3" xfId="48295" xr:uid="{00000000-0005-0000-0000-0000D7BC0000}"/>
    <cellStyle name="注释 2 8 9 5 3 2" xfId="55343" xr:uid="{00000000-0005-0000-0000-00005FD80000}"/>
    <cellStyle name="注释 2 8 9 5 4" xfId="55344" xr:uid="{00000000-0005-0000-0000-000060D80000}"/>
    <cellStyle name="注释 2 8 9 5 4 2" xfId="55345" xr:uid="{00000000-0005-0000-0000-000061D80000}"/>
    <cellStyle name="注释 2 8 9 5 5" xfId="55346" xr:uid="{00000000-0005-0000-0000-000062D80000}"/>
    <cellStyle name="注释 2 8 9 5 5 2" xfId="55347" xr:uid="{00000000-0005-0000-0000-000063D80000}"/>
    <cellStyle name="注释 2 8 9 5 6" xfId="50906" xr:uid="{00000000-0005-0000-0000-00000AC70000}"/>
    <cellStyle name="注释 2 8 9 6" xfId="51412" xr:uid="{00000000-0005-0000-0000-000004C90000}"/>
    <cellStyle name="注释 2 8 9 6 2" xfId="55348" xr:uid="{00000000-0005-0000-0000-000064D80000}"/>
    <cellStyle name="注释 2 8 9 6 2 2" xfId="43538" xr:uid="{00000000-0005-0000-0000-000042AA0000}"/>
    <cellStyle name="注释 2 8 9 6 3" xfId="48298" xr:uid="{00000000-0005-0000-0000-0000DABC0000}"/>
    <cellStyle name="注释 2 8 9 6 3 2" xfId="55349" xr:uid="{00000000-0005-0000-0000-000065D80000}"/>
    <cellStyle name="注释 2 8 9 6 4" xfId="55350" xr:uid="{00000000-0005-0000-0000-000066D80000}"/>
    <cellStyle name="注释 2 8 9 6 4 2" xfId="55351" xr:uid="{00000000-0005-0000-0000-000067D80000}"/>
    <cellStyle name="注释 2 8 9 6 5" xfId="55352" xr:uid="{00000000-0005-0000-0000-000068D80000}"/>
    <cellStyle name="注释 2 8 9 6 5 2" xfId="55353" xr:uid="{00000000-0005-0000-0000-000069D80000}"/>
    <cellStyle name="注释 2 8 9 6 6" xfId="55354" xr:uid="{00000000-0005-0000-0000-00006AD80000}"/>
    <cellStyle name="注释 2 8 9 7" xfId="50099" xr:uid="{00000000-0005-0000-0000-0000E3C30000}"/>
    <cellStyle name="注释 2 8 9 7 2" xfId="52131" xr:uid="{00000000-0005-0000-0000-0000D3CB0000}"/>
    <cellStyle name="注释 2 8 9 7 2 2" xfId="43623" xr:uid="{00000000-0005-0000-0000-000097AA0000}"/>
    <cellStyle name="注释 2 8 9 7 3" xfId="52552" xr:uid="{00000000-0005-0000-0000-000078CD0000}"/>
    <cellStyle name="注释 2 8 9 7 3 2" xfId="52683" xr:uid="{00000000-0005-0000-0000-0000FBCD0000}"/>
    <cellStyle name="注释 2 8 9 7 4" xfId="53056" xr:uid="{00000000-0005-0000-0000-000070CF0000}"/>
    <cellStyle name="注释 2 8 9 7 4 2" xfId="53235" xr:uid="{00000000-0005-0000-0000-000023D00000}"/>
    <cellStyle name="注释 2 8 9 7 5" xfId="53520" xr:uid="{00000000-0005-0000-0000-000040D10000}"/>
    <cellStyle name="注释 2 8 9 7 5 2" xfId="53644" xr:uid="{00000000-0005-0000-0000-0000BCD10000}"/>
    <cellStyle name="注释 2 8 9 7 6" xfId="53952" xr:uid="{00000000-0005-0000-0000-0000F0D20000}"/>
    <cellStyle name="注释 2 8 9 8" xfId="51414" xr:uid="{00000000-0005-0000-0000-000006C90000}"/>
    <cellStyle name="注释 2 8 9 8 2" xfId="55355" xr:uid="{00000000-0005-0000-0000-00006BD80000}"/>
    <cellStyle name="注释 2 8 9 8 2 2" xfId="43701" xr:uid="{00000000-0005-0000-0000-0000E5AA0000}"/>
    <cellStyle name="注释 2 8 9 8 3" xfId="55356" xr:uid="{00000000-0005-0000-0000-00006CD80000}"/>
    <cellStyle name="注释 2 8 9 8 3 2" xfId="55357" xr:uid="{00000000-0005-0000-0000-00006DD80000}"/>
    <cellStyle name="注释 2 8 9 8 4" xfId="55358" xr:uid="{00000000-0005-0000-0000-00006ED80000}"/>
    <cellStyle name="注释 2 8 9 8 4 2" xfId="55359" xr:uid="{00000000-0005-0000-0000-00006FD80000}"/>
    <cellStyle name="注释 2 8 9 8 5" xfId="55360" xr:uid="{00000000-0005-0000-0000-000070D80000}"/>
    <cellStyle name="注释 2 8 9 9" xfId="51419" xr:uid="{00000000-0005-0000-0000-00000BC90000}"/>
    <cellStyle name="注释 2 8 9 9 2" xfId="55361" xr:uid="{00000000-0005-0000-0000-000071D80000}"/>
    <cellStyle name="注释 2 9" xfId="55362" xr:uid="{00000000-0005-0000-0000-000072D80000}"/>
    <cellStyle name="注释 2 9 10" xfId="55363" xr:uid="{00000000-0005-0000-0000-000073D80000}"/>
    <cellStyle name="注释 2 9 10 10" xfId="50430" xr:uid="{00000000-0005-0000-0000-00002EC50000}"/>
    <cellStyle name="注释 2 9 10 10 2" xfId="55364" xr:uid="{00000000-0005-0000-0000-000074D80000}"/>
    <cellStyle name="注释 2 9 10 11" xfId="55365" xr:uid="{00000000-0005-0000-0000-000075D80000}"/>
    <cellStyle name="注释 2 9 10 11 2" xfId="55366" xr:uid="{00000000-0005-0000-0000-000076D80000}"/>
    <cellStyle name="注释 2 9 10 12" xfId="55367" xr:uid="{00000000-0005-0000-0000-000077D80000}"/>
    <cellStyle name="注释 2 9 10 12 2" xfId="55368" xr:uid="{00000000-0005-0000-0000-000078D80000}"/>
    <cellStyle name="注释 2 9 10 13" xfId="55369" xr:uid="{00000000-0005-0000-0000-000079D80000}"/>
    <cellStyle name="注释 2 9 10 14" xfId="41769" xr:uid="{00000000-0005-0000-0000-000059A30000}"/>
    <cellStyle name="注释 2 9 10 15" xfId="55370" xr:uid="{00000000-0005-0000-0000-00007AD80000}"/>
    <cellStyle name="注释 2 9 10 16" xfId="55371" xr:uid="{00000000-0005-0000-0000-00007BD80000}"/>
    <cellStyle name="注释 2 9 10 2" xfId="55372" xr:uid="{00000000-0005-0000-0000-00007CD80000}"/>
    <cellStyle name="注释 2 9 10 2 2" xfId="55373" xr:uid="{00000000-0005-0000-0000-00007DD80000}"/>
    <cellStyle name="注释 2 9 10 2 2 2" xfId="55374" xr:uid="{00000000-0005-0000-0000-00007ED80000}"/>
    <cellStyle name="注释 2 9 10 2 3" xfId="55375" xr:uid="{00000000-0005-0000-0000-00007FD80000}"/>
    <cellStyle name="注释 2 9 10 2 3 2" xfId="55376" xr:uid="{00000000-0005-0000-0000-000080D80000}"/>
    <cellStyle name="注释 2 9 10 2 4" xfId="50670" xr:uid="{00000000-0005-0000-0000-00001EC60000}"/>
    <cellStyle name="注释 2 9 10 2 4 2" xfId="55377" xr:uid="{00000000-0005-0000-0000-000081D80000}"/>
    <cellStyle name="注释 2 9 10 2 5" xfId="42946" xr:uid="{00000000-0005-0000-0000-0000F2A70000}"/>
    <cellStyle name="注释 2 9 10 2 5 2" xfId="55378" xr:uid="{00000000-0005-0000-0000-000082D80000}"/>
    <cellStyle name="注释 2 9 10 2 6" xfId="55379" xr:uid="{00000000-0005-0000-0000-000083D80000}"/>
    <cellStyle name="注释 2 9 10 2 7" xfId="55380" xr:uid="{00000000-0005-0000-0000-000084D80000}"/>
    <cellStyle name="注释 2 9 10 2 8" xfId="11159" xr:uid="{00000000-0005-0000-0000-0000C72B0000}"/>
    <cellStyle name="注释 2 9 10 2 9" xfId="44050" xr:uid="{00000000-0005-0000-0000-000042AC0000}"/>
    <cellStyle name="注释 2 9 10 3" xfId="49050" xr:uid="{00000000-0005-0000-0000-0000CABF0000}"/>
    <cellStyle name="注释 2 9 10 3 2" xfId="55381" xr:uid="{00000000-0005-0000-0000-000085D80000}"/>
    <cellStyle name="注释 2 9 10 3 2 2" xfId="50151" xr:uid="{00000000-0005-0000-0000-000017C40000}"/>
    <cellStyle name="注释 2 9 10 3 3" xfId="55382" xr:uid="{00000000-0005-0000-0000-000086D80000}"/>
    <cellStyle name="注释 2 9 10 3 3 2" xfId="55383" xr:uid="{00000000-0005-0000-0000-000087D80000}"/>
    <cellStyle name="注释 2 9 10 3 4" xfId="55384" xr:uid="{00000000-0005-0000-0000-000088D80000}"/>
    <cellStyle name="注释 2 9 10 3 4 2" xfId="55385" xr:uid="{00000000-0005-0000-0000-000089D80000}"/>
    <cellStyle name="注释 2 9 10 3 5" xfId="55386" xr:uid="{00000000-0005-0000-0000-00008AD80000}"/>
    <cellStyle name="注释 2 9 10 3 5 2" xfId="55387" xr:uid="{00000000-0005-0000-0000-00008BD80000}"/>
    <cellStyle name="注释 2 9 10 3 6" xfId="24092" xr:uid="{00000000-0005-0000-0000-00004C5E0000}"/>
    <cellStyle name="注释 2 9 10 4" xfId="55388" xr:uid="{00000000-0005-0000-0000-00008CD80000}"/>
    <cellStyle name="注释 2 9 10 4 2" xfId="55389" xr:uid="{00000000-0005-0000-0000-00008DD80000}"/>
    <cellStyle name="注释 2 9 10 4 2 2" xfId="55390" xr:uid="{00000000-0005-0000-0000-00008ED80000}"/>
    <cellStyle name="注释 2 9 10 4 3" xfId="55391" xr:uid="{00000000-0005-0000-0000-00008FD80000}"/>
    <cellStyle name="注释 2 9 10 4 3 2" xfId="55392" xr:uid="{00000000-0005-0000-0000-000090D80000}"/>
    <cellStyle name="注释 2 9 10 4 4" xfId="55393" xr:uid="{00000000-0005-0000-0000-000091D80000}"/>
    <cellStyle name="注释 2 9 10 4 4 2" xfId="36198" xr:uid="{00000000-0005-0000-0000-0000968D0000}"/>
    <cellStyle name="注释 2 9 10 4 5" xfId="55394" xr:uid="{00000000-0005-0000-0000-000092D80000}"/>
    <cellStyle name="注释 2 9 10 4 5 2" xfId="24118" xr:uid="{00000000-0005-0000-0000-0000665E0000}"/>
    <cellStyle name="注释 2 9 10 4 6" xfId="24126" xr:uid="{00000000-0005-0000-0000-00006E5E0000}"/>
    <cellStyle name="注释 2 9 10 5" xfId="37950" xr:uid="{00000000-0005-0000-0000-00006E940000}"/>
    <cellStyle name="注释 2 9 10 5 2" xfId="55395" xr:uid="{00000000-0005-0000-0000-000093D80000}"/>
    <cellStyle name="注释 2 9 10 5 2 2" xfId="55396" xr:uid="{00000000-0005-0000-0000-000094D80000}"/>
    <cellStyle name="注释 2 9 10 5 3" xfId="55397" xr:uid="{00000000-0005-0000-0000-000095D80000}"/>
    <cellStyle name="注释 2 9 10 5 3 2" xfId="55398" xr:uid="{00000000-0005-0000-0000-000096D80000}"/>
    <cellStyle name="注释 2 9 10 5 4" xfId="55399" xr:uid="{00000000-0005-0000-0000-000097D80000}"/>
    <cellStyle name="注释 2 9 10 5 4 2" xfId="55400" xr:uid="{00000000-0005-0000-0000-000098D80000}"/>
    <cellStyle name="注释 2 9 10 5 5" xfId="55401" xr:uid="{00000000-0005-0000-0000-000099D80000}"/>
    <cellStyle name="注释 2 9 10 5 5 2" xfId="55402" xr:uid="{00000000-0005-0000-0000-00009AD80000}"/>
    <cellStyle name="注释 2 9 10 5 6" xfId="17229" xr:uid="{00000000-0005-0000-0000-00007D430000}"/>
    <cellStyle name="注释 2 9 10 6" xfId="22" xr:uid="{00000000-0005-0000-0000-00001A000000}"/>
    <cellStyle name="注释 2 9 10 6 2" xfId="55403" xr:uid="{00000000-0005-0000-0000-00009BD80000}"/>
    <cellStyle name="注释 2 9 10 6 2 2" xfId="43747" xr:uid="{00000000-0005-0000-0000-000013AB0000}"/>
    <cellStyle name="注释 2 9 10 6 3" xfId="55404" xr:uid="{00000000-0005-0000-0000-00009CD80000}"/>
    <cellStyle name="注释 2 9 10 6 3 2" xfId="43791" xr:uid="{00000000-0005-0000-0000-00003FAB0000}"/>
    <cellStyle name="注释 2 9 10 6 4" xfId="55405" xr:uid="{00000000-0005-0000-0000-00009DD80000}"/>
    <cellStyle name="注释 2 9 10 6 4 2" xfId="43854" xr:uid="{00000000-0005-0000-0000-00007EAB0000}"/>
    <cellStyle name="注释 2 9 10 6 5" xfId="55406" xr:uid="{00000000-0005-0000-0000-00009ED80000}"/>
    <cellStyle name="注释 2 9 10 6 5 2" xfId="43947" xr:uid="{00000000-0005-0000-0000-0000DBAB0000}"/>
    <cellStyle name="注释 2 9 10 6 6" xfId="17238" xr:uid="{00000000-0005-0000-0000-000086430000}"/>
    <cellStyle name="注释 2 9 10 7" xfId="55407" xr:uid="{00000000-0005-0000-0000-00009FD80000}"/>
    <cellStyle name="注释 2 9 10 7 2" xfId="55408" xr:uid="{00000000-0005-0000-0000-0000A0D80000}"/>
    <cellStyle name="注释 2 9 10 7 2 2" xfId="44508" xr:uid="{00000000-0005-0000-0000-00000CAE0000}"/>
    <cellStyle name="注释 2 9 10 7 3" xfId="55409" xr:uid="{00000000-0005-0000-0000-0000A1D80000}"/>
    <cellStyle name="注释 2 9 10 7 3 2" xfId="44572" xr:uid="{00000000-0005-0000-0000-00004CAE0000}"/>
    <cellStyle name="注释 2 9 10 7 4" xfId="55410" xr:uid="{00000000-0005-0000-0000-0000A2D80000}"/>
    <cellStyle name="注释 2 9 10 7 4 2" xfId="44642" xr:uid="{00000000-0005-0000-0000-000092AE0000}"/>
    <cellStyle name="注释 2 9 10 7 5" xfId="55411" xr:uid="{00000000-0005-0000-0000-0000A3D80000}"/>
    <cellStyle name="注释 2 9 10 7 5 2" xfId="44717" xr:uid="{00000000-0005-0000-0000-0000DDAE0000}"/>
    <cellStyle name="注释 2 9 10 7 6" xfId="31825" xr:uid="{00000000-0005-0000-0000-0000817C0000}"/>
    <cellStyle name="注释 2 9 10 8" xfId="27708" xr:uid="{00000000-0005-0000-0000-00006C6C0000}"/>
    <cellStyle name="注释 2 9 10 8 2" xfId="44349" xr:uid="{00000000-0005-0000-0000-00006DAD0000}"/>
    <cellStyle name="注释 2 9 10 8 2 2" xfId="45072" xr:uid="{00000000-0005-0000-0000-000040B00000}"/>
    <cellStyle name="注释 2 9 10 8 3" xfId="55412" xr:uid="{00000000-0005-0000-0000-0000A4D80000}"/>
    <cellStyle name="注释 2 9 10 8 3 2" xfId="4711" xr:uid="{00000000-0005-0000-0000-000097120000}"/>
    <cellStyle name="注释 2 9 10 8 4" xfId="55413" xr:uid="{00000000-0005-0000-0000-0000A5D80000}"/>
    <cellStyle name="注释 2 9 10 8 4 2" xfId="45200" xr:uid="{00000000-0005-0000-0000-0000C0B00000}"/>
    <cellStyle name="注释 2 9 10 8 5" xfId="55414" xr:uid="{00000000-0005-0000-0000-0000A6D80000}"/>
    <cellStyle name="注释 2 9 10 9" xfId="18190" xr:uid="{00000000-0005-0000-0000-00003E470000}"/>
    <cellStyle name="注释 2 9 10 9 2" xfId="44351" xr:uid="{00000000-0005-0000-0000-00006FAD0000}"/>
    <cellStyle name="注释 2 9 11" xfId="55415" xr:uid="{00000000-0005-0000-0000-0000A7D80000}"/>
    <cellStyle name="注释 2 9 11 10" xfId="9264" xr:uid="{00000000-0005-0000-0000-000060240000}"/>
    <cellStyle name="注释 2 9 11 10 2" xfId="39398" xr:uid="{00000000-0005-0000-0000-0000169A0000}"/>
    <cellStyle name="注释 2 9 11 11" xfId="55416" xr:uid="{00000000-0005-0000-0000-0000A8D80000}"/>
    <cellStyle name="注释 2 9 11 11 2" xfId="55417" xr:uid="{00000000-0005-0000-0000-0000A9D80000}"/>
    <cellStyle name="注释 2 9 11 12" xfId="55418" xr:uid="{00000000-0005-0000-0000-0000AAD80000}"/>
    <cellStyle name="注释 2 9 11 12 2" xfId="55419" xr:uid="{00000000-0005-0000-0000-0000ABD80000}"/>
    <cellStyle name="注释 2 9 11 13" xfId="55420" xr:uid="{00000000-0005-0000-0000-0000ACD80000}"/>
    <cellStyle name="注释 2 9 11 14" xfId="10206" xr:uid="{00000000-0005-0000-0000-00000E280000}"/>
    <cellStyle name="注释 2 9 11 15" xfId="55421" xr:uid="{00000000-0005-0000-0000-0000ADD80000}"/>
    <cellStyle name="注释 2 9 11 16" xfId="25580" xr:uid="{00000000-0005-0000-0000-00001C640000}"/>
    <cellStyle name="注释 2 9 11 2" xfId="248" xr:uid="{00000000-0005-0000-0000-000010010000}"/>
    <cellStyle name="注释 2 9 11 2 2" xfId="37344" xr:uid="{00000000-0005-0000-0000-000010920000}"/>
    <cellStyle name="注释 2 9 11 2 2 2" xfId="37348" xr:uid="{00000000-0005-0000-0000-000014920000}"/>
    <cellStyle name="注释 2 9 11 2 3" xfId="43275" xr:uid="{00000000-0005-0000-0000-00003BA90000}"/>
    <cellStyle name="注释 2 9 11 2 3 2" xfId="55422" xr:uid="{00000000-0005-0000-0000-0000AED80000}"/>
    <cellStyle name="注释 2 9 11 2 4" xfId="55423" xr:uid="{00000000-0005-0000-0000-0000AFD80000}"/>
    <cellStyle name="注释 2 9 11 2 4 2" xfId="55424" xr:uid="{00000000-0005-0000-0000-0000B0D80000}"/>
    <cellStyle name="注释 2 9 11 2 5" xfId="55425" xr:uid="{00000000-0005-0000-0000-0000B1D80000}"/>
    <cellStyle name="注释 2 9 11 2 5 2" xfId="55426" xr:uid="{00000000-0005-0000-0000-0000B2D80000}"/>
    <cellStyle name="注释 2 9 11 2 6" xfId="55427" xr:uid="{00000000-0005-0000-0000-0000B3D80000}"/>
    <cellStyle name="注释 2 9 11 3" xfId="55428" xr:uid="{00000000-0005-0000-0000-0000B4D80000}"/>
    <cellStyle name="注释 2 9 11 3 2" xfId="55429" xr:uid="{00000000-0005-0000-0000-0000B5D80000}"/>
    <cellStyle name="注释 2 9 11 3 2 2" xfId="50736" xr:uid="{00000000-0005-0000-0000-000060C60000}"/>
    <cellStyle name="注释 2 9 11 3 3" xfId="55430" xr:uid="{00000000-0005-0000-0000-0000B6D80000}"/>
    <cellStyle name="注释 2 9 11 3 3 2" xfId="55431" xr:uid="{00000000-0005-0000-0000-0000B7D80000}"/>
    <cellStyle name="注释 2 9 11 3 4" xfId="55432" xr:uid="{00000000-0005-0000-0000-0000B8D80000}"/>
    <cellStyle name="注释 2 9 11 3 4 2" xfId="55433" xr:uid="{00000000-0005-0000-0000-0000B9D80000}"/>
    <cellStyle name="注释 2 9 11 3 5" xfId="55434" xr:uid="{00000000-0005-0000-0000-0000BAD80000}"/>
    <cellStyle name="注释 2 9 11 3 5 2" xfId="55435" xr:uid="{00000000-0005-0000-0000-0000BBD80000}"/>
    <cellStyle name="注释 2 9 11 3 6" xfId="45786" xr:uid="{00000000-0005-0000-0000-00000AB30000}"/>
    <cellStyle name="注释 2 9 11 4" xfId="55436" xr:uid="{00000000-0005-0000-0000-0000BCD80000}"/>
    <cellStyle name="注释 2 9 11 4 2" xfId="55437" xr:uid="{00000000-0005-0000-0000-0000BDD80000}"/>
    <cellStyle name="注释 2 9 11 4 2 2" xfId="55438" xr:uid="{00000000-0005-0000-0000-0000BED80000}"/>
    <cellStyle name="注释 2 9 11 4 3" xfId="55439" xr:uid="{00000000-0005-0000-0000-0000BFD80000}"/>
    <cellStyle name="注释 2 9 11 4 3 2" xfId="55440" xr:uid="{00000000-0005-0000-0000-0000C0D80000}"/>
    <cellStyle name="注释 2 9 11 4 4" xfId="55441" xr:uid="{00000000-0005-0000-0000-0000C1D80000}"/>
    <cellStyle name="注释 2 9 11 4 4 2" xfId="55442" xr:uid="{00000000-0005-0000-0000-0000C2D80000}"/>
    <cellStyle name="注释 2 9 11 4 5" xfId="55443" xr:uid="{00000000-0005-0000-0000-0000C3D80000}"/>
    <cellStyle name="注释 2 9 11 4 5 2" xfId="12462" xr:uid="{00000000-0005-0000-0000-0000DE300000}"/>
    <cellStyle name="注释 2 9 11 4 6" xfId="24284" xr:uid="{00000000-0005-0000-0000-00000C5F0000}"/>
    <cellStyle name="注释 2 9 11 5" xfId="37952" xr:uid="{00000000-0005-0000-0000-000070940000}"/>
    <cellStyle name="注释 2 9 11 5 2" xfId="55444" xr:uid="{00000000-0005-0000-0000-0000C4D80000}"/>
    <cellStyle name="注释 2 9 11 5 2 2" xfId="55445" xr:uid="{00000000-0005-0000-0000-0000C5D80000}"/>
    <cellStyle name="注释 2 9 11 5 3" xfId="55446" xr:uid="{00000000-0005-0000-0000-0000C6D80000}"/>
    <cellStyle name="注释 2 9 11 5 3 2" xfId="55447" xr:uid="{00000000-0005-0000-0000-0000C7D80000}"/>
    <cellStyle name="注释 2 9 11 5 4" xfId="55448" xr:uid="{00000000-0005-0000-0000-0000C8D80000}"/>
    <cellStyle name="注释 2 9 11 5 4 2" xfId="55449" xr:uid="{00000000-0005-0000-0000-0000C9D80000}"/>
    <cellStyle name="注释 2 9 11 5 5" xfId="55450" xr:uid="{00000000-0005-0000-0000-0000CAD80000}"/>
    <cellStyle name="注释 2 9 11 5 5 2" xfId="55451" xr:uid="{00000000-0005-0000-0000-0000CBD80000}"/>
    <cellStyle name="注释 2 9 11 5 6" xfId="24306" xr:uid="{00000000-0005-0000-0000-0000225F0000}"/>
    <cellStyle name="注释 2 9 11 6" xfId="55452" xr:uid="{00000000-0005-0000-0000-0000CCD80000}"/>
    <cellStyle name="注释 2 9 11 6 2" xfId="55453" xr:uid="{00000000-0005-0000-0000-0000CDD80000}"/>
    <cellStyle name="注释 2 9 11 6 2 2" xfId="55454" xr:uid="{00000000-0005-0000-0000-0000CED80000}"/>
    <cellStyle name="注释 2 9 11 6 3" xfId="55455" xr:uid="{00000000-0005-0000-0000-0000CFD80000}"/>
    <cellStyle name="注释 2 9 11 6 3 2" xfId="55456" xr:uid="{00000000-0005-0000-0000-0000D0D80000}"/>
    <cellStyle name="注释 2 9 11 6 4" xfId="55457" xr:uid="{00000000-0005-0000-0000-0000D1D80000}"/>
    <cellStyle name="注释 2 9 11 6 4 2" xfId="55458" xr:uid="{00000000-0005-0000-0000-0000D2D80000}"/>
    <cellStyle name="注释 2 9 11 6 5" xfId="55459" xr:uid="{00000000-0005-0000-0000-0000D3D80000}"/>
    <cellStyle name="注释 2 9 11 6 5 2" xfId="55460" xr:uid="{00000000-0005-0000-0000-0000D4D80000}"/>
    <cellStyle name="注释 2 9 11 6 6" xfId="37942" xr:uid="{00000000-0005-0000-0000-000066940000}"/>
    <cellStyle name="注释 2 9 11 7" xfId="55461" xr:uid="{00000000-0005-0000-0000-0000D5D80000}"/>
    <cellStyle name="注释 2 9 11 7 2" xfId="55462" xr:uid="{00000000-0005-0000-0000-0000D6D80000}"/>
    <cellStyle name="注释 2 9 11 7 2 2" xfId="157" xr:uid="{00000000-0005-0000-0000-0000AA000000}"/>
    <cellStyle name="注释 2 9 11 7 3" xfId="55463" xr:uid="{00000000-0005-0000-0000-0000D7D80000}"/>
    <cellStyle name="注释 2 9 11 7 3 2" xfId="980" xr:uid="{00000000-0005-0000-0000-000004040000}"/>
    <cellStyle name="注释 2 9 11 7 4" xfId="55464" xr:uid="{00000000-0005-0000-0000-0000D8D80000}"/>
    <cellStyle name="注释 2 9 11 7 4 2" xfId="991" xr:uid="{00000000-0005-0000-0000-00000F040000}"/>
    <cellStyle name="注释 2 9 11 7 5" xfId="55465" xr:uid="{00000000-0005-0000-0000-0000D9D80000}"/>
    <cellStyle name="注释 2 9 11 7 5 2" xfId="1029" xr:uid="{00000000-0005-0000-0000-000035040000}"/>
    <cellStyle name="注释 2 9 11 7 6" xfId="37944" xr:uid="{00000000-0005-0000-0000-000068940000}"/>
    <cellStyle name="注释 2 9 11 8" xfId="44358" xr:uid="{00000000-0005-0000-0000-000076AD0000}"/>
    <cellStyle name="注释 2 9 11 8 2" xfId="44360" xr:uid="{00000000-0005-0000-0000-000078AD0000}"/>
    <cellStyle name="注释 2 9 11 8 2 2" xfId="55466" xr:uid="{00000000-0005-0000-0000-0000DAD80000}"/>
    <cellStyle name="注释 2 9 11 8 3" xfId="55467" xr:uid="{00000000-0005-0000-0000-0000DBD80000}"/>
    <cellStyle name="注释 2 9 11 8 3 2" xfId="55468" xr:uid="{00000000-0005-0000-0000-0000DCD80000}"/>
    <cellStyle name="注释 2 9 11 8 4" xfId="55469" xr:uid="{00000000-0005-0000-0000-0000DDD80000}"/>
    <cellStyle name="注释 2 9 11 8 4 2" xfId="55470" xr:uid="{00000000-0005-0000-0000-0000DED80000}"/>
    <cellStyle name="注释 2 9 11 8 5" xfId="55471" xr:uid="{00000000-0005-0000-0000-0000DFD80000}"/>
    <cellStyle name="注释 2 9 11 9" xfId="27015" xr:uid="{00000000-0005-0000-0000-0000B7690000}"/>
    <cellStyle name="注释 2 9 11 9 2" xfId="44362" xr:uid="{00000000-0005-0000-0000-00007AAD0000}"/>
    <cellStyle name="注释 2 9 12" xfId="55472" xr:uid="{00000000-0005-0000-0000-0000E0D80000}"/>
    <cellStyle name="注释 2 9 12 2" xfId="55473" xr:uid="{00000000-0005-0000-0000-0000E1D80000}"/>
    <cellStyle name="注释 2 9 12 2 2" xfId="55474" xr:uid="{00000000-0005-0000-0000-0000E2D80000}"/>
    <cellStyle name="注释 2 9 12 3" xfId="55475" xr:uid="{00000000-0005-0000-0000-0000E3D80000}"/>
    <cellStyle name="注释 2 9 12 3 2" xfId="55476" xr:uid="{00000000-0005-0000-0000-0000E4D80000}"/>
    <cellStyle name="注释 2 9 12 4" xfId="55477" xr:uid="{00000000-0005-0000-0000-0000E5D80000}"/>
    <cellStyle name="注释 2 9 12 4 2" xfId="55478" xr:uid="{00000000-0005-0000-0000-0000E6D80000}"/>
    <cellStyle name="注释 2 9 12 5" xfId="37954" xr:uid="{00000000-0005-0000-0000-000072940000}"/>
    <cellStyle name="注释 2 9 12 5 2" xfId="55479" xr:uid="{00000000-0005-0000-0000-0000E7D80000}"/>
    <cellStyle name="注释 2 9 12 6" xfId="55480" xr:uid="{00000000-0005-0000-0000-0000E8D80000}"/>
    <cellStyle name="注释 2 9 12 7" xfId="55481" xr:uid="{00000000-0005-0000-0000-0000E9D80000}"/>
    <cellStyle name="注释 2 9 12 8" xfId="44369" xr:uid="{00000000-0005-0000-0000-000081AD0000}"/>
    <cellStyle name="注释 2 9 12 9" xfId="27019" xr:uid="{00000000-0005-0000-0000-0000BB690000}"/>
    <cellStyle name="注释 2 9 13" xfId="54579" xr:uid="{00000000-0005-0000-0000-000063D50000}"/>
    <cellStyle name="注释 2 9 13 2" xfId="55482" xr:uid="{00000000-0005-0000-0000-0000EAD80000}"/>
    <cellStyle name="注释 2 9 13 2 2" xfId="55483" xr:uid="{00000000-0005-0000-0000-0000EBD80000}"/>
    <cellStyle name="注释 2 9 13 3" xfId="55484" xr:uid="{00000000-0005-0000-0000-0000ECD80000}"/>
    <cellStyle name="注释 2 9 13 3 2" xfId="55485" xr:uid="{00000000-0005-0000-0000-0000EDD80000}"/>
    <cellStyle name="注释 2 9 13 4" xfId="55486" xr:uid="{00000000-0005-0000-0000-0000EED80000}"/>
    <cellStyle name="注释 2 9 13 4 2" xfId="55487" xr:uid="{00000000-0005-0000-0000-0000EFD80000}"/>
    <cellStyle name="注释 2 9 13 5" xfId="55488" xr:uid="{00000000-0005-0000-0000-0000F0D80000}"/>
    <cellStyle name="注释 2 9 13 5 2" xfId="55489" xr:uid="{00000000-0005-0000-0000-0000F1D80000}"/>
    <cellStyle name="注释 2 9 13 6" xfId="55490" xr:uid="{00000000-0005-0000-0000-0000F2D80000}"/>
    <cellStyle name="注释 2 9 14" xfId="9430" xr:uid="{00000000-0005-0000-0000-000006250000}"/>
    <cellStyle name="注释 2 9 14 2" xfId="34772" xr:uid="{00000000-0005-0000-0000-000004880000}"/>
    <cellStyle name="注释 2 9 14 2 2" xfId="34774" xr:uid="{00000000-0005-0000-0000-000006880000}"/>
    <cellStyle name="注释 2 9 14 3" xfId="34776" xr:uid="{00000000-0005-0000-0000-000008880000}"/>
    <cellStyle name="注释 2 9 14 3 2" xfId="34778" xr:uid="{00000000-0005-0000-0000-00000A880000}"/>
    <cellStyle name="注释 2 9 14 4" xfId="34780" xr:uid="{00000000-0005-0000-0000-00000C880000}"/>
    <cellStyle name="注释 2 9 14 4 2" xfId="21307" xr:uid="{00000000-0005-0000-0000-00006B530000}"/>
    <cellStyle name="注释 2 9 14 5" xfId="34782" xr:uid="{00000000-0005-0000-0000-00000E880000}"/>
    <cellStyle name="注释 2 9 14 5 2" xfId="21531" xr:uid="{00000000-0005-0000-0000-00004B540000}"/>
    <cellStyle name="注释 2 9 14 6" xfId="34784" xr:uid="{00000000-0005-0000-0000-000010880000}"/>
    <cellStyle name="注释 2 9 15" xfId="2870" xr:uid="{00000000-0005-0000-0000-0000660B0000}"/>
    <cellStyle name="注释 2 9 15 2" xfId="34790" xr:uid="{00000000-0005-0000-0000-000016880000}"/>
    <cellStyle name="注释 2 9 15 2 2" xfId="14494" xr:uid="{00000000-0005-0000-0000-0000CE380000}"/>
    <cellStyle name="注释 2 9 15 3" xfId="32647" xr:uid="{00000000-0005-0000-0000-0000B77F0000}"/>
    <cellStyle name="注释 2 9 15 3 2" xfId="14530" xr:uid="{00000000-0005-0000-0000-0000F2380000}"/>
    <cellStyle name="注释 2 9 15 4" xfId="34793" xr:uid="{00000000-0005-0000-0000-000019880000}"/>
    <cellStyle name="注释 2 9 15 4 2" xfId="14566" xr:uid="{00000000-0005-0000-0000-000016390000}"/>
    <cellStyle name="注释 2 9 15 5" xfId="34795" xr:uid="{00000000-0005-0000-0000-00001B880000}"/>
    <cellStyle name="注释 2 9 15 5 2" xfId="20520" xr:uid="{00000000-0005-0000-0000-000058500000}"/>
    <cellStyle name="注释 2 9 15 6" xfId="34797" xr:uid="{00000000-0005-0000-0000-00001D880000}"/>
    <cellStyle name="注释 2 9 16" xfId="31722" xr:uid="{00000000-0005-0000-0000-00001A7C0000}"/>
    <cellStyle name="注释 2 9 16 2" xfId="34799" xr:uid="{00000000-0005-0000-0000-00001F880000}"/>
    <cellStyle name="注释 2 9 16 2 2" xfId="34802" xr:uid="{00000000-0005-0000-0000-000022880000}"/>
    <cellStyle name="注释 2 9 16 3" xfId="32651" xr:uid="{00000000-0005-0000-0000-0000BB7F0000}"/>
    <cellStyle name="注释 2 9 16 3 2" xfId="34804" xr:uid="{00000000-0005-0000-0000-000024880000}"/>
    <cellStyle name="注释 2 9 16 4" xfId="34806" xr:uid="{00000000-0005-0000-0000-000026880000}"/>
    <cellStyle name="注释 2 9 16 4 2" xfId="34808" xr:uid="{00000000-0005-0000-0000-000028880000}"/>
    <cellStyle name="注释 2 9 16 5" xfId="34810" xr:uid="{00000000-0005-0000-0000-00002A880000}"/>
    <cellStyle name="注释 2 9 16 5 2" xfId="34812" xr:uid="{00000000-0005-0000-0000-00002C880000}"/>
    <cellStyle name="注释 2 9 16 6" xfId="34814" xr:uid="{00000000-0005-0000-0000-00002E880000}"/>
    <cellStyle name="注释 2 9 17" xfId="34818" xr:uid="{00000000-0005-0000-0000-000032880000}"/>
    <cellStyle name="注释 2 9 17 2" xfId="34821" xr:uid="{00000000-0005-0000-0000-000035880000}"/>
    <cellStyle name="注释 2 9 17 2 2" xfId="34824" xr:uid="{00000000-0005-0000-0000-000038880000}"/>
    <cellStyle name="注释 2 9 17 3" xfId="32655" xr:uid="{00000000-0005-0000-0000-0000BF7F0000}"/>
    <cellStyle name="注释 2 9 17 3 2" xfId="34826" xr:uid="{00000000-0005-0000-0000-00003A880000}"/>
    <cellStyle name="注释 2 9 17 4" xfId="27973" xr:uid="{00000000-0005-0000-0000-0000756D0000}"/>
    <cellStyle name="注释 2 9 17 4 2" xfId="34828" xr:uid="{00000000-0005-0000-0000-00003C880000}"/>
    <cellStyle name="注释 2 9 17 5" xfId="34830" xr:uid="{00000000-0005-0000-0000-00003E880000}"/>
    <cellStyle name="注释 2 9 17 5 2" xfId="55491" xr:uid="{00000000-0005-0000-0000-0000F3D80000}"/>
    <cellStyle name="注释 2 9 17 6" xfId="55492" xr:uid="{00000000-0005-0000-0000-0000F4D80000}"/>
    <cellStyle name="注释 2 9 18" xfId="34832" xr:uid="{00000000-0005-0000-0000-000040880000}"/>
    <cellStyle name="注释 2 9 18 2" xfId="34835" xr:uid="{00000000-0005-0000-0000-000043880000}"/>
    <cellStyle name="注释 2 9 18 2 2" xfId="55493" xr:uid="{00000000-0005-0000-0000-0000F5D80000}"/>
    <cellStyle name="注释 2 9 18 3" xfId="32659" xr:uid="{00000000-0005-0000-0000-0000C37F0000}"/>
    <cellStyle name="注释 2 9 18 3 2" xfId="55494" xr:uid="{00000000-0005-0000-0000-0000F6D80000}"/>
    <cellStyle name="注释 2 9 18 4" xfId="27977" xr:uid="{00000000-0005-0000-0000-0000796D0000}"/>
    <cellStyle name="注释 2 9 18 4 2" xfId="55495" xr:uid="{00000000-0005-0000-0000-0000F7D80000}"/>
    <cellStyle name="注释 2 9 18 5" xfId="55496" xr:uid="{00000000-0005-0000-0000-0000F8D80000}"/>
    <cellStyle name="注释 2 9 18 5 2" xfId="55497" xr:uid="{00000000-0005-0000-0000-0000F9D80000}"/>
    <cellStyle name="注释 2 9 18 6" xfId="55498" xr:uid="{00000000-0005-0000-0000-0000FAD80000}"/>
    <cellStyle name="注释 2 9 19" xfId="13748" xr:uid="{00000000-0005-0000-0000-0000E4350000}"/>
    <cellStyle name="注释 2 9 19 2" xfId="17707" xr:uid="{00000000-0005-0000-0000-00005B450000}"/>
    <cellStyle name="注释 2 9 19 2 2" xfId="55499" xr:uid="{00000000-0005-0000-0000-0000FBD80000}"/>
    <cellStyle name="注释 2 9 19 3" xfId="55500" xr:uid="{00000000-0005-0000-0000-0000FCD80000}"/>
    <cellStyle name="注释 2 9 19 3 2" xfId="55501" xr:uid="{00000000-0005-0000-0000-0000FDD80000}"/>
    <cellStyle name="注释 2 9 19 4" xfId="27980" xr:uid="{00000000-0005-0000-0000-00007C6D0000}"/>
    <cellStyle name="注释 2 9 19 4 2" xfId="22550" xr:uid="{00000000-0005-0000-0000-000046580000}"/>
    <cellStyle name="注释 2 9 19 5" xfId="15140" xr:uid="{00000000-0005-0000-0000-0000543B0000}"/>
    <cellStyle name="注释 2 9 2" xfId="55502" xr:uid="{00000000-0005-0000-0000-0000FED80000}"/>
    <cellStyle name="注释 2 9 2 10" xfId="55503" xr:uid="{00000000-0005-0000-0000-0000FFD80000}"/>
    <cellStyle name="注释 2 9 2 10 2" xfId="55504" xr:uid="{00000000-0005-0000-0000-000000D90000}"/>
    <cellStyle name="注释 2 9 2 11" xfId="55505" xr:uid="{00000000-0005-0000-0000-000001D90000}"/>
    <cellStyle name="注释 2 9 2 11 2" xfId="55506" xr:uid="{00000000-0005-0000-0000-000002D90000}"/>
    <cellStyle name="注释 2 9 2 12" xfId="55507" xr:uid="{00000000-0005-0000-0000-000003D90000}"/>
    <cellStyle name="注释 2 9 2 12 2" xfId="55508" xr:uid="{00000000-0005-0000-0000-000004D90000}"/>
    <cellStyle name="注释 2 9 2 13" xfId="55509" xr:uid="{00000000-0005-0000-0000-000005D90000}"/>
    <cellStyle name="注释 2 9 2 14" xfId="48468" xr:uid="{00000000-0005-0000-0000-000084BD0000}"/>
    <cellStyle name="注释 2 9 2 15" xfId="55510" xr:uid="{00000000-0005-0000-0000-000006D90000}"/>
    <cellStyle name="注释 2 9 2 16" xfId="27426" xr:uid="{00000000-0005-0000-0000-0000526B0000}"/>
    <cellStyle name="注释 2 9 2 2" xfId="55511" xr:uid="{00000000-0005-0000-0000-000007D90000}"/>
    <cellStyle name="注释 2 9 2 2 2" xfId="55512" xr:uid="{00000000-0005-0000-0000-000008D90000}"/>
    <cellStyle name="注释 2 9 2 2 2 2" xfId="55513" xr:uid="{00000000-0005-0000-0000-000009D90000}"/>
    <cellStyle name="注释 2 9 2 2 3" xfId="55514" xr:uid="{00000000-0005-0000-0000-00000AD90000}"/>
    <cellStyle name="注释 2 9 2 2 3 2" xfId="55515" xr:uid="{00000000-0005-0000-0000-00000BD90000}"/>
    <cellStyle name="注释 2 9 2 2 4" xfId="53086" xr:uid="{00000000-0005-0000-0000-00008ECF0000}"/>
    <cellStyle name="注释 2 9 2 2 4 2" xfId="55516" xr:uid="{00000000-0005-0000-0000-00000CD90000}"/>
    <cellStyle name="注释 2 9 2 2 5" xfId="55517" xr:uid="{00000000-0005-0000-0000-00000DD90000}"/>
    <cellStyle name="注释 2 9 2 2 5 2" xfId="55518" xr:uid="{00000000-0005-0000-0000-00000ED90000}"/>
    <cellStyle name="注释 2 9 2 2 6" xfId="21193" xr:uid="{00000000-0005-0000-0000-0000F9520000}"/>
    <cellStyle name="注释 2 9 2 2 7" xfId="21198" xr:uid="{00000000-0005-0000-0000-0000FE520000}"/>
    <cellStyle name="注释 2 9 2 2 8" xfId="21202" xr:uid="{00000000-0005-0000-0000-000002530000}"/>
    <cellStyle name="注释 2 9 2 2 9" xfId="21206" xr:uid="{00000000-0005-0000-0000-000006530000}"/>
    <cellStyle name="注释 2 9 2 3" xfId="55519" xr:uid="{00000000-0005-0000-0000-00000FD90000}"/>
    <cellStyle name="注释 2 9 2 3 2" xfId="31828" xr:uid="{00000000-0005-0000-0000-0000847C0000}"/>
    <cellStyle name="注释 2 9 2 3 2 2" xfId="31830" xr:uid="{00000000-0005-0000-0000-0000867C0000}"/>
    <cellStyle name="注释 2 9 2 3 3" xfId="31832" xr:uid="{00000000-0005-0000-0000-0000887C0000}"/>
    <cellStyle name="注释 2 9 2 3 3 2" xfId="55520" xr:uid="{00000000-0005-0000-0000-000010D90000}"/>
    <cellStyle name="注释 2 9 2 3 4" xfId="31834" xr:uid="{00000000-0005-0000-0000-00008A7C0000}"/>
    <cellStyle name="注释 2 9 2 3 4 2" xfId="55521" xr:uid="{00000000-0005-0000-0000-000011D90000}"/>
    <cellStyle name="注释 2 9 2 3 5" xfId="26999" xr:uid="{00000000-0005-0000-0000-0000A7690000}"/>
    <cellStyle name="注释 2 9 2 3 5 2" xfId="55522" xr:uid="{00000000-0005-0000-0000-000012D90000}"/>
    <cellStyle name="注释 2 9 2 3 6" xfId="31837" xr:uid="{00000000-0005-0000-0000-00008D7C0000}"/>
    <cellStyle name="注释 2 9 2 4" xfId="55523" xr:uid="{00000000-0005-0000-0000-000013D90000}"/>
    <cellStyle name="注释 2 9 2 4 2" xfId="31848" xr:uid="{00000000-0005-0000-0000-0000987C0000}"/>
    <cellStyle name="注释 2 9 2 4 2 2" xfId="31850" xr:uid="{00000000-0005-0000-0000-00009A7C0000}"/>
    <cellStyle name="注释 2 9 2 4 3" xfId="31852" xr:uid="{00000000-0005-0000-0000-00009C7C0000}"/>
    <cellStyle name="注释 2 9 2 4 3 2" xfId="55525" xr:uid="{00000000-0005-0000-0000-000015D90000}"/>
    <cellStyle name="注释 2 9 2 4 4" xfId="53089" xr:uid="{00000000-0005-0000-0000-000091CF0000}"/>
    <cellStyle name="注释 2 9 2 4 4 2" xfId="55526" xr:uid="{00000000-0005-0000-0000-000016D90000}"/>
    <cellStyle name="注释 2 9 2 4 5" xfId="55527" xr:uid="{00000000-0005-0000-0000-000017D90000}"/>
    <cellStyle name="注释 2 9 2 4 5 2" xfId="40278" xr:uid="{00000000-0005-0000-0000-0000869D0000}"/>
    <cellStyle name="注释 2 9 2 4 6" xfId="24281" xr:uid="{00000000-0005-0000-0000-0000095F0000}"/>
    <cellStyle name="注释 2 9 2 5" xfId="9678" xr:uid="{00000000-0005-0000-0000-0000FE250000}"/>
    <cellStyle name="注释 2 9 2 5 2" xfId="31861" xr:uid="{00000000-0005-0000-0000-0000A57C0000}"/>
    <cellStyle name="注释 2 9 2 5 2 2" xfId="31863" xr:uid="{00000000-0005-0000-0000-0000A77C0000}"/>
    <cellStyle name="注释 2 9 2 5 3" xfId="31865" xr:uid="{00000000-0005-0000-0000-0000A97C0000}"/>
    <cellStyle name="注释 2 9 2 5 3 2" xfId="55528" xr:uid="{00000000-0005-0000-0000-000018D90000}"/>
    <cellStyle name="注释 2 9 2 5 4" xfId="53092" xr:uid="{00000000-0005-0000-0000-000094CF0000}"/>
    <cellStyle name="注释 2 9 2 5 4 2" xfId="55529" xr:uid="{00000000-0005-0000-0000-000019D90000}"/>
    <cellStyle name="注释 2 9 2 5 5" xfId="55530" xr:uid="{00000000-0005-0000-0000-00001AD90000}"/>
    <cellStyle name="注释 2 9 2 5 5 2" xfId="55531" xr:uid="{00000000-0005-0000-0000-00001BD90000}"/>
    <cellStyle name="注释 2 9 2 5 6" xfId="12464" xr:uid="{00000000-0005-0000-0000-0000E0300000}"/>
    <cellStyle name="注释 2 9 2 6" xfId="55532" xr:uid="{00000000-0005-0000-0000-00001CD90000}"/>
    <cellStyle name="注释 2 9 2 6 2" xfId="31877" xr:uid="{00000000-0005-0000-0000-0000B57C0000}"/>
    <cellStyle name="注释 2 9 2 6 2 2" xfId="31879" xr:uid="{00000000-0005-0000-0000-0000B77C0000}"/>
    <cellStyle name="注释 2 9 2 6 3" xfId="31881" xr:uid="{00000000-0005-0000-0000-0000B97C0000}"/>
    <cellStyle name="注释 2 9 2 6 3 2" xfId="55533" xr:uid="{00000000-0005-0000-0000-00001DD90000}"/>
    <cellStyle name="注释 2 9 2 6 4" xfId="55534" xr:uid="{00000000-0005-0000-0000-00001ED90000}"/>
    <cellStyle name="注释 2 9 2 6 4 2" xfId="43513" xr:uid="{00000000-0005-0000-0000-000029AA0000}"/>
    <cellStyle name="注释 2 9 2 6 5" xfId="55535" xr:uid="{00000000-0005-0000-0000-00001FD90000}"/>
    <cellStyle name="注释 2 9 2 6 5 2" xfId="55536" xr:uid="{00000000-0005-0000-0000-000020D90000}"/>
    <cellStyle name="注释 2 9 2 6 6" xfId="7614" xr:uid="{00000000-0005-0000-0000-0000EE1D0000}"/>
    <cellStyle name="注释 2 9 2 7" xfId="55537" xr:uid="{00000000-0005-0000-0000-000021D90000}"/>
    <cellStyle name="注释 2 9 2 7 2" xfId="31892" xr:uid="{00000000-0005-0000-0000-0000C47C0000}"/>
    <cellStyle name="注释 2 9 2 7 2 2" xfId="31894" xr:uid="{00000000-0005-0000-0000-0000C67C0000}"/>
    <cellStyle name="注释 2 9 2 7 3" xfId="31896" xr:uid="{00000000-0005-0000-0000-0000C87C0000}"/>
    <cellStyle name="注释 2 9 2 7 3 2" xfId="55538" xr:uid="{00000000-0005-0000-0000-000022D90000}"/>
    <cellStyle name="注释 2 9 2 7 4" xfId="55539" xr:uid="{00000000-0005-0000-0000-000023D90000}"/>
    <cellStyle name="注释 2 9 2 7 4 2" xfId="43865" xr:uid="{00000000-0005-0000-0000-000089AB0000}"/>
    <cellStyle name="注释 2 9 2 7 5" xfId="55540" xr:uid="{00000000-0005-0000-0000-000024D90000}"/>
    <cellStyle name="注释 2 9 2 7 5 2" xfId="55541" xr:uid="{00000000-0005-0000-0000-000025D90000}"/>
    <cellStyle name="注释 2 9 2 7 6" xfId="7633" xr:uid="{00000000-0005-0000-0000-0000011E0000}"/>
    <cellStyle name="注释 2 9 2 8" xfId="55542" xr:uid="{00000000-0005-0000-0000-000026D90000}"/>
    <cellStyle name="注释 2 9 2 8 2" xfId="31913" xr:uid="{00000000-0005-0000-0000-0000D97C0000}"/>
    <cellStyle name="注释 2 9 2 8 2 2" xfId="31916" xr:uid="{00000000-0005-0000-0000-0000DC7C0000}"/>
    <cellStyle name="注释 2 9 2 8 3" xfId="31919" xr:uid="{00000000-0005-0000-0000-0000DF7C0000}"/>
    <cellStyle name="注释 2 9 2 8 3 2" xfId="55543" xr:uid="{00000000-0005-0000-0000-000027D90000}"/>
    <cellStyle name="注释 2 9 2 8 4" xfId="55544" xr:uid="{00000000-0005-0000-0000-000028D90000}"/>
    <cellStyle name="注释 2 9 2 8 4 2" xfId="55545" xr:uid="{00000000-0005-0000-0000-000029D90000}"/>
    <cellStyle name="注释 2 9 2 8 5" xfId="55546" xr:uid="{00000000-0005-0000-0000-00002AD90000}"/>
    <cellStyle name="注释 2 9 2 9" xfId="55266" xr:uid="{00000000-0005-0000-0000-000012D80000}"/>
    <cellStyle name="注释 2 9 2 9 2" xfId="31937" xr:uid="{00000000-0005-0000-0000-0000F17C0000}"/>
    <cellStyle name="注释 2 9 20" xfId="2871" xr:uid="{00000000-0005-0000-0000-0000670B0000}"/>
    <cellStyle name="注释 2 9 20 2" xfId="34791" xr:uid="{00000000-0005-0000-0000-000017880000}"/>
    <cellStyle name="注释 2 9 21" xfId="31721" xr:uid="{00000000-0005-0000-0000-0000197C0000}"/>
    <cellStyle name="注释 2 9 21 2" xfId="34800" xr:uid="{00000000-0005-0000-0000-000020880000}"/>
    <cellStyle name="注释 2 9 22" xfId="34819" xr:uid="{00000000-0005-0000-0000-000033880000}"/>
    <cellStyle name="注释 2 9 22 2" xfId="34822" xr:uid="{00000000-0005-0000-0000-000036880000}"/>
    <cellStyle name="注释 2 9 23" xfId="34833" xr:uid="{00000000-0005-0000-0000-000041880000}"/>
    <cellStyle name="注释 2 9 23 2" xfId="34836" xr:uid="{00000000-0005-0000-0000-000044880000}"/>
    <cellStyle name="注释 2 9 24" xfId="13749" xr:uid="{00000000-0005-0000-0000-0000E5350000}"/>
    <cellStyle name="注释 2 9 25" xfId="17710" xr:uid="{00000000-0005-0000-0000-00005E450000}"/>
    <cellStyle name="注释 2 9 26" xfId="17714" xr:uid="{00000000-0005-0000-0000-000062450000}"/>
    <cellStyle name="注释 2 9 27" xfId="55547" xr:uid="{00000000-0005-0000-0000-00002BD90000}"/>
    <cellStyle name="注释 2 9 3" xfId="45667" xr:uid="{00000000-0005-0000-0000-000093B20000}"/>
    <cellStyle name="注释 2 9 3 10" xfId="44325" xr:uid="{00000000-0005-0000-0000-000055AD0000}"/>
    <cellStyle name="注释 2 9 3 10 2" xfId="44327" xr:uid="{00000000-0005-0000-0000-000057AD0000}"/>
    <cellStyle name="注释 2 9 3 11" xfId="44329" xr:uid="{00000000-0005-0000-0000-000059AD0000}"/>
    <cellStyle name="注释 2 9 3 11 2" xfId="44331" xr:uid="{00000000-0005-0000-0000-00005BAD0000}"/>
    <cellStyle name="注释 2 9 3 12" xfId="44333" xr:uid="{00000000-0005-0000-0000-00005DAD0000}"/>
    <cellStyle name="注释 2 9 3 12 2" xfId="55548" xr:uid="{00000000-0005-0000-0000-00002CD90000}"/>
    <cellStyle name="注释 2 9 3 13" xfId="44335" xr:uid="{00000000-0005-0000-0000-00005FAD0000}"/>
    <cellStyle name="注释 2 9 3 14" xfId="9269" xr:uid="{00000000-0005-0000-0000-000065240000}"/>
    <cellStyle name="注释 2 9 3 15" xfId="44337" xr:uid="{00000000-0005-0000-0000-000061AD0000}"/>
    <cellStyle name="注释 2 9 3 16" xfId="39627" xr:uid="{00000000-0005-0000-0000-0000FB9A0000}"/>
    <cellStyle name="注释 2 9 3 2" xfId="55549" xr:uid="{00000000-0005-0000-0000-00002DD90000}"/>
    <cellStyle name="注释 2 9 3 2 2" xfId="55550" xr:uid="{00000000-0005-0000-0000-00002ED90000}"/>
    <cellStyle name="注释 2 9 3 2 2 2" xfId="53262" xr:uid="{00000000-0005-0000-0000-00003ED00000}"/>
    <cellStyle name="注释 2 9 3 2 3" xfId="55551" xr:uid="{00000000-0005-0000-0000-00002FD90000}"/>
    <cellStyle name="注释 2 9 3 2 3 2" xfId="53335" xr:uid="{00000000-0005-0000-0000-000087D00000}"/>
    <cellStyle name="注释 2 9 3 2 4" xfId="53096" xr:uid="{00000000-0005-0000-0000-000098CF0000}"/>
    <cellStyle name="注释 2 9 3 2 4 2" xfId="51065" xr:uid="{00000000-0005-0000-0000-0000A9C70000}"/>
    <cellStyle name="注释 2 9 3 2 5" xfId="55552" xr:uid="{00000000-0005-0000-0000-000030D90000}"/>
    <cellStyle name="注释 2 9 3 2 5 2" xfId="53406" xr:uid="{00000000-0005-0000-0000-0000CED00000}"/>
    <cellStyle name="注释 2 9 3 2 6" xfId="26744" xr:uid="{00000000-0005-0000-0000-0000A8680000}"/>
    <cellStyle name="注释 2 9 3 2 7" xfId="26760" xr:uid="{00000000-0005-0000-0000-0000B8680000}"/>
    <cellStyle name="注释 2 9 3 2 8" xfId="26778" xr:uid="{00000000-0005-0000-0000-0000CA680000}"/>
    <cellStyle name="注释 2 9 3 2 9" xfId="26805" xr:uid="{00000000-0005-0000-0000-0000E5680000}"/>
    <cellStyle name="注释 2 9 3 3" xfId="55553" xr:uid="{00000000-0005-0000-0000-000031D90000}"/>
    <cellStyle name="注释 2 9 3 3 2" xfId="55554" xr:uid="{00000000-0005-0000-0000-000032D90000}"/>
    <cellStyle name="注释 2 9 3 3 2 2" xfId="53654" xr:uid="{00000000-0005-0000-0000-0000C6D10000}"/>
    <cellStyle name="注释 2 9 3 3 3" xfId="55555" xr:uid="{00000000-0005-0000-0000-000033D90000}"/>
    <cellStyle name="注释 2 9 3 3 3 2" xfId="53683" xr:uid="{00000000-0005-0000-0000-0000E3D10000}"/>
    <cellStyle name="注释 2 9 3 3 4" xfId="53099" xr:uid="{00000000-0005-0000-0000-00009BCF0000}"/>
    <cellStyle name="注释 2 9 3 3 4 2" xfId="53718" xr:uid="{00000000-0005-0000-0000-000006D20000}"/>
    <cellStyle name="注释 2 9 3 3 5" xfId="55556" xr:uid="{00000000-0005-0000-0000-000034D90000}"/>
    <cellStyle name="注释 2 9 3 3 5 2" xfId="53768" xr:uid="{00000000-0005-0000-0000-000038D20000}"/>
    <cellStyle name="注释 2 9 3 3 6" xfId="28702" xr:uid="{00000000-0005-0000-0000-00004E700000}"/>
    <cellStyle name="注释 2 9 3 4" xfId="55557" xr:uid="{00000000-0005-0000-0000-000035D90000}"/>
    <cellStyle name="注释 2 9 3 4 2" xfId="55559" xr:uid="{00000000-0005-0000-0000-000037D90000}"/>
    <cellStyle name="注释 2 9 3 4 2 2" xfId="54149" xr:uid="{00000000-0005-0000-0000-0000B5D30000}"/>
    <cellStyle name="注释 2 9 3 4 3" xfId="55560" xr:uid="{00000000-0005-0000-0000-000038D90000}"/>
    <cellStyle name="注释 2 9 3 4 3 2" xfId="54196" xr:uid="{00000000-0005-0000-0000-0000E4D30000}"/>
    <cellStyle name="注释 2 9 3 4 4" xfId="53102" xr:uid="{00000000-0005-0000-0000-00009ECF0000}"/>
    <cellStyle name="注释 2 9 3 4 4 2" xfId="54243" xr:uid="{00000000-0005-0000-0000-000013D40000}"/>
    <cellStyle name="注释 2 9 3 4 5" xfId="55561" xr:uid="{00000000-0005-0000-0000-000039D90000}"/>
    <cellStyle name="注释 2 9 3 4 5 2" xfId="42405" xr:uid="{00000000-0005-0000-0000-0000D5A50000}"/>
    <cellStyle name="注释 2 9 3 4 6" xfId="24296" xr:uid="{00000000-0005-0000-0000-0000185F0000}"/>
    <cellStyle name="注释 2 9 3 5" xfId="55562" xr:uid="{00000000-0005-0000-0000-00003AD90000}"/>
    <cellStyle name="注释 2 9 3 5 2" xfId="55563" xr:uid="{00000000-0005-0000-0000-00003BD90000}"/>
    <cellStyle name="注释 2 9 3 5 2 2" xfId="54517" xr:uid="{00000000-0005-0000-0000-000025D50000}"/>
    <cellStyle name="注释 2 9 3 5 3" xfId="55564" xr:uid="{00000000-0005-0000-0000-00003CD90000}"/>
    <cellStyle name="注释 2 9 3 5 3 2" xfId="54567" xr:uid="{00000000-0005-0000-0000-000057D50000}"/>
    <cellStyle name="注释 2 9 3 5 4" xfId="53105" xr:uid="{00000000-0005-0000-0000-0000A1CF0000}"/>
    <cellStyle name="注释 2 9 3 5 4 2" xfId="54631" xr:uid="{00000000-0005-0000-0000-000097D50000}"/>
    <cellStyle name="注释 2 9 3 5 5" xfId="55565" xr:uid="{00000000-0005-0000-0000-00003DD90000}"/>
    <cellStyle name="注释 2 9 3 5 5 2" xfId="54692" xr:uid="{00000000-0005-0000-0000-0000D4D50000}"/>
    <cellStyle name="注释 2 9 3 5 6" xfId="24302" xr:uid="{00000000-0005-0000-0000-00001E5F0000}"/>
    <cellStyle name="注释 2 9 3 6" xfId="13617" xr:uid="{00000000-0005-0000-0000-000061350000}"/>
    <cellStyle name="注释 2 9 3 6 2" xfId="55566" xr:uid="{00000000-0005-0000-0000-00003ED90000}"/>
    <cellStyle name="注释 2 9 3 6 2 2" xfId="55049" xr:uid="{00000000-0005-0000-0000-000039D70000}"/>
    <cellStyle name="注释 2 9 3 6 3" xfId="55567" xr:uid="{00000000-0005-0000-0000-00003FD90000}"/>
    <cellStyle name="注释 2 9 3 6 3 2" xfId="55086" xr:uid="{00000000-0005-0000-0000-00005ED70000}"/>
    <cellStyle name="注释 2 9 3 6 4" xfId="55568" xr:uid="{00000000-0005-0000-0000-000040D90000}"/>
    <cellStyle name="注释 2 9 3 6 4 2" xfId="51321" xr:uid="{00000000-0005-0000-0000-0000A9C80000}"/>
    <cellStyle name="注释 2 9 3 6 5" xfId="6533" xr:uid="{00000000-0005-0000-0000-0000B5190000}"/>
    <cellStyle name="注释 2 9 3 6 5 2" xfId="55149" xr:uid="{00000000-0005-0000-0000-00009DD70000}"/>
    <cellStyle name="注释 2 9 3 6 6" xfId="24312" xr:uid="{00000000-0005-0000-0000-0000285F0000}"/>
    <cellStyle name="注释 2 9 3 7" xfId="55569" xr:uid="{00000000-0005-0000-0000-000041D90000}"/>
    <cellStyle name="注释 2 9 3 7 2" xfId="55570" xr:uid="{00000000-0005-0000-0000-000042D90000}"/>
    <cellStyle name="注释 2 9 3 7 2 2" xfId="55524" xr:uid="{00000000-0005-0000-0000-000014D90000}"/>
    <cellStyle name="注释 2 9 3 7 3" xfId="38368" xr:uid="{00000000-0005-0000-0000-000010960000}"/>
    <cellStyle name="注释 2 9 3 7 3 2" xfId="55558" xr:uid="{00000000-0005-0000-0000-000036D90000}"/>
    <cellStyle name="注释 2 9 3 7 4" xfId="55571" xr:uid="{00000000-0005-0000-0000-000043D90000}"/>
    <cellStyle name="注释 2 9 3 7 4 2" xfId="51723" xr:uid="{00000000-0005-0000-0000-00003BCA0000}"/>
    <cellStyle name="注释 2 9 3 7 5" xfId="6546" xr:uid="{00000000-0005-0000-0000-0000C2190000}"/>
    <cellStyle name="注释 2 9 3 7 5 2" xfId="55572" xr:uid="{00000000-0005-0000-0000-000044D90000}"/>
    <cellStyle name="注释 2 9 3 7 6" xfId="24318" xr:uid="{00000000-0005-0000-0000-00002E5F0000}"/>
    <cellStyle name="注释 2 9 3 8" xfId="55574" xr:uid="{00000000-0005-0000-0000-000046D90000}"/>
    <cellStyle name="注释 2 9 3 8 2" xfId="55575" xr:uid="{00000000-0005-0000-0000-000047D90000}"/>
    <cellStyle name="注释 2 9 3 8 2 2" xfId="55576" xr:uid="{00000000-0005-0000-0000-000048D90000}"/>
    <cellStyle name="注释 2 9 3 8 3" xfId="38371" xr:uid="{00000000-0005-0000-0000-000013960000}"/>
    <cellStyle name="注释 2 9 3 8 3 2" xfId="55577" xr:uid="{00000000-0005-0000-0000-000049D90000}"/>
    <cellStyle name="注释 2 9 3 8 4" xfId="55578" xr:uid="{00000000-0005-0000-0000-00004AD90000}"/>
    <cellStyle name="注释 2 9 3 8 4 2" xfId="55579" xr:uid="{00000000-0005-0000-0000-00004BD90000}"/>
    <cellStyle name="注释 2 9 3 8 5" xfId="6562" xr:uid="{00000000-0005-0000-0000-0000D2190000}"/>
    <cellStyle name="注释 2 9 3 9" xfId="55275" xr:uid="{00000000-0005-0000-0000-00001BD80000}"/>
    <cellStyle name="注释 2 9 3 9 2" xfId="55277" xr:uid="{00000000-0005-0000-0000-00001DD80000}"/>
    <cellStyle name="注释 2 9 4" xfId="40013" xr:uid="{00000000-0005-0000-0000-00007D9C0000}"/>
    <cellStyle name="注释 2 9 4 10" xfId="44373" xr:uid="{00000000-0005-0000-0000-000085AD0000}"/>
    <cellStyle name="注释 2 9 4 10 2" xfId="44375" xr:uid="{00000000-0005-0000-0000-000087AD0000}"/>
    <cellStyle name="注释 2 9 4 11" xfId="44377" xr:uid="{00000000-0005-0000-0000-000089AD0000}"/>
    <cellStyle name="注释 2 9 4 11 2" xfId="44379" xr:uid="{00000000-0005-0000-0000-00008BAD0000}"/>
    <cellStyle name="注释 2 9 4 12" xfId="33558" xr:uid="{00000000-0005-0000-0000-000046830000}"/>
    <cellStyle name="注释 2 9 4 12 2" xfId="55580" xr:uid="{00000000-0005-0000-0000-00004CD90000}"/>
    <cellStyle name="注释 2 9 4 13" xfId="55581" xr:uid="{00000000-0005-0000-0000-00004DD90000}"/>
    <cellStyle name="注释 2 9 4 14" xfId="45718" xr:uid="{00000000-0005-0000-0000-0000C6B20000}"/>
    <cellStyle name="注释 2 9 4 15" xfId="27479" xr:uid="{00000000-0005-0000-0000-0000876B0000}"/>
    <cellStyle name="注释 2 9 4 16" xfId="1482" xr:uid="{00000000-0005-0000-0000-0000FA050000}"/>
    <cellStyle name="注释 2 9 4 2" xfId="40015" xr:uid="{00000000-0005-0000-0000-00007F9C0000}"/>
    <cellStyle name="注释 2 9 4 2 2" xfId="55582" xr:uid="{00000000-0005-0000-0000-00004ED90000}"/>
    <cellStyle name="注释 2 9 4 2 2 2" xfId="55583" xr:uid="{00000000-0005-0000-0000-00004FD90000}"/>
    <cellStyle name="注释 2 9 4 2 3" xfId="55584" xr:uid="{00000000-0005-0000-0000-000050D90000}"/>
    <cellStyle name="注释 2 9 4 2 3 2" xfId="55585" xr:uid="{00000000-0005-0000-0000-000051D90000}"/>
    <cellStyle name="注释 2 9 4 2 4" xfId="53110" xr:uid="{00000000-0005-0000-0000-0000A6CF0000}"/>
    <cellStyle name="注释 2 9 4 2 4 2" xfId="55586" xr:uid="{00000000-0005-0000-0000-000052D90000}"/>
    <cellStyle name="注释 2 9 4 2 5" xfId="55587" xr:uid="{00000000-0005-0000-0000-000053D90000}"/>
    <cellStyle name="注释 2 9 4 2 5 2" xfId="46443" xr:uid="{00000000-0005-0000-0000-00009BB50000}"/>
    <cellStyle name="注释 2 9 4 2 6" xfId="26940" xr:uid="{00000000-0005-0000-0000-00006C690000}"/>
    <cellStyle name="注释 2 9 4 2 7" xfId="52956" xr:uid="{00000000-0005-0000-0000-00000CCF0000}"/>
    <cellStyle name="注释 2 9 4 2 8" xfId="55588" xr:uid="{00000000-0005-0000-0000-000054D90000}"/>
    <cellStyle name="注释 2 9 4 2 9" xfId="55589" xr:uid="{00000000-0005-0000-0000-000055D90000}"/>
    <cellStyle name="注释 2 9 4 3" xfId="51719" xr:uid="{00000000-0005-0000-0000-000037CA0000}"/>
    <cellStyle name="注释 2 9 4 3 2" xfId="51721" xr:uid="{00000000-0005-0000-0000-000039CA0000}"/>
    <cellStyle name="注释 2 9 4 3 2 2" xfId="55590" xr:uid="{00000000-0005-0000-0000-000056D90000}"/>
    <cellStyle name="注释 2 9 4 3 3" xfId="55591" xr:uid="{00000000-0005-0000-0000-000057D90000}"/>
    <cellStyle name="注释 2 9 4 3 3 2" xfId="55592" xr:uid="{00000000-0005-0000-0000-000058D90000}"/>
    <cellStyle name="注释 2 9 4 3 4" xfId="53113" xr:uid="{00000000-0005-0000-0000-0000A9CF0000}"/>
    <cellStyle name="注释 2 9 4 3 4 2" xfId="55593" xr:uid="{00000000-0005-0000-0000-000059D90000}"/>
    <cellStyle name="注释 2 9 4 3 5" xfId="55594" xr:uid="{00000000-0005-0000-0000-00005AD90000}"/>
    <cellStyle name="注释 2 9 4 3 5 2" xfId="55595" xr:uid="{00000000-0005-0000-0000-00005BD90000}"/>
    <cellStyle name="注释 2 9 4 3 6" xfId="55596" xr:uid="{00000000-0005-0000-0000-00005CD90000}"/>
    <cellStyle name="注释 2 9 4 4" xfId="51724" xr:uid="{00000000-0005-0000-0000-00003CCA0000}"/>
    <cellStyle name="注释 2 9 4 4 2" xfId="51726" xr:uid="{00000000-0005-0000-0000-00003ECA0000}"/>
    <cellStyle name="注释 2 9 4 4 2 2" xfId="55597" xr:uid="{00000000-0005-0000-0000-00005DD90000}"/>
    <cellStyle name="注释 2 9 4 4 3" xfId="55598" xr:uid="{00000000-0005-0000-0000-00005ED90000}"/>
    <cellStyle name="注释 2 9 4 4 3 2" xfId="55599" xr:uid="{00000000-0005-0000-0000-00005FD90000}"/>
    <cellStyle name="注释 2 9 4 4 4" xfId="53116" xr:uid="{00000000-0005-0000-0000-0000ACCF0000}"/>
    <cellStyle name="注释 2 9 4 4 4 2" xfId="55600" xr:uid="{00000000-0005-0000-0000-000060D90000}"/>
    <cellStyle name="注释 2 9 4 4 5" xfId="55601" xr:uid="{00000000-0005-0000-0000-000061D90000}"/>
    <cellStyle name="注释 2 9 4 4 5 2" xfId="55602" xr:uid="{00000000-0005-0000-0000-000062D90000}"/>
    <cellStyle name="注释 2 9 4 4 6" xfId="24323" xr:uid="{00000000-0005-0000-0000-0000335F0000}"/>
    <cellStyle name="注释 2 9 4 5" xfId="51728" xr:uid="{00000000-0005-0000-0000-000040CA0000}"/>
    <cellStyle name="注释 2 9 4 5 2" xfId="51730" xr:uid="{00000000-0005-0000-0000-000042CA0000}"/>
    <cellStyle name="注释 2 9 4 5 2 2" xfId="55603" xr:uid="{00000000-0005-0000-0000-000063D90000}"/>
    <cellStyle name="注释 2 9 4 5 3" xfId="55604" xr:uid="{00000000-0005-0000-0000-000064D90000}"/>
    <cellStyle name="注释 2 9 4 5 3 2" xfId="55605" xr:uid="{00000000-0005-0000-0000-000065D90000}"/>
    <cellStyle name="注释 2 9 4 5 4" xfId="53119" xr:uid="{00000000-0005-0000-0000-0000AFCF0000}"/>
    <cellStyle name="注释 2 9 4 5 4 2" xfId="55606" xr:uid="{00000000-0005-0000-0000-000066D90000}"/>
    <cellStyle name="注释 2 9 4 5 5" xfId="55607" xr:uid="{00000000-0005-0000-0000-000067D90000}"/>
    <cellStyle name="注释 2 9 4 5 5 2" xfId="55608" xr:uid="{00000000-0005-0000-0000-000068D90000}"/>
    <cellStyle name="注释 2 9 4 5 6" xfId="24327" xr:uid="{00000000-0005-0000-0000-0000375F0000}"/>
    <cellStyle name="注释 2 9 4 6" xfId="13623" xr:uid="{00000000-0005-0000-0000-000067350000}"/>
    <cellStyle name="注释 2 9 4 6 2" xfId="55609" xr:uid="{00000000-0005-0000-0000-000069D90000}"/>
    <cellStyle name="注释 2 9 4 6 2 2" xfId="55610" xr:uid="{00000000-0005-0000-0000-00006AD90000}"/>
    <cellStyle name="注释 2 9 4 6 3" xfId="55611" xr:uid="{00000000-0005-0000-0000-00006BD90000}"/>
    <cellStyle name="注释 2 9 4 6 3 2" xfId="55612" xr:uid="{00000000-0005-0000-0000-00006CD90000}"/>
    <cellStyle name="注释 2 9 4 6 4" xfId="55613" xr:uid="{00000000-0005-0000-0000-00006DD90000}"/>
    <cellStyle name="注释 2 9 4 6 4 2" xfId="55614" xr:uid="{00000000-0005-0000-0000-00006ED90000}"/>
    <cellStyle name="注释 2 9 4 6 5" xfId="55615" xr:uid="{00000000-0005-0000-0000-00006FD90000}"/>
    <cellStyle name="注释 2 9 4 6 5 2" xfId="46860" xr:uid="{00000000-0005-0000-0000-00003CB70000}"/>
    <cellStyle name="注释 2 9 4 6 6" xfId="24330" xr:uid="{00000000-0005-0000-0000-00003A5F0000}"/>
    <cellStyle name="注释 2 9 4 7" xfId="51732" xr:uid="{00000000-0005-0000-0000-000044CA0000}"/>
    <cellStyle name="注释 2 9 4 7 2" xfId="55616" xr:uid="{00000000-0005-0000-0000-000070D90000}"/>
    <cellStyle name="注释 2 9 4 7 2 2" xfId="37392" xr:uid="{00000000-0005-0000-0000-000040920000}"/>
    <cellStyle name="注释 2 9 4 7 3" xfId="38378" xr:uid="{00000000-0005-0000-0000-00001A960000}"/>
    <cellStyle name="注释 2 9 4 7 3 2" xfId="55617" xr:uid="{00000000-0005-0000-0000-000071D90000}"/>
    <cellStyle name="注释 2 9 4 7 4" xfId="55618" xr:uid="{00000000-0005-0000-0000-000072D90000}"/>
    <cellStyle name="注释 2 9 4 7 4 2" xfId="55619" xr:uid="{00000000-0005-0000-0000-000073D90000}"/>
    <cellStyle name="注释 2 9 4 7 5" xfId="55620" xr:uid="{00000000-0005-0000-0000-000074D90000}"/>
    <cellStyle name="注释 2 9 4 7 5 2" xfId="47116" xr:uid="{00000000-0005-0000-0000-00003CB80000}"/>
    <cellStyle name="注释 2 9 4 7 6" xfId="24334" xr:uid="{00000000-0005-0000-0000-00003E5F0000}"/>
    <cellStyle name="注释 2 9 4 8" xfId="51734" xr:uid="{00000000-0005-0000-0000-000046CA0000}"/>
    <cellStyle name="注释 2 9 4 8 2" xfId="55621" xr:uid="{00000000-0005-0000-0000-000075D90000}"/>
    <cellStyle name="注释 2 9 4 8 2 2" xfId="55622" xr:uid="{00000000-0005-0000-0000-000076D90000}"/>
    <cellStyle name="注释 2 9 4 8 3" xfId="38381" xr:uid="{00000000-0005-0000-0000-00001D960000}"/>
    <cellStyle name="注释 2 9 4 8 3 2" xfId="55623" xr:uid="{00000000-0005-0000-0000-000077D90000}"/>
    <cellStyle name="注释 2 9 4 8 4" xfId="55624" xr:uid="{00000000-0005-0000-0000-000078D90000}"/>
    <cellStyle name="注释 2 9 4 8 4 2" xfId="55625" xr:uid="{00000000-0005-0000-0000-000079D90000}"/>
    <cellStyle name="注释 2 9 4 8 5" xfId="55626" xr:uid="{00000000-0005-0000-0000-00007AD90000}"/>
    <cellStyle name="注释 2 9 4 9" xfId="51737" xr:uid="{00000000-0005-0000-0000-000049CA0000}"/>
    <cellStyle name="注释 2 9 4 9 2" xfId="55283" xr:uid="{00000000-0005-0000-0000-000023D80000}"/>
    <cellStyle name="注释 2 9 5" xfId="40017" xr:uid="{00000000-0005-0000-0000-0000819C0000}"/>
    <cellStyle name="注释 2 9 5 10" xfId="55627" xr:uid="{00000000-0005-0000-0000-00007BD90000}"/>
    <cellStyle name="注释 2 9 5 10 2" xfId="55628" xr:uid="{00000000-0005-0000-0000-00007CD90000}"/>
    <cellStyle name="注释 2 9 5 11" xfId="55629" xr:uid="{00000000-0005-0000-0000-00007DD90000}"/>
    <cellStyle name="注释 2 9 5 11 2" xfId="55630" xr:uid="{00000000-0005-0000-0000-00007ED90000}"/>
    <cellStyle name="注释 2 9 5 12" xfId="55631" xr:uid="{00000000-0005-0000-0000-00007FD90000}"/>
    <cellStyle name="注释 2 9 5 12 2" xfId="55632" xr:uid="{00000000-0005-0000-0000-000080D90000}"/>
    <cellStyle name="注释 2 9 5 13" xfId="55633" xr:uid="{00000000-0005-0000-0000-000081D90000}"/>
    <cellStyle name="注释 2 9 5 14" xfId="55634" xr:uid="{00000000-0005-0000-0000-000082D90000}"/>
    <cellStyle name="注释 2 9 5 15" xfId="55635" xr:uid="{00000000-0005-0000-0000-000083D90000}"/>
    <cellStyle name="注释 2 9 5 16" xfId="36369" xr:uid="{00000000-0005-0000-0000-0000418E0000}"/>
    <cellStyle name="注释 2 9 5 2" xfId="40019" xr:uid="{00000000-0005-0000-0000-0000839C0000}"/>
    <cellStyle name="注释 2 9 5 2 2" xfId="55636" xr:uid="{00000000-0005-0000-0000-000084D90000}"/>
    <cellStyle name="注释 2 9 5 2 2 2" xfId="55637" xr:uid="{00000000-0005-0000-0000-000085D90000}"/>
    <cellStyle name="注释 2 9 5 2 3" xfId="55638" xr:uid="{00000000-0005-0000-0000-000086D90000}"/>
    <cellStyle name="注释 2 9 5 2 3 2" xfId="11906" xr:uid="{00000000-0005-0000-0000-0000B22E0000}"/>
    <cellStyle name="注释 2 9 5 2 4" xfId="53124" xr:uid="{00000000-0005-0000-0000-0000B4CF0000}"/>
    <cellStyle name="注释 2 9 5 2 4 2" xfId="55639" xr:uid="{00000000-0005-0000-0000-000087D90000}"/>
    <cellStyle name="注释 2 9 5 2 5" xfId="55640" xr:uid="{00000000-0005-0000-0000-000088D90000}"/>
    <cellStyle name="注释 2 9 5 2 5 2" xfId="49337" xr:uid="{00000000-0005-0000-0000-0000E9C00000}"/>
    <cellStyle name="注释 2 9 5 2 6" xfId="55641" xr:uid="{00000000-0005-0000-0000-000089D90000}"/>
    <cellStyle name="注释 2 9 5 2 7" xfId="55642" xr:uid="{00000000-0005-0000-0000-00008AD90000}"/>
    <cellStyle name="注释 2 9 5 2 8" xfId="55643" xr:uid="{00000000-0005-0000-0000-00008BD90000}"/>
    <cellStyle name="注释 2 9 5 2 9" xfId="55644" xr:uid="{00000000-0005-0000-0000-00008CD90000}"/>
    <cellStyle name="注释 2 9 5 3" xfId="55645" xr:uid="{00000000-0005-0000-0000-00008DD90000}"/>
    <cellStyle name="注释 2 9 5 3 2" xfId="55646" xr:uid="{00000000-0005-0000-0000-00008ED90000}"/>
    <cellStyle name="注释 2 9 5 3 2 2" xfId="55647" xr:uid="{00000000-0005-0000-0000-00008FD90000}"/>
    <cellStyle name="注释 2 9 5 3 3" xfId="48320" xr:uid="{00000000-0005-0000-0000-0000F0BC0000}"/>
    <cellStyle name="注释 2 9 5 3 3 2" xfId="12132" xr:uid="{00000000-0005-0000-0000-0000942F0000}"/>
    <cellStyle name="注释 2 9 5 3 4" xfId="53127" xr:uid="{00000000-0005-0000-0000-0000B7CF0000}"/>
    <cellStyle name="注释 2 9 5 3 4 2" xfId="50282" xr:uid="{00000000-0005-0000-0000-00009AC40000}"/>
    <cellStyle name="注释 2 9 5 3 5" xfId="55648" xr:uid="{00000000-0005-0000-0000-000090D90000}"/>
    <cellStyle name="注释 2 9 5 3 5 2" xfId="50349" xr:uid="{00000000-0005-0000-0000-0000DDC40000}"/>
    <cellStyle name="注释 2 9 5 3 6" xfId="55649" xr:uid="{00000000-0005-0000-0000-000091D90000}"/>
    <cellStyle name="注释 2 9 5 4" xfId="55573" xr:uid="{00000000-0005-0000-0000-000045D90000}"/>
    <cellStyle name="注释 2 9 5 4 2" xfId="55650" xr:uid="{00000000-0005-0000-0000-000092D90000}"/>
    <cellStyle name="注释 2 9 5 4 2 2" xfId="55651" xr:uid="{00000000-0005-0000-0000-000093D90000}"/>
    <cellStyle name="注释 2 9 5 4 3" xfId="48323" xr:uid="{00000000-0005-0000-0000-0000F3BC0000}"/>
    <cellStyle name="注释 2 9 5 4 3 2" xfId="55652" xr:uid="{00000000-0005-0000-0000-000094D90000}"/>
    <cellStyle name="注释 2 9 5 4 4" xfId="53130" xr:uid="{00000000-0005-0000-0000-0000BACF0000}"/>
    <cellStyle name="注释 2 9 5 4 4 2" xfId="50841" xr:uid="{00000000-0005-0000-0000-0000C9C60000}"/>
    <cellStyle name="注释 2 9 5 4 5" xfId="55653" xr:uid="{00000000-0005-0000-0000-000095D90000}"/>
    <cellStyle name="注释 2 9 5 4 5 2" xfId="50864" xr:uid="{00000000-0005-0000-0000-0000E0C60000}"/>
    <cellStyle name="注释 2 9 5 4 6" xfId="989" xr:uid="{00000000-0005-0000-0000-00000D040000}"/>
    <cellStyle name="注释 2 9 5 5" xfId="55654" xr:uid="{00000000-0005-0000-0000-000096D90000}"/>
    <cellStyle name="注释 2 9 5 5 2" xfId="55655" xr:uid="{00000000-0005-0000-0000-000097D90000}"/>
    <cellStyle name="注释 2 9 5 5 2 2" xfId="55656" xr:uid="{00000000-0005-0000-0000-000098D90000}"/>
    <cellStyle name="注释 2 9 5 5 3" xfId="48327" xr:uid="{00000000-0005-0000-0000-0000F7BC0000}"/>
    <cellStyle name="注释 2 9 5 5 3 2" xfId="55657" xr:uid="{00000000-0005-0000-0000-000099D90000}"/>
    <cellStyle name="注释 2 9 5 5 4" xfId="53132" xr:uid="{00000000-0005-0000-0000-0000BCCF0000}"/>
    <cellStyle name="注释 2 9 5 5 4 2" xfId="51302" xr:uid="{00000000-0005-0000-0000-000096C80000}"/>
    <cellStyle name="注释 2 9 5 5 5" xfId="55658" xr:uid="{00000000-0005-0000-0000-00009AD90000}"/>
    <cellStyle name="注释 2 9 5 5 5 2" xfId="51389" xr:uid="{00000000-0005-0000-0000-0000EDC80000}"/>
    <cellStyle name="注释 2 9 5 5 6" xfId="1027" xr:uid="{00000000-0005-0000-0000-000033040000}"/>
    <cellStyle name="注释 2 9 5 6" xfId="13630" xr:uid="{00000000-0005-0000-0000-00006E350000}"/>
    <cellStyle name="注释 2 9 5 6 2" xfId="55659" xr:uid="{00000000-0005-0000-0000-00009BD90000}"/>
    <cellStyle name="注释 2 9 5 6 2 2" xfId="55660" xr:uid="{00000000-0005-0000-0000-00009CD90000}"/>
    <cellStyle name="注释 2 9 5 6 3" xfId="48330" xr:uid="{00000000-0005-0000-0000-0000FABC0000}"/>
    <cellStyle name="注释 2 9 5 6 3 2" xfId="55661" xr:uid="{00000000-0005-0000-0000-00009DD90000}"/>
    <cellStyle name="注释 2 9 5 6 4" xfId="55662" xr:uid="{00000000-0005-0000-0000-00009ED90000}"/>
    <cellStyle name="注释 2 9 5 6 4 2" xfId="51927" xr:uid="{00000000-0005-0000-0000-000007CB0000}"/>
    <cellStyle name="注释 2 9 5 6 5" xfId="55663" xr:uid="{00000000-0005-0000-0000-00009FD90000}"/>
    <cellStyle name="注释 2 9 5 6 5 2" xfId="49637" xr:uid="{00000000-0005-0000-0000-000015C20000}"/>
    <cellStyle name="注释 2 9 5 6 6" xfId="1055" xr:uid="{00000000-0005-0000-0000-00004F040000}"/>
    <cellStyle name="注释 2 9 5 7" xfId="55664" xr:uid="{00000000-0005-0000-0000-0000A0D90000}"/>
    <cellStyle name="注释 2 9 5 7 2" xfId="55665" xr:uid="{00000000-0005-0000-0000-0000A1D90000}"/>
    <cellStyle name="注释 2 9 5 7 2 2" xfId="55666" xr:uid="{00000000-0005-0000-0000-0000A2D90000}"/>
    <cellStyle name="注释 2 9 5 7 3" xfId="38388" xr:uid="{00000000-0005-0000-0000-000024960000}"/>
    <cellStyle name="注释 2 9 5 7 3 2" xfId="14153" xr:uid="{00000000-0005-0000-0000-000079370000}"/>
    <cellStyle name="注释 2 9 5 7 4" xfId="55667" xr:uid="{00000000-0005-0000-0000-0000A3D90000}"/>
    <cellStyle name="注释 2 9 5 7 4 2" xfId="51978" xr:uid="{00000000-0005-0000-0000-00003ACB0000}"/>
    <cellStyle name="注释 2 9 5 7 5" xfId="55668" xr:uid="{00000000-0005-0000-0000-0000A4D90000}"/>
    <cellStyle name="注释 2 9 5 7 5 2" xfId="49969" xr:uid="{00000000-0005-0000-0000-000061C30000}"/>
    <cellStyle name="注释 2 9 5 7 6" xfId="55669" xr:uid="{00000000-0005-0000-0000-0000A5D90000}"/>
    <cellStyle name="注释 2 9 5 8" xfId="55670" xr:uid="{00000000-0005-0000-0000-0000A6D90000}"/>
    <cellStyle name="注释 2 9 5 8 2" xfId="55671" xr:uid="{00000000-0005-0000-0000-0000A7D90000}"/>
    <cellStyle name="注释 2 9 5 8 2 2" xfId="55672" xr:uid="{00000000-0005-0000-0000-0000A8D90000}"/>
    <cellStyle name="注释 2 9 5 8 3" xfId="38392" xr:uid="{00000000-0005-0000-0000-000028960000}"/>
    <cellStyle name="注释 2 9 5 8 3 2" xfId="14931" xr:uid="{00000000-0005-0000-0000-0000833A0000}"/>
    <cellStyle name="注释 2 9 5 8 4" xfId="55673" xr:uid="{00000000-0005-0000-0000-0000A9D90000}"/>
    <cellStyle name="注释 2 9 5 8 4 2" xfId="52023" xr:uid="{00000000-0005-0000-0000-000067CB0000}"/>
    <cellStyle name="注释 2 9 5 8 5" xfId="55674" xr:uid="{00000000-0005-0000-0000-0000AAD90000}"/>
    <cellStyle name="注释 2 9 5 9" xfId="55289" xr:uid="{00000000-0005-0000-0000-000029D80000}"/>
    <cellStyle name="注释 2 9 5 9 2" xfId="55291" xr:uid="{00000000-0005-0000-0000-00002BD80000}"/>
    <cellStyle name="注释 2 9 6" xfId="40022" xr:uid="{00000000-0005-0000-0000-0000869C0000}"/>
    <cellStyle name="注释 2 9 6 10" xfId="55675" xr:uid="{00000000-0005-0000-0000-0000ABD90000}"/>
    <cellStyle name="注释 2 9 6 10 2" xfId="55676" xr:uid="{00000000-0005-0000-0000-0000ACD90000}"/>
    <cellStyle name="注释 2 9 6 11" xfId="55677" xr:uid="{00000000-0005-0000-0000-0000ADD90000}"/>
    <cellStyle name="注释 2 9 6 11 2" xfId="55678" xr:uid="{00000000-0005-0000-0000-0000AED90000}"/>
    <cellStyle name="注释 2 9 6 12" xfId="55679" xr:uid="{00000000-0005-0000-0000-0000AFD90000}"/>
    <cellStyle name="注释 2 9 6 12 2" xfId="55680" xr:uid="{00000000-0005-0000-0000-0000B0D90000}"/>
    <cellStyle name="注释 2 9 6 13" xfId="55681" xr:uid="{00000000-0005-0000-0000-0000B1D90000}"/>
    <cellStyle name="注释 2 9 6 14" xfId="55682" xr:uid="{00000000-0005-0000-0000-0000B2D90000}"/>
    <cellStyle name="注释 2 9 6 15" xfId="55683" xr:uid="{00000000-0005-0000-0000-0000B3D90000}"/>
    <cellStyle name="注释 2 9 6 16" xfId="36430" xr:uid="{00000000-0005-0000-0000-00007E8E0000}"/>
    <cellStyle name="注释 2 9 6 2" xfId="40025" xr:uid="{00000000-0005-0000-0000-0000899C0000}"/>
    <cellStyle name="注释 2 9 6 2 2" xfId="55684" xr:uid="{00000000-0005-0000-0000-0000B4D90000}"/>
    <cellStyle name="注释 2 9 6 2 2 2" xfId="55685" xr:uid="{00000000-0005-0000-0000-0000B5D90000}"/>
    <cellStyle name="注释 2 9 6 2 3" xfId="55686" xr:uid="{00000000-0005-0000-0000-0000B6D90000}"/>
    <cellStyle name="注释 2 9 6 2 3 2" xfId="20404" xr:uid="{00000000-0005-0000-0000-0000E44F0000}"/>
    <cellStyle name="注释 2 9 6 2 4" xfId="53134" xr:uid="{00000000-0005-0000-0000-0000BECF0000}"/>
    <cellStyle name="注释 2 9 6 2 4 2" xfId="55687" xr:uid="{00000000-0005-0000-0000-0000B7D90000}"/>
    <cellStyle name="注释 2 9 6 2 5" xfId="55688" xr:uid="{00000000-0005-0000-0000-0000B8D90000}"/>
    <cellStyle name="注释 2 9 6 2 5 2" xfId="55689" xr:uid="{00000000-0005-0000-0000-0000B9D90000}"/>
    <cellStyle name="注释 2 9 6 2 6" xfId="55690" xr:uid="{00000000-0005-0000-0000-0000BAD90000}"/>
    <cellStyle name="注释 2 9 6 2 7" xfId="55691" xr:uid="{00000000-0005-0000-0000-0000BBD90000}"/>
    <cellStyle name="注释 2 9 6 2 8" xfId="55692" xr:uid="{00000000-0005-0000-0000-0000BCD90000}"/>
    <cellStyle name="注释 2 9 6 2 9" xfId="55693" xr:uid="{00000000-0005-0000-0000-0000BDD90000}"/>
    <cellStyle name="注释 2 9 6 3" xfId="55694" xr:uid="{00000000-0005-0000-0000-0000BED90000}"/>
    <cellStyle name="注释 2 9 6 3 2" xfId="55695" xr:uid="{00000000-0005-0000-0000-0000BFD90000}"/>
    <cellStyle name="注释 2 9 6 3 2 2" xfId="55696" xr:uid="{00000000-0005-0000-0000-0000C0D90000}"/>
    <cellStyle name="注释 2 9 6 3 3" xfId="48334" xr:uid="{00000000-0005-0000-0000-0000FEBC0000}"/>
    <cellStyle name="注释 2 9 6 3 3 2" xfId="20998" xr:uid="{00000000-0005-0000-0000-000036520000}"/>
    <cellStyle name="注释 2 9 6 3 4" xfId="53137" xr:uid="{00000000-0005-0000-0000-0000C1CF0000}"/>
    <cellStyle name="注释 2 9 6 3 4 2" xfId="55697" xr:uid="{00000000-0005-0000-0000-0000C1D90000}"/>
    <cellStyle name="注释 2 9 6 3 5" xfId="55698" xr:uid="{00000000-0005-0000-0000-0000C2D90000}"/>
    <cellStyle name="注释 2 9 6 3 5 2" xfId="55699" xr:uid="{00000000-0005-0000-0000-0000C3D90000}"/>
    <cellStyle name="注释 2 9 6 3 6" xfId="55700" xr:uid="{00000000-0005-0000-0000-0000C4D90000}"/>
    <cellStyle name="注释 2 9 6 4" xfId="28996" xr:uid="{00000000-0005-0000-0000-000074710000}"/>
    <cellStyle name="注释 2 9 6 4 2" xfId="55701" xr:uid="{00000000-0005-0000-0000-0000C5D90000}"/>
    <cellStyle name="注释 2 9 6 4 2 2" xfId="39583" xr:uid="{00000000-0005-0000-0000-0000CF9A0000}"/>
    <cellStyle name="注释 2 9 6 4 3" xfId="48337" xr:uid="{00000000-0005-0000-0000-000001BD0000}"/>
    <cellStyle name="注释 2 9 6 4 3 2" xfId="39599" xr:uid="{00000000-0005-0000-0000-0000DF9A0000}"/>
    <cellStyle name="注释 2 9 6 4 4" xfId="53140" xr:uid="{00000000-0005-0000-0000-0000C4CF0000}"/>
    <cellStyle name="注释 2 9 6 4 4 2" xfId="55702" xr:uid="{00000000-0005-0000-0000-0000C6D90000}"/>
    <cellStyle name="注释 2 9 6 4 5" xfId="55703" xr:uid="{00000000-0005-0000-0000-0000C7D90000}"/>
    <cellStyle name="注释 2 9 6 4 5 2" xfId="55704" xr:uid="{00000000-0005-0000-0000-0000C8D90000}"/>
    <cellStyle name="注释 2 9 6 4 6" xfId="55705" xr:uid="{00000000-0005-0000-0000-0000C9D90000}"/>
    <cellStyle name="注释 2 9 6 5" xfId="52466" xr:uid="{00000000-0005-0000-0000-000022CD0000}"/>
    <cellStyle name="注释 2 9 6 5 2" xfId="55706" xr:uid="{00000000-0005-0000-0000-0000CAD90000}"/>
    <cellStyle name="注释 2 9 6 5 2 2" xfId="55707" xr:uid="{00000000-0005-0000-0000-0000CBD90000}"/>
    <cellStyle name="注释 2 9 6 5 3" xfId="48341" xr:uid="{00000000-0005-0000-0000-000005BD0000}"/>
    <cellStyle name="注释 2 9 6 5 3 2" xfId="55708" xr:uid="{00000000-0005-0000-0000-0000CCD90000}"/>
    <cellStyle name="注释 2 9 6 5 4" xfId="55709" xr:uid="{00000000-0005-0000-0000-0000CDD90000}"/>
    <cellStyle name="注释 2 9 6 5 4 2" xfId="55710" xr:uid="{00000000-0005-0000-0000-0000CED90000}"/>
    <cellStyle name="注释 2 9 6 5 5" xfId="55711" xr:uid="{00000000-0005-0000-0000-0000CFD90000}"/>
    <cellStyle name="注释 2 9 6 5 5 2" xfId="55712" xr:uid="{00000000-0005-0000-0000-0000D0D90000}"/>
    <cellStyle name="注释 2 9 6 5 6" xfId="55713" xr:uid="{00000000-0005-0000-0000-0000D1D90000}"/>
    <cellStyle name="注释 2 9 6 6" xfId="13639" xr:uid="{00000000-0005-0000-0000-000077350000}"/>
    <cellStyle name="注释 2 9 6 6 2" xfId="55714" xr:uid="{00000000-0005-0000-0000-0000D2D90000}"/>
    <cellStyle name="注释 2 9 6 6 2 2" xfId="55715" xr:uid="{00000000-0005-0000-0000-0000D3D90000}"/>
    <cellStyle name="注释 2 9 6 6 3" xfId="48344" xr:uid="{00000000-0005-0000-0000-000008BD0000}"/>
    <cellStyle name="注释 2 9 6 6 3 2" xfId="55716" xr:uid="{00000000-0005-0000-0000-0000D4D90000}"/>
    <cellStyle name="注释 2 9 6 6 4" xfId="55717" xr:uid="{00000000-0005-0000-0000-0000D5D90000}"/>
    <cellStyle name="注释 2 9 6 6 4 2" xfId="55718" xr:uid="{00000000-0005-0000-0000-0000D6D90000}"/>
    <cellStyle name="注释 2 9 6 6 5" xfId="55719" xr:uid="{00000000-0005-0000-0000-0000D7D90000}"/>
    <cellStyle name="注释 2 9 6 6 5 2" xfId="55720" xr:uid="{00000000-0005-0000-0000-0000D8D90000}"/>
    <cellStyle name="注释 2 9 6 6 6" xfId="55721" xr:uid="{00000000-0005-0000-0000-0000D9D90000}"/>
    <cellStyle name="注释 2 9 6 7" xfId="55722" xr:uid="{00000000-0005-0000-0000-0000DAD90000}"/>
    <cellStyle name="注释 2 9 6 7 2" xfId="55723" xr:uid="{00000000-0005-0000-0000-0000DBD90000}"/>
    <cellStyle name="注释 2 9 6 7 2 2" xfId="55724" xr:uid="{00000000-0005-0000-0000-0000DCD90000}"/>
    <cellStyle name="注释 2 9 6 7 3" xfId="38403" xr:uid="{00000000-0005-0000-0000-000033960000}"/>
    <cellStyle name="注释 2 9 6 7 3 2" xfId="21763" xr:uid="{00000000-0005-0000-0000-000033550000}"/>
    <cellStyle name="注释 2 9 6 7 4" xfId="55725" xr:uid="{00000000-0005-0000-0000-0000DDD90000}"/>
    <cellStyle name="注释 2 9 6 7 4 2" xfId="55726" xr:uid="{00000000-0005-0000-0000-0000DED90000}"/>
    <cellStyle name="注释 2 9 6 7 5" xfId="55727" xr:uid="{00000000-0005-0000-0000-0000DFD90000}"/>
    <cellStyle name="注释 2 9 6 7 5 2" xfId="55728" xr:uid="{00000000-0005-0000-0000-0000E0D90000}"/>
    <cellStyle name="注释 2 9 6 7 6" xfId="55729" xr:uid="{00000000-0005-0000-0000-0000E1D90000}"/>
    <cellStyle name="注释 2 9 6 8" xfId="55730" xr:uid="{00000000-0005-0000-0000-0000E2D90000}"/>
    <cellStyle name="注释 2 9 6 8 2" xfId="55731" xr:uid="{00000000-0005-0000-0000-0000E3D90000}"/>
    <cellStyle name="注释 2 9 6 8 2 2" xfId="55732" xr:uid="{00000000-0005-0000-0000-0000E4D90000}"/>
    <cellStyle name="注释 2 9 6 8 3" xfId="38406" xr:uid="{00000000-0005-0000-0000-000036960000}"/>
    <cellStyle name="注释 2 9 6 8 3 2" xfId="22368" xr:uid="{00000000-0005-0000-0000-000090570000}"/>
    <cellStyle name="注释 2 9 6 8 4" xfId="55733" xr:uid="{00000000-0005-0000-0000-0000E5D90000}"/>
    <cellStyle name="注释 2 9 6 8 4 2" xfId="55734" xr:uid="{00000000-0005-0000-0000-0000E6D90000}"/>
    <cellStyle name="注释 2 9 6 8 5" xfId="55735" xr:uid="{00000000-0005-0000-0000-0000E7D90000}"/>
    <cellStyle name="注释 2 9 6 9" xfId="55299" xr:uid="{00000000-0005-0000-0000-000033D80000}"/>
    <cellStyle name="注释 2 9 6 9 2" xfId="55301" xr:uid="{00000000-0005-0000-0000-000035D80000}"/>
    <cellStyle name="注释 2 9 7" xfId="40028" xr:uid="{00000000-0005-0000-0000-00008C9C0000}"/>
    <cellStyle name="注释 2 9 7 10" xfId="55736" xr:uid="{00000000-0005-0000-0000-0000E8D90000}"/>
    <cellStyle name="注释 2 9 7 10 2" xfId="12912" xr:uid="{00000000-0005-0000-0000-0000A0320000}"/>
    <cellStyle name="注释 2 9 7 11" xfId="55737" xr:uid="{00000000-0005-0000-0000-0000E9D90000}"/>
    <cellStyle name="注释 2 9 7 11 2" xfId="12933" xr:uid="{00000000-0005-0000-0000-0000B5320000}"/>
    <cellStyle name="注释 2 9 7 12" xfId="55738" xr:uid="{00000000-0005-0000-0000-0000EAD90000}"/>
    <cellStyle name="注释 2 9 7 12 2" xfId="12943" xr:uid="{00000000-0005-0000-0000-0000BF320000}"/>
    <cellStyle name="注释 2 9 7 13" xfId="55739" xr:uid="{00000000-0005-0000-0000-0000EBD90000}"/>
    <cellStyle name="注释 2 9 7 14" xfId="33060" xr:uid="{00000000-0005-0000-0000-000054810000}"/>
    <cellStyle name="注释 2 9 7 15" xfId="55740" xr:uid="{00000000-0005-0000-0000-0000ECD90000}"/>
    <cellStyle name="注释 2 9 7 16" xfId="44120" xr:uid="{00000000-0005-0000-0000-000088AC0000}"/>
    <cellStyle name="注释 2 9 7 2" xfId="40031" xr:uid="{00000000-0005-0000-0000-00008F9C0000}"/>
    <cellStyle name="注释 2 9 7 2 2" xfId="55741" xr:uid="{00000000-0005-0000-0000-0000EDD90000}"/>
    <cellStyle name="注释 2 9 7 2 2 2" xfId="55742" xr:uid="{00000000-0005-0000-0000-0000EED90000}"/>
    <cellStyle name="注释 2 9 7 2 3" xfId="2905" xr:uid="{00000000-0005-0000-0000-0000890B0000}"/>
    <cellStyle name="注释 2 9 7 2 3 2" xfId="2916" xr:uid="{00000000-0005-0000-0000-0000940B0000}"/>
    <cellStyle name="注释 2 9 7 2 4" xfId="2952" xr:uid="{00000000-0005-0000-0000-0000B80B0000}"/>
    <cellStyle name="注释 2 9 7 2 4 2" xfId="2961" xr:uid="{00000000-0005-0000-0000-0000C10B0000}"/>
    <cellStyle name="注释 2 9 7 2 5" xfId="2994" xr:uid="{00000000-0005-0000-0000-0000E20B0000}"/>
    <cellStyle name="注释 2 9 7 2 5 2" xfId="3017" xr:uid="{00000000-0005-0000-0000-0000F90B0000}"/>
    <cellStyle name="注释 2 9 7 2 6" xfId="3096" xr:uid="{00000000-0005-0000-0000-0000480C0000}"/>
    <cellStyle name="注释 2 9 7 2 7" xfId="3162" xr:uid="{00000000-0005-0000-0000-00008A0C0000}"/>
    <cellStyle name="注释 2 9 7 2 8" xfId="2336" xr:uid="{00000000-0005-0000-0000-000050090000}"/>
    <cellStyle name="注释 2 9 7 2 9" xfId="589" xr:uid="{00000000-0005-0000-0000-00007D020000}"/>
    <cellStyle name="注释 2 9 7 3" xfId="55743" xr:uid="{00000000-0005-0000-0000-0000EFD90000}"/>
    <cellStyle name="注释 2 9 7 3 2" xfId="55744" xr:uid="{00000000-0005-0000-0000-0000F0D90000}"/>
    <cellStyle name="注释 2 9 7 3 2 2" xfId="55745" xr:uid="{00000000-0005-0000-0000-0000F1D90000}"/>
    <cellStyle name="注释 2 9 7 3 3" xfId="3216" xr:uid="{00000000-0005-0000-0000-0000C00C0000}"/>
    <cellStyle name="注释 2 9 7 3 3 2" xfId="3254" xr:uid="{00000000-0005-0000-0000-0000E60C0000}"/>
    <cellStyle name="注释 2 9 7 3 4" xfId="3260" xr:uid="{00000000-0005-0000-0000-0000EC0C0000}"/>
    <cellStyle name="注释 2 9 7 3 4 2" xfId="3263" xr:uid="{00000000-0005-0000-0000-0000EF0C0000}"/>
    <cellStyle name="注释 2 9 7 3 5" xfId="3266" xr:uid="{00000000-0005-0000-0000-0000F20C0000}"/>
    <cellStyle name="注释 2 9 7 3 5 2" xfId="3273" xr:uid="{00000000-0005-0000-0000-0000F90C0000}"/>
    <cellStyle name="注释 2 9 7 3 6" xfId="3287" xr:uid="{00000000-0005-0000-0000-0000070D0000}"/>
    <cellStyle name="注释 2 9 7 4" xfId="1197" xr:uid="{00000000-0005-0000-0000-0000DD040000}"/>
    <cellStyle name="注释 2 9 7 4 2" xfId="55746" xr:uid="{00000000-0005-0000-0000-0000F2D90000}"/>
    <cellStyle name="注释 2 9 7 4 2 2" xfId="41506" xr:uid="{00000000-0005-0000-0000-000052A20000}"/>
    <cellStyle name="注释 2 9 7 4 3" xfId="3338" xr:uid="{00000000-0005-0000-0000-00003A0D0000}"/>
    <cellStyle name="注释 2 9 7 4 3 2" xfId="298" xr:uid="{00000000-0005-0000-0000-000049010000}"/>
    <cellStyle name="注释 2 9 7 4 4" xfId="3340" xr:uid="{00000000-0005-0000-0000-00003C0D0000}"/>
    <cellStyle name="注释 2 9 7 4 4 2" xfId="3346" xr:uid="{00000000-0005-0000-0000-0000420D0000}"/>
    <cellStyle name="注释 2 9 7 4 5" xfId="3349" xr:uid="{00000000-0005-0000-0000-0000450D0000}"/>
    <cellStyle name="注释 2 9 7 4 5 2" xfId="3359" xr:uid="{00000000-0005-0000-0000-00004F0D0000}"/>
    <cellStyle name="注释 2 9 7 4 6" xfId="3370" xr:uid="{00000000-0005-0000-0000-00005A0D0000}"/>
    <cellStyle name="注释 2 9 7 5" xfId="52468" xr:uid="{00000000-0005-0000-0000-000024CD0000}"/>
    <cellStyle name="注释 2 9 7 5 2" xfId="55747" xr:uid="{00000000-0005-0000-0000-0000F3D90000}"/>
    <cellStyle name="注释 2 9 7 5 2 2" xfId="55748" xr:uid="{00000000-0005-0000-0000-0000F4D90000}"/>
    <cellStyle name="注释 2 9 7 5 3" xfId="3385" xr:uid="{00000000-0005-0000-0000-0000690D0000}"/>
    <cellStyle name="注释 2 9 7 5 3 2" xfId="90" xr:uid="{00000000-0005-0000-0000-000061000000}"/>
    <cellStyle name="注释 2 9 7 5 4" xfId="306" xr:uid="{00000000-0005-0000-0000-000051010000}"/>
    <cellStyle name="注释 2 9 7 5 4 2" xfId="2301" xr:uid="{00000000-0005-0000-0000-00002D090000}"/>
    <cellStyle name="注释 2 9 7 5 5" xfId="3389" xr:uid="{00000000-0005-0000-0000-00006D0D0000}"/>
    <cellStyle name="注释 2 9 7 5 5 2" xfId="2818" xr:uid="{00000000-0005-0000-0000-0000320B0000}"/>
    <cellStyle name="注释 2 9 7 5 6" xfId="3400" xr:uid="{00000000-0005-0000-0000-0000780D0000}"/>
    <cellStyle name="注释 2 9 7 6" xfId="55749" xr:uid="{00000000-0005-0000-0000-0000F5D90000}"/>
    <cellStyle name="注释 2 9 7 6 2" xfId="55750" xr:uid="{00000000-0005-0000-0000-0000F6D90000}"/>
    <cellStyle name="注释 2 9 7 6 2 2" xfId="55751" xr:uid="{00000000-0005-0000-0000-0000F7D90000}"/>
    <cellStyle name="注释 2 9 7 6 3" xfId="3429" xr:uid="{00000000-0005-0000-0000-0000950D0000}"/>
    <cellStyle name="注释 2 9 7 6 3 2" xfId="1758" xr:uid="{00000000-0005-0000-0000-00000E070000}"/>
    <cellStyle name="注释 2 9 7 6 4" xfId="3343" xr:uid="{00000000-0005-0000-0000-00003F0D0000}"/>
    <cellStyle name="注释 2 9 7 6 4 2" xfId="2531" xr:uid="{00000000-0005-0000-0000-0000130A0000}"/>
    <cellStyle name="注释 2 9 7 6 5" xfId="3432" xr:uid="{00000000-0005-0000-0000-0000980D0000}"/>
    <cellStyle name="注释 2 9 7 6 5 2" xfId="2627" xr:uid="{00000000-0005-0000-0000-0000730A0000}"/>
    <cellStyle name="注释 2 9 7 6 6" xfId="3439" xr:uid="{00000000-0005-0000-0000-00009F0D0000}"/>
    <cellStyle name="注释 2 9 7 7" xfId="55752" xr:uid="{00000000-0005-0000-0000-0000F8D90000}"/>
    <cellStyle name="注释 2 9 7 7 2" xfId="55753" xr:uid="{00000000-0005-0000-0000-0000F9D90000}"/>
    <cellStyle name="注释 2 9 7 7 2 2" xfId="55754" xr:uid="{00000000-0005-0000-0000-0000FAD90000}"/>
    <cellStyle name="注释 2 9 7 7 3" xfId="3470" xr:uid="{00000000-0005-0000-0000-0000BE0D0000}"/>
    <cellStyle name="注释 2 9 7 7 3 2" xfId="3076" xr:uid="{00000000-0005-0000-0000-0000340C0000}"/>
    <cellStyle name="注释 2 9 7 7 4" xfId="3357" xr:uid="{00000000-0005-0000-0000-00004D0D0000}"/>
    <cellStyle name="注释 2 9 7 7 4 2" xfId="3147" xr:uid="{00000000-0005-0000-0000-00007B0C0000}"/>
    <cellStyle name="注释 2 9 7 7 5" xfId="3479" xr:uid="{00000000-0005-0000-0000-0000C70D0000}"/>
    <cellStyle name="注释 2 9 7 7 5 2" xfId="358" xr:uid="{00000000-0005-0000-0000-000088010000}"/>
    <cellStyle name="注释 2 9 7 7 6" xfId="1219" xr:uid="{00000000-0005-0000-0000-0000F3040000}"/>
    <cellStyle name="注释 2 9 7 8" xfId="55755" xr:uid="{00000000-0005-0000-0000-0000FBD90000}"/>
    <cellStyle name="注释 2 9 7 8 2" xfId="34501" xr:uid="{00000000-0005-0000-0000-0000F5860000}"/>
    <cellStyle name="注释 2 9 7 8 2 2" xfId="39938" xr:uid="{00000000-0005-0000-0000-0000329C0000}"/>
    <cellStyle name="注释 2 9 7 8 3" xfId="1090" xr:uid="{00000000-0005-0000-0000-000072040000}"/>
    <cellStyle name="注释 2 9 7 8 3 2" xfId="3491" xr:uid="{00000000-0005-0000-0000-0000D30D0000}"/>
    <cellStyle name="注释 2 9 7 8 4" xfId="2151" xr:uid="{00000000-0005-0000-0000-000097080000}"/>
    <cellStyle name="注释 2 9 7 8 4 2" xfId="647" xr:uid="{00000000-0005-0000-0000-0000B7020000}"/>
    <cellStyle name="注释 2 9 7 8 5" xfId="2178" xr:uid="{00000000-0005-0000-0000-0000B2080000}"/>
    <cellStyle name="注释 2 9 7 9" xfId="55310" xr:uid="{00000000-0005-0000-0000-00003ED80000}"/>
    <cellStyle name="注释 2 9 7 9 2" xfId="40008" xr:uid="{00000000-0005-0000-0000-0000789C0000}"/>
    <cellStyle name="注释 2 9 8" xfId="40034" xr:uid="{00000000-0005-0000-0000-0000929C0000}"/>
    <cellStyle name="注释 2 9 8 10" xfId="44399" xr:uid="{00000000-0005-0000-0000-00009FAD0000}"/>
    <cellStyle name="注释 2 9 8 10 2" xfId="8872" xr:uid="{00000000-0005-0000-0000-0000D8220000}"/>
    <cellStyle name="注释 2 9 8 11" xfId="44401" xr:uid="{00000000-0005-0000-0000-0000A1AD0000}"/>
    <cellStyle name="注释 2 9 8 11 2" xfId="6521" xr:uid="{00000000-0005-0000-0000-0000A9190000}"/>
    <cellStyle name="注释 2 9 8 12" xfId="44403" xr:uid="{00000000-0005-0000-0000-0000A3AD0000}"/>
    <cellStyle name="注释 2 9 8 12 2" xfId="13420" xr:uid="{00000000-0005-0000-0000-00009C340000}"/>
    <cellStyle name="注释 2 9 8 13" xfId="44405" xr:uid="{00000000-0005-0000-0000-0000A5AD0000}"/>
    <cellStyle name="注释 2 9 8 14" xfId="44407" xr:uid="{00000000-0005-0000-0000-0000A7AD0000}"/>
    <cellStyle name="注释 2 9 8 15" xfId="44409" xr:uid="{00000000-0005-0000-0000-0000A9AD0000}"/>
    <cellStyle name="注释 2 9 8 16" xfId="39637" xr:uid="{00000000-0005-0000-0000-0000059B0000}"/>
    <cellStyle name="注释 2 9 8 2" xfId="51167" xr:uid="{00000000-0005-0000-0000-00000FC80000}"/>
    <cellStyle name="注释 2 9 8 2 2" xfId="55756" xr:uid="{00000000-0005-0000-0000-0000FCD90000}"/>
    <cellStyle name="注释 2 9 8 2 2 2" xfId="28114" xr:uid="{00000000-0005-0000-0000-0000026E0000}"/>
    <cellStyle name="注释 2 9 8 2 3" xfId="55757" xr:uid="{00000000-0005-0000-0000-0000FDD90000}"/>
    <cellStyle name="注释 2 9 8 2 3 2" xfId="55758" xr:uid="{00000000-0005-0000-0000-0000FED90000}"/>
    <cellStyle name="注释 2 9 8 2 4" xfId="55759" xr:uid="{00000000-0005-0000-0000-0000FFD90000}"/>
    <cellStyle name="注释 2 9 8 2 4 2" xfId="55760" xr:uid="{00000000-0005-0000-0000-000000DA0000}"/>
    <cellStyle name="注释 2 9 8 2 5" xfId="55761" xr:uid="{00000000-0005-0000-0000-000001DA0000}"/>
    <cellStyle name="注释 2 9 8 2 5 2" xfId="55762" xr:uid="{00000000-0005-0000-0000-000002DA0000}"/>
    <cellStyle name="注释 2 9 8 2 6" xfId="55763" xr:uid="{00000000-0005-0000-0000-000003DA0000}"/>
    <cellStyle name="注释 2 9 8 2 7" xfId="55764" xr:uid="{00000000-0005-0000-0000-000004DA0000}"/>
    <cellStyle name="注释 2 9 8 2 8" xfId="55765" xr:uid="{00000000-0005-0000-0000-000005DA0000}"/>
    <cellStyle name="注释 2 9 8 2 9" xfId="52309" xr:uid="{00000000-0005-0000-0000-000085CC0000}"/>
    <cellStyle name="注释 2 9 8 3" xfId="55766" xr:uid="{00000000-0005-0000-0000-000006DA0000}"/>
    <cellStyle name="注释 2 9 8 3 2" xfId="55767" xr:uid="{00000000-0005-0000-0000-000007DA0000}"/>
    <cellStyle name="注释 2 9 8 3 2 2" xfId="55768" xr:uid="{00000000-0005-0000-0000-000008DA0000}"/>
    <cellStyle name="注释 2 9 8 3 3" xfId="48349" xr:uid="{00000000-0005-0000-0000-00000DBD0000}"/>
    <cellStyle name="注释 2 9 8 3 3 2" xfId="55769" xr:uid="{00000000-0005-0000-0000-000009DA0000}"/>
    <cellStyle name="注释 2 9 8 3 4" xfId="55770" xr:uid="{00000000-0005-0000-0000-00000ADA0000}"/>
    <cellStyle name="注释 2 9 8 3 4 2" xfId="55771" xr:uid="{00000000-0005-0000-0000-00000BDA0000}"/>
    <cellStyle name="注释 2 9 8 3 5" xfId="55772" xr:uid="{00000000-0005-0000-0000-00000CDA0000}"/>
    <cellStyle name="注释 2 9 8 3 5 2" xfId="55773" xr:uid="{00000000-0005-0000-0000-00000DDA0000}"/>
    <cellStyle name="注释 2 9 8 3 6" xfId="29325" xr:uid="{00000000-0005-0000-0000-0000BD720000}"/>
    <cellStyle name="注释 2 9 8 4" xfId="28999" xr:uid="{00000000-0005-0000-0000-000077710000}"/>
    <cellStyle name="注释 2 9 8 4 2" xfId="55774" xr:uid="{00000000-0005-0000-0000-00000EDA0000}"/>
    <cellStyle name="注释 2 9 8 4 2 2" xfId="27256" xr:uid="{00000000-0005-0000-0000-0000A86A0000}"/>
    <cellStyle name="注释 2 9 8 4 3" xfId="48351" xr:uid="{00000000-0005-0000-0000-00000FBD0000}"/>
    <cellStyle name="注释 2 9 8 4 3 2" xfId="55775" xr:uid="{00000000-0005-0000-0000-00000FDA0000}"/>
    <cellStyle name="注释 2 9 8 4 4" xfId="55776" xr:uid="{00000000-0005-0000-0000-000010DA0000}"/>
    <cellStyle name="注释 2 9 8 4 4 2" xfId="55777" xr:uid="{00000000-0005-0000-0000-000011DA0000}"/>
    <cellStyle name="注释 2 9 8 4 5" xfId="55778" xr:uid="{00000000-0005-0000-0000-000012DA0000}"/>
    <cellStyle name="注释 2 9 8 4 5 2" xfId="55779" xr:uid="{00000000-0005-0000-0000-000013DA0000}"/>
    <cellStyle name="注释 2 9 8 4 6" xfId="29396" xr:uid="{00000000-0005-0000-0000-000004730000}"/>
    <cellStyle name="注释 2 9 8 5" xfId="52471" xr:uid="{00000000-0005-0000-0000-000027CD0000}"/>
    <cellStyle name="注释 2 9 8 5 2" xfId="55780" xr:uid="{00000000-0005-0000-0000-000014DA0000}"/>
    <cellStyle name="注释 2 9 8 5 2 2" xfId="27296" xr:uid="{00000000-0005-0000-0000-0000D06A0000}"/>
    <cellStyle name="注释 2 9 8 5 3" xfId="48355" xr:uid="{00000000-0005-0000-0000-000013BD0000}"/>
    <cellStyle name="注释 2 9 8 5 3 2" xfId="55781" xr:uid="{00000000-0005-0000-0000-000015DA0000}"/>
    <cellStyle name="注释 2 9 8 5 4" xfId="55782" xr:uid="{00000000-0005-0000-0000-000016DA0000}"/>
    <cellStyle name="注释 2 9 8 5 4 2" xfId="55783" xr:uid="{00000000-0005-0000-0000-000017DA0000}"/>
    <cellStyle name="注释 2 9 8 5 5" xfId="55784" xr:uid="{00000000-0005-0000-0000-000018DA0000}"/>
    <cellStyle name="注释 2 9 8 5 5 2" xfId="55785" xr:uid="{00000000-0005-0000-0000-000019DA0000}"/>
    <cellStyle name="注释 2 9 8 5 6" xfId="29481" xr:uid="{00000000-0005-0000-0000-000059730000}"/>
    <cellStyle name="注释 2 9 8 6" xfId="55786" xr:uid="{00000000-0005-0000-0000-00001ADA0000}"/>
    <cellStyle name="注释 2 9 8 6 2" xfId="55787" xr:uid="{00000000-0005-0000-0000-00001BDA0000}"/>
    <cellStyle name="注释 2 9 8 6 2 2" xfId="12526" xr:uid="{00000000-0005-0000-0000-00001E310000}"/>
    <cellStyle name="注释 2 9 8 6 3" xfId="48358" xr:uid="{00000000-0005-0000-0000-000016BD0000}"/>
    <cellStyle name="注释 2 9 8 6 3 2" xfId="55788" xr:uid="{00000000-0005-0000-0000-00001CDA0000}"/>
    <cellStyle name="注释 2 9 8 6 4" xfId="55789" xr:uid="{00000000-0005-0000-0000-00001DDA0000}"/>
    <cellStyle name="注释 2 9 8 6 4 2" xfId="55790" xr:uid="{00000000-0005-0000-0000-00001EDA0000}"/>
    <cellStyle name="注释 2 9 8 6 5" xfId="55791" xr:uid="{00000000-0005-0000-0000-00001FDA0000}"/>
    <cellStyle name="注释 2 9 8 6 5 2" xfId="55792" xr:uid="{00000000-0005-0000-0000-000020DA0000}"/>
    <cellStyle name="注释 2 9 8 6 6" xfId="29510" xr:uid="{00000000-0005-0000-0000-000076730000}"/>
    <cellStyle name="注释 2 9 8 7" xfId="55793" xr:uid="{00000000-0005-0000-0000-000021DA0000}"/>
    <cellStyle name="注释 2 9 8 7 2" xfId="55794" xr:uid="{00000000-0005-0000-0000-000022DA0000}"/>
    <cellStyle name="注释 2 9 8 7 2 2" xfId="27410" xr:uid="{00000000-0005-0000-0000-0000426B0000}"/>
    <cellStyle name="注释 2 9 8 7 3" xfId="55795" xr:uid="{00000000-0005-0000-0000-000023DA0000}"/>
    <cellStyle name="注释 2 9 8 7 3 2" xfId="55796" xr:uid="{00000000-0005-0000-0000-000024DA0000}"/>
    <cellStyle name="注释 2 9 8 7 4" xfId="55797" xr:uid="{00000000-0005-0000-0000-000025DA0000}"/>
    <cellStyle name="注释 2 9 8 7 4 2" xfId="55798" xr:uid="{00000000-0005-0000-0000-000026DA0000}"/>
    <cellStyle name="注释 2 9 8 7 5" xfId="55799" xr:uid="{00000000-0005-0000-0000-000027DA0000}"/>
    <cellStyle name="注释 2 9 8 7 5 2" xfId="55800" xr:uid="{00000000-0005-0000-0000-000028DA0000}"/>
    <cellStyle name="注释 2 9 8 7 6" xfId="29523" xr:uid="{00000000-0005-0000-0000-000083730000}"/>
    <cellStyle name="注释 2 9 8 8" xfId="55801" xr:uid="{00000000-0005-0000-0000-000029DA0000}"/>
    <cellStyle name="注释 2 9 8 8 2" xfId="41407" xr:uid="{00000000-0005-0000-0000-0000EFA10000}"/>
    <cellStyle name="注释 2 9 8 8 2 2" xfId="27508" xr:uid="{00000000-0005-0000-0000-0000A46B0000}"/>
    <cellStyle name="注释 2 9 8 8 3" xfId="41409" xr:uid="{00000000-0005-0000-0000-0000F1A10000}"/>
    <cellStyle name="注释 2 9 8 8 3 2" xfId="55802" xr:uid="{00000000-0005-0000-0000-00002ADA0000}"/>
    <cellStyle name="注释 2 9 8 8 4" xfId="55803" xr:uid="{00000000-0005-0000-0000-00002BDA0000}"/>
    <cellStyle name="注释 2 9 8 8 4 2" xfId="55804" xr:uid="{00000000-0005-0000-0000-00002CDA0000}"/>
    <cellStyle name="注释 2 9 8 8 5" xfId="55805" xr:uid="{00000000-0005-0000-0000-00002DDA0000}"/>
    <cellStyle name="注释 2 9 8 9" xfId="55317" xr:uid="{00000000-0005-0000-0000-000045D80000}"/>
    <cellStyle name="注释 2 9 8 9 2" xfId="41415" xr:uid="{00000000-0005-0000-0000-0000F7A10000}"/>
    <cellStyle name="注释 2 9 9" xfId="49580" xr:uid="{00000000-0005-0000-0000-0000DCC10000}"/>
    <cellStyle name="注释 2 9 9 10" xfId="44442" xr:uid="{00000000-0005-0000-0000-0000CAAD0000}"/>
    <cellStyle name="注释 2 9 9 10 2" xfId="44444" xr:uid="{00000000-0005-0000-0000-0000CCAD0000}"/>
    <cellStyle name="注释 2 9 9 11" xfId="41599" xr:uid="{00000000-0005-0000-0000-0000AFA20000}"/>
    <cellStyle name="注释 2 9 9 11 2" xfId="44446" xr:uid="{00000000-0005-0000-0000-0000CEAD0000}"/>
    <cellStyle name="注释 2 9 9 12" xfId="44448" xr:uid="{00000000-0005-0000-0000-0000D0AD0000}"/>
    <cellStyle name="注释 2 9 9 12 2" xfId="55806" xr:uid="{00000000-0005-0000-0000-00002EDA0000}"/>
    <cellStyle name="注释 2 9 9 13" xfId="55807" xr:uid="{00000000-0005-0000-0000-00002FDA0000}"/>
    <cellStyle name="注释 2 9 9 14" xfId="45728" xr:uid="{00000000-0005-0000-0000-0000D0B20000}"/>
    <cellStyle name="注释 2 9 9 15" xfId="55808" xr:uid="{00000000-0005-0000-0000-000030DA0000}"/>
    <cellStyle name="注释 2 9 9 16" xfId="55809" xr:uid="{00000000-0005-0000-0000-000031DA0000}"/>
    <cellStyle name="注释 2 9 9 2" xfId="49583" xr:uid="{00000000-0005-0000-0000-0000DFC10000}"/>
    <cellStyle name="注释 2 9 9 2 2" xfId="55810" xr:uid="{00000000-0005-0000-0000-000032DA0000}"/>
    <cellStyle name="注释 2 9 9 2 2 2" xfId="32907" xr:uid="{00000000-0005-0000-0000-0000BB800000}"/>
    <cellStyle name="注释 2 9 9 2 3" xfId="55811" xr:uid="{00000000-0005-0000-0000-000033DA0000}"/>
    <cellStyle name="注释 2 9 9 2 3 2" xfId="55812" xr:uid="{00000000-0005-0000-0000-000034DA0000}"/>
    <cellStyle name="注释 2 9 9 2 4" xfId="55813" xr:uid="{00000000-0005-0000-0000-000035DA0000}"/>
    <cellStyle name="注释 2 9 9 2 4 2" xfId="55814" xr:uid="{00000000-0005-0000-0000-000036DA0000}"/>
    <cellStyle name="注释 2 9 9 2 5" xfId="55815" xr:uid="{00000000-0005-0000-0000-000037DA0000}"/>
    <cellStyle name="注释 2 9 9 2 5 2" xfId="55816" xr:uid="{00000000-0005-0000-0000-000038DA0000}"/>
    <cellStyle name="注释 2 9 9 2 6" xfId="50951" xr:uid="{00000000-0005-0000-0000-000037C70000}"/>
    <cellStyle name="注释 2 9 9 2 7" xfId="55817" xr:uid="{00000000-0005-0000-0000-000039DA0000}"/>
    <cellStyle name="注释 2 9 9 2 8" xfId="55818" xr:uid="{00000000-0005-0000-0000-00003ADA0000}"/>
    <cellStyle name="注释 2 9 9 2 9" xfId="52313" xr:uid="{00000000-0005-0000-0000-000089CC0000}"/>
    <cellStyle name="注释 2 9 9 3" xfId="51814" xr:uid="{00000000-0005-0000-0000-000096CA0000}"/>
    <cellStyle name="注释 2 9 9 3 2" xfId="51816" xr:uid="{00000000-0005-0000-0000-000098CA0000}"/>
    <cellStyle name="注释 2 9 9 3 2 2" xfId="55819" xr:uid="{00000000-0005-0000-0000-00003BDA0000}"/>
    <cellStyle name="注释 2 9 9 3 3" xfId="48361" xr:uid="{00000000-0005-0000-0000-000019BD0000}"/>
    <cellStyle name="注释 2 9 9 3 3 2" xfId="55820" xr:uid="{00000000-0005-0000-0000-00003CDA0000}"/>
    <cellStyle name="注释 2 9 9 3 4" xfId="55821" xr:uid="{00000000-0005-0000-0000-00003DDA0000}"/>
    <cellStyle name="注释 2 9 9 3 4 2" xfId="55822" xr:uid="{00000000-0005-0000-0000-00003EDA0000}"/>
    <cellStyle name="注释 2 9 9 3 5" xfId="55823" xr:uid="{00000000-0005-0000-0000-00003FDA0000}"/>
    <cellStyle name="注释 2 9 9 3 5 2" xfId="55824" xr:uid="{00000000-0005-0000-0000-000040DA0000}"/>
    <cellStyle name="注释 2 9 9 3 6" xfId="50954" xr:uid="{00000000-0005-0000-0000-00003AC70000}"/>
    <cellStyle name="注释 2 9 9 4" xfId="29002" xr:uid="{00000000-0005-0000-0000-00007A710000}"/>
    <cellStyle name="注释 2 9 9 4 2" xfId="51818" xr:uid="{00000000-0005-0000-0000-00009ACA0000}"/>
    <cellStyle name="注释 2 9 9 4 2 2" xfId="28216" xr:uid="{00000000-0005-0000-0000-0000686E0000}"/>
    <cellStyle name="注释 2 9 9 4 3" xfId="48363" xr:uid="{00000000-0005-0000-0000-00001BBD0000}"/>
    <cellStyle name="注释 2 9 9 4 3 2" xfId="55825" xr:uid="{00000000-0005-0000-0000-000041DA0000}"/>
    <cellStyle name="注释 2 9 9 4 4" xfId="55826" xr:uid="{00000000-0005-0000-0000-000042DA0000}"/>
    <cellStyle name="注释 2 9 9 4 4 2" xfId="55827" xr:uid="{00000000-0005-0000-0000-000043DA0000}"/>
    <cellStyle name="注释 2 9 9 4 5" xfId="55828" xr:uid="{00000000-0005-0000-0000-000044DA0000}"/>
    <cellStyle name="注释 2 9 9 4 5 2" xfId="55829" xr:uid="{00000000-0005-0000-0000-000045DA0000}"/>
    <cellStyle name="注释 2 9 9 4 6" xfId="50957" xr:uid="{00000000-0005-0000-0000-00003DC70000}"/>
    <cellStyle name="注释 2 9 9 5" xfId="51820" xr:uid="{00000000-0005-0000-0000-00009CCA0000}"/>
    <cellStyle name="注释 2 9 9 5 2" xfId="51822" xr:uid="{00000000-0005-0000-0000-00009ECA0000}"/>
    <cellStyle name="注释 2 9 9 5 2 2" xfId="23847" xr:uid="{00000000-0005-0000-0000-0000575D0000}"/>
    <cellStyle name="注释 2 9 9 5 3" xfId="48365" xr:uid="{00000000-0005-0000-0000-00001DBD0000}"/>
    <cellStyle name="注释 2 9 9 5 3 2" xfId="23861" xr:uid="{00000000-0005-0000-0000-0000655D0000}"/>
    <cellStyle name="注释 2 9 9 5 4" xfId="55830" xr:uid="{00000000-0005-0000-0000-000046DA0000}"/>
    <cellStyle name="注释 2 9 9 5 4 2" xfId="23886" xr:uid="{00000000-0005-0000-0000-00007E5D0000}"/>
    <cellStyle name="注释 2 9 9 5 5" xfId="55831" xr:uid="{00000000-0005-0000-0000-000047DA0000}"/>
    <cellStyle name="注释 2 9 9 5 5 2" xfId="23908" xr:uid="{00000000-0005-0000-0000-0000945D0000}"/>
    <cellStyle name="注释 2 9 9 5 6" xfId="50959" xr:uid="{00000000-0005-0000-0000-00003FC70000}"/>
    <cellStyle name="注释 2 9 9 6" xfId="51825" xr:uid="{00000000-0005-0000-0000-0000A1CA0000}"/>
    <cellStyle name="注释 2 9 9 6 2" xfId="55832" xr:uid="{00000000-0005-0000-0000-000048DA0000}"/>
    <cellStyle name="注释 2 9 9 6 2 2" xfId="20262" xr:uid="{00000000-0005-0000-0000-0000564F0000}"/>
    <cellStyle name="注释 2 9 9 6 3" xfId="48368" xr:uid="{00000000-0005-0000-0000-000020BD0000}"/>
    <cellStyle name="注释 2 9 9 6 3 2" xfId="20310" xr:uid="{00000000-0005-0000-0000-0000864F0000}"/>
    <cellStyle name="注释 2 9 9 6 4" xfId="55833" xr:uid="{00000000-0005-0000-0000-000049DA0000}"/>
    <cellStyle name="注释 2 9 9 6 4 2" xfId="13284" xr:uid="{00000000-0005-0000-0000-000014340000}"/>
    <cellStyle name="注释 2 9 9 6 5" xfId="55834" xr:uid="{00000000-0005-0000-0000-00004ADA0000}"/>
    <cellStyle name="注释 2 9 9 6 5 2" xfId="23997" xr:uid="{00000000-0005-0000-0000-0000ED5D0000}"/>
    <cellStyle name="注释 2 9 9 6 6" xfId="55835" xr:uid="{00000000-0005-0000-0000-00004BDA0000}"/>
    <cellStyle name="注释 2 9 9 7" xfId="51827" xr:uid="{00000000-0005-0000-0000-0000A3CA0000}"/>
    <cellStyle name="注释 2 9 9 7 2" xfId="55836" xr:uid="{00000000-0005-0000-0000-00004CDA0000}"/>
    <cellStyle name="注释 2 9 9 7 2 2" xfId="24137" xr:uid="{00000000-0005-0000-0000-0000795E0000}"/>
    <cellStyle name="注释 2 9 9 7 3" xfId="55837" xr:uid="{00000000-0005-0000-0000-00004DDA0000}"/>
    <cellStyle name="注释 2 9 9 7 3 2" xfId="24157" xr:uid="{00000000-0005-0000-0000-00008D5E0000}"/>
    <cellStyle name="注释 2 9 9 7 4" xfId="55838" xr:uid="{00000000-0005-0000-0000-00004EDA0000}"/>
    <cellStyle name="注释 2 9 9 7 4 2" xfId="24177" xr:uid="{00000000-0005-0000-0000-0000A15E0000}"/>
    <cellStyle name="注释 2 9 9 7 5" xfId="55839" xr:uid="{00000000-0005-0000-0000-00004FDA0000}"/>
    <cellStyle name="注释 2 9 9 7 5 2" xfId="24195" xr:uid="{00000000-0005-0000-0000-0000B35E0000}"/>
    <cellStyle name="注释 2 9 9 7 6" xfId="55840" xr:uid="{00000000-0005-0000-0000-000050DA0000}"/>
    <cellStyle name="注释 2 9 9 8" xfId="51829" xr:uid="{00000000-0005-0000-0000-0000A5CA0000}"/>
    <cellStyle name="注释 2 9 9 8 2" xfId="55841" xr:uid="{00000000-0005-0000-0000-000051DA0000}"/>
    <cellStyle name="注释 2 9 9 8 2 2" xfId="24289" xr:uid="{00000000-0005-0000-0000-0000115F0000}"/>
    <cellStyle name="注释 2 9 9 8 3" xfId="55842" xr:uid="{00000000-0005-0000-0000-000052DA0000}"/>
    <cellStyle name="注释 2 9 9 8 3 2" xfId="24315" xr:uid="{00000000-0005-0000-0000-00002B5F0000}"/>
    <cellStyle name="注释 2 9 9 8 4" xfId="55843" xr:uid="{00000000-0005-0000-0000-000053DA0000}"/>
    <cellStyle name="注释 2 9 9 8 4 2" xfId="24332" xr:uid="{00000000-0005-0000-0000-00003C5F0000}"/>
    <cellStyle name="注释 2 9 9 8 5" xfId="55844" xr:uid="{00000000-0005-0000-0000-000054DA0000}"/>
    <cellStyle name="注释 2 9 9 9" xfId="51833" xr:uid="{00000000-0005-0000-0000-0000A9CA0000}"/>
    <cellStyle name="注释 2 9 9 9 2" xfId="55845" xr:uid="{00000000-0005-0000-0000-000055DA0000}"/>
    <cellStyle name="注释 3" xfId="51415" xr:uid="{00000000-0005-0000-0000-000007C90000}"/>
    <cellStyle name="注释 4" xfId="51420" xr:uid="{00000000-0005-0000-0000-00000CC90000}"/>
    <cellStyle name="콤마 [0]_BOILER-CO1" xfId="55846" xr:uid="{00000000-0005-0000-0000-000056DA0000}"/>
    <cellStyle name="콤마_BOILER-CO1" xfId="13020" xr:uid="{00000000-0005-0000-0000-00000C330000}"/>
    <cellStyle name="통화 [0]_BOILER-CO1" xfId="53887" xr:uid="{00000000-0005-0000-0000-0000AFD20000}"/>
    <cellStyle name="통화_BOILER-CO1" xfId="55847" xr:uid="{00000000-0005-0000-0000-000057DA0000}"/>
    <cellStyle name="표준_0N-HANDLING " xfId="55848" xr:uid="{00000000-0005-0000-0000-000058DA0000}"/>
  </cellStyles>
  <dxfs count="3">
    <dxf>
      <font>
        <strike/>
      </font>
      <fill>
        <patternFill patternType="solid">
          <bgColor rgb="FFFF0000"/>
        </patternFill>
      </fill>
    </dxf>
    <dxf>
      <font>
        <strike/>
      </font>
      <fill>
        <patternFill patternType="solid">
          <bgColor rgb="FFFF0000"/>
        </patternFill>
      </fill>
    </dxf>
    <dxf>
      <fill>
        <patternFill patternType="solid">
          <bgColor theme="9" tint="0.59999389629810485"/>
        </patternFill>
      </fill>
    </dxf>
  </dxfs>
  <tableStyles count="0" defaultTableStyle="TableStyleMedium2" defaultPivotStyle="PivotStyleLight16"/>
  <colors>
    <mruColors>
      <color rgb="FFFF66CC"/>
      <color rgb="FF0000FF"/>
      <color rgb="FF0066FF"/>
      <color rgb="FF99FF66"/>
      <color rgb="FF6DD987"/>
      <color rgb="FF00CC00"/>
      <color rgb="FFFFFFCC"/>
      <color rgb="FF00CC66"/>
      <color rgb="FFFF00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www.wps.cn/officeDocument/2020/cellImage" Target="cellimag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Drop" dropStyle="combo" dx="16" sel="0" val="0"/>
</file>

<file path=xl/ctrlProps/ctrlProp2.xml><?xml version="1.0" encoding="utf-8"?>
<formControlPr xmlns="http://schemas.microsoft.com/office/spreadsheetml/2009/9/main" objectType="Drop" dropStyle="combo" dx="16" sel="0" val="0"/>
</file>

<file path=xl/ctrlProps/ctrlProp3.xml><?xml version="1.0" encoding="utf-8"?>
<formControlPr xmlns="http://schemas.microsoft.com/office/spreadsheetml/2009/9/main" objectType="Drop" dropStyle="combo" dx="16" sel="0" val="0"/>
</file>

<file path=xl/ctrlProps/ctrlProp4.xml><?xml version="1.0" encoding="utf-8"?>
<formControlPr xmlns="http://schemas.microsoft.com/office/spreadsheetml/2009/9/main" objectType="Drop" dropStyle="combo" dx="16" sel="0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36</xdr:row>
          <xdr:rowOff>0</xdr:rowOff>
        </xdr:from>
        <xdr:to>
          <xdr:col>43</xdr:col>
          <xdr:colOff>0</xdr:colOff>
          <xdr:row>36</xdr:row>
          <xdr:rowOff>0</xdr:rowOff>
        </xdr:to>
        <xdr:sp macro="" textlink="">
          <xdr:nvSpPr>
            <xdr:cNvPr id="5127" name="Drop Down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3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</xdr:col>
          <xdr:colOff>0</xdr:colOff>
          <xdr:row>36</xdr:row>
          <xdr:rowOff>0</xdr:rowOff>
        </xdr:from>
        <xdr:to>
          <xdr:col>44</xdr:col>
          <xdr:colOff>0</xdr:colOff>
          <xdr:row>36</xdr:row>
          <xdr:rowOff>0</xdr:rowOff>
        </xdr:to>
        <xdr:sp macro="" textlink="">
          <xdr:nvSpPr>
            <xdr:cNvPr id="5128" name="Drop Down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3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47</xdr:col>
          <xdr:colOff>0</xdr:colOff>
          <xdr:row>36</xdr:row>
          <xdr:rowOff>0</xdr:rowOff>
        </xdr:from>
        <xdr:to>
          <xdr:col>48</xdr:col>
          <xdr:colOff>0</xdr:colOff>
          <xdr:row>36</xdr:row>
          <xdr:rowOff>0</xdr:rowOff>
        </xdr:to>
        <xdr:sp macro="" textlink="">
          <xdr:nvSpPr>
            <xdr:cNvPr id="5129" name="Drop Down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3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</xdr:col>
          <xdr:colOff>0</xdr:colOff>
          <xdr:row>36</xdr:row>
          <xdr:rowOff>0</xdr:rowOff>
        </xdr:from>
        <xdr:to>
          <xdr:col>49</xdr:col>
          <xdr:colOff>0</xdr:colOff>
          <xdr:row>36</xdr:row>
          <xdr:rowOff>0</xdr:rowOff>
        </xdr:to>
        <xdr:sp macro="" textlink="">
          <xdr:nvSpPr>
            <xdr:cNvPr id="5130" name="Drop Down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3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#NAME?</fb>
    <v>4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2:AC54"/>
  <sheetViews>
    <sheetView topLeftCell="B44" zoomScale="85" zoomScaleNormal="85" workbookViewId="0">
      <selection activeCell="DK63" sqref="DK63"/>
    </sheetView>
  </sheetViews>
  <sheetFormatPr defaultColWidth="9" defaultRowHeight="15"/>
  <cols>
    <col min="1" max="1" width="10.5" customWidth="1"/>
    <col min="2" max="2" width="20.58203125" customWidth="1"/>
    <col min="3" max="3" width="16.08203125" customWidth="1"/>
    <col min="4" max="4" width="21" customWidth="1"/>
    <col min="5" max="5" width="21.5" customWidth="1"/>
    <col min="6" max="6" width="17.83203125" customWidth="1"/>
    <col min="7" max="7" width="14.33203125" customWidth="1"/>
    <col min="8" max="8" width="12.75" customWidth="1"/>
    <col min="9" max="9" width="11.33203125" customWidth="1"/>
    <col min="10" max="10" width="15.83203125" customWidth="1"/>
    <col min="11" max="11" width="10.58203125" customWidth="1"/>
    <col min="12" max="12" width="8.83203125" customWidth="1"/>
    <col min="13" max="14" width="10.58203125" customWidth="1"/>
    <col min="15" max="15" width="17.58203125" customWidth="1"/>
    <col min="16" max="16" width="9" customWidth="1"/>
    <col min="17" max="17" width="13.33203125" customWidth="1"/>
    <col min="18" max="18" width="9" customWidth="1"/>
    <col min="19" max="19" width="16.25" customWidth="1"/>
    <col min="20" max="20" width="11" customWidth="1"/>
    <col min="21" max="21" width="16.25" customWidth="1"/>
  </cols>
  <sheetData>
    <row r="2" spans="1:20">
      <c r="E2" s="768" t="s">
        <v>0</v>
      </c>
      <c r="F2" s="768"/>
      <c r="G2" s="768"/>
      <c r="H2" s="768"/>
      <c r="I2" s="768"/>
      <c r="J2" s="768"/>
      <c r="K2" s="746"/>
      <c r="L2" s="746"/>
      <c r="M2" s="746"/>
      <c r="N2" s="746"/>
    </row>
    <row r="3" spans="1:20">
      <c r="B3" s="729" t="s">
        <v>1</v>
      </c>
      <c r="C3" s="730" t="s">
        <v>2</v>
      </c>
      <c r="D3" s="730" t="s">
        <v>3</v>
      </c>
      <c r="E3" s="731" t="s">
        <v>4</v>
      </c>
      <c r="F3" s="731" t="s">
        <v>5</v>
      </c>
      <c r="G3" s="729" t="s">
        <v>6</v>
      </c>
      <c r="H3" s="729" t="s">
        <v>7</v>
      </c>
      <c r="I3" s="729"/>
      <c r="J3" s="750" t="s">
        <v>8</v>
      </c>
      <c r="K3" s="750" t="s">
        <v>9</v>
      </c>
      <c r="L3" s="728"/>
      <c r="M3" s="728"/>
      <c r="N3" s="751" t="s">
        <v>10</v>
      </c>
      <c r="O3" s="751"/>
      <c r="P3" s="751"/>
      <c r="Q3" s="751"/>
    </row>
    <row r="4" spans="1:20" ht="15.5">
      <c r="A4" s="393"/>
      <c r="B4" s="499"/>
      <c r="C4" s="732">
        <v>1</v>
      </c>
      <c r="D4" s="732">
        <v>1</v>
      </c>
      <c r="E4" s="733">
        <v>1.38</v>
      </c>
      <c r="F4" s="733">
        <v>1.38</v>
      </c>
      <c r="G4" s="733"/>
      <c r="H4" s="499">
        <v>1.38</v>
      </c>
      <c r="I4" s="499"/>
      <c r="J4" s="750" t="s">
        <v>11</v>
      </c>
      <c r="K4" s="750">
        <v>1</v>
      </c>
      <c r="L4" s="728"/>
      <c r="M4" s="728"/>
      <c r="N4" s="752" t="s">
        <v>12</v>
      </c>
      <c r="O4" s="753"/>
      <c r="P4" s="754"/>
      <c r="Q4" s="752">
        <v>0</v>
      </c>
    </row>
    <row r="5" spans="1:20" ht="15.5">
      <c r="A5" s="393"/>
      <c r="B5" s="499">
        <v>0.3</v>
      </c>
      <c r="C5" s="732">
        <v>1</v>
      </c>
      <c r="D5" s="732">
        <v>1</v>
      </c>
      <c r="E5" s="733">
        <v>1.78</v>
      </c>
      <c r="F5" s="733">
        <v>1.78</v>
      </c>
      <c r="G5" s="733"/>
      <c r="H5" s="499">
        <v>1.78</v>
      </c>
      <c r="I5" s="499"/>
      <c r="J5" s="750" t="s">
        <v>11</v>
      </c>
      <c r="K5" s="755">
        <v>1</v>
      </c>
      <c r="L5" s="756"/>
      <c r="M5" s="756"/>
      <c r="N5" s="757" t="s">
        <v>13</v>
      </c>
      <c r="O5" s="758" t="s">
        <v>14</v>
      </c>
      <c r="P5" s="758"/>
      <c r="Q5" s="757" t="s">
        <v>15</v>
      </c>
    </row>
    <row r="6" spans="1:20" ht="15.5">
      <c r="A6" s="393"/>
      <c r="B6" s="499">
        <v>0.5</v>
      </c>
      <c r="C6" s="732">
        <v>1</v>
      </c>
      <c r="D6" s="732">
        <v>1</v>
      </c>
      <c r="E6" s="733">
        <v>2.25</v>
      </c>
      <c r="F6" s="733">
        <v>2.25</v>
      </c>
      <c r="G6" s="733"/>
      <c r="H6" s="499">
        <v>2.25</v>
      </c>
      <c r="I6" s="499"/>
      <c r="J6" s="750" t="s">
        <v>11</v>
      </c>
      <c r="K6" s="755">
        <v>1</v>
      </c>
      <c r="L6" s="756"/>
      <c r="M6" s="756"/>
      <c r="N6" s="757">
        <v>1.5</v>
      </c>
      <c r="O6" s="758">
        <v>1</v>
      </c>
      <c r="P6" s="758"/>
      <c r="Q6" s="757">
        <v>1</v>
      </c>
    </row>
    <row r="7" spans="1:20" ht="15.5">
      <c r="A7" s="393"/>
      <c r="B7" s="499">
        <v>0.75</v>
      </c>
      <c r="C7" s="732">
        <v>1</v>
      </c>
      <c r="D7" s="732">
        <v>1</v>
      </c>
      <c r="E7" s="733">
        <v>2.76</v>
      </c>
      <c r="F7" s="733">
        <v>2.76</v>
      </c>
      <c r="G7" s="733"/>
      <c r="H7" s="499">
        <v>2.76</v>
      </c>
      <c r="I7" s="499">
        <v>1</v>
      </c>
      <c r="J7" s="750" t="s">
        <v>11</v>
      </c>
      <c r="K7" s="755">
        <v>1</v>
      </c>
      <c r="L7" s="756"/>
      <c r="M7" s="756"/>
      <c r="N7" s="757">
        <v>2.5</v>
      </c>
      <c r="O7" s="758">
        <v>1</v>
      </c>
      <c r="P7" s="758"/>
      <c r="Q7" s="757">
        <v>1.5</v>
      </c>
      <c r="T7" t="s">
        <v>16</v>
      </c>
    </row>
    <row r="8" spans="1:20" ht="15.5">
      <c r="A8" s="393"/>
      <c r="B8" s="499">
        <v>1</v>
      </c>
      <c r="C8" s="732">
        <v>1</v>
      </c>
      <c r="D8" s="732">
        <v>1</v>
      </c>
      <c r="E8" s="733"/>
      <c r="F8" s="733"/>
      <c r="G8" s="733"/>
      <c r="H8" s="499"/>
      <c r="I8" s="499">
        <v>2</v>
      </c>
      <c r="J8" s="750" t="s">
        <v>17</v>
      </c>
      <c r="K8" s="755">
        <v>2</v>
      </c>
      <c r="L8" s="756"/>
      <c r="M8" s="756"/>
      <c r="N8" s="757">
        <v>4</v>
      </c>
      <c r="O8" s="758">
        <v>1</v>
      </c>
      <c r="P8" s="758"/>
      <c r="Q8" s="757">
        <v>2.5</v>
      </c>
    </row>
    <row r="9" spans="1:20" ht="15.5">
      <c r="A9" s="393"/>
      <c r="B9" s="499">
        <v>1.5</v>
      </c>
      <c r="C9" s="732">
        <v>1</v>
      </c>
      <c r="D9" s="732">
        <v>1</v>
      </c>
      <c r="E9" s="733"/>
      <c r="F9" s="733"/>
      <c r="G9" s="733"/>
      <c r="H9" s="499"/>
      <c r="I9" s="499">
        <v>3</v>
      </c>
      <c r="J9" s="750" t="s">
        <v>18</v>
      </c>
      <c r="K9" s="755">
        <v>2.1547000000000001</v>
      </c>
      <c r="L9" s="756"/>
      <c r="M9" s="756"/>
      <c r="N9" s="757">
        <v>6</v>
      </c>
      <c r="O9" s="758">
        <v>1</v>
      </c>
      <c r="P9" s="758"/>
      <c r="Q9" s="757">
        <v>4</v>
      </c>
    </row>
    <row r="10" spans="1:20" ht="15.5">
      <c r="A10" s="393"/>
      <c r="B10" s="499">
        <v>2.5</v>
      </c>
      <c r="C10" s="732">
        <v>1</v>
      </c>
      <c r="D10" s="732">
        <v>1</v>
      </c>
      <c r="E10" s="733"/>
      <c r="F10" s="733"/>
      <c r="G10" s="733"/>
      <c r="H10" s="499"/>
      <c r="I10" s="499">
        <v>4</v>
      </c>
      <c r="J10" s="750" t="s">
        <v>19</v>
      </c>
      <c r="K10" s="755">
        <v>2.4198124999999999</v>
      </c>
      <c r="L10" s="756"/>
      <c r="M10" s="756"/>
      <c r="N10" s="757">
        <v>10</v>
      </c>
      <c r="O10" s="758">
        <v>7</v>
      </c>
      <c r="P10" s="758"/>
      <c r="Q10" s="757">
        <v>6</v>
      </c>
    </row>
    <row r="11" spans="1:20" ht="15.5">
      <c r="A11" s="393"/>
      <c r="B11" s="499">
        <v>4</v>
      </c>
      <c r="C11" s="732">
        <v>1</v>
      </c>
      <c r="D11" s="732">
        <v>1</v>
      </c>
      <c r="E11" s="733"/>
      <c r="F11" s="733"/>
      <c r="G11" s="733"/>
      <c r="H11" s="499"/>
      <c r="I11" s="499">
        <v>5</v>
      </c>
      <c r="J11" s="750" t="s">
        <v>20</v>
      </c>
      <c r="K11" s="755">
        <v>2.7159</v>
      </c>
      <c r="L11" s="756"/>
      <c r="M11" s="756"/>
      <c r="N11" s="757">
        <v>16</v>
      </c>
      <c r="O11" s="758">
        <v>7</v>
      </c>
      <c r="P11" s="758"/>
      <c r="Q11" s="757">
        <v>10</v>
      </c>
    </row>
    <row r="12" spans="1:20" ht="15.5">
      <c r="A12" s="393"/>
      <c r="B12" s="499">
        <v>6</v>
      </c>
      <c r="C12" s="732">
        <v>1</v>
      </c>
      <c r="D12" s="732">
        <v>1</v>
      </c>
      <c r="E12" s="733"/>
      <c r="F12" s="733"/>
      <c r="G12" s="733"/>
      <c r="H12" s="499"/>
      <c r="I12" s="499">
        <v>7</v>
      </c>
      <c r="J12" s="750" t="s">
        <v>20</v>
      </c>
      <c r="K12" s="755">
        <v>3</v>
      </c>
      <c r="L12" s="756"/>
      <c r="M12" s="756"/>
      <c r="N12" s="757">
        <v>25</v>
      </c>
      <c r="O12" s="758">
        <v>7</v>
      </c>
      <c r="P12" s="758"/>
      <c r="Q12" s="757">
        <v>16</v>
      </c>
    </row>
    <row r="13" spans="1:20" ht="15.5">
      <c r="A13" s="393"/>
      <c r="B13" s="499">
        <v>10</v>
      </c>
      <c r="C13" s="732">
        <v>7</v>
      </c>
      <c r="D13" s="732" t="s">
        <v>21</v>
      </c>
      <c r="E13" s="733">
        <v>1.35</v>
      </c>
      <c r="F13" s="733">
        <v>4.05</v>
      </c>
      <c r="G13" s="733"/>
      <c r="H13" s="499">
        <f>E13*3</f>
        <v>4.0500000000000007</v>
      </c>
      <c r="I13" s="499">
        <v>10</v>
      </c>
      <c r="J13" s="750" t="s">
        <v>20</v>
      </c>
      <c r="K13" s="750">
        <v>3</v>
      </c>
      <c r="L13" s="728"/>
      <c r="M13" s="728"/>
      <c r="N13" s="757">
        <v>35</v>
      </c>
      <c r="O13" s="758">
        <v>7</v>
      </c>
      <c r="P13" s="758"/>
      <c r="Q13" s="757">
        <v>16</v>
      </c>
    </row>
    <row r="14" spans="1:20" ht="15.5">
      <c r="A14" s="393"/>
      <c r="B14" s="499">
        <v>16</v>
      </c>
      <c r="C14" s="732">
        <v>7</v>
      </c>
      <c r="D14" s="732" t="s">
        <v>21</v>
      </c>
      <c r="E14" s="733">
        <v>1.7</v>
      </c>
      <c r="F14" s="734">
        <v>5.0999999999999996</v>
      </c>
      <c r="G14" s="733"/>
      <c r="H14" s="499">
        <f>E14*3</f>
        <v>5.0999999999999996</v>
      </c>
      <c r="I14" s="499">
        <v>14</v>
      </c>
      <c r="J14" s="750" t="s">
        <v>20</v>
      </c>
      <c r="K14" s="750">
        <v>3</v>
      </c>
      <c r="L14" s="728"/>
      <c r="M14" s="728"/>
      <c r="N14" s="757">
        <v>50</v>
      </c>
      <c r="O14" s="758">
        <v>10</v>
      </c>
      <c r="P14" s="758"/>
      <c r="Q14" s="757">
        <v>25</v>
      </c>
    </row>
    <row r="15" spans="1:20" ht="15.5">
      <c r="A15" s="393"/>
      <c r="B15" s="499">
        <v>25</v>
      </c>
      <c r="C15" s="732">
        <v>7</v>
      </c>
      <c r="D15" s="732" t="s">
        <v>21</v>
      </c>
      <c r="E15" s="733">
        <v>2.19</v>
      </c>
      <c r="F15" s="734">
        <v>6</v>
      </c>
      <c r="G15" s="733"/>
      <c r="H15" s="499">
        <f>E15*3</f>
        <v>6.57</v>
      </c>
      <c r="I15" s="72">
        <v>19</v>
      </c>
      <c r="J15" s="750" t="s">
        <v>20</v>
      </c>
      <c r="K15" s="750">
        <v>3</v>
      </c>
      <c r="L15" s="728"/>
      <c r="M15" s="728"/>
      <c r="N15" s="757">
        <v>70</v>
      </c>
      <c r="O15" s="758">
        <v>14</v>
      </c>
      <c r="P15" s="758"/>
      <c r="Q15" s="757">
        <v>35</v>
      </c>
    </row>
    <row r="16" spans="1:20" ht="15.5">
      <c r="A16" s="393"/>
      <c r="B16" s="499">
        <v>35</v>
      </c>
      <c r="C16" s="732">
        <v>7</v>
      </c>
      <c r="D16" s="732" t="s">
        <v>21</v>
      </c>
      <c r="E16" s="733">
        <v>2.5299999999999998</v>
      </c>
      <c r="F16" s="734">
        <v>7</v>
      </c>
      <c r="G16" s="733"/>
      <c r="H16" s="499">
        <f>E16*3</f>
        <v>7.59</v>
      </c>
      <c r="I16" s="72">
        <v>24</v>
      </c>
      <c r="J16" s="750" t="s">
        <v>20</v>
      </c>
      <c r="K16" s="750">
        <v>3</v>
      </c>
      <c r="L16" s="728"/>
      <c r="M16" s="728"/>
      <c r="N16" s="757">
        <v>95</v>
      </c>
      <c r="O16" s="758">
        <v>19</v>
      </c>
      <c r="P16" s="758"/>
      <c r="Q16" s="757">
        <v>50</v>
      </c>
    </row>
    <row r="17" spans="1:29" ht="15.5">
      <c r="A17" s="393"/>
      <c r="B17" s="499">
        <v>50</v>
      </c>
      <c r="C17" s="732">
        <v>10</v>
      </c>
      <c r="D17" s="732" t="s">
        <v>22</v>
      </c>
      <c r="E17" s="733">
        <v>2.5299999999999998</v>
      </c>
      <c r="F17" s="734">
        <v>7.45</v>
      </c>
      <c r="G17" s="733">
        <f>1.31*SQRT(A17)</f>
        <v>0</v>
      </c>
      <c r="H17" s="499">
        <f>3.828*E17</f>
        <v>9.6848399999999994</v>
      </c>
      <c r="I17" s="72">
        <v>30</v>
      </c>
      <c r="J17" s="750" t="s">
        <v>23</v>
      </c>
      <c r="K17" s="750">
        <v>3.8279999999999998</v>
      </c>
      <c r="L17" s="728"/>
      <c r="M17" s="728"/>
      <c r="N17" s="757">
        <v>120</v>
      </c>
      <c r="O17" s="758">
        <v>24</v>
      </c>
      <c r="P17" s="758"/>
      <c r="Q17" s="757">
        <v>70</v>
      </c>
    </row>
    <row r="18" spans="1:29" ht="15.5">
      <c r="A18" s="393"/>
      <c r="B18" s="499">
        <v>70</v>
      </c>
      <c r="C18" s="732">
        <v>14</v>
      </c>
      <c r="D18" s="732" t="s">
        <v>24</v>
      </c>
      <c r="E18" s="733">
        <v>2.5299999999999998</v>
      </c>
      <c r="F18" s="734">
        <v>8.9499999999999993</v>
      </c>
      <c r="G18" s="733">
        <f t="shared" ref="G18:G25" si="0">1.31*SQRT(A18)</f>
        <v>0</v>
      </c>
      <c r="H18" s="499">
        <f>4.3739*E18</f>
        <v>11.065966999999999</v>
      </c>
      <c r="I18" s="72">
        <v>37</v>
      </c>
      <c r="J18" s="750" t="s">
        <v>25</v>
      </c>
      <c r="K18" s="750">
        <v>4.3738999999999999</v>
      </c>
      <c r="L18" s="728"/>
      <c r="M18" s="728"/>
      <c r="N18" s="757">
        <v>150</v>
      </c>
      <c r="O18" s="758">
        <v>30</v>
      </c>
      <c r="P18" s="758"/>
      <c r="Q18" s="757">
        <v>70</v>
      </c>
    </row>
    <row r="19" spans="1:29" ht="16">
      <c r="A19" s="393"/>
      <c r="B19" s="499">
        <v>95</v>
      </c>
      <c r="C19" s="732">
        <v>19</v>
      </c>
      <c r="D19" s="732" t="s">
        <v>26</v>
      </c>
      <c r="E19" s="733">
        <v>2.5299999999999998</v>
      </c>
      <c r="F19" s="734">
        <v>10.5</v>
      </c>
      <c r="G19" s="733">
        <f t="shared" si="0"/>
        <v>0</v>
      </c>
      <c r="H19" s="499">
        <f>4.8637*E19</f>
        <v>12.305160999999998</v>
      </c>
      <c r="I19" s="72">
        <v>48</v>
      </c>
      <c r="J19" s="755" t="s">
        <v>27</v>
      </c>
      <c r="K19" s="755">
        <v>4.8636999999999997</v>
      </c>
      <c r="L19" s="756"/>
      <c r="M19" s="756"/>
      <c r="N19" s="757">
        <v>185</v>
      </c>
      <c r="O19" s="758">
        <v>37</v>
      </c>
      <c r="P19" s="758"/>
      <c r="Q19" s="757">
        <v>95</v>
      </c>
    </row>
    <row r="20" spans="1:29" ht="16">
      <c r="A20" s="393"/>
      <c r="B20" s="499">
        <v>120</v>
      </c>
      <c r="C20" s="732">
        <v>24</v>
      </c>
      <c r="D20" s="732" t="s">
        <v>28</v>
      </c>
      <c r="E20" s="733">
        <v>2.5299999999999998</v>
      </c>
      <c r="F20" s="734">
        <v>11.87</v>
      </c>
      <c r="G20" s="733">
        <f t="shared" si="0"/>
        <v>0</v>
      </c>
      <c r="H20" s="499">
        <f>5.77*E20</f>
        <v>14.598099999999997</v>
      </c>
      <c r="I20" s="499">
        <v>61</v>
      </c>
      <c r="J20" s="755" t="s">
        <v>29</v>
      </c>
      <c r="K20" s="755">
        <v>5.77</v>
      </c>
      <c r="L20" s="756"/>
      <c r="M20" s="756"/>
      <c r="N20" s="757">
        <v>240</v>
      </c>
      <c r="O20" s="758">
        <v>48</v>
      </c>
      <c r="P20" s="758"/>
      <c r="Q20" s="757">
        <v>120</v>
      </c>
    </row>
    <row r="21" spans="1:29" ht="16">
      <c r="A21" s="393"/>
      <c r="B21" s="499">
        <v>150</v>
      </c>
      <c r="C21" s="732">
        <v>30</v>
      </c>
      <c r="D21" s="732" t="s">
        <v>30</v>
      </c>
      <c r="E21" s="733">
        <v>2.5299999999999998</v>
      </c>
      <c r="F21" s="734">
        <v>13.35</v>
      </c>
      <c r="G21" s="733">
        <f t="shared" si="0"/>
        <v>0</v>
      </c>
      <c r="H21" s="499">
        <f>6.37*E21</f>
        <v>16.116099999999999</v>
      </c>
      <c r="I21" s="499"/>
      <c r="J21" s="755" t="s">
        <v>31</v>
      </c>
      <c r="K21" s="755">
        <v>6.37</v>
      </c>
      <c r="L21" s="756"/>
      <c r="M21" s="756"/>
      <c r="N21" s="757">
        <v>300</v>
      </c>
      <c r="O21" s="758">
        <v>61</v>
      </c>
      <c r="P21" s="758"/>
      <c r="Q21" s="757">
        <v>150</v>
      </c>
    </row>
    <row r="22" spans="1:29" ht="15.75" customHeight="1">
      <c r="A22" s="393"/>
      <c r="B22" s="499">
        <v>185</v>
      </c>
      <c r="C22" s="732">
        <v>37</v>
      </c>
      <c r="D22" s="732" t="s">
        <v>32</v>
      </c>
      <c r="E22" s="733">
        <v>2.5299999999999998</v>
      </c>
      <c r="F22" s="734">
        <v>14.89</v>
      </c>
      <c r="G22" s="733">
        <f t="shared" si="0"/>
        <v>0</v>
      </c>
      <c r="H22" s="499">
        <f>6.818626*E22</f>
        <v>17.25112378</v>
      </c>
      <c r="I22" s="499"/>
      <c r="J22" s="755" t="s">
        <v>33</v>
      </c>
      <c r="K22" s="755">
        <v>6.8186260000000001</v>
      </c>
      <c r="L22" s="756"/>
      <c r="M22" s="756"/>
      <c r="N22" s="757">
        <v>400</v>
      </c>
      <c r="O22" s="758">
        <v>61</v>
      </c>
      <c r="P22" s="758"/>
      <c r="Q22" s="757">
        <v>185</v>
      </c>
      <c r="T22" s="756"/>
      <c r="AC22" s="746"/>
    </row>
    <row r="23" spans="1:29" ht="16">
      <c r="A23" s="393"/>
      <c r="B23" s="499">
        <v>240</v>
      </c>
      <c r="C23" s="732">
        <v>48</v>
      </c>
      <c r="D23" s="732" t="s">
        <v>34</v>
      </c>
      <c r="E23" s="733">
        <v>2.5299999999999998</v>
      </c>
      <c r="F23" s="734">
        <v>17.059999999999999</v>
      </c>
      <c r="G23" s="733">
        <f t="shared" si="0"/>
        <v>0</v>
      </c>
      <c r="H23" s="499">
        <f>7.8658*E23</f>
        <v>19.900473999999999</v>
      </c>
      <c r="I23" s="499"/>
      <c r="J23" s="755" t="s">
        <v>35</v>
      </c>
      <c r="K23" s="755">
        <v>7.8658000000000001</v>
      </c>
      <c r="L23" s="756"/>
      <c r="M23" s="756"/>
      <c r="T23" s="756"/>
      <c r="AC23" s="746"/>
    </row>
    <row r="24" spans="1:29" ht="16">
      <c r="A24" s="393"/>
      <c r="B24" s="499">
        <v>300</v>
      </c>
      <c r="C24" s="732">
        <v>61</v>
      </c>
      <c r="D24" s="732" t="s">
        <v>36</v>
      </c>
      <c r="E24" s="733">
        <v>2.5299999999999998</v>
      </c>
      <c r="F24" s="734">
        <v>19.899999999999999</v>
      </c>
      <c r="G24" s="733">
        <f t="shared" si="0"/>
        <v>0</v>
      </c>
      <c r="H24" s="499"/>
      <c r="I24" s="499"/>
      <c r="J24" s="755" t="s">
        <v>37</v>
      </c>
      <c r="K24" s="755">
        <v>8.7059999999999995</v>
      </c>
      <c r="L24" s="756"/>
      <c r="M24" s="756"/>
      <c r="T24" s="756"/>
      <c r="AC24" s="746"/>
    </row>
    <row r="25" spans="1:29" ht="16">
      <c r="A25" s="393"/>
      <c r="B25" s="499">
        <v>400</v>
      </c>
      <c r="C25" s="732">
        <v>61</v>
      </c>
      <c r="D25" s="732" t="s">
        <v>36</v>
      </c>
      <c r="E25" s="733">
        <v>2.5299999999999998</v>
      </c>
      <c r="F25" s="734">
        <v>19.899999999999999</v>
      </c>
      <c r="G25" s="733">
        <f t="shared" si="0"/>
        <v>0</v>
      </c>
      <c r="H25" s="499"/>
      <c r="I25" s="499"/>
      <c r="J25" s="755" t="s">
        <v>37</v>
      </c>
      <c r="K25" s="755">
        <v>8.7059999999999995</v>
      </c>
      <c r="L25" s="756"/>
      <c r="M25" s="756"/>
      <c r="T25" s="756"/>
      <c r="AC25" s="746"/>
    </row>
    <row r="26" spans="1:29" ht="15.5">
      <c r="A26" s="393"/>
      <c r="B26" s="735">
        <v>500</v>
      </c>
      <c r="C26" s="732">
        <v>61</v>
      </c>
      <c r="D26" s="736"/>
      <c r="E26" s="737"/>
      <c r="F26" s="738"/>
      <c r="G26" s="737"/>
      <c r="H26" s="735"/>
      <c r="I26" s="735"/>
      <c r="J26" s="756"/>
      <c r="K26" s="756"/>
      <c r="L26" s="756"/>
      <c r="M26" s="756"/>
      <c r="T26" s="756"/>
      <c r="AC26" s="746"/>
    </row>
    <row r="27" spans="1:29" ht="15.5">
      <c r="A27" s="393"/>
      <c r="B27" s="735">
        <v>630</v>
      </c>
      <c r="C27" s="732">
        <v>61</v>
      </c>
      <c r="D27" s="736"/>
      <c r="E27" s="737"/>
      <c r="F27" s="738"/>
      <c r="G27" s="737"/>
      <c r="H27" s="735"/>
      <c r="I27" s="735"/>
      <c r="J27" s="756"/>
      <c r="K27" s="756"/>
      <c r="L27" s="756"/>
      <c r="M27" s="756"/>
      <c r="T27" s="756"/>
      <c r="AC27" s="746"/>
    </row>
    <row r="28" spans="1:29" ht="15.5">
      <c r="A28" s="393"/>
      <c r="B28" s="735">
        <v>800</v>
      </c>
      <c r="C28" s="732">
        <v>61</v>
      </c>
      <c r="D28" s="736"/>
      <c r="E28" s="737"/>
      <c r="F28" s="738"/>
      <c r="G28" s="737"/>
      <c r="H28" s="735"/>
      <c r="I28" s="735"/>
      <c r="J28" s="756"/>
      <c r="K28" s="756"/>
      <c r="L28" s="756"/>
      <c r="M28" s="756"/>
      <c r="T28" s="756"/>
      <c r="AC28" s="746"/>
    </row>
    <row r="29" spans="1:29">
      <c r="A29" s="393"/>
      <c r="B29" s="393"/>
      <c r="C29" s="393"/>
      <c r="D29" s="393"/>
      <c r="E29" s="393"/>
      <c r="F29" s="393"/>
      <c r="G29" s="393"/>
      <c r="H29" s="393"/>
      <c r="I29" s="393"/>
      <c r="AC29" s="746"/>
    </row>
    <row r="30" spans="1:29" ht="23">
      <c r="A30" s="393"/>
      <c r="B30" s="739" t="s">
        <v>38</v>
      </c>
      <c r="C30" s="739"/>
      <c r="D30" s="739"/>
      <c r="E30" s="739"/>
      <c r="F30" s="739"/>
      <c r="G30" s="739"/>
      <c r="H30" s="739"/>
      <c r="I30" s="739"/>
      <c r="J30" s="739"/>
      <c r="K30" s="739"/>
      <c r="L30" s="739"/>
      <c r="M30" s="739"/>
      <c r="N30" s="739"/>
      <c r="O30" s="739"/>
      <c r="Y30" s="746"/>
    </row>
    <row r="31" spans="1:29">
      <c r="A31" s="393"/>
      <c r="B31" s="777" t="s">
        <v>39</v>
      </c>
      <c r="C31" s="777"/>
      <c r="D31" s="777"/>
      <c r="E31" s="740"/>
      <c r="F31" s="769" t="s">
        <v>40</v>
      </c>
      <c r="G31" s="770"/>
      <c r="H31" s="770"/>
      <c r="I31" s="770"/>
      <c r="J31" s="770"/>
      <c r="K31" s="770"/>
      <c r="L31" s="770"/>
      <c r="M31" s="770"/>
      <c r="N31" s="775" t="s">
        <v>41</v>
      </c>
      <c r="O31" s="775" t="s">
        <v>42</v>
      </c>
      <c r="P31" s="776" t="s">
        <v>43</v>
      </c>
      <c r="Y31" s="746"/>
    </row>
    <row r="32" spans="1:29" ht="14.25" customHeight="1">
      <c r="A32" s="393"/>
      <c r="B32" s="777"/>
      <c r="C32" s="777"/>
      <c r="D32" s="777"/>
      <c r="E32" s="741"/>
      <c r="F32" s="771" t="s">
        <v>44</v>
      </c>
      <c r="G32" s="769"/>
      <c r="H32" s="769"/>
      <c r="I32" s="772"/>
      <c r="J32" s="773" t="s">
        <v>45</v>
      </c>
      <c r="K32" s="774"/>
      <c r="L32" s="774"/>
      <c r="M32" s="774"/>
      <c r="N32" s="775"/>
      <c r="O32" s="775"/>
      <c r="P32" s="776"/>
      <c r="Y32" s="746"/>
    </row>
    <row r="33" spans="1:27" ht="17.5">
      <c r="A33" s="393"/>
      <c r="B33" s="742" t="s">
        <v>46</v>
      </c>
      <c r="C33" s="742" t="s">
        <v>47</v>
      </c>
      <c r="D33" s="742" t="s">
        <v>48</v>
      </c>
      <c r="E33" s="729" t="s">
        <v>49</v>
      </c>
      <c r="F33" s="729" t="s">
        <v>50</v>
      </c>
      <c r="G33" s="743" t="s">
        <v>51</v>
      </c>
      <c r="H33" s="743" t="s">
        <v>52</v>
      </c>
      <c r="I33" s="743" t="s">
        <v>53</v>
      </c>
      <c r="J33" s="759" t="s">
        <v>54</v>
      </c>
      <c r="K33" s="760" t="s">
        <v>55</v>
      </c>
      <c r="L33" s="760" t="s">
        <v>56</v>
      </c>
      <c r="M33" s="761" t="s">
        <v>57</v>
      </c>
      <c r="N33" s="775"/>
      <c r="O33" s="775"/>
      <c r="P33" s="776"/>
      <c r="Q33" s="746" t="s">
        <v>58</v>
      </c>
      <c r="Y33" s="746"/>
    </row>
    <row r="34" spans="1:27" ht="17.5">
      <c r="A34" s="393"/>
      <c r="B34" s="742" t="s">
        <v>59</v>
      </c>
      <c r="C34" s="742" t="s">
        <v>60</v>
      </c>
      <c r="D34" s="742" t="s">
        <v>61</v>
      </c>
      <c r="E34" s="729" t="e">
        <f>各项系数!$F$77*《倍数表》!I34^2*《倍数表》!H34</f>
        <v>#NAME?</v>
      </c>
      <c r="F34" s="744" t="str">
        <f>MID($B34,1,FIND("/",$B34)-1)</f>
        <v>10</v>
      </c>
      <c r="G34" s="744" t="str">
        <f t="shared" ref="G34:G46" si="1">IF(COUNTIF(C34,"*")&gt;0,MID(C34,1,FIND("*",C34)-1),MID($C34,1,FIND("*",$C34)-1))</f>
        <v>6</v>
      </c>
      <c r="H34" s="744" t="e">
        <f t="shared" ref="H34:H46" si="2">g</f>
        <v>#NAME?</v>
      </c>
      <c r="I34" s="762" t="str">
        <f t="shared" ref="I34:I46" si="3">RIGHT($C34,(LEN($C34)-FIND("*",$C34)))</f>
        <v>150</v>
      </c>
      <c r="J34" s="760" t="str">
        <f>MID($B34,FIND("/",$B34)+1,LEN($B34))</f>
        <v>2</v>
      </c>
      <c r="K34" s="760" t="str">
        <f t="shared" ref="K34:K46" si="4">IF(COUNTIF(D34,"*")&gt;0,MID(D34,1,FIND("*",D34)-1),MID($D34,1,FIND("*",$D34)-1))</f>
        <v>1</v>
      </c>
      <c r="L34" s="763" t="e">
        <f t="shared" ref="L34:L46" si="5">k</f>
        <v>#NAME?</v>
      </c>
      <c r="M34" s="764" t="str">
        <f t="shared" ref="M34:M46" si="6">RIGHT($D34,(LEN($C34)-FIND("*",$C34)))</f>
        <v>150</v>
      </c>
      <c r="N34" s="765" t="e">
        <f t="shared" ref="N34:N46" si="7">L34+H34</f>
        <v>#NAME?</v>
      </c>
      <c r="O34" s="766" t="str">
        <f>K34&amp;"*"&amp;G34</f>
        <v>1*6</v>
      </c>
      <c r="P34" s="767">
        <f t="shared" ref="P34:P39" si="8">M34*3</f>
        <v>450</v>
      </c>
      <c r="Q34" s="746" t="e">
        <f>H34*I34*I34*3.14/4/10000</f>
        <v>#NAME?</v>
      </c>
      <c r="R34" s="746" t="e">
        <f>Q34-F34</f>
        <v>#NAME?</v>
      </c>
      <c r="Y34" s="746"/>
    </row>
    <row r="35" spans="1:27" ht="17.5">
      <c r="A35" s="393"/>
      <c r="B35" s="742" t="s">
        <v>62</v>
      </c>
      <c r="C35" s="742" t="s">
        <v>63</v>
      </c>
      <c r="D35" s="742" t="s">
        <v>64</v>
      </c>
      <c r="E35" s="729" t="e">
        <f>各项系数!$F$77*《倍数表》!I35^2*《倍数表》!H35</f>
        <v>#NAME?</v>
      </c>
      <c r="F35" s="744" t="str">
        <f t="shared" ref="F35:F46" si="9">MID($B35,1,FIND("/",$B35)-1)</f>
        <v>16</v>
      </c>
      <c r="G35" s="744" t="str">
        <f t="shared" si="1"/>
        <v>6</v>
      </c>
      <c r="H35" s="744" t="e">
        <f t="shared" si="2"/>
        <v>#NAME?</v>
      </c>
      <c r="I35" s="762" t="str">
        <f t="shared" si="3"/>
        <v>185</v>
      </c>
      <c r="J35" s="760" t="str">
        <f t="shared" ref="J35:J46" si="10">MID($B35,FIND("/",$B35)+1,LEN($B35))</f>
        <v>3</v>
      </c>
      <c r="K35" s="760" t="str">
        <f t="shared" si="4"/>
        <v>1</v>
      </c>
      <c r="L35" s="763" t="e">
        <f t="shared" si="5"/>
        <v>#NAME?</v>
      </c>
      <c r="M35" s="764" t="str">
        <f t="shared" si="6"/>
        <v>185</v>
      </c>
      <c r="N35" s="765" t="e">
        <f t="shared" si="7"/>
        <v>#NAME?</v>
      </c>
      <c r="O35" s="766" t="str">
        <f t="shared" ref="O35:O46" si="11">K35&amp;"*"&amp;G35</f>
        <v>1*6</v>
      </c>
      <c r="P35" s="767">
        <f t="shared" si="8"/>
        <v>555</v>
      </c>
      <c r="Q35" s="746" t="e">
        <f t="shared" ref="Q35:Q46" si="12">H35*I35*I35*3.14/4/10000</f>
        <v>#NAME?</v>
      </c>
      <c r="R35" s="746" t="e">
        <f t="shared" ref="R35:R46" si="13">Q35-F35</f>
        <v>#NAME?</v>
      </c>
      <c r="Y35" s="746"/>
    </row>
    <row r="36" spans="1:27" ht="17.5">
      <c r="A36" s="393"/>
      <c r="B36" s="742" t="s">
        <v>65</v>
      </c>
      <c r="C36" s="742" t="s">
        <v>66</v>
      </c>
      <c r="D36" s="742" t="s">
        <v>67</v>
      </c>
      <c r="E36" s="729" t="e">
        <f>各项系数!$F$77*《倍数表》!I36^2*《倍数表》!H36</f>
        <v>#NAME?</v>
      </c>
      <c r="F36" s="744" t="str">
        <f t="shared" si="9"/>
        <v>25</v>
      </c>
      <c r="G36" s="744" t="str">
        <f t="shared" si="1"/>
        <v>6</v>
      </c>
      <c r="H36" s="744" t="e">
        <f t="shared" si="2"/>
        <v>#NAME?</v>
      </c>
      <c r="I36" s="762" t="str">
        <f t="shared" si="3"/>
        <v>232</v>
      </c>
      <c r="J36" s="760" t="str">
        <f t="shared" si="10"/>
        <v>4</v>
      </c>
      <c r="K36" s="760" t="str">
        <f t="shared" si="4"/>
        <v>1</v>
      </c>
      <c r="L36" s="763" t="e">
        <f t="shared" si="5"/>
        <v>#NAME?</v>
      </c>
      <c r="M36" s="764" t="str">
        <f t="shared" si="6"/>
        <v>232</v>
      </c>
      <c r="N36" s="765" t="e">
        <f t="shared" si="7"/>
        <v>#NAME?</v>
      </c>
      <c r="O36" s="766" t="str">
        <f t="shared" si="11"/>
        <v>1*6</v>
      </c>
      <c r="P36" s="767">
        <f t="shared" si="8"/>
        <v>696</v>
      </c>
      <c r="Q36" s="746" t="e">
        <f t="shared" si="12"/>
        <v>#NAME?</v>
      </c>
      <c r="R36" s="746" t="e">
        <f t="shared" si="13"/>
        <v>#NAME?</v>
      </c>
      <c r="Y36" s="746"/>
    </row>
    <row r="37" spans="1:27" ht="17.5">
      <c r="A37" s="393"/>
      <c r="B37" s="742" t="s">
        <v>68</v>
      </c>
      <c r="C37" s="742" t="s">
        <v>69</v>
      </c>
      <c r="D37" s="742" t="s">
        <v>70</v>
      </c>
      <c r="E37" s="729" t="e">
        <f>各项系数!$F$77*《倍数表》!I37^2*《倍数表》!H37</f>
        <v>#NAME?</v>
      </c>
      <c r="F37" s="744" t="str">
        <f t="shared" si="9"/>
        <v>35</v>
      </c>
      <c r="G37" s="744" t="str">
        <f t="shared" si="1"/>
        <v>6</v>
      </c>
      <c r="H37" s="744" t="e">
        <f t="shared" si="2"/>
        <v>#NAME?</v>
      </c>
      <c r="I37" s="762" t="str">
        <f t="shared" si="3"/>
        <v>272</v>
      </c>
      <c r="J37" s="760" t="str">
        <f t="shared" si="10"/>
        <v>6</v>
      </c>
      <c r="K37" s="760" t="str">
        <f t="shared" si="4"/>
        <v>1</v>
      </c>
      <c r="L37" s="763" t="e">
        <f t="shared" si="5"/>
        <v>#NAME?</v>
      </c>
      <c r="M37" s="764" t="str">
        <f t="shared" si="6"/>
        <v>272</v>
      </c>
      <c r="N37" s="765" t="e">
        <f t="shared" si="7"/>
        <v>#NAME?</v>
      </c>
      <c r="O37" s="766" t="str">
        <f t="shared" si="11"/>
        <v>1*6</v>
      </c>
      <c r="P37" s="767">
        <f t="shared" si="8"/>
        <v>816</v>
      </c>
      <c r="Q37" s="746" t="e">
        <f t="shared" si="12"/>
        <v>#NAME?</v>
      </c>
      <c r="R37" s="746" t="e">
        <f t="shared" si="13"/>
        <v>#NAME?</v>
      </c>
      <c r="Y37" s="746"/>
    </row>
    <row r="38" spans="1:27" ht="17.5">
      <c r="A38" s="393"/>
      <c r="B38" s="742" t="s">
        <v>71</v>
      </c>
      <c r="C38" s="742" t="s">
        <v>72</v>
      </c>
      <c r="D38" s="742" t="s">
        <v>73</v>
      </c>
      <c r="E38" s="729" t="e">
        <f>各项系数!$F$77*《倍数表》!I38^2*《倍数表》!H38</f>
        <v>#NAME?</v>
      </c>
      <c r="F38" s="744" t="str">
        <f t="shared" si="9"/>
        <v>50</v>
      </c>
      <c r="G38" s="744" t="str">
        <f t="shared" si="1"/>
        <v>6</v>
      </c>
      <c r="H38" s="744" t="e">
        <f t="shared" si="2"/>
        <v>#NAME?</v>
      </c>
      <c r="I38" s="762" t="str">
        <f t="shared" si="3"/>
        <v>320</v>
      </c>
      <c r="J38" s="760" t="str">
        <f t="shared" si="10"/>
        <v>8</v>
      </c>
      <c r="K38" s="760" t="str">
        <f t="shared" si="4"/>
        <v>1</v>
      </c>
      <c r="L38" s="763" t="e">
        <f t="shared" si="5"/>
        <v>#NAME?</v>
      </c>
      <c r="M38" s="764" t="str">
        <f t="shared" si="6"/>
        <v>320</v>
      </c>
      <c r="N38" s="765" t="e">
        <f t="shared" si="7"/>
        <v>#NAME?</v>
      </c>
      <c r="O38" s="766" t="str">
        <f t="shared" si="11"/>
        <v>1*6</v>
      </c>
      <c r="P38" s="767">
        <f t="shared" si="8"/>
        <v>960</v>
      </c>
      <c r="Q38" s="746" t="e">
        <f t="shared" si="12"/>
        <v>#NAME?</v>
      </c>
      <c r="R38" s="746" t="e">
        <f t="shared" si="13"/>
        <v>#NAME?</v>
      </c>
      <c r="Y38" s="746"/>
    </row>
    <row r="39" spans="1:27" ht="17.5">
      <c r="A39" s="393"/>
      <c r="B39" s="742" t="s">
        <v>74</v>
      </c>
      <c r="C39" s="742" t="s">
        <v>75</v>
      </c>
      <c r="D39" s="742" t="s">
        <v>76</v>
      </c>
      <c r="E39" s="729" t="e">
        <f>各项系数!$F$77*《倍数表》!I39^2*《倍数表》!H39</f>
        <v>#NAME?</v>
      </c>
      <c r="F39" s="744" t="str">
        <f t="shared" si="9"/>
        <v>70</v>
      </c>
      <c r="G39" s="744" t="str">
        <f t="shared" si="1"/>
        <v>6</v>
      </c>
      <c r="H39" s="744" t="e">
        <f t="shared" si="2"/>
        <v>#NAME?</v>
      </c>
      <c r="I39" s="762" t="str">
        <f t="shared" si="3"/>
        <v>380</v>
      </c>
      <c r="J39" s="760" t="str">
        <f t="shared" si="10"/>
        <v>10</v>
      </c>
      <c r="K39" s="760" t="str">
        <f t="shared" si="4"/>
        <v>1</v>
      </c>
      <c r="L39" s="763" t="e">
        <f t="shared" si="5"/>
        <v>#NAME?</v>
      </c>
      <c r="M39" s="764" t="str">
        <f t="shared" si="6"/>
        <v>380</v>
      </c>
      <c r="N39" s="765" t="e">
        <f t="shared" si="7"/>
        <v>#NAME?</v>
      </c>
      <c r="O39" s="766" t="str">
        <f t="shared" si="11"/>
        <v>1*6</v>
      </c>
      <c r="P39" s="767">
        <f t="shared" si="8"/>
        <v>1140</v>
      </c>
      <c r="Q39" s="746" t="e">
        <f t="shared" si="12"/>
        <v>#NAME?</v>
      </c>
      <c r="R39" s="746" t="e">
        <f t="shared" si="13"/>
        <v>#NAME?</v>
      </c>
      <c r="Y39" s="746"/>
    </row>
    <row r="40" spans="1:27" ht="17.5">
      <c r="A40" s="393"/>
      <c r="B40" s="742" t="s">
        <v>77</v>
      </c>
      <c r="C40" s="742" t="s">
        <v>78</v>
      </c>
      <c r="D40" s="742" t="s">
        <v>79</v>
      </c>
      <c r="E40" s="729" t="e">
        <f>各项系数!$F$77*《倍数表》!I40^2*《倍数表》!H40</f>
        <v>#NAME?</v>
      </c>
      <c r="F40" s="744" t="str">
        <f t="shared" si="9"/>
        <v>95</v>
      </c>
      <c r="G40" s="744" t="str">
        <f t="shared" si="1"/>
        <v>10+16</v>
      </c>
      <c r="H40" s="744" t="e">
        <f t="shared" si="2"/>
        <v>#NAME?</v>
      </c>
      <c r="I40" s="762" t="str">
        <f t="shared" si="3"/>
        <v>215</v>
      </c>
      <c r="J40" s="760" t="str">
        <f t="shared" si="10"/>
        <v>15</v>
      </c>
      <c r="K40" s="760" t="str">
        <f t="shared" si="4"/>
        <v>1+6</v>
      </c>
      <c r="L40" s="763" t="e">
        <f t="shared" si="5"/>
        <v>#NAME?</v>
      </c>
      <c r="M40" s="764" t="str">
        <f t="shared" si="6"/>
        <v>167</v>
      </c>
      <c r="N40" s="765" t="e">
        <f t="shared" si="7"/>
        <v>#NAME?</v>
      </c>
      <c r="O40" s="766" t="str">
        <f t="shared" si="11"/>
        <v>1+6*10+16</v>
      </c>
      <c r="P40" s="767">
        <v>1355.03</v>
      </c>
      <c r="Q40" s="746" t="e">
        <f t="shared" si="12"/>
        <v>#NAME?</v>
      </c>
      <c r="R40" s="746" t="e">
        <f t="shared" si="13"/>
        <v>#NAME?</v>
      </c>
      <c r="Y40" s="746"/>
    </row>
    <row r="41" spans="1:27" ht="17.5">
      <c r="A41" s="393"/>
      <c r="B41" s="742" t="s">
        <v>80</v>
      </c>
      <c r="C41" s="742" t="s">
        <v>81</v>
      </c>
      <c r="D41" s="742" t="s">
        <v>82</v>
      </c>
      <c r="E41" s="729" t="e">
        <f>各项系数!$F$77*《倍数表》!I41^2*《倍数表》!H41</f>
        <v>#NAME?</v>
      </c>
      <c r="F41" s="744" t="str">
        <f t="shared" si="9"/>
        <v>120</v>
      </c>
      <c r="G41" s="744" t="str">
        <f t="shared" si="1"/>
        <v>10+16</v>
      </c>
      <c r="H41" s="744" t="e">
        <f t="shared" si="2"/>
        <v>#NAME?</v>
      </c>
      <c r="I41" s="762" t="str">
        <f t="shared" si="3"/>
        <v>238</v>
      </c>
      <c r="J41" s="760" t="str">
        <f t="shared" si="10"/>
        <v>20</v>
      </c>
      <c r="K41" s="760" t="str">
        <f t="shared" si="4"/>
        <v>1+6</v>
      </c>
      <c r="L41" s="763" t="e">
        <f t="shared" si="5"/>
        <v>#NAME?</v>
      </c>
      <c r="M41" s="764" t="str">
        <f t="shared" si="6"/>
        <v>185</v>
      </c>
      <c r="N41" s="765" t="e">
        <f t="shared" si="7"/>
        <v>#NAME?</v>
      </c>
      <c r="O41" s="766" t="str">
        <f t="shared" si="11"/>
        <v>1+6*10+16</v>
      </c>
      <c r="P41" s="767">
        <v>1482.8</v>
      </c>
      <c r="Q41" s="746" t="e">
        <f t="shared" si="12"/>
        <v>#NAME?</v>
      </c>
      <c r="R41" s="746" t="e">
        <f t="shared" si="13"/>
        <v>#NAME?</v>
      </c>
      <c r="Y41" s="746"/>
      <c r="Z41" s="746">
        <v>150</v>
      </c>
      <c r="AA41" s="746">
        <v>6</v>
      </c>
    </row>
    <row r="42" spans="1:27" ht="17.5">
      <c r="A42" s="393"/>
      <c r="B42" s="742" t="s">
        <v>83</v>
      </c>
      <c r="C42" s="742" t="s">
        <v>84</v>
      </c>
      <c r="D42" s="742" t="s">
        <v>82</v>
      </c>
      <c r="E42" s="729" t="e">
        <f>各项系数!$F$77*《倍数表》!I42^2*《倍数表》!H42</f>
        <v>#NAME?</v>
      </c>
      <c r="F42" s="744" t="str">
        <f t="shared" si="9"/>
        <v>150</v>
      </c>
      <c r="G42" s="744" t="str">
        <f t="shared" si="1"/>
        <v>9+15</v>
      </c>
      <c r="H42" s="744" t="e">
        <f t="shared" si="2"/>
        <v>#NAME?</v>
      </c>
      <c r="I42" s="762" t="str">
        <f t="shared" si="3"/>
        <v>276</v>
      </c>
      <c r="J42" s="760" t="str">
        <f t="shared" si="10"/>
        <v>20</v>
      </c>
      <c r="K42" s="760" t="str">
        <f t="shared" si="4"/>
        <v>1+6</v>
      </c>
      <c r="L42" s="763" t="e">
        <f t="shared" si="5"/>
        <v>#NAME?</v>
      </c>
      <c r="M42" s="764" t="str">
        <f t="shared" si="6"/>
        <v>185</v>
      </c>
      <c r="N42" s="765" t="e">
        <f t="shared" si="7"/>
        <v>#NAME?</v>
      </c>
      <c r="O42" s="766" t="str">
        <f t="shared" si="11"/>
        <v>1+6*9+15</v>
      </c>
      <c r="P42" s="767">
        <v>1654.876</v>
      </c>
      <c r="Q42" s="746" t="e">
        <f t="shared" si="12"/>
        <v>#NAME?</v>
      </c>
      <c r="R42" s="746" t="e">
        <f t="shared" si="13"/>
        <v>#NAME?</v>
      </c>
      <c r="Y42" s="746"/>
      <c r="Z42" s="746">
        <v>3.14</v>
      </c>
      <c r="AA42" s="746">
        <f>Z42*Z41*Z41/4*AA41</f>
        <v>105975</v>
      </c>
    </row>
    <row r="43" spans="1:27" ht="17.5">
      <c r="A43" s="393"/>
      <c r="B43" s="742" t="s">
        <v>85</v>
      </c>
      <c r="C43" s="742" t="s">
        <v>86</v>
      </c>
      <c r="D43" s="742" t="s">
        <v>87</v>
      </c>
      <c r="E43" s="729" t="e">
        <f>各项系数!$F$77*《倍数表》!I43^2*《倍数表》!H43</f>
        <v>#NAME?</v>
      </c>
      <c r="F43" s="744" t="str">
        <f t="shared" si="9"/>
        <v>185</v>
      </c>
      <c r="G43" s="744" t="str">
        <f t="shared" si="1"/>
        <v>9+15</v>
      </c>
      <c r="H43" s="744" t="e">
        <f t="shared" si="2"/>
        <v>#NAME?</v>
      </c>
      <c r="I43" s="762" t="str">
        <f t="shared" si="3"/>
        <v>315</v>
      </c>
      <c r="J43" s="760" t="str">
        <f t="shared" si="10"/>
        <v>25</v>
      </c>
      <c r="K43" s="760" t="str">
        <f t="shared" si="4"/>
        <v>1+6</v>
      </c>
      <c r="L43" s="763" t="e">
        <f t="shared" si="5"/>
        <v>#NAME?</v>
      </c>
      <c r="M43" s="764" t="str">
        <f t="shared" si="6"/>
        <v>210</v>
      </c>
      <c r="N43" s="765" t="e">
        <f t="shared" si="7"/>
        <v>#NAME?</v>
      </c>
      <c r="O43" s="766" t="str">
        <f t="shared" si="11"/>
        <v>1+6*9+15</v>
      </c>
      <c r="P43" s="767">
        <v>1865.0976000000001</v>
      </c>
      <c r="Q43" s="746" t="e">
        <f t="shared" si="12"/>
        <v>#NAME?</v>
      </c>
      <c r="R43" s="746" t="e">
        <f t="shared" si="13"/>
        <v>#NAME?</v>
      </c>
      <c r="S43" s="746"/>
      <c r="T43" s="746"/>
      <c r="U43" s="746"/>
      <c r="V43" s="746"/>
      <c r="W43" s="746"/>
      <c r="X43" s="746"/>
      <c r="Y43" s="746"/>
    </row>
    <row r="44" spans="1:27" ht="17.5">
      <c r="A44" s="393"/>
      <c r="B44" s="742" t="s">
        <v>88</v>
      </c>
      <c r="C44" s="742" t="s">
        <v>89</v>
      </c>
      <c r="D44" s="742" t="s">
        <v>90</v>
      </c>
      <c r="E44" s="729" t="e">
        <f>各项系数!$F$77*《倍数表》!I44^2*《倍数表》!H44</f>
        <v>#NAME?</v>
      </c>
      <c r="F44" s="744" t="str">
        <f t="shared" si="9"/>
        <v>240</v>
      </c>
      <c r="G44" s="744" t="str">
        <f t="shared" si="1"/>
        <v>9+15</v>
      </c>
      <c r="H44" s="744" t="e">
        <f t="shared" si="2"/>
        <v>#NAME?</v>
      </c>
      <c r="I44" s="762" t="str">
        <f t="shared" si="3"/>
        <v>360</v>
      </c>
      <c r="J44" s="760" t="str">
        <f t="shared" si="10"/>
        <v>30</v>
      </c>
      <c r="K44" s="760" t="str">
        <f t="shared" si="4"/>
        <v>1+6</v>
      </c>
      <c r="L44" s="763" t="e">
        <f t="shared" si="5"/>
        <v>#NAME?</v>
      </c>
      <c r="M44" s="764" t="str">
        <f t="shared" si="6"/>
        <v>240</v>
      </c>
      <c r="N44" s="765" t="e">
        <f t="shared" si="7"/>
        <v>#NAME?</v>
      </c>
      <c r="O44" s="766" t="str">
        <f t="shared" si="11"/>
        <v>1+6*9+15</v>
      </c>
      <c r="P44" s="767">
        <v>2125.09</v>
      </c>
      <c r="Q44" s="746" t="e">
        <f t="shared" si="12"/>
        <v>#NAME?</v>
      </c>
      <c r="R44" s="746" t="e">
        <f t="shared" si="13"/>
        <v>#NAME?</v>
      </c>
      <c r="S44" s="746"/>
    </row>
    <row r="45" spans="1:27" ht="17.5">
      <c r="A45" s="393"/>
      <c r="B45" s="742" t="s">
        <v>91</v>
      </c>
      <c r="C45" s="742" t="s">
        <v>92</v>
      </c>
      <c r="D45" s="742" t="s">
        <v>93</v>
      </c>
      <c r="E45" s="729" t="e">
        <f>各项系数!$F$77*《倍数表》!I45^2*《倍数表》!H45</f>
        <v>#NAME?</v>
      </c>
      <c r="F45" s="744" t="str">
        <f t="shared" si="9"/>
        <v>300</v>
      </c>
      <c r="G45" s="744" t="str">
        <f t="shared" si="1"/>
        <v>9+15</v>
      </c>
      <c r="H45" s="744" t="e">
        <f t="shared" si="2"/>
        <v>#NAME?</v>
      </c>
      <c r="I45" s="762" t="str">
        <f t="shared" si="3"/>
        <v>399</v>
      </c>
      <c r="J45" s="760" t="str">
        <f t="shared" si="10"/>
        <v>40</v>
      </c>
      <c r="K45" s="760" t="str">
        <f t="shared" si="4"/>
        <v>1+6</v>
      </c>
      <c r="L45" s="763" t="e">
        <f t="shared" si="5"/>
        <v>#NAME?</v>
      </c>
      <c r="M45" s="764" t="str">
        <f t="shared" si="6"/>
        <v>266</v>
      </c>
      <c r="N45" s="765" t="e">
        <f t="shared" si="7"/>
        <v>#NAME?</v>
      </c>
      <c r="O45" s="766" t="str">
        <f t="shared" si="11"/>
        <v>1+6*9+15</v>
      </c>
      <c r="P45" s="767">
        <v>2380.8200000000002</v>
      </c>
      <c r="Q45" s="746" t="e">
        <f t="shared" si="12"/>
        <v>#NAME?</v>
      </c>
      <c r="R45" s="746" t="e">
        <f t="shared" si="13"/>
        <v>#NAME?</v>
      </c>
      <c r="S45" s="746"/>
    </row>
    <row r="46" spans="1:27" ht="17.5">
      <c r="A46" s="393"/>
      <c r="B46" s="742" t="s">
        <v>94</v>
      </c>
      <c r="C46" s="742" t="s">
        <v>95</v>
      </c>
      <c r="D46" s="742" t="s">
        <v>96</v>
      </c>
      <c r="E46" s="729" t="e">
        <f>各项系数!$F$77*《倍数表》!I46^2*《倍数表》!H46</f>
        <v>#NAME?</v>
      </c>
      <c r="F46" s="744" t="str">
        <f t="shared" si="9"/>
        <v>400</v>
      </c>
      <c r="G46" s="744" t="str">
        <f t="shared" si="1"/>
        <v>12+18+24</v>
      </c>
      <c r="H46" s="744" t="e">
        <f t="shared" si="2"/>
        <v>#NAME?</v>
      </c>
      <c r="I46" s="762" t="str">
        <f t="shared" si="3"/>
        <v>307</v>
      </c>
      <c r="J46" s="760" t="str">
        <f t="shared" si="10"/>
        <v>50</v>
      </c>
      <c r="K46" s="760" t="str">
        <f t="shared" si="4"/>
        <v>1+6</v>
      </c>
      <c r="L46" s="763" t="e">
        <f t="shared" si="5"/>
        <v>#NAME?</v>
      </c>
      <c r="M46" s="764" t="str">
        <f t="shared" si="6"/>
        <v>307</v>
      </c>
      <c r="N46" s="765" t="e">
        <f t="shared" si="7"/>
        <v>#NAME?</v>
      </c>
      <c r="O46" s="766" t="str">
        <f t="shared" si="11"/>
        <v>1+6*12+18+24</v>
      </c>
      <c r="P46" s="767">
        <f>8.706*M46</f>
        <v>2672.7419999999997</v>
      </c>
      <c r="Q46" s="746" t="e">
        <f t="shared" si="12"/>
        <v>#NAME?</v>
      </c>
      <c r="R46" s="746" t="e">
        <f t="shared" si="13"/>
        <v>#NAME?</v>
      </c>
      <c r="S46" s="746"/>
    </row>
    <row r="47" spans="1:27">
      <c r="A47" s="393"/>
      <c r="B47" s="745" t="s">
        <v>97</v>
      </c>
      <c r="C47" s="745"/>
      <c r="D47" s="745"/>
      <c r="H47" s="746" t="s">
        <v>98</v>
      </c>
      <c r="S47" s="746"/>
    </row>
    <row r="48" spans="1:27">
      <c r="A48" s="393"/>
      <c r="F48" s="746"/>
      <c r="G48" s="746"/>
      <c r="H48" s="746"/>
      <c r="I48" s="746"/>
      <c r="J48" s="746"/>
      <c r="K48" s="746"/>
      <c r="L48" s="746"/>
      <c r="M48" s="746"/>
    </row>
    <row r="49" spans="1:9" ht="75">
      <c r="A49" s="393"/>
      <c r="E49" s="393" t="s">
        <v>99</v>
      </c>
    </row>
    <row r="50" spans="1:9" ht="45">
      <c r="A50" s="393"/>
      <c r="E50" s="393" t="s">
        <v>100</v>
      </c>
    </row>
    <row r="51" spans="1:9">
      <c r="A51" s="393"/>
      <c r="E51" s="393"/>
      <c r="F51" s="393"/>
    </row>
    <row r="52" spans="1:9">
      <c r="A52" s="393"/>
      <c r="B52" s="747" t="s">
        <v>101</v>
      </c>
      <c r="C52" s="747" t="s">
        <v>102</v>
      </c>
      <c r="D52" s="747" t="s">
        <v>103</v>
      </c>
      <c r="E52" s="746"/>
      <c r="H52" s="393"/>
      <c r="I52" s="393"/>
    </row>
    <row r="53" spans="1:9" ht="90">
      <c r="A53" s="393"/>
      <c r="B53" s="748"/>
      <c r="C53" s="749" t="s">
        <v>104</v>
      </c>
      <c r="D53" s="749" t="s">
        <v>105</v>
      </c>
      <c r="E53" s="749"/>
      <c r="H53" s="393"/>
      <c r="I53" s="393"/>
    </row>
    <row r="54" spans="1:9">
      <c r="A54" s="393"/>
      <c r="H54" s="393"/>
      <c r="I54" s="393"/>
    </row>
  </sheetData>
  <mergeCells count="9">
    <mergeCell ref="N31:N33"/>
    <mergeCell ref="O31:O33"/>
    <mergeCell ref="P31:P33"/>
    <mergeCell ref="B31:D32"/>
    <mergeCell ref="E2:G2"/>
    <mergeCell ref="H2:J2"/>
    <mergeCell ref="F31:M31"/>
    <mergeCell ref="F32:I32"/>
    <mergeCell ref="J32:M32"/>
  </mergeCells>
  <phoneticPr fontId="19" type="noConversion"/>
  <pageMargins left="0.75" right="0.75" top="1" bottom="1" header="0.50902777777777797" footer="0.5090277777777779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6">
    <tabColor rgb="FF00B050"/>
  </sheetPr>
  <dimension ref="A1:CF50"/>
  <sheetViews>
    <sheetView workbookViewId="0">
      <selection activeCell="DK63" sqref="DK63"/>
    </sheetView>
  </sheetViews>
  <sheetFormatPr defaultColWidth="9" defaultRowHeight="15"/>
  <cols>
    <col min="1" max="2" width="7.58203125" customWidth="1"/>
    <col min="3" max="3" width="15.08203125" hidden="1" customWidth="1"/>
    <col min="4" max="7" width="7.08203125" hidden="1" customWidth="1"/>
    <col min="8" max="8" width="6.58203125" hidden="1" customWidth="1"/>
    <col min="9" max="12" width="5.58203125" hidden="1" customWidth="1"/>
    <col min="13" max="13" width="15.08203125" hidden="1" customWidth="1"/>
    <col min="14" max="17" width="7.08203125" hidden="1" customWidth="1"/>
    <col min="18" max="18" width="6.58203125" hidden="1" customWidth="1"/>
    <col min="19" max="22" width="5.58203125" hidden="1" customWidth="1"/>
    <col min="23" max="23" width="3.58203125" hidden="1" customWidth="1"/>
    <col min="24" max="24" width="13.08203125" hidden="1" customWidth="1"/>
    <col min="25" max="29" width="6.08203125" hidden="1" customWidth="1"/>
    <col min="30" max="33" width="5.58203125" hidden="1" customWidth="1"/>
    <col min="34" max="34" width="13.08203125" hidden="1" customWidth="1"/>
    <col min="35" max="39" width="6.08203125" hidden="1" customWidth="1"/>
    <col min="40" max="43" width="5.58203125" hidden="1" customWidth="1"/>
    <col min="44" max="44" width="3.58203125" hidden="1" customWidth="1"/>
    <col min="45" max="46" width="15.08203125" customWidth="1"/>
    <col min="47" max="48" width="13.08203125" customWidth="1"/>
    <col min="49" max="49" width="3.58203125" customWidth="1"/>
    <col min="50" max="50" width="10.58203125" customWidth="1"/>
    <col min="51" max="53" width="12.08203125" customWidth="1"/>
    <col min="54" max="54" width="5.58203125" customWidth="1"/>
    <col min="55" max="55" width="10.58203125" customWidth="1"/>
    <col min="56" max="58" width="11.83203125" customWidth="1"/>
    <col min="59" max="59" width="2.83203125" customWidth="1"/>
    <col min="60" max="60" width="10.58203125" customWidth="1"/>
    <col min="61" max="63" width="12.08203125" customWidth="1"/>
    <col min="64" max="64" width="3.25" customWidth="1"/>
    <col min="65" max="65" width="3.58203125" customWidth="1"/>
    <col min="66" max="66" width="10.58203125" customWidth="1"/>
    <col min="67" max="69" width="11.83203125" customWidth="1"/>
    <col min="70" max="70" width="10.58203125" customWidth="1"/>
    <col min="71" max="71" width="11.83203125" customWidth="1"/>
    <col min="72" max="72" width="3.25" customWidth="1"/>
    <col min="73" max="73" width="3.58203125" customWidth="1"/>
    <col min="74" max="75" width="10.58203125" customWidth="1"/>
    <col min="76" max="76" width="3.58203125" customWidth="1"/>
    <col min="77" max="77" width="12.58203125" customWidth="1"/>
    <col min="78" max="78" width="3.58203125" customWidth="1"/>
    <col min="79" max="79" width="12.58203125" customWidth="1"/>
    <col min="80" max="80" width="3.58203125" customWidth="1"/>
    <col min="81" max="81" width="12.58203125" customWidth="1"/>
    <col min="82" max="82" width="5.58203125" customWidth="1"/>
    <col min="83" max="83" width="13.58203125" customWidth="1"/>
    <col min="84" max="84" width="12.58203125" customWidth="1"/>
  </cols>
  <sheetData>
    <row r="1" spans="1:84" ht="5.15" customHeight="1"/>
    <row r="2" spans="1:84" ht="72" hidden="1" customHeight="1">
      <c r="A2" s="501"/>
      <c r="B2" s="10"/>
      <c r="E2" s="502"/>
      <c r="F2" s="10"/>
      <c r="G2" s="10"/>
      <c r="H2" s="10"/>
      <c r="I2" s="10"/>
      <c r="J2" s="10"/>
      <c r="K2" s="10"/>
      <c r="L2" s="10"/>
      <c r="T2" s="10"/>
      <c r="U2" s="10"/>
      <c r="AE2" s="10"/>
      <c r="AF2" s="10"/>
      <c r="AO2" s="10"/>
      <c r="AP2" s="10"/>
      <c r="AT2" s="578">
        <v>44412</v>
      </c>
      <c r="BD2">
        <v>23</v>
      </c>
      <c r="BF2">
        <v>15</v>
      </c>
      <c r="BI2">
        <v>23</v>
      </c>
      <c r="BK2">
        <v>15</v>
      </c>
      <c r="BO2">
        <v>23</v>
      </c>
      <c r="BQ2">
        <v>15</v>
      </c>
      <c r="BS2">
        <v>23</v>
      </c>
      <c r="CD2" t="e">
        <v>#N/A</v>
      </c>
    </row>
    <row r="3" spans="1:84" ht="30" customHeight="1">
      <c r="C3" s="503" t="e" vm="1">
        <f ca="1">_xlfn.DISPIMG("2c23ab60c3fc2b34(1)",1)</f>
        <v>#NAME?</v>
      </c>
      <c r="D3" s="778" t="s">
        <v>106</v>
      </c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504"/>
      <c r="U3" s="504"/>
      <c r="V3" s="504"/>
      <c r="W3" s="541"/>
      <c r="X3" s="779" t="e" vm="1">
        <f ca="1">_xlfn.DISPIMG("2c23ab60c3fc2b34(1)",1)</f>
        <v>#NAME?</v>
      </c>
      <c r="Y3" s="779"/>
      <c r="Z3" s="778" t="s">
        <v>106</v>
      </c>
      <c r="AA3" s="778"/>
      <c r="AB3" s="778"/>
      <c r="AC3" s="778"/>
      <c r="AD3" s="778"/>
      <c r="AE3" s="778"/>
      <c r="AF3" s="778"/>
      <c r="AG3" s="778"/>
      <c r="AH3" s="778"/>
      <c r="AI3" s="778"/>
      <c r="AJ3" s="778"/>
      <c r="AK3" s="778"/>
      <c r="AL3" s="778"/>
      <c r="AM3" s="778"/>
      <c r="AN3" s="778"/>
      <c r="AO3" s="504"/>
      <c r="AP3" s="504"/>
      <c r="AQ3" s="504"/>
      <c r="AR3" s="504"/>
      <c r="AS3" s="503"/>
      <c r="AT3" s="504"/>
      <c r="AU3" s="503"/>
      <c r="AV3" s="504"/>
      <c r="AW3" s="504"/>
      <c r="AX3" s="503"/>
      <c r="AY3" s="778"/>
      <c r="AZ3" s="778"/>
      <c r="BA3" s="778"/>
      <c r="BB3" s="503"/>
      <c r="BC3" s="503" t="e" vm="1">
        <f ca="1">_xlfn.DISPIMG("2c23ab60c3fc2b34(1)",1)</f>
        <v>#NAME?</v>
      </c>
      <c r="BD3" s="778" t="s">
        <v>106</v>
      </c>
      <c r="BE3" s="778"/>
      <c r="BF3" s="778"/>
      <c r="BG3" s="633"/>
      <c r="BH3" s="503" t="e" vm="1">
        <f ca="1">_xlfn.DISPIMG("2c23ab60c3fc2b34(1)",1)</f>
        <v>#NAME?</v>
      </c>
      <c r="BI3" s="778" t="s">
        <v>106</v>
      </c>
      <c r="BJ3" s="778"/>
      <c r="BK3" s="778"/>
      <c r="BL3" s="503"/>
      <c r="BM3" s="633"/>
      <c r="BN3" s="503" t="e" vm="1">
        <f ca="1">_xlfn.DISPIMG("2c23ab60c3fc2b34(1)",1)</f>
        <v>#NAME?</v>
      </c>
      <c r="BO3" s="778" t="s">
        <v>106</v>
      </c>
      <c r="BP3" s="778"/>
      <c r="BQ3" s="778"/>
      <c r="BR3" s="503"/>
      <c r="BS3" s="504"/>
      <c r="BT3" s="503"/>
      <c r="BU3" s="504"/>
      <c r="BV3" s="503"/>
      <c r="BW3" s="504"/>
      <c r="BX3" s="504"/>
      <c r="BY3" s="503" t="e" vm="1">
        <f ca="1">_xlfn.DISPIMG("2c23ab60c3fc2b34(1)",1)</f>
        <v>#NAME?</v>
      </c>
      <c r="BZ3" s="504"/>
      <c r="CA3" s="503"/>
      <c r="CB3" s="504"/>
      <c r="CC3" s="503"/>
      <c r="CD3" s="504"/>
      <c r="CE3" s="503"/>
      <c r="CF3" s="503"/>
    </row>
    <row r="4" spans="1:84" ht="16.899999999999999" customHeight="1">
      <c r="C4" s="505"/>
      <c r="D4" s="780"/>
      <c r="E4" s="780"/>
      <c r="F4" s="780"/>
      <c r="G4" s="780"/>
      <c r="H4" s="780"/>
      <c r="I4" s="780"/>
      <c r="J4" s="506"/>
      <c r="K4" s="506"/>
      <c r="L4" s="506"/>
      <c r="M4" s="781"/>
      <c r="N4" s="781"/>
      <c r="O4" s="781"/>
      <c r="P4" s="781"/>
      <c r="Q4" s="781"/>
      <c r="R4" s="781"/>
      <c r="S4" s="781"/>
      <c r="T4" s="781"/>
      <c r="U4" s="781"/>
      <c r="V4" s="781"/>
      <c r="W4" s="542"/>
      <c r="X4" s="782"/>
      <c r="Y4" s="783"/>
      <c r="Z4" s="783"/>
      <c r="AA4" s="783"/>
      <c r="AB4" s="783"/>
      <c r="AC4" s="783"/>
      <c r="AD4" s="783"/>
      <c r="AE4" s="506"/>
      <c r="AF4" s="506"/>
      <c r="AG4" s="542"/>
      <c r="AH4" s="784"/>
      <c r="AI4" s="783"/>
      <c r="AJ4" s="783"/>
      <c r="AK4" s="783"/>
      <c r="AL4" s="783"/>
      <c r="AM4" s="783"/>
      <c r="AN4" s="783"/>
      <c r="AO4" s="783"/>
      <c r="AP4" s="783"/>
      <c r="AQ4" s="783"/>
      <c r="AR4" s="542"/>
      <c r="AS4" s="542"/>
      <c r="AT4" s="562"/>
      <c r="AU4" s="542"/>
      <c r="AV4" s="562"/>
      <c r="AW4" s="542"/>
      <c r="AX4" s="505"/>
      <c r="AY4" s="505"/>
      <c r="AZ4" s="562"/>
      <c r="BA4" s="562"/>
      <c r="BB4" s="524"/>
      <c r="BC4" s="782"/>
      <c r="BD4" s="782"/>
      <c r="BE4" s="782"/>
      <c r="BF4" s="542"/>
      <c r="BG4" s="634"/>
      <c r="BH4" s="782"/>
      <c r="BI4" s="782"/>
      <c r="BJ4" s="782"/>
      <c r="BK4" s="542"/>
      <c r="BL4" s="524"/>
      <c r="BM4" s="662"/>
      <c r="BN4" s="782"/>
      <c r="BO4" s="782"/>
      <c r="BP4" s="782"/>
      <c r="BQ4" s="542"/>
      <c r="BR4" s="782"/>
      <c r="BS4" s="782"/>
      <c r="BT4" s="524"/>
      <c r="BU4" s="562"/>
      <c r="BV4" s="782"/>
      <c r="BW4" s="782"/>
      <c r="BX4" s="542"/>
      <c r="BY4" s="678"/>
      <c r="BZ4" s="562"/>
      <c r="CA4" s="678"/>
      <c r="CB4" s="562"/>
      <c r="CC4" s="505"/>
      <c r="CD4" s="542"/>
      <c r="CE4" s="542"/>
      <c r="CF4" s="505"/>
    </row>
    <row r="5" spans="1:84" ht="16.899999999999999" customHeight="1">
      <c r="C5" s="507" t="s">
        <v>107</v>
      </c>
      <c r="D5" s="507" t="s">
        <v>108</v>
      </c>
      <c r="E5" s="507" t="s">
        <v>109</v>
      </c>
      <c r="F5" s="507" t="s">
        <v>110</v>
      </c>
      <c r="G5" s="507" t="s">
        <v>111</v>
      </c>
      <c r="H5" s="507" t="s">
        <v>112</v>
      </c>
      <c r="I5" s="507" t="s">
        <v>113</v>
      </c>
      <c r="J5" s="507" t="s">
        <v>114</v>
      </c>
      <c r="K5" s="507" t="s">
        <v>115</v>
      </c>
      <c r="L5" s="507" t="s">
        <v>116</v>
      </c>
      <c r="M5" s="525" t="s">
        <v>107</v>
      </c>
      <c r="N5" s="507" t="s">
        <v>108</v>
      </c>
      <c r="O5" s="507" t="s">
        <v>109</v>
      </c>
      <c r="P5" s="507" t="s">
        <v>110</v>
      </c>
      <c r="Q5" s="507" t="s">
        <v>111</v>
      </c>
      <c r="R5" s="507" t="s">
        <v>112</v>
      </c>
      <c r="S5" s="507" t="s">
        <v>113</v>
      </c>
      <c r="T5" s="507" t="s">
        <v>114</v>
      </c>
      <c r="U5" s="507" t="s">
        <v>115</v>
      </c>
      <c r="V5" s="507" t="s">
        <v>116</v>
      </c>
      <c r="W5" s="543"/>
      <c r="X5" s="507" t="s">
        <v>107</v>
      </c>
      <c r="Y5" s="507" t="s">
        <v>108</v>
      </c>
      <c r="Z5" s="507" t="s">
        <v>109</v>
      </c>
      <c r="AA5" s="507" t="s">
        <v>110</v>
      </c>
      <c r="AB5" s="507" t="s">
        <v>111</v>
      </c>
      <c r="AC5" s="507" t="s">
        <v>112</v>
      </c>
      <c r="AD5" s="507" t="s">
        <v>113</v>
      </c>
      <c r="AE5" s="507" t="s">
        <v>114</v>
      </c>
      <c r="AF5" s="507" t="s">
        <v>115</v>
      </c>
      <c r="AG5" s="507" t="s">
        <v>116</v>
      </c>
      <c r="AH5" s="525" t="s">
        <v>107</v>
      </c>
      <c r="AI5" s="507" t="s">
        <v>108</v>
      </c>
      <c r="AJ5" s="507" t="s">
        <v>109</v>
      </c>
      <c r="AK5" s="507" t="s">
        <v>110</v>
      </c>
      <c r="AL5" s="507" t="s">
        <v>111</v>
      </c>
      <c r="AM5" s="507" t="s">
        <v>112</v>
      </c>
      <c r="AN5" s="507" t="s">
        <v>113</v>
      </c>
      <c r="AO5" s="507" t="s">
        <v>114</v>
      </c>
      <c r="AP5" s="507" t="s">
        <v>115</v>
      </c>
      <c r="AQ5" s="507" t="s">
        <v>116</v>
      </c>
      <c r="AR5" s="579"/>
      <c r="AS5" s="507" t="s">
        <v>117</v>
      </c>
      <c r="AT5" s="507" t="s">
        <v>117</v>
      </c>
      <c r="AU5" s="507" t="s">
        <v>117</v>
      </c>
      <c r="AV5" s="507" t="s">
        <v>118</v>
      </c>
      <c r="AX5" s="597" t="s">
        <v>119</v>
      </c>
      <c r="AY5" s="597" t="s">
        <v>119</v>
      </c>
      <c r="AZ5" s="597" t="s">
        <v>119</v>
      </c>
      <c r="BA5" s="597" t="s">
        <v>119</v>
      </c>
      <c r="BC5" s="785"/>
      <c r="BD5" s="786"/>
      <c r="BE5" s="786"/>
      <c r="BF5" s="786"/>
      <c r="BG5" s="635"/>
      <c r="BH5" s="785"/>
      <c r="BI5" s="786"/>
      <c r="BJ5" s="786"/>
      <c r="BK5" s="786"/>
      <c r="BL5" s="636"/>
      <c r="BM5" s="663"/>
      <c r="BN5" s="785"/>
      <c r="BO5" s="786"/>
      <c r="BP5" s="786"/>
      <c r="BQ5" s="786"/>
      <c r="BR5" s="785"/>
      <c r="BS5" s="786"/>
      <c r="BT5" s="579"/>
      <c r="BU5" s="679"/>
      <c r="BV5" s="794" t="s">
        <v>120</v>
      </c>
      <c r="BW5" s="803" t="s">
        <v>121</v>
      </c>
      <c r="BX5" s="579"/>
      <c r="BY5" s="803" t="s">
        <v>122</v>
      </c>
      <c r="BZ5" s="680"/>
      <c r="CA5" s="803" t="s">
        <v>123</v>
      </c>
      <c r="CB5" s="680"/>
      <c r="CC5" s="794" t="s">
        <v>124</v>
      </c>
      <c r="CD5" s="712"/>
      <c r="CE5" s="803" t="s">
        <v>125</v>
      </c>
      <c r="CF5" s="814" t="s">
        <v>126</v>
      </c>
    </row>
    <row r="6" spans="1:84" ht="16.899999999999999" customHeight="1">
      <c r="C6" s="508" t="s">
        <v>127</v>
      </c>
      <c r="D6" s="508">
        <v>13.7</v>
      </c>
      <c r="E6" s="508">
        <v>15.5</v>
      </c>
      <c r="F6" s="508">
        <v>14.3</v>
      </c>
      <c r="G6" s="508">
        <v>15</v>
      </c>
      <c r="H6" s="508">
        <v>15.3</v>
      </c>
      <c r="I6" s="508">
        <v>1</v>
      </c>
      <c r="J6" s="508">
        <v>1</v>
      </c>
      <c r="K6" s="508">
        <v>1</v>
      </c>
      <c r="L6" s="508">
        <v>1</v>
      </c>
      <c r="M6" s="526" t="s">
        <v>128</v>
      </c>
      <c r="N6" s="508">
        <v>32.9</v>
      </c>
      <c r="O6" s="508">
        <v>36.299999999999997</v>
      </c>
      <c r="P6" s="508">
        <v>34</v>
      </c>
      <c r="Q6" s="508">
        <v>35.1</v>
      </c>
      <c r="R6" s="508">
        <v>35</v>
      </c>
      <c r="S6" s="508">
        <v>1</v>
      </c>
      <c r="T6" s="508">
        <v>1</v>
      </c>
      <c r="U6" s="508">
        <v>1</v>
      </c>
      <c r="V6" s="508">
        <v>1</v>
      </c>
      <c r="W6" s="544"/>
      <c r="X6" s="545" t="s">
        <v>129</v>
      </c>
      <c r="Y6" s="508">
        <v>6.7</v>
      </c>
      <c r="Z6" s="508">
        <v>7.3</v>
      </c>
      <c r="AA6" s="508">
        <v>6.9</v>
      </c>
      <c r="AB6" s="508">
        <v>7</v>
      </c>
      <c r="AC6" s="508">
        <v>7.5</v>
      </c>
      <c r="AD6" s="508">
        <v>0.5</v>
      </c>
      <c r="AE6" s="508">
        <v>0.5</v>
      </c>
      <c r="AF6" s="508">
        <v>0.5</v>
      </c>
      <c r="AG6" s="563">
        <v>0.5</v>
      </c>
      <c r="AH6" s="554" t="s">
        <v>130</v>
      </c>
      <c r="AI6" s="508">
        <v>23.1</v>
      </c>
      <c r="AJ6" s="508">
        <v>25.2</v>
      </c>
      <c r="AK6" s="508">
        <v>23.9</v>
      </c>
      <c r="AL6" s="508">
        <v>24.4</v>
      </c>
      <c r="AM6" s="508">
        <v>25</v>
      </c>
      <c r="AN6" s="508">
        <v>1</v>
      </c>
      <c r="AO6" s="508">
        <v>1</v>
      </c>
      <c r="AP6" s="508">
        <v>1</v>
      </c>
      <c r="AQ6" s="508">
        <v>1</v>
      </c>
      <c r="AR6" s="580"/>
      <c r="AS6" s="508" t="s">
        <v>127</v>
      </c>
      <c r="AT6" s="526" t="s">
        <v>128</v>
      </c>
      <c r="AU6" s="545" t="s">
        <v>129</v>
      </c>
      <c r="AV6" s="533" t="s">
        <v>130</v>
      </c>
      <c r="AX6" s="598" t="s">
        <v>131</v>
      </c>
      <c r="AY6" s="599" t="s">
        <v>132</v>
      </c>
      <c r="AZ6" s="599" t="s">
        <v>133</v>
      </c>
      <c r="BA6" s="599" t="s">
        <v>134</v>
      </c>
      <c r="BC6" s="797" t="s">
        <v>135</v>
      </c>
      <c r="BD6" s="797" t="s">
        <v>136</v>
      </c>
      <c r="BE6" s="797" t="s">
        <v>136</v>
      </c>
      <c r="BF6" s="797" t="s">
        <v>136</v>
      </c>
      <c r="BG6" s="637"/>
      <c r="BH6" s="797" t="s">
        <v>136</v>
      </c>
      <c r="BI6" s="797" t="s">
        <v>136</v>
      </c>
      <c r="BJ6" s="797" t="s">
        <v>136</v>
      </c>
      <c r="BK6" s="797" t="s">
        <v>136</v>
      </c>
      <c r="BL6" s="638"/>
      <c r="BM6" s="621"/>
      <c r="BN6" s="797" t="s">
        <v>136</v>
      </c>
      <c r="BO6" s="797" t="s">
        <v>136</v>
      </c>
      <c r="BP6" s="797" t="s">
        <v>136</v>
      </c>
      <c r="BQ6" s="797" t="s">
        <v>136</v>
      </c>
      <c r="BR6" s="797" t="s">
        <v>136</v>
      </c>
      <c r="BS6" s="797" t="s">
        <v>136</v>
      </c>
      <c r="BT6" s="664"/>
      <c r="BU6" s="580"/>
      <c r="BV6" s="801"/>
      <c r="BW6" s="804"/>
      <c r="BX6" s="681"/>
      <c r="BY6" s="807"/>
      <c r="BZ6" s="682"/>
      <c r="CA6" s="807"/>
      <c r="CB6" s="682"/>
      <c r="CC6" s="810"/>
      <c r="CD6" s="713"/>
      <c r="CE6" s="813"/>
      <c r="CF6" s="815"/>
    </row>
    <row r="7" spans="1:84" ht="16.899999999999999" customHeight="1">
      <c r="C7" s="509" t="s">
        <v>137</v>
      </c>
      <c r="D7" s="509">
        <v>21.2</v>
      </c>
      <c r="E7" s="509">
        <v>23.7</v>
      </c>
      <c r="F7" s="509">
        <v>22</v>
      </c>
      <c r="G7" s="509">
        <v>22.9</v>
      </c>
      <c r="H7" s="509">
        <v>23.1</v>
      </c>
      <c r="I7" s="509">
        <v>1</v>
      </c>
      <c r="J7" s="509">
        <v>1</v>
      </c>
      <c r="K7" s="509">
        <v>1</v>
      </c>
      <c r="L7" s="509">
        <v>1</v>
      </c>
      <c r="M7" s="527" t="s">
        <v>138</v>
      </c>
      <c r="N7" s="509">
        <v>51.4</v>
      </c>
      <c r="O7" s="509">
        <v>56.1</v>
      </c>
      <c r="P7" s="509">
        <v>53.1</v>
      </c>
      <c r="Q7" s="509">
        <v>54.3</v>
      </c>
      <c r="R7" s="509">
        <v>53.9</v>
      </c>
      <c r="S7" s="509">
        <v>1</v>
      </c>
      <c r="T7" s="509">
        <v>1</v>
      </c>
      <c r="U7" s="509">
        <v>1</v>
      </c>
      <c r="V7" s="509">
        <v>1</v>
      </c>
      <c r="W7" s="546"/>
      <c r="X7" s="547" t="s">
        <v>139</v>
      </c>
      <c r="Y7" s="509">
        <v>10.4</v>
      </c>
      <c r="Z7" s="509">
        <v>11.2</v>
      </c>
      <c r="AA7" s="509">
        <v>10.8</v>
      </c>
      <c r="AB7" s="509">
        <v>10.8</v>
      </c>
      <c r="AC7" s="509">
        <v>11.3</v>
      </c>
      <c r="AD7" s="509">
        <v>0.6</v>
      </c>
      <c r="AE7" s="509">
        <v>0.6</v>
      </c>
      <c r="AF7" s="509">
        <v>0.6</v>
      </c>
      <c r="AG7" s="509">
        <v>0.5</v>
      </c>
      <c r="AH7" s="564" t="s">
        <v>140</v>
      </c>
      <c r="AI7" s="509">
        <v>27.8</v>
      </c>
      <c r="AJ7" s="509">
        <v>30.7</v>
      </c>
      <c r="AK7" s="509">
        <v>28.7</v>
      </c>
      <c r="AL7" s="509">
        <v>29.7</v>
      </c>
      <c r="AM7" s="509">
        <v>30</v>
      </c>
      <c r="AN7" s="509">
        <v>1</v>
      </c>
      <c r="AO7" s="509">
        <v>1</v>
      </c>
      <c r="AP7" s="509">
        <v>1</v>
      </c>
      <c r="AQ7" s="509">
        <v>1</v>
      </c>
      <c r="AR7" s="581"/>
      <c r="AS7" s="509" t="s">
        <v>137</v>
      </c>
      <c r="AT7" s="527" t="s">
        <v>138</v>
      </c>
      <c r="AU7" s="547" t="s">
        <v>139</v>
      </c>
      <c r="AV7" s="564" t="s">
        <v>140</v>
      </c>
      <c r="AX7" s="600" t="s">
        <v>141</v>
      </c>
      <c r="AY7" s="601" t="s">
        <v>142</v>
      </c>
      <c r="AZ7" s="601" t="s">
        <v>143</v>
      </c>
      <c r="BA7" s="601" t="s">
        <v>144</v>
      </c>
      <c r="BC7" s="798"/>
      <c r="BD7" s="798"/>
      <c r="BE7" s="798"/>
      <c r="BF7" s="798"/>
      <c r="BG7" s="639"/>
      <c r="BH7" s="798"/>
      <c r="BI7" s="798"/>
      <c r="BJ7" s="798"/>
      <c r="BK7" s="798"/>
      <c r="BL7" s="638"/>
      <c r="BM7" s="621"/>
      <c r="BN7" s="798"/>
      <c r="BO7" s="798"/>
      <c r="BP7" s="798"/>
      <c r="BQ7" s="798"/>
      <c r="BR7" s="798"/>
      <c r="BS7" s="798"/>
      <c r="BT7" s="665"/>
      <c r="BU7" s="581"/>
      <c r="BV7" s="170" t="s">
        <v>129</v>
      </c>
      <c r="BW7" s="532" t="s">
        <v>145</v>
      </c>
      <c r="BX7" s="683"/>
      <c r="BY7" s="16" t="s">
        <v>146</v>
      </c>
      <c r="BZ7" s="684"/>
      <c r="CA7" s="16" t="s">
        <v>146</v>
      </c>
      <c r="CB7" s="684"/>
      <c r="CC7" s="16"/>
      <c r="CD7" s="714"/>
      <c r="CE7" s="509" t="s">
        <v>137</v>
      </c>
      <c r="CF7" s="715" t="s">
        <v>147</v>
      </c>
    </row>
    <row r="8" spans="1:84" ht="16.899999999999999" customHeight="1">
      <c r="C8" s="510" t="s">
        <v>148</v>
      </c>
      <c r="D8" s="508">
        <v>32.9</v>
      </c>
      <c r="E8" s="510">
        <v>36.299999999999997</v>
      </c>
      <c r="F8" s="510">
        <v>34.1</v>
      </c>
      <c r="G8" s="510">
        <v>35.1</v>
      </c>
      <c r="H8" s="510">
        <v>35.200000000000003</v>
      </c>
      <c r="I8" s="510">
        <v>1</v>
      </c>
      <c r="J8" s="510">
        <v>1</v>
      </c>
      <c r="K8" s="510">
        <v>1</v>
      </c>
      <c r="L8" s="510">
        <v>1</v>
      </c>
      <c r="M8" s="528" t="s">
        <v>149</v>
      </c>
      <c r="N8" s="510">
        <v>80.2</v>
      </c>
      <c r="O8" s="510">
        <v>86.8</v>
      </c>
      <c r="P8" s="510">
        <v>82.8</v>
      </c>
      <c r="Q8" s="510">
        <v>84.1</v>
      </c>
      <c r="R8" s="510">
        <v>83.3</v>
      </c>
      <c r="S8" s="510">
        <v>1</v>
      </c>
      <c r="T8" s="510">
        <v>1</v>
      </c>
      <c r="U8" s="508">
        <v>1</v>
      </c>
      <c r="V8" s="510">
        <v>1</v>
      </c>
      <c r="W8" s="544"/>
      <c r="X8" s="548" t="s">
        <v>150</v>
      </c>
      <c r="Y8" s="510">
        <v>16.2</v>
      </c>
      <c r="Z8" s="510">
        <v>17.3</v>
      </c>
      <c r="AA8" s="510">
        <v>16.7</v>
      </c>
      <c r="AB8" s="510">
        <v>16.7</v>
      </c>
      <c r="AC8" s="510">
        <v>17.3</v>
      </c>
      <c r="AD8" s="510">
        <v>0.7</v>
      </c>
      <c r="AE8" s="510">
        <v>0.7</v>
      </c>
      <c r="AF8" s="510">
        <v>0.7</v>
      </c>
      <c r="AG8" s="510">
        <v>0.5</v>
      </c>
      <c r="AH8" s="565" t="s">
        <v>151</v>
      </c>
      <c r="AI8" s="508">
        <v>34.5</v>
      </c>
      <c r="AJ8" s="508">
        <v>38</v>
      </c>
      <c r="AK8" s="508">
        <v>35.6</v>
      </c>
      <c r="AL8" s="508">
        <v>36.799999999999997</v>
      </c>
      <c r="AM8" s="508">
        <v>37</v>
      </c>
      <c r="AN8" s="508">
        <v>1</v>
      </c>
      <c r="AO8" s="508">
        <v>1</v>
      </c>
      <c r="AP8" s="508">
        <v>1</v>
      </c>
      <c r="AQ8" s="508">
        <v>1</v>
      </c>
      <c r="AR8" s="580"/>
      <c r="AS8" s="510" t="s">
        <v>148</v>
      </c>
      <c r="AT8" s="528" t="s">
        <v>149</v>
      </c>
      <c r="AU8" s="548" t="s">
        <v>150</v>
      </c>
      <c r="AV8" s="565" t="s">
        <v>151</v>
      </c>
      <c r="AX8" s="598" t="s">
        <v>152</v>
      </c>
      <c r="AY8" s="599" t="s">
        <v>153</v>
      </c>
      <c r="AZ8" s="599" t="s">
        <v>154</v>
      </c>
      <c r="BA8" s="599" t="s">
        <v>155</v>
      </c>
      <c r="BC8" s="602" t="s">
        <v>156</v>
      </c>
      <c r="BD8" s="603" t="s">
        <v>146</v>
      </c>
      <c r="BE8" s="603" t="s">
        <v>157</v>
      </c>
      <c r="BF8" s="603" t="s">
        <v>158</v>
      </c>
      <c r="BG8" s="640"/>
      <c r="BH8" s="605" t="s">
        <v>159</v>
      </c>
      <c r="BI8" s="603" t="s">
        <v>146</v>
      </c>
      <c r="BJ8" s="605" t="s">
        <v>160</v>
      </c>
      <c r="BK8" s="603" t="s">
        <v>134</v>
      </c>
      <c r="BL8" s="638"/>
      <c r="BM8" s="621"/>
      <c r="BN8" s="602" t="s">
        <v>156</v>
      </c>
      <c r="BO8" s="603" t="s">
        <v>146</v>
      </c>
      <c r="BP8" s="603" t="s">
        <v>157</v>
      </c>
      <c r="BQ8" s="603" t="s">
        <v>158</v>
      </c>
      <c r="BR8" s="603" t="s">
        <v>160</v>
      </c>
      <c r="BS8" s="603" t="s">
        <v>134</v>
      </c>
      <c r="BT8" s="664"/>
      <c r="BU8" s="580"/>
      <c r="BV8" s="685" t="s">
        <v>139</v>
      </c>
      <c r="BW8" s="686" t="s">
        <v>161</v>
      </c>
      <c r="BX8" s="687"/>
      <c r="BY8" s="605" t="s">
        <v>160</v>
      </c>
      <c r="BZ8" s="682"/>
      <c r="CA8" s="605" t="s">
        <v>160</v>
      </c>
      <c r="CB8" s="682"/>
      <c r="CC8" s="605" t="s">
        <v>162</v>
      </c>
      <c r="CD8" s="716"/>
      <c r="CE8" s="510" t="s">
        <v>148</v>
      </c>
      <c r="CF8" s="717" t="s">
        <v>163</v>
      </c>
    </row>
    <row r="9" spans="1:84" ht="16.899999999999999" customHeight="1">
      <c r="C9" s="509" t="s">
        <v>164</v>
      </c>
      <c r="D9" s="509">
        <v>45.1</v>
      </c>
      <c r="E9" s="509">
        <v>49.3</v>
      </c>
      <c r="F9" s="509">
        <v>46.6</v>
      </c>
      <c r="G9" s="509">
        <v>47.7</v>
      </c>
      <c r="H9" s="509">
        <v>47.6</v>
      </c>
      <c r="I9" s="509">
        <v>1</v>
      </c>
      <c r="J9" s="509">
        <v>1</v>
      </c>
      <c r="K9" s="509">
        <v>1</v>
      </c>
      <c r="L9" s="509">
        <v>1</v>
      </c>
      <c r="M9" s="529" t="s">
        <v>165</v>
      </c>
      <c r="N9" s="509">
        <v>110.4</v>
      </c>
      <c r="O9" s="509">
        <v>118.7</v>
      </c>
      <c r="P9" s="509">
        <v>113.8</v>
      </c>
      <c r="Q9" s="509">
        <v>115.1</v>
      </c>
      <c r="R9" s="509">
        <v>113.8</v>
      </c>
      <c r="S9" s="509">
        <v>1</v>
      </c>
      <c r="T9" s="509">
        <v>1</v>
      </c>
      <c r="U9" s="509">
        <v>1</v>
      </c>
      <c r="V9" s="509">
        <v>1</v>
      </c>
      <c r="W9" s="546"/>
      <c r="X9" s="547" t="s">
        <v>166</v>
      </c>
      <c r="Y9" s="509">
        <v>22.2</v>
      </c>
      <c r="Z9" s="509">
        <v>23.6</v>
      </c>
      <c r="AA9" s="509">
        <v>22.9</v>
      </c>
      <c r="AB9" s="509">
        <v>22.9</v>
      </c>
      <c r="AC9" s="509">
        <v>23.5</v>
      </c>
      <c r="AD9" s="509">
        <v>0.8</v>
      </c>
      <c r="AE9" s="509">
        <v>0.8</v>
      </c>
      <c r="AF9" s="509">
        <v>0.8</v>
      </c>
      <c r="AG9" s="509">
        <v>1</v>
      </c>
      <c r="AH9" s="566" t="s">
        <v>167</v>
      </c>
      <c r="AI9" s="509">
        <v>42.4</v>
      </c>
      <c r="AJ9" s="509">
        <v>46.3</v>
      </c>
      <c r="AK9" s="509">
        <v>43.7</v>
      </c>
      <c r="AL9" s="509">
        <v>44.9</v>
      </c>
      <c r="AM9" s="509">
        <v>45</v>
      </c>
      <c r="AN9" s="509">
        <v>1</v>
      </c>
      <c r="AO9" s="509">
        <v>1</v>
      </c>
      <c r="AP9" s="509">
        <v>1</v>
      </c>
      <c r="AQ9" s="509">
        <v>1</v>
      </c>
      <c r="AR9" s="581"/>
      <c r="AS9" s="509" t="s">
        <v>164</v>
      </c>
      <c r="AT9" s="527" t="s">
        <v>165</v>
      </c>
      <c r="AU9" s="547" t="s">
        <v>166</v>
      </c>
      <c r="AV9" s="566" t="s">
        <v>167</v>
      </c>
      <c r="AX9" s="600" t="s">
        <v>168</v>
      </c>
      <c r="AY9" s="601" t="s">
        <v>169</v>
      </c>
      <c r="AZ9" s="601" t="s">
        <v>170</v>
      </c>
      <c r="BA9" s="601" t="s">
        <v>171</v>
      </c>
      <c r="BC9" s="16" t="s">
        <v>172</v>
      </c>
      <c r="BD9" s="604" t="s">
        <v>160</v>
      </c>
      <c r="BE9" s="604" t="s">
        <v>173</v>
      </c>
      <c r="BF9" s="604" t="s">
        <v>174</v>
      </c>
      <c r="BG9" s="641"/>
      <c r="BH9" s="16" t="s">
        <v>175</v>
      </c>
      <c r="BI9" s="604" t="s">
        <v>157</v>
      </c>
      <c r="BJ9" s="16" t="s">
        <v>173</v>
      </c>
      <c r="BK9" s="604" t="s">
        <v>133</v>
      </c>
      <c r="BL9" s="638"/>
      <c r="BM9" s="621"/>
      <c r="BN9" s="16" t="s">
        <v>172</v>
      </c>
      <c r="BO9" s="604" t="s">
        <v>160</v>
      </c>
      <c r="BP9" s="604" t="s">
        <v>173</v>
      </c>
      <c r="BQ9" s="604" t="s">
        <v>174</v>
      </c>
      <c r="BR9" s="16" t="s">
        <v>173</v>
      </c>
      <c r="BS9" s="604" t="s">
        <v>133</v>
      </c>
      <c r="BT9" s="665"/>
      <c r="BU9" s="581"/>
      <c r="BV9" s="170" t="s">
        <v>150</v>
      </c>
      <c r="BW9" s="649" t="s">
        <v>176</v>
      </c>
      <c r="BX9" s="688"/>
      <c r="BY9" s="16" t="s">
        <v>134</v>
      </c>
      <c r="BZ9" s="684"/>
      <c r="CA9" s="16" t="s">
        <v>134</v>
      </c>
      <c r="CB9" s="684"/>
      <c r="CC9" s="16" t="s">
        <v>177</v>
      </c>
      <c r="CD9" s="714"/>
      <c r="CE9" s="509" t="s">
        <v>164</v>
      </c>
      <c r="CF9" s="715" t="s">
        <v>178</v>
      </c>
    </row>
    <row r="10" spans="1:84" ht="16.899999999999999" customHeight="1">
      <c r="C10" s="511" t="s">
        <v>179</v>
      </c>
      <c r="D10" s="508">
        <v>61</v>
      </c>
      <c r="E10" s="508">
        <v>67</v>
      </c>
      <c r="F10" s="508">
        <v>63</v>
      </c>
      <c r="G10" s="508">
        <v>65</v>
      </c>
      <c r="H10" s="508">
        <v>64</v>
      </c>
      <c r="I10" s="508">
        <v>1</v>
      </c>
      <c r="J10" s="508">
        <v>1</v>
      </c>
      <c r="K10" s="508">
        <v>1</v>
      </c>
      <c r="L10" s="508">
        <v>1</v>
      </c>
      <c r="M10" s="526" t="s">
        <v>180</v>
      </c>
      <c r="N10" s="508">
        <v>150</v>
      </c>
      <c r="O10" s="508">
        <v>161</v>
      </c>
      <c r="P10" s="508">
        <v>155</v>
      </c>
      <c r="Q10" s="508">
        <v>157</v>
      </c>
      <c r="R10" s="508">
        <v>154</v>
      </c>
      <c r="S10" s="508">
        <v>4</v>
      </c>
      <c r="T10" s="508">
        <v>2</v>
      </c>
      <c r="U10" s="508">
        <v>2</v>
      </c>
      <c r="V10" s="508">
        <v>1</v>
      </c>
      <c r="W10" s="544"/>
      <c r="X10" s="545" t="s">
        <v>181</v>
      </c>
      <c r="Y10" s="508">
        <v>30.2</v>
      </c>
      <c r="Z10" s="508">
        <v>32</v>
      </c>
      <c r="AA10" s="508">
        <v>31.1</v>
      </c>
      <c r="AB10" s="508">
        <v>31</v>
      </c>
      <c r="AC10" s="508">
        <v>31.6</v>
      </c>
      <c r="AD10" s="508">
        <v>1</v>
      </c>
      <c r="AE10" s="508">
        <v>0.9</v>
      </c>
      <c r="AF10" s="508">
        <v>1</v>
      </c>
      <c r="AG10" s="508">
        <v>1</v>
      </c>
      <c r="AH10" s="565" t="s">
        <v>182</v>
      </c>
      <c r="AI10" s="508">
        <v>11</v>
      </c>
      <c r="AJ10" s="508">
        <v>12.2</v>
      </c>
      <c r="AK10" s="508">
        <v>11.4</v>
      </c>
      <c r="AL10" s="508">
        <v>11.8</v>
      </c>
      <c r="AM10" s="508">
        <v>12.3</v>
      </c>
      <c r="AN10" s="508">
        <v>0.8</v>
      </c>
      <c r="AO10" s="508">
        <v>0.7</v>
      </c>
      <c r="AP10" s="508">
        <v>0.8</v>
      </c>
      <c r="AQ10" s="508">
        <v>0.5</v>
      </c>
      <c r="AR10" s="580"/>
      <c r="AS10" s="508" t="s">
        <v>179</v>
      </c>
      <c r="AT10" s="526" t="s">
        <v>180</v>
      </c>
      <c r="AU10" s="545" t="s">
        <v>181</v>
      </c>
      <c r="AV10" s="565" t="s">
        <v>182</v>
      </c>
      <c r="AX10" s="598" t="s">
        <v>183</v>
      </c>
      <c r="AY10" s="599" t="s">
        <v>184</v>
      </c>
      <c r="AZ10" s="599" t="s">
        <v>185</v>
      </c>
      <c r="BA10" s="599" t="s">
        <v>186</v>
      </c>
      <c r="BC10" s="605" t="s">
        <v>187</v>
      </c>
      <c r="BD10" s="603" t="s">
        <v>134</v>
      </c>
      <c r="BE10" s="603" t="s">
        <v>133</v>
      </c>
      <c r="BF10" s="603" t="s">
        <v>132</v>
      </c>
      <c r="BG10" s="640"/>
      <c r="BH10" s="605" t="s">
        <v>188</v>
      </c>
      <c r="BI10" s="603" t="s">
        <v>158</v>
      </c>
      <c r="BJ10" s="605" t="s">
        <v>174</v>
      </c>
      <c r="BK10" s="603" t="s">
        <v>132</v>
      </c>
      <c r="BL10" s="638"/>
      <c r="BM10" s="621"/>
      <c r="BN10" s="605" t="s">
        <v>187</v>
      </c>
      <c r="BO10" s="603" t="s">
        <v>134</v>
      </c>
      <c r="BP10" s="603" t="s">
        <v>133</v>
      </c>
      <c r="BQ10" s="603" t="s">
        <v>132</v>
      </c>
      <c r="BR10" s="605" t="s">
        <v>174</v>
      </c>
      <c r="BS10" s="603" t="s">
        <v>132</v>
      </c>
      <c r="BT10" s="664"/>
      <c r="BU10" s="580"/>
      <c r="BV10" s="685" t="s">
        <v>166</v>
      </c>
      <c r="BW10" s="686" t="s">
        <v>189</v>
      </c>
      <c r="BX10" s="687"/>
      <c r="BY10" s="605" t="s">
        <v>144</v>
      </c>
      <c r="BZ10" s="682"/>
      <c r="CA10" s="605" t="s">
        <v>144</v>
      </c>
      <c r="CB10" s="682"/>
      <c r="CC10" s="605" t="s">
        <v>190</v>
      </c>
      <c r="CD10" s="716"/>
      <c r="CE10" s="508" t="s">
        <v>179</v>
      </c>
      <c r="CF10" s="717" t="s">
        <v>191</v>
      </c>
    </row>
    <row r="11" spans="1:84" ht="16.899999999999999" customHeight="1">
      <c r="C11" s="512" t="s">
        <v>192</v>
      </c>
      <c r="D11" s="509">
        <v>88</v>
      </c>
      <c r="E11" s="509">
        <v>95</v>
      </c>
      <c r="F11" s="509">
        <v>90</v>
      </c>
      <c r="G11" s="509">
        <v>92</v>
      </c>
      <c r="H11" s="509">
        <v>91</v>
      </c>
      <c r="I11" s="509">
        <v>1</v>
      </c>
      <c r="J11" s="509">
        <v>1</v>
      </c>
      <c r="K11" s="509">
        <v>1</v>
      </c>
      <c r="L11" s="509">
        <v>1</v>
      </c>
      <c r="M11" s="529" t="s">
        <v>193</v>
      </c>
      <c r="N11" s="509">
        <v>216</v>
      </c>
      <c r="O11" s="509">
        <v>231</v>
      </c>
      <c r="P11" s="509">
        <v>223</v>
      </c>
      <c r="Q11" s="509">
        <v>224</v>
      </c>
      <c r="R11" s="509">
        <v>221</v>
      </c>
      <c r="S11" s="509">
        <v>4</v>
      </c>
      <c r="T11" s="509">
        <v>2</v>
      </c>
      <c r="U11" s="509">
        <v>2</v>
      </c>
      <c r="V11" s="509">
        <v>2</v>
      </c>
      <c r="W11" s="546"/>
      <c r="X11" s="547" t="s">
        <v>194</v>
      </c>
      <c r="Y11" s="509">
        <v>43.3</v>
      </c>
      <c r="Z11" s="509">
        <v>45.7</v>
      </c>
      <c r="AA11" s="509">
        <v>44.7</v>
      </c>
      <c r="AB11" s="509">
        <v>44.3</v>
      </c>
      <c r="AC11" s="509">
        <v>45</v>
      </c>
      <c r="AD11" s="509">
        <v>1.1000000000000001</v>
      </c>
      <c r="AE11" s="509">
        <v>1.1000000000000001</v>
      </c>
      <c r="AF11" s="509">
        <v>1.1000000000000001</v>
      </c>
      <c r="AG11" s="509">
        <v>1</v>
      </c>
      <c r="AH11" s="566" t="s">
        <v>195</v>
      </c>
      <c r="AI11" s="509">
        <v>12.7</v>
      </c>
      <c r="AJ11" s="509">
        <v>13.9</v>
      </c>
      <c r="AK11" s="509">
        <v>13.2</v>
      </c>
      <c r="AL11" s="509">
        <v>13.4</v>
      </c>
      <c r="AM11" s="509">
        <v>14.1</v>
      </c>
      <c r="AN11" s="509">
        <v>0.8</v>
      </c>
      <c r="AO11" s="509">
        <v>0.7</v>
      </c>
      <c r="AP11" s="509">
        <v>0.8</v>
      </c>
      <c r="AQ11" s="509">
        <v>0.5</v>
      </c>
      <c r="AR11" s="581"/>
      <c r="AS11" s="509" t="s">
        <v>192</v>
      </c>
      <c r="AT11" s="527" t="s">
        <v>193</v>
      </c>
      <c r="AU11" s="547" t="s">
        <v>194</v>
      </c>
      <c r="AV11" s="566" t="s">
        <v>195</v>
      </c>
      <c r="AX11" s="600" t="s">
        <v>128</v>
      </c>
      <c r="AY11" s="601" t="s">
        <v>196</v>
      </c>
      <c r="AZ11" s="601" t="s">
        <v>197</v>
      </c>
      <c r="BA11" s="601" t="s">
        <v>127</v>
      </c>
      <c r="BC11" s="16" t="s">
        <v>131</v>
      </c>
      <c r="BD11" s="604" t="s">
        <v>144</v>
      </c>
      <c r="BE11" s="604" t="s">
        <v>143</v>
      </c>
      <c r="BF11" s="604" t="s">
        <v>142</v>
      </c>
      <c r="BG11" s="641"/>
      <c r="BH11" s="16" t="s">
        <v>198</v>
      </c>
      <c r="BI11" s="604" t="s">
        <v>172</v>
      </c>
      <c r="BJ11" s="16" t="s">
        <v>187</v>
      </c>
      <c r="BK11" s="604" t="s">
        <v>131</v>
      </c>
      <c r="BL11" s="638"/>
      <c r="BM11" s="621"/>
      <c r="BN11" s="16" t="s">
        <v>131</v>
      </c>
      <c r="BO11" s="604" t="s">
        <v>144</v>
      </c>
      <c r="BP11" s="604" t="s">
        <v>143</v>
      </c>
      <c r="BQ11" s="604" t="s">
        <v>142</v>
      </c>
      <c r="BR11" s="16" t="s">
        <v>187</v>
      </c>
      <c r="BS11" s="604" t="s">
        <v>131</v>
      </c>
      <c r="BT11" s="665"/>
      <c r="BU11" s="581"/>
      <c r="BV11" s="170" t="s">
        <v>181</v>
      </c>
      <c r="BW11" s="649" t="s">
        <v>199</v>
      </c>
      <c r="BX11" s="688"/>
      <c r="BY11" s="16" t="s">
        <v>155</v>
      </c>
      <c r="BZ11" s="684"/>
      <c r="CA11" s="16" t="s">
        <v>155</v>
      </c>
      <c r="CB11" s="684"/>
      <c r="CC11" s="16" t="s">
        <v>200</v>
      </c>
      <c r="CD11" s="714"/>
      <c r="CE11" s="509" t="s">
        <v>192</v>
      </c>
      <c r="CF11" s="715" t="s">
        <v>201</v>
      </c>
    </row>
    <row r="12" spans="1:84" ht="16.899999999999999" customHeight="1">
      <c r="C12" s="511" t="s">
        <v>202</v>
      </c>
      <c r="D12" s="508">
        <v>120</v>
      </c>
      <c r="E12" s="508">
        <v>130</v>
      </c>
      <c r="F12" s="508">
        <v>124</v>
      </c>
      <c r="G12" s="508">
        <v>126</v>
      </c>
      <c r="H12" s="508">
        <v>124</v>
      </c>
      <c r="I12" s="508">
        <v>3</v>
      </c>
      <c r="J12" s="508">
        <v>2</v>
      </c>
      <c r="K12" s="508">
        <v>2</v>
      </c>
      <c r="L12" s="508">
        <v>2</v>
      </c>
      <c r="M12" s="530" t="s">
        <v>203</v>
      </c>
      <c r="N12" s="508">
        <v>297</v>
      </c>
      <c r="O12" s="508">
        <v>316</v>
      </c>
      <c r="P12" s="508">
        <v>306</v>
      </c>
      <c r="Q12" s="508">
        <v>307</v>
      </c>
      <c r="R12" s="508">
        <v>302</v>
      </c>
      <c r="S12" s="508">
        <v>4</v>
      </c>
      <c r="T12" s="508">
        <v>3</v>
      </c>
      <c r="U12" s="508">
        <v>3</v>
      </c>
      <c r="V12" s="508">
        <v>3</v>
      </c>
      <c r="W12" s="544"/>
      <c r="X12" s="549" t="s">
        <v>204</v>
      </c>
      <c r="Y12" s="508">
        <v>60.1</v>
      </c>
      <c r="Z12" s="508">
        <v>63.2</v>
      </c>
      <c r="AA12" s="508">
        <v>61.9</v>
      </c>
      <c r="AB12" s="508">
        <v>61.3</v>
      </c>
      <c r="AC12" s="508">
        <v>62</v>
      </c>
      <c r="AD12" s="508">
        <v>1.2</v>
      </c>
      <c r="AE12" s="508">
        <v>1.2</v>
      </c>
      <c r="AF12" s="508">
        <v>1.2</v>
      </c>
      <c r="AG12" s="508">
        <v>1</v>
      </c>
      <c r="AH12" s="565" t="s">
        <v>205</v>
      </c>
      <c r="AI12" s="508">
        <v>14.4</v>
      </c>
      <c r="AJ12" s="508">
        <v>15.6</v>
      </c>
      <c r="AK12" s="508">
        <v>14.9</v>
      </c>
      <c r="AL12" s="508">
        <v>15.1</v>
      </c>
      <c r="AM12" s="508">
        <v>15.8</v>
      </c>
      <c r="AN12" s="508">
        <v>0.8</v>
      </c>
      <c r="AO12" s="508">
        <v>0.7</v>
      </c>
      <c r="AP12" s="508">
        <v>0.8</v>
      </c>
      <c r="AQ12" s="508">
        <v>0.5</v>
      </c>
      <c r="AR12" s="580"/>
      <c r="AS12" s="508" t="s">
        <v>202</v>
      </c>
      <c r="AT12" s="526" t="s">
        <v>203</v>
      </c>
      <c r="AU12" s="545" t="s">
        <v>204</v>
      </c>
      <c r="AV12" s="565" t="s">
        <v>205</v>
      </c>
      <c r="AX12" s="598" t="s">
        <v>138</v>
      </c>
      <c r="AY12" s="599" t="s">
        <v>206</v>
      </c>
      <c r="AZ12" s="599" t="s">
        <v>207</v>
      </c>
      <c r="BA12" s="599" t="s">
        <v>137</v>
      </c>
      <c r="BC12" s="605" t="s">
        <v>129</v>
      </c>
      <c r="BD12" s="603" t="s">
        <v>155</v>
      </c>
      <c r="BE12" s="603" t="s">
        <v>154</v>
      </c>
      <c r="BF12" s="603" t="s">
        <v>153</v>
      </c>
      <c r="BG12" s="640"/>
      <c r="BH12" s="605" t="s">
        <v>208</v>
      </c>
      <c r="BI12" s="603" t="s">
        <v>209</v>
      </c>
      <c r="BJ12" s="605" t="s">
        <v>210</v>
      </c>
      <c r="BK12" s="603" t="s">
        <v>211</v>
      </c>
      <c r="BL12" s="638"/>
      <c r="BM12" s="621"/>
      <c r="BN12" s="605" t="s">
        <v>129</v>
      </c>
      <c r="BO12" s="603" t="s">
        <v>155</v>
      </c>
      <c r="BP12" s="603" t="s">
        <v>154</v>
      </c>
      <c r="BQ12" s="603" t="s">
        <v>153</v>
      </c>
      <c r="BR12" s="605" t="s">
        <v>210</v>
      </c>
      <c r="BS12" s="603" t="s">
        <v>211</v>
      </c>
      <c r="BT12" s="664"/>
      <c r="BU12" s="580"/>
      <c r="BV12" s="685" t="s">
        <v>194</v>
      </c>
      <c r="BW12" s="686" t="s">
        <v>212</v>
      </c>
      <c r="BX12" s="687"/>
      <c r="BY12" s="689" t="s">
        <v>171</v>
      </c>
      <c r="BZ12" s="682"/>
      <c r="CA12" s="689" t="s">
        <v>171</v>
      </c>
      <c r="CB12" s="682"/>
      <c r="CC12" s="605" t="s">
        <v>213</v>
      </c>
      <c r="CD12" s="716"/>
      <c r="CE12" s="508" t="s">
        <v>202</v>
      </c>
      <c r="CF12" s="717" t="s">
        <v>214</v>
      </c>
    </row>
    <row r="13" spans="1:84" ht="16.899999999999999" customHeight="1">
      <c r="C13" s="512" t="s">
        <v>215</v>
      </c>
      <c r="D13" s="509">
        <v>153</v>
      </c>
      <c r="E13" s="509">
        <v>165</v>
      </c>
      <c r="F13" s="509">
        <v>158</v>
      </c>
      <c r="G13" s="509">
        <v>160</v>
      </c>
      <c r="H13" s="509">
        <v>157</v>
      </c>
      <c r="I13" s="509">
        <v>4</v>
      </c>
      <c r="J13" s="509">
        <v>2</v>
      </c>
      <c r="K13" s="509">
        <v>2</v>
      </c>
      <c r="L13" s="509">
        <v>3</v>
      </c>
      <c r="M13" s="529" t="s">
        <v>216</v>
      </c>
      <c r="N13" s="509">
        <v>378</v>
      </c>
      <c r="O13" s="509">
        <v>401</v>
      </c>
      <c r="P13" s="509">
        <v>390</v>
      </c>
      <c r="Q13" s="509">
        <v>390</v>
      </c>
      <c r="R13" s="509">
        <v>384</v>
      </c>
      <c r="S13" s="509">
        <v>5</v>
      </c>
      <c r="T13" s="509">
        <v>3</v>
      </c>
      <c r="U13" s="509">
        <v>3</v>
      </c>
      <c r="V13" s="509">
        <v>4</v>
      </c>
      <c r="W13" s="546"/>
      <c r="X13" s="550" t="s">
        <v>217</v>
      </c>
      <c r="Y13" s="509">
        <v>77</v>
      </c>
      <c r="Z13" s="509">
        <v>81</v>
      </c>
      <c r="AA13" s="509">
        <v>79</v>
      </c>
      <c r="AB13" s="509">
        <v>79</v>
      </c>
      <c r="AC13" s="509">
        <v>79</v>
      </c>
      <c r="AD13" s="509">
        <v>1</v>
      </c>
      <c r="AE13" s="509">
        <v>1</v>
      </c>
      <c r="AF13" s="509">
        <v>1</v>
      </c>
      <c r="AG13" s="509">
        <v>1</v>
      </c>
      <c r="AH13" s="566" t="s">
        <v>218</v>
      </c>
      <c r="AI13" s="509">
        <v>18.100000000000001</v>
      </c>
      <c r="AJ13" s="509">
        <v>19.899999999999999</v>
      </c>
      <c r="AK13" s="509">
        <v>18.7</v>
      </c>
      <c r="AL13" s="509">
        <v>19.3</v>
      </c>
      <c r="AM13" s="509">
        <v>19.8</v>
      </c>
      <c r="AN13" s="509">
        <v>0.9</v>
      </c>
      <c r="AO13" s="509">
        <v>0.9</v>
      </c>
      <c r="AP13" s="509">
        <v>0.9</v>
      </c>
      <c r="AQ13" s="509">
        <v>1</v>
      </c>
      <c r="AR13" s="581"/>
      <c r="AS13" s="509" t="s">
        <v>215</v>
      </c>
      <c r="AT13" s="527" t="s">
        <v>216</v>
      </c>
      <c r="AU13" s="557" t="s">
        <v>217</v>
      </c>
      <c r="AV13" s="566" t="s">
        <v>218</v>
      </c>
      <c r="AX13" s="600" t="s">
        <v>149</v>
      </c>
      <c r="AY13" s="601" t="s">
        <v>219</v>
      </c>
      <c r="AZ13" s="601" t="s">
        <v>162</v>
      </c>
      <c r="BA13" s="601" t="s">
        <v>148</v>
      </c>
      <c r="BC13" s="16" t="s">
        <v>139</v>
      </c>
      <c r="BD13" s="604" t="s">
        <v>171</v>
      </c>
      <c r="BE13" s="604" t="s">
        <v>170</v>
      </c>
      <c r="BF13" s="604" t="s">
        <v>169</v>
      </c>
      <c r="BG13" s="641"/>
      <c r="BH13" s="16" t="s">
        <v>220</v>
      </c>
      <c r="BI13" s="604" t="s">
        <v>221</v>
      </c>
      <c r="BJ13" s="16" t="s">
        <v>222</v>
      </c>
      <c r="BK13" s="604" t="s">
        <v>223</v>
      </c>
      <c r="BL13" s="638"/>
      <c r="BM13" s="621"/>
      <c r="BN13" s="16" t="s">
        <v>139</v>
      </c>
      <c r="BO13" s="604" t="s">
        <v>171</v>
      </c>
      <c r="BP13" s="604" t="s">
        <v>170</v>
      </c>
      <c r="BQ13" s="604" t="s">
        <v>169</v>
      </c>
      <c r="BR13" s="16" t="s">
        <v>222</v>
      </c>
      <c r="BS13" s="604" t="s">
        <v>223</v>
      </c>
      <c r="BT13" s="665"/>
      <c r="BU13" s="581"/>
      <c r="BV13" s="170" t="s">
        <v>204</v>
      </c>
      <c r="BW13" s="649" t="s">
        <v>129</v>
      </c>
      <c r="BX13" s="690"/>
      <c r="BY13" s="691" t="s">
        <v>157</v>
      </c>
      <c r="BZ13" s="684"/>
      <c r="CA13" s="691" t="s">
        <v>157</v>
      </c>
      <c r="CB13" s="684"/>
      <c r="CC13" s="16" t="s">
        <v>224</v>
      </c>
      <c r="CD13" s="714"/>
      <c r="CE13" s="509" t="s">
        <v>215</v>
      </c>
      <c r="CF13" s="715" t="s">
        <v>225</v>
      </c>
    </row>
    <row r="14" spans="1:84" ht="16.899999999999999" customHeight="1">
      <c r="C14" s="511" t="s">
        <v>226</v>
      </c>
      <c r="D14" s="513">
        <v>187</v>
      </c>
      <c r="E14" s="511">
        <v>200</v>
      </c>
      <c r="F14" s="511">
        <v>192</v>
      </c>
      <c r="G14" s="511">
        <v>194</v>
      </c>
      <c r="H14" s="511">
        <v>191</v>
      </c>
      <c r="I14" s="511">
        <v>4</v>
      </c>
      <c r="J14" s="511">
        <v>2</v>
      </c>
      <c r="K14" s="511">
        <v>2</v>
      </c>
      <c r="L14" s="511">
        <v>4</v>
      </c>
      <c r="M14" s="530" t="s">
        <v>227</v>
      </c>
      <c r="N14" s="511">
        <v>462</v>
      </c>
      <c r="O14" s="511">
        <v>490</v>
      </c>
      <c r="P14" s="511">
        <v>476</v>
      </c>
      <c r="Q14" s="511">
        <v>475</v>
      </c>
      <c r="R14" s="511">
        <v>468</v>
      </c>
      <c r="S14" s="511">
        <v>6</v>
      </c>
      <c r="T14" s="511">
        <v>3</v>
      </c>
      <c r="U14" s="511">
        <v>3</v>
      </c>
      <c r="V14" s="511">
        <v>5</v>
      </c>
      <c r="W14" s="544"/>
      <c r="X14" s="545" t="s">
        <v>61</v>
      </c>
      <c r="Y14" s="508">
        <v>95</v>
      </c>
      <c r="Z14" s="508">
        <v>100</v>
      </c>
      <c r="AA14" s="508">
        <v>98</v>
      </c>
      <c r="AB14" s="508">
        <v>97</v>
      </c>
      <c r="AC14" s="508">
        <v>98</v>
      </c>
      <c r="AD14" s="508">
        <v>2</v>
      </c>
      <c r="AE14" s="508">
        <v>1</v>
      </c>
      <c r="AF14" s="508">
        <v>2</v>
      </c>
      <c r="AG14" s="508">
        <v>1</v>
      </c>
      <c r="AH14" s="565" t="s">
        <v>228</v>
      </c>
      <c r="AI14" s="508">
        <v>21.5</v>
      </c>
      <c r="AJ14" s="508">
        <v>23.3</v>
      </c>
      <c r="AK14" s="508">
        <v>22.2</v>
      </c>
      <c r="AL14" s="508">
        <v>22.6</v>
      </c>
      <c r="AM14" s="508">
        <v>23.2</v>
      </c>
      <c r="AN14" s="508">
        <v>0.9</v>
      </c>
      <c r="AO14" s="508">
        <v>0.9</v>
      </c>
      <c r="AP14" s="508">
        <v>0.9</v>
      </c>
      <c r="AQ14" s="508">
        <v>1</v>
      </c>
      <c r="AR14" s="580"/>
      <c r="AS14" s="511" t="s">
        <v>226</v>
      </c>
      <c r="AT14" s="530" t="s">
        <v>227</v>
      </c>
      <c r="AU14" s="545" t="s">
        <v>61</v>
      </c>
      <c r="AV14" s="565" t="s">
        <v>228</v>
      </c>
      <c r="AX14" s="598" t="s">
        <v>165</v>
      </c>
      <c r="AY14" s="599" t="s">
        <v>229</v>
      </c>
      <c r="AZ14" s="599" t="s">
        <v>177</v>
      </c>
      <c r="BA14" s="599" t="s">
        <v>164</v>
      </c>
      <c r="BC14" s="605" t="s">
        <v>150</v>
      </c>
      <c r="BD14" s="603" t="s">
        <v>186</v>
      </c>
      <c r="BE14" s="603" t="s">
        <v>185</v>
      </c>
      <c r="BF14" s="603" t="s">
        <v>184</v>
      </c>
      <c r="BG14" s="608"/>
      <c r="BH14" s="605" t="s">
        <v>230</v>
      </c>
      <c r="BI14" s="603" t="s">
        <v>231</v>
      </c>
      <c r="BJ14" s="605" t="s">
        <v>232</v>
      </c>
      <c r="BK14" s="603" t="s">
        <v>233</v>
      </c>
      <c r="BL14" s="638"/>
      <c r="BM14" s="621"/>
      <c r="BN14" s="605" t="s">
        <v>150</v>
      </c>
      <c r="BO14" s="603" t="s">
        <v>186</v>
      </c>
      <c r="BP14" s="603" t="s">
        <v>185</v>
      </c>
      <c r="BQ14" s="603" t="s">
        <v>184</v>
      </c>
      <c r="BR14" s="605" t="s">
        <v>232</v>
      </c>
      <c r="BS14" s="603" t="s">
        <v>233</v>
      </c>
      <c r="BT14" s="664"/>
      <c r="BU14" s="580"/>
      <c r="BV14" s="685" t="s">
        <v>217</v>
      </c>
      <c r="BW14" s="686" t="s">
        <v>139</v>
      </c>
      <c r="BX14" s="687"/>
      <c r="BY14" s="605" t="s">
        <v>173</v>
      </c>
      <c r="BZ14" s="682"/>
      <c r="CA14" s="605" t="s">
        <v>173</v>
      </c>
      <c r="CB14" s="682"/>
      <c r="CC14" s="605" t="s">
        <v>234</v>
      </c>
      <c r="CD14" s="716"/>
      <c r="CE14" s="511" t="s">
        <v>226</v>
      </c>
      <c r="CF14" s="717" t="s">
        <v>235</v>
      </c>
    </row>
    <row r="15" spans="1:84" ht="16.899999999999999" customHeight="1">
      <c r="C15" s="514" t="s">
        <v>197</v>
      </c>
      <c r="D15" s="515">
        <v>20</v>
      </c>
      <c r="E15" s="514">
        <v>22.3</v>
      </c>
      <c r="F15" s="514">
        <v>20.8</v>
      </c>
      <c r="G15" s="514">
        <v>21.5</v>
      </c>
      <c r="H15" s="514">
        <v>21.7</v>
      </c>
      <c r="I15" s="514">
        <v>1</v>
      </c>
      <c r="J15" s="514">
        <v>1</v>
      </c>
      <c r="K15" s="514">
        <v>1</v>
      </c>
      <c r="L15" s="514">
        <v>1</v>
      </c>
      <c r="M15" s="531" t="s">
        <v>224</v>
      </c>
      <c r="N15" s="514">
        <v>228</v>
      </c>
      <c r="O15" s="514">
        <v>242</v>
      </c>
      <c r="P15" s="514">
        <v>235</v>
      </c>
      <c r="Q15" s="514">
        <v>235</v>
      </c>
      <c r="R15" s="514">
        <v>232</v>
      </c>
      <c r="S15" s="514">
        <v>4</v>
      </c>
      <c r="T15" s="514">
        <v>2</v>
      </c>
      <c r="U15" s="514">
        <v>2</v>
      </c>
      <c r="V15" s="514">
        <v>2</v>
      </c>
      <c r="W15" s="546"/>
      <c r="X15" s="551" t="s">
        <v>64</v>
      </c>
      <c r="Y15" s="509">
        <v>121</v>
      </c>
      <c r="Z15" s="509">
        <v>127</v>
      </c>
      <c r="AA15" s="509">
        <v>125</v>
      </c>
      <c r="AB15" s="509">
        <v>123</v>
      </c>
      <c r="AC15" s="509">
        <v>124</v>
      </c>
      <c r="AD15" s="509">
        <v>2</v>
      </c>
      <c r="AE15" s="509">
        <v>2</v>
      </c>
      <c r="AF15" s="509">
        <v>2</v>
      </c>
      <c r="AG15" s="509">
        <v>1</v>
      </c>
      <c r="AH15" s="566" t="s">
        <v>236</v>
      </c>
      <c r="AI15" s="509">
        <v>25.1</v>
      </c>
      <c r="AJ15" s="509">
        <v>27.4</v>
      </c>
      <c r="AK15" s="509">
        <v>26</v>
      </c>
      <c r="AL15" s="509">
        <v>26.6</v>
      </c>
      <c r="AM15" s="509">
        <v>27</v>
      </c>
      <c r="AN15" s="509">
        <v>1.1000000000000001</v>
      </c>
      <c r="AO15" s="509">
        <v>1</v>
      </c>
      <c r="AP15" s="509">
        <v>1.1000000000000001</v>
      </c>
      <c r="AQ15" s="509">
        <v>1</v>
      </c>
      <c r="AR15" s="581"/>
      <c r="AS15" s="514" t="s">
        <v>197</v>
      </c>
      <c r="AT15" s="531" t="s">
        <v>224</v>
      </c>
      <c r="AU15" s="547" t="s">
        <v>64</v>
      </c>
      <c r="AV15" s="566" t="s">
        <v>236</v>
      </c>
      <c r="AX15" s="600" t="s">
        <v>180</v>
      </c>
      <c r="AY15" s="601" t="s">
        <v>237</v>
      </c>
      <c r="AZ15" s="601" t="s">
        <v>190</v>
      </c>
      <c r="BA15" s="601" t="s">
        <v>179</v>
      </c>
      <c r="BC15" s="16" t="s">
        <v>166</v>
      </c>
      <c r="BD15" s="604" t="s">
        <v>127</v>
      </c>
      <c r="BE15" s="604" t="s">
        <v>197</v>
      </c>
      <c r="BF15" s="604" t="s">
        <v>196</v>
      </c>
      <c r="BG15" s="641"/>
      <c r="BH15" s="16" t="s">
        <v>238</v>
      </c>
      <c r="BI15" s="604" t="s">
        <v>239</v>
      </c>
      <c r="BJ15" s="16" t="s">
        <v>240</v>
      </c>
      <c r="BK15" s="604" t="s">
        <v>241</v>
      </c>
      <c r="BL15" s="638"/>
      <c r="BM15" s="621"/>
      <c r="BN15" s="16" t="s">
        <v>166</v>
      </c>
      <c r="BO15" s="604" t="s">
        <v>127</v>
      </c>
      <c r="BP15" s="604" t="s">
        <v>197</v>
      </c>
      <c r="BQ15" s="604" t="s">
        <v>196</v>
      </c>
      <c r="BR15" s="16" t="s">
        <v>240</v>
      </c>
      <c r="BS15" s="604" t="s">
        <v>241</v>
      </c>
      <c r="BT15" s="665"/>
      <c r="BU15" s="581"/>
      <c r="BV15" s="170" t="s">
        <v>61</v>
      </c>
      <c r="BW15" s="649" t="s">
        <v>150</v>
      </c>
      <c r="BX15" s="692"/>
      <c r="BY15" s="16" t="s">
        <v>133</v>
      </c>
      <c r="BZ15" s="684"/>
      <c r="CA15" s="16" t="s">
        <v>133</v>
      </c>
      <c r="CB15" s="684"/>
      <c r="CC15" s="16" t="s">
        <v>242</v>
      </c>
      <c r="CD15" s="632"/>
      <c r="CE15" s="514" t="s">
        <v>197</v>
      </c>
      <c r="CF15" s="715" t="s">
        <v>243</v>
      </c>
    </row>
    <row r="16" spans="1:84" ht="16.899999999999999" customHeight="1">
      <c r="C16" s="510" t="s">
        <v>207</v>
      </c>
      <c r="D16" s="508">
        <v>31.2</v>
      </c>
      <c r="E16" s="508">
        <v>34.200000000000003</v>
      </c>
      <c r="F16" s="508">
        <v>32.299999999999997</v>
      </c>
      <c r="G16" s="508">
        <v>33.1</v>
      </c>
      <c r="H16" s="508">
        <v>33.200000000000003</v>
      </c>
      <c r="I16" s="508">
        <v>1</v>
      </c>
      <c r="J16" s="508">
        <v>1</v>
      </c>
      <c r="K16" s="508">
        <v>1</v>
      </c>
      <c r="L16" s="508">
        <v>1</v>
      </c>
      <c r="M16" s="526" t="s">
        <v>234</v>
      </c>
      <c r="N16" s="508">
        <v>278</v>
      </c>
      <c r="O16" s="508">
        <v>295</v>
      </c>
      <c r="P16" s="508">
        <v>286</v>
      </c>
      <c r="Q16" s="508">
        <v>286</v>
      </c>
      <c r="R16" s="508">
        <v>283</v>
      </c>
      <c r="S16" s="508">
        <v>4</v>
      </c>
      <c r="T16" s="508">
        <v>3</v>
      </c>
      <c r="U16" s="508">
        <v>3</v>
      </c>
      <c r="V16" s="508">
        <v>2</v>
      </c>
      <c r="W16" s="544"/>
      <c r="X16" s="552" t="s">
        <v>244</v>
      </c>
      <c r="Y16" s="508">
        <v>161</v>
      </c>
      <c r="Z16" s="508">
        <v>169</v>
      </c>
      <c r="AA16" s="508">
        <v>166</v>
      </c>
      <c r="AB16" s="508">
        <v>164</v>
      </c>
      <c r="AC16" s="508">
        <v>164</v>
      </c>
      <c r="AD16" s="508">
        <v>5</v>
      </c>
      <c r="AE16" s="508">
        <v>3</v>
      </c>
      <c r="AF16" s="508">
        <v>3</v>
      </c>
      <c r="AG16" s="508">
        <v>3</v>
      </c>
      <c r="AH16" s="567" t="s">
        <v>245</v>
      </c>
      <c r="AI16" s="508">
        <v>28.6</v>
      </c>
      <c r="AJ16" s="508">
        <v>30.9</v>
      </c>
      <c r="AK16" s="508">
        <v>29.5</v>
      </c>
      <c r="AL16" s="508">
        <v>29.9</v>
      </c>
      <c r="AM16" s="508">
        <v>30.5</v>
      </c>
      <c r="AN16" s="508">
        <v>1.1000000000000001</v>
      </c>
      <c r="AO16" s="508">
        <v>1</v>
      </c>
      <c r="AP16" s="508">
        <v>1.1000000000000001</v>
      </c>
      <c r="AQ16" s="508">
        <v>1</v>
      </c>
      <c r="AR16" s="580"/>
      <c r="AS16" s="508" t="s">
        <v>207</v>
      </c>
      <c r="AT16" s="526" t="s">
        <v>234</v>
      </c>
      <c r="AU16" s="552" t="s">
        <v>244</v>
      </c>
      <c r="AV16" s="567" t="s">
        <v>245</v>
      </c>
      <c r="AX16" s="598" t="s">
        <v>193</v>
      </c>
      <c r="AY16" s="599" t="s">
        <v>246</v>
      </c>
      <c r="AZ16" s="599" t="s">
        <v>200</v>
      </c>
      <c r="BA16" s="599" t="s">
        <v>192</v>
      </c>
      <c r="BC16" s="605" t="s">
        <v>181</v>
      </c>
      <c r="BD16" s="603" t="s">
        <v>137</v>
      </c>
      <c r="BE16" s="603" t="s">
        <v>207</v>
      </c>
      <c r="BF16" s="603" t="s">
        <v>206</v>
      </c>
      <c r="BG16" s="640"/>
      <c r="BH16" s="605" t="s">
        <v>247</v>
      </c>
      <c r="BI16" s="603" t="s">
        <v>248</v>
      </c>
      <c r="BJ16" s="605" t="s">
        <v>249</v>
      </c>
      <c r="BK16" s="603" t="s">
        <v>250</v>
      </c>
      <c r="BL16" s="638"/>
      <c r="BM16" s="621"/>
      <c r="BN16" s="605" t="s">
        <v>181</v>
      </c>
      <c r="BO16" s="603" t="s">
        <v>137</v>
      </c>
      <c r="BP16" s="603" t="s">
        <v>207</v>
      </c>
      <c r="BQ16" s="603" t="s">
        <v>206</v>
      </c>
      <c r="BR16" s="605" t="s">
        <v>249</v>
      </c>
      <c r="BS16" s="603" t="s">
        <v>250</v>
      </c>
      <c r="BT16" s="664"/>
      <c r="BU16" s="580"/>
      <c r="BV16" s="685" t="s">
        <v>64</v>
      </c>
      <c r="BW16" s="686" t="s">
        <v>166</v>
      </c>
      <c r="BX16" s="693"/>
      <c r="BY16" s="605" t="s">
        <v>143</v>
      </c>
      <c r="BZ16" s="682"/>
      <c r="CA16" s="605" t="s">
        <v>143</v>
      </c>
      <c r="CB16" s="682"/>
      <c r="CC16" s="605" t="s">
        <v>251</v>
      </c>
      <c r="CD16" s="713"/>
      <c r="CE16" s="508" t="s">
        <v>207</v>
      </c>
      <c r="CF16" s="718" t="s">
        <v>252</v>
      </c>
    </row>
    <row r="17" spans="3:84" ht="16.899999999999999" customHeight="1">
      <c r="C17" s="512" t="s">
        <v>162</v>
      </c>
      <c r="D17" s="509">
        <v>48.6</v>
      </c>
      <c r="E17" s="509">
        <v>52.7</v>
      </c>
      <c r="F17" s="509">
        <v>50.2</v>
      </c>
      <c r="G17" s="509">
        <v>51</v>
      </c>
      <c r="H17" s="509">
        <v>51</v>
      </c>
      <c r="I17" s="509">
        <v>1</v>
      </c>
      <c r="J17" s="509">
        <v>1</v>
      </c>
      <c r="K17" s="509">
        <v>1</v>
      </c>
      <c r="L17" s="509">
        <v>1</v>
      </c>
      <c r="M17" s="527" t="s">
        <v>242</v>
      </c>
      <c r="N17" s="509">
        <v>351</v>
      </c>
      <c r="O17" s="509">
        <v>372</v>
      </c>
      <c r="P17" s="509">
        <v>362</v>
      </c>
      <c r="Q17" s="509">
        <v>361</v>
      </c>
      <c r="R17" s="509">
        <v>356</v>
      </c>
      <c r="S17" s="509">
        <v>5</v>
      </c>
      <c r="T17" s="509">
        <v>3</v>
      </c>
      <c r="U17" s="509">
        <v>3</v>
      </c>
      <c r="V17" s="509">
        <v>2</v>
      </c>
      <c r="W17" s="546"/>
      <c r="X17" s="553" t="s">
        <v>253</v>
      </c>
      <c r="Y17" s="509">
        <v>202</v>
      </c>
      <c r="Z17" s="509">
        <v>212</v>
      </c>
      <c r="AA17" s="509">
        <v>208</v>
      </c>
      <c r="AB17" s="509">
        <v>205</v>
      </c>
      <c r="AC17" s="509">
        <v>206</v>
      </c>
      <c r="AD17" s="509">
        <v>5</v>
      </c>
      <c r="AE17" s="509">
        <v>3</v>
      </c>
      <c r="AF17" s="509">
        <v>3</v>
      </c>
      <c r="AG17" s="509">
        <v>3</v>
      </c>
      <c r="AH17" s="568" t="s">
        <v>254</v>
      </c>
      <c r="AI17" s="509">
        <v>33.9</v>
      </c>
      <c r="AJ17" s="509">
        <v>36.700000000000003</v>
      </c>
      <c r="AK17" s="509">
        <v>35</v>
      </c>
      <c r="AL17" s="509">
        <v>35.5</v>
      </c>
      <c r="AM17" s="509">
        <v>36</v>
      </c>
      <c r="AN17" s="509">
        <v>1</v>
      </c>
      <c r="AO17" s="509">
        <v>1</v>
      </c>
      <c r="AP17" s="509">
        <v>1</v>
      </c>
      <c r="AQ17" s="509">
        <v>1</v>
      </c>
      <c r="AR17" s="581"/>
      <c r="AS17" s="509" t="s">
        <v>162</v>
      </c>
      <c r="AT17" s="527" t="s">
        <v>242</v>
      </c>
      <c r="AU17" s="547" t="s">
        <v>253</v>
      </c>
      <c r="AV17" s="568" t="s">
        <v>254</v>
      </c>
      <c r="AX17" s="606" t="s">
        <v>203</v>
      </c>
      <c r="AY17" s="607" t="s">
        <v>255</v>
      </c>
      <c r="AZ17" s="607" t="s">
        <v>213</v>
      </c>
      <c r="BA17" s="607" t="s">
        <v>202</v>
      </c>
      <c r="BC17" s="16" t="s">
        <v>194</v>
      </c>
      <c r="BD17" s="604" t="s">
        <v>148</v>
      </c>
      <c r="BE17" s="604" t="s">
        <v>162</v>
      </c>
      <c r="BF17" s="604" t="s">
        <v>219</v>
      </c>
      <c r="BG17" s="641"/>
      <c r="BH17" s="16" t="s">
        <v>256</v>
      </c>
      <c r="BI17" s="604" t="s">
        <v>257</v>
      </c>
      <c r="BJ17" s="16" t="s">
        <v>258</v>
      </c>
      <c r="BK17" s="604" t="s">
        <v>259</v>
      </c>
      <c r="BM17" s="621"/>
      <c r="BN17" s="16" t="s">
        <v>194</v>
      </c>
      <c r="BO17" s="604" t="s">
        <v>148</v>
      </c>
      <c r="BP17" s="604" t="s">
        <v>162</v>
      </c>
      <c r="BQ17" s="604" t="s">
        <v>219</v>
      </c>
      <c r="BR17" s="16" t="s">
        <v>258</v>
      </c>
      <c r="BS17" s="604" t="s">
        <v>259</v>
      </c>
      <c r="BT17" s="10"/>
      <c r="BU17" s="581"/>
      <c r="BV17" s="170" t="s">
        <v>244</v>
      </c>
      <c r="BW17" s="694" t="s">
        <v>181</v>
      </c>
      <c r="BX17" s="692"/>
      <c r="BY17" s="16" t="s">
        <v>154</v>
      </c>
      <c r="BZ17" s="684"/>
      <c r="CA17" s="16" t="s">
        <v>154</v>
      </c>
      <c r="CB17" s="684"/>
      <c r="CC17" s="16" t="s">
        <v>260</v>
      </c>
      <c r="CD17" s="714"/>
      <c r="CE17" s="509" t="s">
        <v>162</v>
      </c>
      <c r="CF17" s="719" t="s">
        <v>261</v>
      </c>
    </row>
    <row r="18" spans="3:84" ht="15" customHeight="1">
      <c r="C18" s="511" t="s">
        <v>177</v>
      </c>
      <c r="D18" s="508">
        <v>66.7</v>
      </c>
      <c r="E18" s="508">
        <v>71.900000000000006</v>
      </c>
      <c r="F18" s="508">
        <v>68.900000000000006</v>
      </c>
      <c r="G18" s="508">
        <v>69.7</v>
      </c>
      <c r="H18" s="508">
        <v>69.400000000000006</v>
      </c>
      <c r="I18" s="508">
        <v>1</v>
      </c>
      <c r="J18" s="508">
        <v>1</v>
      </c>
      <c r="K18" s="508">
        <v>1</v>
      </c>
      <c r="L18" s="508">
        <v>1</v>
      </c>
      <c r="M18" s="530" t="s">
        <v>251</v>
      </c>
      <c r="N18" s="508">
        <v>463</v>
      </c>
      <c r="O18" s="508">
        <v>489</v>
      </c>
      <c r="P18" s="508">
        <v>477</v>
      </c>
      <c r="Q18" s="508">
        <v>475</v>
      </c>
      <c r="R18" s="508">
        <v>469</v>
      </c>
      <c r="S18" s="508">
        <v>5</v>
      </c>
      <c r="T18" s="508">
        <v>3</v>
      </c>
      <c r="U18" s="508">
        <v>3</v>
      </c>
      <c r="V18" s="508">
        <v>2</v>
      </c>
      <c r="W18" s="544"/>
      <c r="X18" s="545" t="s">
        <v>262</v>
      </c>
      <c r="Y18" s="508">
        <v>265</v>
      </c>
      <c r="Z18" s="508">
        <v>277</v>
      </c>
      <c r="AA18" s="508">
        <v>273</v>
      </c>
      <c r="AB18" s="508">
        <v>269</v>
      </c>
      <c r="AC18" s="508">
        <v>269</v>
      </c>
      <c r="AD18" s="508">
        <v>6</v>
      </c>
      <c r="AE18" s="508">
        <v>3</v>
      </c>
      <c r="AF18" s="508">
        <v>3</v>
      </c>
      <c r="AG18" s="508">
        <v>3</v>
      </c>
      <c r="AH18" s="533" t="s">
        <v>263</v>
      </c>
      <c r="AI18" s="508">
        <v>35.6</v>
      </c>
      <c r="AJ18" s="508">
        <v>38.4</v>
      </c>
      <c r="AK18" s="508">
        <v>36.799999999999997</v>
      </c>
      <c r="AL18" s="508">
        <v>37.200000000000003</v>
      </c>
      <c r="AM18" s="508">
        <v>37.700000000000003</v>
      </c>
      <c r="AN18" s="508">
        <v>1</v>
      </c>
      <c r="AO18" s="508">
        <v>1</v>
      </c>
      <c r="AP18" s="508">
        <v>1</v>
      </c>
      <c r="AQ18" s="508">
        <v>1</v>
      </c>
      <c r="AR18" s="580"/>
      <c r="AS18" s="508" t="s">
        <v>177</v>
      </c>
      <c r="AT18" s="526" t="s">
        <v>251</v>
      </c>
      <c r="AU18" s="545" t="s">
        <v>262</v>
      </c>
      <c r="AV18" s="567" t="s">
        <v>263</v>
      </c>
      <c r="AX18" s="793" t="s">
        <v>264</v>
      </c>
      <c r="AY18" s="795" t="s">
        <v>119</v>
      </c>
      <c r="AZ18" s="795" t="s">
        <v>119</v>
      </c>
      <c r="BA18" s="795" t="s">
        <v>119</v>
      </c>
      <c r="BB18" s="608"/>
      <c r="BC18" s="605" t="s">
        <v>204</v>
      </c>
      <c r="BD18" s="603" t="s">
        <v>164</v>
      </c>
      <c r="BE18" s="603" t="s">
        <v>177</v>
      </c>
      <c r="BF18" s="603" t="s">
        <v>229</v>
      </c>
      <c r="BG18" s="640"/>
      <c r="BH18" s="605" t="s">
        <v>265</v>
      </c>
      <c r="BI18" s="603" t="s">
        <v>266</v>
      </c>
      <c r="BJ18" s="605" t="s">
        <v>267</v>
      </c>
      <c r="BK18" s="603" t="s">
        <v>268</v>
      </c>
      <c r="BM18" s="621"/>
      <c r="BN18" s="605" t="s">
        <v>204</v>
      </c>
      <c r="BO18" s="603" t="s">
        <v>164</v>
      </c>
      <c r="BP18" s="603" t="s">
        <v>177</v>
      </c>
      <c r="BQ18" s="603" t="s">
        <v>229</v>
      </c>
      <c r="BR18" s="605" t="s">
        <v>267</v>
      </c>
      <c r="BS18" s="603" t="s">
        <v>268</v>
      </c>
      <c r="BT18" s="608"/>
      <c r="BU18" s="580"/>
      <c r="BV18" s="645" t="s">
        <v>253</v>
      </c>
      <c r="BW18" s="695" t="s">
        <v>194</v>
      </c>
      <c r="BX18" s="693"/>
      <c r="BY18" s="696" t="s">
        <v>170</v>
      </c>
      <c r="BZ18" s="682"/>
      <c r="CA18" s="696" t="s">
        <v>170</v>
      </c>
      <c r="CB18" s="682"/>
      <c r="CC18" s="605" t="s">
        <v>269</v>
      </c>
      <c r="CD18" s="716"/>
      <c r="CE18" s="508" t="s">
        <v>177</v>
      </c>
      <c r="CF18" s="717" t="s">
        <v>270</v>
      </c>
    </row>
    <row r="19" spans="3:84" ht="16.899999999999999" customHeight="1">
      <c r="C19" s="512" t="s">
        <v>190</v>
      </c>
      <c r="D19" s="509">
        <v>91</v>
      </c>
      <c r="E19" s="509">
        <v>98</v>
      </c>
      <c r="F19" s="509">
        <v>94</v>
      </c>
      <c r="G19" s="509">
        <v>95</v>
      </c>
      <c r="H19" s="509">
        <v>94</v>
      </c>
      <c r="I19" s="509">
        <v>1</v>
      </c>
      <c r="J19" s="509">
        <v>1</v>
      </c>
      <c r="K19" s="509">
        <v>1</v>
      </c>
      <c r="L19" s="509">
        <v>1</v>
      </c>
      <c r="M19" s="532" t="s">
        <v>260</v>
      </c>
      <c r="N19" s="509">
        <v>581</v>
      </c>
      <c r="O19" s="509">
        <v>614</v>
      </c>
      <c r="P19" s="509">
        <v>598</v>
      </c>
      <c r="Q19" s="509">
        <v>596</v>
      </c>
      <c r="R19" s="509">
        <v>588</v>
      </c>
      <c r="S19" s="509">
        <v>6</v>
      </c>
      <c r="T19" s="509">
        <v>3</v>
      </c>
      <c r="U19" s="509">
        <v>4</v>
      </c>
      <c r="V19" s="509">
        <v>3</v>
      </c>
      <c r="W19" s="546"/>
      <c r="X19" s="400" t="s">
        <v>271</v>
      </c>
      <c r="Y19" s="509">
        <v>353</v>
      </c>
      <c r="Z19" s="509">
        <v>369</v>
      </c>
      <c r="AA19" s="509">
        <v>364</v>
      </c>
      <c r="AB19" s="509">
        <v>358</v>
      </c>
      <c r="AC19" s="509">
        <v>358</v>
      </c>
      <c r="AD19" s="509">
        <v>6</v>
      </c>
      <c r="AE19" s="509">
        <v>4</v>
      </c>
      <c r="AF19" s="509">
        <v>4</v>
      </c>
      <c r="AG19" s="509">
        <v>3</v>
      </c>
      <c r="AH19" s="566" t="s">
        <v>272</v>
      </c>
      <c r="AI19" s="509">
        <v>42.8</v>
      </c>
      <c r="AJ19" s="509">
        <v>46.6</v>
      </c>
      <c r="AK19" s="509">
        <v>44.2</v>
      </c>
      <c r="AL19" s="509">
        <v>45.2</v>
      </c>
      <c r="AM19" s="509">
        <v>45.3</v>
      </c>
      <c r="AN19" s="509">
        <v>1</v>
      </c>
      <c r="AO19" s="509">
        <v>1</v>
      </c>
      <c r="AP19" s="509">
        <v>1</v>
      </c>
      <c r="AQ19" s="509">
        <v>1</v>
      </c>
      <c r="AR19" s="581"/>
      <c r="AS19" s="509" t="s">
        <v>190</v>
      </c>
      <c r="AT19" s="582" t="s">
        <v>260</v>
      </c>
      <c r="AU19" s="398" t="s">
        <v>271</v>
      </c>
      <c r="AV19" s="566" t="s">
        <v>272</v>
      </c>
      <c r="AX19" s="794"/>
      <c r="AY19" s="796"/>
      <c r="AZ19" s="796"/>
      <c r="BA19" s="796"/>
      <c r="BB19" s="10"/>
      <c r="BC19" s="16" t="s">
        <v>217</v>
      </c>
      <c r="BD19" s="604" t="s">
        <v>179</v>
      </c>
      <c r="BE19" s="604" t="s">
        <v>190</v>
      </c>
      <c r="BF19" s="604" t="s">
        <v>237</v>
      </c>
      <c r="BG19" s="641"/>
      <c r="BH19" s="16" t="s">
        <v>273</v>
      </c>
      <c r="BI19" s="604" t="s">
        <v>274</v>
      </c>
      <c r="BJ19" s="16" t="s">
        <v>275</v>
      </c>
      <c r="BK19" s="604" t="s">
        <v>276</v>
      </c>
      <c r="BM19" s="621"/>
      <c r="BN19" s="16" t="s">
        <v>217</v>
      </c>
      <c r="BO19" s="604" t="s">
        <v>179</v>
      </c>
      <c r="BP19" s="604" t="s">
        <v>190</v>
      </c>
      <c r="BQ19" s="604" t="s">
        <v>237</v>
      </c>
      <c r="BR19" s="16" t="s">
        <v>275</v>
      </c>
      <c r="BS19" s="604" t="s">
        <v>276</v>
      </c>
      <c r="BT19" s="10"/>
      <c r="BU19" s="581"/>
      <c r="BV19" s="170" t="s">
        <v>262</v>
      </c>
      <c r="BW19" s="697" t="s">
        <v>204</v>
      </c>
      <c r="BX19" s="692"/>
      <c r="BY19" s="198" t="s">
        <v>158</v>
      </c>
      <c r="BZ19" s="684"/>
      <c r="CA19" s="198" t="s">
        <v>158</v>
      </c>
      <c r="CB19" s="684"/>
      <c r="CC19" s="16" t="s">
        <v>277</v>
      </c>
      <c r="CD19" s="714"/>
      <c r="CE19" s="509" t="s">
        <v>190</v>
      </c>
      <c r="CF19" s="715" t="s">
        <v>278</v>
      </c>
    </row>
    <row r="20" spans="3:84" ht="16.899999999999999" customHeight="1">
      <c r="C20" s="511" t="s">
        <v>200</v>
      </c>
      <c r="D20" s="511">
        <v>130</v>
      </c>
      <c r="E20" s="511">
        <v>139</v>
      </c>
      <c r="F20" s="511">
        <v>134</v>
      </c>
      <c r="G20" s="511">
        <v>135</v>
      </c>
      <c r="H20" s="511">
        <v>134</v>
      </c>
      <c r="I20" s="511">
        <v>3</v>
      </c>
      <c r="J20" s="511">
        <v>2</v>
      </c>
      <c r="K20" s="511">
        <v>2</v>
      </c>
      <c r="L20" s="511">
        <v>2</v>
      </c>
      <c r="M20" s="533" t="s">
        <v>269</v>
      </c>
      <c r="N20" s="508">
        <v>769</v>
      </c>
      <c r="O20" s="508">
        <v>811</v>
      </c>
      <c r="P20" s="508">
        <v>792</v>
      </c>
      <c r="Q20" s="508">
        <v>788</v>
      </c>
      <c r="R20" s="508">
        <v>777</v>
      </c>
      <c r="S20" s="508">
        <v>7</v>
      </c>
      <c r="T20" s="508">
        <v>4</v>
      </c>
      <c r="U20" s="508">
        <v>4</v>
      </c>
      <c r="V20" s="508">
        <v>4</v>
      </c>
      <c r="W20" s="544"/>
      <c r="X20" s="554" t="s">
        <v>279</v>
      </c>
      <c r="Y20" s="508">
        <v>473</v>
      </c>
      <c r="Z20" s="508">
        <v>494</v>
      </c>
      <c r="AA20" s="508">
        <v>487</v>
      </c>
      <c r="AB20" s="508">
        <v>480</v>
      </c>
      <c r="AC20" s="508">
        <v>478</v>
      </c>
      <c r="AD20" s="508">
        <v>7</v>
      </c>
      <c r="AE20" s="508">
        <v>4</v>
      </c>
      <c r="AF20" s="508">
        <v>4</v>
      </c>
      <c r="AG20" s="508">
        <v>3</v>
      </c>
      <c r="AH20" s="565" t="s">
        <v>280</v>
      </c>
      <c r="AI20" s="508">
        <v>53.4</v>
      </c>
      <c r="AJ20" s="508">
        <v>58</v>
      </c>
      <c r="AK20" s="508">
        <v>55.1</v>
      </c>
      <c r="AL20" s="508">
        <v>56.2</v>
      </c>
      <c r="AM20" s="508">
        <v>56.1</v>
      </c>
      <c r="AN20" s="508">
        <v>2</v>
      </c>
      <c r="AO20" s="508">
        <v>2</v>
      </c>
      <c r="AP20" s="508">
        <v>2</v>
      </c>
      <c r="AQ20" s="508">
        <v>1</v>
      </c>
      <c r="AR20" s="580"/>
      <c r="AS20" s="511" t="s">
        <v>200</v>
      </c>
      <c r="AT20" s="583" t="s">
        <v>269</v>
      </c>
      <c r="AU20" s="584" t="s">
        <v>279</v>
      </c>
      <c r="AV20" s="565" t="s">
        <v>280</v>
      </c>
      <c r="AX20" s="609" t="s">
        <v>264</v>
      </c>
      <c r="AY20" s="610" t="s">
        <v>281</v>
      </c>
      <c r="AZ20" s="610" t="s">
        <v>282</v>
      </c>
      <c r="BA20" s="610" t="s">
        <v>283</v>
      </c>
      <c r="BB20" s="608"/>
      <c r="BC20" s="605" t="s">
        <v>61</v>
      </c>
      <c r="BD20" s="603"/>
      <c r="BE20" s="603"/>
      <c r="BF20" s="603"/>
      <c r="BG20" s="640"/>
      <c r="BH20" s="605" t="s">
        <v>284</v>
      </c>
      <c r="BI20" s="603" t="s">
        <v>285</v>
      </c>
      <c r="BJ20" s="605" t="s">
        <v>286</v>
      </c>
      <c r="BK20" s="603" t="s">
        <v>287</v>
      </c>
      <c r="BM20" s="621"/>
      <c r="BN20" s="605" t="s">
        <v>61</v>
      </c>
      <c r="BO20" s="603" t="s">
        <v>192</v>
      </c>
      <c r="BP20" s="603" t="s">
        <v>200</v>
      </c>
      <c r="BQ20" s="603" t="s">
        <v>246</v>
      </c>
      <c r="BR20" s="605" t="s">
        <v>286</v>
      </c>
      <c r="BS20" s="603" t="s">
        <v>287</v>
      </c>
      <c r="BT20" s="608"/>
      <c r="BU20" s="580"/>
      <c r="BV20" s="645" t="s">
        <v>271</v>
      </c>
      <c r="BW20" s="698" t="s">
        <v>217</v>
      </c>
      <c r="BX20" s="693"/>
      <c r="BY20" s="605" t="s">
        <v>174</v>
      </c>
      <c r="BZ20" s="682"/>
      <c r="CA20" s="605" t="s">
        <v>174</v>
      </c>
      <c r="CB20" s="682"/>
      <c r="CC20" s="689" t="s">
        <v>288</v>
      </c>
      <c r="CD20" s="716"/>
      <c r="CE20" s="511" t="s">
        <v>200</v>
      </c>
      <c r="CF20" s="717" t="s">
        <v>289</v>
      </c>
    </row>
    <row r="21" spans="3:84" ht="16.899999999999999" customHeight="1">
      <c r="C21" s="512" t="s">
        <v>213</v>
      </c>
      <c r="D21" s="512">
        <v>179</v>
      </c>
      <c r="E21" s="512">
        <v>191</v>
      </c>
      <c r="F21" s="512">
        <v>185</v>
      </c>
      <c r="G21" s="512">
        <v>185</v>
      </c>
      <c r="H21" s="512">
        <v>183</v>
      </c>
      <c r="I21" s="512">
        <v>4</v>
      </c>
      <c r="J21" s="512">
        <v>2</v>
      </c>
      <c r="K21" s="512">
        <v>1</v>
      </c>
      <c r="L21" s="512">
        <v>3</v>
      </c>
      <c r="M21" s="532" t="s">
        <v>277</v>
      </c>
      <c r="N21" s="509">
        <v>1037</v>
      </c>
      <c r="O21" s="509">
        <v>1090</v>
      </c>
      <c r="P21" s="509">
        <v>1068</v>
      </c>
      <c r="Q21" s="509">
        <v>1058</v>
      </c>
      <c r="R21" s="509">
        <v>1046</v>
      </c>
      <c r="S21" s="509">
        <v>7</v>
      </c>
      <c r="T21" s="509">
        <v>4</v>
      </c>
      <c r="U21" s="509">
        <v>4</v>
      </c>
      <c r="V21" s="509">
        <v>5</v>
      </c>
      <c r="W21" s="546"/>
      <c r="X21" s="400" t="s">
        <v>290</v>
      </c>
      <c r="Y21" s="509">
        <v>621</v>
      </c>
      <c r="Z21" s="509">
        <v>654</v>
      </c>
      <c r="AA21" s="509">
        <v>646</v>
      </c>
      <c r="AB21" s="509">
        <v>635</v>
      </c>
      <c r="AC21" s="509">
        <v>627</v>
      </c>
      <c r="AD21" s="509">
        <v>8</v>
      </c>
      <c r="AE21" s="509">
        <v>5</v>
      </c>
      <c r="AF21" s="509">
        <v>5</v>
      </c>
      <c r="AG21" s="569">
        <v>4</v>
      </c>
      <c r="AH21" s="568" t="s">
        <v>291</v>
      </c>
      <c r="AI21" s="509">
        <v>65.7</v>
      </c>
      <c r="AJ21" s="509">
        <v>70.900000000000006</v>
      </c>
      <c r="AK21" s="509">
        <v>67.7</v>
      </c>
      <c r="AL21" s="509">
        <v>68.8</v>
      </c>
      <c r="AM21" s="509">
        <v>68.599999999999994</v>
      </c>
      <c r="AN21" s="509">
        <v>2</v>
      </c>
      <c r="AO21" s="509">
        <v>2</v>
      </c>
      <c r="AP21" s="509">
        <v>2</v>
      </c>
      <c r="AQ21" s="509">
        <v>1</v>
      </c>
      <c r="AR21" s="581"/>
      <c r="AS21" s="585" t="s">
        <v>213</v>
      </c>
      <c r="AT21" s="586" t="s">
        <v>277</v>
      </c>
      <c r="AU21" s="398" t="s">
        <v>290</v>
      </c>
      <c r="AV21" s="568" t="s">
        <v>291</v>
      </c>
      <c r="AX21" s="611" t="s">
        <v>129</v>
      </c>
      <c r="AY21" s="612" t="s">
        <v>292</v>
      </c>
      <c r="AZ21" s="612" t="s">
        <v>293</v>
      </c>
      <c r="BA21" s="612" t="s">
        <v>294</v>
      </c>
      <c r="BB21" s="10"/>
      <c r="BC21" s="16" t="s">
        <v>64</v>
      </c>
      <c r="BD21" s="604"/>
      <c r="BE21" s="604"/>
      <c r="BF21" s="604"/>
      <c r="BG21" s="641"/>
      <c r="BH21" s="16" t="s">
        <v>295</v>
      </c>
      <c r="BI21" s="604" t="s">
        <v>296</v>
      </c>
      <c r="BJ21" s="16" t="s">
        <v>297</v>
      </c>
      <c r="BK21" s="604" t="s">
        <v>298</v>
      </c>
      <c r="BM21" s="621"/>
      <c r="BN21" s="16" t="s">
        <v>64</v>
      </c>
      <c r="BO21" s="604" t="s">
        <v>202</v>
      </c>
      <c r="BP21" s="604" t="s">
        <v>213</v>
      </c>
      <c r="BQ21" s="604" t="s">
        <v>255</v>
      </c>
      <c r="BR21" s="16" t="s">
        <v>297</v>
      </c>
      <c r="BS21" s="604" t="s">
        <v>298</v>
      </c>
      <c r="BT21" s="10"/>
      <c r="BU21" s="581"/>
      <c r="BV21" s="699" t="s">
        <v>279</v>
      </c>
      <c r="BW21" s="697" t="s">
        <v>61</v>
      </c>
      <c r="BX21" s="692"/>
      <c r="BY21" s="16" t="s">
        <v>132</v>
      </c>
      <c r="BZ21" s="684"/>
      <c r="CA21" s="16" t="s">
        <v>132</v>
      </c>
      <c r="CB21" s="684"/>
      <c r="CC21" s="811"/>
      <c r="CD21" s="714"/>
      <c r="CE21" s="585"/>
      <c r="CF21" s="715"/>
    </row>
    <row r="22" spans="3:84" ht="16.899999999999999" customHeight="1">
      <c r="C22" s="516" t="s">
        <v>299</v>
      </c>
      <c r="D22" s="516">
        <v>24</v>
      </c>
      <c r="E22" s="516">
        <v>26.6</v>
      </c>
      <c r="F22" s="516">
        <v>24.8</v>
      </c>
      <c r="G22" s="516">
        <v>25.7</v>
      </c>
      <c r="H22" s="516">
        <v>25.8</v>
      </c>
      <c r="I22" s="516">
        <v>1</v>
      </c>
      <c r="J22" s="516">
        <v>1</v>
      </c>
      <c r="K22" s="516">
        <v>1</v>
      </c>
      <c r="L22" s="516">
        <v>1</v>
      </c>
      <c r="M22" s="534" t="s">
        <v>196</v>
      </c>
      <c r="N22" s="516">
        <v>26.4</v>
      </c>
      <c r="O22" s="516">
        <v>29.2</v>
      </c>
      <c r="P22" s="516">
        <v>27.4</v>
      </c>
      <c r="Q22" s="516">
        <v>28.3</v>
      </c>
      <c r="R22" s="516">
        <v>28.3</v>
      </c>
      <c r="S22" s="516">
        <v>1</v>
      </c>
      <c r="T22" s="516">
        <v>1</v>
      </c>
      <c r="U22" s="516">
        <v>1</v>
      </c>
      <c r="V22" s="516">
        <v>1</v>
      </c>
      <c r="W22" s="544"/>
      <c r="X22" s="545" t="s">
        <v>134</v>
      </c>
      <c r="Y22" s="508">
        <v>2</v>
      </c>
      <c r="Z22" s="508">
        <v>2.5</v>
      </c>
      <c r="AA22" s="508">
        <v>2.1</v>
      </c>
      <c r="AB22" s="508">
        <v>2.2999999999999998</v>
      </c>
      <c r="AC22" s="508">
        <v>2.8</v>
      </c>
      <c r="AD22" s="508">
        <v>0.4</v>
      </c>
      <c r="AE22" s="508">
        <v>0.4</v>
      </c>
      <c r="AF22" s="508">
        <v>0.4</v>
      </c>
      <c r="AG22" s="570">
        <v>0.5</v>
      </c>
      <c r="AH22" s="567" t="s">
        <v>144</v>
      </c>
      <c r="AI22" s="508">
        <v>2.7</v>
      </c>
      <c r="AJ22" s="508">
        <v>3.2</v>
      </c>
      <c r="AK22" s="508">
        <v>2.8</v>
      </c>
      <c r="AL22" s="508">
        <v>3</v>
      </c>
      <c r="AM22" s="508">
        <v>3.5</v>
      </c>
      <c r="AN22" s="508">
        <v>0.5</v>
      </c>
      <c r="AO22" s="508">
        <v>0.5</v>
      </c>
      <c r="AP22" s="508">
        <v>0.5</v>
      </c>
      <c r="AQ22" s="508">
        <v>0.5</v>
      </c>
      <c r="AR22" s="580"/>
      <c r="AS22" s="510" t="s">
        <v>299</v>
      </c>
      <c r="AT22" s="528" t="s">
        <v>196</v>
      </c>
      <c r="AU22" s="545" t="s">
        <v>134</v>
      </c>
      <c r="AV22" s="567" t="s">
        <v>144</v>
      </c>
      <c r="AX22" s="613" t="s">
        <v>139</v>
      </c>
      <c r="AY22" s="610" t="s">
        <v>300</v>
      </c>
      <c r="AZ22" s="610" t="s">
        <v>301</v>
      </c>
      <c r="BA22" s="610" t="s">
        <v>302</v>
      </c>
      <c r="BB22" s="608"/>
      <c r="BC22" s="605" t="s">
        <v>244</v>
      </c>
      <c r="BD22" s="603"/>
      <c r="BE22" s="603"/>
      <c r="BF22" s="603"/>
      <c r="BG22" s="640"/>
      <c r="BH22" s="605" t="s">
        <v>303</v>
      </c>
      <c r="BI22" s="603" t="s">
        <v>304</v>
      </c>
      <c r="BJ22" s="605" t="s">
        <v>305</v>
      </c>
      <c r="BK22" s="603" t="s">
        <v>306</v>
      </c>
      <c r="BM22" s="621"/>
      <c r="BN22" s="605" t="s">
        <v>244</v>
      </c>
      <c r="BO22" s="603" t="s">
        <v>215</v>
      </c>
      <c r="BP22" s="603" t="s">
        <v>224</v>
      </c>
      <c r="BQ22" s="603" t="s">
        <v>307</v>
      </c>
      <c r="BR22" s="605" t="s">
        <v>305</v>
      </c>
      <c r="BS22" s="603" t="s">
        <v>306</v>
      </c>
      <c r="BT22" s="608"/>
      <c r="BU22" s="580"/>
      <c r="BV22" s="685" t="s">
        <v>64</v>
      </c>
      <c r="BW22" s="698" t="s">
        <v>64</v>
      </c>
      <c r="BX22" s="700"/>
      <c r="BY22" s="605" t="s">
        <v>142</v>
      </c>
      <c r="BZ22" s="580"/>
      <c r="CA22" s="605" t="s">
        <v>142</v>
      </c>
      <c r="CB22" s="580"/>
      <c r="CC22" s="812"/>
      <c r="CD22" s="716"/>
      <c r="CE22" s="510"/>
      <c r="CF22" s="717"/>
    </row>
    <row r="23" spans="3:84" ht="16.899999999999999" customHeight="1">
      <c r="C23" s="515" t="s">
        <v>308</v>
      </c>
      <c r="D23" s="515">
        <v>37.700000000000003</v>
      </c>
      <c r="E23" s="515">
        <v>41.3</v>
      </c>
      <c r="F23" s="515">
        <v>39</v>
      </c>
      <c r="G23" s="515">
        <v>40</v>
      </c>
      <c r="H23" s="515">
        <v>39.9</v>
      </c>
      <c r="I23" s="515">
        <v>1</v>
      </c>
      <c r="J23" s="515">
        <v>1</v>
      </c>
      <c r="K23" s="515">
        <v>1</v>
      </c>
      <c r="L23" s="515">
        <v>1</v>
      </c>
      <c r="M23" s="535" t="s">
        <v>206</v>
      </c>
      <c r="N23" s="515">
        <v>41.3</v>
      </c>
      <c r="O23" s="515">
        <v>45.1</v>
      </c>
      <c r="P23" s="515">
        <v>42.6</v>
      </c>
      <c r="Q23" s="515">
        <v>43.6</v>
      </c>
      <c r="R23" s="515">
        <v>43.5</v>
      </c>
      <c r="S23" s="515">
        <v>1</v>
      </c>
      <c r="T23" s="515">
        <v>1</v>
      </c>
      <c r="U23" s="515">
        <v>1</v>
      </c>
      <c r="V23" s="515">
        <v>1</v>
      </c>
      <c r="W23" s="546"/>
      <c r="X23" s="547" t="s">
        <v>133</v>
      </c>
      <c r="Y23" s="509">
        <v>2.8</v>
      </c>
      <c r="Z23" s="509">
        <v>3.3</v>
      </c>
      <c r="AA23" s="509">
        <v>3</v>
      </c>
      <c r="AB23" s="509">
        <v>3.1</v>
      </c>
      <c r="AC23" s="509">
        <v>3.7</v>
      </c>
      <c r="AD23" s="509">
        <v>0.5</v>
      </c>
      <c r="AE23" s="509">
        <v>0.5</v>
      </c>
      <c r="AF23" s="509">
        <v>0.5</v>
      </c>
      <c r="AG23" s="569">
        <v>0.5</v>
      </c>
      <c r="AH23" s="568" t="s">
        <v>155</v>
      </c>
      <c r="AI23" s="509">
        <v>4</v>
      </c>
      <c r="AJ23" s="509">
        <v>4.5999999999999996</v>
      </c>
      <c r="AK23" s="509">
        <v>4.0999999999999996</v>
      </c>
      <c r="AL23" s="509">
        <v>4.4000000000000004</v>
      </c>
      <c r="AM23" s="509">
        <v>4.9000000000000004</v>
      </c>
      <c r="AN23" s="509">
        <v>0.5</v>
      </c>
      <c r="AO23" s="509">
        <v>0.5</v>
      </c>
      <c r="AP23" s="509">
        <v>0.5</v>
      </c>
      <c r="AQ23" s="509">
        <v>0.5</v>
      </c>
      <c r="AR23" s="581"/>
      <c r="AS23" s="509" t="s">
        <v>308</v>
      </c>
      <c r="AT23" s="527" t="s">
        <v>206</v>
      </c>
      <c r="AU23" s="547" t="s">
        <v>133</v>
      </c>
      <c r="AV23" s="568" t="s">
        <v>155</v>
      </c>
      <c r="AX23" s="611" t="s">
        <v>150</v>
      </c>
      <c r="AY23" s="612" t="s">
        <v>309</v>
      </c>
      <c r="AZ23" s="612" t="s">
        <v>310</v>
      </c>
      <c r="BA23" s="612" t="s">
        <v>311</v>
      </c>
      <c r="BB23" s="10"/>
      <c r="BC23" s="16" t="s">
        <v>253</v>
      </c>
      <c r="BD23" s="604"/>
      <c r="BE23" s="604"/>
      <c r="BF23" s="604"/>
      <c r="BG23" s="641"/>
      <c r="BH23" s="642" t="s">
        <v>312</v>
      </c>
      <c r="BI23" s="643" t="s">
        <v>313</v>
      </c>
      <c r="BJ23" s="642" t="s">
        <v>314</v>
      </c>
      <c r="BK23" s="643" t="s">
        <v>315</v>
      </c>
      <c r="BM23" s="621"/>
      <c r="BN23" s="16" t="s">
        <v>253</v>
      </c>
      <c r="BO23" s="604" t="s">
        <v>226</v>
      </c>
      <c r="BP23" s="604" t="s">
        <v>234</v>
      </c>
      <c r="BQ23" s="604" t="s">
        <v>316</v>
      </c>
      <c r="BR23" s="642" t="s">
        <v>314</v>
      </c>
      <c r="BS23" s="643" t="s">
        <v>315</v>
      </c>
      <c r="BT23" s="10"/>
      <c r="BU23" s="581"/>
      <c r="BV23" s="170" t="s">
        <v>244</v>
      </c>
      <c r="BW23" s="697" t="s">
        <v>244</v>
      </c>
      <c r="BX23" s="561"/>
      <c r="BY23" s="16" t="s">
        <v>153</v>
      </c>
      <c r="BZ23" s="581"/>
      <c r="CA23" s="16" t="s">
        <v>153</v>
      </c>
      <c r="CB23" s="581"/>
      <c r="CC23" s="720"/>
      <c r="CD23" s="714"/>
      <c r="CE23" s="509"/>
      <c r="CF23" s="715"/>
    </row>
    <row r="24" spans="3:84" ht="16.899999999999999" customHeight="1">
      <c r="C24" s="517" t="s">
        <v>317</v>
      </c>
      <c r="D24" s="517">
        <v>58.8</v>
      </c>
      <c r="E24" s="517">
        <v>63.7</v>
      </c>
      <c r="F24" s="517">
        <v>60.7</v>
      </c>
      <c r="G24" s="517">
        <v>61.7</v>
      </c>
      <c r="H24" s="517">
        <v>61</v>
      </c>
      <c r="I24" s="517">
        <v>1</v>
      </c>
      <c r="J24" s="517">
        <v>1</v>
      </c>
      <c r="K24" s="517">
        <v>1</v>
      </c>
      <c r="L24" s="517">
        <v>1</v>
      </c>
      <c r="M24" s="536" t="s">
        <v>219</v>
      </c>
      <c r="N24" s="517">
        <v>64.400000000000006</v>
      </c>
      <c r="O24" s="517">
        <v>69.599999999999994</v>
      </c>
      <c r="P24" s="517">
        <v>66.5</v>
      </c>
      <c r="Q24" s="517">
        <v>67.5</v>
      </c>
      <c r="R24" s="517">
        <v>67.099999999999994</v>
      </c>
      <c r="S24" s="517">
        <v>1</v>
      </c>
      <c r="T24" s="517">
        <v>1</v>
      </c>
      <c r="U24" s="517">
        <v>1</v>
      </c>
      <c r="V24" s="517">
        <v>1</v>
      </c>
      <c r="W24" s="555"/>
      <c r="X24" s="556" t="s">
        <v>132</v>
      </c>
      <c r="Y24" s="517">
        <v>3.6</v>
      </c>
      <c r="Z24" s="517">
        <v>4.2</v>
      </c>
      <c r="AA24" s="517">
        <v>3.8</v>
      </c>
      <c r="AB24" s="517">
        <v>4</v>
      </c>
      <c r="AC24" s="517">
        <v>4.5999999999999996</v>
      </c>
      <c r="AD24" s="517">
        <v>0.5</v>
      </c>
      <c r="AE24" s="517">
        <v>0.5</v>
      </c>
      <c r="AF24" s="517">
        <v>0.5</v>
      </c>
      <c r="AG24" s="571">
        <v>0.5</v>
      </c>
      <c r="AH24" s="572" t="s">
        <v>171</v>
      </c>
      <c r="AI24" s="517">
        <v>5.9</v>
      </c>
      <c r="AJ24" s="517">
        <v>6.7</v>
      </c>
      <c r="AK24" s="517">
        <v>6.2</v>
      </c>
      <c r="AL24" s="517">
        <v>6.4</v>
      </c>
      <c r="AM24" s="517">
        <v>6.9</v>
      </c>
      <c r="AN24" s="517">
        <v>0.6</v>
      </c>
      <c r="AO24" s="517">
        <v>0.6</v>
      </c>
      <c r="AP24" s="517">
        <v>0.6</v>
      </c>
      <c r="AQ24" s="517">
        <v>0.5</v>
      </c>
      <c r="AR24" s="587"/>
      <c r="AS24" s="517" t="s">
        <v>317</v>
      </c>
      <c r="AT24" s="536" t="s">
        <v>219</v>
      </c>
      <c r="AU24" s="556" t="s">
        <v>132</v>
      </c>
      <c r="AV24" s="572" t="s">
        <v>171</v>
      </c>
      <c r="AX24" s="614" t="s">
        <v>166</v>
      </c>
      <c r="AY24" s="615" t="s">
        <v>318</v>
      </c>
      <c r="AZ24" s="615" t="s">
        <v>319</v>
      </c>
      <c r="BA24" s="615" t="s">
        <v>320</v>
      </c>
      <c r="BB24" s="560"/>
      <c r="BC24" s="616" t="s">
        <v>262</v>
      </c>
      <c r="BD24" s="617"/>
      <c r="BE24" s="617"/>
      <c r="BF24" s="617"/>
      <c r="BG24" s="644"/>
      <c r="BH24" s="645" t="s">
        <v>144</v>
      </c>
      <c r="BI24" s="646" t="s">
        <v>143</v>
      </c>
      <c r="BJ24" s="646" t="s">
        <v>142</v>
      </c>
      <c r="BK24" s="647" t="s">
        <v>141</v>
      </c>
      <c r="BM24" s="621"/>
      <c r="BN24" s="616" t="s">
        <v>262</v>
      </c>
      <c r="BO24" s="617" t="s">
        <v>321</v>
      </c>
      <c r="BP24" s="617" t="s">
        <v>242</v>
      </c>
      <c r="BQ24" s="617" t="s">
        <v>322</v>
      </c>
      <c r="BR24" s="616" t="s">
        <v>144</v>
      </c>
      <c r="BS24" s="617" t="s">
        <v>143</v>
      </c>
      <c r="BT24" s="560"/>
      <c r="BU24" s="587"/>
      <c r="BV24" s="645" t="s">
        <v>253</v>
      </c>
      <c r="BW24" s="701" t="s">
        <v>253</v>
      </c>
      <c r="BX24" s="594"/>
      <c r="BY24" s="616" t="s">
        <v>169</v>
      </c>
      <c r="BZ24" s="587"/>
      <c r="CA24" s="616" t="s">
        <v>169</v>
      </c>
      <c r="CB24" s="587"/>
      <c r="CC24" s="616"/>
      <c r="CD24" s="721"/>
      <c r="CE24" s="517"/>
      <c r="CF24" s="722"/>
    </row>
    <row r="25" spans="3:84" ht="16.899999999999999" customHeight="1">
      <c r="C25" s="509" t="s">
        <v>323</v>
      </c>
      <c r="D25" s="509">
        <v>77</v>
      </c>
      <c r="E25" s="509">
        <v>83.1</v>
      </c>
      <c r="F25" s="509">
        <v>79.5</v>
      </c>
      <c r="G25" s="509">
        <v>80.5</v>
      </c>
      <c r="H25" s="509">
        <v>80</v>
      </c>
      <c r="I25" s="509">
        <v>1</v>
      </c>
      <c r="J25" s="509">
        <v>1</v>
      </c>
      <c r="K25" s="509">
        <v>1</v>
      </c>
      <c r="L25" s="509">
        <v>1</v>
      </c>
      <c r="M25" s="527" t="s">
        <v>229</v>
      </c>
      <c r="N25" s="509">
        <v>88.5</v>
      </c>
      <c r="O25" s="509">
        <v>95.2</v>
      </c>
      <c r="P25" s="509">
        <v>91.3</v>
      </c>
      <c r="Q25" s="509">
        <v>92.3</v>
      </c>
      <c r="R25" s="509">
        <v>91.5</v>
      </c>
      <c r="S25" s="509">
        <v>1</v>
      </c>
      <c r="T25" s="509">
        <v>1</v>
      </c>
      <c r="U25" s="509">
        <v>1</v>
      </c>
      <c r="V25" s="509">
        <v>1</v>
      </c>
      <c r="W25" s="546"/>
      <c r="X25" s="547" t="s">
        <v>131</v>
      </c>
      <c r="Y25" s="509">
        <v>4.5</v>
      </c>
      <c r="Z25" s="509">
        <v>5.2</v>
      </c>
      <c r="AA25" s="509">
        <v>4.7</v>
      </c>
      <c r="AB25" s="509">
        <v>4.9000000000000004</v>
      </c>
      <c r="AC25" s="509">
        <v>5.5</v>
      </c>
      <c r="AD25" s="509">
        <v>0.6</v>
      </c>
      <c r="AE25" s="509">
        <v>0.6</v>
      </c>
      <c r="AF25" s="509">
        <v>0.6</v>
      </c>
      <c r="AG25" s="569">
        <v>0.5</v>
      </c>
      <c r="AH25" s="564" t="s">
        <v>186</v>
      </c>
      <c r="AI25" s="509">
        <v>8.4</v>
      </c>
      <c r="AJ25" s="509">
        <v>9.3000000000000007</v>
      </c>
      <c r="AK25" s="509">
        <v>8.8000000000000007</v>
      </c>
      <c r="AL25" s="509">
        <v>9</v>
      </c>
      <c r="AM25" s="509">
        <v>9.6</v>
      </c>
      <c r="AN25" s="509">
        <v>0.7</v>
      </c>
      <c r="AO25" s="509">
        <v>0.6</v>
      </c>
      <c r="AP25" s="509">
        <v>0.7</v>
      </c>
      <c r="AQ25" s="509">
        <v>1</v>
      </c>
      <c r="AR25" s="581"/>
      <c r="AS25" s="509" t="s">
        <v>323</v>
      </c>
      <c r="AT25" s="527" t="s">
        <v>229</v>
      </c>
      <c r="AU25" s="547" t="s">
        <v>131</v>
      </c>
      <c r="AV25" s="564" t="s">
        <v>186</v>
      </c>
      <c r="AX25" s="611" t="s">
        <v>181</v>
      </c>
      <c r="AY25" s="612" t="s">
        <v>324</v>
      </c>
      <c r="AZ25" s="612" t="s">
        <v>299</v>
      </c>
      <c r="BA25" s="612" t="s">
        <v>325</v>
      </c>
      <c r="BB25" s="10"/>
      <c r="BC25" s="16" t="s">
        <v>271</v>
      </c>
      <c r="BD25" s="604"/>
      <c r="BE25" s="604"/>
      <c r="BF25" s="604"/>
      <c r="BG25" s="648"/>
      <c r="BH25" s="170" t="s">
        <v>155</v>
      </c>
      <c r="BI25" s="649" t="s">
        <v>154</v>
      </c>
      <c r="BJ25" s="649" t="s">
        <v>153</v>
      </c>
      <c r="BK25" s="650" t="s">
        <v>152</v>
      </c>
      <c r="BL25" s="651"/>
      <c r="BM25" s="621"/>
      <c r="BN25" s="16" t="s">
        <v>271</v>
      </c>
      <c r="BO25" s="604" t="s">
        <v>326</v>
      </c>
      <c r="BP25" s="604" t="s">
        <v>251</v>
      </c>
      <c r="BQ25" s="604" t="s">
        <v>327</v>
      </c>
      <c r="BR25" s="16" t="s">
        <v>155</v>
      </c>
      <c r="BS25" s="604" t="s">
        <v>154</v>
      </c>
      <c r="BT25" s="400"/>
      <c r="BU25" s="581"/>
      <c r="BV25" s="170" t="s">
        <v>262</v>
      </c>
      <c r="BW25" s="697" t="s">
        <v>262</v>
      </c>
      <c r="BX25" s="561"/>
      <c r="BY25" s="808" t="s">
        <v>328</v>
      </c>
      <c r="BZ25" s="581"/>
      <c r="CA25" s="808"/>
      <c r="CB25" s="581"/>
      <c r="CC25" s="16"/>
      <c r="CD25" s="632"/>
      <c r="CE25" s="509"/>
      <c r="CF25" s="715"/>
    </row>
    <row r="26" spans="3:84" ht="16.899999999999999" customHeight="1">
      <c r="C26" s="517" t="s">
        <v>329</v>
      </c>
      <c r="D26" s="517">
        <v>107</v>
      </c>
      <c r="E26" s="517">
        <v>115</v>
      </c>
      <c r="F26" s="517">
        <v>110</v>
      </c>
      <c r="G26" s="517">
        <v>111</v>
      </c>
      <c r="H26" s="517">
        <v>110</v>
      </c>
      <c r="I26" s="517">
        <v>1</v>
      </c>
      <c r="J26" s="517">
        <v>1</v>
      </c>
      <c r="K26" s="517">
        <v>1</v>
      </c>
      <c r="L26" s="517">
        <v>1</v>
      </c>
      <c r="M26" s="536" t="s">
        <v>237</v>
      </c>
      <c r="N26" s="517">
        <v>120</v>
      </c>
      <c r="O26" s="517">
        <v>129</v>
      </c>
      <c r="P26" s="517">
        <v>124</v>
      </c>
      <c r="Q26" s="517">
        <v>125</v>
      </c>
      <c r="R26" s="517">
        <v>124</v>
      </c>
      <c r="S26" s="517">
        <v>1</v>
      </c>
      <c r="T26" s="517">
        <v>1</v>
      </c>
      <c r="U26" s="517">
        <v>1</v>
      </c>
      <c r="V26" s="517">
        <v>1</v>
      </c>
      <c r="W26" s="555"/>
      <c r="X26" s="556" t="s">
        <v>211</v>
      </c>
      <c r="Y26" s="517">
        <v>5.3</v>
      </c>
      <c r="Z26" s="517">
        <v>6.1</v>
      </c>
      <c r="AA26" s="517">
        <v>5.5</v>
      </c>
      <c r="AB26" s="517">
        <v>5.9</v>
      </c>
      <c r="AC26" s="517">
        <v>6.4</v>
      </c>
      <c r="AD26" s="517">
        <v>0.6</v>
      </c>
      <c r="AE26" s="517">
        <v>0.6</v>
      </c>
      <c r="AF26" s="517">
        <v>0.6</v>
      </c>
      <c r="AG26" s="571">
        <v>0.5</v>
      </c>
      <c r="AH26" s="573" t="s">
        <v>143</v>
      </c>
      <c r="AI26" s="517">
        <v>3.8</v>
      </c>
      <c r="AJ26" s="517">
        <v>4.3</v>
      </c>
      <c r="AK26" s="517">
        <v>4</v>
      </c>
      <c r="AL26" s="517">
        <v>4.2</v>
      </c>
      <c r="AM26" s="517">
        <v>4.7</v>
      </c>
      <c r="AN26" s="517">
        <v>0.5</v>
      </c>
      <c r="AO26" s="517">
        <v>0.5</v>
      </c>
      <c r="AP26" s="517">
        <v>0.5</v>
      </c>
      <c r="AQ26" s="517">
        <v>0.5</v>
      </c>
      <c r="AR26" s="587"/>
      <c r="AS26" s="517" t="s">
        <v>329</v>
      </c>
      <c r="AT26" s="536" t="s">
        <v>237</v>
      </c>
      <c r="AU26" s="556" t="s">
        <v>211</v>
      </c>
      <c r="AV26" s="573" t="s">
        <v>143</v>
      </c>
      <c r="AX26" s="614" t="s">
        <v>194</v>
      </c>
      <c r="AY26" s="615" t="s">
        <v>330</v>
      </c>
      <c r="AZ26" s="615" t="s">
        <v>331</v>
      </c>
      <c r="BA26" s="615" t="s">
        <v>332</v>
      </c>
      <c r="BB26" s="560"/>
      <c r="BC26" s="616" t="s">
        <v>279</v>
      </c>
      <c r="BD26" s="617"/>
      <c r="BE26" s="617"/>
      <c r="BF26" s="617"/>
      <c r="BG26" s="652"/>
      <c r="BH26" s="645" t="s">
        <v>171</v>
      </c>
      <c r="BI26" s="646" t="s">
        <v>170</v>
      </c>
      <c r="BJ26" s="645" t="s">
        <v>169</v>
      </c>
      <c r="BK26" s="646" t="s">
        <v>168</v>
      </c>
      <c r="BL26" s="65"/>
      <c r="BM26" s="621"/>
      <c r="BN26" s="616" t="s">
        <v>279</v>
      </c>
      <c r="BO26" s="617" t="s">
        <v>333</v>
      </c>
      <c r="BP26" s="617" t="s">
        <v>260</v>
      </c>
      <c r="BQ26" s="617" t="s">
        <v>334</v>
      </c>
      <c r="BR26" s="616" t="s">
        <v>171</v>
      </c>
      <c r="BS26" s="617" t="s">
        <v>170</v>
      </c>
      <c r="BT26" s="590"/>
      <c r="BU26" s="587"/>
      <c r="BV26" s="645" t="s">
        <v>271</v>
      </c>
      <c r="BW26" s="701" t="s">
        <v>271</v>
      </c>
      <c r="BX26" s="594"/>
      <c r="BY26" s="809"/>
      <c r="BZ26" s="587"/>
      <c r="CA26" s="809"/>
      <c r="CB26" s="587"/>
      <c r="CC26" s="616"/>
      <c r="CD26" s="723"/>
      <c r="CE26" s="517"/>
      <c r="CF26" s="724"/>
    </row>
    <row r="27" spans="3:84" ht="16.899999999999999" customHeight="1">
      <c r="C27" s="509" t="s">
        <v>335</v>
      </c>
      <c r="D27" s="509">
        <v>152</v>
      </c>
      <c r="E27" s="509">
        <v>163</v>
      </c>
      <c r="F27" s="509">
        <v>157</v>
      </c>
      <c r="G27" s="509">
        <v>158</v>
      </c>
      <c r="H27" s="509">
        <v>156</v>
      </c>
      <c r="I27" s="509">
        <v>4</v>
      </c>
      <c r="J27" s="509">
        <v>2</v>
      </c>
      <c r="K27" s="509">
        <v>2</v>
      </c>
      <c r="L27" s="509">
        <v>2</v>
      </c>
      <c r="M27" s="527" t="s">
        <v>246</v>
      </c>
      <c r="N27" s="509">
        <v>173</v>
      </c>
      <c r="O27" s="509">
        <v>185</v>
      </c>
      <c r="P27" s="509">
        <v>178</v>
      </c>
      <c r="Q27" s="509">
        <v>179</v>
      </c>
      <c r="R27" s="509">
        <v>177</v>
      </c>
      <c r="S27" s="509">
        <v>4</v>
      </c>
      <c r="T27" s="509">
        <v>2</v>
      </c>
      <c r="U27" s="509">
        <v>2</v>
      </c>
      <c r="V27" s="509">
        <v>2</v>
      </c>
      <c r="W27" s="546"/>
      <c r="X27" s="547" t="s">
        <v>223</v>
      </c>
      <c r="Y27" s="509">
        <v>6.1</v>
      </c>
      <c r="Z27" s="509">
        <v>6.9</v>
      </c>
      <c r="AA27" s="509">
        <v>6.3</v>
      </c>
      <c r="AB27" s="509">
        <v>6.6</v>
      </c>
      <c r="AC27" s="509">
        <v>7.2</v>
      </c>
      <c r="AD27" s="509">
        <v>0.6</v>
      </c>
      <c r="AE27" s="509">
        <v>0.6</v>
      </c>
      <c r="AF27" s="509">
        <v>0.6</v>
      </c>
      <c r="AG27" s="569">
        <v>0.5</v>
      </c>
      <c r="AH27" s="566" t="s">
        <v>154</v>
      </c>
      <c r="AI27" s="509">
        <v>5.7</v>
      </c>
      <c r="AJ27" s="509">
        <v>6.4</v>
      </c>
      <c r="AK27" s="509">
        <v>5.9</v>
      </c>
      <c r="AL27" s="509">
        <v>6.1</v>
      </c>
      <c r="AM27" s="509">
        <v>6.7</v>
      </c>
      <c r="AN27" s="509">
        <v>0.6</v>
      </c>
      <c r="AO27" s="509">
        <v>0.5</v>
      </c>
      <c r="AP27" s="509">
        <v>0.6</v>
      </c>
      <c r="AQ27" s="509">
        <v>0.5</v>
      </c>
      <c r="AR27" s="581"/>
      <c r="AS27" s="509" t="s">
        <v>335</v>
      </c>
      <c r="AT27" s="527" t="s">
        <v>246</v>
      </c>
      <c r="AU27" s="547" t="s">
        <v>223</v>
      </c>
      <c r="AV27" s="566" t="s">
        <v>154</v>
      </c>
      <c r="AX27" s="611" t="s">
        <v>204</v>
      </c>
      <c r="AY27" s="612" t="s">
        <v>336</v>
      </c>
      <c r="AZ27" s="612" t="s">
        <v>337</v>
      </c>
      <c r="BA27" s="612" t="s">
        <v>338</v>
      </c>
      <c r="BB27" s="10"/>
      <c r="BC27" s="16" t="s">
        <v>290</v>
      </c>
      <c r="BD27" s="16"/>
      <c r="BE27" s="16"/>
      <c r="BF27" s="16"/>
      <c r="BG27" s="639"/>
      <c r="BH27" s="170" t="s">
        <v>186</v>
      </c>
      <c r="BI27" s="649" t="s">
        <v>185</v>
      </c>
      <c r="BJ27" s="170" t="s">
        <v>184</v>
      </c>
      <c r="BK27" s="649" t="s">
        <v>183</v>
      </c>
      <c r="BL27" s="638"/>
      <c r="BM27" s="621"/>
      <c r="BN27" s="642" t="s">
        <v>290</v>
      </c>
      <c r="BO27" s="643" t="s">
        <v>339</v>
      </c>
      <c r="BP27" s="643" t="s">
        <v>269</v>
      </c>
      <c r="BQ27" s="643" t="s">
        <v>340</v>
      </c>
      <c r="BR27" s="16" t="s">
        <v>155</v>
      </c>
      <c r="BS27" s="604" t="s">
        <v>154</v>
      </c>
      <c r="BT27" s="665"/>
      <c r="BU27" s="581"/>
      <c r="BV27" s="699" t="s">
        <v>279</v>
      </c>
      <c r="BW27" s="702" t="s">
        <v>279</v>
      </c>
      <c r="BX27" s="561"/>
      <c r="BY27" s="16" t="s">
        <v>146</v>
      </c>
      <c r="BZ27" s="581"/>
      <c r="CA27" s="16"/>
      <c r="CB27" s="581"/>
      <c r="CC27" s="16"/>
      <c r="CD27" s="714"/>
      <c r="CE27" s="509"/>
      <c r="CF27" s="725"/>
    </row>
    <row r="28" spans="3:84" ht="16.899999999999999" customHeight="1">
      <c r="C28" s="517" t="s">
        <v>341</v>
      </c>
      <c r="D28" s="517">
        <v>209</v>
      </c>
      <c r="E28" s="517">
        <v>223</v>
      </c>
      <c r="F28" s="517">
        <v>216</v>
      </c>
      <c r="G28" s="517">
        <v>216</v>
      </c>
      <c r="H28" s="517">
        <v>214</v>
      </c>
      <c r="I28" s="517">
        <v>4</v>
      </c>
      <c r="J28" s="517">
        <v>2</v>
      </c>
      <c r="K28" s="517">
        <v>2</v>
      </c>
      <c r="L28" s="517">
        <v>2</v>
      </c>
      <c r="M28" s="536" t="s">
        <v>255</v>
      </c>
      <c r="N28" s="517">
        <v>238</v>
      </c>
      <c r="O28" s="517">
        <v>253</v>
      </c>
      <c r="P28" s="517">
        <v>245</v>
      </c>
      <c r="Q28" s="517">
        <v>245</v>
      </c>
      <c r="R28" s="517">
        <v>242</v>
      </c>
      <c r="S28" s="517">
        <v>4</v>
      </c>
      <c r="T28" s="517">
        <v>2</v>
      </c>
      <c r="U28" s="517">
        <v>2</v>
      </c>
      <c r="V28" s="517">
        <v>2</v>
      </c>
      <c r="W28" s="555"/>
      <c r="X28" s="556" t="s">
        <v>233</v>
      </c>
      <c r="Y28" s="517">
        <v>6.8</v>
      </c>
      <c r="Z28" s="517">
        <v>7.6</v>
      </c>
      <c r="AA28" s="517">
        <v>7.1</v>
      </c>
      <c r="AB28" s="517">
        <v>7.3</v>
      </c>
      <c r="AC28" s="517">
        <v>8</v>
      </c>
      <c r="AD28" s="517">
        <v>0.6</v>
      </c>
      <c r="AE28" s="517">
        <v>0.6</v>
      </c>
      <c r="AF28" s="517">
        <v>0.6</v>
      </c>
      <c r="AG28" s="571">
        <v>0.5</v>
      </c>
      <c r="AH28" s="572" t="s">
        <v>170</v>
      </c>
      <c r="AI28" s="517">
        <v>8.6</v>
      </c>
      <c r="AJ28" s="517">
        <v>9.5</v>
      </c>
      <c r="AK28" s="517">
        <v>9</v>
      </c>
      <c r="AL28" s="517">
        <v>9.1</v>
      </c>
      <c r="AM28" s="517">
        <v>9.6999999999999993</v>
      </c>
      <c r="AN28" s="517">
        <v>0.6</v>
      </c>
      <c r="AO28" s="517">
        <v>0.6</v>
      </c>
      <c r="AP28" s="517">
        <v>0.6</v>
      </c>
      <c r="AQ28" s="517">
        <v>0.5</v>
      </c>
      <c r="AR28" s="587"/>
      <c r="AS28" s="517" t="s">
        <v>341</v>
      </c>
      <c r="AT28" s="536" t="s">
        <v>255</v>
      </c>
      <c r="AU28" s="556" t="s">
        <v>233</v>
      </c>
      <c r="AV28" s="572" t="s">
        <v>170</v>
      </c>
      <c r="AX28" s="614" t="s">
        <v>217</v>
      </c>
      <c r="AY28" s="615" t="s">
        <v>342</v>
      </c>
      <c r="AZ28" s="615" t="s">
        <v>343</v>
      </c>
      <c r="BA28" s="615" t="s">
        <v>344</v>
      </c>
      <c r="BB28" s="560"/>
      <c r="BC28" s="777"/>
      <c r="BD28" s="777"/>
      <c r="BE28" s="777"/>
      <c r="BF28" s="777"/>
      <c r="BG28" s="653"/>
      <c r="BH28" s="645" t="s">
        <v>127</v>
      </c>
      <c r="BI28" s="646" t="s">
        <v>197</v>
      </c>
      <c r="BJ28" s="645" t="s">
        <v>196</v>
      </c>
      <c r="BK28" s="646" t="s">
        <v>128</v>
      </c>
      <c r="BL28" s="638"/>
      <c r="BM28" s="621"/>
      <c r="BN28" s="797"/>
      <c r="BO28" s="797"/>
      <c r="BP28" s="797"/>
      <c r="BQ28" s="797"/>
      <c r="BR28" s="616"/>
      <c r="BS28" s="617"/>
      <c r="BT28" s="666"/>
      <c r="BU28" s="587"/>
      <c r="BV28" s="802"/>
      <c r="BW28" s="805"/>
      <c r="BX28" s="703"/>
      <c r="BY28" s="616" t="s">
        <v>160</v>
      </c>
      <c r="BZ28" s="587"/>
      <c r="CA28" s="616"/>
      <c r="CB28" s="587"/>
      <c r="CC28" s="616"/>
      <c r="CD28" s="721"/>
      <c r="CE28" s="517"/>
      <c r="CF28" s="722"/>
    </row>
    <row r="29" spans="3:84" ht="16.899999999999999" customHeight="1">
      <c r="C29" s="509" t="s">
        <v>345</v>
      </c>
      <c r="D29" s="509">
        <v>271</v>
      </c>
      <c r="E29" s="509">
        <v>288</v>
      </c>
      <c r="F29" s="509">
        <v>279</v>
      </c>
      <c r="G29" s="509">
        <v>280</v>
      </c>
      <c r="H29" s="509">
        <v>276</v>
      </c>
      <c r="I29" s="509">
        <v>5</v>
      </c>
      <c r="J29" s="509">
        <v>3</v>
      </c>
      <c r="K29" s="509">
        <v>3</v>
      </c>
      <c r="L29" s="509">
        <v>2</v>
      </c>
      <c r="M29" s="527" t="s">
        <v>307</v>
      </c>
      <c r="N29" s="509">
        <v>303</v>
      </c>
      <c r="O29" s="509">
        <v>321</v>
      </c>
      <c r="P29" s="509">
        <v>312</v>
      </c>
      <c r="Q29" s="509">
        <v>312</v>
      </c>
      <c r="R29" s="509">
        <v>308</v>
      </c>
      <c r="S29" s="509">
        <v>5</v>
      </c>
      <c r="T29" s="509">
        <v>3</v>
      </c>
      <c r="U29" s="509">
        <v>3</v>
      </c>
      <c r="V29" s="509">
        <v>2</v>
      </c>
      <c r="W29" s="546"/>
      <c r="X29" s="547" t="s">
        <v>241</v>
      </c>
      <c r="Y29" s="509">
        <v>8.6</v>
      </c>
      <c r="Z29" s="509">
        <v>9.8000000000000007</v>
      </c>
      <c r="AA29" s="509">
        <v>8.9</v>
      </c>
      <c r="AB29" s="509">
        <v>9.4</v>
      </c>
      <c r="AC29" s="509">
        <v>10</v>
      </c>
      <c r="AD29" s="509">
        <v>0.8</v>
      </c>
      <c r="AE29" s="509">
        <v>0.8</v>
      </c>
      <c r="AF29" s="509">
        <v>0.8</v>
      </c>
      <c r="AG29" s="569">
        <v>0.5</v>
      </c>
      <c r="AH29" s="566" t="s">
        <v>185</v>
      </c>
      <c r="AI29" s="509">
        <v>12.4</v>
      </c>
      <c r="AJ29" s="509">
        <v>13.4</v>
      </c>
      <c r="AK29" s="509">
        <v>12.8</v>
      </c>
      <c r="AL29" s="509">
        <v>13</v>
      </c>
      <c r="AM29" s="509">
        <v>13.6</v>
      </c>
      <c r="AN29" s="509">
        <v>0.7</v>
      </c>
      <c r="AO29" s="509">
        <v>0.7</v>
      </c>
      <c r="AP29" s="509">
        <v>0.7</v>
      </c>
      <c r="AQ29" s="509">
        <v>1</v>
      </c>
      <c r="AR29" s="581"/>
      <c r="AS29" s="509" t="s">
        <v>345</v>
      </c>
      <c r="AT29" s="527" t="s">
        <v>307</v>
      </c>
      <c r="AU29" s="588" t="s">
        <v>241</v>
      </c>
      <c r="AV29" s="566" t="s">
        <v>185</v>
      </c>
      <c r="AX29" s="611" t="s">
        <v>181</v>
      </c>
      <c r="AY29" s="612" t="s">
        <v>346</v>
      </c>
      <c r="AZ29" s="612" t="s">
        <v>347</v>
      </c>
      <c r="BA29" s="612" t="s">
        <v>348</v>
      </c>
      <c r="BB29" s="10"/>
      <c r="BC29" s="777"/>
      <c r="BD29" s="777"/>
      <c r="BE29" s="777"/>
      <c r="BF29" s="777"/>
      <c r="BG29" s="641"/>
      <c r="BH29" s="170" t="s">
        <v>137</v>
      </c>
      <c r="BI29" s="649" t="s">
        <v>207</v>
      </c>
      <c r="BJ29" s="170" t="s">
        <v>206</v>
      </c>
      <c r="BK29" s="649" t="s">
        <v>138</v>
      </c>
      <c r="BL29" s="638"/>
      <c r="BM29" s="621"/>
      <c r="BN29" s="798"/>
      <c r="BO29" s="798"/>
      <c r="BP29" s="798"/>
      <c r="BQ29" s="798"/>
      <c r="BR29" s="16"/>
      <c r="BS29" s="604"/>
      <c r="BT29" s="665"/>
      <c r="BU29" s="581"/>
      <c r="BV29" s="798"/>
      <c r="BW29" s="806"/>
      <c r="BX29" s="704"/>
      <c r="BY29" s="16" t="s">
        <v>134</v>
      </c>
      <c r="BZ29" s="581"/>
      <c r="CA29" s="16"/>
      <c r="CB29" s="581"/>
      <c r="CC29" s="16"/>
      <c r="CD29" s="714"/>
      <c r="CE29" s="509"/>
      <c r="CF29" s="715"/>
    </row>
    <row r="30" spans="3:84" ht="16.899999999999999" customHeight="1">
      <c r="C30" s="517" t="s">
        <v>349</v>
      </c>
      <c r="D30" s="517">
        <v>321</v>
      </c>
      <c r="E30" s="517">
        <v>341</v>
      </c>
      <c r="F30" s="517">
        <v>331</v>
      </c>
      <c r="G30" s="517">
        <v>331</v>
      </c>
      <c r="H30" s="517">
        <v>327</v>
      </c>
      <c r="I30" s="517">
        <v>5</v>
      </c>
      <c r="J30" s="517">
        <v>3</v>
      </c>
      <c r="K30" s="517">
        <v>3</v>
      </c>
      <c r="L30" s="517">
        <v>2</v>
      </c>
      <c r="M30" s="536" t="s">
        <v>316</v>
      </c>
      <c r="N30" s="517">
        <v>370</v>
      </c>
      <c r="O30" s="517">
        <v>392</v>
      </c>
      <c r="P30" s="517">
        <v>381</v>
      </c>
      <c r="Q30" s="517">
        <v>380</v>
      </c>
      <c r="R30" s="517">
        <v>375</v>
      </c>
      <c r="S30" s="517">
        <v>5</v>
      </c>
      <c r="T30" s="517">
        <v>3</v>
      </c>
      <c r="U30" s="517">
        <v>3</v>
      </c>
      <c r="V30" s="517">
        <v>2</v>
      </c>
      <c r="W30" s="555"/>
      <c r="X30" s="556" t="s">
        <v>250</v>
      </c>
      <c r="Y30" s="517">
        <v>10.1</v>
      </c>
      <c r="Z30" s="517">
        <v>11.3</v>
      </c>
      <c r="AA30" s="517">
        <v>10.5</v>
      </c>
      <c r="AB30" s="517">
        <v>10.9</v>
      </c>
      <c r="AC30" s="517">
        <v>11.5</v>
      </c>
      <c r="AD30" s="517">
        <v>0.8</v>
      </c>
      <c r="AE30" s="517">
        <v>0.8</v>
      </c>
      <c r="AF30" s="517">
        <v>0.8</v>
      </c>
      <c r="AG30" s="571">
        <v>0.5</v>
      </c>
      <c r="AH30" s="572" t="s">
        <v>142</v>
      </c>
      <c r="AI30" s="517">
        <v>4.9000000000000004</v>
      </c>
      <c r="AJ30" s="517">
        <v>5.6</v>
      </c>
      <c r="AK30" s="517">
        <v>5.2</v>
      </c>
      <c r="AL30" s="517">
        <v>5.4</v>
      </c>
      <c r="AM30" s="517">
        <v>5.9</v>
      </c>
      <c r="AN30" s="517">
        <v>0.6</v>
      </c>
      <c r="AO30" s="517">
        <v>0.5</v>
      </c>
      <c r="AP30" s="517">
        <v>0.6</v>
      </c>
      <c r="AQ30" s="517">
        <v>0.5</v>
      </c>
      <c r="AR30" s="587"/>
      <c r="AS30" s="517" t="s">
        <v>349</v>
      </c>
      <c r="AT30" s="536" t="s">
        <v>316</v>
      </c>
      <c r="AU30" s="556" t="s">
        <v>250</v>
      </c>
      <c r="AV30" s="572" t="s">
        <v>142</v>
      </c>
      <c r="AX30" s="618" t="s">
        <v>64</v>
      </c>
      <c r="AY30" s="615" t="s">
        <v>350</v>
      </c>
      <c r="AZ30" s="615" t="s">
        <v>351</v>
      </c>
      <c r="BA30" s="615" t="s">
        <v>352</v>
      </c>
      <c r="BB30" s="560"/>
      <c r="BC30" s="11"/>
      <c r="BD30" s="18"/>
      <c r="BE30" s="2"/>
      <c r="BF30" s="18"/>
      <c r="BG30" s="653"/>
      <c r="BH30" s="645" t="s">
        <v>148</v>
      </c>
      <c r="BI30" s="646" t="s">
        <v>162</v>
      </c>
      <c r="BJ30" s="645" t="s">
        <v>219</v>
      </c>
      <c r="BK30" s="646" t="s">
        <v>149</v>
      </c>
      <c r="BL30" s="638"/>
      <c r="BM30" s="621"/>
      <c r="BN30" s="667"/>
      <c r="BO30" s="668"/>
      <c r="BP30" s="669"/>
      <c r="BQ30" s="669"/>
      <c r="BR30" s="616"/>
      <c r="BS30" s="617"/>
      <c r="BT30" s="666"/>
      <c r="BU30" s="587"/>
      <c r="BV30" s="590"/>
      <c r="BW30" s="617"/>
      <c r="BX30" s="705"/>
      <c r="BY30" s="616" t="s">
        <v>144</v>
      </c>
      <c r="BZ30" s="587"/>
      <c r="CA30" s="616"/>
      <c r="CB30" s="587"/>
      <c r="CC30" s="616"/>
      <c r="CD30" s="721"/>
      <c r="CE30" s="517"/>
      <c r="CF30" s="722"/>
    </row>
    <row r="31" spans="3:84" ht="16.899999999999999" customHeight="1">
      <c r="C31" s="509" t="s">
        <v>353</v>
      </c>
      <c r="D31" s="509">
        <v>410</v>
      </c>
      <c r="E31" s="509">
        <v>435</v>
      </c>
      <c r="F31" s="509">
        <v>423</v>
      </c>
      <c r="G31" s="509">
        <v>422</v>
      </c>
      <c r="H31" s="509">
        <v>417</v>
      </c>
      <c r="I31" s="509">
        <v>5</v>
      </c>
      <c r="J31" s="509">
        <v>3</v>
      </c>
      <c r="K31" s="509">
        <v>3</v>
      </c>
      <c r="L31" s="509">
        <v>2</v>
      </c>
      <c r="M31" s="527" t="s">
        <v>322</v>
      </c>
      <c r="N31" s="509">
        <v>467</v>
      </c>
      <c r="O31" s="509">
        <v>494</v>
      </c>
      <c r="P31" s="509">
        <v>481</v>
      </c>
      <c r="Q31" s="509">
        <v>479</v>
      </c>
      <c r="R31" s="509">
        <v>473</v>
      </c>
      <c r="S31" s="509">
        <v>5</v>
      </c>
      <c r="T31" s="509">
        <v>3</v>
      </c>
      <c r="U31" s="509">
        <v>3</v>
      </c>
      <c r="V31" s="509">
        <v>2</v>
      </c>
      <c r="W31" s="546"/>
      <c r="X31" s="557" t="s">
        <v>259</v>
      </c>
      <c r="Y31" s="509">
        <v>11.8</v>
      </c>
      <c r="Z31" s="509">
        <v>13.3</v>
      </c>
      <c r="AA31" s="509">
        <v>12.2</v>
      </c>
      <c r="AB31" s="509">
        <v>12.8</v>
      </c>
      <c r="AC31" s="509">
        <v>13.4</v>
      </c>
      <c r="AD31" s="509">
        <v>0.9</v>
      </c>
      <c r="AE31" s="509">
        <v>0.9</v>
      </c>
      <c r="AF31" s="509">
        <v>0.9</v>
      </c>
      <c r="AG31" s="569">
        <v>0.5</v>
      </c>
      <c r="AH31" s="566" t="s">
        <v>153</v>
      </c>
      <c r="AI31" s="509">
        <v>7.5</v>
      </c>
      <c r="AJ31" s="509">
        <v>8.3000000000000007</v>
      </c>
      <c r="AK31" s="509">
        <v>7.8</v>
      </c>
      <c r="AL31" s="509">
        <v>8</v>
      </c>
      <c r="AM31" s="509">
        <v>8.5</v>
      </c>
      <c r="AN31" s="509">
        <v>0.6</v>
      </c>
      <c r="AO31" s="509">
        <v>0.6</v>
      </c>
      <c r="AP31" s="509">
        <v>0.6</v>
      </c>
      <c r="AQ31" s="509">
        <v>0.5</v>
      </c>
      <c r="AR31" s="581"/>
      <c r="AS31" s="509" t="s">
        <v>353</v>
      </c>
      <c r="AT31" s="527" t="s">
        <v>322</v>
      </c>
      <c r="AU31" s="557" t="s">
        <v>259</v>
      </c>
      <c r="AV31" s="566" t="s">
        <v>153</v>
      </c>
      <c r="AX31" s="619" t="s">
        <v>244</v>
      </c>
      <c r="AY31" s="612" t="s">
        <v>354</v>
      </c>
      <c r="AZ31" s="612" t="s">
        <v>355</v>
      </c>
      <c r="BA31" s="612" t="s">
        <v>356</v>
      </c>
      <c r="BB31" s="10"/>
      <c r="BC31" s="620"/>
      <c r="BD31" s="621"/>
      <c r="BE31" s="621"/>
      <c r="BF31" s="621"/>
      <c r="BG31" s="641"/>
      <c r="BH31" s="170" t="s">
        <v>164</v>
      </c>
      <c r="BI31" s="649" t="s">
        <v>177</v>
      </c>
      <c r="BJ31" s="170" t="s">
        <v>229</v>
      </c>
      <c r="BK31" s="649" t="s">
        <v>165</v>
      </c>
      <c r="BL31" s="638"/>
      <c r="BM31" s="621"/>
      <c r="BN31" s="16"/>
      <c r="BO31" s="527"/>
      <c r="BP31" s="670"/>
      <c r="BQ31" s="670"/>
      <c r="BR31" s="16"/>
      <c r="BS31" s="604"/>
      <c r="BT31" s="665"/>
      <c r="BU31" s="581"/>
      <c r="BV31" s="400"/>
      <c r="BW31" s="604"/>
      <c r="BX31" s="632"/>
      <c r="BY31" s="16" t="s">
        <v>155</v>
      </c>
      <c r="BZ31" s="581"/>
      <c r="CA31" s="16"/>
      <c r="CB31" s="581"/>
      <c r="CC31" s="16"/>
      <c r="CD31" s="714"/>
      <c r="CE31" s="509"/>
      <c r="CF31" s="715"/>
    </row>
    <row r="32" spans="3:84" ht="16.899999999999999" customHeight="1">
      <c r="C32" s="518" t="s">
        <v>357</v>
      </c>
      <c r="D32" s="517">
        <v>538</v>
      </c>
      <c r="E32" s="517">
        <v>570</v>
      </c>
      <c r="F32" s="517">
        <v>555</v>
      </c>
      <c r="G32" s="517">
        <v>553</v>
      </c>
      <c r="H32" s="517">
        <v>545</v>
      </c>
      <c r="I32" s="517">
        <v>6</v>
      </c>
      <c r="J32" s="517">
        <v>3</v>
      </c>
      <c r="K32" s="517">
        <v>4</v>
      </c>
      <c r="L32" s="517">
        <v>3</v>
      </c>
      <c r="M32" s="537" t="s">
        <v>327</v>
      </c>
      <c r="N32" s="517">
        <v>615</v>
      </c>
      <c r="O32" s="517">
        <v>650</v>
      </c>
      <c r="P32" s="517">
        <v>634</v>
      </c>
      <c r="Q32" s="517">
        <v>631</v>
      </c>
      <c r="R32" s="517">
        <v>622</v>
      </c>
      <c r="S32" s="517">
        <v>6</v>
      </c>
      <c r="T32" s="517">
        <v>3</v>
      </c>
      <c r="U32" s="517">
        <v>4</v>
      </c>
      <c r="V32" s="517">
        <v>3</v>
      </c>
      <c r="W32" s="555"/>
      <c r="X32" s="556" t="s">
        <v>268</v>
      </c>
      <c r="Y32" s="517">
        <v>13.3</v>
      </c>
      <c r="Z32" s="517">
        <v>14.8</v>
      </c>
      <c r="AA32" s="517">
        <v>13.8</v>
      </c>
      <c r="AB32" s="517">
        <v>14.3</v>
      </c>
      <c r="AC32" s="517">
        <v>15</v>
      </c>
      <c r="AD32" s="517">
        <v>0.9</v>
      </c>
      <c r="AE32" s="517">
        <v>0.9</v>
      </c>
      <c r="AF32" s="517">
        <v>0.9</v>
      </c>
      <c r="AG32" s="571">
        <v>0.5</v>
      </c>
      <c r="AH32" s="572" t="s">
        <v>169</v>
      </c>
      <c r="AI32" s="517">
        <v>11.4</v>
      </c>
      <c r="AJ32" s="517">
        <v>12.4</v>
      </c>
      <c r="AK32" s="517">
        <v>11.8</v>
      </c>
      <c r="AL32" s="517">
        <v>12</v>
      </c>
      <c r="AM32" s="517">
        <v>12.6</v>
      </c>
      <c r="AN32" s="517">
        <v>0.7</v>
      </c>
      <c r="AO32" s="517">
        <v>0.7</v>
      </c>
      <c r="AP32" s="517">
        <v>0.7</v>
      </c>
      <c r="AQ32" s="517">
        <v>1</v>
      </c>
      <c r="AR32" s="587"/>
      <c r="AS32" s="517" t="s">
        <v>357</v>
      </c>
      <c r="AT32" s="536" t="s">
        <v>327</v>
      </c>
      <c r="AU32" s="556" t="s">
        <v>268</v>
      </c>
      <c r="AV32" s="572" t="s">
        <v>169</v>
      </c>
      <c r="AX32" s="622" t="s">
        <v>211</v>
      </c>
      <c r="AY32" s="615" t="s">
        <v>358</v>
      </c>
      <c r="AZ32" s="615" t="s">
        <v>359</v>
      </c>
      <c r="BA32" s="615" t="s">
        <v>360</v>
      </c>
      <c r="BB32" s="560"/>
      <c r="BC32" s="620"/>
      <c r="BD32" s="621"/>
      <c r="BE32" s="621"/>
      <c r="BF32" s="621"/>
      <c r="BG32" s="644"/>
      <c r="BH32" s="654" t="s">
        <v>179</v>
      </c>
      <c r="BI32" s="655" t="s">
        <v>190</v>
      </c>
      <c r="BJ32" s="654" t="s">
        <v>237</v>
      </c>
      <c r="BK32" s="655" t="s">
        <v>180</v>
      </c>
      <c r="BL32" s="638"/>
      <c r="BM32" s="621"/>
      <c r="BN32" s="616"/>
      <c r="BO32" s="536"/>
      <c r="BP32" s="671"/>
      <c r="BQ32" s="671"/>
      <c r="BR32" s="616"/>
      <c r="BS32" s="617"/>
      <c r="BT32" s="666"/>
      <c r="BU32" s="587"/>
      <c r="BV32" s="590"/>
      <c r="BW32" s="617"/>
      <c r="BX32" s="706"/>
      <c r="BY32" s="616" t="s">
        <v>171</v>
      </c>
      <c r="BZ32" s="587"/>
      <c r="CA32" s="616"/>
      <c r="CB32" s="587"/>
      <c r="CC32" s="616"/>
      <c r="CD32" s="721"/>
      <c r="CE32" s="517"/>
      <c r="CF32" s="722"/>
    </row>
    <row r="33" spans="3:84" ht="16.899999999999999" customHeight="1">
      <c r="C33" s="512" t="s">
        <v>361</v>
      </c>
      <c r="D33" s="509">
        <v>673</v>
      </c>
      <c r="E33" s="509">
        <v>712</v>
      </c>
      <c r="F33" s="509">
        <v>694</v>
      </c>
      <c r="G33" s="509">
        <v>691</v>
      </c>
      <c r="H33" s="509">
        <v>681</v>
      </c>
      <c r="I33" s="509">
        <v>7</v>
      </c>
      <c r="J33" s="509">
        <v>4</v>
      </c>
      <c r="K33" s="509">
        <v>4</v>
      </c>
      <c r="L33" s="509">
        <v>3</v>
      </c>
      <c r="M33" s="538" t="s">
        <v>334</v>
      </c>
      <c r="N33" s="509">
        <v>773</v>
      </c>
      <c r="O33" s="509">
        <v>815</v>
      </c>
      <c r="P33" s="509">
        <v>796</v>
      </c>
      <c r="Q33" s="509">
        <v>792</v>
      </c>
      <c r="R33" s="509">
        <v>781</v>
      </c>
      <c r="S33" s="509">
        <v>7</v>
      </c>
      <c r="T33" s="509">
        <v>4</v>
      </c>
      <c r="U33" s="509">
        <v>4</v>
      </c>
      <c r="V33" s="509">
        <v>3</v>
      </c>
      <c r="W33" s="546"/>
      <c r="X33" s="547" t="s">
        <v>276</v>
      </c>
      <c r="Y33" s="509">
        <v>15.8</v>
      </c>
      <c r="Z33" s="509">
        <v>17.5</v>
      </c>
      <c r="AA33" s="509">
        <v>16.3</v>
      </c>
      <c r="AB33" s="509">
        <v>16.899999999999999</v>
      </c>
      <c r="AC33" s="509">
        <v>17.600000000000001</v>
      </c>
      <c r="AD33" s="509">
        <v>1</v>
      </c>
      <c r="AE33" s="509">
        <v>1</v>
      </c>
      <c r="AF33" s="509">
        <v>1</v>
      </c>
      <c r="AG33" s="569">
        <v>1</v>
      </c>
      <c r="AH33" s="566" t="s">
        <v>184</v>
      </c>
      <c r="AI33" s="509">
        <v>16.3</v>
      </c>
      <c r="AJ33" s="509">
        <v>17.7</v>
      </c>
      <c r="AK33" s="509">
        <v>16.899999999999999</v>
      </c>
      <c r="AL33" s="509">
        <v>17.100000000000001</v>
      </c>
      <c r="AM33" s="509">
        <v>17.7</v>
      </c>
      <c r="AN33" s="509">
        <v>0.8</v>
      </c>
      <c r="AO33" s="509">
        <v>0.8</v>
      </c>
      <c r="AP33" s="509">
        <v>0.8</v>
      </c>
      <c r="AQ33" s="509">
        <v>0.5</v>
      </c>
      <c r="AR33" s="581"/>
      <c r="AS33" s="509" t="s">
        <v>361</v>
      </c>
      <c r="AT33" s="527" t="s">
        <v>334</v>
      </c>
      <c r="AU33" s="547" t="s">
        <v>276</v>
      </c>
      <c r="AV33" s="566" t="s">
        <v>184</v>
      </c>
      <c r="AX33" s="623" t="s">
        <v>362</v>
      </c>
      <c r="AY33" s="612" t="s">
        <v>363</v>
      </c>
      <c r="AZ33" s="612" t="s">
        <v>364</v>
      </c>
      <c r="BA33" s="612" t="s">
        <v>365</v>
      </c>
      <c r="BB33" s="10"/>
      <c r="BC33" s="620"/>
      <c r="BD33" s="621"/>
      <c r="BE33" s="621"/>
      <c r="BF33" s="621"/>
      <c r="BG33" s="641"/>
      <c r="BH33" s="656" t="s">
        <v>362</v>
      </c>
      <c r="BI33" s="657" t="s">
        <v>182</v>
      </c>
      <c r="BJ33" s="656" t="s">
        <v>366</v>
      </c>
      <c r="BK33" s="657" t="s">
        <v>367</v>
      </c>
      <c r="BL33" s="638"/>
      <c r="BM33" s="621"/>
      <c r="BN33" s="16"/>
      <c r="BO33" s="527"/>
      <c r="BP33" s="670"/>
      <c r="BQ33" s="670"/>
      <c r="BR33" s="16"/>
      <c r="BS33" s="604"/>
      <c r="BT33" s="665"/>
      <c r="BU33" s="581"/>
      <c r="BV33" s="400"/>
      <c r="BW33" s="604"/>
      <c r="BX33" s="632"/>
      <c r="BY33" s="642" t="s">
        <v>186</v>
      </c>
      <c r="BZ33" s="581"/>
      <c r="CA33" s="642"/>
      <c r="CB33" s="581"/>
      <c r="CC33" s="16"/>
      <c r="CD33" s="714"/>
      <c r="CE33" s="509"/>
      <c r="CF33" s="715"/>
    </row>
    <row r="34" spans="3:84" ht="16.899999999999999" customHeight="1">
      <c r="C34" s="518" t="s">
        <v>368</v>
      </c>
      <c r="D34" s="519">
        <v>887</v>
      </c>
      <c r="E34" s="519">
        <v>936</v>
      </c>
      <c r="F34" s="518">
        <v>914</v>
      </c>
      <c r="G34" s="518">
        <v>909</v>
      </c>
      <c r="H34" s="518">
        <v>896</v>
      </c>
      <c r="I34" s="518">
        <v>7</v>
      </c>
      <c r="J34" s="518">
        <v>4</v>
      </c>
      <c r="K34" s="519">
        <v>4</v>
      </c>
      <c r="L34" s="518">
        <v>4</v>
      </c>
      <c r="M34" s="539" t="s">
        <v>340</v>
      </c>
      <c r="N34" s="518">
        <v>1024</v>
      </c>
      <c r="O34" s="518">
        <v>1079</v>
      </c>
      <c r="P34" s="518">
        <v>1055</v>
      </c>
      <c r="Q34" s="518">
        <v>1047</v>
      </c>
      <c r="R34" s="518">
        <v>1033</v>
      </c>
      <c r="S34" s="518">
        <v>7</v>
      </c>
      <c r="T34" s="518">
        <v>4</v>
      </c>
      <c r="U34" s="518">
        <v>4</v>
      </c>
      <c r="V34" s="518">
        <v>4</v>
      </c>
      <c r="W34" s="555"/>
      <c r="X34" s="556" t="s">
        <v>287</v>
      </c>
      <c r="Y34" s="517">
        <v>16.600000000000001</v>
      </c>
      <c r="Z34" s="517">
        <v>18.3</v>
      </c>
      <c r="AA34" s="517">
        <v>17.100000000000001</v>
      </c>
      <c r="AB34" s="517">
        <v>17.7</v>
      </c>
      <c r="AC34" s="517">
        <v>18.399999999999999</v>
      </c>
      <c r="AD34" s="517">
        <v>1</v>
      </c>
      <c r="AE34" s="517">
        <v>1</v>
      </c>
      <c r="AF34" s="517">
        <v>1</v>
      </c>
      <c r="AG34" s="571">
        <v>1</v>
      </c>
      <c r="AH34" s="572" t="s">
        <v>141</v>
      </c>
      <c r="AI34" s="517">
        <v>6.1</v>
      </c>
      <c r="AJ34" s="517">
        <v>6.9</v>
      </c>
      <c r="AK34" s="517">
        <v>6.3</v>
      </c>
      <c r="AL34" s="517">
        <v>6.6</v>
      </c>
      <c r="AM34" s="517">
        <v>7.2</v>
      </c>
      <c r="AN34" s="517">
        <v>0.6</v>
      </c>
      <c r="AO34" s="517">
        <v>0.6</v>
      </c>
      <c r="AP34" s="517">
        <v>0.6</v>
      </c>
      <c r="AQ34" s="517">
        <v>0.5</v>
      </c>
      <c r="AR34" s="587"/>
      <c r="AS34" s="518" t="s">
        <v>368</v>
      </c>
      <c r="AT34" s="589" t="s">
        <v>340</v>
      </c>
      <c r="AU34" s="590" t="s">
        <v>287</v>
      </c>
      <c r="AV34" s="572" t="s">
        <v>141</v>
      </c>
      <c r="AX34" s="624" t="s">
        <v>369</v>
      </c>
      <c r="AY34" s="615" t="s">
        <v>370</v>
      </c>
      <c r="AZ34" s="615" t="s">
        <v>371</v>
      </c>
      <c r="BA34" s="615" t="s">
        <v>372</v>
      </c>
      <c r="BB34" s="560"/>
      <c r="BC34" s="620"/>
      <c r="BD34" s="621"/>
      <c r="BE34" s="621"/>
      <c r="BF34" s="621"/>
      <c r="BG34" s="644"/>
      <c r="BH34" s="645" t="s">
        <v>369</v>
      </c>
      <c r="BI34" s="646" t="s">
        <v>195</v>
      </c>
      <c r="BJ34" s="645" t="s">
        <v>373</v>
      </c>
      <c r="BK34" s="646" t="s">
        <v>374</v>
      </c>
      <c r="BL34" s="638"/>
      <c r="BM34" s="621"/>
      <c r="BN34" s="616"/>
      <c r="BO34" s="536"/>
      <c r="BP34" s="671"/>
      <c r="BQ34" s="671"/>
      <c r="BR34" s="672"/>
      <c r="BS34" s="673"/>
      <c r="BT34" s="666"/>
      <c r="BU34" s="587"/>
      <c r="BV34" s="590"/>
      <c r="BW34" s="617"/>
      <c r="BX34" s="706"/>
      <c r="BY34" s="707" t="s">
        <v>157</v>
      </c>
      <c r="BZ34" s="587"/>
      <c r="CA34" s="707"/>
      <c r="CB34" s="587"/>
      <c r="CC34" s="616"/>
      <c r="CD34" s="721"/>
      <c r="CE34" s="518"/>
      <c r="CF34" s="722"/>
    </row>
    <row r="35" spans="3:84" ht="16.899999999999999" customHeight="1">
      <c r="C35" s="514" t="s">
        <v>325</v>
      </c>
      <c r="D35" s="515">
        <v>27.9</v>
      </c>
      <c r="E35" s="515">
        <v>31.1</v>
      </c>
      <c r="F35" s="514">
        <v>28.9</v>
      </c>
      <c r="G35" s="514">
        <v>30</v>
      </c>
      <c r="H35" s="514">
        <v>30</v>
      </c>
      <c r="I35" s="514">
        <v>1</v>
      </c>
      <c r="J35" s="514">
        <v>1</v>
      </c>
      <c r="K35" s="515">
        <v>1</v>
      </c>
      <c r="L35" s="514">
        <v>1</v>
      </c>
      <c r="M35" s="531" t="s">
        <v>324</v>
      </c>
      <c r="N35" s="514">
        <v>30.4</v>
      </c>
      <c r="O35" s="514">
        <v>33.700000000000003</v>
      </c>
      <c r="P35" s="514">
        <v>31.4</v>
      </c>
      <c r="Q35" s="514">
        <v>32.6</v>
      </c>
      <c r="R35" s="514">
        <v>32.5</v>
      </c>
      <c r="S35" s="514">
        <v>1</v>
      </c>
      <c r="T35" s="514">
        <v>1</v>
      </c>
      <c r="U35" s="514">
        <v>1</v>
      </c>
      <c r="V35" s="514">
        <v>1</v>
      </c>
      <c r="W35" s="546"/>
      <c r="X35" s="547" t="s">
        <v>298</v>
      </c>
      <c r="Y35" s="509">
        <v>19.899999999999999</v>
      </c>
      <c r="Z35" s="509">
        <v>22.4</v>
      </c>
      <c r="AA35" s="509">
        <v>20.6</v>
      </c>
      <c r="AB35" s="509">
        <v>21.6</v>
      </c>
      <c r="AC35" s="509">
        <v>22</v>
      </c>
      <c r="AD35" s="509">
        <v>1</v>
      </c>
      <c r="AE35" s="509">
        <v>1</v>
      </c>
      <c r="AF35" s="509">
        <v>1</v>
      </c>
      <c r="AG35" s="569">
        <v>1</v>
      </c>
      <c r="AH35" s="566" t="s">
        <v>152</v>
      </c>
      <c r="AI35" s="509">
        <v>9.1999999999999993</v>
      </c>
      <c r="AJ35" s="509">
        <v>10.199999999999999</v>
      </c>
      <c r="AK35" s="509">
        <v>9.6</v>
      </c>
      <c r="AL35" s="509">
        <v>9.9</v>
      </c>
      <c r="AM35" s="509">
        <v>10.4</v>
      </c>
      <c r="AN35" s="509">
        <v>0.7</v>
      </c>
      <c r="AO35" s="509">
        <v>0.7</v>
      </c>
      <c r="AP35" s="509">
        <v>0.7</v>
      </c>
      <c r="AQ35" s="509">
        <v>1</v>
      </c>
      <c r="AR35" s="581"/>
      <c r="AS35" s="514" t="s">
        <v>325</v>
      </c>
      <c r="AT35" s="535" t="s">
        <v>324</v>
      </c>
      <c r="AU35" s="547" t="s">
        <v>298</v>
      </c>
      <c r="AV35" s="566" t="s">
        <v>152</v>
      </c>
      <c r="AX35" s="623" t="s">
        <v>375</v>
      </c>
      <c r="AY35" s="625" t="s">
        <v>376</v>
      </c>
      <c r="AZ35" s="625" t="s">
        <v>377</v>
      </c>
      <c r="BA35" s="625" t="s">
        <v>378</v>
      </c>
      <c r="BB35" s="10"/>
      <c r="BC35" s="620"/>
      <c r="BD35" s="621"/>
      <c r="BE35" s="621"/>
      <c r="BF35" s="621"/>
      <c r="BG35" s="641"/>
      <c r="BH35" s="170" t="s">
        <v>375</v>
      </c>
      <c r="BI35" s="649" t="s">
        <v>205</v>
      </c>
      <c r="BJ35" s="170" t="s">
        <v>379</v>
      </c>
      <c r="BK35" s="649" t="s">
        <v>380</v>
      </c>
      <c r="BL35" s="638"/>
      <c r="BM35" s="621"/>
      <c r="BN35" s="16"/>
      <c r="BO35" s="527"/>
      <c r="BP35" s="670"/>
      <c r="BQ35" s="670"/>
      <c r="BR35" s="198"/>
      <c r="BS35" s="674"/>
      <c r="BT35" s="665"/>
      <c r="BU35" s="581"/>
      <c r="BV35" s="400"/>
      <c r="BW35" s="604"/>
      <c r="BX35" s="632"/>
      <c r="BY35" s="16" t="s">
        <v>173</v>
      </c>
      <c r="BZ35" s="581"/>
      <c r="CA35" s="16"/>
      <c r="CB35" s="581"/>
      <c r="CC35" s="16"/>
      <c r="CD35" s="632"/>
      <c r="CE35" s="514"/>
      <c r="CF35" s="715"/>
    </row>
    <row r="36" spans="3:84" ht="16.899999999999999" customHeight="1">
      <c r="C36" s="517" t="s">
        <v>381</v>
      </c>
      <c r="D36" s="517">
        <v>44.2</v>
      </c>
      <c r="E36" s="517">
        <v>48.6</v>
      </c>
      <c r="F36" s="517">
        <v>45.7</v>
      </c>
      <c r="G36" s="517">
        <v>47</v>
      </c>
      <c r="H36" s="517">
        <v>46.8</v>
      </c>
      <c r="I36" s="517">
        <v>1</v>
      </c>
      <c r="J36" s="517">
        <v>1</v>
      </c>
      <c r="K36" s="517">
        <v>1</v>
      </c>
      <c r="L36" s="517">
        <v>1</v>
      </c>
      <c r="M36" s="536" t="s">
        <v>382</v>
      </c>
      <c r="N36" s="517">
        <v>47.8</v>
      </c>
      <c r="O36" s="517">
        <v>52.3</v>
      </c>
      <c r="P36" s="517">
        <v>49.4</v>
      </c>
      <c r="Q36" s="517">
        <v>50.7</v>
      </c>
      <c r="R36" s="517">
        <v>50.3</v>
      </c>
      <c r="S36" s="517">
        <v>1</v>
      </c>
      <c r="T36" s="517">
        <v>1</v>
      </c>
      <c r="U36" s="517">
        <v>1</v>
      </c>
      <c r="V36" s="517">
        <v>1</v>
      </c>
      <c r="W36" s="555"/>
      <c r="X36" s="556" t="s">
        <v>306</v>
      </c>
      <c r="Y36" s="517">
        <v>24.7</v>
      </c>
      <c r="Z36" s="517">
        <v>27.6</v>
      </c>
      <c r="AA36" s="517">
        <v>25.5</v>
      </c>
      <c r="AB36" s="517">
        <v>26.7</v>
      </c>
      <c r="AC36" s="517">
        <v>27.1</v>
      </c>
      <c r="AD36" s="517">
        <v>1</v>
      </c>
      <c r="AE36" s="517">
        <v>1</v>
      </c>
      <c r="AF36" s="517">
        <v>1</v>
      </c>
      <c r="AG36" s="571">
        <v>1</v>
      </c>
      <c r="AH36" s="572" t="s">
        <v>168</v>
      </c>
      <c r="AI36" s="517">
        <v>14.1</v>
      </c>
      <c r="AJ36" s="517">
        <v>15.4</v>
      </c>
      <c r="AK36" s="517">
        <v>14.6</v>
      </c>
      <c r="AL36" s="517">
        <v>14.9</v>
      </c>
      <c r="AM36" s="517">
        <v>15.5</v>
      </c>
      <c r="AN36" s="517">
        <v>0.8</v>
      </c>
      <c r="AO36" s="517">
        <v>0.8</v>
      </c>
      <c r="AP36" s="517">
        <v>0.8</v>
      </c>
      <c r="AQ36" s="517">
        <v>1</v>
      </c>
      <c r="AR36" s="587"/>
      <c r="AS36" s="517" t="s">
        <v>381</v>
      </c>
      <c r="AT36" s="536" t="s">
        <v>382</v>
      </c>
      <c r="AU36" s="556" t="s">
        <v>306</v>
      </c>
      <c r="AV36" s="572" t="s">
        <v>168</v>
      </c>
      <c r="AX36" s="624" t="s">
        <v>383</v>
      </c>
      <c r="AY36" s="626"/>
      <c r="AZ36" s="627"/>
      <c r="BA36" s="627"/>
      <c r="BB36" s="560"/>
      <c r="BC36" s="620"/>
      <c r="BD36" s="621"/>
      <c r="BE36" s="621"/>
      <c r="BF36" s="621"/>
      <c r="BG36" s="644"/>
      <c r="BH36" s="645" t="s">
        <v>383</v>
      </c>
      <c r="BI36" s="646" t="s">
        <v>218</v>
      </c>
      <c r="BJ36" s="645" t="s">
        <v>384</v>
      </c>
      <c r="BK36" s="646" t="s">
        <v>385</v>
      </c>
      <c r="BL36" s="638"/>
      <c r="BM36" s="18"/>
      <c r="BN36" s="616"/>
      <c r="BO36" s="536"/>
      <c r="BP36" s="671"/>
      <c r="BQ36" s="671"/>
      <c r="BR36" s="616"/>
      <c r="BS36" s="617"/>
      <c r="BT36" s="666"/>
      <c r="BU36" s="703"/>
      <c r="BV36" s="590"/>
      <c r="BW36" s="617"/>
      <c r="BX36" s="705"/>
      <c r="BY36" s="616" t="s">
        <v>133</v>
      </c>
      <c r="BZ36" s="703"/>
      <c r="CA36" s="616"/>
      <c r="CB36" s="703"/>
      <c r="CC36" s="616"/>
      <c r="CD36" s="723"/>
      <c r="CE36" s="517"/>
      <c r="CF36" s="724"/>
    </row>
    <row r="37" spans="3:84" ht="16.899999999999999" customHeight="1">
      <c r="C37" s="509" t="s">
        <v>386</v>
      </c>
      <c r="D37" s="509">
        <v>69</v>
      </c>
      <c r="E37" s="509">
        <v>75</v>
      </c>
      <c r="F37" s="509">
        <v>71.2</v>
      </c>
      <c r="G37" s="509">
        <v>72.7</v>
      </c>
      <c r="H37" s="509">
        <v>72</v>
      </c>
      <c r="I37" s="509">
        <v>1</v>
      </c>
      <c r="J37" s="509">
        <v>1</v>
      </c>
      <c r="K37" s="509">
        <v>1</v>
      </c>
      <c r="L37" s="509">
        <v>1</v>
      </c>
      <c r="M37" s="527" t="s">
        <v>387</v>
      </c>
      <c r="N37" s="509">
        <v>74.599999999999994</v>
      </c>
      <c r="O37" s="509">
        <v>80.900000000000006</v>
      </c>
      <c r="P37" s="509">
        <v>77</v>
      </c>
      <c r="Q37" s="509">
        <v>78.400000000000006</v>
      </c>
      <c r="R37" s="509">
        <v>77.599999999999994</v>
      </c>
      <c r="S37" s="509">
        <v>1</v>
      </c>
      <c r="T37" s="509">
        <v>1</v>
      </c>
      <c r="U37" s="509">
        <v>1</v>
      </c>
      <c r="V37" s="509">
        <v>1</v>
      </c>
      <c r="W37" s="546"/>
      <c r="X37" s="547" t="s">
        <v>315</v>
      </c>
      <c r="Y37" s="509">
        <v>30.2</v>
      </c>
      <c r="Z37" s="509">
        <v>33.5</v>
      </c>
      <c r="AA37" s="509">
        <v>31.2</v>
      </c>
      <c r="AB37" s="509">
        <v>32.4</v>
      </c>
      <c r="AC37" s="509">
        <v>32.700000000000003</v>
      </c>
      <c r="AD37" s="509">
        <v>1</v>
      </c>
      <c r="AE37" s="509">
        <v>1</v>
      </c>
      <c r="AF37" s="509">
        <v>1</v>
      </c>
      <c r="AG37" s="569">
        <v>1</v>
      </c>
      <c r="AH37" s="566" t="s">
        <v>183</v>
      </c>
      <c r="AI37" s="509">
        <v>20.3</v>
      </c>
      <c r="AJ37" s="509">
        <v>21.9</v>
      </c>
      <c r="AK37" s="509">
        <v>21</v>
      </c>
      <c r="AL37" s="509">
        <v>21.2</v>
      </c>
      <c r="AM37" s="509">
        <v>21.8</v>
      </c>
      <c r="AN37" s="509">
        <v>0.9</v>
      </c>
      <c r="AO37" s="509">
        <v>0.9</v>
      </c>
      <c r="AP37" s="509">
        <v>0.9</v>
      </c>
      <c r="AQ37" s="509">
        <v>1</v>
      </c>
      <c r="AR37" s="581"/>
      <c r="AS37" s="509" t="s">
        <v>386</v>
      </c>
      <c r="AT37" s="527" t="s">
        <v>387</v>
      </c>
      <c r="AU37" s="547" t="s">
        <v>315</v>
      </c>
      <c r="AV37" s="566" t="s">
        <v>183</v>
      </c>
      <c r="AX37" s="623" t="s">
        <v>388</v>
      </c>
      <c r="AY37" s="604"/>
      <c r="AZ37" s="604"/>
      <c r="BA37" s="604"/>
      <c r="BB37" s="10"/>
      <c r="BC37" s="620"/>
      <c r="BD37" s="621"/>
      <c r="BE37" s="621"/>
      <c r="BF37" s="621"/>
      <c r="BG37" s="10"/>
      <c r="BH37" s="170" t="s">
        <v>388</v>
      </c>
      <c r="BI37" s="649" t="s">
        <v>228</v>
      </c>
      <c r="BJ37" s="170" t="s">
        <v>389</v>
      </c>
      <c r="BK37" s="649" t="s">
        <v>390</v>
      </c>
      <c r="BL37" s="638"/>
      <c r="BM37" s="620"/>
      <c r="BN37" s="16"/>
      <c r="BO37" s="527"/>
      <c r="BP37" s="670"/>
      <c r="BQ37" s="670"/>
      <c r="BR37" s="16"/>
      <c r="BS37" s="604"/>
      <c r="BT37" s="665"/>
      <c r="BU37" s="561"/>
      <c r="BV37" s="787"/>
      <c r="BW37" s="561"/>
      <c r="BX37" s="708"/>
      <c r="BY37" s="16" t="s">
        <v>143</v>
      </c>
      <c r="BZ37" s="561"/>
      <c r="CA37" s="16"/>
      <c r="CB37" s="561"/>
      <c r="CC37" s="16"/>
      <c r="CD37" s="714"/>
      <c r="CE37" s="509"/>
      <c r="CF37" s="725"/>
    </row>
    <row r="38" spans="3:84" ht="16.899999999999999" customHeight="1">
      <c r="C38" s="517" t="s">
        <v>391</v>
      </c>
      <c r="D38" s="517">
        <v>87.3</v>
      </c>
      <c r="E38" s="517">
        <v>94.5</v>
      </c>
      <c r="F38" s="517">
        <v>90.1</v>
      </c>
      <c r="G38" s="517">
        <v>91.6</v>
      </c>
      <c r="H38" s="517">
        <v>91</v>
      </c>
      <c r="I38" s="517">
        <v>1</v>
      </c>
      <c r="J38" s="517">
        <v>1</v>
      </c>
      <c r="K38" s="517">
        <v>1</v>
      </c>
      <c r="L38" s="517">
        <v>1</v>
      </c>
      <c r="M38" s="536" t="s">
        <v>392</v>
      </c>
      <c r="N38" s="517">
        <v>98.9</v>
      </c>
      <c r="O38" s="517">
        <v>106.6</v>
      </c>
      <c r="P38" s="517">
        <v>102</v>
      </c>
      <c r="Q38" s="517">
        <v>103.3</v>
      </c>
      <c r="R38" s="517">
        <v>102.2</v>
      </c>
      <c r="S38" s="517">
        <v>1</v>
      </c>
      <c r="T38" s="517">
        <v>1</v>
      </c>
      <c r="U38" s="517">
        <v>1</v>
      </c>
      <c r="V38" s="517">
        <v>1</v>
      </c>
      <c r="W38" s="555"/>
      <c r="X38" s="556" t="s">
        <v>362</v>
      </c>
      <c r="Y38" s="517">
        <v>7.3</v>
      </c>
      <c r="Z38" s="517">
        <v>8.1999999999999993</v>
      </c>
      <c r="AA38" s="517">
        <v>7.5</v>
      </c>
      <c r="AB38" s="517">
        <v>7.9</v>
      </c>
      <c r="AC38" s="517">
        <v>8.5</v>
      </c>
      <c r="AD38" s="517">
        <v>0.7</v>
      </c>
      <c r="AE38" s="517">
        <v>0.7</v>
      </c>
      <c r="AF38" s="517">
        <v>0.7</v>
      </c>
      <c r="AG38" s="571">
        <v>0.5</v>
      </c>
      <c r="AH38" s="574" t="s">
        <v>301</v>
      </c>
      <c r="AI38" s="517">
        <v>6.8</v>
      </c>
      <c r="AJ38" s="517">
        <v>7.6</v>
      </c>
      <c r="AK38" s="517">
        <v>7.1</v>
      </c>
      <c r="AL38" s="517">
        <v>7.3</v>
      </c>
      <c r="AM38" s="517">
        <v>7.9</v>
      </c>
      <c r="AN38" s="517">
        <v>0.6</v>
      </c>
      <c r="AO38" s="517">
        <v>0.6</v>
      </c>
      <c r="AP38" s="517">
        <v>0.6</v>
      </c>
      <c r="AQ38" s="517">
        <v>0.5</v>
      </c>
      <c r="AR38" s="587"/>
      <c r="AS38" s="517" t="s">
        <v>391</v>
      </c>
      <c r="AT38" s="536" t="s">
        <v>392</v>
      </c>
      <c r="AU38" s="556" t="s">
        <v>362</v>
      </c>
      <c r="AV38" s="574" t="s">
        <v>301</v>
      </c>
      <c r="AX38" s="616" t="s">
        <v>393</v>
      </c>
      <c r="AY38" s="617"/>
      <c r="AZ38" s="617"/>
      <c r="BA38" s="617"/>
      <c r="BB38" s="560"/>
      <c r="BC38" s="620"/>
      <c r="BD38" s="621"/>
      <c r="BE38" s="621"/>
      <c r="BF38" s="621"/>
      <c r="BG38" s="652"/>
      <c r="BH38" s="658" t="s">
        <v>393</v>
      </c>
      <c r="BI38" s="659" t="s">
        <v>236</v>
      </c>
      <c r="BJ38" s="658" t="s">
        <v>394</v>
      </c>
      <c r="BK38" s="659" t="s">
        <v>395</v>
      </c>
      <c r="BL38" s="65"/>
      <c r="BM38" s="620"/>
      <c r="BN38" s="616"/>
      <c r="BO38" s="536"/>
      <c r="BP38" s="671"/>
      <c r="BQ38" s="671"/>
      <c r="BR38" s="616"/>
      <c r="BS38" s="617"/>
      <c r="BT38" s="590"/>
      <c r="BU38" s="594"/>
      <c r="BV38" s="787"/>
      <c r="BW38" s="561"/>
      <c r="BX38" s="706"/>
      <c r="BY38" s="616" t="s">
        <v>154</v>
      </c>
      <c r="BZ38" s="594"/>
      <c r="CA38" s="616"/>
      <c r="CB38" s="594"/>
      <c r="CC38" s="616"/>
      <c r="CD38" s="721"/>
      <c r="CE38" s="517"/>
      <c r="CF38" s="722"/>
    </row>
    <row r="39" spans="3:84" ht="16.899999999999999" customHeight="1">
      <c r="C39" s="509" t="s">
        <v>396</v>
      </c>
      <c r="D39" s="509">
        <v>123</v>
      </c>
      <c r="E39" s="509">
        <v>133</v>
      </c>
      <c r="F39" s="509">
        <v>127</v>
      </c>
      <c r="G39" s="509">
        <v>129</v>
      </c>
      <c r="H39" s="509">
        <v>127</v>
      </c>
      <c r="I39" s="509">
        <v>4</v>
      </c>
      <c r="J39" s="509">
        <v>2</v>
      </c>
      <c r="K39" s="509">
        <v>2</v>
      </c>
      <c r="L39" s="509">
        <v>1</v>
      </c>
      <c r="M39" s="527" t="s">
        <v>397</v>
      </c>
      <c r="N39" s="509">
        <v>137</v>
      </c>
      <c r="O39" s="509">
        <v>147</v>
      </c>
      <c r="P39" s="509">
        <v>141</v>
      </c>
      <c r="Q39" s="509">
        <v>143</v>
      </c>
      <c r="R39" s="509">
        <v>141</v>
      </c>
      <c r="S39" s="509">
        <v>4</v>
      </c>
      <c r="T39" s="509">
        <v>2</v>
      </c>
      <c r="U39" s="509">
        <v>2</v>
      </c>
      <c r="V39" s="509">
        <v>1</v>
      </c>
      <c r="W39" s="546"/>
      <c r="X39" s="547" t="s">
        <v>369</v>
      </c>
      <c r="Y39" s="509">
        <v>8.4</v>
      </c>
      <c r="Z39" s="509">
        <v>9.3000000000000007</v>
      </c>
      <c r="AA39" s="509">
        <v>8.6999999999999993</v>
      </c>
      <c r="AB39" s="509">
        <v>8.9</v>
      </c>
      <c r="AC39" s="509">
        <v>9.6</v>
      </c>
      <c r="AD39" s="509">
        <v>0.7</v>
      </c>
      <c r="AE39" s="509">
        <v>0.7</v>
      </c>
      <c r="AF39" s="509">
        <v>0.7</v>
      </c>
      <c r="AG39" s="569">
        <v>0.5</v>
      </c>
      <c r="AH39" s="566" t="s">
        <v>310</v>
      </c>
      <c r="AI39" s="509">
        <v>10.4</v>
      </c>
      <c r="AJ39" s="509">
        <v>11.4</v>
      </c>
      <c r="AK39" s="509">
        <v>10.8</v>
      </c>
      <c r="AL39" s="509">
        <v>11</v>
      </c>
      <c r="AM39" s="509">
        <v>11.6</v>
      </c>
      <c r="AN39" s="509">
        <v>0.7</v>
      </c>
      <c r="AO39" s="509">
        <v>0.7</v>
      </c>
      <c r="AP39" s="509">
        <v>0.7</v>
      </c>
      <c r="AQ39" s="509">
        <v>1</v>
      </c>
      <c r="AR39" s="581"/>
      <c r="AS39" s="509" t="s">
        <v>396</v>
      </c>
      <c r="AT39" s="527" t="s">
        <v>397</v>
      </c>
      <c r="AU39" s="547" t="s">
        <v>369</v>
      </c>
      <c r="AV39" s="532" t="s">
        <v>310</v>
      </c>
      <c r="AX39" s="16" t="s">
        <v>398</v>
      </c>
      <c r="AY39" s="604"/>
      <c r="AZ39" s="604"/>
      <c r="BA39" s="532"/>
      <c r="BB39" s="10"/>
      <c r="BC39" s="620"/>
      <c r="BD39" s="621"/>
      <c r="BE39" s="621"/>
      <c r="BF39" s="621"/>
      <c r="BG39" s="660"/>
      <c r="BH39" s="170" t="s">
        <v>398</v>
      </c>
      <c r="BI39" s="649" t="s">
        <v>245</v>
      </c>
      <c r="BJ39" s="170" t="s">
        <v>399</v>
      </c>
      <c r="BK39" s="649" t="s">
        <v>400</v>
      </c>
      <c r="BL39" s="65"/>
      <c r="BN39" s="16"/>
      <c r="BO39" s="527"/>
      <c r="BP39" s="670"/>
      <c r="BQ39" s="670"/>
      <c r="BR39" s="16"/>
      <c r="BS39" s="604"/>
      <c r="BT39" s="400"/>
      <c r="BU39" s="10"/>
      <c r="BV39" s="787"/>
      <c r="BW39" s="561"/>
      <c r="BX39" s="632"/>
      <c r="BY39" s="16" t="s">
        <v>170</v>
      </c>
      <c r="BZ39" s="561"/>
      <c r="CA39" s="16"/>
      <c r="CB39" s="561"/>
      <c r="CC39" s="792"/>
      <c r="CD39" s="714"/>
      <c r="CE39" s="509"/>
      <c r="CF39" s="715"/>
    </row>
    <row r="40" spans="3:84" ht="16.899999999999999" customHeight="1">
      <c r="C40" s="520" t="s">
        <v>401</v>
      </c>
      <c r="D40" s="520">
        <v>175</v>
      </c>
      <c r="E40" s="520">
        <v>187</v>
      </c>
      <c r="F40" s="520">
        <v>180</v>
      </c>
      <c r="G40" s="520">
        <v>182</v>
      </c>
      <c r="H40" s="520">
        <v>179</v>
      </c>
      <c r="I40" s="520">
        <v>4</v>
      </c>
      <c r="J40" s="520">
        <v>2</v>
      </c>
      <c r="K40" s="520">
        <v>2</v>
      </c>
      <c r="L40" s="520">
        <v>2</v>
      </c>
      <c r="M40" s="540" t="s">
        <v>402</v>
      </c>
      <c r="N40" s="520">
        <v>195</v>
      </c>
      <c r="O40" s="520">
        <v>209</v>
      </c>
      <c r="P40" s="520">
        <v>201</v>
      </c>
      <c r="Q40" s="520">
        <v>203</v>
      </c>
      <c r="R40" s="520">
        <v>200</v>
      </c>
      <c r="S40" s="520">
        <v>4</v>
      </c>
      <c r="T40" s="520">
        <v>2</v>
      </c>
      <c r="U40" s="520">
        <v>2</v>
      </c>
      <c r="V40" s="517">
        <v>2</v>
      </c>
      <c r="W40" s="555"/>
      <c r="X40" s="556" t="s">
        <v>375</v>
      </c>
      <c r="Y40" s="517">
        <v>9.4</v>
      </c>
      <c r="Z40" s="517">
        <v>10.3</v>
      </c>
      <c r="AA40" s="517">
        <v>9.8000000000000007</v>
      </c>
      <c r="AB40" s="517">
        <v>10</v>
      </c>
      <c r="AC40" s="517">
        <v>10.6</v>
      </c>
      <c r="AD40" s="517">
        <v>0.7</v>
      </c>
      <c r="AE40" s="517">
        <v>0.7</v>
      </c>
      <c r="AF40" s="517">
        <v>0.7</v>
      </c>
      <c r="AG40" s="571">
        <v>0.5</v>
      </c>
      <c r="AH40" s="575" t="s">
        <v>319</v>
      </c>
      <c r="AI40" s="576">
        <v>15.1</v>
      </c>
      <c r="AJ40" s="576">
        <v>16.3</v>
      </c>
      <c r="AK40" s="576">
        <v>15.6</v>
      </c>
      <c r="AL40" s="576">
        <v>15.8</v>
      </c>
      <c r="AM40" s="576">
        <v>16.399999999999999</v>
      </c>
      <c r="AN40" s="576">
        <v>0.8</v>
      </c>
      <c r="AO40" s="576">
        <v>0.8</v>
      </c>
      <c r="AP40" s="576">
        <v>0.8</v>
      </c>
      <c r="AQ40" s="591">
        <v>1</v>
      </c>
      <c r="AR40" s="587"/>
      <c r="AS40" s="520" t="s">
        <v>401</v>
      </c>
      <c r="AT40" s="540" t="s">
        <v>402</v>
      </c>
      <c r="AU40" s="592" t="s">
        <v>375</v>
      </c>
      <c r="AV40" s="574" t="s">
        <v>319</v>
      </c>
      <c r="AW40" s="628"/>
      <c r="AX40" s="629"/>
      <c r="AY40" s="630"/>
      <c r="AZ40" s="631"/>
      <c r="BA40" s="630"/>
      <c r="BB40" s="628"/>
      <c r="BC40" s="620"/>
      <c r="BD40" s="621"/>
      <c r="BE40" s="621"/>
      <c r="BF40" s="621"/>
      <c r="BG40" s="661"/>
      <c r="BH40" s="658" t="s">
        <v>403</v>
      </c>
      <c r="BI40" s="659" t="s">
        <v>254</v>
      </c>
      <c r="BJ40" s="658" t="s">
        <v>404</v>
      </c>
      <c r="BK40" s="659" t="s">
        <v>405</v>
      </c>
      <c r="BL40" s="638"/>
      <c r="BM40" s="620"/>
      <c r="BN40" s="675"/>
      <c r="BO40" s="540"/>
      <c r="BP40" s="676"/>
      <c r="BQ40" s="676"/>
      <c r="BR40" s="675"/>
      <c r="BS40" s="631"/>
      <c r="BT40" s="677"/>
      <c r="BU40" s="709"/>
      <c r="BV40" s="561"/>
      <c r="BW40" s="561"/>
      <c r="BX40" s="710"/>
      <c r="BY40" s="711" t="s">
        <v>185</v>
      </c>
      <c r="BZ40" s="709"/>
      <c r="CA40" s="711"/>
      <c r="CB40" s="709"/>
      <c r="CC40" s="792"/>
      <c r="CD40" s="726"/>
      <c r="CE40" s="517"/>
      <c r="CF40" s="727"/>
    </row>
    <row r="41" spans="3:84" ht="16.899999999999999" customHeight="1">
      <c r="C41" s="509" t="s">
        <v>406</v>
      </c>
      <c r="D41" s="509">
        <v>239</v>
      </c>
      <c r="E41" s="509">
        <v>256</v>
      </c>
      <c r="F41" s="509">
        <v>247</v>
      </c>
      <c r="G41" s="509">
        <v>248</v>
      </c>
      <c r="H41" s="509">
        <v>245</v>
      </c>
      <c r="I41" s="509">
        <v>4</v>
      </c>
      <c r="J41" s="509">
        <v>3</v>
      </c>
      <c r="K41" s="509">
        <v>3</v>
      </c>
      <c r="L41" s="509">
        <v>2</v>
      </c>
      <c r="M41" s="527" t="s">
        <v>407</v>
      </c>
      <c r="N41" s="509">
        <v>268</v>
      </c>
      <c r="O41" s="509">
        <v>286</v>
      </c>
      <c r="P41" s="509">
        <v>277</v>
      </c>
      <c r="Q41" s="509">
        <v>277</v>
      </c>
      <c r="R41" s="509">
        <v>273</v>
      </c>
      <c r="S41" s="509">
        <v>4</v>
      </c>
      <c r="T41" s="509">
        <v>3</v>
      </c>
      <c r="U41" s="509">
        <v>3</v>
      </c>
      <c r="V41" s="509">
        <v>2</v>
      </c>
      <c r="W41" s="558"/>
      <c r="X41" s="547" t="s">
        <v>383</v>
      </c>
      <c r="Y41" s="509">
        <v>11.8</v>
      </c>
      <c r="Z41" s="509">
        <v>13.3</v>
      </c>
      <c r="AA41" s="509">
        <v>12.3</v>
      </c>
      <c r="AB41" s="509">
        <v>12.8</v>
      </c>
      <c r="AC41" s="509">
        <v>13.4</v>
      </c>
      <c r="AD41" s="509">
        <v>0.8</v>
      </c>
      <c r="AE41" s="509">
        <v>0.8</v>
      </c>
      <c r="AF41" s="509">
        <v>0.8</v>
      </c>
      <c r="AG41" s="569">
        <v>0.5</v>
      </c>
      <c r="AH41" s="566" t="s">
        <v>302</v>
      </c>
      <c r="AI41" s="509">
        <v>8</v>
      </c>
      <c r="AJ41" s="509">
        <v>8.9</v>
      </c>
      <c r="AK41" s="509">
        <v>8.3000000000000007</v>
      </c>
      <c r="AL41" s="509">
        <v>8.5</v>
      </c>
      <c r="AM41" s="509">
        <v>9.1999999999999993</v>
      </c>
      <c r="AN41" s="509">
        <v>0.7</v>
      </c>
      <c r="AO41" s="509">
        <v>0.7</v>
      </c>
      <c r="AP41" s="509">
        <v>0.7</v>
      </c>
      <c r="AQ41" s="398">
        <v>1</v>
      </c>
      <c r="AR41" s="593"/>
      <c r="AS41" s="509" t="s">
        <v>406</v>
      </c>
      <c r="AT41" s="527" t="s">
        <v>407</v>
      </c>
      <c r="AU41" s="547" t="s">
        <v>383</v>
      </c>
      <c r="AV41" s="532" t="s">
        <v>302</v>
      </c>
      <c r="AX41" s="792"/>
      <c r="AY41" s="787"/>
      <c r="AZ41" s="787"/>
      <c r="BA41" s="787"/>
      <c r="BB41" s="10"/>
      <c r="BC41" s="620"/>
      <c r="BD41" s="621"/>
      <c r="BE41" s="621"/>
      <c r="BF41" s="621"/>
      <c r="BG41" s="641"/>
      <c r="BH41" s="170" t="s">
        <v>130</v>
      </c>
      <c r="BI41" s="649" t="s">
        <v>263</v>
      </c>
      <c r="BJ41" s="170" t="s">
        <v>408</v>
      </c>
      <c r="BK41" s="649" t="s">
        <v>409</v>
      </c>
      <c r="BL41" s="638"/>
      <c r="BM41" s="620"/>
      <c r="BN41" s="16"/>
      <c r="BO41" s="527"/>
      <c r="BP41" s="670"/>
      <c r="BQ41" s="670"/>
      <c r="BR41" s="16"/>
      <c r="BS41" s="604"/>
      <c r="BT41" s="665"/>
      <c r="BU41" s="561"/>
      <c r="BV41" s="561"/>
      <c r="BX41" s="708"/>
      <c r="BY41" s="198" t="s">
        <v>158</v>
      </c>
      <c r="BZ41" s="561"/>
      <c r="CA41" s="198"/>
      <c r="CB41" s="561"/>
      <c r="CC41" s="792"/>
      <c r="CD41" s="714"/>
      <c r="CE41" s="509"/>
      <c r="CF41" s="715"/>
    </row>
    <row r="42" spans="3:84" ht="17.149999999999999" customHeight="1">
      <c r="C42" s="520" t="s">
        <v>410</v>
      </c>
      <c r="D42" s="520">
        <v>314</v>
      </c>
      <c r="E42" s="520">
        <v>335</v>
      </c>
      <c r="F42" s="520">
        <v>324</v>
      </c>
      <c r="G42" s="520">
        <v>325</v>
      </c>
      <c r="H42" s="520">
        <v>320</v>
      </c>
      <c r="I42" s="520">
        <v>5</v>
      </c>
      <c r="J42" s="520">
        <v>3</v>
      </c>
      <c r="K42" s="520">
        <v>3</v>
      </c>
      <c r="L42" s="520">
        <v>2</v>
      </c>
      <c r="M42" s="540" t="s">
        <v>411</v>
      </c>
      <c r="N42" s="520">
        <v>346</v>
      </c>
      <c r="O42" s="520">
        <v>368</v>
      </c>
      <c r="P42" s="520">
        <v>357</v>
      </c>
      <c r="Q42" s="520">
        <v>357</v>
      </c>
      <c r="R42" s="520">
        <v>352</v>
      </c>
      <c r="S42" s="520">
        <v>5</v>
      </c>
      <c r="T42" s="520">
        <v>3</v>
      </c>
      <c r="U42" s="520">
        <v>3</v>
      </c>
      <c r="V42" s="517">
        <v>2</v>
      </c>
      <c r="W42" s="559"/>
      <c r="X42" s="556" t="s">
        <v>388</v>
      </c>
      <c r="Y42" s="517">
        <v>14</v>
      </c>
      <c r="Z42" s="517">
        <v>15.4</v>
      </c>
      <c r="AA42" s="517">
        <v>14.5</v>
      </c>
      <c r="AB42" s="517">
        <v>14.9</v>
      </c>
      <c r="AC42" s="517">
        <v>15.5</v>
      </c>
      <c r="AD42" s="517">
        <v>0.8</v>
      </c>
      <c r="AE42" s="517">
        <v>0.8</v>
      </c>
      <c r="AF42" s="517">
        <v>0.8</v>
      </c>
      <c r="AG42" s="571">
        <v>0.5</v>
      </c>
      <c r="AH42" s="577" t="s">
        <v>311</v>
      </c>
      <c r="AI42" s="576">
        <v>12.2</v>
      </c>
      <c r="AJ42" s="576">
        <v>13.3</v>
      </c>
      <c r="AK42" s="576">
        <v>12.6</v>
      </c>
      <c r="AL42" s="576">
        <v>12.8</v>
      </c>
      <c r="AM42" s="576">
        <v>13.5</v>
      </c>
      <c r="AN42" s="576">
        <v>0.8</v>
      </c>
      <c r="AO42" s="576">
        <v>0.8</v>
      </c>
      <c r="AP42" s="576">
        <v>0.8</v>
      </c>
      <c r="AQ42" s="591">
        <v>1</v>
      </c>
      <c r="AR42" s="560"/>
      <c r="AS42" s="517" t="s">
        <v>410</v>
      </c>
      <c r="AT42" s="540" t="s">
        <v>411</v>
      </c>
      <c r="AU42" s="592" t="s">
        <v>388</v>
      </c>
      <c r="AV42" s="574" t="s">
        <v>311</v>
      </c>
      <c r="AX42" s="792"/>
      <c r="AY42" s="787"/>
      <c r="AZ42" s="787"/>
      <c r="BA42" s="787"/>
      <c r="BB42" s="10"/>
      <c r="BC42" s="620"/>
      <c r="BD42" s="621"/>
      <c r="BE42" s="621"/>
      <c r="BF42" s="621"/>
      <c r="BG42" s="661"/>
      <c r="BH42" s="658" t="s">
        <v>140</v>
      </c>
      <c r="BI42" s="659" t="s">
        <v>272</v>
      </c>
      <c r="BJ42" s="658" t="s">
        <v>412</v>
      </c>
      <c r="BK42" s="659" t="s">
        <v>413</v>
      </c>
      <c r="BL42" s="638"/>
      <c r="BM42" s="620"/>
      <c r="BN42" s="675"/>
      <c r="BO42" s="540"/>
      <c r="BP42" s="676"/>
      <c r="BQ42" s="676"/>
      <c r="BR42" s="675"/>
      <c r="BS42" s="631"/>
      <c r="BT42" s="677"/>
      <c r="BU42" s="709"/>
      <c r="BV42" s="561"/>
      <c r="BW42" s="10"/>
      <c r="BX42" s="710"/>
      <c r="BY42" s="675" t="s">
        <v>174</v>
      </c>
      <c r="BZ42" s="709"/>
      <c r="CA42" s="675"/>
      <c r="CB42" s="709"/>
      <c r="CC42" s="10"/>
      <c r="CD42" s="726"/>
      <c r="CE42" s="517"/>
      <c r="CF42" s="727"/>
    </row>
    <row r="43" spans="3:84" ht="14.25" customHeight="1">
      <c r="C43" s="509" t="s">
        <v>414</v>
      </c>
      <c r="D43" s="509">
        <v>365</v>
      </c>
      <c r="E43" s="509">
        <v>389</v>
      </c>
      <c r="F43" s="509">
        <v>376</v>
      </c>
      <c r="G43" s="509">
        <v>377</v>
      </c>
      <c r="H43" s="509">
        <v>371</v>
      </c>
      <c r="I43" s="509">
        <v>6</v>
      </c>
      <c r="J43" s="509">
        <v>3</v>
      </c>
      <c r="K43" s="509">
        <v>3</v>
      </c>
      <c r="L43" s="509">
        <v>2</v>
      </c>
      <c r="M43" s="527" t="s">
        <v>415</v>
      </c>
      <c r="N43" s="509">
        <v>413</v>
      </c>
      <c r="O43" s="509">
        <v>439</v>
      </c>
      <c r="P43" s="509">
        <v>426</v>
      </c>
      <c r="Q43" s="509">
        <v>426</v>
      </c>
      <c r="R43" s="509">
        <v>420</v>
      </c>
      <c r="S43" s="509">
        <v>6</v>
      </c>
      <c r="T43" s="509">
        <v>3</v>
      </c>
      <c r="U43" s="509">
        <v>3</v>
      </c>
      <c r="V43" s="509">
        <v>2</v>
      </c>
      <c r="W43" s="558"/>
      <c r="X43" s="547" t="s">
        <v>393</v>
      </c>
      <c r="Y43" s="509">
        <v>16.399999999999999</v>
      </c>
      <c r="Z43" s="509">
        <v>18.2</v>
      </c>
      <c r="AA43" s="509">
        <v>16.899999999999999</v>
      </c>
      <c r="AB43" s="509">
        <v>17.5</v>
      </c>
      <c r="AC43" s="509">
        <v>18.100000000000001</v>
      </c>
      <c r="AD43" s="509">
        <v>1</v>
      </c>
      <c r="AE43" s="509">
        <v>0.9</v>
      </c>
      <c r="AF43" s="509">
        <v>1</v>
      </c>
      <c r="AG43" s="569">
        <v>1</v>
      </c>
      <c r="AH43" s="566" t="s">
        <v>320</v>
      </c>
      <c r="AI43" s="509">
        <v>17.8</v>
      </c>
      <c r="AJ43" s="509">
        <v>19.3</v>
      </c>
      <c r="AK43" s="509">
        <v>18.399999999999999</v>
      </c>
      <c r="AL43" s="509">
        <v>18.600000000000001</v>
      </c>
      <c r="AM43" s="509">
        <v>19.3</v>
      </c>
      <c r="AN43" s="509">
        <v>0.9</v>
      </c>
      <c r="AO43" s="509">
        <v>0.85544686980089402</v>
      </c>
      <c r="AP43" s="509">
        <v>0.9</v>
      </c>
      <c r="AQ43" s="398">
        <v>1</v>
      </c>
      <c r="AR43" s="10"/>
      <c r="AS43" s="509" t="s">
        <v>414</v>
      </c>
      <c r="AT43" s="527" t="s">
        <v>415</v>
      </c>
      <c r="AU43" s="547" t="s">
        <v>393</v>
      </c>
      <c r="AV43" s="532" t="s">
        <v>320</v>
      </c>
      <c r="AX43" s="792"/>
      <c r="AY43" s="787"/>
      <c r="AZ43" s="787"/>
      <c r="BA43" s="787"/>
      <c r="BB43" s="10"/>
      <c r="BC43" s="620"/>
      <c r="BD43" s="621"/>
      <c r="BE43" s="621"/>
      <c r="BF43" s="621"/>
      <c r="BG43" s="641"/>
      <c r="BH43" s="170" t="s">
        <v>151</v>
      </c>
      <c r="BI43" s="649" t="s">
        <v>280</v>
      </c>
      <c r="BJ43" s="170" t="s">
        <v>416</v>
      </c>
      <c r="BK43" s="649" t="s">
        <v>417</v>
      </c>
      <c r="BL43" s="638"/>
      <c r="BM43" s="620"/>
      <c r="BN43" s="16"/>
      <c r="BO43" s="527"/>
      <c r="BP43" s="670"/>
      <c r="BQ43" s="670"/>
      <c r="BR43" s="16"/>
      <c r="BS43" s="604"/>
      <c r="BT43" s="665"/>
      <c r="BU43" s="561"/>
      <c r="BV43" s="561"/>
      <c r="BX43" s="708"/>
      <c r="BY43" s="16" t="s">
        <v>132</v>
      </c>
      <c r="BZ43" s="523"/>
      <c r="CA43" s="16"/>
      <c r="CB43" s="523"/>
      <c r="CC43" s="10"/>
      <c r="CD43" s="714"/>
      <c r="CE43" s="509"/>
      <c r="CF43" s="715"/>
    </row>
    <row r="44" spans="3:84" ht="16.899999999999999" customHeight="1">
      <c r="C44" s="520" t="s">
        <v>418</v>
      </c>
      <c r="D44" s="520">
        <v>470</v>
      </c>
      <c r="E44" s="520">
        <v>499</v>
      </c>
      <c r="F44" s="520">
        <v>485</v>
      </c>
      <c r="G44" s="520">
        <v>485</v>
      </c>
      <c r="H44" s="520">
        <v>477</v>
      </c>
      <c r="I44" s="520">
        <v>6</v>
      </c>
      <c r="J44" s="520">
        <v>3</v>
      </c>
      <c r="K44" s="520">
        <v>4</v>
      </c>
      <c r="L44" s="520">
        <v>2</v>
      </c>
      <c r="M44" s="540" t="s">
        <v>419</v>
      </c>
      <c r="N44" s="520">
        <v>527</v>
      </c>
      <c r="O44" s="520">
        <v>558</v>
      </c>
      <c r="P44" s="520">
        <v>543</v>
      </c>
      <c r="Q44" s="520">
        <v>542</v>
      </c>
      <c r="R44" s="520">
        <v>534</v>
      </c>
      <c r="S44" s="520">
        <v>6</v>
      </c>
      <c r="T44" s="520">
        <v>3</v>
      </c>
      <c r="U44" s="520">
        <v>4</v>
      </c>
      <c r="V44" s="517">
        <v>2</v>
      </c>
      <c r="W44" s="560"/>
      <c r="X44" s="556" t="s">
        <v>398</v>
      </c>
      <c r="Y44" s="517">
        <v>18.600000000000001</v>
      </c>
      <c r="Z44" s="517">
        <v>20.3</v>
      </c>
      <c r="AA44" s="517">
        <v>19.2</v>
      </c>
      <c r="AB44" s="517">
        <v>19.600000000000001</v>
      </c>
      <c r="AC44" s="517">
        <v>20.3</v>
      </c>
      <c r="AD44" s="517">
        <v>1</v>
      </c>
      <c r="AE44" s="517">
        <v>0.9</v>
      </c>
      <c r="AF44" s="517">
        <v>1</v>
      </c>
      <c r="AG44" s="571">
        <v>1</v>
      </c>
      <c r="AH44" s="577" t="s">
        <v>309</v>
      </c>
      <c r="AI44" s="576">
        <v>13.1</v>
      </c>
      <c r="AJ44" s="576">
        <v>14.3</v>
      </c>
      <c r="AK44" s="576">
        <v>13.6</v>
      </c>
      <c r="AL44" s="576">
        <v>13.9</v>
      </c>
      <c r="AM44" s="576">
        <v>14.5</v>
      </c>
      <c r="AN44" s="576">
        <v>0.8</v>
      </c>
      <c r="AO44" s="576">
        <v>0.8</v>
      </c>
      <c r="AP44" s="576">
        <v>0.6</v>
      </c>
      <c r="AQ44" s="576">
        <v>1</v>
      </c>
      <c r="AR44" s="594"/>
      <c r="AS44" s="595" t="s">
        <v>418</v>
      </c>
      <c r="AT44" s="596" t="s">
        <v>419</v>
      </c>
      <c r="AU44" s="592" t="s">
        <v>398</v>
      </c>
      <c r="AV44" s="572" t="s">
        <v>309</v>
      </c>
      <c r="AX44" s="792"/>
      <c r="AY44" s="10"/>
      <c r="AZ44" s="10"/>
      <c r="BA44" s="10"/>
      <c r="BB44" s="10"/>
      <c r="BC44" s="620"/>
      <c r="BD44" s="621"/>
      <c r="BE44" s="621"/>
      <c r="BF44" s="621"/>
      <c r="BG44" s="661"/>
      <c r="BH44" s="658" t="s">
        <v>167</v>
      </c>
      <c r="BI44" s="659" t="s">
        <v>291</v>
      </c>
      <c r="BJ44" s="658" t="s">
        <v>420</v>
      </c>
      <c r="BK44" s="659" t="s">
        <v>421</v>
      </c>
      <c r="BL44" s="638"/>
      <c r="BN44" s="675"/>
      <c r="BO44" s="540"/>
      <c r="BP44" s="676"/>
      <c r="BQ44" s="676"/>
      <c r="BR44" s="675"/>
      <c r="BS44" s="631"/>
      <c r="BT44" s="677"/>
      <c r="BV44" s="787"/>
      <c r="BW44" s="10"/>
      <c r="BX44" s="710"/>
      <c r="BY44" s="675" t="s">
        <v>142</v>
      </c>
      <c r="CA44" s="675"/>
      <c r="CC44" s="561"/>
      <c r="CD44" s="726"/>
      <c r="CE44" s="595"/>
      <c r="CF44" s="727"/>
    </row>
    <row r="45" spans="3:84" ht="16.899999999999999" customHeight="1">
      <c r="C45" s="509" t="s">
        <v>422</v>
      </c>
      <c r="D45" s="509">
        <v>615</v>
      </c>
      <c r="E45" s="509">
        <v>651</v>
      </c>
      <c r="F45" s="509">
        <v>633</v>
      </c>
      <c r="G45" s="509">
        <v>632</v>
      </c>
      <c r="H45" s="509">
        <v>622</v>
      </c>
      <c r="I45" s="509">
        <v>7</v>
      </c>
      <c r="J45" s="509">
        <v>4</v>
      </c>
      <c r="K45" s="509">
        <v>4</v>
      </c>
      <c r="L45" s="509">
        <v>3</v>
      </c>
      <c r="M45" s="527" t="s">
        <v>423</v>
      </c>
      <c r="N45" s="509">
        <v>692</v>
      </c>
      <c r="O45" s="509">
        <v>732</v>
      </c>
      <c r="P45" s="509">
        <v>713</v>
      </c>
      <c r="Q45" s="509">
        <v>711</v>
      </c>
      <c r="R45" s="509">
        <v>700</v>
      </c>
      <c r="S45" s="509">
        <v>7</v>
      </c>
      <c r="T45" s="509">
        <v>4</v>
      </c>
      <c r="U45" s="509">
        <v>4</v>
      </c>
      <c r="V45" s="509">
        <v>3</v>
      </c>
      <c r="X45" s="547" t="s">
        <v>403</v>
      </c>
      <c r="Y45" s="509">
        <v>22</v>
      </c>
      <c r="Z45" s="509">
        <v>24.1</v>
      </c>
      <c r="AA45" s="509">
        <v>22.7</v>
      </c>
      <c r="AB45" s="509">
        <v>23.3</v>
      </c>
      <c r="AC45" s="509">
        <v>23.9</v>
      </c>
      <c r="AD45" s="509">
        <v>1</v>
      </c>
      <c r="AE45" s="509">
        <v>1</v>
      </c>
      <c r="AF45" s="509">
        <v>1</v>
      </c>
      <c r="AG45" s="569">
        <v>1</v>
      </c>
      <c r="AH45" s="566" t="s">
        <v>318</v>
      </c>
      <c r="AI45" s="509">
        <v>19.100000000000001</v>
      </c>
      <c r="AJ45" s="509">
        <v>20.6</v>
      </c>
      <c r="AK45" s="509">
        <v>19.7</v>
      </c>
      <c r="AL45" s="509">
        <v>19.899999999999999</v>
      </c>
      <c r="AM45" s="509">
        <v>20.5</v>
      </c>
      <c r="AN45" s="509">
        <v>0.9</v>
      </c>
      <c r="AO45" s="509">
        <v>0.9</v>
      </c>
      <c r="AP45" s="509">
        <v>0.7</v>
      </c>
      <c r="AQ45" s="509">
        <v>1</v>
      </c>
      <c r="AR45" s="10"/>
      <c r="AS45" s="509" t="s">
        <v>422</v>
      </c>
      <c r="AT45" s="527" t="s">
        <v>423</v>
      </c>
      <c r="AU45" s="547" t="s">
        <v>403</v>
      </c>
      <c r="AV45" s="566" t="s">
        <v>318</v>
      </c>
      <c r="AX45" s="10"/>
      <c r="AY45" s="10"/>
      <c r="AZ45" s="10"/>
      <c r="BA45" s="10"/>
      <c r="BB45" s="10"/>
      <c r="BC45" s="620"/>
      <c r="BD45" s="621"/>
      <c r="BE45" s="621"/>
      <c r="BF45" s="621"/>
      <c r="BG45" s="641"/>
      <c r="BH45" s="10"/>
      <c r="BI45" s="521"/>
      <c r="BJ45" s="521"/>
      <c r="BK45" s="521"/>
      <c r="BL45" s="638"/>
      <c r="BN45" s="16"/>
      <c r="BO45" s="527"/>
      <c r="BP45" s="670"/>
      <c r="BQ45" s="670"/>
      <c r="BR45" s="16"/>
      <c r="BS45" s="604"/>
      <c r="BT45" s="665"/>
      <c r="BU45" s="10"/>
      <c r="BV45" s="787"/>
      <c r="BX45" s="708"/>
      <c r="BY45" s="16" t="s">
        <v>153</v>
      </c>
      <c r="CA45" s="16"/>
      <c r="CB45" s="10"/>
      <c r="CD45" s="10"/>
      <c r="CE45" s="509"/>
      <c r="CF45" s="715"/>
    </row>
    <row r="46" spans="3:84" ht="16.899999999999999" customHeight="1">
      <c r="C46" s="520" t="s">
        <v>424</v>
      </c>
      <c r="D46" s="520">
        <v>767</v>
      </c>
      <c r="E46" s="520">
        <v>812</v>
      </c>
      <c r="F46" s="520">
        <v>790</v>
      </c>
      <c r="G46" s="520">
        <v>788</v>
      </c>
      <c r="H46" s="520">
        <v>775</v>
      </c>
      <c r="I46" s="520">
        <v>7</v>
      </c>
      <c r="J46" s="520">
        <v>4</v>
      </c>
      <c r="K46" s="520">
        <v>4</v>
      </c>
      <c r="L46" s="520">
        <v>3</v>
      </c>
      <c r="M46" s="540" t="s">
        <v>425</v>
      </c>
      <c r="N46" s="520">
        <v>866</v>
      </c>
      <c r="O46" s="520">
        <v>915</v>
      </c>
      <c r="P46" s="520">
        <v>892</v>
      </c>
      <c r="Q46" s="520">
        <v>889</v>
      </c>
      <c r="R46" s="520">
        <v>875</v>
      </c>
      <c r="S46" s="520">
        <v>7</v>
      </c>
      <c r="T46" s="520">
        <v>4</v>
      </c>
      <c r="U46" s="520">
        <v>4</v>
      </c>
      <c r="V46" s="520">
        <v>3</v>
      </c>
      <c r="W46" s="560"/>
      <c r="X46" s="789" t="e" vm="1">
        <f ca="1">_xlfn.DISPIMG("E7E067AEA80E55559E4A1216AE19CAD9(13)",1)</f>
        <v>#NAME?</v>
      </c>
      <c r="Y46" s="788" t="s">
        <v>426</v>
      </c>
      <c r="Z46" s="788"/>
      <c r="AA46" s="788"/>
      <c r="AB46" s="788"/>
      <c r="AC46" s="788"/>
      <c r="AD46" s="788"/>
      <c r="AE46" s="788"/>
      <c r="AF46" s="788"/>
      <c r="AG46" s="788"/>
      <c r="AH46" s="788"/>
      <c r="AI46" s="788"/>
      <c r="AJ46" s="788"/>
      <c r="AK46" s="788"/>
      <c r="AL46" s="788"/>
      <c r="AM46" s="788"/>
      <c r="AN46" s="788"/>
      <c r="AO46" s="788"/>
      <c r="AP46" s="788"/>
      <c r="AQ46" s="788"/>
      <c r="AR46" s="560"/>
      <c r="AS46" s="517" t="s">
        <v>424</v>
      </c>
      <c r="AT46" s="540" t="s">
        <v>425</v>
      </c>
      <c r="AU46" s="789"/>
      <c r="AV46" s="522"/>
      <c r="AX46" s="10"/>
      <c r="AY46" s="10"/>
      <c r="AZ46" s="10"/>
      <c r="BA46" s="10"/>
      <c r="BB46" s="10"/>
      <c r="BC46" s="620"/>
      <c r="BD46" s="621"/>
      <c r="BE46" s="621"/>
      <c r="BF46" s="621"/>
      <c r="BG46" s="661"/>
      <c r="BH46" s="10"/>
      <c r="BI46" s="10"/>
      <c r="BJ46" s="10"/>
      <c r="BK46" s="10"/>
      <c r="BN46" s="675"/>
      <c r="BO46" s="540"/>
      <c r="BP46" s="676"/>
      <c r="BQ46" s="676"/>
      <c r="BR46" s="675"/>
      <c r="BS46" s="631"/>
      <c r="BT46" s="628"/>
      <c r="BV46" s="787"/>
      <c r="BW46" s="10"/>
      <c r="BX46" s="710"/>
      <c r="BY46" s="675" t="s">
        <v>169</v>
      </c>
      <c r="CA46" s="675"/>
      <c r="CC46" s="10"/>
      <c r="CD46" s="628"/>
      <c r="CE46" s="517"/>
      <c r="CF46" s="727"/>
    </row>
    <row r="47" spans="3:84" ht="20.149999999999999" customHeight="1">
      <c r="C47" s="509" t="s">
        <v>427</v>
      </c>
      <c r="D47" s="509">
        <v>1006</v>
      </c>
      <c r="E47" s="509">
        <v>1063</v>
      </c>
      <c r="F47" s="509">
        <v>1037</v>
      </c>
      <c r="G47" s="509">
        <v>1033</v>
      </c>
      <c r="H47" s="509">
        <v>1016</v>
      </c>
      <c r="I47" s="509">
        <v>8</v>
      </c>
      <c r="J47" s="509">
        <v>5</v>
      </c>
      <c r="K47" s="509">
        <v>5</v>
      </c>
      <c r="L47" s="509">
        <v>4</v>
      </c>
      <c r="M47" s="527" t="s">
        <v>428</v>
      </c>
      <c r="N47" s="509">
        <v>1143</v>
      </c>
      <c r="O47" s="509">
        <v>1206</v>
      </c>
      <c r="P47" s="509">
        <v>1177</v>
      </c>
      <c r="Q47" s="509">
        <v>1171</v>
      </c>
      <c r="R47" s="509">
        <v>1153</v>
      </c>
      <c r="S47" s="509">
        <v>8</v>
      </c>
      <c r="T47" s="509">
        <v>5</v>
      </c>
      <c r="U47" s="509">
        <v>5</v>
      </c>
      <c r="V47" s="509">
        <v>4</v>
      </c>
      <c r="X47" s="792"/>
      <c r="Y47" s="787" t="s">
        <v>429</v>
      </c>
      <c r="Z47" s="787"/>
      <c r="AA47" s="787"/>
      <c r="AB47" s="787"/>
      <c r="AC47" s="787"/>
      <c r="AD47" s="787"/>
      <c r="AE47" s="787"/>
      <c r="AF47" s="787"/>
      <c r="AG47" s="787"/>
      <c r="AH47" s="787"/>
      <c r="AI47" s="787"/>
      <c r="AJ47" s="787"/>
      <c r="AK47" s="787"/>
      <c r="AL47" s="787"/>
      <c r="AM47" s="787"/>
      <c r="AN47" s="787"/>
      <c r="AO47" s="787"/>
      <c r="AP47" s="787"/>
      <c r="AQ47" s="787"/>
      <c r="AR47" s="10"/>
      <c r="AS47" s="509" t="s">
        <v>427</v>
      </c>
      <c r="AT47" s="527" t="s">
        <v>428</v>
      </c>
      <c r="AU47" s="792"/>
      <c r="AV47" s="523"/>
      <c r="AW47" s="10"/>
      <c r="AX47" s="10"/>
      <c r="AY47" s="10"/>
      <c r="AZ47" s="10"/>
      <c r="BA47" s="10"/>
      <c r="BB47" s="10"/>
      <c r="BC47" s="799"/>
      <c r="BD47" s="789"/>
      <c r="BE47" s="789"/>
      <c r="BF47" s="789"/>
      <c r="BG47" s="641"/>
      <c r="BH47" s="10"/>
      <c r="BI47" s="10"/>
      <c r="BJ47" s="10"/>
      <c r="BK47" s="10"/>
      <c r="BN47" s="800"/>
      <c r="BO47" s="790"/>
      <c r="BP47" s="790"/>
      <c r="BQ47" s="790"/>
      <c r="BR47" s="800"/>
      <c r="BS47" s="521"/>
      <c r="BT47" s="10"/>
      <c r="BU47" s="10"/>
      <c r="BV47" s="787"/>
      <c r="BX47" s="708"/>
      <c r="BY47" s="16" t="s">
        <v>184</v>
      </c>
      <c r="CA47" s="16"/>
      <c r="CB47" s="10"/>
      <c r="CD47" s="10"/>
      <c r="CE47" s="509"/>
      <c r="CF47" s="790"/>
    </row>
    <row r="48" spans="3:84" ht="20.149999999999999" customHeight="1">
      <c r="C48" s="790" t="e" vm="1">
        <f ca="1">_xlfn.DISPIMG("E7E067AEA80E55559E4A1216AE19CAD9(13)",1)</f>
        <v>#NAME?</v>
      </c>
      <c r="D48" s="791" t="s">
        <v>426</v>
      </c>
      <c r="E48" s="790"/>
      <c r="F48" s="790"/>
      <c r="G48" s="790"/>
      <c r="H48" s="790"/>
      <c r="I48" s="790"/>
      <c r="J48" s="790"/>
      <c r="K48" s="790"/>
      <c r="L48" s="790"/>
      <c r="M48" s="790"/>
      <c r="N48" s="790"/>
      <c r="O48" s="790"/>
      <c r="P48" s="790"/>
      <c r="Q48" s="790"/>
      <c r="R48" s="790"/>
      <c r="S48" s="790"/>
      <c r="T48" s="10"/>
      <c r="U48" s="10"/>
      <c r="V48" s="10"/>
      <c r="X48" s="789"/>
      <c r="Y48" s="787" t="s">
        <v>430</v>
      </c>
      <c r="Z48" s="787"/>
      <c r="AA48" s="787"/>
      <c r="AB48" s="787"/>
      <c r="AC48" s="787"/>
      <c r="AD48" s="787"/>
      <c r="AE48" s="787"/>
      <c r="AF48" s="787"/>
      <c r="AG48" s="787"/>
      <c r="AH48" s="787"/>
      <c r="AI48" s="787"/>
      <c r="AJ48" s="787"/>
      <c r="AK48" s="787"/>
      <c r="AL48" s="787"/>
      <c r="AM48" s="787"/>
      <c r="AN48" s="787"/>
      <c r="AO48" s="787"/>
      <c r="AP48" s="787"/>
      <c r="AQ48" s="787"/>
      <c r="AS48" s="792"/>
      <c r="AT48" s="10"/>
      <c r="AU48" s="789"/>
      <c r="AV48" s="10"/>
      <c r="AW48" s="632"/>
      <c r="AX48" s="10"/>
      <c r="AY48" s="10"/>
      <c r="AZ48" s="10"/>
      <c r="BA48" s="10"/>
      <c r="BB48" s="10"/>
      <c r="BC48" s="799"/>
      <c r="BD48" s="789"/>
      <c r="BE48" s="789"/>
      <c r="BF48" s="789"/>
      <c r="BG48" s="641"/>
      <c r="BH48" s="10"/>
      <c r="BI48" s="10"/>
      <c r="BJ48" s="10"/>
      <c r="BK48" s="10"/>
      <c r="BN48" s="800"/>
      <c r="BO48" s="792"/>
      <c r="BP48" s="792"/>
      <c r="BQ48" s="792"/>
      <c r="BR48" s="800"/>
      <c r="BS48" s="10"/>
      <c r="BT48" s="10"/>
      <c r="BV48" s="787"/>
      <c r="BX48" s="561"/>
      <c r="BY48" s="787"/>
      <c r="CA48" s="787"/>
      <c r="CD48" s="632"/>
      <c r="CE48" s="792"/>
      <c r="CF48" s="792"/>
    </row>
    <row r="49" spans="3:84" ht="15.75" customHeight="1">
      <c r="C49" s="792"/>
      <c r="D49" s="788" t="s">
        <v>429</v>
      </c>
      <c r="E49" s="792"/>
      <c r="F49" s="792"/>
      <c r="G49" s="792"/>
      <c r="H49" s="792"/>
      <c r="I49" s="792"/>
      <c r="J49" s="792"/>
      <c r="K49" s="792"/>
      <c r="L49" s="792"/>
      <c r="M49" s="792"/>
      <c r="N49" s="792"/>
      <c r="O49" s="792"/>
      <c r="P49" s="792"/>
      <c r="Q49" s="792"/>
      <c r="R49" s="792"/>
      <c r="S49" s="792"/>
      <c r="T49" s="523"/>
      <c r="U49" s="523"/>
      <c r="V49" s="10"/>
      <c r="AO49" s="523"/>
      <c r="AP49" s="523"/>
      <c r="AS49" s="792"/>
      <c r="AT49" s="10"/>
      <c r="AW49" s="10"/>
      <c r="AX49" s="10"/>
      <c r="AY49" s="10"/>
      <c r="AZ49" s="10"/>
      <c r="BA49" s="10"/>
      <c r="BB49" s="10"/>
      <c r="BC49" s="799"/>
      <c r="BD49" s="789"/>
      <c r="BE49" s="789"/>
      <c r="BF49" s="789"/>
      <c r="BG49" s="10"/>
      <c r="BH49" s="10"/>
      <c r="BI49" s="10"/>
      <c r="BJ49" s="10"/>
      <c r="BK49" s="10"/>
      <c r="BN49" s="800"/>
      <c r="BO49" s="792"/>
      <c r="BP49" s="792"/>
      <c r="BQ49" s="792"/>
      <c r="BR49" s="800"/>
      <c r="BS49" s="10"/>
      <c r="BT49" s="10"/>
      <c r="BV49" s="787"/>
      <c r="BX49" s="561"/>
      <c r="BY49" s="787"/>
      <c r="CA49" s="787"/>
      <c r="CE49" s="792"/>
      <c r="CF49" s="792"/>
    </row>
    <row r="50" spans="3:84" ht="15" customHeight="1">
      <c r="C50" s="792"/>
      <c r="D50" s="788" t="s">
        <v>430</v>
      </c>
      <c r="E50" s="788"/>
      <c r="F50" s="788"/>
      <c r="G50" s="788"/>
      <c r="H50" s="788"/>
      <c r="I50" s="788"/>
      <c r="J50" s="788"/>
      <c r="K50" s="788"/>
      <c r="L50" s="788"/>
      <c r="M50" s="788"/>
      <c r="N50" s="788"/>
      <c r="O50" s="788"/>
      <c r="P50" s="788"/>
      <c r="Q50" s="788"/>
      <c r="R50" s="788"/>
      <c r="S50" s="788"/>
      <c r="V50" s="10"/>
      <c r="AS50" s="792"/>
      <c r="AT50" s="10"/>
      <c r="BB50" s="10"/>
      <c r="BC50" s="799"/>
      <c r="BG50" s="10"/>
      <c r="BH50" s="10"/>
      <c r="BI50" s="10"/>
      <c r="BJ50" s="10"/>
      <c r="BK50" s="10"/>
      <c r="BN50" s="800"/>
      <c r="BO50" s="10"/>
      <c r="BP50" s="10"/>
      <c r="BQ50" s="10"/>
      <c r="BR50" s="800"/>
      <c r="BS50" s="10"/>
      <c r="BT50" s="10"/>
      <c r="BV50" s="787"/>
      <c r="BY50" s="787"/>
      <c r="CA50" s="787"/>
      <c r="CE50" s="792"/>
      <c r="CF50" s="792"/>
    </row>
  </sheetData>
  <sheetProtection sheet="1" objects="1" sort="0" autoFilter="0" pivotTables="0"/>
  <mergeCells count="92">
    <mergeCell ref="CF5:CF6"/>
    <mergeCell ref="CF47:CF50"/>
    <mergeCell ref="CC5:CC6"/>
    <mergeCell ref="CC21:CC22"/>
    <mergeCell ref="CC39:CC41"/>
    <mergeCell ref="CE5:CE6"/>
    <mergeCell ref="CE48:CE50"/>
    <mergeCell ref="BW28:BW29"/>
    <mergeCell ref="BY5:BY6"/>
    <mergeCell ref="BY25:BY26"/>
    <mergeCell ref="BY48:BY50"/>
    <mergeCell ref="CA5:CA6"/>
    <mergeCell ref="CA25:CA26"/>
    <mergeCell ref="CA48:CA50"/>
    <mergeCell ref="BR6:BR7"/>
    <mergeCell ref="BR47:BR50"/>
    <mergeCell ref="BS6:BS7"/>
    <mergeCell ref="BV5:BV6"/>
    <mergeCell ref="BV28:BV29"/>
    <mergeCell ref="BV37:BV39"/>
    <mergeCell ref="BV44:BV47"/>
    <mergeCell ref="BV48:BV50"/>
    <mergeCell ref="BO6:BO7"/>
    <mergeCell ref="BO28:BO29"/>
    <mergeCell ref="BP6:BP7"/>
    <mergeCell ref="BP28:BP29"/>
    <mergeCell ref="BQ6:BQ7"/>
    <mergeCell ref="BQ28:BQ29"/>
    <mergeCell ref="BI6:BI7"/>
    <mergeCell ref="BJ6:BJ7"/>
    <mergeCell ref="BK6:BK7"/>
    <mergeCell ref="BN6:BN7"/>
    <mergeCell ref="BN28:BN29"/>
    <mergeCell ref="BE6:BE7"/>
    <mergeCell ref="BE28:BE29"/>
    <mergeCell ref="BF6:BF7"/>
    <mergeCell ref="BF28:BF29"/>
    <mergeCell ref="BH6:BH7"/>
    <mergeCell ref="BC6:BC7"/>
    <mergeCell ref="BC28:BC29"/>
    <mergeCell ref="BC47:BC50"/>
    <mergeCell ref="BD6:BD7"/>
    <mergeCell ref="BD28:BD29"/>
    <mergeCell ref="AX18:AX19"/>
    <mergeCell ref="AX41:AX44"/>
    <mergeCell ref="AY18:AY19"/>
    <mergeCell ref="AZ18:AZ19"/>
    <mergeCell ref="BA18:BA19"/>
    <mergeCell ref="D49:S49"/>
    <mergeCell ref="BD49:BF49"/>
    <mergeCell ref="BO49:BQ49"/>
    <mergeCell ref="D50:S50"/>
    <mergeCell ref="C48:C50"/>
    <mergeCell ref="X46:X48"/>
    <mergeCell ref="AS48:AS50"/>
    <mergeCell ref="AU46:AU48"/>
    <mergeCell ref="BN47:BN50"/>
    <mergeCell ref="BD47:BF47"/>
    <mergeCell ref="BO47:BQ47"/>
    <mergeCell ref="D48:S48"/>
    <mergeCell ref="Y48:AQ48"/>
    <mergeCell ref="BD48:BF48"/>
    <mergeCell ref="BO48:BQ48"/>
    <mergeCell ref="AY41:BA41"/>
    <mergeCell ref="AY42:BA42"/>
    <mergeCell ref="AY43:BA43"/>
    <mergeCell ref="Y46:AQ46"/>
    <mergeCell ref="Y47:AQ47"/>
    <mergeCell ref="BR4:BS4"/>
    <mergeCell ref="BV4:BW4"/>
    <mergeCell ref="BC5:BF5"/>
    <mergeCell ref="BH5:BK5"/>
    <mergeCell ref="BN5:BQ5"/>
    <mergeCell ref="BR5:BS5"/>
    <mergeCell ref="BW5:BW6"/>
    <mergeCell ref="AY3:BA3"/>
    <mergeCell ref="BD3:BF3"/>
    <mergeCell ref="BI3:BK3"/>
    <mergeCell ref="BO3:BQ3"/>
    <mergeCell ref="D4:I4"/>
    <mergeCell ref="M4:V4"/>
    <mergeCell ref="X4:Y4"/>
    <mergeCell ref="Z4:AD4"/>
    <mergeCell ref="AH4:AQ4"/>
    <mergeCell ref="BC4:BE4"/>
    <mergeCell ref="BH4:BJ4"/>
    <mergeCell ref="BN4:BP4"/>
    <mergeCell ref="D3:P3"/>
    <mergeCell ref="Q3:S3"/>
    <mergeCell ref="X3:Y3"/>
    <mergeCell ref="Z3:AK3"/>
    <mergeCell ref="AL3:AN3"/>
  </mergeCells>
  <phoneticPr fontId="19" type="noConversion"/>
  <pageMargins left="0.27500000000000002" right="0.196527777777778" top="0.196527777777778" bottom="0" header="0.51180555555555596" footer="0.39305555555555599"/>
  <pageSetup paperSize="9" scale="93" orientation="portrait" horizontalDpi="300" verticalDpi="300"/>
  <headerFooter>
    <oddFooter>&amp;C&amp;P</oddFooter>
  </headerFooter>
  <colBreaks count="13" manualBreakCount="13">
    <brk id="23" max="58" man="1"/>
    <brk id="44" max="58" man="1"/>
    <brk id="49" max="58" man="1"/>
    <brk id="54" max="58" man="1"/>
    <brk id="59" max="58" man="1"/>
    <brk id="64" max="58" man="1"/>
    <brk id="65" max="58" man="1"/>
    <brk id="72" max="58" man="1"/>
    <brk id="73" max="58" man="1"/>
    <brk id="76" max="58" man="1"/>
    <brk id="78" max="58" man="1"/>
    <brk id="80" max="58" man="1"/>
    <brk id="82" max="58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FZ191"/>
  <sheetViews>
    <sheetView zoomScale="85" zoomScaleNormal="85" workbookViewId="0">
      <selection activeCell="D14" sqref="D14"/>
    </sheetView>
  </sheetViews>
  <sheetFormatPr defaultColWidth="9" defaultRowHeight="15"/>
  <cols>
    <col min="1" max="1" width="15.58203125" customWidth="1"/>
    <col min="2" max="2" width="30.25" customWidth="1"/>
    <col min="3" max="3" width="10.58203125" customWidth="1"/>
    <col min="4" max="4" width="35.58203125" customWidth="1"/>
    <col min="5" max="5" width="17" customWidth="1"/>
    <col min="6" max="6" width="18.58203125" customWidth="1"/>
    <col min="7" max="7" width="17.58203125" customWidth="1"/>
    <col min="8" max="8" width="23.5" customWidth="1"/>
    <col min="9" max="9" width="20.33203125" customWidth="1"/>
    <col min="10" max="10" width="19.33203125" customWidth="1"/>
    <col min="11" max="11" width="11.83203125" customWidth="1"/>
    <col min="12" max="12" width="10.75" customWidth="1"/>
    <col min="13" max="13" width="12.33203125" customWidth="1"/>
    <col min="14" max="14" width="17.75" customWidth="1"/>
  </cols>
  <sheetData>
    <row r="1" spans="1:182" ht="20.149999999999999" customHeight="1"/>
    <row r="2" spans="1:182" ht="25" customHeight="1">
      <c r="D2" s="415" t="s">
        <v>431</v>
      </c>
      <c r="E2" s="416"/>
      <c r="G2" s="417"/>
      <c r="H2" s="418" t="s">
        <v>432</v>
      </c>
      <c r="I2" s="451">
        <f ca="1">NOW()</f>
        <v>45312.960131018517</v>
      </c>
      <c r="J2" s="417"/>
      <c r="K2" s="417"/>
    </row>
    <row r="3" spans="1:182" ht="25" customHeight="1">
      <c r="A3" s="393"/>
      <c r="B3" s="393"/>
      <c r="C3" s="393"/>
      <c r="D3" s="816" t="s">
        <v>433</v>
      </c>
      <c r="E3" s="817"/>
      <c r="F3" s="817"/>
      <c r="G3" s="393"/>
      <c r="H3" s="818" t="s">
        <v>434</v>
      </c>
      <c r="I3" s="818"/>
      <c r="J3" s="818"/>
      <c r="K3" s="393"/>
      <c r="L3" s="393"/>
      <c r="M3" s="393"/>
      <c r="N3" s="393"/>
      <c r="O3" s="393"/>
      <c r="P3" s="393"/>
      <c r="Q3" s="393"/>
    </row>
    <row r="4" spans="1:182" ht="25" customHeight="1">
      <c r="A4" s="420"/>
      <c r="B4" s="421"/>
      <c r="C4" s="421"/>
      <c r="D4" s="422" t="s">
        <v>435</v>
      </c>
      <c r="E4" s="423" t="s">
        <v>436</v>
      </c>
      <c r="F4" s="424" t="s">
        <v>437</v>
      </c>
      <c r="G4" s="425"/>
      <c r="H4" s="831" t="s">
        <v>438</v>
      </c>
      <c r="I4" s="421" t="s">
        <v>439</v>
      </c>
      <c r="J4" s="421">
        <v>0.995</v>
      </c>
      <c r="K4" s="393"/>
      <c r="L4" s="452" t="s">
        <v>440</v>
      </c>
      <c r="M4" s="453" t="s">
        <v>441</v>
      </c>
      <c r="N4" s="393"/>
      <c r="O4" s="393"/>
      <c r="P4" s="393"/>
      <c r="Q4" s="393"/>
    </row>
    <row r="5" spans="1:182" ht="25" customHeight="1">
      <c r="A5" s="425" t="s">
        <v>442</v>
      </c>
      <c r="B5" s="421" t="s">
        <v>443</v>
      </c>
      <c r="C5" s="820" t="s">
        <v>444</v>
      </c>
      <c r="D5" s="426" t="s">
        <v>445</v>
      </c>
      <c r="E5" s="421">
        <v>65.5</v>
      </c>
      <c r="F5" s="421">
        <v>8.89</v>
      </c>
      <c r="G5" s="425"/>
      <c r="H5" s="831"/>
      <c r="I5" s="421" t="s">
        <v>446</v>
      </c>
      <c r="J5" s="454">
        <v>0.02</v>
      </c>
      <c r="K5" s="393"/>
      <c r="L5" s="455">
        <v>0</v>
      </c>
      <c r="M5" s="456">
        <v>0</v>
      </c>
      <c r="N5" s="393"/>
      <c r="O5" s="393"/>
      <c r="P5" s="393"/>
      <c r="Q5" s="393"/>
    </row>
    <row r="6" spans="1:182" ht="25" customHeight="1">
      <c r="A6" s="425" t="s">
        <v>447</v>
      </c>
      <c r="B6" s="421" t="s">
        <v>448</v>
      </c>
      <c r="C6" s="821"/>
      <c r="D6" s="426" t="s">
        <v>449</v>
      </c>
      <c r="E6" s="421">
        <v>18.5</v>
      </c>
      <c r="F6" s="421">
        <v>2.7</v>
      </c>
      <c r="G6" s="425"/>
      <c r="H6" s="831"/>
      <c r="I6" s="421" t="s">
        <v>450</v>
      </c>
      <c r="J6" s="454">
        <v>0</v>
      </c>
      <c r="K6" s="393"/>
      <c r="L6" s="457" t="s">
        <v>451</v>
      </c>
      <c r="M6" s="455" t="s">
        <v>452</v>
      </c>
      <c r="N6" s="393"/>
      <c r="Q6" s="393"/>
    </row>
    <row r="7" spans="1:182" ht="25" customHeight="1">
      <c r="A7" s="425"/>
      <c r="B7" s="421"/>
      <c r="C7" s="821"/>
      <c r="D7" s="426" t="s">
        <v>453</v>
      </c>
      <c r="E7" s="427">
        <f>E6+0.4</f>
        <v>18.899999999999999</v>
      </c>
      <c r="F7" s="421">
        <v>2.7</v>
      </c>
      <c r="G7" s="425"/>
      <c r="H7" s="831"/>
      <c r="I7" s="421"/>
      <c r="J7" s="454"/>
      <c r="K7" s="393"/>
      <c r="L7" s="457">
        <v>0</v>
      </c>
      <c r="M7" s="455">
        <v>0</v>
      </c>
      <c r="N7" s="393"/>
      <c r="Q7" s="393"/>
    </row>
    <row r="8" spans="1:182" ht="25" customHeight="1">
      <c r="A8" s="425" t="s">
        <v>447</v>
      </c>
      <c r="B8" s="421" t="s">
        <v>454</v>
      </c>
      <c r="C8" s="821"/>
      <c r="D8" s="426" t="s">
        <v>455</v>
      </c>
      <c r="E8" s="428">
        <f>E6+2.5</f>
        <v>21</v>
      </c>
      <c r="F8" s="421">
        <v>2.7</v>
      </c>
      <c r="G8" s="425"/>
      <c r="H8" s="429"/>
      <c r="I8" s="429"/>
      <c r="J8" s="458"/>
      <c r="K8" s="459"/>
      <c r="L8" s="460" t="s">
        <v>456</v>
      </c>
      <c r="M8" s="457" t="s">
        <v>457</v>
      </c>
      <c r="N8" s="393"/>
      <c r="O8" s="393"/>
      <c r="P8" s="393"/>
      <c r="Q8" s="393"/>
    </row>
    <row r="9" spans="1:182" ht="25" customHeight="1">
      <c r="A9" s="425"/>
      <c r="B9" s="430" t="s">
        <v>458</v>
      </c>
      <c r="C9" s="821"/>
      <c r="D9" s="426" t="s">
        <v>459</v>
      </c>
      <c r="E9" s="431">
        <f>E5+7</f>
        <v>72.5</v>
      </c>
      <c r="F9" s="421">
        <v>8.89</v>
      </c>
      <c r="G9" s="425"/>
      <c r="H9" s="432"/>
      <c r="I9" s="429"/>
      <c r="J9" s="458"/>
      <c r="K9" s="459"/>
      <c r="L9" s="461">
        <v>0.3</v>
      </c>
      <c r="M9" s="462">
        <v>0.3</v>
      </c>
      <c r="N9" s="393"/>
      <c r="O9" s="393"/>
      <c r="P9" s="393"/>
      <c r="Q9" s="393"/>
    </row>
    <row r="10" spans="1:182" ht="25" customHeight="1">
      <c r="A10" s="420"/>
      <c r="B10" s="421" t="s">
        <v>460</v>
      </c>
      <c r="C10" s="822"/>
      <c r="D10" s="426" t="s">
        <v>461</v>
      </c>
      <c r="E10" s="428">
        <f>E5+2</f>
        <v>67.5</v>
      </c>
      <c r="F10" s="421">
        <v>8.89</v>
      </c>
      <c r="G10" s="425"/>
      <c r="H10" s="820" t="s">
        <v>462</v>
      </c>
      <c r="I10" s="421" t="s">
        <v>463</v>
      </c>
      <c r="J10" s="421">
        <v>0.995</v>
      </c>
      <c r="K10" s="459"/>
      <c r="L10" s="459"/>
      <c r="M10" s="393"/>
      <c r="N10" s="393"/>
      <c r="O10" s="463"/>
      <c r="P10" s="463"/>
      <c r="Q10" s="463"/>
      <c r="R10" s="463"/>
      <c r="S10" s="463"/>
      <c r="T10" s="463"/>
      <c r="U10" s="463"/>
      <c r="V10" s="463"/>
      <c r="W10" s="463"/>
      <c r="X10" s="463"/>
      <c r="Y10" s="463"/>
      <c r="Z10" s="463"/>
      <c r="AA10" s="463"/>
      <c r="AB10" s="463"/>
      <c r="AC10" s="463"/>
      <c r="AD10" s="463"/>
      <c r="AE10" s="463"/>
      <c r="AF10" s="463"/>
      <c r="AG10" s="463"/>
      <c r="AI10" s="463"/>
      <c r="AJ10" s="463"/>
      <c r="AK10" s="463"/>
      <c r="AL10" s="463"/>
      <c r="AM10" s="463"/>
      <c r="AN10" s="463"/>
      <c r="AO10" s="463"/>
      <c r="AP10" s="463"/>
      <c r="AQ10" s="463"/>
      <c r="AR10" s="463"/>
      <c r="AS10" s="463"/>
      <c r="AT10" s="463"/>
      <c r="AU10" s="463"/>
      <c r="AV10" s="463"/>
      <c r="AX10" s="463"/>
      <c r="AY10" s="463"/>
      <c r="AZ10" s="463"/>
      <c r="BA10" s="463"/>
      <c r="BB10" s="463"/>
      <c r="BC10" s="463"/>
      <c r="BD10" s="463"/>
      <c r="BE10" s="463"/>
      <c r="BF10" s="463"/>
      <c r="BG10" s="463"/>
      <c r="BH10" s="463"/>
      <c r="BI10" s="463"/>
      <c r="BJ10" s="463"/>
      <c r="BK10" s="463"/>
      <c r="BL10" s="463"/>
      <c r="BM10" s="463"/>
      <c r="BN10" s="463"/>
      <c r="BO10" s="463"/>
      <c r="BP10" s="463"/>
      <c r="BQ10" s="463"/>
      <c r="BR10" s="463"/>
      <c r="BT10" s="463"/>
      <c r="BU10" s="463"/>
      <c r="BV10" s="463"/>
      <c r="BX10" s="463"/>
      <c r="BY10" s="463"/>
      <c r="BZ10" s="463"/>
      <c r="CB10" s="463"/>
      <c r="CC10" s="463"/>
      <c r="CD10" s="463"/>
      <c r="CF10" s="463"/>
      <c r="CG10" s="463"/>
      <c r="CH10" s="463"/>
      <c r="CJ10" s="463"/>
      <c r="CK10" s="463"/>
      <c r="CM10" s="463"/>
      <c r="CO10" s="463"/>
      <c r="CP10" s="463"/>
      <c r="CQ10" s="463"/>
      <c r="CS10" s="463"/>
      <c r="CT10" s="463"/>
      <c r="CU10" s="463"/>
      <c r="CW10" s="463"/>
      <c r="CX10" s="463"/>
      <c r="CY10" s="463"/>
      <c r="DA10" s="463"/>
      <c r="DB10" s="463"/>
      <c r="DC10" s="463"/>
      <c r="DD10" s="463"/>
      <c r="DE10" s="463"/>
      <c r="DF10" s="463"/>
      <c r="DH10" s="463"/>
      <c r="DI10" s="463"/>
      <c r="DJ10" s="463"/>
      <c r="DL10" s="463"/>
      <c r="DM10" s="463"/>
      <c r="DN10" s="463"/>
      <c r="DO10" s="463"/>
      <c r="DP10" s="463"/>
      <c r="DR10" s="463"/>
      <c r="DS10" s="463"/>
      <c r="DT10" s="463"/>
      <c r="DV10" s="463"/>
      <c r="DW10" s="463"/>
      <c r="DX10" s="463"/>
      <c r="DZ10" s="463"/>
      <c r="EA10" s="463"/>
      <c r="EB10" s="463"/>
      <c r="ED10" s="463"/>
      <c r="EE10" s="463"/>
      <c r="EF10" s="463"/>
      <c r="EH10" s="463"/>
      <c r="EI10" s="463"/>
      <c r="EJ10" s="463"/>
      <c r="EK10" s="463"/>
      <c r="EL10" s="463"/>
      <c r="EN10" s="463"/>
      <c r="EO10" s="463"/>
      <c r="EP10" s="463"/>
      <c r="ER10" s="463"/>
      <c r="ES10" s="463"/>
      <c r="ET10" s="463"/>
      <c r="EV10" s="463"/>
      <c r="EW10" s="463"/>
      <c r="EY10" s="463"/>
      <c r="EZ10" s="463"/>
      <c r="FA10" s="463"/>
      <c r="FB10" s="463"/>
      <c r="FC10" s="463"/>
      <c r="FD10" s="463"/>
      <c r="FE10" s="463"/>
      <c r="FF10" s="463"/>
      <c r="FG10" s="463"/>
      <c r="FH10" s="463"/>
      <c r="FI10" s="463"/>
      <c r="FJ10" s="463"/>
      <c r="FK10" s="463"/>
      <c r="FL10" s="463"/>
      <c r="FM10" s="463"/>
      <c r="FN10" s="463"/>
      <c r="FO10" s="463"/>
      <c r="FP10" s="463"/>
      <c r="FQ10" s="463"/>
      <c r="FS10" s="463"/>
      <c r="FT10" s="463"/>
      <c r="FU10" s="463"/>
      <c r="FV10" s="463"/>
      <c r="FW10" s="463"/>
      <c r="FX10" s="463"/>
      <c r="FY10" s="463"/>
      <c r="FZ10" s="463"/>
    </row>
    <row r="11" spans="1:182" ht="25" customHeight="1">
      <c r="A11" s="425" t="s">
        <v>464</v>
      </c>
      <c r="B11" s="421" t="s">
        <v>465</v>
      </c>
      <c r="C11" s="820" t="s">
        <v>466</v>
      </c>
      <c r="D11" s="426" t="s">
        <v>467</v>
      </c>
      <c r="E11" s="421">
        <v>10.199999999999999</v>
      </c>
      <c r="F11" s="421">
        <v>1.1000000000000001</v>
      </c>
      <c r="G11" s="425"/>
      <c r="H11" s="821"/>
      <c r="I11" s="421" t="s">
        <v>446</v>
      </c>
      <c r="J11" s="454">
        <v>0.05</v>
      </c>
      <c r="K11" s="459"/>
      <c r="L11" s="459"/>
      <c r="M11" s="393"/>
      <c r="N11" s="393"/>
      <c r="O11" s="463"/>
      <c r="P11" s="463"/>
      <c r="Q11" s="463"/>
      <c r="R11" s="463"/>
      <c r="S11" s="463"/>
      <c r="T11" s="463"/>
      <c r="U11" s="463"/>
      <c r="V11" s="463"/>
      <c r="W11" s="463"/>
      <c r="X11" s="463"/>
      <c r="Y11" s="463"/>
      <c r="Z11" s="463"/>
      <c r="AA11" s="463"/>
      <c r="AB11" s="463"/>
      <c r="AC11" s="463"/>
      <c r="AD11" s="463"/>
      <c r="AE11" s="463"/>
      <c r="AF11" s="463"/>
      <c r="AG11" s="463"/>
      <c r="AI11" s="463"/>
      <c r="AJ11" s="463"/>
      <c r="AK11" s="463"/>
      <c r="AL11" s="463"/>
      <c r="AM11" s="463"/>
      <c r="AN11" s="463"/>
      <c r="AO11" s="463"/>
      <c r="AP11" s="463"/>
      <c r="AQ11" s="463"/>
      <c r="AR11" s="463"/>
      <c r="AS11" s="463"/>
      <c r="AT11" s="463"/>
      <c r="AU11" s="463"/>
      <c r="AV11" s="463"/>
      <c r="AX11" s="463"/>
      <c r="AY11" s="463"/>
      <c r="AZ11" s="463"/>
      <c r="BA11" s="463"/>
      <c r="BB11" s="463"/>
      <c r="BC11" s="463"/>
      <c r="BD11" s="463"/>
      <c r="BE11" s="463"/>
      <c r="BF11" s="463"/>
      <c r="BG11" s="463"/>
      <c r="BH11" s="463"/>
      <c r="BI11" s="463"/>
      <c r="BJ11" s="463"/>
      <c r="BK11" s="463"/>
      <c r="BL11" s="463"/>
      <c r="BM11" s="463"/>
      <c r="BN11" s="463"/>
      <c r="BO11" s="463"/>
      <c r="BP11" s="463"/>
      <c r="BQ11" s="463"/>
      <c r="BR11" s="463"/>
      <c r="BT11" s="463"/>
      <c r="BU11" s="463"/>
      <c r="BV11" s="463"/>
      <c r="BX11" s="463"/>
      <c r="BY11" s="463"/>
      <c r="BZ11" s="463"/>
      <c r="CB11" s="463"/>
      <c r="CC11" s="463"/>
      <c r="CD11" s="463"/>
      <c r="CF11" s="463"/>
      <c r="CG11" s="463"/>
      <c r="CH11" s="463"/>
      <c r="CJ11" s="463"/>
      <c r="CK11" s="463"/>
      <c r="CM11" s="463"/>
      <c r="CO11" s="463"/>
      <c r="CP11" s="463"/>
      <c r="CQ11" s="463"/>
      <c r="CS11" s="463"/>
      <c r="CT11" s="463"/>
      <c r="CU11" s="463"/>
      <c r="CW11" s="463"/>
      <c r="CX11" s="463"/>
      <c r="CY11" s="463"/>
      <c r="DA11" s="463"/>
      <c r="DB11" s="463"/>
      <c r="DC11" s="463"/>
      <c r="DD11" s="463"/>
      <c r="DE11" s="463"/>
      <c r="DF11" s="463"/>
      <c r="DH11" s="463"/>
      <c r="DI11" s="463"/>
      <c r="DJ11" s="463"/>
      <c r="DL11" s="463"/>
      <c r="DM11" s="463"/>
      <c r="DN11" s="463"/>
      <c r="DO11" s="463"/>
      <c r="DP11" s="463"/>
      <c r="DR11" s="463"/>
      <c r="DS11" s="463"/>
      <c r="DT11" s="463"/>
      <c r="DV11" s="463"/>
      <c r="DW11" s="463"/>
      <c r="DX11" s="463"/>
      <c r="DZ11" s="463"/>
      <c r="EA11" s="463"/>
      <c r="EB11" s="463"/>
      <c r="ED11" s="463"/>
      <c r="EE11" s="463"/>
      <c r="EF11" s="463"/>
      <c r="EH11" s="463"/>
      <c r="EI11" s="463"/>
      <c r="EJ11" s="463"/>
      <c r="EK11" s="463"/>
      <c r="EL11" s="463"/>
      <c r="EN11" s="463"/>
      <c r="EO11" s="463"/>
      <c r="EP11" s="463"/>
      <c r="ER11" s="463"/>
      <c r="ES11" s="463"/>
      <c r="ET11" s="463"/>
      <c r="EV11" s="463"/>
      <c r="EW11" s="463"/>
      <c r="EY11" s="463"/>
      <c r="EZ11" s="463"/>
      <c r="FA11" s="463"/>
      <c r="FB11" s="463"/>
      <c r="FC11" s="463"/>
      <c r="FD11" s="463"/>
      <c r="FE11" s="463"/>
      <c r="FF11" s="463"/>
      <c r="FG11" s="463"/>
      <c r="FH11" s="463"/>
      <c r="FI11" s="463"/>
      <c r="FJ11" s="463"/>
      <c r="FK11" s="463"/>
      <c r="FL11" s="463"/>
      <c r="FM11" s="463"/>
      <c r="FN11" s="463"/>
      <c r="FO11" s="463"/>
      <c r="FP11" s="463"/>
      <c r="FQ11" s="463"/>
      <c r="FS11" s="463"/>
      <c r="FT11" s="463"/>
      <c r="FU11" s="463"/>
      <c r="FV11" s="463"/>
      <c r="FW11" s="463"/>
      <c r="FX11" s="463"/>
      <c r="FY11" s="463"/>
      <c r="FZ11" s="463"/>
    </row>
    <row r="12" spans="1:182" ht="25" customHeight="1">
      <c r="A12" s="425" t="s">
        <v>464</v>
      </c>
      <c r="B12" s="421" t="s">
        <v>468</v>
      </c>
      <c r="C12" s="821"/>
      <c r="D12" s="426" t="s">
        <v>469</v>
      </c>
      <c r="E12" s="428">
        <f>E11+1.3</f>
        <v>11.5</v>
      </c>
      <c r="F12" s="421">
        <v>1.1000000000000001</v>
      </c>
      <c r="G12" s="425"/>
      <c r="H12" s="821"/>
      <c r="I12" s="421" t="s">
        <v>470</v>
      </c>
      <c r="J12" s="421">
        <v>0.995</v>
      </c>
      <c r="K12" s="459"/>
      <c r="L12" s="459"/>
      <c r="M12" s="393"/>
      <c r="N12" s="393"/>
      <c r="O12" s="463"/>
      <c r="P12" s="463"/>
      <c r="Q12" s="463"/>
      <c r="R12" s="463"/>
      <c r="S12" s="463"/>
      <c r="T12" s="463"/>
      <c r="U12" s="463"/>
      <c r="V12" s="463"/>
      <c r="W12" s="463"/>
      <c r="X12" s="463"/>
      <c r="Y12" s="463"/>
      <c r="Z12" s="463"/>
      <c r="AA12" s="463"/>
      <c r="AB12" s="463"/>
      <c r="AC12" s="463"/>
      <c r="AD12" s="463"/>
      <c r="AE12" s="463"/>
      <c r="AF12" s="463"/>
      <c r="AG12" s="463"/>
      <c r="AI12" s="463"/>
      <c r="AJ12" s="463"/>
      <c r="AK12" s="463"/>
      <c r="AL12" s="463"/>
      <c r="AM12" s="463"/>
      <c r="AN12" s="463"/>
      <c r="AO12" s="463"/>
      <c r="AP12" s="463"/>
      <c r="AQ12" s="463"/>
      <c r="AR12" s="463"/>
      <c r="AS12" s="463"/>
      <c r="AT12" s="463"/>
      <c r="AU12" s="463"/>
      <c r="AV12" s="463"/>
      <c r="AX12" s="463"/>
      <c r="AY12" s="463"/>
      <c r="AZ12" s="463"/>
      <c r="BA12" s="463"/>
      <c r="BB12" s="463"/>
      <c r="BC12" s="463"/>
      <c r="BD12" s="463"/>
      <c r="BE12" s="463"/>
      <c r="BF12" s="463"/>
      <c r="BG12" s="463"/>
      <c r="BH12" s="463"/>
      <c r="BI12" s="463"/>
      <c r="BJ12" s="463"/>
      <c r="BK12" s="463"/>
      <c r="BL12" s="463"/>
      <c r="BM12" s="463"/>
      <c r="BN12" s="463"/>
      <c r="BO12" s="463"/>
      <c r="BP12" s="463"/>
      <c r="BQ12" s="463"/>
      <c r="BR12" s="463"/>
      <c r="BT12" s="463"/>
      <c r="BU12" s="463"/>
      <c r="BV12" s="463"/>
      <c r="BX12" s="463"/>
      <c r="BY12" s="463"/>
      <c r="BZ12" s="463"/>
      <c r="CB12" s="463"/>
      <c r="CC12" s="463"/>
      <c r="CD12" s="463"/>
      <c r="CF12" s="463"/>
      <c r="CG12" s="463"/>
      <c r="CH12" s="463"/>
      <c r="CJ12" s="463"/>
      <c r="CK12" s="463"/>
      <c r="CM12" s="463"/>
      <c r="CO12" s="463"/>
      <c r="CP12" s="463"/>
      <c r="CQ12" s="463"/>
      <c r="CS12" s="463"/>
      <c r="CT12" s="463"/>
      <c r="CU12" s="463"/>
      <c r="CW12" s="463"/>
      <c r="CX12" s="463"/>
      <c r="CY12" s="463"/>
      <c r="DA12" s="463"/>
      <c r="DB12" s="463"/>
      <c r="DC12" s="463"/>
      <c r="DD12" s="463"/>
      <c r="DE12" s="463"/>
      <c r="DF12" s="463"/>
      <c r="DH12" s="463"/>
      <c r="DI12" s="463"/>
      <c r="DJ12" s="463"/>
      <c r="DL12" s="463"/>
      <c r="DM12" s="463"/>
      <c r="DN12" s="463"/>
      <c r="DO12" s="463"/>
      <c r="DP12" s="463"/>
      <c r="DR12" s="463"/>
      <c r="DS12" s="463"/>
      <c r="DT12" s="463"/>
      <c r="DV12" s="463"/>
      <c r="DW12" s="463"/>
      <c r="DX12" s="463"/>
      <c r="DZ12" s="463"/>
      <c r="EA12" s="463"/>
      <c r="EB12" s="463"/>
      <c r="ED12" s="463"/>
      <c r="EE12" s="463"/>
      <c r="EF12" s="463"/>
      <c r="EH12" s="463"/>
      <c r="EI12" s="463"/>
      <c r="EJ12" s="463"/>
      <c r="EK12" s="463"/>
      <c r="EL12" s="463"/>
      <c r="EN12" s="463"/>
      <c r="EO12" s="463"/>
      <c r="EP12" s="463"/>
      <c r="ER12" s="463"/>
      <c r="ES12" s="463"/>
      <c r="ET12" s="463"/>
      <c r="EV12" s="463"/>
      <c r="EW12" s="463"/>
      <c r="EY12" s="463"/>
      <c r="EZ12" s="463"/>
      <c r="FA12" s="463"/>
      <c r="FB12" s="463"/>
      <c r="FC12" s="463"/>
      <c r="FD12" s="463"/>
      <c r="FE12" s="463"/>
      <c r="FF12" s="463"/>
      <c r="FG12" s="463"/>
      <c r="FH12" s="463"/>
      <c r="FI12" s="463"/>
      <c r="FJ12" s="463"/>
      <c r="FK12" s="463"/>
      <c r="FL12" s="463"/>
      <c r="FM12" s="463"/>
      <c r="FN12" s="463"/>
      <c r="FO12" s="463"/>
      <c r="FP12" s="463"/>
      <c r="FQ12" s="463"/>
      <c r="FS12" s="463"/>
      <c r="FT12" s="463"/>
      <c r="FU12" s="463"/>
      <c r="FV12" s="463"/>
      <c r="FW12" s="463"/>
      <c r="FX12" s="463"/>
      <c r="FY12" s="463"/>
      <c r="FZ12" s="463"/>
    </row>
    <row r="13" spans="1:182" ht="25" customHeight="1">
      <c r="A13" s="425" t="s">
        <v>464</v>
      </c>
      <c r="B13" s="421" t="s">
        <v>471</v>
      </c>
      <c r="C13" s="821"/>
      <c r="D13" s="426" t="s">
        <v>472</v>
      </c>
      <c r="E13" s="428">
        <f>E11+1.8</f>
        <v>12</v>
      </c>
      <c r="F13" s="421">
        <v>1.47</v>
      </c>
      <c r="G13" s="425"/>
      <c r="H13" s="821"/>
      <c r="I13" s="421" t="s">
        <v>450</v>
      </c>
      <c r="J13" s="454">
        <v>0</v>
      </c>
      <c r="K13" s="459"/>
      <c r="L13" s="459"/>
      <c r="M13" s="393"/>
      <c r="N13" s="393"/>
      <c r="O13" s="463"/>
      <c r="P13" s="463"/>
      <c r="Q13" s="463"/>
      <c r="R13" s="463"/>
      <c r="S13" s="463"/>
      <c r="T13" s="463"/>
      <c r="U13" s="463"/>
      <c r="V13" s="463"/>
      <c r="W13" s="463"/>
      <c r="X13" s="463"/>
      <c r="Y13" s="463"/>
      <c r="Z13" s="463"/>
      <c r="AA13" s="463"/>
      <c r="AB13" s="463"/>
      <c r="AC13" s="463"/>
      <c r="AD13" s="463"/>
      <c r="AE13" s="463"/>
      <c r="AF13" s="463"/>
      <c r="AG13" s="463"/>
      <c r="AI13" s="463"/>
      <c r="AJ13" s="463"/>
      <c r="AK13" s="463"/>
      <c r="AL13" s="463"/>
      <c r="AM13" s="463"/>
      <c r="AN13" s="463"/>
      <c r="AO13" s="463"/>
      <c r="AP13" s="463"/>
      <c r="AQ13" s="463"/>
      <c r="AR13" s="463"/>
      <c r="AS13" s="463"/>
      <c r="AT13" s="463"/>
      <c r="AU13" s="463"/>
      <c r="AV13" s="463"/>
      <c r="AX13" s="463"/>
      <c r="AY13" s="463"/>
      <c r="AZ13" s="463"/>
      <c r="BA13" s="463"/>
      <c r="BB13" s="463"/>
      <c r="BC13" s="463"/>
      <c r="BD13" s="463"/>
      <c r="BE13" s="463"/>
      <c r="BF13" s="463"/>
      <c r="BG13" s="463"/>
      <c r="BH13" s="463"/>
      <c r="BI13" s="463"/>
      <c r="BJ13" s="463"/>
      <c r="BK13" s="463"/>
      <c r="BL13" s="463"/>
      <c r="BM13" s="463"/>
      <c r="BN13" s="463"/>
      <c r="BO13" s="463"/>
      <c r="BP13" s="463"/>
      <c r="BQ13" s="463"/>
      <c r="BR13" s="463"/>
      <c r="BT13" s="463"/>
      <c r="BU13" s="463"/>
      <c r="BV13" s="463"/>
      <c r="BX13" s="463"/>
      <c r="BY13" s="463"/>
      <c r="BZ13" s="463"/>
      <c r="CB13" s="463"/>
      <c r="CC13" s="463"/>
      <c r="CD13" s="463"/>
      <c r="CF13" s="463"/>
      <c r="CG13" s="463"/>
      <c r="CH13" s="463"/>
      <c r="CJ13" s="463"/>
      <c r="CK13" s="463"/>
      <c r="CM13" s="463"/>
      <c r="CO13" s="463"/>
      <c r="CP13" s="463"/>
      <c r="CQ13" s="463"/>
      <c r="CS13" s="463"/>
      <c r="CT13" s="463"/>
      <c r="CU13" s="463"/>
      <c r="CW13" s="463"/>
      <c r="CX13" s="463"/>
      <c r="CY13" s="463"/>
      <c r="DA13" s="463"/>
      <c r="DB13" s="463"/>
      <c r="DC13" s="463"/>
      <c r="DD13" s="463"/>
      <c r="DE13" s="463"/>
      <c r="DF13" s="463"/>
      <c r="DH13" s="463"/>
      <c r="DI13" s="463"/>
      <c r="DJ13" s="463"/>
      <c r="DL13" s="463"/>
      <c r="DM13" s="463"/>
      <c r="DN13" s="463"/>
      <c r="DO13" s="463"/>
      <c r="DP13" s="463"/>
      <c r="DR13" s="463"/>
      <c r="DS13" s="463"/>
      <c r="DT13" s="463"/>
      <c r="DV13" s="463"/>
      <c r="DW13" s="463"/>
      <c r="DX13" s="463"/>
      <c r="DZ13" s="463"/>
      <c r="EA13" s="463"/>
      <c r="EB13" s="463"/>
      <c r="ED13" s="463"/>
      <c r="EE13" s="463"/>
      <c r="EF13" s="463"/>
      <c r="EH13" s="463"/>
      <c r="EI13" s="463"/>
      <c r="EJ13" s="463"/>
      <c r="EK13" s="463"/>
      <c r="EL13" s="463"/>
      <c r="EN13" s="463"/>
      <c r="EO13" s="463"/>
      <c r="EP13" s="463"/>
      <c r="ER13" s="463"/>
      <c r="ES13" s="463"/>
      <c r="ET13" s="463"/>
      <c r="EV13" s="463"/>
      <c r="EW13" s="463"/>
      <c r="EY13" s="463"/>
      <c r="EZ13" s="463"/>
      <c r="FA13" s="463"/>
      <c r="FB13" s="463"/>
      <c r="FC13" s="463"/>
      <c r="FD13" s="463"/>
      <c r="FE13" s="463"/>
      <c r="FF13" s="463"/>
      <c r="FG13" s="463"/>
      <c r="FH13" s="463"/>
      <c r="FI13" s="463"/>
      <c r="FJ13" s="463"/>
      <c r="FK13" s="463"/>
      <c r="FL13" s="463"/>
      <c r="FM13" s="463"/>
      <c r="FN13" s="463"/>
      <c r="FO13" s="463"/>
      <c r="FP13" s="463"/>
      <c r="FQ13" s="463"/>
      <c r="FS13" s="463"/>
      <c r="FT13" s="463"/>
      <c r="FU13" s="463"/>
      <c r="FV13" s="463"/>
      <c r="FW13" s="463"/>
      <c r="FX13" s="463"/>
      <c r="FY13" s="463"/>
      <c r="FZ13" s="463"/>
    </row>
    <row r="14" spans="1:182" ht="25" customHeight="1">
      <c r="A14" s="425"/>
      <c r="B14" s="421" t="s">
        <v>473</v>
      </c>
      <c r="C14" s="821"/>
      <c r="D14" s="426" t="s">
        <v>474</v>
      </c>
      <c r="E14" s="433">
        <f>E22</f>
        <v>10</v>
      </c>
      <c r="F14" s="421">
        <v>1.47</v>
      </c>
      <c r="G14" s="425"/>
      <c r="H14" s="821"/>
      <c r="I14" s="464" t="s">
        <v>475</v>
      </c>
      <c r="J14" s="464">
        <v>100</v>
      </c>
      <c r="K14" s="459"/>
      <c r="L14" s="459"/>
      <c r="M14" s="463"/>
      <c r="N14" s="463"/>
      <c r="O14" s="463"/>
      <c r="P14" s="463"/>
      <c r="Q14" s="463"/>
      <c r="R14" s="463"/>
      <c r="S14" s="463"/>
      <c r="T14" s="463"/>
      <c r="U14" s="463"/>
      <c r="V14" s="463"/>
      <c r="W14" s="463"/>
      <c r="X14" s="463"/>
      <c r="Y14" s="463"/>
      <c r="Z14" s="463"/>
      <c r="AA14" s="463"/>
      <c r="AB14" s="463"/>
      <c r="AC14" s="463"/>
      <c r="AD14" s="463"/>
      <c r="AE14" s="463"/>
      <c r="AF14" s="463"/>
      <c r="AG14" s="463"/>
      <c r="AI14" s="463"/>
      <c r="AJ14" s="463"/>
      <c r="AK14" s="463"/>
      <c r="AL14" s="463"/>
      <c r="AM14" s="463"/>
      <c r="AN14" s="463"/>
      <c r="AO14" s="463"/>
      <c r="AP14" s="463"/>
      <c r="AQ14" s="463"/>
      <c r="AR14" s="463"/>
      <c r="AS14" s="463"/>
      <c r="AT14" s="463"/>
      <c r="AU14" s="463"/>
      <c r="AV14" s="463"/>
      <c r="AX14" s="463"/>
      <c r="AY14" s="463"/>
      <c r="AZ14" s="463"/>
      <c r="BA14" s="463"/>
      <c r="BB14" s="463"/>
      <c r="BC14" s="463"/>
      <c r="BD14" s="463"/>
      <c r="BE14" s="463"/>
      <c r="BF14" s="463"/>
      <c r="BG14" s="463"/>
      <c r="BH14" s="463"/>
      <c r="BI14" s="463"/>
      <c r="BJ14" s="463"/>
      <c r="BK14" s="463"/>
      <c r="BL14" s="463"/>
      <c r="BM14" s="463"/>
      <c r="BN14" s="463"/>
      <c r="BO14" s="463"/>
      <c r="BP14" s="463"/>
      <c r="BQ14" s="463"/>
      <c r="BR14" s="463"/>
      <c r="BT14" s="463"/>
      <c r="BU14" s="463"/>
      <c r="BV14" s="463"/>
      <c r="BX14" s="463"/>
      <c r="BY14" s="463"/>
      <c r="BZ14" s="463"/>
      <c r="CB14" s="463"/>
      <c r="CC14" s="463"/>
      <c r="CD14" s="463"/>
      <c r="CF14" s="463"/>
      <c r="CG14" s="463"/>
      <c r="CH14" s="463"/>
      <c r="CJ14" s="463"/>
      <c r="CK14" s="463"/>
      <c r="CM14" s="463"/>
      <c r="CO14" s="463"/>
      <c r="CP14" s="463"/>
      <c r="CQ14" s="463"/>
      <c r="CS14" s="463"/>
      <c r="CT14" s="463"/>
      <c r="CU14" s="463"/>
      <c r="CW14" s="463"/>
      <c r="CX14" s="463"/>
      <c r="CY14" s="463"/>
      <c r="DA14" s="463"/>
      <c r="DB14" s="463"/>
      <c r="DC14" s="463"/>
      <c r="DD14" s="463"/>
      <c r="DE14" s="463"/>
      <c r="DF14" s="463"/>
      <c r="DH14" s="463"/>
      <c r="DI14" s="463"/>
      <c r="DJ14" s="463"/>
      <c r="DL14" s="463"/>
      <c r="DM14" s="463"/>
      <c r="DN14" s="463"/>
      <c r="DO14" s="463"/>
      <c r="DP14" s="463"/>
      <c r="DR14" s="463"/>
      <c r="DS14" s="463"/>
      <c r="DT14" s="463"/>
      <c r="DV14" s="463"/>
      <c r="DW14" s="463"/>
      <c r="DX14" s="463"/>
      <c r="DZ14" s="463"/>
      <c r="EA14" s="463"/>
      <c r="EB14" s="463"/>
      <c r="ED14" s="463"/>
      <c r="EE14" s="463"/>
      <c r="EF14" s="463"/>
      <c r="EH14" s="463"/>
      <c r="EI14" s="463"/>
      <c r="EJ14" s="463"/>
      <c r="EK14" s="463"/>
      <c r="EL14" s="463"/>
      <c r="EN14" s="463"/>
      <c r="EO14" s="463"/>
      <c r="EP14" s="463"/>
      <c r="ER14" s="463"/>
      <c r="ES14" s="463"/>
      <c r="ET14" s="463"/>
      <c r="EV14" s="463"/>
      <c r="EW14" s="463"/>
      <c r="EY14" s="463"/>
      <c r="EZ14" s="463"/>
      <c r="FA14" s="463"/>
      <c r="FB14" s="463"/>
      <c r="FC14" s="463"/>
      <c r="FD14" s="463"/>
      <c r="FE14" s="463"/>
      <c r="FF14" s="463"/>
      <c r="FG14" s="463"/>
      <c r="FH14" s="463"/>
      <c r="FI14" s="463"/>
      <c r="FJ14" s="463"/>
      <c r="FK14" s="463"/>
      <c r="FL14" s="463"/>
      <c r="FM14" s="463"/>
      <c r="FN14" s="463"/>
      <c r="FO14" s="463"/>
      <c r="FP14" s="463"/>
      <c r="FQ14" s="463"/>
      <c r="FS14" s="463"/>
      <c r="FT14" s="463"/>
      <c r="FU14" s="463"/>
      <c r="FV14" s="463"/>
      <c r="FW14" s="463"/>
      <c r="FX14" s="463"/>
      <c r="FY14" s="463"/>
      <c r="FZ14" s="463"/>
    </row>
    <row r="15" spans="1:182" ht="25" customHeight="1">
      <c r="A15" s="425"/>
      <c r="B15" s="421" t="s">
        <v>473</v>
      </c>
      <c r="C15" s="821"/>
      <c r="D15" s="426" t="s">
        <v>476</v>
      </c>
      <c r="E15" s="433">
        <f>E23</f>
        <v>7.6</v>
      </c>
      <c r="F15" s="421">
        <v>1.47</v>
      </c>
      <c r="G15" s="425"/>
      <c r="H15" s="821"/>
      <c r="I15" s="464" t="s">
        <v>477</v>
      </c>
      <c r="J15" s="464">
        <v>100</v>
      </c>
      <c r="K15" s="459"/>
      <c r="L15" s="459"/>
      <c r="M15" s="393"/>
      <c r="N15" s="393"/>
      <c r="O15" s="463"/>
      <c r="P15" s="463"/>
      <c r="Q15" s="463"/>
      <c r="R15" s="463"/>
      <c r="S15" s="463"/>
      <c r="T15" s="463"/>
      <c r="U15" s="463"/>
      <c r="V15" s="463"/>
      <c r="W15" s="463"/>
      <c r="X15" s="463"/>
      <c r="Y15" s="463"/>
      <c r="Z15" s="463"/>
      <c r="AA15" s="463"/>
      <c r="AB15" s="463"/>
      <c r="AC15" s="463"/>
      <c r="AD15" s="463"/>
      <c r="AE15" s="463"/>
      <c r="AF15" s="463"/>
      <c r="AG15" s="463"/>
      <c r="AI15" s="463"/>
      <c r="AJ15" s="463"/>
      <c r="AK15" s="463"/>
      <c r="AL15" s="463"/>
      <c r="AM15" s="463"/>
      <c r="AN15" s="463"/>
      <c r="AO15" s="463"/>
      <c r="AP15" s="463"/>
      <c r="AQ15" s="463"/>
      <c r="AR15" s="463"/>
      <c r="AS15" s="463"/>
      <c r="AT15" s="463"/>
      <c r="AU15" s="463"/>
      <c r="AV15" s="463"/>
      <c r="AX15" s="463"/>
      <c r="AY15" s="463"/>
      <c r="AZ15" s="463"/>
      <c r="BA15" s="463"/>
      <c r="BB15" s="463"/>
      <c r="BC15" s="463"/>
      <c r="BD15" s="463"/>
      <c r="BE15" s="463"/>
      <c r="BF15" s="463"/>
      <c r="BG15" s="463"/>
      <c r="BH15" s="463"/>
      <c r="BI15" s="463"/>
      <c r="BJ15" s="463"/>
      <c r="BK15" s="463"/>
      <c r="BL15" s="463"/>
      <c r="BM15" s="463"/>
      <c r="BN15" s="463"/>
      <c r="BO15" s="463"/>
      <c r="BP15" s="463"/>
      <c r="BQ15" s="463"/>
      <c r="BR15" s="463"/>
      <c r="BT15" s="463"/>
      <c r="BU15" s="463"/>
      <c r="BV15" s="463"/>
      <c r="BX15" s="463"/>
      <c r="BY15" s="463"/>
      <c r="BZ15" s="463"/>
      <c r="CB15" s="463"/>
      <c r="CC15" s="463"/>
      <c r="CD15" s="463"/>
      <c r="CF15" s="463"/>
      <c r="CG15" s="463"/>
      <c r="CH15" s="463"/>
      <c r="CJ15" s="463"/>
      <c r="CK15" s="463"/>
      <c r="CM15" s="463"/>
      <c r="CO15" s="463"/>
      <c r="CP15" s="463"/>
      <c r="CQ15" s="463"/>
      <c r="CS15" s="463"/>
      <c r="CT15" s="463"/>
      <c r="CU15" s="463"/>
      <c r="CW15" s="463"/>
      <c r="CX15" s="463"/>
      <c r="CY15" s="463"/>
      <c r="DA15" s="463"/>
      <c r="DB15" s="463"/>
      <c r="DC15" s="463"/>
      <c r="DD15" s="463"/>
      <c r="DE15" s="463"/>
      <c r="DF15" s="463"/>
      <c r="DH15" s="463"/>
      <c r="DI15" s="463"/>
      <c r="DJ15" s="463"/>
      <c r="DL15" s="463"/>
      <c r="DM15" s="463"/>
      <c r="DN15" s="463"/>
      <c r="DO15" s="463"/>
      <c r="DP15" s="463"/>
      <c r="DR15" s="463"/>
      <c r="DS15" s="463"/>
      <c r="DT15" s="463"/>
      <c r="DV15" s="463"/>
      <c r="DW15" s="463"/>
      <c r="DX15" s="463"/>
      <c r="DZ15" s="463"/>
      <c r="EA15" s="463"/>
      <c r="EB15" s="463"/>
      <c r="ED15" s="463"/>
      <c r="EE15" s="463"/>
      <c r="EF15" s="463"/>
      <c r="EH15" s="463"/>
      <c r="EI15" s="463"/>
      <c r="EJ15" s="463"/>
      <c r="EK15" s="463"/>
      <c r="EL15" s="463"/>
      <c r="EN15" s="463"/>
      <c r="EO15" s="463"/>
      <c r="EP15" s="463"/>
      <c r="ER15" s="463"/>
      <c r="ES15" s="463"/>
      <c r="ET15" s="463"/>
      <c r="EV15" s="463"/>
      <c r="EW15" s="463"/>
      <c r="EY15" s="463"/>
      <c r="EZ15" s="463"/>
      <c r="FA15" s="463"/>
      <c r="FB15" s="463"/>
      <c r="FC15" s="463"/>
      <c r="FD15" s="463"/>
      <c r="FE15" s="463"/>
      <c r="FF15" s="463"/>
      <c r="FG15" s="463"/>
      <c r="FH15" s="463"/>
      <c r="FI15" s="463"/>
      <c r="FJ15" s="463"/>
      <c r="FK15" s="463"/>
      <c r="FL15" s="463"/>
      <c r="FM15" s="463"/>
      <c r="FN15" s="463"/>
      <c r="FO15" s="463"/>
      <c r="FP15" s="463"/>
      <c r="FQ15" s="463"/>
      <c r="FS15" s="463"/>
      <c r="FT15" s="463"/>
      <c r="FU15" s="463"/>
      <c r="FV15" s="463"/>
      <c r="FW15" s="463"/>
      <c r="FX15" s="463"/>
      <c r="FY15" s="463"/>
      <c r="FZ15" s="463"/>
    </row>
    <row r="16" spans="1:182" ht="25" customHeight="1">
      <c r="A16" s="425"/>
      <c r="B16" s="421"/>
      <c r="C16" s="821"/>
      <c r="D16" s="426"/>
      <c r="E16" s="434"/>
      <c r="F16" s="421"/>
      <c r="G16" s="425"/>
      <c r="H16" s="822"/>
      <c r="I16" s="421"/>
      <c r="J16" s="454"/>
      <c r="K16" s="459"/>
      <c r="L16" s="459"/>
      <c r="M16" s="393"/>
      <c r="N16" s="393"/>
      <c r="O16" s="463"/>
      <c r="P16" s="463"/>
      <c r="Q16" s="463"/>
      <c r="R16" s="463"/>
      <c r="S16" s="463"/>
      <c r="T16" s="463"/>
      <c r="U16" s="463"/>
      <c r="V16" s="463"/>
      <c r="W16" s="463"/>
      <c r="X16" s="463"/>
      <c r="Y16" s="463"/>
      <c r="Z16" s="463"/>
      <c r="AA16" s="463"/>
      <c r="AB16" s="463"/>
      <c r="AC16" s="463"/>
      <c r="AD16" s="463"/>
      <c r="AE16" s="463"/>
      <c r="AF16" s="463"/>
      <c r="AG16" s="463"/>
      <c r="AI16" s="463"/>
      <c r="AJ16" s="463"/>
      <c r="AK16" s="463"/>
      <c r="AL16" s="463"/>
      <c r="AM16" s="463"/>
      <c r="AN16" s="463"/>
      <c r="AO16" s="463"/>
      <c r="AP16" s="463"/>
      <c r="AQ16" s="463"/>
      <c r="AR16" s="463"/>
      <c r="AS16" s="463"/>
      <c r="AT16" s="463"/>
      <c r="AU16" s="463"/>
      <c r="AV16" s="463"/>
      <c r="AX16" s="463"/>
      <c r="AY16" s="463"/>
      <c r="AZ16" s="463"/>
      <c r="BA16" s="463"/>
      <c r="BB16" s="463"/>
      <c r="BC16" s="463"/>
      <c r="BD16" s="463"/>
      <c r="BE16" s="463"/>
      <c r="BF16" s="463"/>
      <c r="BG16" s="463"/>
      <c r="BH16" s="463"/>
      <c r="BI16" s="463"/>
      <c r="BJ16" s="463"/>
      <c r="BK16" s="463"/>
      <c r="BL16" s="463"/>
      <c r="BM16" s="463"/>
      <c r="BN16" s="463"/>
      <c r="BO16" s="463"/>
      <c r="BP16" s="463"/>
      <c r="BQ16" s="463"/>
      <c r="BR16" s="463"/>
      <c r="BT16" s="463"/>
      <c r="BU16" s="463"/>
      <c r="BV16" s="463"/>
      <c r="BX16" s="463"/>
      <c r="BY16" s="463"/>
      <c r="BZ16" s="463"/>
      <c r="CB16" s="463"/>
      <c r="CC16" s="463"/>
      <c r="CD16" s="463"/>
      <c r="CF16" s="463"/>
      <c r="CG16" s="463"/>
      <c r="CH16" s="463"/>
      <c r="CJ16" s="463"/>
      <c r="CK16" s="463"/>
      <c r="CM16" s="463"/>
      <c r="CO16" s="463"/>
      <c r="CP16" s="463"/>
      <c r="CQ16" s="463"/>
      <c r="CS16" s="463"/>
      <c r="CT16" s="463"/>
      <c r="CU16" s="463"/>
      <c r="CW16" s="463"/>
      <c r="CX16" s="463"/>
      <c r="CY16" s="463"/>
      <c r="DA16" s="463"/>
      <c r="DB16" s="463"/>
      <c r="DC16" s="463"/>
      <c r="DD16" s="463"/>
      <c r="DE16" s="463"/>
      <c r="DF16" s="463"/>
      <c r="DH16" s="463"/>
      <c r="DI16" s="463"/>
      <c r="DJ16" s="463"/>
      <c r="DL16" s="463"/>
      <c r="DM16" s="463"/>
      <c r="DN16" s="463"/>
      <c r="DO16" s="463"/>
      <c r="DP16" s="463"/>
      <c r="DR16" s="463"/>
      <c r="DS16" s="463"/>
      <c r="DT16" s="463"/>
      <c r="DV16" s="463"/>
      <c r="DW16" s="463"/>
      <c r="DX16" s="463"/>
      <c r="DZ16" s="463"/>
      <c r="EA16" s="463"/>
      <c r="EB16" s="463"/>
      <c r="ED16" s="463"/>
      <c r="EE16" s="463"/>
      <c r="EF16" s="463"/>
      <c r="EH16" s="463"/>
      <c r="EI16" s="463"/>
      <c r="EJ16" s="463"/>
      <c r="EK16" s="463"/>
      <c r="EL16" s="463"/>
      <c r="EN16" s="463"/>
      <c r="EO16" s="463"/>
      <c r="EP16" s="463"/>
      <c r="ER16" s="463"/>
      <c r="ES16" s="463"/>
      <c r="ET16" s="463"/>
      <c r="EV16" s="463"/>
      <c r="EW16" s="463"/>
      <c r="EY16" s="463"/>
      <c r="EZ16" s="463"/>
      <c r="FA16" s="463"/>
      <c r="FB16" s="463"/>
      <c r="FC16" s="463"/>
      <c r="FD16" s="463"/>
      <c r="FE16" s="463"/>
      <c r="FF16" s="463"/>
      <c r="FG16" s="463"/>
      <c r="FH16" s="463"/>
      <c r="FI16" s="463"/>
      <c r="FJ16" s="463"/>
      <c r="FK16" s="463"/>
      <c r="FL16" s="463"/>
      <c r="FM16" s="463"/>
      <c r="FN16" s="463"/>
      <c r="FO16" s="463"/>
      <c r="FP16" s="463"/>
      <c r="FQ16" s="463"/>
      <c r="FS16" s="463"/>
      <c r="FT16" s="463"/>
      <c r="FU16" s="463"/>
      <c r="FV16" s="463"/>
      <c r="FW16" s="463"/>
      <c r="FX16" s="463"/>
      <c r="FY16" s="463"/>
      <c r="FZ16" s="463"/>
    </row>
    <row r="17" spans="1:182" ht="25" customHeight="1">
      <c r="A17" s="425"/>
      <c r="B17" s="421"/>
      <c r="C17" s="821"/>
      <c r="D17" s="426"/>
      <c r="E17" s="434"/>
      <c r="F17" s="421"/>
      <c r="G17" s="425"/>
      <c r="H17" s="420"/>
      <c r="I17" s="420"/>
      <c r="J17" s="420"/>
      <c r="K17" s="459"/>
      <c r="L17" s="459"/>
      <c r="M17" s="393"/>
      <c r="N17" s="393"/>
      <c r="O17" s="463"/>
      <c r="P17" s="463"/>
      <c r="Q17" s="463"/>
      <c r="R17" s="463"/>
      <c r="S17" s="463"/>
      <c r="T17" s="463"/>
      <c r="U17" s="463"/>
      <c r="V17" s="463"/>
      <c r="W17" s="463"/>
      <c r="X17" s="463"/>
      <c r="Y17" s="463"/>
      <c r="Z17" s="463"/>
      <c r="AA17" s="463"/>
      <c r="AB17" s="463"/>
      <c r="AC17" s="463"/>
      <c r="AD17" s="463"/>
      <c r="AE17" s="463"/>
      <c r="AF17" s="463"/>
      <c r="AG17" s="463"/>
      <c r="AI17" s="463"/>
      <c r="AJ17" s="463"/>
      <c r="AK17" s="463"/>
      <c r="AL17" s="463"/>
      <c r="AM17" s="463"/>
      <c r="AN17" s="463"/>
      <c r="AO17" s="463"/>
      <c r="AP17" s="463"/>
      <c r="AQ17" s="463"/>
      <c r="AR17" s="463"/>
      <c r="AS17" s="463"/>
      <c r="AT17" s="463"/>
      <c r="AU17" s="463"/>
      <c r="AV17" s="463"/>
      <c r="AX17" s="463"/>
      <c r="AY17" s="463"/>
      <c r="AZ17" s="463"/>
      <c r="BA17" s="463"/>
      <c r="BB17" s="463"/>
      <c r="BC17" s="463"/>
      <c r="BD17" s="463"/>
      <c r="BE17" s="463"/>
      <c r="BF17" s="463"/>
      <c r="BG17" s="463"/>
      <c r="BH17" s="463"/>
      <c r="BI17" s="463"/>
      <c r="BJ17" s="463"/>
      <c r="BK17" s="463"/>
      <c r="BL17" s="463"/>
      <c r="BM17" s="463"/>
      <c r="BN17" s="463"/>
      <c r="BO17" s="463"/>
      <c r="BP17" s="463"/>
      <c r="BQ17" s="463"/>
      <c r="BR17" s="463"/>
      <c r="BT17" s="463"/>
      <c r="BU17" s="463"/>
      <c r="BV17" s="463"/>
      <c r="BX17" s="463"/>
      <c r="BY17" s="463"/>
      <c r="BZ17" s="463"/>
      <c r="CB17" s="463"/>
      <c r="CC17" s="463"/>
      <c r="CD17" s="463"/>
      <c r="CF17" s="463"/>
      <c r="CG17" s="463"/>
      <c r="CH17" s="463"/>
      <c r="CJ17" s="463"/>
      <c r="CK17" s="463"/>
      <c r="CM17" s="463"/>
      <c r="CO17" s="463"/>
      <c r="CP17" s="463"/>
      <c r="CQ17" s="463"/>
      <c r="CS17" s="463"/>
      <c r="CT17" s="463"/>
      <c r="CU17" s="463"/>
      <c r="CW17" s="463"/>
      <c r="CX17" s="463"/>
      <c r="CY17" s="463"/>
      <c r="DA17" s="463"/>
      <c r="DB17" s="463"/>
      <c r="DC17" s="463"/>
      <c r="DD17" s="463"/>
      <c r="DE17" s="463"/>
      <c r="DF17" s="463"/>
      <c r="DH17" s="463"/>
      <c r="DI17" s="463"/>
      <c r="DJ17" s="463"/>
      <c r="DL17" s="463"/>
      <c r="DM17" s="463"/>
      <c r="DN17" s="463"/>
      <c r="DO17" s="463"/>
      <c r="DP17" s="463"/>
      <c r="DR17" s="463"/>
      <c r="DS17" s="463"/>
      <c r="DT17" s="463"/>
      <c r="DV17" s="463"/>
      <c r="DW17" s="463"/>
      <c r="DX17" s="463"/>
      <c r="DZ17" s="463"/>
      <c r="EA17" s="463"/>
      <c r="EB17" s="463"/>
      <c r="ED17" s="463"/>
      <c r="EE17" s="463"/>
      <c r="EF17" s="463"/>
      <c r="EH17" s="463"/>
      <c r="EI17" s="463"/>
      <c r="EJ17" s="463"/>
      <c r="EK17" s="463"/>
      <c r="EL17" s="463"/>
      <c r="EN17" s="463"/>
      <c r="EO17" s="463"/>
      <c r="EP17" s="463"/>
      <c r="ER17" s="463"/>
      <c r="ES17" s="463"/>
      <c r="ET17" s="463"/>
      <c r="EV17" s="463"/>
      <c r="EW17" s="463"/>
      <c r="EY17" s="463"/>
      <c r="EZ17" s="463"/>
      <c r="FA17" s="463"/>
      <c r="FB17" s="463"/>
      <c r="FC17" s="463"/>
      <c r="FD17" s="463"/>
      <c r="FE17" s="463"/>
      <c r="FF17" s="463"/>
      <c r="FG17" s="463"/>
      <c r="FH17" s="463"/>
      <c r="FI17" s="463"/>
      <c r="FJ17" s="463"/>
      <c r="FK17" s="463"/>
      <c r="FL17" s="463"/>
      <c r="FM17" s="463"/>
      <c r="FN17" s="463"/>
      <c r="FO17" s="463"/>
      <c r="FP17" s="463"/>
      <c r="FQ17" s="463"/>
      <c r="FS17" s="463"/>
      <c r="FT17" s="463"/>
      <c r="FU17" s="463"/>
      <c r="FV17" s="463"/>
      <c r="FW17" s="463"/>
      <c r="FX17" s="463"/>
      <c r="FY17" s="463"/>
      <c r="FZ17" s="463"/>
    </row>
    <row r="18" spans="1:182" ht="25" customHeight="1">
      <c r="A18" s="425"/>
      <c r="B18" s="435"/>
      <c r="C18" s="821"/>
      <c r="D18" s="435"/>
      <c r="E18" s="435"/>
      <c r="F18" s="435"/>
      <c r="G18" s="425"/>
      <c r="H18" s="820" t="s">
        <v>478</v>
      </c>
      <c r="I18" s="421" t="s">
        <v>463</v>
      </c>
      <c r="J18" s="421">
        <v>0.995</v>
      </c>
      <c r="K18" s="459"/>
      <c r="L18" s="459"/>
      <c r="M18" s="393"/>
      <c r="N18" s="393"/>
      <c r="O18" s="463"/>
      <c r="P18" s="463"/>
      <c r="Q18" s="463"/>
      <c r="R18" s="463"/>
      <c r="S18" s="463"/>
      <c r="T18" s="463"/>
      <c r="U18" s="463"/>
      <c r="V18" s="463"/>
      <c r="W18" s="463"/>
      <c r="X18" s="463"/>
      <c r="Y18" s="463"/>
      <c r="Z18" s="463"/>
      <c r="AA18" s="463"/>
      <c r="AB18" s="463"/>
      <c r="AC18" s="463"/>
      <c r="AD18" s="463"/>
      <c r="AE18" s="463"/>
      <c r="AF18" s="463"/>
      <c r="AG18" s="463"/>
      <c r="AI18" s="463"/>
      <c r="AJ18" s="463"/>
      <c r="AK18" s="463"/>
      <c r="AL18" s="463"/>
      <c r="AM18" s="463"/>
      <c r="AN18" s="463"/>
      <c r="AO18" s="463"/>
      <c r="AP18" s="463"/>
      <c r="AQ18" s="463"/>
      <c r="AR18" s="463"/>
      <c r="AS18" s="463"/>
      <c r="AT18" s="463"/>
      <c r="AU18" s="463"/>
      <c r="AV18" s="463"/>
      <c r="AX18" s="463"/>
      <c r="AY18" s="463"/>
      <c r="AZ18" s="463"/>
      <c r="BA18" s="463"/>
      <c r="BB18" s="463"/>
      <c r="BC18" s="463"/>
      <c r="BD18" s="463"/>
      <c r="BE18" s="463"/>
      <c r="BF18" s="463"/>
      <c r="BG18" s="463"/>
      <c r="BH18" s="463"/>
      <c r="BI18" s="463"/>
      <c r="BJ18" s="463"/>
      <c r="BK18" s="463"/>
      <c r="BL18" s="463"/>
      <c r="BM18" s="463"/>
      <c r="BN18" s="463"/>
      <c r="BO18" s="463"/>
      <c r="BP18" s="463"/>
      <c r="BQ18" s="463"/>
      <c r="BR18" s="463"/>
      <c r="BT18" s="463"/>
      <c r="BU18" s="463"/>
      <c r="BV18" s="463"/>
      <c r="BX18" s="463"/>
      <c r="BY18" s="463"/>
      <c r="BZ18" s="463"/>
      <c r="CB18" s="463"/>
      <c r="CC18" s="463"/>
      <c r="CD18" s="463"/>
      <c r="CF18" s="463"/>
      <c r="CG18" s="463"/>
      <c r="CH18" s="463"/>
      <c r="CJ18" s="463"/>
      <c r="CK18" s="463"/>
      <c r="CM18" s="463"/>
      <c r="CO18" s="463"/>
      <c r="CP18" s="463"/>
      <c r="CQ18" s="463"/>
      <c r="CS18" s="463"/>
      <c r="CT18" s="463"/>
      <c r="CU18" s="463"/>
      <c r="CW18" s="463"/>
      <c r="CX18" s="463"/>
      <c r="CY18" s="463"/>
      <c r="DA18" s="463"/>
      <c r="DB18" s="463"/>
      <c r="DC18" s="463"/>
      <c r="DD18" s="463"/>
      <c r="DE18" s="463"/>
      <c r="DF18" s="463"/>
      <c r="DH18" s="463"/>
      <c r="DI18" s="463"/>
      <c r="DJ18" s="463"/>
      <c r="DL18" s="463"/>
      <c r="DM18" s="463"/>
      <c r="DN18" s="463"/>
      <c r="DO18" s="463"/>
      <c r="DP18" s="463"/>
      <c r="DR18" s="463"/>
      <c r="DS18" s="463"/>
      <c r="DT18" s="463"/>
      <c r="DV18" s="463"/>
      <c r="DW18" s="463"/>
      <c r="DX18" s="463"/>
      <c r="DZ18" s="463"/>
      <c r="EA18" s="463"/>
      <c r="EB18" s="463"/>
      <c r="ED18" s="463"/>
      <c r="EE18" s="463"/>
      <c r="EF18" s="463"/>
      <c r="EH18" s="463"/>
      <c r="EI18" s="463"/>
      <c r="EJ18" s="463"/>
      <c r="EK18" s="463"/>
      <c r="EL18" s="463"/>
      <c r="EN18" s="463"/>
      <c r="EO18" s="463"/>
      <c r="EP18" s="463"/>
      <c r="ER18" s="463"/>
      <c r="ES18" s="463"/>
      <c r="ET18" s="463"/>
      <c r="EV18" s="463"/>
      <c r="EW18" s="463"/>
      <c r="EY18" s="463"/>
      <c r="EZ18" s="463"/>
      <c r="FA18" s="463"/>
      <c r="FB18" s="463"/>
      <c r="FC18" s="463"/>
      <c r="FD18" s="463"/>
      <c r="FE18" s="463"/>
      <c r="FF18" s="463"/>
      <c r="FG18" s="463"/>
      <c r="FH18" s="463"/>
      <c r="FI18" s="463"/>
      <c r="FJ18" s="463"/>
      <c r="FK18" s="463"/>
      <c r="FL18" s="463"/>
      <c r="FM18" s="463"/>
      <c r="FN18" s="463"/>
      <c r="FO18" s="463"/>
      <c r="FP18" s="463"/>
      <c r="FQ18" s="463"/>
      <c r="FS18" s="463"/>
      <c r="FT18" s="463"/>
      <c r="FU18" s="463"/>
      <c r="FV18" s="463"/>
      <c r="FW18" s="463"/>
      <c r="FX18" s="463"/>
      <c r="FY18" s="463"/>
      <c r="FZ18" s="463"/>
    </row>
    <row r="19" spans="1:182" ht="25" customHeight="1">
      <c r="A19" s="425"/>
      <c r="B19" s="435"/>
      <c r="C19" s="822"/>
      <c r="D19" s="435"/>
      <c r="E19" s="435"/>
      <c r="F19" s="435"/>
      <c r="G19" s="425"/>
      <c r="H19" s="821"/>
      <c r="I19" s="421" t="s">
        <v>446</v>
      </c>
      <c r="J19" s="454">
        <v>0.05</v>
      </c>
      <c r="K19" s="459"/>
      <c r="L19" s="459"/>
      <c r="M19" s="393"/>
      <c r="N19" s="393"/>
      <c r="O19" s="463"/>
      <c r="P19" s="463"/>
      <c r="Q19" s="463"/>
      <c r="R19" s="463"/>
      <c r="S19" s="463"/>
      <c r="T19" s="463"/>
      <c r="U19" s="463"/>
      <c r="V19" s="463"/>
      <c r="W19" s="463"/>
      <c r="X19" s="463"/>
      <c r="Y19" s="463"/>
      <c r="Z19" s="463"/>
      <c r="AA19" s="463"/>
      <c r="AB19" s="463"/>
      <c r="AC19" s="463"/>
      <c r="AD19" s="463"/>
      <c r="AE19" s="463"/>
      <c r="AF19" s="463"/>
      <c r="AG19" s="463"/>
      <c r="AI19" s="463"/>
      <c r="AJ19" s="463"/>
      <c r="AK19" s="463"/>
      <c r="AL19" s="463"/>
      <c r="AM19" s="463"/>
      <c r="AN19" s="463"/>
      <c r="AO19" s="463"/>
      <c r="AP19" s="463"/>
      <c r="AQ19" s="463"/>
      <c r="AR19" s="463"/>
      <c r="AS19" s="463"/>
      <c r="AT19" s="463"/>
      <c r="AU19" s="463"/>
      <c r="AV19" s="463"/>
      <c r="AX19" s="463"/>
      <c r="AY19" s="463"/>
      <c r="AZ19" s="463"/>
      <c r="BA19" s="463"/>
      <c r="BB19" s="463"/>
      <c r="BC19" s="463"/>
      <c r="BD19" s="463"/>
      <c r="BE19" s="463"/>
      <c r="BF19" s="463"/>
      <c r="BG19" s="463"/>
      <c r="BH19" s="463"/>
      <c r="BI19" s="463"/>
      <c r="BJ19" s="463"/>
      <c r="BK19" s="463"/>
      <c r="BL19" s="463"/>
      <c r="BM19" s="463"/>
      <c r="BN19" s="463"/>
      <c r="BO19" s="463"/>
      <c r="BP19" s="463"/>
      <c r="BQ19" s="463"/>
      <c r="BR19" s="463"/>
      <c r="BT19" s="463"/>
      <c r="BU19" s="463"/>
      <c r="BV19" s="463"/>
      <c r="BX19" s="463"/>
      <c r="BY19" s="463"/>
      <c r="BZ19" s="463"/>
      <c r="CB19" s="463"/>
      <c r="CC19" s="463"/>
      <c r="CD19" s="463"/>
      <c r="CF19" s="463"/>
      <c r="CG19" s="463"/>
      <c r="CH19" s="463"/>
      <c r="CJ19" s="463"/>
      <c r="CK19" s="463"/>
      <c r="CM19" s="463"/>
      <c r="CO19" s="463"/>
      <c r="CP19" s="463"/>
      <c r="CQ19" s="463"/>
      <c r="CS19" s="463"/>
      <c r="CT19" s="463"/>
      <c r="CU19" s="463"/>
      <c r="CW19" s="463"/>
      <c r="CX19" s="463"/>
      <c r="CY19" s="463"/>
      <c r="DA19" s="463"/>
      <c r="DB19" s="463"/>
      <c r="DC19" s="463"/>
      <c r="DD19" s="463"/>
      <c r="DE19" s="463"/>
      <c r="DF19" s="463"/>
      <c r="DH19" s="463"/>
      <c r="DI19" s="463"/>
      <c r="DJ19" s="463"/>
      <c r="DL19" s="463"/>
      <c r="DM19" s="463"/>
      <c r="DN19" s="463"/>
      <c r="DO19" s="463"/>
      <c r="DP19" s="463"/>
      <c r="DR19" s="463"/>
      <c r="DS19" s="463"/>
      <c r="DT19" s="463"/>
      <c r="DV19" s="463"/>
      <c r="DW19" s="463"/>
      <c r="DX19" s="463"/>
      <c r="DZ19" s="463"/>
      <c r="EA19" s="463"/>
      <c r="EB19" s="463"/>
      <c r="ED19" s="463"/>
      <c r="EE19" s="463"/>
      <c r="EF19" s="463"/>
      <c r="EH19" s="463"/>
      <c r="EI19" s="463"/>
      <c r="EJ19" s="463"/>
      <c r="EK19" s="463"/>
      <c r="EL19" s="463"/>
      <c r="EN19" s="463"/>
      <c r="EO19" s="463"/>
      <c r="EP19" s="463"/>
      <c r="ER19" s="463"/>
      <c r="ES19" s="463"/>
      <c r="ET19" s="463"/>
      <c r="EV19" s="463"/>
      <c r="EW19" s="463"/>
      <c r="EY19" s="463"/>
      <c r="EZ19" s="463"/>
      <c r="FA19" s="463"/>
      <c r="FB19" s="463"/>
      <c r="FC19" s="463"/>
      <c r="FD19" s="463"/>
      <c r="FE19" s="463"/>
      <c r="FF19" s="463"/>
      <c r="FG19" s="463"/>
      <c r="FH19" s="463"/>
      <c r="FI19" s="463"/>
      <c r="FJ19" s="463"/>
      <c r="FK19" s="463"/>
      <c r="FL19" s="463"/>
      <c r="FM19" s="463"/>
      <c r="FN19" s="463"/>
      <c r="FO19" s="463"/>
      <c r="FP19" s="463"/>
      <c r="FQ19" s="463"/>
      <c r="FS19" s="463"/>
      <c r="FT19" s="463"/>
      <c r="FU19" s="463"/>
      <c r="FV19" s="463"/>
      <c r="FW19" s="463"/>
      <c r="FX19" s="463"/>
      <c r="FY19" s="463"/>
      <c r="FZ19" s="463"/>
    </row>
    <row r="20" spans="1:182" ht="25" customHeight="1">
      <c r="A20" s="425" t="s">
        <v>479</v>
      </c>
      <c r="B20" s="421" t="s">
        <v>480</v>
      </c>
      <c r="C20" s="823" t="s">
        <v>481</v>
      </c>
      <c r="D20" s="426" t="s">
        <v>482</v>
      </c>
      <c r="E20" s="435">
        <v>17</v>
      </c>
      <c r="F20" s="435">
        <v>1.45</v>
      </c>
      <c r="G20" s="425"/>
      <c r="H20" s="821"/>
      <c r="I20" s="421" t="s">
        <v>470</v>
      </c>
      <c r="J20" s="421">
        <v>0.995</v>
      </c>
      <c r="K20" s="459"/>
      <c r="L20" s="459"/>
      <c r="M20" s="393"/>
      <c r="N20" s="393"/>
      <c r="O20" s="463"/>
      <c r="P20" s="463"/>
      <c r="Q20" s="463"/>
      <c r="R20" s="463"/>
      <c r="S20" s="463"/>
      <c r="T20" s="463"/>
      <c r="U20" s="463"/>
      <c r="V20" s="463"/>
      <c r="W20" s="463"/>
      <c r="X20" s="463"/>
      <c r="Y20" s="463"/>
      <c r="Z20" s="463"/>
      <c r="AA20" s="463"/>
      <c r="AB20" s="463"/>
      <c r="AC20" s="463"/>
      <c r="AD20" s="463"/>
      <c r="AE20" s="463"/>
      <c r="AF20" s="463"/>
      <c r="AG20" s="463"/>
      <c r="AI20" s="463"/>
      <c r="AJ20" s="463"/>
      <c r="AK20" s="463"/>
      <c r="AL20" s="463"/>
      <c r="AM20" s="463"/>
      <c r="AN20" s="463"/>
      <c r="AO20" s="463"/>
      <c r="AP20" s="463"/>
      <c r="AQ20" s="463"/>
      <c r="AR20" s="463"/>
      <c r="AS20" s="463"/>
      <c r="AT20" s="463"/>
      <c r="AU20" s="463"/>
      <c r="AV20" s="463"/>
      <c r="AX20" s="463"/>
      <c r="AY20" s="463"/>
      <c r="AZ20" s="463"/>
      <c r="BA20" s="463"/>
      <c r="BB20" s="463"/>
      <c r="BC20" s="463"/>
      <c r="BD20" s="463"/>
      <c r="BE20" s="463"/>
      <c r="BF20" s="463"/>
      <c r="BG20" s="463"/>
      <c r="BH20" s="463"/>
      <c r="BI20" s="463"/>
      <c r="BJ20" s="463"/>
      <c r="BK20" s="463"/>
      <c r="BL20" s="463"/>
      <c r="BM20" s="463"/>
      <c r="BN20" s="463"/>
      <c r="BO20" s="463"/>
      <c r="BP20" s="463"/>
      <c r="BQ20" s="463"/>
      <c r="BR20" s="463"/>
      <c r="BT20" s="463"/>
      <c r="BU20" s="463"/>
      <c r="BV20" s="463"/>
      <c r="BX20" s="463"/>
      <c r="BY20" s="463"/>
      <c r="BZ20" s="463"/>
      <c r="CB20" s="463"/>
      <c r="CC20" s="463"/>
      <c r="CD20" s="463"/>
      <c r="CF20" s="463"/>
      <c r="CG20" s="463"/>
      <c r="CH20" s="463"/>
      <c r="CJ20" s="463"/>
      <c r="CK20" s="463"/>
      <c r="CM20" s="463"/>
      <c r="CO20" s="463"/>
      <c r="CP20" s="463"/>
      <c r="CQ20" s="463"/>
      <c r="CS20" s="463"/>
      <c r="CT20" s="463"/>
      <c r="CU20" s="463"/>
      <c r="CW20" s="463"/>
      <c r="CX20" s="463"/>
      <c r="CY20" s="463"/>
      <c r="DA20" s="463"/>
      <c r="DB20" s="463"/>
      <c r="DC20" s="463"/>
      <c r="DD20" s="463"/>
      <c r="DE20" s="463"/>
      <c r="DF20" s="463"/>
      <c r="DH20" s="463"/>
      <c r="DI20" s="463"/>
      <c r="DJ20" s="463"/>
      <c r="DL20" s="463"/>
      <c r="DM20" s="463"/>
      <c r="DN20" s="463"/>
      <c r="DO20" s="463"/>
      <c r="DP20" s="463"/>
      <c r="DR20" s="463"/>
      <c r="DS20" s="463"/>
      <c r="DT20" s="463"/>
      <c r="DV20" s="463"/>
      <c r="DW20" s="463"/>
      <c r="DX20" s="463"/>
      <c r="DZ20" s="463"/>
      <c r="EA20" s="463"/>
      <c r="EB20" s="463"/>
      <c r="ED20" s="463"/>
      <c r="EE20" s="463"/>
      <c r="EF20" s="463"/>
      <c r="EH20" s="463"/>
      <c r="EI20" s="463"/>
      <c r="EJ20" s="463"/>
      <c r="EK20" s="463"/>
      <c r="EL20" s="463"/>
      <c r="EN20" s="463"/>
      <c r="EO20" s="463"/>
      <c r="EP20" s="463"/>
      <c r="ER20" s="463"/>
      <c r="ES20" s="463"/>
      <c r="ET20" s="463"/>
      <c r="EV20" s="463"/>
      <c r="EW20" s="463"/>
      <c r="EY20" s="463"/>
      <c r="EZ20" s="463"/>
      <c r="FA20" s="463"/>
      <c r="FB20" s="463"/>
      <c r="FC20" s="463"/>
      <c r="FD20" s="463"/>
      <c r="FE20" s="463"/>
      <c r="FF20" s="463"/>
      <c r="FG20" s="463"/>
      <c r="FH20" s="463"/>
      <c r="FI20" s="463"/>
      <c r="FJ20" s="463"/>
      <c r="FK20" s="463"/>
      <c r="FL20" s="463"/>
      <c r="FM20" s="463"/>
      <c r="FN20" s="463"/>
      <c r="FO20" s="463"/>
      <c r="FP20" s="463"/>
      <c r="FQ20" s="463"/>
      <c r="FS20" s="463"/>
      <c r="FT20" s="463"/>
      <c r="FU20" s="463"/>
      <c r="FV20" s="463"/>
      <c r="FW20" s="463"/>
      <c r="FX20" s="463"/>
      <c r="FY20" s="463"/>
      <c r="FZ20" s="463"/>
    </row>
    <row r="21" spans="1:182" ht="25" customHeight="1">
      <c r="A21" s="425" t="s">
        <v>483</v>
      </c>
      <c r="B21" s="421" t="s">
        <v>480</v>
      </c>
      <c r="C21" s="823"/>
      <c r="D21" s="426" t="s">
        <v>484</v>
      </c>
      <c r="E21" s="436">
        <f>E20</f>
        <v>17</v>
      </c>
      <c r="F21" s="435">
        <v>1.45</v>
      </c>
      <c r="G21" s="425"/>
      <c r="H21" s="821"/>
      <c r="I21" s="421" t="s">
        <v>450</v>
      </c>
      <c r="J21" s="454">
        <v>0</v>
      </c>
      <c r="K21" s="459"/>
      <c r="L21" s="459"/>
      <c r="M21" s="393"/>
      <c r="N21" s="393"/>
      <c r="O21" s="463"/>
      <c r="P21" s="463"/>
      <c r="Q21" s="463"/>
      <c r="R21" s="463"/>
      <c r="S21" s="463"/>
      <c r="T21" s="463"/>
      <c r="U21" s="463"/>
      <c r="V21" s="463"/>
      <c r="W21" s="463"/>
      <c r="X21" s="463"/>
      <c r="Y21" s="463"/>
      <c r="Z21" s="463"/>
      <c r="AA21" s="463"/>
      <c r="AB21" s="463"/>
      <c r="AC21" s="463"/>
      <c r="AD21" s="463"/>
      <c r="AE21" s="463"/>
      <c r="AF21" s="463"/>
      <c r="AG21" s="463"/>
      <c r="AI21" s="463"/>
      <c r="AJ21" s="463"/>
      <c r="AK21" s="463"/>
      <c r="AL21" s="463"/>
      <c r="AM21" s="463"/>
      <c r="AN21" s="463"/>
      <c r="AO21" s="463"/>
      <c r="AP21" s="463"/>
      <c r="AQ21" s="463"/>
      <c r="AR21" s="463"/>
      <c r="AS21" s="463"/>
      <c r="AT21" s="463"/>
      <c r="AU21" s="463"/>
      <c r="AV21" s="463"/>
      <c r="AX21" s="463"/>
      <c r="AY21" s="463"/>
      <c r="AZ21" s="463"/>
      <c r="BA21" s="463"/>
      <c r="BB21" s="463"/>
      <c r="BC21" s="463"/>
      <c r="BD21" s="463"/>
      <c r="BE21" s="463"/>
      <c r="BF21" s="463"/>
      <c r="BG21" s="463"/>
      <c r="BH21" s="463"/>
      <c r="BI21" s="463"/>
      <c r="BJ21" s="463"/>
      <c r="BK21" s="463"/>
      <c r="BL21" s="463"/>
      <c r="BM21" s="463"/>
      <c r="BN21" s="463"/>
      <c r="BO21" s="463"/>
      <c r="BP21" s="463"/>
      <c r="BQ21" s="463"/>
      <c r="BR21" s="463"/>
      <c r="BT21" s="463"/>
      <c r="BU21" s="463"/>
      <c r="BV21" s="463"/>
      <c r="BX21" s="463"/>
      <c r="BY21" s="463"/>
      <c r="BZ21" s="463"/>
      <c r="CB21" s="463"/>
      <c r="CC21" s="463"/>
      <c r="CD21" s="463"/>
      <c r="CF21" s="463"/>
      <c r="CG21" s="463"/>
      <c r="CH21" s="463"/>
      <c r="CJ21" s="463"/>
      <c r="CK21" s="463"/>
      <c r="CM21" s="463"/>
      <c r="CO21" s="463"/>
      <c r="CP21" s="463"/>
      <c r="CQ21" s="463"/>
      <c r="CS21" s="463"/>
      <c r="CT21" s="463"/>
      <c r="CU21" s="463"/>
      <c r="CW21" s="463"/>
      <c r="CX21" s="463"/>
      <c r="CY21" s="463"/>
      <c r="DA21" s="463"/>
      <c r="DB21" s="463"/>
      <c r="DC21" s="463"/>
      <c r="DD21" s="463"/>
      <c r="DE21" s="463"/>
      <c r="DF21" s="463"/>
      <c r="DH21" s="463"/>
      <c r="DI21" s="463"/>
      <c r="DJ21" s="463"/>
      <c r="DL21" s="463"/>
      <c r="DM21" s="463"/>
      <c r="DN21" s="463"/>
      <c r="DO21" s="463"/>
      <c r="DP21" s="463"/>
      <c r="DR21" s="463"/>
      <c r="DS21" s="463"/>
      <c r="DT21" s="463"/>
      <c r="DV21" s="463"/>
      <c r="DW21" s="463"/>
      <c r="DX21" s="463"/>
      <c r="DZ21" s="463"/>
      <c r="EA21" s="463"/>
      <c r="EB21" s="463"/>
      <c r="ED21" s="463"/>
      <c r="EE21" s="463"/>
      <c r="EF21" s="463"/>
      <c r="EH21" s="463"/>
      <c r="EI21" s="463"/>
      <c r="EJ21" s="463"/>
      <c r="EK21" s="463"/>
      <c r="EL21" s="463"/>
      <c r="EN21" s="463"/>
      <c r="EO21" s="463"/>
      <c r="EP21" s="463"/>
      <c r="ER21" s="463"/>
      <c r="ES21" s="463"/>
      <c r="ET21" s="463"/>
      <c r="EV21" s="463"/>
      <c r="EW21" s="463"/>
      <c r="EY21" s="463"/>
      <c r="EZ21" s="463"/>
      <c r="FA21" s="463"/>
      <c r="FB21" s="463"/>
      <c r="FC21" s="463"/>
      <c r="FD21" s="463"/>
      <c r="FE21" s="463"/>
      <c r="FF21" s="463"/>
      <c r="FG21" s="463"/>
      <c r="FH21" s="463"/>
      <c r="FI21" s="463"/>
      <c r="FJ21" s="463"/>
      <c r="FK21" s="463"/>
      <c r="FL21" s="463"/>
      <c r="FM21" s="463"/>
      <c r="FN21" s="463"/>
      <c r="FO21" s="463"/>
      <c r="FP21" s="463"/>
      <c r="FQ21" s="463"/>
      <c r="FS21" s="463"/>
      <c r="FT21" s="463"/>
      <c r="FU21" s="463"/>
      <c r="FV21" s="463"/>
      <c r="FW21" s="463"/>
      <c r="FX21" s="463"/>
      <c r="FY21" s="463"/>
      <c r="FZ21" s="463"/>
    </row>
    <row r="22" spans="1:182" ht="25" customHeight="1">
      <c r="A22" s="425" t="s">
        <v>483</v>
      </c>
      <c r="B22" s="421" t="s">
        <v>485</v>
      </c>
      <c r="C22" s="823"/>
      <c r="D22" s="426" t="s">
        <v>486</v>
      </c>
      <c r="E22" s="421">
        <v>10</v>
      </c>
      <c r="F22" s="421">
        <v>1.47</v>
      </c>
      <c r="G22" s="425"/>
      <c r="H22" s="821"/>
      <c r="I22" s="464" t="s">
        <v>475</v>
      </c>
      <c r="J22" s="464">
        <v>100</v>
      </c>
      <c r="K22" s="459"/>
      <c r="L22" s="459"/>
      <c r="M22" s="393"/>
      <c r="N22" s="393"/>
      <c r="O22" s="463"/>
      <c r="P22" s="463"/>
      <c r="Q22" s="463"/>
      <c r="R22" s="463"/>
      <c r="S22" s="463"/>
      <c r="T22" s="463"/>
      <c r="U22" s="463"/>
      <c r="V22" s="463"/>
      <c r="W22" s="463"/>
      <c r="X22" s="463"/>
      <c r="Y22" s="463"/>
      <c r="Z22" s="463"/>
      <c r="AA22" s="463"/>
      <c r="AB22" s="463"/>
      <c r="AC22" s="463"/>
      <c r="AD22" s="463"/>
      <c r="AE22" s="463"/>
      <c r="AF22" s="463"/>
      <c r="AG22" s="463"/>
      <c r="AI22" s="463"/>
      <c r="AJ22" s="463"/>
      <c r="AK22" s="463"/>
      <c r="AL22" s="463"/>
      <c r="AM22" s="463"/>
      <c r="AN22" s="463"/>
      <c r="AO22" s="463"/>
      <c r="AP22" s="463"/>
      <c r="AQ22" s="463"/>
      <c r="AR22" s="463"/>
      <c r="AS22" s="463"/>
      <c r="AT22" s="463"/>
      <c r="AU22" s="463"/>
      <c r="AV22" s="463"/>
      <c r="AX22" s="463"/>
      <c r="AY22" s="463"/>
      <c r="AZ22" s="463"/>
      <c r="BA22" s="463"/>
      <c r="BB22" s="463"/>
      <c r="BC22" s="463"/>
      <c r="BD22" s="463"/>
      <c r="BE22" s="463"/>
      <c r="BF22" s="463"/>
      <c r="BG22" s="463"/>
      <c r="BH22" s="463"/>
      <c r="BI22" s="463"/>
      <c r="BJ22" s="463"/>
      <c r="BK22" s="463"/>
      <c r="BL22" s="463"/>
      <c r="BM22" s="463"/>
      <c r="BN22" s="463"/>
      <c r="BO22" s="463"/>
      <c r="BP22" s="463"/>
      <c r="BQ22" s="463"/>
      <c r="BR22" s="463"/>
      <c r="BT22" s="463"/>
      <c r="BU22" s="463"/>
      <c r="BV22" s="463"/>
      <c r="BX22" s="463"/>
      <c r="BY22" s="463"/>
      <c r="BZ22" s="463"/>
      <c r="CB22" s="463"/>
      <c r="CC22" s="463"/>
      <c r="CD22" s="463"/>
      <c r="CF22" s="463"/>
      <c r="CG22" s="463"/>
      <c r="CH22" s="463"/>
      <c r="CJ22" s="463"/>
      <c r="CK22" s="463"/>
      <c r="CM22" s="463"/>
      <c r="CO22" s="463"/>
      <c r="CP22" s="463"/>
      <c r="CQ22" s="463"/>
      <c r="CS22" s="463"/>
      <c r="CT22" s="463"/>
      <c r="CU22" s="463"/>
      <c r="CW22" s="463"/>
      <c r="CX22" s="463"/>
      <c r="CY22" s="463"/>
      <c r="DA22" s="463"/>
      <c r="DB22" s="463"/>
      <c r="DC22" s="463"/>
      <c r="DD22" s="463"/>
      <c r="DE22" s="463"/>
      <c r="DF22" s="463"/>
      <c r="DH22" s="463"/>
      <c r="DI22" s="463"/>
      <c r="DJ22" s="463"/>
      <c r="DL22" s="463"/>
      <c r="DM22" s="463"/>
      <c r="DN22" s="463"/>
      <c r="DO22" s="463"/>
      <c r="DP22" s="463"/>
      <c r="DR22" s="463"/>
      <c r="DS22" s="463"/>
      <c r="DT22" s="463"/>
      <c r="DV22" s="463"/>
      <c r="DW22" s="463"/>
      <c r="DX22" s="463"/>
      <c r="DZ22" s="463"/>
      <c r="EA22" s="463"/>
      <c r="EB22" s="463"/>
      <c r="ED22" s="463"/>
      <c r="EE22" s="463"/>
      <c r="EF22" s="463"/>
      <c r="EH22" s="463"/>
      <c r="EI22" s="463"/>
      <c r="EJ22" s="463"/>
      <c r="EK22" s="463"/>
      <c r="EL22" s="463"/>
      <c r="EN22" s="463"/>
      <c r="EO22" s="463"/>
      <c r="EP22" s="463"/>
      <c r="ER22" s="463"/>
      <c r="ES22" s="463"/>
      <c r="ET22" s="463"/>
      <c r="EV22" s="463"/>
      <c r="EW22" s="463"/>
      <c r="EY22" s="463"/>
      <c r="EZ22" s="463"/>
      <c r="FA22" s="463"/>
      <c r="FB22" s="463"/>
      <c r="FC22" s="463"/>
      <c r="FD22" s="463"/>
      <c r="FE22" s="463"/>
      <c r="FF22" s="463"/>
      <c r="FG22" s="463"/>
      <c r="FH22" s="463"/>
      <c r="FI22" s="463"/>
      <c r="FJ22" s="463"/>
      <c r="FK22" s="463"/>
      <c r="FL22" s="463"/>
      <c r="FM22" s="463"/>
      <c r="FN22" s="463"/>
      <c r="FO22" s="463"/>
      <c r="FP22" s="463"/>
      <c r="FQ22" s="463"/>
      <c r="FS22" s="463"/>
      <c r="FT22" s="463"/>
      <c r="FU22" s="463"/>
      <c r="FV22" s="463"/>
      <c r="FW22" s="463"/>
      <c r="FX22" s="463"/>
      <c r="FY22" s="463"/>
      <c r="FZ22" s="463"/>
    </row>
    <row r="23" spans="1:182" ht="25" customHeight="1">
      <c r="A23" s="425" t="s">
        <v>479</v>
      </c>
      <c r="B23" s="421" t="s">
        <v>487</v>
      </c>
      <c r="C23" s="823"/>
      <c r="D23" s="426" t="s">
        <v>488</v>
      </c>
      <c r="E23" s="428">
        <f>E22-2.4</f>
        <v>7.6</v>
      </c>
      <c r="F23" s="421">
        <v>1.47</v>
      </c>
      <c r="G23" s="425"/>
      <c r="H23" s="821"/>
      <c r="I23" s="464" t="s">
        <v>477</v>
      </c>
      <c r="J23" s="464">
        <v>100</v>
      </c>
      <c r="K23" s="459"/>
      <c r="L23" s="459"/>
      <c r="M23" s="393"/>
      <c r="N23" s="393"/>
      <c r="O23" s="393"/>
      <c r="P23" s="393"/>
      <c r="Q23" s="393"/>
      <c r="S23" s="463"/>
      <c r="T23" s="463"/>
      <c r="U23" s="463"/>
      <c r="V23" s="463"/>
      <c r="W23" s="463"/>
      <c r="X23" s="463"/>
      <c r="Y23" s="463"/>
      <c r="Z23" s="463"/>
      <c r="AA23" s="463"/>
      <c r="AB23" s="463"/>
      <c r="AC23" s="463"/>
      <c r="AD23" s="463"/>
      <c r="AE23" s="463"/>
      <c r="AF23" s="463"/>
      <c r="AG23" s="463"/>
      <c r="AI23" s="463"/>
      <c r="AJ23" s="463"/>
      <c r="AK23" s="463"/>
      <c r="AL23" s="463"/>
      <c r="AM23" s="463"/>
      <c r="AN23" s="463"/>
      <c r="AO23" s="463"/>
      <c r="AP23" s="463"/>
      <c r="AQ23" s="463"/>
      <c r="AR23" s="463"/>
      <c r="AS23" s="463"/>
      <c r="AT23" s="463"/>
      <c r="AU23" s="463"/>
      <c r="AV23" s="463"/>
      <c r="AX23" s="463"/>
      <c r="AY23" s="463"/>
      <c r="AZ23" s="463"/>
      <c r="BA23" s="463"/>
      <c r="BB23" s="463"/>
      <c r="BC23" s="463"/>
      <c r="BD23" s="463"/>
      <c r="BE23" s="463"/>
      <c r="BF23" s="463"/>
      <c r="BG23" s="463"/>
      <c r="BH23" s="463"/>
      <c r="BI23" s="463"/>
      <c r="BJ23" s="463"/>
      <c r="BK23" s="463"/>
      <c r="BL23" s="463"/>
      <c r="BM23" s="463"/>
      <c r="BN23" s="463"/>
      <c r="BO23" s="463"/>
      <c r="BP23" s="463"/>
      <c r="BQ23" s="463"/>
      <c r="BR23" s="463"/>
      <c r="BT23" s="463"/>
      <c r="BU23" s="463"/>
      <c r="BV23" s="463"/>
      <c r="BX23" s="463"/>
      <c r="BY23" s="463"/>
      <c r="BZ23" s="463"/>
      <c r="CB23" s="463"/>
      <c r="CC23" s="463"/>
      <c r="CD23" s="463"/>
      <c r="CF23" s="463"/>
      <c r="CG23" s="463"/>
      <c r="CH23" s="463"/>
      <c r="CJ23" s="463"/>
      <c r="CK23" s="463"/>
      <c r="CM23" s="463"/>
      <c r="CO23" s="463"/>
      <c r="CP23" s="463"/>
      <c r="CQ23" s="463"/>
      <c r="CS23" s="463"/>
      <c r="CT23" s="463"/>
      <c r="CU23" s="463"/>
      <c r="CW23" s="463"/>
      <c r="CX23" s="463"/>
      <c r="CY23" s="463"/>
      <c r="DA23" s="463"/>
      <c r="DB23" s="463"/>
      <c r="DC23" s="463"/>
      <c r="DD23" s="463"/>
      <c r="DE23" s="463"/>
      <c r="DF23" s="463"/>
      <c r="DH23" s="463"/>
      <c r="DI23" s="463"/>
      <c r="DJ23" s="463"/>
      <c r="DL23" s="463"/>
      <c r="DM23" s="463"/>
      <c r="DN23" s="463"/>
      <c r="DO23" s="463"/>
      <c r="DP23" s="463"/>
      <c r="DR23" s="463"/>
      <c r="DS23" s="463"/>
      <c r="DT23" s="463"/>
      <c r="DV23" s="463"/>
      <c r="DW23" s="463"/>
      <c r="DX23" s="463"/>
      <c r="DZ23" s="463"/>
      <c r="EA23" s="463"/>
      <c r="EB23" s="463"/>
      <c r="ED23" s="463"/>
      <c r="EE23" s="463"/>
      <c r="EF23" s="463"/>
      <c r="EH23" s="463"/>
      <c r="EI23" s="463"/>
      <c r="EJ23" s="463"/>
      <c r="EK23" s="463"/>
      <c r="EL23" s="463"/>
      <c r="EN23" s="463"/>
      <c r="EO23" s="463"/>
      <c r="EP23" s="463"/>
      <c r="ER23" s="463"/>
      <c r="ES23" s="463"/>
      <c r="ET23" s="463"/>
      <c r="EV23" s="463"/>
      <c r="EW23" s="463"/>
      <c r="EY23" s="463"/>
      <c r="EZ23" s="463"/>
      <c r="FA23" s="463"/>
      <c r="FB23" s="463"/>
      <c r="FC23" s="463"/>
      <c r="FD23" s="463"/>
      <c r="FE23" s="463"/>
      <c r="FF23" s="463"/>
      <c r="FG23" s="463"/>
      <c r="FH23" s="463"/>
      <c r="FI23" s="463"/>
      <c r="FJ23" s="463"/>
      <c r="FK23" s="463"/>
      <c r="FL23" s="463"/>
      <c r="FM23" s="463"/>
      <c r="FN23" s="463"/>
      <c r="FO23" s="463"/>
      <c r="FP23" s="463"/>
      <c r="FQ23" s="463"/>
      <c r="FS23" s="463"/>
      <c r="FT23" s="463"/>
      <c r="FU23" s="463"/>
      <c r="FV23" s="463"/>
      <c r="FW23" s="463"/>
      <c r="FX23" s="463"/>
      <c r="FY23" s="463"/>
      <c r="FZ23" s="463"/>
    </row>
    <row r="24" spans="1:182" ht="25" customHeight="1">
      <c r="A24" s="425" t="s">
        <v>479</v>
      </c>
      <c r="B24" s="421" t="s">
        <v>487</v>
      </c>
      <c r="C24" s="823"/>
      <c r="D24" s="426" t="s">
        <v>489</v>
      </c>
      <c r="E24" s="428">
        <f>E22+1</f>
        <v>11</v>
      </c>
      <c r="F24" s="421">
        <v>1.47</v>
      </c>
      <c r="G24" s="425"/>
      <c r="H24" s="822"/>
      <c r="I24" s="421"/>
      <c r="J24" s="454"/>
      <c r="K24" s="459"/>
      <c r="L24" s="459"/>
      <c r="M24" s="393"/>
      <c r="N24" s="393"/>
      <c r="O24" s="393"/>
      <c r="P24" s="393"/>
      <c r="Q24" s="393"/>
      <c r="S24" s="463"/>
      <c r="T24" s="463"/>
      <c r="U24" s="463"/>
      <c r="V24" s="463"/>
      <c r="W24" s="463"/>
      <c r="X24" s="463"/>
      <c r="Y24" s="463"/>
      <c r="Z24" s="463"/>
      <c r="AA24" s="463"/>
      <c r="AB24" s="463"/>
      <c r="AC24" s="463"/>
      <c r="AD24" s="463"/>
      <c r="AE24" s="463"/>
      <c r="AF24" s="463"/>
      <c r="AG24" s="463"/>
      <c r="AI24" s="463"/>
      <c r="AJ24" s="463"/>
      <c r="AK24" s="463"/>
      <c r="AL24" s="463"/>
      <c r="AM24" s="463"/>
      <c r="AN24" s="463"/>
      <c r="AO24" s="463"/>
      <c r="AP24" s="463"/>
      <c r="AQ24" s="463"/>
      <c r="AR24" s="463"/>
      <c r="AS24" s="463"/>
      <c r="AT24" s="463"/>
      <c r="AU24" s="463"/>
      <c r="AV24" s="463"/>
      <c r="AX24" s="463"/>
      <c r="AY24" s="463"/>
      <c r="AZ24" s="463"/>
      <c r="BA24" s="463"/>
      <c r="BB24" s="463"/>
      <c r="BC24" s="463"/>
      <c r="BD24" s="463"/>
      <c r="BE24" s="463"/>
      <c r="BF24" s="463"/>
      <c r="BG24" s="463"/>
      <c r="BH24" s="463"/>
      <c r="BI24" s="463"/>
      <c r="BJ24" s="463"/>
      <c r="BK24" s="463"/>
      <c r="BL24" s="463"/>
      <c r="BM24" s="463"/>
      <c r="BN24" s="463"/>
      <c r="BO24" s="463"/>
      <c r="BP24" s="463"/>
      <c r="BQ24" s="463"/>
      <c r="BR24" s="463"/>
      <c r="BT24" s="463"/>
      <c r="BU24" s="463"/>
      <c r="BV24" s="463"/>
      <c r="BX24" s="463"/>
      <c r="BY24" s="463"/>
      <c r="BZ24" s="463"/>
      <c r="CB24" s="463"/>
      <c r="CC24" s="463"/>
      <c r="CD24" s="463"/>
      <c r="CF24" s="463"/>
      <c r="CG24" s="463"/>
      <c r="CH24" s="463"/>
      <c r="CJ24" s="463"/>
      <c r="CK24" s="463"/>
      <c r="CM24" s="463"/>
      <c r="CO24" s="463"/>
      <c r="CP24" s="463"/>
      <c r="CQ24" s="463"/>
      <c r="CS24" s="463"/>
      <c r="CT24" s="463"/>
      <c r="CU24" s="463"/>
      <c r="CW24" s="463"/>
      <c r="CX24" s="463"/>
      <c r="CY24" s="463"/>
      <c r="DA24" s="463"/>
      <c r="DB24" s="463"/>
      <c r="DC24" s="463"/>
      <c r="DD24" s="463"/>
      <c r="DE24" s="463"/>
      <c r="DF24" s="463"/>
      <c r="DH24" s="463"/>
      <c r="DI24" s="463"/>
      <c r="DJ24" s="463"/>
      <c r="DL24" s="463"/>
      <c r="DM24" s="463"/>
      <c r="DN24" s="463"/>
      <c r="DO24" s="463"/>
      <c r="DP24" s="463"/>
      <c r="DR24" s="463"/>
      <c r="DS24" s="463"/>
      <c r="DT24" s="463"/>
      <c r="DV24" s="463"/>
      <c r="DW24" s="463"/>
      <c r="DX24" s="463"/>
      <c r="DZ24" s="463"/>
      <c r="EA24" s="463"/>
      <c r="EB24" s="463"/>
      <c r="ED24" s="463"/>
      <c r="EE24" s="463"/>
      <c r="EF24" s="463"/>
      <c r="EH24" s="463"/>
      <c r="EI24" s="463"/>
      <c r="EJ24" s="463"/>
      <c r="EK24" s="463"/>
      <c r="EL24" s="463"/>
      <c r="EN24" s="463"/>
      <c r="EO24" s="463"/>
      <c r="EP24" s="463"/>
      <c r="ER24" s="463"/>
      <c r="ES24" s="463"/>
      <c r="ET24" s="463"/>
      <c r="EV24" s="463"/>
      <c r="EW24" s="463"/>
      <c r="EY24" s="463"/>
      <c r="EZ24" s="463"/>
      <c r="FA24" s="463"/>
      <c r="FB24" s="463"/>
      <c r="FC24" s="463"/>
      <c r="FD24" s="463"/>
      <c r="FE24" s="463"/>
      <c r="FF24" s="463"/>
      <c r="FG24" s="463"/>
      <c r="FH24" s="463"/>
      <c r="FI24" s="463"/>
      <c r="FJ24" s="463"/>
      <c r="FK24" s="463"/>
      <c r="FL24" s="463"/>
      <c r="FM24" s="463"/>
      <c r="FN24" s="463"/>
      <c r="FO24" s="463"/>
      <c r="FP24" s="463"/>
      <c r="FQ24" s="463"/>
      <c r="FS24" s="463"/>
      <c r="FT24" s="463"/>
      <c r="FU24" s="463"/>
      <c r="FV24" s="463"/>
      <c r="FW24" s="463"/>
      <c r="FX24" s="463"/>
      <c r="FY24" s="463"/>
      <c r="FZ24" s="463"/>
    </row>
    <row r="25" spans="1:182" ht="25" customHeight="1">
      <c r="A25" s="425" t="s">
        <v>483</v>
      </c>
      <c r="B25" s="421" t="s">
        <v>487</v>
      </c>
      <c r="C25" s="823"/>
      <c r="D25" s="426" t="s">
        <v>490</v>
      </c>
      <c r="E25" s="428">
        <f>E26</f>
        <v>10.4</v>
      </c>
      <c r="F25" s="421">
        <v>3.5</v>
      </c>
      <c r="G25" s="425"/>
      <c r="H25" s="420"/>
      <c r="I25" s="420"/>
      <c r="J25" s="420"/>
      <c r="K25" s="459"/>
      <c r="L25" s="459"/>
      <c r="M25" s="393"/>
      <c r="N25" s="393"/>
      <c r="O25" s="463"/>
      <c r="P25" s="463"/>
      <c r="Q25" s="463"/>
      <c r="R25" s="463"/>
      <c r="S25" s="463"/>
      <c r="T25" s="463"/>
      <c r="U25" s="463"/>
      <c r="V25" s="463"/>
      <c r="W25" s="463"/>
      <c r="X25" s="463"/>
      <c r="Y25" s="463"/>
      <c r="Z25" s="463"/>
      <c r="AA25" s="463"/>
      <c r="AB25" s="463"/>
      <c r="AC25" s="463"/>
      <c r="AD25" s="463"/>
      <c r="AE25" s="463"/>
      <c r="AF25" s="463"/>
      <c r="AG25" s="463"/>
      <c r="AI25" s="463"/>
      <c r="AJ25" s="463"/>
      <c r="AK25" s="463"/>
      <c r="AL25" s="463"/>
      <c r="AM25" s="463"/>
      <c r="AN25" s="463"/>
      <c r="AO25" s="463"/>
      <c r="AP25" s="463"/>
      <c r="AQ25" s="463"/>
      <c r="AR25" s="463"/>
      <c r="AS25" s="463"/>
      <c r="AT25" s="463"/>
      <c r="AU25" s="463"/>
      <c r="AV25" s="463"/>
      <c r="AX25" s="463"/>
      <c r="AY25" s="463"/>
      <c r="AZ25" s="463"/>
      <c r="BA25" s="463"/>
      <c r="BB25" s="463"/>
      <c r="BC25" s="463"/>
      <c r="BD25" s="463"/>
      <c r="BE25" s="463"/>
      <c r="BF25" s="463"/>
      <c r="BG25" s="463"/>
      <c r="BH25" s="463"/>
      <c r="BI25" s="463"/>
      <c r="BJ25" s="463"/>
      <c r="BK25" s="463"/>
      <c r="BL25" s="463"/>
      <c r="BM25" s="463"/>
      <c r="BN25" s="463"/>
      <c r="BO25" s="463"/>
      <c r="BP25" s="463"/>
      <c r="BQ25" s="463"/>
      <c r="BR25" s="463"/>
      <c r="BT25" s="463"/>
      <c r="BU25" s="463"/>
      <c r="BV25" s="463"/>
      <c r="BX25" s="463"/>
      <c r="BY25" s="463"/>
      <c r="BZ25" s="463"/>
      <c r="CB25" s="463"/>
      <c r="CC25" s="463"/>
      <c r="CD25" s="463"/>
      <c r="CF25" s="463"/>
      <c r="CG25" s="463"/>
      <c r="CH25" s="463"/>
      <c r="CJ25" s="463"/>
      <c r="CK25" s="463"/>
      <c r="CM25" s="463"/>
      <c r="CO25" s="463"/>
      <c r="CP25" s="463"/>
      <c r="CQ25" s="463"/>
      <c r="CS25" s="463"/>
      <c r="CT25" s="463"/>
      <c r="CU25" s="463"/>
      <c r="CW25" s="463"/>
      <c r="CX25" s="463"/>
      <c r="CY25" s="463"/>
      <c r="DA25" s="463"/>
      <c r="DB25" s="463"/>
      <c r="DC25" s="463"/>
      <c r="DD25" s="463"/>
      <c r="DE25" s="463"/>
      <c r="DF25" s="463"/>
      <c r="DH25" s="463"/>
      <c r="DI25" s="463"/>
      <c r="DJ25" s="463"/>
      <c r="DL25" s="463"/>
      <c r="DM25" s="463"/>
      <c r="DN25" s="463"/>
      <c r="DO25" s="463"/>
      <c r="DP25" s="463"/>
      <c r="DR25" s="463"/>
      <c r="DS25" s="463"/>
      <c r="DT25" s="463"/>
      <c r="DV25" s="463"/>
      <c r="DW25" s="463"/>
      <c r="DX25" s="463"/>
      <c r="DZ25" s="463"/>
      <c r="EA25" s="463"/>
      <c r="EB25" s="463"/>
      <c r="ED25" s="463"/>
      <c r="EE25" s="463"/>
      <c r="EF25" s="463"/>
      <c r="EH25" s="463"/>
      <c r="EI25" s="463"/>
      <c r="EJ25" s="463"/>
      <c r="EK25" s="463"/>
      <c r="EL25" s="463"/>
      <c r="EN25" s="463"/>
      <c r="EO25" s="463"/>
      <c r="EP25" s="463"/>
      <c r="ER25" s="463"/>
      <c r="ES25" s="463"/>
      <c r="ET25" s="463"/>
      <c r="EV25" s="463"/>
      <c r="EW25" s="463"/>
      <c r="EY25" s="463"/>
      <c r="EZ25" s="463"/>
      <c r="FA25" s="463"/>
      <c r="FB25" s="463"/>
      <c r="FC25" s="463"/>
      <c r="FD25" s="463"/>
      <c r="FE25" s="463"/>
      <c r="FF25" s="463"/>
      <c r="FG25" s="463"/>
      <c r="FH25" s="463"/>
      <c r="FI25" s="463"/>
      <c r="FJ25" s="463"/>
      <c r="FK25" s="463"/>
      <c r="FL25" s="463"/>
      <c r="FM25" s="463"/>
      <c r="FN25" s="463"/>
      <c r="FO25" s="463"/>
      <c r="FP25" s="463"/>
      <c r="FQ25" s="463"/>
      <c r="FS25" s="463"/>
      <c r="FT25" s="463"/>
      <c r="FU25" s="463"/>
      <c r="FV25" s="463"/>
      <c r="FW25" s="463"/>
      <c r="FX25" s="463"/>
      <c r="FY25" s="463"/>
      <c r="FZ25" s="463"/>
    </row>
    <row r="26" spans="1:182" ht="25" customHeight="1">
      <c r="A26" s="425" t="s">
        <v>483</v>
      </c>
      <c r="B26" s="421" t="s">
        <v>487</v>
      </c>
      <c r="C26" s="823"/>
      <c r="D26" s="426" t="s">
        <v>491</v>
      </c>
      <c r="E26" s="421">
        <v>10.4</v>
      </c>
      <c r="F26" s="421">
        <v>3.5</v>
      </c>
      <c r="G26" s="425"/>
      <c r="H26" s="831" t="s">
        <v>492</v>
      </c>
      <c r="I26" s="421" t="s">
        <v>439</v>
      </c>
      <c r="J26" s="421">
        <v>0.995</v>
      </c>
      <c r="K26" s="459"/>
      <c r="L26" s="459"/>
      <c r="M26" s="393"/>
      <c r="N26" s="393"/>
      <c r="O26" s="463"/>
      <c r="P26" s="463"/>
      <c r="Q26" s="463"/>
      <c r="R26" s="463"/>
      <c r="S26" s="463"/>
      <c r="T26" s="463"/>
      <c r="U26" s="463"/>
      <c r="V26" s="463"/>
      <c r="W26" s="463"/>
      <c r="X26" s="463"/>
      <c r="Y26" s="463"/>
      <c r="Z26" s="463"/>
      <c r="AA26" s="463"/>
      <c r="AB26" s="463"/>
      <c r="AC26" s="463"/>
      <c r="AD26" s="463"/>
      <c r="AE26" s="463"/>
      <c r="AF26" s="463"/>
      <c r="AG26" s="463"/>
      <c r="AI26" s="463"/>
      <c r="AJ26" s="463"/>
      <c r="AK26" s="463"/>
      <c r="AL26" s="463"/>
      <c r="AM26" s="463"/>
      <c r="AN26" s="463"/>
      <c r="AO26" s="463"/>
      <c r="AP26" s="463"/>
      <c r="AQ26" s="463"/>
      <c r="AR26" s="463"/>
      <c r="AS26" s="463"/>
      <c r="AT26" s="463"/>
      <c r="AU26" s="463"/>
      <c r="AV26" s="463"/>
      <c r="AX26" s="463"/>
      <c r="AY26" s="463"/>
      <c r="AZ26" s="463"/>
      <c r="BA26" s="463"/>
      <c r="BB26" s="463"/>
      <c r="BC26" s="463"/>
      <c r="BD26" s="463"/>
      <c r="BE26" s="463"/>
      <c r="BF26" s="463"/>
      <c r="BG26" s="463"/>
      <c r="BH26" s="463"/>
      <c r="BI26" s="463"/>
      <c r="BJ26" s="463"/>
      <c r="BK26" s="463"/>
      <c r="BL26" s="463"/>
      <c r="BM26" s="463"/>
      <c r="BN26" s="463"/>
      <c r="BO26" s="463"/>
      <c r="BP26" s="463"/>
      <c r="BQ26" s="463"/>
      <c r="BR26" s="463"/>
      <c r="BT26" s="463"/>
      <c r="BU26" s="463"/>
      <c r="BV26" s="463"/>
      <c r="BX26" s="463"/>
      <c r="BY26" s="463"/>
      <c r="BZ26" s="463"/>
      <c r="CB26" s="463"/>
      <c r="CC26" s="463"/>
      <c r="CD26" s="463"/>
      <c r="CF26" s="463"/>
      <c r="CG26" s="463"/>
      <c r="CH26" s="463"/>
      <c r="CJ26" s="463"/>
      <c r="CK26" s="463"/>
      <c r="CM26" s="463"/>
      <c r="CO26" s="463"/>
      <c r="CP26" s="463"/>
      <c r="CQ26" s="463"/>
      <c r="CS26" s="463"/>
      <c r="CT26" s="463"/>
      <c r="CU26" s="463"/>
      <c r="CW26" s="463"/>
      <c r="CX26" s="463"/>
      <c r="CY26" s="463"/>
      <c r="DA26" s="463"/>
      <c r="DB26" s="463"/>
      <c r="DC26" s="463"/>
      <c r="DD26" s="463"/>
      <c r="DE26" s="463"/>
      <c r="DF26" s="463"/>
      <c r="DH26" s="463"/>
      <c r="DI26" s="463"/>
      <c r="DJ26" s="463"/>
      <c r="DL26" s="463"/>
      <c r="DM26" s="463"/>
      <c r="DN26" s="463"/>
      <c r="DO26" s="463"/>
      <c r="DP26" s="463"/>
      <c r="DR26" s="463"/>
      <c r="DS26" s="463"/>
      <c r="DT26" s="463"/>
      <c r="DV26" s="463"/>
      <c r="DW26" s="463"/>
      <c r="DX26" s="463"/>
      <c r="DZ26" s="463"/>
      <c r="EA26" s="463"/>
      <c r="EB26" s="463"/>
      <c r="ED26" s="463"/>
      <c r="EE26" s="463"/>
      <c r="EF26" s="463"/>
      <c r="EH26" s="463"/>
      <c r="EI26" s="463"/>
      <c r="EJ26" s="463"/>
      <c r="EK26" s="463"/>
      <c r="EL26" s="463"/>
      <c r="EN26" s="463"/>
      <c r="EO26" s="463"/>
      <c r="EP26" s="463"/>
      <c r="ER26" s="463"/>
      <c r="ES26" s="463"/>
      <c r="ET26" s="463"/>
      <c r="EV26" s="463"/>
      <c r="EW26" s="463"/>
      <c r="EY26" s="463"/>
      <c r="EZ26" s="463"/>
      <c r="FA26" s="463"/>
      <c r="FB26" s="463"/>
      <c r="FC26" s="463"/>
      <c r="FD26" s="463"/>
      <c r="FE26" s="463"/>
      <c r="FF26" s="463"/>
      <c r="FG26" s="463"/>
      <c r="FH26" s="463"/>
      <c r="FI26" s="463"/>
      <c r="FJ26" s="463"/>
      <c r="FK26" s="463"/>
      <c r="FL26" s="463"/>
      <c r="FM26" s="463"/>
      <c r="FN26" s="463"/>
      <c r="FO26" s="463"/>
      <c r="FP26" s="463"/>
      <c r="FQ26" s="463"/>
      <c r="FS26" s="463"/>
      <c r="FT26" s="463"/>
      <c r="FU26" s="463"/>
      <c r="FV26" s="463"/>
      <c r="FW26" s="463"/>
      <c r="FX26" s="463"/>
      <c r="FY26" s="463"/>
      <c r="FZ26" s="463"/>
    </row>
    <row r="27" spans="1:182" ht="25" customHeight="1">
      <c r="A27" s="425" t="s">
        <v>483</v>
      </c>
      <c r="B27" s="421" t="s">
        <v>493</v>
      </c>
      <c r="C27" s="823"/>
      <c r="D27" s="426" t="s">
        <v>474</v>
      </c>
      <c r="E27" s="433">
        <f>E26</f>
        <v>10.4</v>
      </c>
      <c r="F27" s="421">
        <v>2.8</v>
      </c>
      <c r="G27" s="425"/>
      <c r="H27" s="831"/>
      <c r="I27" s="421" t="s">
        <v>446</v>
      </c>
      <c r="J27" s="454">
        <v>0.03</v>
      </c>
      <c r="K27" s="459"/>
      <c r="L27" s="459"/>
      <c r="M27" s="393"/>
      <c r="N27" s="393"/>
      <c r="O27" s="463"/>
      <c r="P27" s="463"/>
      <c r="Q27" s="463"/>
      <c r="R27" s="463"/>
      <c r="S27" s="463"/>
      <c r="T27" s="463"/>
      <c r="U27" s="463"/>
      <c r="V27" s="463"/>
      <c r="W27" s="463"/>
      <c r="X27" s="463"/>
      <c r="Y27" s="463"/>
      <c r="Z27" s="463"/>
      <c r="AA27" s="463"/>
      <c r="AB27" s="463"/>
      <c r="AC27" s="463"/>
      <c r="AD27" s="463"/>
      <c r="AE27" s="463"/>
      <c r="AF27" s="463"/>
      <c r="AG27" s="463"/>
      <c r="AI27" s="463"/>
      <c r="AJ27" s="463"/>
      <c r="AK27" s="463"/>
      <c r="AL27" s="463"/>
      <c r="AM27" s="463"/>
      <c r="AN27" s="463"/>
      <c r="AO27" s="463"/>
      <c r="AP27" s="463"/>
      <c r="AQ27" s="463"/>
      <c r="AR27" s="463"/>
      <c r="AS27" s="463"/>
      <c r="AT27" s="463"/>
      <c r="AU27" s="463"/>
      <c r="AV27" s="463"/>
      <c r="AX27" s="463"/>
      <c r="AY27" s="463"/>
      <c r="AZ27" s="463"/>
      <c r="BA27" s="463"/>
      <c r="BB27" s="463"/>
      <c r="BC27" s="463"/>
      <c r="BD27" s="463"/>
      <c r="BE27" s="463"/>
      <c r="BF27" s="463"/>
      <c r="BG27" s="463"/>
      <c r="BH27" s="463"/>
      <c r="BI27" s="463"/>
      <c r="BJ27" s="463"/>
      <c r="BK27" s="463"/>
      <c r="BL27" s="463"/>
      <c r="BM27" s="463"/>
      <c r="BN27" s="463"/>
      <c r="BO27" s="463"/>
      <c r="BP27" s="463"/>
      <c r="BQ27" s="463"/>
      <c r="BR27" s="463"/>
      <c r="BT27" s="463"/>
      <c r="BU27" s="463"/>
      <c r="BV27" s="463"/>
      <c r="BX27" s="463"/>
      <c r="BY27" s="463"/>
      <c r="BZ27" s="463"/>
      <c r="CB27" s="463"/>
      <c r="CC27" s="463"/>
      <c r="CD27" s="463"/>
      <c r="CF27" s="463"/>
      <c r="CG27" s="463"/>
      <c r="CH27" s="463"/>
      <c r="CJ27" s="463"/>
      <c r="CK27" s="463"/>
      <c r="CM27" s="463"/>
      <c r="CO27" s="463"/>
      <c r="CP27" s="463"/>
      <c r="CQ27" s="463"/>
      <c r="CS27" s="463"/>
      <c r="CT27" s="463"/>
      <c r="CU27" s="463"/>
      <c r="CW27" s="463"/>
      <c r="CX27" s="463"/>
      <c r="CY27" s="463"/>
      <c r="DA27" s="463"/>
      <c r="DB27" s="463"/>
      <c r="DC27" s="463"/>
      <c r="DD27" s="463"/>
      <c r="DE27" s="463"/>
      <c r="DF27" s="463"/>
      <c r="DH27" s="463"/>
      <c r="DI27" s="463"/>
      <c r="DJ27" s="463"/>
      <c r="DL27" s="463"/>
      <c r="DM27" s="463"/>
      <c r="DN27" s="463"/>
      <c r="DO27" s="463"/>
      <c r="DP27" s="463"/>
      <c r="DR27" s="463"/>
      <c r="DS27" s="463"/>
      <c r="DT27" s="463"/>
      <c r="DV27" s="463"/>
      <c r="DW27" s="463"/>
      <c r="DX27" s="463"/>
      <c r="DZ27" s="463"/>
      <c r="EA27" s="463"/>
      <c r="EB27" s="463"/>
      <c r="ED27" s="463"/>
      <c r="EE27" s="463"/>
      <c r="EF27" s="463"/>
      <c r="EH27" s="463"/>
      <c r="EI27" s="463"/>
      <c r="EJ27" s="463"/>
      <c r="EK27" s="463"/>
      <c r="EL27" s="463"/>
      <c r="EN27" s="463"/>
      <c r="EO27" s="463"/>
      <c r="EP27" s="463"/>
      <c r="ER27" s="463"/>
      <c r="ES27" s="463"/>
      <c r="ET27" s="463"/>
      <c r="EV27" s="463"/>
      <c r="EW27" s="463"/>
      <c r="EY27" s="463"/>
      <c r="EZ27" s="463"/>
      <c r="FA27" s="463"/>
      <c r="FB27" s="463"/>
      <c r="FC27" s="463"/>
      <c r="FD27" s="463"/>
      <c r="FE27" s="463"/>
      <c r="FF27" s="463"/>
      <c r="FG27" s="463"/>
      <c r="FH27" s="463"/>
      <c r="FI27" s="463"/>
      <c r="FJ27" s="463"/>
      <c r="FK27" s="463"/>
      <c r="FL27" s="463"/>
      <c r="FM27" s="463"/>
      <c r="FN27" s="463"/>
      <c r="FO27" s="463"/>
      <c r="FP27" s="463"/>
      <c r="FQ27" s="463"/>
      <c r="FS27" s="463"/>
      <c r="FT27" s="463"/>
      <c r="FU27" s="463"/>
      <c r="FV27" s="463"/>
      <c r="FW27" s="463"/>
      <c r="FX27" s="463"/>
      <c r="FY27" s="463"/>
      <c r="FZ27" s="463"/>
    </row>
    <row r="28" spans="1:182" ht="25" customHeight="1">
      <c r="A28" s="425"/>
      <c r="B28" s="421"/>
      <c r="C28" s="823"/>
      <c r="D28" s="426" t="s">
        <v>476</v>
      </c>
      <c r="E28" s="433">
        <f>E26</f>
        <v>10.4</v>
      </c>
      <c r="F28" s="421">
        <v>2.8</v>
      </c>
      <c r="G28" s="425"/>
      <c r="H28" s="831"/>
      <c r="I28" s="421" t="s">
        <v>450</v>
      </c>
      <c r="J28" s="465">
        <v>0</v>
      </c>
      <c r="K28" s="459"/>
      <c r="L28" s="459"/>
      <c r="M28" s="393"/>
      <c r="N28" s="393"/>
      <c r="O28" s="463"/>
      <c r="P28" s="463"/>
      <c r="Q28" s="463"/>
      <c r="R28" s="463"/>
      <c r="S28" s="463"/>
      <c r="T28" s="463"/>
      <c r="U28" s="463"/>
      <c r="V28" s="463"/>
      <c r="W28" s="463"/>
      <c r="X28" s="463"/>
      <c r="Y28" s="463"/>
      <c r="Z28" s="463"/>
      <c r="AA28" s="463"/>
      <c r="AB28" s="463"/>
      <c r="AC28" s="463"/>
      <c r="AD28" s="463"/>
      <c r="AE28" s="463"/>
      <c r="AF28" s="463"/>
      <c r="AG28" s="463"/>
      <c r="AI28" s="463"/>
      <c r="AJ28" s="463"/>
      <c r="AK28" s="463"/>
      <c r="AL28" s="463"/>
      <c r="AM28" s="463"/>
      <c r="AN28" s="463"/>
      <c r="AO28" s="463"/>
      <c r="AP28" s="463"/>
      <c r="AQ28" s="463"/>
      <c r="AR28" s="463"/>
      <c r="AS28" s="463"/>
      <c r="AT28" s="463"/>
      <c r="AU28" s="463"/>
      <c r="AV28" s="463"/>
      <c r="AX28" s="463"/>
      <c r="AY28" s="463"/>
      <c r="AZ28" s="463"/>
      <c r="BA28" s="463"/>
      <c r="BB28" s="463"/>
      <c r="BC28" s="463"/>
      <c r="BD28" s="463"/>
      <c r="BE28" s="463"/>
      <c r="BF28" s="463"/>
      <c r="BG28" s="463"/>
      <c r="BH28" s="463"/>
      <c r="BI28" s="463"/>
      <c r="BJ28" s="463"/>
      <c r="BK28" s="463"/>
      <c r="BL28" s="463"/>
      <c r="BM28" s="463"/>
      <c r="BN28" s="463"/>
      <c r="BO28" s="463"/>
      <c r="BP28" s="463"/>
      <c r="BQ28" s="463"/>
      <c r="BR28" s="463"/>
      <c r="BT28" s="463"/>
      <c r="BU28" s="463"/>
      <c r="BV28" s="463"/>
      <c r="BX28" s="463"/>
      <c r="BY28" s="463"/>
      <c r="BZ28" s="463"/>
      <c r="CB28" s="463"/>
      <c r="CC28" s="463"/>
      <c r="CD28" s="463"/>
      <c r="CF28" s="463"/>
      <c r="CG28" s="463"/>
      <c r="CH28" s="463"/>
      <c r="CJ28" s="463"/>
      <c r="CK28" s="463"/>
      <c r="CM28" s="463"/>
      <c r="CO28" s="463"/>
      <c r="CP28" s="463"/>
      <c r="CQ28" s="463"/>
      <c r="CS28" s="463"/>
      <c r="CT28" s="463"/>
      <c r="CU28" s="463"/>
      <c r="CW28" s="463"/>
      <c r="CX28" s="463"/>
      <c r="CY28" s="463"/>
      <c r="DA28" s="463"/>
      <c r="DB28" s="463"/>
      <c r="DC28" s="463"/>
      <c r="DD28" s="463"/>
      <c r="DE28" s="463"/>
      <c r="DF28" s="463"/>
      <c r="DH28" s="463"/>
      <c r="DI28" s="463"/>
      <c r="DJ28" s="463"/>
      <c r="DL28" s="463"/>
      <c r="DM28" s="463"/>
      <c r="DN28" s="463"/>
      <c r="DO28" s="463"/>
      <c r="DP28" s="463"/>
      <c r="DR28" s="463"/>
      <c r="DS28" s="463"/>
      <c r="DT28" s="463"/>
      <c r="DV28" s="463"/>
      <c r="DW28" s="463"/>
      <c r="DX28" s="463"/>
      <c r="DZ28" s="463"/>
      <c r="EA28" s="463"/>
      <c r="EB28" s="463"/>
      <c r="ED28" s="463"/>
      <c r="EE28" s="463"/>
      <c r="EF28" s="463"/>
      <c r="EH28" s="463"/>
      <c r="EI28" s="463"/>
      <c r="EJ28" s="463"/>
      <c r="EK28" s="463"/>
      <c r="EL28" s="463"/>
      <c r="EN28" s="463"/>
      <c r="EO28" s="463"/>
      <c r="EP28" s="463"/>
      <c r="ER28" s="463"/>
      <c r="ES28" s="463"/>
      <c r="ET28" s="463"/>
      <c r="EV28" s="463"/>
      <c r="EW28" s="463"/>
      <c r="EY28" s="463"/>
      <c r="EZ28" s="463"/>
      <c r="FA28" s="463"/>
      <c r="FB28" s="463"/>
      <c r="FC28" s="463"/>
      <c r="FD28" s="463"/>
      <c r="FE28" s="463"/>
      <c r="FF28" s="463"/>
      <c r="FG28" s="463"/>
      <c r="FH28" s="463"/>
      <c r="FI28" s="463"/>
      <c r="FJ28" s="463"/>
      <c r="FK28" s="463"/>
      <c r="FL28" s="463"/>
      <c r="FM28" s="463"/>
      <c r="FN28" s="463"/>
      <c r="FO28" s="463"/>
      <c r="FP28" s="463"/>
      <c r="FQ28" s="463"/>
      <c r="FS28" s="463"/>
      <c r="FT28" s="463"/>
      <c r="FU28" s="463"/>
      <c r="FV28" s="463"/>
      <c r="FW28" s="463"/>
      <c r="FX28" s="463"/>
      <c r="FY28" s="463"/>
      <c r="FZ28" s="463"/>
    </row>
    <row r="29" spans="1:182" ht="25" customHeight="1">
      <c r="A29" s="425"/>
      <c r="B29" s="434" t="s">
        <v>494</v>
      </c>
      <c r="C29" s="824" t="s">
        <v>495</v>
      </c>
      <c r="D29" s="437" t="s">
        <v>496</v>
      </c>
      <c r="E29" s="421">
        <v>3</v>
      </c>
      <c r="F29" s="421">
        <v>1.2</v>
      </c>
      <c r="G29" s="425"/>
      <c r="H29" s="831"/>
      <c r="I29" s="421"/>
      <c r="J29" s="454"/>
      <c r="K29" s="459"/>
      <c r="L29" s="459"/>
      <c r="M29" s="463"/>
      <c r="N29" s="463"/>
      <c r="O29" s="463"/>
      <c r="P29" s="463"/>
      <c r="Q29" s="463"/>
      <c r="R29" s="463"/>
      <c r="S29" s="463"/>
      <c r="T29" s="463"/>
      <c r="U29" s="463"/>
      <c r="V29" s="463"/>
      <c r="W29" s="463"/>
      <c r="X29" s="463"/>
      <c r="Y29" s="463"/>
      <c r="Z29" s="463"/>
      <c r="AA29" s="463"/>
      <c r="AB29" s="463"/>
      <c r="AC29" s="463"/>
      <c r="AD29" s="463"/>
      <c r="AE29" s="463"/>
      <c r="AF29" s="463"/>
      <c r="AG29" s="463"/>
      <c r="AI29" s="463"/>
      <c r="AJ29" s="463"/>
      <c r="AK29" s="463"/>
      <c r="AL29" s="463"/>
      <c r="AM29" s="463"/>
      <c r="AN29" s="463"/>
      <c r="AO29" s="463"/>
      <c r="AP29" s="463"/>
      <c r="AQ29" s="463"/>
      <c r="AR29" s="463"/>
      <c r="AS29" s="463"/>
      <c r="AT29" s="463"/>
      <c r="AU29" s="463"/>
      <c r="AV29" s="463"/>
      <c r="AX29" s="463"/>
      <c r="AY29" s="463"/>
      <c r="AZ29" s="463"/>
      <c r="BA29" s="463"/>
      <c r="BB29" s="463"/>
      <c r="BC29" s="463"/>
      <c r="BD29" s="463"/>
      <c r="BE29" s="463"/>
      <c r="BF29" s="463"/>
      <c r="BG29" s="463"/>
      <c r="BH29" s="463"/>
      <c r="BI29" s="463"/>
      <c r="BJ29" s="463"/>
      <c r="BK29" s="463"/>
      <c r="BL29" s="463"/>
      <c r="BM29" s="463"/>
      <c r="BN29" s="463"/>
      <c r="BO29" s="463"/>
      <c r="BP29" s="463"/>
      <c r="BQ29" s="463"/>
      <c r="BR29" s="463"/>
      <c r="BT29" s="463"/>
      <c r="BU29" s="463"/>
      <c r="BV29" s="463"/>
      <c r="BX29" s="463"/>
      <c r="BY29" s="463"/>
      <c r="BZ29" s="463"/>
      <c r="CB29" s="463"/>
      <c r="CC29" s="463"/>
      <c r="CD29" s="463"/>
      <c r="CF29" s="463"/>
      <c r="CG29" s="463"/>
      <c r="CH29" s="463"/>
      <c r="CJ29" s="463"/>
      <c r="CK29" s="463"/>
      <c r="CM29" s="463"/>
      <c r="CO29" s="463"/>
      <c r="CP29" s="463"/>
      <c r="CQ29" s="463"/>
      <c r="CS29" s="463"/>
      <c r="CT29" s="463"/>
      <c r="CU29" s="463"/>
      <c r="CW29" s="463"/>
      <c r="CX29" s="463"/>
      <c r="CY29" s="463"/>
      <c r="DA29" s="463"/>
      <c r="DB29" s="463"/>
      <c r="DC29" s="463"/>
      <c r="DD29" s="463"/>
      <c r="DE29" s="463"/>
      <c r="DF29" s="463"/>
      <c r="DH29" s="463"/>
      <c r="DI29" s="463"/>
      <c r="DJ29" s="463"/>
      <c r="DL29" s="463"/>
      <c r="DM29" s="463"/>
      <c r="DN29" s="463"/>
      <c r="DO29" s="463"/>
      <c r="DP29" s="463"/>
      <c r="DR29" s="463"/>
      <c r="DS29" s="463"/>
      <c r="DT29" s="463"/>
      <c r="DV29" s="463"/>
      <c r="DW29" s="463"/>
      <c r="DX29" s="463"/>
      <c r="DZ29" s="463"/>
      <c r="EA29" s="463"/>
      <c r="EB29" s="463"/>
      <c r="ED29" s="463"/>
      <c r="EE29" s="463"/>
      <c r="EF29" s="463"/>
      <c r="EH29" s="463"/>
      <c r="EI29" s="463"/>
      <c r="EJ29" s="463"/>
      <c r="EK29" s="463"/>
      <c r="EL29" s="463"/>
      <c r="EN29" s="463"/>
      <c r="EO29" s="463"/>
      <c r="EP29" s="463"/>
      <c r="ER29" s="463"/>
      <c r="ES29" s="463"/>
      <c r="ET29" s="463"/>
      <c r="EV29" s="463"/>
      <c r="EW29" s="463"/>
      <c r="EY29" s="463"/>
      <c r="EZ29" s="463"/>
      <c r="FA29" s="463"/>
      <c r="FB29" s="463"/>
      <c r="FC29" s="463"/>
      <c r="FD29" s="463"/>
      <c r="FE29" s="463"/>
      <c r="FF29" s="463"/>
      <c r="FG29" s="463"/>
      <c r="FH29" s="463"/>
      <c r="FI29" s="463"/>
      <c r="FJ29" s="463"/>
      <c r="FK29" s="463"/>
      <c r="FL29" s="463"/>
      <c r="FM29" s="463"/>
      <c r="FN29" s="463"/>
      <c r="FO29" s="463"/>
      <c r="FP29" s="463"/>
      <c r="FQ29" s="463"/>
      <c r="FS29" s="463"/>
      <c r="FT29" s="463"/>
      <c r="FU29" s="463"/>
      <c r="FV29" s="463"/>
      <c r="FW29" s="463"/>
      <c r="FX29" s="463"/>
      <c r="FY29" s="463"/>
      <c r="FZ29" s="463"/>
    </row>
    <row r="30" spans="1:182" ht="25" customHeight="1">
      <c r="A30" s="425" t="s">
        <v>483</v>
      </c>
      <c r="B30" s="434" t="s">
        <v>497</v>
      </c>
      <c r="C30" s="825"/>
      <c r="D30" s="437" t="s">
        <v>498</v>
      </c>
      <c r="E30" s="421">
        <v>5</v>
      </c>
      <c r="F30" s="421">
        <v>1.2</v>
      </c>
      <c r="G30" s="425"/>
      <c r="H30" s="429"/>
      <c r="I30" s="429"/>
      <c r="J30" s="458"/>
      <c r="K30" s="459"/>
      <c r="L30" s="459"/>
      <c r="M30" s="463"/>
      <c r="N30" s="463"/>
      <c r="O30" s="463"/>
      <c r="P30" s="463"/>
      <c r="Q30" s="463"/>
      <c r="R30" s="463"/>
      <c r="S30" s="463"/>
      <c r="T30" s="463"/>
      <c r="U30" s="463"/>
      <c r="V30" s="463"/>
      <c r="W30" s="463"/>
      <c r="X30" s="463"/>
      <c r="Y30" s="463"/>
      <c r="Z30" s="463"/>
      <c r="AA30" s="463"/>
      <c r="AB30" s="463"/>
      <c r="AC30" s="463"/>
      <c r="AD30" s="463"/>
      <c r="AE30" s="463"/>
      <c r="AF30" s="463"/>
      <c r="AG30" s="463"/>
      <c r="AI30" s="463"/>
      <c r="AJ30" s="463"/>
      <c r="AK30" s="463"/>
      <c r="AL30" s="463"/>
      <c r="AM30" s="463"/>
      <c r="AN30" s="463"/>
      <c r="AO30" s="463"/>
      <c r="AP30" s="463"/>
      <c r="AQ30" s="463"/>
      <c r="AR30" s="463"/>
      <c r="AS30" s="463"/>
      <c r="AT30" s="463"/>
      <c r="AU30" s="463"/>
      <c r="AV30" s="463"/>
      <c r="AX30" s="463"/>
      <c r="AY30" s="463"/>
      <c r="AZ30" s="463"/>
      <c r="BA30" s="463"/>
      <c r="BB30" s="463"/>
      <c r="BC30" s="463"/>
      <c r="BD30" s="463"/>
      <c r="BE30" s="463"/>
      <c r="BF30" s="463"/>
      <c r="BG30" s="463"/>
      <c r="BH30" s="463"/>
      <c r="BI30" s="463"/>
      <c r="BJ30" s="463"/>
      <c r="BK30" s="463"/>
      <c r="BL30" s="463"/>
      <c r="BM30" s="463"/>
      <c r="BN30" s="463"/>
      <c r="BO30" s="463"/>
      <c r="BP30" s="463"/>
      <c r="BQ30" s="463"/>
      <c r="BR30" s="463"/>
      <c r="BT30" s="463"/>
      <c r="BU30" s="463"/>
      <c r="BV30" s="463"/>
      <c r="BX30" s="463"/>
      <c r="BY30" s="463"/>
      <c r="BZ30" s="463"/>
      <c r="CB30" s="463"/>
      <c r="CC30" s="463"/>
      <c r="CD30" s="463"/>
      <c r="CF30" s="463"/>
      <c r="CG30" s="463"/>
      <c r="CH30" s="463"/>
      <c r="CJ30" s="463"/>
      <c r="CK30" s="463"/>
      <c r="CM30" s="463"/>
      <c r="CO30" s="463"/>
      <c r="CP30" s="463"/>
      <c r="CQ30" s="463"/>
      <c r="CS30" s="463"/>
      <c r="CT30" s="463"/>
      <c r="CU30" s="463"/>
      <c r="CW30" s="463"/>
      <c r="CX30" s="463"/>
      <c r="CY30" s="463"/>
      <c r="DA30" s="463"/>
      <c r="DB30" s="463"/>
      <c r="DC30" s="463"/>
      <c r="DD30" s="463"/>
      <c r="DE30" s="463"/>
      <c r="DF30" s="463"/>
      <c r="DH30" s="463"/>
      <c r="DI30" s="463"/>
      <c r="DJ30" s="463"/>
      <c r="DL30" s="463"/>
      <c r="DM30" s="463"/>
      <c r="DN30" s="463"/>
      <c r="DO30" s="463"/>
      <c r="DP30" s="463"/>
      <c r="DR30" s="463"/>
      <c r="DS30" s="463"/>
      <c r="DT30" s="463"/>
      <c r="DV30" s="463"/>
      <c r="DW30" s="463"/>
      <c r="DX30" s="463"/>
      <c r="DZ30" s="463"/>
      <c r="EA30" s="463"/>
      <c r="EB30" s="463"/>
      <c r="ED30" s="463"/>
      <c r="EE30" s="463"/>
      <c r="EF30" s="463"/>
      <c r="EH30" s="463"/>
      <c r="EI30" s="463"/>
      <c r="EJ30" s="463"/>
      <c r="EK30" s="463"/>
      <c r="EL30" s="463"/>
      <c r="EN30" s="463"/>
      <c r="EO30" s="463"/>
      <c r="EP30" s="463"/>
      <c r="ER30" s="463"/>
      <c r="ES30" s="463"/>
      <c r="ET30" s="463"/>
      <c r="EV30" s="463"/>
      <c r="EW30" s="463"/>
      <c r="EY30" s="463"/>
      <c r="EZ30" s="463"/>
      <c r="FA30" s="463"/>
      <c r="FB30" s="463"/>
      <c r="FC30" s="463"/>
      <c r="FD30" s="463"/>
      <c r="FE30" s="463"/>
      <c r="FF30" s="463"/>
      <c r="FG30" s="463"/>
      <c r="FH30" s="463"/>
      <c r="FI30" s="463"/>
      <c r="FJ30" s="463"/>
      <c r="FK30" s="463"/>
      <c r="FL30" s="463"/>
      <c r="FM30" s="463"/>
      <c r="FN30" s="463"/>
      <c r="FO30" s="463"/>
      <c r="FP30" s="463"/>
      <c r="FQ30" s="463"/>
      <c r="FS30" s="463"/>
      <c r="FT30" s="463"/>
      <c r="FU30" s="463"/>
      <c r="FV30" s="463"/>
      <c r="FW30" s="463"/>
      <c r="FX30" s="463"/>
      <c r="FY30" s="463"/>
      <c r="FZ30" s="463"/>
    </row>
    <row r="31" spans="1:182" ht="25" customHeight="1">
      <c r="A31" s="425" t="s">
        <v>483</v>
      </c>
      <c r="B31" s="434"/>
      <c r="C31" s="825"/>
      <c r="D31" s="437"/>
      <c r="E31" s="421"/>
      <c r="F31" s="421"/>
      <c r="G31" s="425"/>
      <c r="H31" s="832" t="s">
        <v>499</v>
      </c>
      <c r="I31" s="466" t="s">
        <v>439</v>
      </c>
      <c r="J31" s="467">
        <v>0.995</v>
      </c>
      <c r="K31" s="459"/>
      <c r="L31" s="459"/>
      <c r="M31" s="463"/>
      <c r="N31" s="463"/>
      <c r="O31" s="463"/>
      <c r="P31" s="463"/>
      <c r="Q31" s="463"/>
      <c r="R31" s="463"/>
      <c r="S31" s="463"/>
      <c r="T31" s="463"/>
      <c r="U31" s="463"/>
      <c r="V31" s="463"/>
      <c r="W31" s="463"/>
      <c r="X31" s="463"/>
      <c r="Y31" s="463"/>
      <c r="Z31" s="463"/>
      <c r="AA31" s="463"/>
      <c r="AB31" s="463"/>
      <c r="AC31" s="463"/>
      <c r="AD31" s="463"/>
      <c r="AE31" s="463"/>
      <c r="AF31" s="463"/>
      <c r="AG31" s="463"/>
      <c r="AI31" s="463"/>
      <c r="AJ31" s="463"/>
      <c r="AK31" s="463"/>
      <c r="AL31" s="463"/>
      <c r="AM31" s="463"/>
      <c r="AN31" s="463"/>
      <c r="AO31" s="463"/>
      <c r="AP31" s="463"/>
      <c r="AQ31" s="463"/>
      <c r="AR31" s="463"/>
      <c r="AS31" s="463"/>
      <c r="AT31" s="463"/>
      <c r="AU31" s="463"/>
      <c r="AV31" s="463"/>
      <c r="AX31" s="463"/>
      <c r="AY31" s="463"/>
      <c r="AZ31" s="463"/>
      <c r="BA31" s="463"/>
      <c r="BB31" s="463"/>
      <c r="BC31" s="463"/>
      <c r="BD31" s="463"/>
      <c r="BE31" s="463"/>
      <c r="BF31" s="463"/>
      <c r="BG31" s="463"/>
      <c r="BH31" s="463"/>
      <c r="BI31" s="463"/>
      <c r="BJ31" s="463"/>
      <c r="BK31" s="463"/>
      <c r="BL31" s="463"/>
      <c r="BM31" s="463"/>
      <c r="BN31" s="463"/>
      <c r="BO31" s="463"/>
      <c r="BP31" s="463"/>
      <c r="BQ31" s="463"/>
      <c r="BR31" s="463"/>
      <c r="BT31" s="463"/>
      <c r="BU31" s="463"/>
      <c r="BV31" s="463"/>
      <c r="BX31" s="463"/>
      <c r="BY31" s="463"/>
      <c r="BZ31" s="463"/>
      <c r="CB31" s="463"/>
      <c r="CC31" s="463"/>
      <c r="CD31" s="463"/>
      <c r="CF31" s="463"/>
      <c r="CG31" s="463"/>
      <c r="CH31" s="463"/>
      <c r="CJ31" s="463"/>
      <c r="CK31" s="463"/>
      <c r="CM31" s="463"/>
      <c r="CO31" s="463"/>
      <c r="CP31" s="463"/>
      <c r="CQ31" s="463"/>
      <c r="CS31" s="463"/>
      <c r="CT31" s="463"/>
      <c r="CU31" s="463"/>
      <c r="CW31" s="463"/>
      <c r="CX31" s="463"/>
      <c r="CY31" s="463"/>
      <c r="DA31" s="463"/>
      <c r="DB31" s="463"/>
      <c r="DC31" s="463"/>
      <c r="DD31" s="463"/>
      <c r="DE31" s="463"/>
      <c r="DF31" s="463"/>
      <c r="DH31" s="463"/>
      <c r="DI31" s="463"/>
      <c r="DJ31" s="463"/>
      <c r="DL31" s="463"/>
      <c r="DM31" s="463"/>
      <c r="DN31" s="463"/>
      <c r="DO31" s="463"/>
      <c r="DP31" s="463"/>
      <c r="DR31" s="463"/>
      <c r="DS31" s="463"/>
      <c r="DT31" s="463"/>
      <c r="DV31" s="463"/>
      <c r="DW31" s="463"/>
      <c r="DX31" s="463"/>
      <c r="DZ31" s="463"/>
      <c r="EA31" s="463"/>
      <c r="EB31" s="463"/>
      <c r="ED31" s="463"/>
      <c r="EE31" s="463"/>
      <c r="EF31" s="463"/>
      <c r="EH31" s="463"/>
      <c r="EI31" s="463"/>
      <c r="EJ31" s="463"/>
      <c r="EK31" s="463"/>
      <c r="EL31" s="463"/>
      <c r="EN31" s="463"/>
      <c r="EO31" s="463"/>
      <c r="EP31" s="463"/>
      <c r="ER31" s="463"/>
      <c r="ES31" s="463"/>
      <c r="ET31" s="463"/>
      <c r="EV31" s="463"/>
      <c r="EW31" s="463"/>
      <c r="EY31" s="463"/>
      <c r="EZ31" s="463"/>
      <c r="FA31" s="463"/>
      <c r="FB31" s="463"/>
      <c r="FC31" s="463"/>
      <c r="FD31" s="463"/>
      <c r="FE31" s="463"/>
      <c r="FF31" s="463"/>
      <c r="FG31" s="463"/>
      <c r="FH31" s="463"/>
      <c r="FI31" s="463"/>
      <c r="FJ31" s="463"/>
      <c r="FK31" s="463"/>
      <c r="FL31" s="463"/>
      <c r="FM31" s="463"/>
      <c r="FN31" s="463"/>
      <c r="FO31" s="463"/>
      <c r="FP31" s="463"/>
      <c r="FQ31" s="463"/>
      <c r="FS31" s="463"/>
      <c r="FT31" s="463"/>
      <c r="FU31" s="463"/>
      <c r="FV31" s="463"/>
      <c r="FW31" s="463"/>
      <c r="FX31" s="463"/>
      <c r="FY31" s="463"/>
      <c r="FZ31" s="463"/>
    </row>
    <row r="32" spans="1:182" ht="25" customHeight="1">
      <c r="A32" s="425" t="s">
        <v>483</v>
      </c>
      <c r="B32" s="434" t="s">
        <v>497</v>
      </c>
      <c r="C32" s="825"/>
      <c r="D32" s="437" t="s">
        <v>500</v>
      </c>
      <c r="E32" s="421">
        <v>5</v>
      </c>
      <c r="F32" s="421">
        <v>2</v>
      </c>
      <c r="G32" s="425"/>
      <c r="H32" s="833"/>
      <c r="I32" s="426" t="s">
        <v>446</v>
      </c>
      <c r="J32" s="454">
        <v>0.02</v>
      </c>
      <c r="K32" s="459"/>
      <c r="L32" s="459"/>
      <c r="M32" s="463"/>
      <c r="N32" s="463"/>
      <c r="O32" s="463"/>
      <c r="P32" s="463"/>
      <c r="Q32" s="463"/>
      <c r="R32" s="463"/>
      <c r="S32" s="463"/>
      <c r="T32" s="463"/>
      <c r="U32" s="463"/>
      <c r="V32" s="463"/>
      <c r="W32" s="463"/>
      <c r="X32" s="463"/>
      <c r="Y32" s="463"/>
      <c r="Z32" s="463"/>
      <c r="AA32" s="463"/>
      <c r="AB32" s="463"/>
      <c r="AC32" s="463"/>
      <c r="AD32" s="463"/>
      <c r="AE32" s="463"/>
      <c r="AF32" s="463"/>
      <c r="AG32" s="463"/>
      <c r="AI32" s="463"/>
      <c r="AJ32" s="463"/>
      <c r="AK32" s="463"/>
      <c r="AL32" s="463"/>
      <c r="AM32" s="463"/>
      <c r="AN32" s="463"/>
      <c r="AO32" s="463"/>
      <c r="AP32" s="463"/>
      <c r="AQ32" s="463"/>
      <c r="AR32" s="463"/>
      <c r="AS32" s="463"/>
      <c r="AT32" s="463"/>
      <c r="AU32" s="463"/>
      <c r="AV32" s="463"/>
      <c r="AX32" s="463"/>
      <c r="AY32" s="463"/>
      <c r="AZ32" s="463"/>
      <c r="BA32" s="463"/>
      <c r="BB32" s="463"/>
      <c r="BC32" s="463"/>
      <c r="BD32" s="463"/>
      <c r="BE32" s="463"/>
      <c r="BF32" s="463"/>
      <c r="BG32" s="463"/>
      <c r="BH32" s="463"/>
      <c r="BI32" s="463"/>
      <c r="BJ32" s="463"/>
      <c r="BK32" s="463"/>
      <c r="BL32" s="463"/>
      <c r="BM32" s="463"/>
      <c r="BN32" s="463"/>
      <c r="BO32" s="463"/>
      <c r="BP32" s="463"/>
      <c r="BQ32" s="463"/>
      <c r="BR32" s="463"/>
      <c r="BT32" s="463"/>
      <c r="BU32" s="463"/>
      <c r="BV32" s="463"/>
      <c r="BX32" s="463"/>
      <c r="BY32" s="463"/>
      <c r="BZ32" s="463"/>
      <c r="CB32" s="463"/>
      <c r="CC32" s="463"/>
      <c r="CD32" s="463"/>
      <c r="CF32" s="463"/>
      <c r="CG32" s="463"/>
      <c r="CH32" s="463"/>
      <c r="CJ32" s="463"/>
      <c r="CK32" s="463"/>
      <c r="CM32" s="463"/>
      <c r="CO32" s="463"/>
      <c r="CP32" s="463"/>
      <c r="CQ32" s="463"/>
      <c r="CS32" s="463"/>
      <c r="CT32" s="463"/>
      <c r="CU32" s="463"/>
      <c r="CW32" s="463"/>
      <c r="CX32" s="463"/>
      <c r="CY32" s="463"/>
      <c r="DA32" s="463"/>
      <c r="DB32" s="463"/>
      <c r="DC32" s="463"/>
      <c r="DD32" s="463"/>
      <c r="DE32" s="463"/>
      <c r="DF32" s="463"/>
      <c r="DH32" s="463"/>
      <c r="DI32" s="463"/>
      <c r="DJ32" s="463"/>
      <c r="DL32" s="463"/>
      <c r="DM32" s="463"/>
      <c r="DN32" s="463"/>
      <c r="DO32" s="463"/>
      <c r="DP32" s="463"/>
      <c r="DR32" s="463"/>
      <c r="DS32" s="463"/>
      <c r="DT32" s="463"/>
      <c r="DV32" s="463"/>
      <c r="DW32" s="463"/>
      <c r="DX32" s="463"/>
      <c r="DZ32" s="463"/>
      <c r="EA32" s="463"/>
      <c r="EB32" s="463"/>
      <c r="ED32" s="463"/>
      <c r="EE32" s="463"/>
      <c r="EF32" s="463"/>
      <c r="EH32" s="463"/>
      <c r="EI32" s="463"/>
      <c r="EJ32" s="463"/>
      <c r="EK32" s="463"/>
      <c r="EL32" s="463"/>
      <c r="EN32" s="463"/>
      <c r="EO32" s="463"/>
      <c r="EP32" s="463"/>
      <c r="ER32" s="463"/>
      <c r="ES32" s="463"/>
      <c r="ET32" s="463"/>
      <c r="EV32" s="463"/>
      <c r="EW32" s="463"/>
      <c r="EY32" s="463"/>
      <c r="EZ32" s="463"/>
      <c r="FA32" s="463"/>
      <c r="FB32" s="463"/>
      <c r="FC32" s="463"/>
      <c r="FD32" s="463"/>
      <c r="FE32" s="463"/>
      <c r="FF32" s="463"/>
      <c r="FG32" s="463"/>
      <c r="FH32" s="463"/>
      <c r="FI32" s="463"/>
      <c r="FJ32" s="463"/>
      <c r="FK32" s="463"/>
      <c r="FL32" s="463"/>
      <c r="FM32" s="463"/>
      <c r="FN32" s="463"/>
      <c r="FO32" s="463"/>
      <c r="FP32" s="463"/>
      <c r="FQ32" s="463"/>
      <c r="FS32" s="463"/>
      <c r="FT32" s="463"/>
      <c r="FU32" s="463"/>
      <c r="FV32" s="463"/>
      <c r="FW32" s="463"/>
      <c r="FX32" s="463"/>
      <c r="FY32" s="463"/>
      <c r="FZ32" s="463"/>
    </row>
    <row r="33" spans="1:182" ht="25" customHeight="1">
      <c r="A33" s="420"/>
      <c r="B33" s="434" t="s">
        <v>497</v>
      </c>
      <c r="C33" s="825"/>
      <c r="D33" s="437" t="s">
        <v>501</v>
      </c>
      <c r="E33" s="421">
        <v>4</v>
      </c>
      <c r="F33" s="421">
        <v>1.65</v>
      </c>
      <c r="G33" s="425"/>
      <c r="H33" s="833"/>
      <c r="I33" s="426" t="s">
        <v>450</v>
      </c>
      <c r="J33" s="454">
        <v>0</v>
      </c>
      <c r="K33" s="459"/>
      <c r="L33" s="459"/>
      <c r="M33" s="463"/>
      <c r="N33" s="463"/>
      <c r="O33" s="463"/>
      <c r="P33" s="463"/>
      <c r="Q33" s="463"/>
      <c r="R33" s="463"/>
      <c r="S33" s="463"/>
      <c r="T33" s="463"/>
      <c r="U33" s="463"/>
      <c r="V33" s="463"/>
      <c r="W33" s="463"/>
      <c r="X33" s="463"/>
      <c r="Y33" s="463"/>
      <c r="Z33" s="463"/>
      <c r="AA33" s="463"/>
      <c r="AB33" s="463"/>
      <c r="AC33" s="463"/>
      <c r="AD33" s="463"/>
      <c r="AE33" s="463"/>
      <c r="AF33" s="463"/>
      <c r="AG33" s="463"/>
      <c r="AI33" s="463"/>
      <c r="AJ33" s="463"/>
      <c r="AK33" s="463"/>
      <c r="AL33" s="463"/>
      <c r="AM33" s="463"/>
      <c r="AN33" s="463"/>
      <c r="AO33" s="463"/>
      <c r="AP33" s="463"/>
      <c r="AQ33" s="463"/>
      <c r="AR33" s="463"/>
      <c r="AS33" s="463"/>
      <c r="AT33" s="463"/>
      <c r="AU33" s="463"/>
      <c r="AV33" s="463"/>
      <c r="AX33" s="463"/>
      <c r="AY33" s="463"/>
      <c r="AZ33" s="463"/>
      <c r="BA33" s="463"/>
      <c r="BB33" s="463"/>
      <c r="BC33" s="463"/>
      <c r="BD33" s="463"/>
      <c r="BE33" s="463"/>
      <c r="BF33" s="463"/>
      <c r="BG33" s="463"/>
      <c r="BH33" s="463"/>
      <c r="BI33" s="463"/>
      <c r="BJ33" s="463"/>
      <c r="BK33" s="463"/>
      <c r="BL33" s="463"/>
      <c r="BM33" s="463"/>
      <c r="BN33" s="463"/>
      <c r="BO33" s="463"/>
      <c r="BP33" s="463"/>
      <c r="BQ33" s="463"/>
      <c r="BR33" s="463"/>
      <c r="BT33" s="463"/>
      <c r="BU33" s="463"/>
      <c r="BV33" s="463"/>
      <c r="BX33" s="463"/>
      <c r="BY33" s="463"/>
      <c r="BZ33" s="463"/>
      <c r="CB33" s="463"/>
      <c r="CC33" s="463"/>
      <c r="CD33" s="463"/>
      <c r="CF33" s="463"/>
      <c r="CG33" s="463"/>
      <c r="CH33" s="463"/>
      <c r="CJ33" s="463"/>
      <c r="CK33" s="463"/>
      <c r="CM33" s="463"/>
      <c r="CO33" s="463"/>
      <c r="CP33" s="463"/>
      <c r="CQ33" s="463"/>
      <c r="CS33" s="463"/>
      <c r="CT33" s="463"/>
      <c r="CU33" s="463"/>
      <c r="CW33" s="463"/>
      <c r="CX33" s="463"/>
      <c r="CY33" s="463"/>
      <c r="DA33" s="463"/>
      <c r="DB33" s="463"/>
      <c r="DC33" s="463"/>
      <c r="DD33" s="463"/>
      <c r="DE33" s="463"/>
      <c r="DF33" s="463"/>
      <c r="DH33" s="463"/>
      <c r="DI33" s="463"/>
      <c r="DJ33" s="463"/>
      <c r="DL33" s="463"/>
      <c r="DM33" s="463"/>
      <c r="DN33" s="463"/>
      <c r="DO33" s="463"/>
      <c r="DP33" s="463"/>
      <c r="DR33" s="463"/>
      <c r="DS33" s="463"/>
      <c r="DT33" s="463"/>
      <c r="DV33" s="463"/>
      <c r="DW33" s="463"/>
      <c r="DX33" s="463"/>
      <c r="DZ33" s="463"/>
      <c r="EA33" s="463"/>
      <c r="EB33" s="463"/>
      <c r="ED33" s="463"/>
      <c r="EE33" s="463"/>
      <c r="EF33" s="463"/>
      <c r="EH33" s="463"/>
      <c r="EI33" s="463"/>
      <c r="EJ33" s="463"/>
      <c r="EK33" s="463"/>
      <c r="EL33" s="463"/>
      <c r="EN33" s="463"/>
      <c r="EO33" s="463"/>
      <c r="EP33" s="463"/>
      <c r="ER33" s="463"/>
      <c r="ES33" s="463"/>
      <c r="ET33" s="463"/>
      <c r="EV33" s="463"/>
      <c r="EW33" s="463"/>
      <c r="EY33" s="463"/>
      <c r="EZ33" s="463"/>
      <c r="FA33" s="463"/>
      <c r="FB33" s="463"/>
      <c r="FC33" s="463"/>
      <c r="FD33" s="463"/>
      <c r="FE33" s="463"/>
      <c r="FF33" s="463"/>
      <c r="FG33" s="463"/>
      <c r="FH33" s="463"/>
      <c r="FI33" s="463"/>
      <c r="FJ33" s="463"/>
      <c r="FK33" s="463"/>
      <c r="FL33" s="463"/>
      <c r="FM33" s="463"/>
      <c r="FN33" s="463"/>
      <c r="FO33" s="463"/>
      <c r="FP33" s="463"/>
      <c r="FQ33" s="463"/>
      <c r="FS33" s="463"/>
      <c r="FT33" s="463"/>
      <c r="FU33" s="463"/>
      <c r="FV33" s="463"/>
      <c r="FW33" s="463"/>
      <c r="FX33" s="463"/>
      <c r="FY33" s="463"/>
      <c r="FZ33" s="463"/>
    </row>
    <row r="34" spans="1:182" ht="25" customHeight="1">
      <c r="A34" s="420"/>
      <c r="B34" s="434" t="s">
        <v>502</v>
      </c>
      <c r="C34" s="826"/>
      <c r="D34" s="437" t="s">
        <v>503</v>
      </c>
      <c r="E34" s="421">
        <v>4</v>
      </c>
      <c r="F34" s="421">
        <v>2.4500000000000002</v>
      </c>
      <c r="G34" s="425"/>
      <c r="H34" s="833"/>
      <c r="I34" s="426"/>
      <c r="J34" s="454"/>
      <c r="K34" s="459"/>
      <c r="L34" s="459"/>
      <c r="M34" s="463"/>
      <c r="N34" s="463"/>
      <c r="O34" s="463"/>
      <c r="P34" s="463"/>
      <c r="Q34" s="463"/>
      <c r="R34" s="463"/>
      <c r="S34" s="463"/>
      <c r="T34" s="463"/>
      <c r="U34" s="463"/>
      <c r="V34" s="463"/>
      <c r="W34" s="463"/>
      <c r="X34" s="463"/>
      <c r="Y34" s="463"/>
      <c r="Z34" s="463"/>
      <c r="AA34" s="463"/>
      <c r="AB34" s="463"/>
      <c r="AC34" s="463"/>
      <c r="AD34" s="463"/>
      <c r="AE34" s="463"/>
      <c r="AF34" s="463"/>
      <c r="AG34" s="463"/>
      <c r="AI34" s="463"/>
      <c r="AJ34" s="463"/>
      <c r="AK34" s="463"/>
      <c r="AL34" s="463"/>
      <c r="AM34" s="463"/>
      <c r="AN34" s="463"/>
      <c r="AO34" s="463"/>
      <c r="AP34" s="463"/>
      <c r="AQ34" s="463"/>
      <c r="AR34" s="463"/>
      <c r="AS34" s="463"/>
      <c r="AT34" s="463"/>
      <c r="AU34" s="463"/>
      <c r="AV34" s="463"/>
      <c r="AX34" s="463"/>
      <c r="AY34" s="463"/>
      <c r="AZ34" s="463"/>
      <c r="BA34" s="463"/>
      <c r="BB34" s="463"/>
      <c r="BC34" s="463"/>
      <c r="BD34" s="463"/>
      <c r="BE34" s="463"/>
      <c r="BF34" s="463"/>
      <c r="BG34" s="463"/>
      <c r="BH34" s="463"/>
      <c r="BI34" s="463"/>
      <c r="BJ34" s="463"/>
      <c r="BK34" s="463"/>
      <c r="BL34" s="463"/>
      <c r="BM34" s="463"/>
      <c r="BN34" s="463"/>
      <c r="BO34" s="463"/>
      <c r="BP34" s="463"/>
      <c r="BQ34" s="463"/>
      <c r="BR34" s="463"/>
      <c r="BT34" s="463"/>
      <c r="BU34" s="463"/>
      <c r="BV34" s="463"/>
      <c r="BX34" s="463"/>
      <c r="BY34" s="463"/>
      <c r="BZ34" s="463"/>
      <c r="CB34" s="463"/>
      <c r="CC34" s="463"/>
      <c r="CD34" s="463"/>
      <c r="CF34" s="463"/>
      <c r="CG34" s="463"/>
      <c r="CH34" s="463"/>
      <c r="CJ34" s="463"/>
      <c r="CK34" s="463"/>
      <c r="CM34" s="463"/>
      <c r="CO34" s="463"/>
      <c r="CP34" s="463"/>
      <c r="CQ34" s="463"/>
      <c r="CS34" s="463"/>
      <c r="CT34" s="463"/>
      <c r="CU34" s="463"/>
      <c r="CW34" s="463"/>
      <c r="CX34" s="463"/>
      <c r="CY34" s="463"/>
      <c r="DA34" s="463"/>
      <c r="DB34" s="463"/>
      <c r="DC34" s="463"/>
      <c r="DD34" s="463"/>
      <c r="DE34" s="463"/>
      <c r="DF34" s="463"/>
      <c r="DH34" s="463"/>
      <c r="DI34" s="463"/>
      <c r="DJ34" s="463"/>
      <c r="DL34" s="463"/>
      <c r="DM34" s="463"/>
      <c r="DN34" s="463"/>
      <c r="DO34" s="463"/>
      <c r="DP34" s="463"/>
      <c r="DR34" s="463"/>
      <c r="DS34" s="463"/>
      <c r="DT34" s="463"/>
      <c r="DV34" s="463"/>
      <c r="DW34" s="463"/>
      <c r="DX34" s="463"/>
      <c r="DZ34" s="463"/>
      <c r="EA34" s="463"/>
      <c r="EB34" s="463"/>
      <c r="ED34" s="463"/>
      <c r="EE34" s="463"/>
      <c r="EF34" s="463"/>
      <c r="EH34" s="463"/>
      <c r="EI34" s="463"/>
      <c r="EJ34" s="463"/>
      <c r="EK34" s="463"/>
      <c r="EL34" s="463"/>
      <c r="EN34" s="463"/>
      <c r="EO34" s="463"/>
      <c r="EP34" s="463"/>
      <c r="ER34" s="463"/>
      <c r="ES34" s="463"/>
      <c r="ET34" s="463"/>
      <c r="EV34" s="463"/>
      <c r="EW34" s="463"/>
      <c r="EY34" s="463"/>
      <c r="EZ34" s="463"/>
      <c r="FA34" s="463"/>
      <c r="FB34" s="463"/>
      <c r="FC34" s="463"/>
      <c r="FD34" s="463"/>
      <c r="FE34" s="463"/>
      <c r="FF34" s="463"/>
      <c r="FG34" s="463"/>
      <c r="FH34" s="463"/>
      <c r="FI34" s="463"/>
      <c r="FJ34" s="463"/>
      <c r="FK34" s="463"/>
      <c r="FL34" s="463"/>
      <c r="FM34" s="463"/>
      <c r="FN34" s="463"/>
      <c r="FO34" s="463"/>
      <c r="FP34" s="463"/>
      <c r="FQ34" s="463"/>
      <c r="FS34" s="463"/>
      <c r="FT34" s="463"/>
      <c r="FU34" s="463"/>
      <c r="FV34" s="463"/>
      <c r="FW34" s="463"/>
      <c r="FX34" s="463"/>
      <c r="FY34" s="463"/>
      <c r="FZ34" s="463"/>
    </row>
    <row r="35" spans="1:182" ht="25" customHeight="1">
      <c r="A35" s="425" t="s">
        <v>483</v>
      </c>
      <c r="B35" s="438" t="s">
        <v>493</v>
      </c>
      <c r="C35" s="820" t="s">
        <v>504</v>
      </c>
      <c r="D35" s="426" t="s">
        <v>505</v>
      </c>
      <c r="E35" s="421">
        <v>25</v>
      </c>
      <c r="F35" s="421">
        <v>1.5</v>
      </c>
      <c r="G35" s="425"/>
      <c r="H35" s="834"/>
      <c r="I35" s="468" t="s">
        <v>506</v>
      </c>
      <c r="J35" s="469">
        <v>100</v>
      </c>
      <c r="K35" s="459"/>
      <c r="L35" s="459"/>
      <c r="M35" s="463"/>
      <c r="N35" s="463"/>
      <c r="O35" s="463"/>
      <c r="P35" s="463"/>
      <c r="Q35" s="463"/>
      <c r="R35" s="463"/>
      <c r="S35" s="463"/>
      <c r="T35" s="463"/>
      <c r="U35" s="463"/>
      <c r="V35" s="463"/>
      <c r="W35" s="463"/>
      <c r="X35" s="463"/>
      <c r="Y35" s="463"/>
      <c r="Z35" s="463"/>
      <c r="AA35" s="463"/>
      <c r="AB35" s="463"/>
      <c r="AC35" s="463"/>
      <c r="AD35" s="463"/>
      <c r="AE35" s="463"/>
      <c r="AF35" s="463"/>
      <c r="AG35" s="463"/>
      <c r="AI35" s="463"/>
      <c r="AJ35" s="463"/>
      <c r="AK35" s="463"/>
      <c r="AL35" s="463"/>
      <c r="AM35" s="463"/>
      <c r="AN35" s="463"/>
      <c r="AO35" s="463"/>
      <c r="AP35" s="463"/>
      <c r="AQ35" s="463"/>
      <c r="AR35" s="463"/>
      <c r="AS35" s="463"/>
      <c r="AT35" s="463"/>
      <c r="AU35" s="463"/>
      <c r="AV35" s="463"/>
      <c r="AX35" s="463"/>
      <c r="AY35" s="463"/>
      <c r="AZ35" s="463"/>
      <c r="BA35" s="463"/>
      <c r="BB35" s="463"/>
      <c r="BC35" s="463"/>
      <c r="BD35" s="463"/>
      <c r="BE35" s="463"/>
      <c r="BF35" s="463"/>
      <c r="BG35" s="463"/>
      <c r="BH35" s="463"/>
      <c r="BI35" s="463"/>
      <c r="BJ35" s="463"/>
      <c r="BK35" s="463"/>
      <c r="BL35" s="463"/>
      <c r="BM35" s="463"/>
      <c r="BN35" s="463"/>
      <c r="BO35" s="463"/>
      <c r="BP35" s="463"/>
      <c r="BQ35" s="463"/>
      <c r="BR35" s="463"/>
      <c r="BT35" s="463"/>
      <c r="BU35" s="463"/>
      <c r="BV35" s="463"/>
      <c r="BX35" s="463"/>
      <c r="BY35" s="463"/>
      <c r="BZ35" s="463"/>
      <c r="CB35" s="463"/>
      <c r="CC35" s="463"/>
      <c r="CD35" s="463"/>
      <c r="CF35" s="463"/>
      <c r="CG35" s="463"/>
      <c r="CH35" s="463"/>
      <c r="CJ35" s="463"/>
      <c r="CK35" s="463"/>
      <c r="CM35" s="463"/>
      <c r="CO35" s="463"/>
      <c r="CP35" s="463"/>
      <c r="CQ35" s="463"/>
      <c r="CS35" s="463"/>
      <c r="CT35" s="463"/>
      <c r="CU35" s="463"/>
      <c r="CW35" s="463"/>
      <c r="CX35" s="463"/>
      <c r="CY35" s="463"/>
      <c r="DA35" s="463"/>
      <c r="DB35" s="463"/>
      <c r="DC35" s="463"/>
      <c r="DD35" s="463"/>
      <c r="DE35" s="463"/>
      <c r="DF35" s="463"/>
      <c r="DH35" s="463"/>
      <c r="DI35" s="463"/>
      <c r="DJ35" s="463"/>
      <c r="DL35" s="463"/>
      <c r="DM35" s="463"/>
      <c r="DN35" s="463"/>
      <c r="DO35" s="463"/>
      <c r="DP35" s="463"/>
      <c r="DR35" s="463"/>
      <c r="DS35" s="463"/>
      <c r="DT35" s="463"/>
      <c r="DV35" s="463"/>
      <c r="DW35" s="463"/>
      <c r="DX35" s="463"/>
      <c r="DZ35" s="463"/>
      <c r="EA35" s="463"/>
      <c r="EB35" s="463"/>
      <c r="ED35" s="463"/>
      <c r="EE35" s="463"/>
      <c r="EF35" s="463"/>
      <c r="EH35" s="463"/>
      <c r="EI35" s="463"/>
      <c r="EJ35" s="463"/>
      <c r="EK35" s="463"/>
      <c r="EL35" s="463"/>
      <c r="EN35" s="463"/>
      <c r="EO35" s="463"/>
      <c r="EP35" s="463"/>
      <c r="ER35" s="463"/>
      <c r="ES35" s="463"/>
      <c r="ET35" s="463"/>
      <c r="EV35" s="463"/>
      <c r="EW35" s="463"/>
      <c r="EY35" s="463"/>
      <c r="EZ35" s="463"/>
      <c r="FA35" s="463"/>
      <c r="FB35" s="463"/>
      <c r="FC35" s="463"/>
      <c r="FD35" s="463"/>
      <c r="FE35" s="463"/>
      <c r="FF35" s="463"/>
      <c r="FG35" s="463"/>
      <c r="FH35" s="463"/>
      <c r="FI35" s="463"/>
      <c r="FJ35" s="463"/>
      <c r="FK35" s="463"/>
      <c r="FL35" s="463"/>
      <c r="FM35" s="463"/>
      <c r="FN35" s="463"/>
      <c r="FO35" s="463"/>
      <c r="FP35" s="463"/>
      <c r="FQ35" s="463"/>
      <c r="FS35" s="463"/>
      <c r="FT35" s="463"/>
      <c r="FU35" s="463"/>
      <c r="FV35" s="463"/>
      <c r="FW35" s="463"/>
      <c r="FX35" s="463"/>
      <c r="FY35" s="463"/>
      <c r="FZ35" s="463"/>
    </row>
    <row r="36" spans="1:182" ht="25" customHeight="1">
      <c r="A36" s="425" t="s">
        <v>483</v>
      </c>
      <c r="B36" s="438" t="s">
        <v>507</v>
      </c>
      <c r="C36" s="821"/>
      <c r="D36" s="426" t="s">
        <v>508</v>
      </c>
      <c r="E36" s="421">
        <v>14</v>
      </c>
      <c r="F36" s="421">
        <v>1.36</v>
      </c>
      <c r="G36" s="425"/>
      <c r="H36" s="420"/>
      <c r="I36" s="420"/>
      <c r="J36" s="420"/>
      <c r="K36" s="459"/>
      <c r="L36" s="459"/>
      <c r="M36" s="393"/>
      <c r="N36" s="393"/>
      <c r="O36" s="393"/>
      <c r="P36" s="393"/>
      <c r="Q36" s="393"/>
      <c r="S36" s="463"/>
      <c r="T36" s="463"/>
      <c r="U36" s="463"/>
      <c r="V36" s="463"/>
      <c r="W36" s="463"/>
      <c r="X36" s="463"/>
      <c r="Y36" s="463"/>
      <c r="Z36" s="463"/>
      <c r="AA36" s="463"/>
      <c r="AB36" s="463"/>
      <c r="AC36" s="463"/>
      <c r="AD36" s="463"/>
      <c r="AE36" s="463"/>
      <c r="AF36" s="463"/>
      <c r="AG36" s="463"/>
      <c r="AI36" s="463"/>
      <c r="AJ36" s="463"/>
      <c r="AK36" s="463"/>
      <c r="AL36" s="463"/>
      <c r="AM36" s="463"/>
      <c r="AN36" s="463"/>
      <c r="AO36" s="463"/>
      <c r="AP36" s="463"/>
      <c r="AQ36" s="463"/>
      <c r="AR36" s="463"/>
      <c r="AS36" s="463"/>
      <c r="AT36" s="463"/>
      <c r="AU36" s="463"/>
      <c r="AV36" s="463"/>
      <c r="AX36" s="463"/>
      <c r="AY36" s="463"/>
      <c r="AZ36" s="463"/>
      <c r="BA36" s="463"/>
      <c r="BB36" s="463"/>
      <c r="BC36" s="463"/>
      <c r="BD36" s="463"/>
      <c r="BE36" s="463"/>
      <c r="BF36" s="463"/>
      <c r="BG36" s="463"/>
      <c r="BH36" s="463"/>
      <c r="BI36" s="463"/>
      <c r="BJ36" s="463"/>
      <c r="BK36" s="463"/>
      <c r="BL36" s="463"/>
      <c r="BM36" s="463"/>
      <c r="BN36" s="463"/>
      <c r="BO36" s="463"/>
      <c r="BP36" s="463"/>
      <c r="BQ36" s="463"/>
      <c r="BR36" s="463"/>
      <c r="BT36" s="463"/>
      <c r="BU36" s="463"/>
      <c r="BV36" s="463"/>
      <c r="BX36" s="463"/>
      <c r="BY36" s="463"/>
      <c r="BZ36" s="463"/>
      <c r="CB36" s="463"/>
      <c r="CC36" s="463"/>
      <c r="CD36" s="463"/>
      <c r="CF36" s="463"/>
      <c r="CG36" s="463"/>
      <c r="CH36" s="463"/>
      <c r="CJ36" s="463"/>
      <c r="CK36" s="463"/>
      <c r="CM36" s="463"/>
      <c r="CO36" s="463"/>
      <c r="CP36" s="463"/>
      <c r="CQ36" s="463"/>
      <c r="CS36" s="463"/>
      <c r="CT36" s="463"/>
      <c r="CU36" s="463"/>
      <c r="CW36" s="463"/>
      <c r="CX36" s="463"/>
      <c r="CY36" s="463"/>
      <c r="DA36" s="463"/>
      <c r="DB36" s="463"/>
      <c r="DC36" s="463"/>
      <c r="DD36" s="463"/>
      <c r="DE36" s="463"/>
      <c r="DF36" s="463"/>
      <c r="DH36" s="463"/>
      <c r="DI36" s="463"/>
      <c r="DJ36" s="463"/>
      <c r="DL36" s="463"/>
      <c r="DM36" s="463"/>
      <c r="DN36" s="463"/>
      <c r="DO36" s="463"/>
      <c r="DP36" s="463"/>
      <c r="DR36" s="463"/>
      <c r="DS36" s="463"/>
      <c r="DT36" s="463"/>
      <c r="DV36" s="463"/>
      <c r="DW36" s="463"/>
      <c r="DX36" s="463"/>
      <c r="DZ36" s="463"/>
      <c r="EA36" s="463"/>
      <c r="EB36" s="463"/>
      <c r="ED36" s="463"/>
      <c r="EE36" s="463"/>
      <c r="EF36" s="463"/>
      <c r="EH36" s="463"/>
      <c r="EI36" s="463"/>
      <c r="EJ36" s="463"/>
      <c r="EK36" s="463"/>
      <c r="EL36" s="463"/>
      <c r="EN36" s="463"/>
      <c r="EO36" s="463"/>
      <c r="EP36" s="463"/>
      <c r="ER36" s="463"/>
      <c r="ES36" s="463"/>
      <c r="ET36" s="463"/>
      <c r="EV36" s="463"/>
      <c r="EW36" s="463"/>
      <c r="EY36" s="463"/>
      <c r="EZ36" s="463"/>
      <c r="FA36" s="463"/>
      <c r="FB36" s="463"/>
      <c r="FC36" s="463"/>
      <c r="FD36" s="463"/>
      <c r="FE36" s="463"/>
      <c r="FF36" s="463"/>
      <c r="FG36" s="463"/>
      <c r="FH36" s="463"/>
      <c r="FI36" s="463"/>
      <c r="FJ36" s="463"/>
      <c r="FK36" s="463"/>
      <c r="FL36" s="463"/>
      <c r="FM36" s="463"/>
      <c r="FN36" s="463"/>
      <c r="FO36" s="463"/>
      <c r="FP36" s="463"/>
      <c r="FQ36" s="463"/>
      <c r="FS36" s="463"/>
      <c r="FT36" s="463"/>
      <c r="FU36" s="463"/>
      <c r="FV36" s="463"/>
      <c r="FW36" s="463"/>
      <c r="FX36" s="463"/>
      <c r="FY36" s="463"/>
      <c r="FZ36" s="463"/>
    </row>
    <row r="37" spans="1:182" ht="25" customHeight="1">
      <c r="A37" s="425" t="s">
        <v>483</v>
      </c>
      <c r="B37" s="438" t="s">
        <v>509</v>
      </c>
      <c r="C37" s="821"/>
      <c r="D37" s="426" t="s">
        <v>510</v>
      </c>
      <c r="E37" s="421">
        <v>8.4</v>
      </c>
      <c r="F37" s="421">
        <v>1.36</v>
      </c>
      <c r="G37" s="425"/>
      <c r="H37" s="835" t="s">
        <v>511</v>
      </c>
      <c r="I37" s="470" t="s">
        <v>439</v>
      </c>
      <c r="J37" s="467">
        <v>0.995</v>
      </c>
      <c r="K37" s="459"/>
      <c r="L37" s="459"/>
      <c r="M37" s="393"/>
      <c r="N37" s="393"/>
      <c r="O37" s="393"/>
      <c r="P37" s="393"/>
      <c r="Q37" s="393"/>
      <c r="S37" s="463"/>
      <c r="T37" s="463"/>
      <c r="U37" s="463"/>
      <c r="V37" s="463"/>
      <c r="W37" s="463"/>
      <c r="X37" s="463"/>
      <c r="Y37" s="463"/>
      <c r="Z37" s="463"/>
      <c r="AA37" s="463"/>
      <c r="AB37" s="463"/>
      <c r="AC37" s="463"/>
      <c r="AD37" s="463"/>
      <c r="AE37" s="463"/>
      <c r="AF37" s="463"/>
      <c r="AG37" s="463"/>
      <c r="AI37" s="463"/>
      <c r="AJ37" s="463"/>
      <c r="AK37" s="463"/>
      <c r="AL37" s="463"/>
      <c r="AM37" s="463"/>
      <c r="AN37" s="463"/>
      <c r="AO37" s="463"/>
      <c r="AP37" s="463"/>
      <c r="AQ37" s="463"/>
      <c r="AR37" s="463"/>
      <c r="AS37" s="463"/>
      <c r="AT37" s="463"/>
      <c r="AU37" s="463"/>
      <c r="AV37" s="463"/>
      <c r="AX37" s="463"/>
      <c r="AY37" s="463"/>
      <c r="AZ37" s="463"/>
      <c r="BA37" s="463"/>
      <c r="BB37" s="463"/>
      <c r="BC37" s="463"/>
      <c r="BD37" s="463"/>
      <c r="BE37" s="463"/>
      <c r="BF37" s="463"/>
      <c r="BG37" s="463"/>
      <c r="BH37" s="463"/>
      <c r="BI37" s="463"/>
      <c r="BJ37" s="463"/>
      <c r="BK37" s="463"/>
      <c r="BL37" s="463"/>
      <c r="BM37" s="463"/>
      <c r="BN37" s="463"/>
      <c r="BO37" s="463"/>
      <c r="BP37" s="463"/>
      <c r="BQ37" s="463"/>
      <c r="BR37" s="463"/>
      <c r="BT37" s="463"/>
      <c r="BU37" s="463"/>
      <c r="BV37" s="463"/>
      <c r="BX37" s="463"/>
      <c r="BY37" s="463"/>
      <c r="BZ37" s="463"/>
      <c r="CB37" s="463"/>
      <c r="CC37" s="463"/>
      <c r="CD37" s="463"/>
      <c r="CF37" s="463"/>
      <c r="CG37" s="463"/>
      <c r="CH37" s="463"/>
      <c r="CJ37" s="463"/>
      <c r="CK37" s="463"/>
      <c r="CM37" s="463"/>
      <c r="CO37" s="463"/>
      <c r="CP37" s="463"/>
      <c r="CQ37" s="463"/>
      <c r="CS37" s="463"/>
      <c r="CT37" s="463"/>
      <c r="CU37" s="463"/>
      <c r="CW37" s="463"/>
      <c r="CX37" s="463"/>
      <c r="CY37" s="463"/>
      <c r="DA37" s="463"/>
      <c r="DB37" s="463"/>
      <c r="DC37" s="463"/>
      <c r="DD37" s="463"/>
      <c r="DE37" s="463"/>
      <c r="DF37" s="463"/>
      <c r="DH37" s="463"/>
      <c r="DI37" s="463"/>
      <c r="DJ37" s="463"/>
      <c r="DL37" s="463"/>
      <c r="DM37" s="463"/>
      <c r="DN37" s="463"/>
      <c r="DO37" s="463"/>
      <c r="DP37" s="463"/>
      <c r="DR37" s="463"/>
      <c r="DS37" s="463"/>
      <c r="DT37" s="463"/>
      <c r="DV37" s="463"/>
      <c r="DW37" s="463"/>
      <c r="DX37" s="463"/>
      <c r="DZ37" s="463"/>
      <c r="EA37" s="463"/>
      <c r="EB37" s="463"/>
      <c r="ED37" s="463"/>
      <c r="EE37" s="463"/>
      <c r="EF37" s="463"/>
      <c r="EH37" s="463"/>
      <c r="EI37" s="463"/>
      <c r="EJ37" s="463"/>
      <c r="EK37" s="463"/>
      <c r="EL37" s="463"/>
      <c r="EN37" s="463"/>
      <c r="EO37" s="463"/>
      <c r="EP37" s="463"/>
      <c r="ER37" s="463"/>
      <c r="ES37" s="463"/>
      <c r="ET37" s="463"/>
      <c r="EV37" s="463"/>
      <c r="EW37" s="463"/>
      <c r="EY37" s="463"/>
      <c r="EZ37" s="463"/>
      <c r="FA37" s="463"/>
      <c r="FB37" s="463"/>
      <c r="FC37" s="463"/>
      <c r="FD37" s="463"/>
      <c r="FE37" s="463"/>
      <c r="FF37" s="463"/>
      <c r="FG37" s="463"/>
      <c r="FH37" s="463"/>
      <c r="FI37" s="463"/>
      <c r="FJ37" s="463"/>
      <c r="FK37" s="463"/>
      <c r="FL37" s="463"/>
      <c r="FM37" s="463"/>
      <c r="FN37" s="463"/>
      <c r="FO37" s="463"/>
      <c r="FP37" s="463"/>
      <c r="FQ37" s="463"/>
      <c r="FS37" s="463"/>
      <c r="FT37" s="463"/>
      <c r="FU37" s="463"/>
      <c r="FV37" s="463"/>
      <c r="FW37" s="463"/>
      <c r="FX37" s="463"/>
      <c r="FY37" s="463"/>
      <c r="FZ37" s="463"/>
    </row>
    <row r="38" spans="1:182" ht="25" customHeight="1">
      <c r="A38" s="425" t="s">
        <v>483</v>
      </c>
      <c r="B38" s="438" t="s">
        <v>493</v>
      </c>
      <c r="C38" s="821"/>
      <c r="D38" s="426" t="s">
        <v>512</v>
      </c>
      <c r="E38" s="421">
        <v>5</v>
      </c>
      <c r="F38" s="421">
        <v>1.93</v>
      </c>
      <c r="G38" s="425"/>
      <c r="H38" s="836"/>
      <c r="I38" s="421" t="s">
        <v>446</v>
      </c>
      <c r="J38" s="471">
        <v>0.04</v>
      </c>
      <c r="K38" s="459"/>
      <c r="L38" s="459"/>
      <c r="M38" s="393"/>
      <c r="N38" s="393"/>
      <c r="O38" s="463"/>
      <c r="P38" s="463"/>
      <c r="Q38" s="463"/>
      <c r="R38" s="463"/>
      <c r="S38" s="463"/>
      <c r="T38" s="463"/>
      <c r="U38" s="463"/>
      <c r="V38" s="463"/>
      <c r="W38" s="463"/>
      <c r="X38" s="463"/>
      <c r="Y38" s="463"/>
      <c r="Z38" s="463"/>
      <c r="AA38" s="463"/>
      <c r="AB38" s="463"/>
      <c r="AC38" s="463"/>
      <c r="AD38" s="463"/>
      <c r="AE38" s="463"/>
      <c r="AF38" s="463"/>
      <c r="AG38" s="463"/>
      <c r="AI38" s="463"/>
      <c r="AJ38" s="463"/>
      <c r="AK38" s="463"/>
      <c r="AL38" s="463"/>
      <c r="AM38" s="463"/>
      <c r="AN38" s="463"/>
      <c r="AO38" s="463"/>
      <c r="AP38" s="463"/>
      <c r="AQ38" s="463"/>
      <c r="AR38" s="463"/>
      <c r="AS38" s="463"/>
      <c r="AT38" s="463"/>
      <c r="AU38" s="463"/>
      <c r="AV38" s="463"/>
      <c r="AX38" s="463"/>
      <c r="AY38" s="463"/>
      <c r="AZ38" s="463"/>
      <c r="BA38" s="463"/>
      <c r="BB38" s="463"/>
      <c r="BC38" s="463"/>
      <c r="BD38" s="463"/>
      <c r="BE38" s="463"/>
      <c r="BF38" s="463"/>
      <c r="BG38" s="463"/>
      <c r="BH38" s="463"/>
      <c r="BI38" s="463"/>
      <c r="BJ38" s="463"/>
      <c r="BK38" s="463"/>
      <c r="BL38" s="463"/>
      <c r="BM38" s="463"/>
      <c r="BN38" s="463"/>
      <c r="BO38" s="463"/>
      <c r="BP38" s="463"/>
      <c r="BQ38" s="463"/>
      <c r="BR38" s="463"/>
      <c r="BT38" s="463"/>
      <c r="BU38" s="463"/>
      <c r="BV38" s="463"/>
      <c r="BX38" s="463"/>
      <c r="BY38" s="463"/>
      <c r="BZ38" s="463"/>
      <c r="CB38" s="463"/>
      <c r="CC38" s="463"/>
      <c r="CD38" s="463"/>
      <c r="CF38" s="463"/>
      <c r="CG38" s="463"/>
      <c r="CH38" s="463"/>
      <c r="CJ38" s="463"/>
      <c r="CK38" s="463"/>
      <c r="CM38" s="463"/>
      <c r="CO38" s="463"/>
      <c r="CP38" s="463"/>
      <c r="CQ38" s="463"/>
      <c r="CS38" s="463"/>
      <c r="CT38" s="463"/>
      <c r="CU38" s="463"/>
      <c r="CW38" s="463"/>
      <c r="CX38" s="463"/>
      <c r="CY38" s="463"/>
      <c r="DA38" s="463"/>
      <c r="DB38" s="463"/>
      <c r="DC38" s="463"/>
      <c r="DD38" s="463"/>
      <c r="DE38" s="463"/>
      <c r="DF38" s="463"/>
      <c r="DH38" s="463"/>
      <c r="DI38" s="463"/>
      <c r="DJ38" s="463"/>
      <c r="DL38" s="463"/>
      <c r="DM38" s="463"/>
      <c r="DN38" s="463"/>
      <c r="DO38" s="463"/>
      <c r="DP38" s="463"/>
      <c r="DR38" s="463"/>
      <c r="DS38" s="463"/>
      <c r="DT38" s="463"/>
      <c r="DV38" s="463"/>
      <c r="DW38" s="463"/>
      <c r="DX38" s="463"/>
      <c r="DZ38" s="463"/>
      <c r="EA38" s="463"/>
      <c r="EB38" s="463"/>
      <c r="ED38" s="463"/>
      <c r="EE38" s="463"/>
      <c r="EF38" s="463"/>
      <c r="EH38" s="463"/>
      <c r="EI38" s="463"/>
      <c r="EJ38" s="463"/>
      <c r="EK38" s="463"/>
      <c r="EL38" s="463"/>
      <c r="EN38" s="463"/>
      <c r="EO38" s="463"/>
      <c r="EP38" s="463"/>
      <c r="ER38" s="463"/>
      <c r="ES38" s="463"/>
      <c r="ET38" s="463"/>
      <c r="EV38" s="463"/>
      <c r="EW38" s="463"/>
      <c r="EY38" s="463"/>
      <c r="EZ38" s="463"/>
      <c r="FA38" s="463"/>
      <c r="FB38" s="463"/>
      <c r="FC38" s="463"/>
      <c r="FD38" s="463"/>
      <c r="FE38" s="463"/>
      <c r="FF38" s="463"/>
      <c r="FG38" s="463"/>
      <c r="FH38" s="463"/>
      <c r="FI38" s="463"/>
      <c r="FJ38" s="463"/>
      <c r="FK38" s="463"/>
      <c r="FL38" s="463"/>
      <c r="FM38" s="463"/>
      <c r="FN38" s="463"/>
      <c r="FO38" s="463"/>
      <c r="FP38" s="463"/>
      <c r="FQ38" s="463"/>
      <c r="FS38" s="463"/>
      <c r="FT38" s="463"/>
      <c r="FU38" s="463"/>
      <c r="FV38" s="463"/>
      <c r="FW38" s="463"/>
      <c r="FX38" s="463"/>
      <c r="FY38" s="463"/>
      <c r="FZ38" s="463"/>
    </row>
    <row r="39" spans="1:182" ht="25" customHeight="1">
      <c r="A39" s="425" t="s">
        <v>483</v>
      </c>
      <c r="B39" s="421" t="s">
        <v>507</v>
      </c>
      <c r="C39" s="821"/>
      <c r="D39" s="426" t="s">
        <v>513</v>
      </c>
      <c r="E39" s="428">
        <f>E36+6</f>
        <v>20</v>
      </c>
      <c r="F39" s="421">
        <v>0.3</v>
      </c>
      <c r="G39" s="425"/>
      <c r="H39" s="836"/>
      <c r="I39" s="421" t="s">
        <v>450</v>
      </c>
      <c r="J39" s="471">
        <v>0</v>
      </c>
      <c r="K39" s="459"/>
      <c r="L39" s="459"/>
      <c r="M39" s="393"/>
      <c r="N39" s="393"/>
      <c r="O39" s="463"/>
      <c r="P39" s="463"/>
      <c r="Q39" s="463"/>
      <c r="R39" s="463"/>
      <c r="S39" s="463"/>
      <c r="T39" s="463"/>
      <c r="U39" s="463"/>
      <c r="V39" s="463"/>
      <c r="W39" s="463"/>
      <c r="X39" s="463"/>
      <c r="Y39" s="463"/>
      <c r="Z39" s="463"/>
      <c r="AA39" s="463"/>
      <c r="AB39" s="463"/>
      <c r="AC39" s="463"/>
      <c r="AD39" s="463"/>
      <c r="AE39" s="463"/>
      <c r="AF39" s="463"/>
      <c r="AG39" s="463"/>
      <c r="AI39" s="463"/>
      <c r="AJ39" s="463"/>
      <c r="AK39" s="463"/>
      <c r="AL39" s="463"/>
      <c r="AM39" s="463"/>
      <c r="AN39" s="463"/>
      <c r="AO39" s="463"/>
      <c r="AP39" s="463"/>
      <c r="AQ39" s="463"/>
      <c r="AR39" s="463"/>
      <c r="AS39" s="463"/>
      <c r="AT39" s="463"/>
      <c r="AU39" s="463"/>
      <c r="AV39" s="463"/>
      <c r="AX39" s="463"/>
      <c r="AY39" s="463"/>
      <c r="AZ39" s="463"/>
      <c r="BA39" s="463"/>
      <c r="BB39" s="463"/>
      <c r="BC39" s="463"/>
      <c r="BD39" s="463"/>
      <c r="BE39" s="463"/>
      <c r="BF39" s="463"/>
      <c r="BG39" s="463"/>
      <c r="BH39" s="463"/>
      <c r="BI39" s="463"/>
      <c r="BJ39" s="463"/>
      <c r="BK39" s="463"/>
      <c r="BL39" s="463"/>
      <c r="BM39" s="463"/>
      <c r="BN39" s="463"/>
      <c r="BO39" s="463"/>
      <c r="BP39" s="463"/>
      <c r="BQ39" s="463"/>
      <c r="BR39" s="463"/>
      <c r="BT39" s="463"/>
      <c r="BU39" s="463"/>
      <c r="BV39" s="463"/>
      <c r="BX39" s="463"/>
      <c r="BY39" s="463"/>
      <c r="BZ39" s="463"/>
      <c r="CB39" s="463"/>
      <c r="CC39" s="463"/>
      <c r="CD39" s="463"/>
      <c r="CF39" s="463"/>
      <c r="CG39" s="463"/>
      <c r="CH39" s="463"/>
      <c r="CJ39" s="463"/>
      <c r="CK39" s="463"/>
      <c r="CM39" s="463"/>
      <c r="CO39" s="463"/>
      <c r="CP39" s="463"/>
      <c r="CQ39" s="463"/>
      <c r="CS39" s="463"/>
      <c r="CT39" s="463"/>
      <c r="CU39" s="463"/>
      <c r="CW39" s="463"/>
      <c r="CX39" s="463"/>
      <c r="CY39" s="463"/>
      <c r="DA39" s="463"/>
      <c r="DB39" s="463"/>
      <c r="DC39" s="463"/>
      <c r="DD39" s="463"/>
      <c r="DE39" s="463"/>
      <c r="DF39" s="463"/>
      <c r="DH39" s="463"/>
      <c r="DI39" s="463"/>
      <c r="DJ39" s="463"/>
      <c r="DL39" s="463"/>
      <c r="DM39" s="463"/>
      <c r="DN39" s="463"/>
      <c r="DO39" s="463"/>
      <c r="DP39" s="463"/>
      <c r="DR39" s="463"/>
      <c r="DS39" s="463"/>
      <c r="DT39" s="463"/>
      <c r="DV39" s="463"/>
      <c r="DW39" s="463"/>
      <c r="DX39" s="463"/>
      <c r="DZ39" s="463"/>
      <c r="EA39" s="463"/>
      <c r="EB39" s="463"/>
      <c r="ED39" s="463"/>
      <c r="EE39" s="463"/>
      <c r="EF39" s="463"/>
      <c r="EH39" s="463"/>
      <c r="EI39" s="463"/>
      <c r="EJ39" s="463"/>
      <c r="EK39" s="463"/>
      <c r="EL39" s="463"/>
      <c r="EN39" s="463"/>
      <c r="EO39" s="463"/>
      <c r="EP39" s="463"/>
      <c r="ER39" s="463"/>
      <c r="ES39" s="463"/>
      <c r="ET39" s="463"/>
      <c r="EV39" s="463"/>
      <c r="EW39" s="463"/>
      <c r="EY39" s="463"/>
      <c r="EZ39" s="463"/>
      <c r="FA39" s="463"/>
      <c r="FB39" s="463"/>
      <c r="FC39" s="463"/>
      <c r="FD39" s="463"/>
      <c r="FE39" s="463"/>
      <c r="FF39" s="463"/>
      <c r="FG39" s="463"/>
      <c r="FH39" s="463"/>
      <c r="FI39" s="463"/>
      <c r="FJ39" s="463"/>
      <c r="FK39" s="463"/>
      <c r="FL39" s="463"/>
      <c r="FM39" s="463"/>
      <c r="FN39" s="463"/>
      <c r="FO39" s="463"/>
      <c r="FP39" s="463"/>
      <c r="FQ39" s="463"/>
      <c r="FS39" s="463"/>
      <c r="FT39" s="463"/>
      <c r="FU39" s="463"/>
      <c r="FV39" s="463"/>
      <c r="FW39" s="463"/>
      <c r="FX39" s="463"/>
      <c r="FY39" s="463"/>
      <c r="FZ39" s="463"/>
    </row>
    <row r="40" spans="1:182" ht="25" customHeight="1">
      <c r="A40" s="420"/>
      <c r="B40" s="420"/>
      <c r="C40" s="821"/>
      <c r="D40" s="426" t="s">
        <v>514</v>
      </c>
      <c r="E40" s="428">
        <f>E36-1.1</f>
        <v>12.9</v>
      </c>
      <c r="F40" s="421">
        <v>0.99</v>
      </c>
      <c r="G40" s="425"/>
      <c r="H40" s="836"/>
      <c r="I40" s="421"/>
      <c r="J40" s="471"/>
      <c r="K40" s="459"/>
      <c r="L40" s="459"/>
      <c r="M40" s="463"/>
      <c r="N40" s="463"/>
      <c r="O40" s="463"/>
      <c r="P40" s="463"/>
      <c r="Q40" s="463"/>
      <c r="R40" s="463"/>
      <c r="S40" s="463"/>
      <c r="T40" s="463"/>
      <c r="U40" s="463"/>
      <c r="V40" s="463"/>
      <c r="W40" s="463"/>
      <c r="X40" s="463"/>
      <c r="Y40" s="463"/>
      <c r="Z40" s="463"/>
      <c r="AA40" s="463"/>
      <c r="AB40" s="463"/>
      <c r="AC40" s="463"/>
      <c r="AD40" s="463"/>
      <c r="AE40" s="463"/>
      <c r="AF40" s="463"/>
      <c r="AG40" s="463"/>
      <c r="AI40" s="463"/>
      <c r="AJ40" s="463"/>
      <c r="AK40" s="463"/>
      <c r="AL40" s="463"/>
      <c r="AM40" s="463"/>
      <c r="AN40" s="463"/>
      <c r="AO40" s="463"/>
      <c r="AP40" s="463"/>
      <c r="AQ40" s="463"/>
      <c r="AR40" s="463"/>
      <c r="AS40" s="463"/>
      <c r="AT40" s="463"/>
      <c r="AU40" s="463"/>
      <c r="AV40" s="463"/>
      <c r="AX40" s="463"/>
      <c r="AY40" s="463"/>
      <c r="AZ40" s="463"/>
      <c r="BA40" s="463"/>
      <c r="BB40" s="463"/>
      <c r="BC40" s="463"/>
      <c r="BD40" s="463"/>
      <c r="BE40" s="463"/>
      <c r="BF40" s="463"/>
      <c r="BG40" s="463"/>
      <c r="BH40" s="463"/>
      <c r="BI40" s="463"/>
      <c r="BJ40" s="463"/>
      <c r="BK40" s="463"/>
      <c r="BL40" s="463"/>
      <c r="BM40" s="463"/>
      <c r="BN40" s="463"/>
      <c r="BO40" s="463"/>
      <c r="BP40" s="463"/>
      <c r="BQ40" s="463"/>
      <c r="BR40" s="463"/>
      <c r="BT40" s="463"/>
      <c r="BU40" s="463"/>
      <c r="BV40" s="463"/>
      <c r="BX40" s="463"/>
      <c r="BY40" s="463"/>
      <c r="BZ40" s="463"/>
      <c r="CB40" s="463"/>
      <c r="CC40" s="463"/>
      <c r="CD40" s="463"/>
      <c r="CF40" s="463"/>
      <c r="CG40" s="463"/>
      <c r="CH40" s="463"/>
      <c r="CJ40" s="463"/>
      <c r="CK40" s="463"/>
      <c r="CM40" s="463"/>
      <c r="CO40" s="463"/>
      <c r="CP40" s="463"/>
      <c r="CQ40" s="463"/>
      <c r="CS40" s="463"/>
      <c r="CT40" s="463"/>
      <c r="CU40" s="463"/>
      <c r="CW40" s="463"/>
      <c r="CX40" s="463"/>
      <c r="CY40" s="463"/>
      <c r="DA40" s="463"/>
      <c r="DB40" s="463"/>
      <c r="DC40" s="463"/>
      <c r="DD40" s="463"/>
      <c r="DE40" s="463"/>
      <c r="DF40" s="463"/>
      <c r="DH40" s="463"/>
      <c r="DI40" s="463"/>
      <c r="DJ40" s="463"/>
      <c r="DL40" s="463"/>
      <c r="DM40" s="463"/>
      <c r="DN40" s="463"/>
      <c r="DO40" s="463"/>
      <c r="DP40" s="463"/>
      <c r="DR40" s="463"/>
      <c r="DS40" s="463"/>
      <c r="DT40" s="463"/>
      <c r="DV40" s="463"/>
      <c r="DW40" s="463"/>
      <c r="DX40" s="463"/>
      <c r="DZ40" s="463"/>
      <c r="EA40" s="463"/>
      <c r="EB40" s="463"/>
      <c r="ED40" s="463"/>
      <c r="EE40" s="463"/>
      <c r="EF40" s="463"/>
      <c r="EH40" s="463"/>
      <c r="EI40" s="463"/>
      <c r="EJ40" s="463"/>
      <c r="EK40" s="463"/>
      <c r="EL40" s="463"/>
      <c r="EN40" s="463"/>
      <c r="EO40" s="463"/>
      <c r="EP40" s="463"/>
      <c r="ER40" s="463"/>
      <c r="ES40" s="463"/>
      <c r="ET40" s="463"/>
      <c r="EV40" s="463"/>
      <c r="EW40" s="463"/>
      <c r="EY40" s="463"/>
      <c r="EZ40" s="463"/>
      <c r="FA40" s="463"/>
      <c r="FB40" s="463"/>
      <c r="FC40" s="463"/>
      <c r="FD40" s="463"/>
      <c r="FE40" s="463"/>
      <c r="FF40" s="463"/>
      <c r="FG40" s="463"/>
      <c r="FH40" s="463"/>
      <c r="FI40" s="463"/>
      <c r="FJ40" s="463"/>
      <c r="FK40" s="463"/>
      <c r="FL40" s="463"/>
      <c r="FM40" s="463"/>
      <c r="FN40" s="463"/>
      <c r="FO40" s="463"/>
      <c r="FP40" s="463"/>
      <c r="FQ40" s="463"/>
      <c r="FS40" s="463"/>
      <c r="FT40" s="463"/>
      <c r="FU40" s="463"/>
      <c r="FV40" s="463"/>
      <c r="FW40" s="463"/>
      <c r="FX40" s="463"/>
      <c r="FY40" s="463"/>
      <c r="FZ40" s="463"/>
    </row>
    <row r="41" spans="1:182" ht="25" customHeight="1">
      <c r="A41" s="425" t="s">
        <v>483</v>
      </c>
      <c r="B41" s="421" t="s">
        <v>515</v>
      </c>
      <c r="C41" s="822"/>
      <c r="D41" s="426" t="s">
        <v>516</v>
      </c>
      <c r="E41" s="428">
        <f>E38-1.4</f>
        <v>3.6</v>
      </c>
      <c r="F41" s="421">
        <v>1.67</v>
      </c>
      <c r="G41" s="425"/>
      <c r="H41" s="837"/>
      <c r="I41" s="468" t="s">
        <v>506</v>
      </c>
      <c r="J41" s="469">
        <v>100</v>
      </c>
      <c r="K41" s="459"/>
      <c r="L41" s="459"/>
      <c r="M41" s="393"/>
      <c r="N41" s="393"/>
      <c r="O41" s="463"/>
      <c r="P41" s="463"/>
      <c r="Q41" s="463"/>
      <c r="R41" s="463"/>
      <c r="S41" s="463"/>
      <c r="T41" s="463"/>
      <c r="U41" s="463"/>
      <c r="V41" s="463"/>
      <c r="W41" s="463"/>
      <c r="X41" s="463"/>
      <c r="Y41" s="463"/>
      <c r="Z41" s="463"/>
      <c r="AA41" s="463"/>
      <c r="AB41" s="463"/>
      <c r="AC41" s="463"/>
      <c r="AD41" s="463"/>
      <c r="AE41" s="463"/>
      <c r="AF41" s="463"/>
      <c r="AG41" s="463"/>
      <c r="AI41" s="463"/>
      <c r="AJ41" s="463"/>
      <c r="AK41" s="463"/>
      <c r="AL41" s="463"/>
      <c r="AM41" s="463"/>
      <c r="AN41" s="463"/>
      <c r="AO41" s="463"/>
      <c r="AP41" s="463"/>
      <c r="AQ41" s="463"/>
      <c r="AR41" s="463"/>
      <c r="AS41" s="463"/>
      <c r="AT41" s="463"/>
      <c r="AU41" s="463"/>
      <c r="AV41" s="463"/>
      <c r="AX41" s="463"/>
      <c r="AY41" s="463"/>
      <c r="AZ41" s="463"/>
      <c r="BA41" s="463"/>
      <c r="BB41" s="463"/>
      <c r="BC41" s="463"/>
      <c r="BD41" s="463"/>
      <c r="BE41" s="463"/>
      <c r="BF41" s="463"/>
      <c r="BG41" s="463"/>
      <c r="BH41" s="463"/>
      <c r="BI41" s="463"/>
      <c r="BJ41" s="463"/>
      <c r="BK41" s="463"/>
      <c r="BL41" s="463"/>
      <c r="BM41" s="463"/>
      <c r="BN41" s="463"/>
      <c r="BO41" s="463"/>
      <c r="BP41" s="463"/>
      <c r="BQ41" s="463"/>
      <c r="BR41" s="463"/>
      <c r="BT41" s="463"/>
      <c r="BU41" s="463"/>
      <c r="BV41" s="463"/>
      <c r="BX41" s="463"/>
      <c r="BY41" s="463"/>
      <c r="BZ41" s="463"/>
      <c r="CB41" s="463"/>
      <c r="CC41" s="463"/>
      <c r="CD41" s="463"/>
      <c r="CF41" s="463"/>
      <c r="CG41" s="463"/>
      <c r="CH41" s="463"/>
      <c r="CJ41" s="463"/>
      <c r="CK41" s="463"/>
      <c r="CM41" s="463"/>
      <c r="CO41" s="463"/>
      <c r="CP41" s="463"/>
      <c r="CQ41" s="463"/>
      <c r="CS41" s="463"/>
      <c r="CT41" s="463"/>
      <c r="CU41" s="463"/>
      <c r="CW41" s="463"/>
      <c r="CX41" s="463"/>
      <c r="CY41" s="463"/>
      <c r="DA41" s="463"/>
      <c r="DB41" s="463"/>
      <c r="DC41" s="463"/>
      <c r="DD41" s="463"/>
      <c r="DE41" s="463"/>
      <c r="DF41" s="463"/>
      <c r="DH41" s="463"/>
      <c r="DI41" s="463"/>
      <c r="DJ41" s="463"/>
      <c r="DL41" s="463"/>
      <c r="DM41" s="463"/>
      <c r="DN41" s="463"/>
      <c r="DO41" s="463"/>
      <c r="DP41" s="463"/>
      <c r="DR41" s="463"/>
      <c r="DS41" s="463"/>
      <c r="DT41" s="463"/>
      <c r="DV41" s="463"/>
      <c r="DW41" s="463"/>
      <c r="DX41" s="463"/>
      <c r="DZ41" s="463"/>
      <c r="EA41" s="463"/>
      <c r="EB41" s="463"/>
      <c r="ED41" s="463"/>
      <c r="EE41" s="463"/>
      <c r="EF41" s="463"/>
      <c r="EH41" s="463"/>
      <c r="EI41" s="463"/>
      <c r="EJ41" s="463"/>
      <c r="EK41" s="463"/>
      <c r="EL41" s="463"/>
      <c r="EN41" s="463"/>
      <c r="EO41" s="463"/>
      <c r="EP41" s="463"/>
      <c r="ER41" s="463"/>
      <c r="ES41" s="463"/>
      <c r="ET41" s="463"/>
      <c r="EV41" s="463"/>
      <c r="EW41" s="463"/>
      <c r="EY41" s="463"/>
      <c r="EZ41" s="463"/>
      <c r="FA41" s="463"/>
      <c r="FB41" s="463"/>
      <c r="FC41" s="463"/>
      <c r="FD41" s="463"/>
      <c r="FE41" s="463"/>
      <c r="FF41" s="463"/>
      <c r="FG41" s="463"/>
      <c r="FH41" s="463"/>
      <c r="FI41" s="463"/>
      <c r="FJ41" s="463"/>
      <c r="FK41" s="463"/>
      <c r="FL41" s="463"/>
      <c r="FM41" s="463"/>
      <c r="FN41" s="463"/>
      <c r="FO41" s="463"/>
      <c r="FP41" s="463"/>
      <c r="FQ41" s="463"/>
      <c r="FS41" s="463"/>
      <c r="FT41" s="463"/>
      <c r="FU41" s="463"/>
      <c r="FV41" s="463"/>
      <c r="FW41" s="463"/>
      <c r="FX41" s="463"/>
      <c r="FY41" s="463"/>
      <c r="FZ41" s="463"/>
    </row>
    <row r="42" spans="1:182" ht="25" customHeight="1">
      <c r="A42" s="420"/>
      <c r="B42" s="438" t="s">
        <v>517</v>
      </c>
      <c r="C42" s="420"/>
      <c r="D42" s="420"/>
      <c r="E42" s="420"/>
      <c r="F42" s="420"/>
      <c r="G42" s="425"/>
      <c r="H42" s="420"/>
      <c r="I42" s="420"/>
      <c r="J42" s="420"/>
      <c r="K42" s="393"/>
      <c r="L42" s="393"/>
      <c r="M42" s="393"/>
      <c r="N42" s="393"/>
      <c r="O42" s="463"/>
      <c r="P42" s="463"/>
      <c r="Q42" s="463"/>
      <c r="R42" s="463"/>
      <c r="S42" s="463"/>
      <c r="T42" s="463"/>
      <c r="U42" s="463"/>
      <c r="V42" s="463"/>
      <c r="W42" s="463"/>
      <c r="X42" s="463"/>
      <c r="Y42" s="463"/>
      <c r="Z42" s="463"/>
      <c r="AA42" s="463"/>
      <c r="AB42" s="463"/>
      <c r="AD42" s="463"/>
      <c r="AE42" s="463"/>
      <c r="AG42" s="463"/>
      <c r="AI42" s="463"/>
      <c r="AJ42" s="463"/>
      <c r="AK42" s="463"/>
      <c r="AL42" s="463"/>
      <c r="AM42" s="463"/>
      <c r="AN42" s="463"/>
      <c r="AO42" s="463"/>
      <c r="AP42" s="463"/>
      <c r="AQ42" s="463"/>
      <c r="AR42" s="463"/>
      <c r="AS42" s="463"/>
      <c r="AT42" s="463"/>
      <c r="AU42" s="463"/>
      <c r="AV42" s="463"/>
      <c r="AX42" s="463"/>
      <c r="AY42" s="463"/>
      <c r="AZ42" s="463"/>
      <c r="BA42" s="463"/>
      <c r="BB42" s="463"/>
      <c r="BC42" s="463"/>
      <c r="BD42" s="463"/>
      <c r="BE42" s="463"/>
      <c r="BF42" s="463"/>
      <c r="BG42" s="463"/>
      <c r="BH42" s="463"/>
      <c r="BJ42" s="463"/>
      <c r="BK42" s="463"/>
      <c r="BL42" s="463"/>
      <c r="BN42" s="463"/>
      <c r="BO42" s="463"/>
      <c r="BP42" s="463"/>
      <c r="BQ42" s="463"/>
      <c r="BR42" s="463"/>
      <c r="BT42" s="463"/>
      <c r="BU42" s="463"/>
      <c r="BV42" s="463"/>
      <c r="BX42" s="463"/>
      <c r="BY42" s="463"/>
      <c r="BZ42" s="463"/>
      <c r="CB42" s="463"/>
      <c r="CC42" s="463"/>
      <c r="CD42" s="463"/>
      <c r="CF42" s="463"/>
      <c r="CG42" s="463"/>
      <c r="CH42" s="463"/>
      <c r="CJ42" s="463"/>
      <c r="CK42" s="463"/>
      <c r="CM42" s="463"/>
      <c r="CO42" s="463"/>
      <c r="CP42" s="463"/>
      <c r="CQ42" s="463"/>
      <c r="CS42" s="463"/>
      <c r="CT42" s="463"/>
      <c r="CU42" s="463"/>
      <c r="CW42" s="463"/>
      <c r="CX42" s="463"/>
      <c r="CY42" s="463"/>
      <c r="DA42" s="463"/>
      <c r="DB42" s="463"/>
      <c r="DC42" s="463"/>
      <c r="DD42" s="463"/>
      <c r="DE42" s="463"/>
      <c r="DF42" s="463"/>
      <c r="DH42" s="463"/>
      <c r="DI42" s="463"/>
      <c r="DJ42" s="463"/>
      <c r="DL42" s="463"/>
      <c r="DM42" s="463"/>
      <c r="DN42" s="463"/>
      <c r="DO42" s="463"/>
      <c r="DP42" s="463"/>
      <c r="DR42" s="463"/>
      <c r="DS42" s="463"/>
      <c r="DT42" s="463"/>
      <c r="DV42" s="463"/>
      <c r="DW42" s="463"/>
      <c r="DX42" s="463"/>
      <c r="DZ42" s="463"/>
      <c r="EA42" s="463"/>
      <c r="EB42" s="463"/>
      <c r="ED42" s="463"/>
      <c r="EE42" s="463"/>
      <c r="EF42" s="463"/>
      <c r="EH42" s="463"/>
      <c r="EI42" s="463"/>
      <c r="EJ42" s="463"/>
      <c r="EK42" s="463"/>
      <c r="EL42" s="463"/>
      <c r="EN42" s="463"/>
      <c r="EO42" s="463"/>
      <c r="EP42" s="463"/>
      <c r="ER42" s="463"/>
      <c r="ES42" s="463"/>
      <c r="ET42" s="463"/>
      <c r="EV42" s="463"/>
      <c r="EW42" s="463"/>
      <c r="EY42" s="463"/>
      <c r="EZ42" s="463"/>
      <c r="FA42" s="463"/>
      <c r="FB42" s="463"/>
      <c r="FC42" s="463"/>
      <c r="FD42" s="463"/>
      <c r="FE42" s="463"/>
      <c r="FF42" s="463"/>
      <c r="FG42" s="463"/>
      <c r="FH42" s="463"/>
      <c r="FI42" s="463"/>
      <c r="FJ42" s="463"/>
      <c r="FK42" s="463"/>
      <c r="FL42" s="463"/>
      <c r="FM42" s="463"/>
      <c r="FN42" s="463"/>
      <c r="FO42" s="463"/>
      <c r="FP42" s="463"/>
      <c r="FQ42" s="463"/>
      <c r="FS42" s="463"/>
      <c r="FT42" s="463"/>
      <c r="FU42" s="463"/>
      <c r="FV42" s="463"/>
      <c r="FW42" s="463"/>
      <c r="FX42" s="463"/>
      <c r="FY42" s="463"/>
      <c r="FZ42" s="463"/>
    </row>
    <row r="43" spans="1:182" ht="25" customHeight="1">
      <c r="A43" s="420"/>
      <c r="B43" s="439"/>
      <c r="C43" s="827" t="s">
        <v>518</v>
      </c>
      <c r="D43" s="426" t="s">
        <v>518</v>
      </c>
      <c r="E43" s="421">
        <v>5.8</v>
      </c>
      <c r="F43" s="421">
        <v>7.82</v>
      </c>
      <c r="G43" s="425"/>
      <c r="H43" s="835" t="s">
        <v>519</v>
      </c>
      <c r="I43" s="470" t="s">
        <v>439</v>
      </c>
      <c r="J43" s="467">
        <v>0.995</v>
      </c>
      <c r="K43" s="393"/>
      <c r="L43" s="393"/>
      <c r="M43" s="393"/>
      <c r="N43" s="393"/>
      <c r="O43" s="463"/>
      <c r="P43" s="463"/>
      <c r="Q43" s="463"/>
      <c r="R43" s="463"/>
      <c r="S43" s="463"/>
      <c r="T43" s="463"/>
      <c r="U43" s="463"/>
      <c r="V43" s="463"/>
      <c r="W43" s="463"/>
      <c r="X43" s="463"/>
      <c r="Y43" s="463"/>
      <c r="Z43" s="463"/>
      <c r="AA43" s="463"/>
      <c r="AB43" s="463"/>
      <c r="AD43" s="463"/>
      <c r="AE43" s="463"/>
      <c r="AG43" s="463"/>
      <c r="AI43" s="463"/>
      <c r="AJ43" s="463"/>
      <c r="AK43" s="463"/>
      <c r="AL43" s="463"/>
      <c r="AM43" s="463"/>
      <c r="AN43" s="463"/>
      <c r="AO43" s="463"/>
      <c r="AP43" s="463"/>
      <c r="AQ43" s="463"/>
      <c r="AR43" s="463"/>
      <c r="AS43" s="463"/>
      <c r="AT43" s="463"/>
      <c r="AU43" s="463"/>
      <c r="AV43" s="463"/>
      <c r="AX43" s="463"/>
      <c r="AY43" s="463"/>
      <c r="AZ43" s="463"/>
      <c r="BA43" s="463"/>
      <c r="BB43" s="463"/>
      <c r="BC43" s="463"/>
      <c r="BD43" s="463"/>
      <c r="BE43" s="463"/>
      <c r="BF43" s="463"/>
      <c r="BG43" s="463"/>
      <c r="BH43" s="463"/>
      <c r="BJ43" s="463"/>
      <c r="BK43" s="463"/>
      <c r="BL43" s="463"/>
      <c r="BN43" s="463"/>
      <c r="BO43" s="463"/>
      <c r="BP43" s="463"/>
      <c r="BQ43" s="463"/>
      <c r="BR43" s="463"/>
      <c r="BT43" s="463"/>
      <c r="BU43" s="463"/>
      <c r="BV43" s="463"/>
      <c r="BX43" s="463"/>
      <c r="BY43" s="463"/>
      <c r="BZ43" s="463"/>
      <c r="CB43" s="463"/>
      <c r="CC43" s="463"/>
      <c r="CD43" s="463"/>
      <c r="CF43" s="463"/>
      <c r="CG43" s="463"/>
      <c r="CH43" s="463"/>
      <c r="CJ43" s="463"/>
      <c r="CK43" s="463"/>
      <c r="CM43" s="463"/>
      <c r="CO43" s="463"/>
      <c r="CP43" s="463"/>
      <c r="CQ43" s="463"/>
      <c r="CS43" s="463"/>
      <c r="CT43" s="463"/>
      <c r="CU43" s="463"/>
      <c r="CW43" s="463"/>
      <c r="CX43" s="463"/>
      <c r="CY43" s="463"/>
      <c r="DA43" s="463"/>
      <c r="DB43" s="463"/>
      <c r="DC43" s="463"/>
      <c r="DD43" s="463"/>
      <c r="DE43" s="463"/>
      <c r="DF43" s="463"/>
      <c r="DH43" s="463"/>
      <c r="DI43" s="463"/>
      <c r="DJ43" s="463"/>
      <c r="DL43" s="463"/>
      <c r="DM43" s="463"/>
      <c r="DN43" s="463"/>
      <c r="DO43" s="463"/>
      <c r="DP43" s="463"/>
      <c r="DR43" s="463"/>
      <c r="DS43" s="463"/>
      <c r="DT43" s="463"/>
      <c r="DV43" s="463"/>
      <c r="DW43" s="463"/>
      <c r="DX43" s="463"/>
      <c r="DZ43" s="463"/>
      <c r="EA43" s="463"/>
      <c r="EB43" s="463"/>
      <c r="ED43" s="463"/>
      <c r="EE43" s="463"/>
      <c r="EF43" s="463"/>
      <c r="EH43" s="463"/>
      <c r="EI43" s="463"/>
      <c r="EJ43" s="463"/>
      <c r="EK43" s="463"/>
      <c r="EL43" s="463"/>
      <c r="EN43" s="463"/>
      <c r="EO43" s="463"/>
      <c r="EP43" s="463"/>
      <c r="ER43" s="463"/>
      <c r="ES43" s="463"/>
      <c r="ET43" s="463"/>
      <c r="EV43" s="463"/>
      <c r="EW43" s="463"/>
      <c r="EY43" s="463"/>
      <c r="EZ43" s="463"/>
      <c r="FA43" s="463"/>
      <c r="FB43" s="463"/>
      <c r="FC43" s="463"/>
      <c r="FD43" s="463"/>
      <c r="FE43" s="463"/>
      <c r="FF43" s="463"/>
      <c r="FG43" s="463"/>
      <c r="FH43" s="463"/>
      <c r="FI43" s="463"/>
      <c r="FJ43" s="463"/>
      <c r="FK43" s="463"/>
      <c r="FL43" s="463"/>
      <c r="FM43" s="463"/>
      <c r="FN43" s="463"/>
      <c r="FO43" s="463"/>
      <c r="FP43" s="463"/>
      <c r="FQ43" s="463"/>
      <c r="FS43" s="463"/>
      <c r="FT43" s="463"/>
      <c r="FU43" s="463"/>
      <c r="FV43" s="463"/>
      <c r="FW43" s="463"/>
      <c r="FX43" s="463"/>
      <c r="FY43" s="463"/>
      <c r="FZ43" s="463"/>
    </row>
    <row r="44" spans="1:182" ht="25" customHeight="1">
      <c r="A44" s="420"/>
      <c r="B44" s="438" t="s">
        <v>520</v>
      </c>
      <c r="C44" s="828"/>
      <c r="D44" s="426" t="s">
        <v>521</v>
      </c>
      <c r="E44" s="428">
        <f>E43+5</f>
        <v>10.8</v>
      </c>
      <c r="F44" s="421">
        <v>7.82</v>
      </c>
      <c r="G44" s="425"/>
      <c r="H44" s="836"/>
      <c r="I44" s="421" t="s">
        <v>446</v>
      </c>
      <c r="J44" s="471">
        <v>0.03</v>
      </c>
      <c r="K44" s="459"/>
      <c r="L44" s="459"/>
      <c r="M44" s="393"/>
      <c r="N44" s="393"/>
      <c r="O44" s="463"/>
      <c r="P44" s="463"/>
      <c r="Q44" s="463"/>
      <c r="R44" s="463"/>
      <c r="S44" s="463"/>
      <c r="T44" s="463"/>
      <c r="U44" s="463"/>
      <c r="V44" s="463"/>
      <c r="W44" s="463"/>
      <c r="X44" s="463"/>
      <c r="Y44" s="463"/>
      <c r="Z44" s="463"/>
      <c r="AA44" s="463"/>
      <c r="AB44" s="463"/>
      <c r="AD44" s="463"/>
      <c r="AE44" s="463"/>
      <c r="AG44" s="463"/>
      <c r="AI44" s="463"/>
      <c r="AJ44" s="463"/>
      <c r="AK44" s="463"/>
      <c r="AL44" s="463"/>
      <c r="AM44" s="463"/>
      <c r="AN44" s="463"/>
      <c r="AO44" s="463"/>
      <c r="AP44" s="463"/>
      <c r="AQ44" s="463"/>
      <c r="AR44" s="463"/>
      <c r="AS44" s="463"/>
      <c r="AT44" s="463"/>
      <c r="AU44" s="463"/>
      <c r="AV44" s="463"/>
      <c r="AX44" s="463"/>
      <c r="AY44" s="463"/>
      <c r="AZ44" s="463"/>
      <c r="BA44" s="463"/>
      <c r="BB44" s="463"/>
      <c r="BC44" s="463"/>
      <c r="BD44" s="463"/>
      <c r="BE44" s="463"/>
      <c r="BF44" s="463"/>
      <c r="BG44" s="463"/>
      <c r="BH44" s="463"/>
      <c r="BJ44" s="463"/>
      <c r="BK44" s="463"/>
      <c r="BL44" s="463"/>
      <c r="BN44" s="463"/>
      <c r="BO44" s="463"/>
      <c r="BP44" s="463"/>
      <c r="BQ44" s="463"/>
      <c r="BR44" s="463"/>
      <c r="BT44" s="463"/>
      <c r="BU44" s="463"/>
      <c r="BV44" s="463"/>
      <c r="BX44" s="463"/>
      <c r="BY44" s="463"/>
      <c r="BZ44" s="463"/>
      <c r="CB44" s="463"/>
      <c r="CC44" s="463"/>
      <c r="CD44" s="463"/>
      <c r="CF44" s="463"/>
      <c r="CG44" s="463"/>
      <c r="CH44" s="463"/>
      <c r="CJ44" s="463"/>
      <c r="CK44" s="463"/>
      <c r="CM44" s="463"/>
      <c r="CO44" s="463"/>
      <c r="CP44" s="463"/>
      <c r="CQ44" s="463"/>
      <c r="CS44" s="463"/>
      <c r="CT44" s="463"/>
      <c r="CU44" s="463"/>
      <c r="CW44" s="463"/>
      <c r="CX44" s="463"/>
      <c r="CY44" s="463"/>
      <c r="DA44" s="463"/>
      <c r="DB44" s="463"/>
      <c r="DC44" s="463"/>
      <c r="DD44" s="463"/>
      <c r="DE44" s="463"/>
      <c r="DF44" s="463"/>
      <c r="DH44" s="463"/>
      <c r="DI44" s="463"/>
      <c r="DJ44" s="463"/>
      <c r="DL44" s="463"/>
      <c r="DM44" s="463"/>
      <c r="DN44" s="463"/>
      <c r="DO44" s="463"/>
      <c r="DP44" s="463"/>
      <c r="DR44" s="463"/>
      <c r="DS44" s="463"/>
      <c r="DT44" s="463"/>
      <c r="DV44" s="463"/>
      <c r="DW44" s="463"/>
      <c r="DX44" s="463"/>
      <c r="DZ44" s="463"/>
      <c r="EA44" s="463"/>
      <c r="EB44" s="463"/>
      <c r="ED44" s="463"/>
      <c r="EE44" s="463"/>
      <c r="EF44" s="463"/>
      <c r="EH44" s="463"/>
      <c r="EI44" s="463"/>
      <c r="EJ44" s="463"/>
      <c r="EK44" s="463"/>
      <c r="EL44" s="463"/>
      <c r="EN44" s="463"/>
      <c r="EO44" s="463"/>
      <c r="EP44" s="463"/>
      <c r="ER44" s="463"/>
      <c r="ES44" s="463"/>
      <c r="ET44" s="463"/>
      <c r="EV44" s="463"/>
      <c r="EW44" s="463"/>
      <c r="EY44" s="463"/>
      <c r="EZ44" s="463"/>
      <c r="FA44" s="463"/>
      <c r="FB44" s="463"/>
      <c r="FC44" s="463"/>
      <c r="FD44" s="463"/>
      <c r="FE44" s="463"/>
      <c r="FF44" s="463"/>
      <c r="FG44" s="463"/>
      <c r="FH44" s="463"/>
      <c r="FI44" s="463"/>
      <c r="FJ44" s="463"/>
      <c r="FK44" s="463"/>
      <c r="FL44" s="463"/>
      <c r="FM44" s="463"/>
      <c r="FN44" s="463"/>
      <c r="FO44" s="463"/>
      <c r="FP44" s="463"/>
      <c r="FQ44" s="463"/>
      <c r="FS44" s="463"/>
      <c r="FT44" s="463"/>
      <c r="FU44" s="463"/>
      <c r="FV44" s="463"/>
      <c r="FW44" s="463"/>
      <c r="FX44" s="463"/>
      <c r="FY44" s="463"/>
      <c r="FZ44" s="463"/>
    </row>
    <row r="45" spans="1:182" ht="25" customHeight="1">
      <c r="A45" s="420"/>
      <c r="B45" s="438" t="s">
        <v>522</v>
      </c>
      <c r="C45" s="425"/>
      <c r="D45" s="421" t="s">
        <v>523</v>
      </c>
      <c r="E45" s="421">
        <v>9.8000000000000007</v>
      </c>
      <c r="F45" s="421">
        <v>0.91</v>
      </c>
      <c r="G45" s="425"/>
      <c r="H45" s="836"/>
      <c r="I45" s="421" t="s">
        <v>450</v>
      </c>
      <c r="J45" s="471">
        <v>0</v>
      </c>
      <c r="K45" s="459"/>
      <c r="L45" s="459"/>
      <c r="M45" s="463"/>
      <c r="N45" s="463"/>
      <c r="O45" s="463"/>
      <c r="P45" s="463"/>
      <c r="Q45" s="463"/>
      <c r="R45" s="463"/>
      <c r="S45" s="463"/>
      <c r="T45" s="463"/>
      <c r="U45" s="463"/>
      <c r="V45" s="463"/>
      <c r="W45" s="463"/>
      <c r="X45" s="463"/>
      <c r="Y45" s="463"/>
      <c r="Z45" s="463"/>
      <c r="AA45" s="463"/>
      <c r="AB45" s="463"/>
      <c r="AD45" s="463"/>
      <c r="AE45" s="463"/>
      <c r="AG45" s="463"/>
      <c r="AI45" s="463"/>
      <c r="AJ45" s="463"/>
      <c r="AK45" s="463"/>
      <c r="AL45" s="463"/>
      <c r="AM45" s="463"/>
      <c r="AN45" s="463"/>
      <c r="AO45" s="463"/>
      <c r="AP45" s="463"/>
      <c r="AQ45" s="463"/>
      <c r="AR45" s="463"/>
      <c r="AS45" s="463"/>
      <c r="AT45" s="463"/>
      <c r="AU45" s="463"/>
      <c r="AV45" s="463"/>
      <c r="AX45" s="463"/>
      <c r="AY45" s="463"/>
      <c r="AZ45" s="463"/>
      <c r="BA45" s="463"/>
      <c r="BB45" s="463"/>
      <c r="BC45" s="463"/>
      <c r="BD45" s="463"/>
      <c r="BE45" s="463"/>
      <c r="BF45" s="463"/>
      <c r="BG45" s="463"/>
      <c r="BH45" s="463"/>
      <c r="BJ45" s="463"/>
      <c r="BK45" s="463"/>
      <c r="BL45" s="463"/>
      <c r="BN45" s="463"/>
      <c r="BO45" s="463"/>
      <c r="BP45" s="463"/>
      <c r="BQ45" s="463"/>
      <c r="BR45" s="463"/>
      <c r="BT45" s="463"/>
      <c r="BU45" s="463"/>
      <c r="BV45" s="463"/>
      <c r="BX45" s="463"/>
      <c r="BY45" s="463"/>
      <c r="BZ45" s="463"/>
      <c r="CB45" s="463"/>
      <c r="CC45" s="463"/>
      <c r="CD45" s="463"/>
      <c r="CF45" s="463"/>
      <c r="CG45" s="463"/>
      <c r="CH45" s="463"/>
      <c r="CJ45" s="463"/>
      <c r="CK45" s="463"/>
      <c r="CM45" s="463"/>
      <c r="CO45" s="463"/>
      <c r="CP45" s="463"/>
      <c r="CQ45" s="463"/>
      <c r="CS45" s="463"/>
      <c r="CT45" s="463"/>
      <c r="CU45" s="463"/>
      <c r="CW45" s="463"/>
      <c r="CX45" s="463"/>
      <c r="CY45" s="463"/>
      <c r="DA45" s="463"/>
      <c r="DB45" s="463"/>
      <c r="DC45" s="463"/>
      <c r="DD45" s="463"/>
      <c r="DE45" s="463"/>
      <c r="DF45" s="463"/>
      <c r="DH45" s="463"/>
      <c r="DI45" s="463"/>
      <c r="DJ45" s="463"/>
      <c r="DL45" s="463"/>
      <c r="DM45" s="463"/>
      <c r="DN45" s="463"/>
      <c r="DO45" s="463"/>
      <c r="DP45" s="463"/>
      <c r="DR45" s="463"/>
      <c r="DS45" s="463"/>
      <c r="DT45" s="463"/>
      <c r="DV45" s="463"/>
      <c r="DW45" s="463"/>
      <c r="DX45" s="463"/>
      <c r="DZ45" s="463"/>
      <c r="EA45" s="463"/>
      <c r="EB45" s="463"/>
      <c r="ED45" s="463"/>
      <c r="EE45" s="463"/>
      <c r="EF45" s="463"/>
      <c r="EH45" s="463"/>
      <c r="EI45" s="463"/>
      <c r="EJ45" s="463"/>
      <c r="EK45" s="463"/>
      <c r="EL45" s="463"/>
      <c r="EN45" s="463"/>
      <c r="EO45" s="463"/>
      <c r="EP45" s="463"/>
      <c r="ER45" s="463"/>
      <c r="ES45" s="463"/>
      <c r="ET45" s="463"/>
      <c r="EV45" s="463"/>
      <c r="EW45" s="463"/>
      <c r="EY45" s="463"/>
      <c r="EZ45" s="463"/>
      <c r="FA45" s="463"/>
      <c r="FB45" s="463"/>
      <c r="FC45" s="463"/>
      <c r="FD45" s="463"/>
      <c r="FE45" s="463"/>
      <c r="FF45" s="463"/>
      <c r="FG45" s="463"/>
      <c r="FH45" s="463"/>
      <c r="FI45" s="463"/>
      <c r="FJ45" s="463"/>
      <c r="FK45" s="463"/>
      <c r="FL45" s="463"/>
      <c r="FM45" s="463"/>
      <c r="FN45" s="463"/>
      <c r="FO45" s="463"/>
      <c r="FP45" s="463"/>
      <c r="FQ45" s="463"/>
      <c r="FS45" s="463"/>
      <c r="FT45" s="463"/>
      <c r="FU45" s="463"/>
      <c r="FV45" s="463"/>
      <c r="FW45" s="463"/>
      <c r="FX45" s="463"/>
      <c r="FY45" s="463"/>
      <c r="FZ45" s="463"/>
    </row>
    <row r="46" spans="1:182" ht="25" customHeight="1">
      <c r="A46" s="420"/>
      <c r="B46" s="438" t="s">
        <v>524</v>
      </c>
      <c r="C46" s="425" t="s">
        <v>525</v>
      </c>
      <c r="D46" s="421" t="s">
        <v>525</v>
      </c>
      <c r="E46" s="428">
        <f>E5+2</f>
        <v>67.5</v>
      </c>
      <c r="F46" s="428">
        <f>F5</f>
        <v>8.89</v>
      </c>
      <c r="G46" s="425"/>
      <c r="H46" s="836"/>
      <c r="I46" s="421"/>
      <c r="J46" s="471"/>
      <c r="K46" s="459"/>
      <c r="L46" s="459"/>
      <c r="M46" s="463"/>
      <c r="N46" s="463"/>
      <c r="O46" s="463"/>
      <c r="P46" s="463"/>
      <c r="Q46" s="463"/>
      <c r="R46" s="463"/>
      <c r="S46" s="463"/>
      <c r="T46" s="463"/>
      <c r="U46" s="463"/>
      <c r="V46" s="463"/>
      <c r="W46" s="463"/>
      <c r="X46" s="463"/>
      <c r="Y46" s="463"/>
      <c r="Z46" s="463"/>
      <c r="AA46" s="463"/>
      <c r="AB46" s="463"/>
      <c r="AD46" s="463"/>
      <c r="AE46" s="463"/>
      <c r="AG46" s="463"/>
      <c r="AI46" s="463"/>
      <c r="AJ46" s="463"/>
      <c r="AK46" s="463"/>
      <c r="AL46" s="463"/>
      <c r="AM46" s="463"/>
      <c r="AN46" s="463"/>
      <c r="AO46" s="463"/>
      <c r="AP46" s="463"/>
      <c r="AQ46" s="463"/>
      <c r="AR46" s="463"/>
      <c r="AS46" s="463"/>
      <c r="AT46" s="463"/>
      <c r="AU46" s="463"/>
      <c r="AV46" s="463"/>
      <c r="AX46" s="463"/>
      <c r="AY46" s="463"/>
      <c r="AZ46" s="463"/>
      <c r="BA46" s="463"/>
      <c r="BB46" s="463"/>
      <c r="BC46" s="463"/>
      <c r="BD46" s="463"/>
      <c r="BE46" s="463"/>
      <c r="BF46" s="463"/>
      <c r="BG46" s="463"/>
      <c r="BH46" s="463"/>
      <c r="BJ46" s="463"/>
      <c r="BK46" s="463"/>
      <c r="BL46" s="463"/>
      <c r="BN46" s="463"/>
      <c r="BO46" s="463"/>
      <c r="BP46" s="463"/>
      <c r="BQ46" s="463"/>
      <c r="BR46" s="463"/>
      <c r="BT46" s="463"/>
      <c r="BU46" s="463"/>
      <c r="BV46" s="463"/>
      <c r="BX46" s="463"/>
      <c r="BY46" s="463"/>
      <c r="BZ46" s="463"/>
      <c r="CB46" s="463"/>
      <c r="CC46" s="463"/>
      <c r="CD46" s="463"/>
      <c r="CF46" s="463"/>
      <c r="CG46" s="463"/>
      <c r="CH46" s="463"/>
      <c r="CJ46" s="463"/>
      <c r="CK46" s="463"/>
      <c r="CM46" s="463"/>
      <c r="CO46" s="463"/>
      <c r="CP46" s="463"/>
      <c r="CQ46" s="463"/>
      <c r="CS46" s="463"/>
      <c r="CT46" s="463"/>
      <c r="CU46" s="463"/>
      <c r="CW46" s="463"/>
      <c r="CX46" s="463"/>
      <c r="CY46" s="463"/>
      <c r="DA46" s="463"/>
      <c r="DB46" s="463"/>
      <c r="DC46" s="463"/>
      <c r="DD46" s="463"/>
      <c r="DE46" s="463"/>
      <c r="DF46" s="463"/>
      <c r="DH46" s="463"/>
      <c r="DI46" s="463"/>
      <c r="DJ46" s="463"/>
      <c r="DL46" s="463"/>
      <c r="DM46" s="463"/>
      <c r="DN46" s="463"/>
      <c r="DO46" s="463"/>
      <c r="DP46" s="463"/>
      <c r="DR46" s="463"/>
      <c r="DS46" s="463"/>
      <c r="DT46" s="463"/>
      <c r="DV46" s="463"/>
      <c r="DW46" s="463"/>
      <c r="DX46" s="463"/>
      <c r="DZ46" s="463"/>
      <c r="EA46" s="463"/>
      <c r="EB46" s="463"/>
      <c r="ED46" s="463"/>
      <c r="EE46" s="463"/>
      <c r="EF46" s="463"/>
      <c r="EH46" s="463"/>
      <c r="EI46" s="463"/>
      <c r="EJ46" s="463"/>
      <c r="EK46" s="463"/>
      <c r="EL46" s="463"/>
      <c r="EN46" s="463"/>
      <c r="EO46" s="463"/>
      <c r="EP46" s="463"/>
      <c r="ER46" s="463"/>
      <c r="ES46" s="463"/>
      <c r="ET46" s="463"/>
      <c r="EV46" s="463"/>
      <c r="EW46" s="463"/>
      <c r="EY46" s="463"/>
      <c r="EZ46" s="463"/>
      <c r="FA46" s="463"/>
      <c r="FB46" s="463"/>
      <c r="FC46" s="463"/>
      <c r="FD46" s="463"/>
      <c r="FE46" s="463"/>
      <c r="FF46" s="463"/>
      <c r="FG46" s="463"/>
      <c r="FH46" s="463"/>
      <c r="FI46" s="463"/>
      <c r="FJ46" s="463"/>
      <c r="FK46" s="463"/>
      <c r="FL46" s="463"/>
      <c r="FM46" s="463"/>
      <c r="FN46" s="463"/>
      <c r="FO46" s="463"/>
      <c r="FP46" s="463"/>
      <c r="FQ46" s="463"/>
      <c r="FS46" s="463"/>
      <c r="FT46" s="463"/>
      <c r="FU46" s="463"/>
      <c r="FV46" s="463"/>
      <c r="FW46" s="463"/>
      <c r="FX46" s="463"/>
      <c r="FY46" s="463"/>
      <c r="FZ46" s="463"/>
    </row>
    <row r="47" spans="1:182" ht="25" customHeight="1">
      <c r="A47" s="420"/>
      <c r="B47" s="421" t="s">
        <v>526</v>
      </c>
      <c r="C47" s="425"/>
      <c r="D47" s="421" t="s">
        <v>527</v>
      </c>
      <c r="E47" s="428">
        <f>E11</f>
        <v>10.199999999999999</v>
      </c>
      <c r="F47" s="421">
        <v>0.91</v>
      </c>
      <c r="G47" s="425"/>
      <c r="H47" s="837"/>
      <c r="I47" s="468" t="s">
        <v>506</v>
      </c>
      <c r="J47" s="469">
        <v>100</v>
      </c>
      <c r="K47" s="459"/>
      <c r="L47" s="459"/>
      <c r="M47" s="463"/>
      <c r="N47" s="463"/>
      <c r="O47" s="463"/>
      <c r="P47" s="463"/>
      <c r="Q47" s="463"/>
      <c r="R47" s="463"/>
      <c r="S47" s="463"/>
      <c r="T47" s="463"/>
      <c r="U47" s="463"/>
      <c r="V47" s="463"/>
      <c r="W47" s="463"/>
      <c r="X47" s="463"/>
      <c r="Y47" s="463"/>
      <c r="Z47" s="463"/>
      <c r="AA47" s="463"/>
      <c r="AB47" s="463"/>
      <c r="AD47" s="463"/>
      <c r="AE47" s="463"/>
      <c r="AG47" s="463"/>
      <c r="AI47" s="463"/>
      <c r="AJ47" s="463"/>
      <c r="AK47" s="463"/>
      <c r="AL47" s="463"/>
      <c r="AM47" s="463"/>
      <c r="AN47" s="463"/>
      <c r="AO47" s="463"/>
      <c r="AP47" s="463"/>
      <c r="AQ47" s="463"/>
      <c r="AR47" s="463"/>
      <c r="AS47" s="463"/>
      <c r="AT47" s="463"/>
      <c r="AU47" s="463"/>
      <c r="AV47" s="463"/>
      <c r="AX47" s="463"/>
      <c r="AY47" s="463"/>
      <c r="AZ47" s="463"/>
      <c r="BA47" s="463"/>
      <c r="BB47" s="463"/>
      <c r="BC47" s="463"/>
      <c r="BD47" s="463"/>
      <c r="BE47" s="463"/>
      <c r="BF47" s="463"/>
      <c r="BG47" s="463"/>
      <c r="BH47" s="463"/>
      <c r="BJ47" s="463"/>
      <c r="BK47" s="463"/>
      <c r="BL47" s="463"/>
      <c r="BN47" s="463"/>
      <c r="BO47" s="463"/>
      <c r="BP47" s="463"/>
      <c r="BQ47" s="463"/>
      <c r="BR47" s="463"/>
      <c r="BT47" s="463"/>
      <c r="BU47" s="463"/>
      <c r="BV47" s="463"/>
      <c r="BX47" s="463"/>
      <c r="BY47" s="463"/>
      <c r="BZ47" s="463"/>
      <c r="CB47" s="463"/>
      <c r="CC47" s="463"/>
      <c r="CD47" s="463"/>
      <c r="CF47" s="463"/>
      <c r="CG47" s="463"/>
      <c r="CH47" s="463"/>
      <c r="CJ47" s="463"/>
      <c r="CK47" s="463"/>
      <c r="CM47" s="463"/>
      <c r="CO47" s="463"/>
      <c r="CP47" s="463"/>
      <c r="CQ47" s="463"/>
      <c r="CS47" s="463"/>
      <c r="CT47" s="463"/>
      <c r="CU47" s="463"/>
      <c r="CW47" s="463"/>
      <c r="CX47" s="463"/>
      <c r="CY47" s="463"/>
      <c r="DA47" s="463"/>
      <c r="DB47" s="463"/>
      <c r="DC47" s="463"/>
      <c r="DD47" s="463"/>
      <c r="DE47" s="463"/>
      <c r="DF47" s="463"/>
      <c r="DH47" s="463"/>
      <c r="DI47" s="463"/>
      <c r="DJ47" s="463"/>
      <c r="DL47" s="463"/>
      <c r="DM47" s="463"/>
      <c r="DN47" s="463"/>
      <c r="DO47" s="463"/>
      <c r="DP47" s="463"/>
      <c r="DR47" s="463"/>
      <c r="DS47" s="463"/>
      <c r="DT47" s="463"/>
      <c r="DV47" s="463"/>
      <c r="DW47" s="463"/>
      <c r="DX47" s="463"/>
      <c r="DZ47" s="463"/>
      <c r="EA47" s="463"/>
      <c r="EB47" s="463"/>
      <c r="ED47" s="463"/>
      <c r="EE47" s="463"/>
      <c r="EF47" s="463"/>
      <c r="EH47" s="463"/>
      <c r="EI47" s="463"/>
      <c r="EJ47" s="463"/>
      <c r="EK47" s="463"/>
      <c r="EL47" s="463"/>
      <c r="EN47" s="463"/>
      <c r="EO47" s="463"/>
      <c r="EP47" s="463"/>
      <c r="ER47" s="463"/>
      <c r="ES47" s="463"/>
      <c r="ET47" s="463"/>
      <c r="EV47" s="463"/>
      <c r="EW47" s="463"/>
      <c r="EY47" s="463"/>
      <c r="EZ47" s="463"/>
      <c r="FA47" s="463"/>
      <c r="FB47" s="463"/>
      <c r="FC47" s="463"/>
      <c r="FD47" s="463"/>
      <c r="FE47" s="463"/>
      <c r="FF47" s="463"/>
      <c r="FG47" s="463"/>
      <c r="FH47" s="463"/>
      <c r="FI47" s="463"/>
      <c r="FJ47" s="463"/>
      <c r="FK47" s="463"/>
      <c r="FL47" s="463"/>
      <c r="FM47" s="463"/>
      <c r="FN47" s="463"/>
      <c r="FO47" s="463"/>
      <c r="FP47" s="463"/>
      <c r="FQ47" s="463"/>
      <c r="FS47" s="463"/>
      <c r="FT47" s="463"/>
      <c r="FU47" s="463"/>
      <c r="FV47" s="463"/>
      <c r="FW47" s="463"/>
      <c r="FX47" s="463"/>
      <c r="FY47" s="463"/>
      <c r="FZ47" s="463"/>
    </row>
    <row r="48" spans="1:182" ht="25" customHeight="1">
      <c r="A48" s="420"/>
      <c r="B48" s="440"/>
      <c r="C48" s="441"/>
      <c r="D48" s="421" t="s">
        <v>528</v>
      </c>
      <c r="E48" s="428">
        <f>E5+3</f>
        <v>68.5</v>
      </c>
      <c r="F48" s="428">
        <f>F5</f>
        <v>8.89</v>
      </c>
      <c r="G48" s="425"/>
      <c r="H48" s="393"/>
      <c r="I48" s="393"/>
      <c r="J48" s="393"/>
      <c r="K48" s="459"/>
      <c r="L48" s="459"/>
      <c r="M48" s="463"/>
      <c r="N48" s="463"/>
      <c r="O48" s="463"/>
      <c r="P48" s="463"/>
      <c r="Q48" s="463"/>
      <c r="R48" s="463"/>
      <c r="S48" s="463"/>
      <c r="T48" s="463"/>
      <c r="U48" s="463"/>
      <c r="V48" s="463"/>
      <c r="W48" s="463"/>
      <c r="X48" s="463"/>
      <c r="Y48" s="463"/>
      <c r="Z48" s="463"/>
      <c r="AA48" s="463"/>
      <c r="AB48" s="463"/>
      <c r="AD48" s="463"/>
      <c r="AE48" s="463"/>
      <c r="AG48" s="463"/>
      <c r="AI48" s="463"/>
      <c r="AJ48" s="463"/>
      <c r="AK48" s="463"/>
      <c r="AL48" s="463"/>
      <c r="AM48" s="463"/>
      <c r="AN48" s="463"/>
      <c r="AO48" s="463"/>
      <c r="AP48" s="463"/>
      <c r="AQ48" s="463"/>
      <c r="AR48" s="463"/>
      <c r="AS48" s="463"/>
      <c r="AT48" s="463"/>
      <c r="AU48" s="463"/>
      <c r="AV48" s="463"/>
      <c r="AX48" s="463"/>
      <c r="AY48" s="463"/>
      <c r="AZ48" s="463"/>
      <c r="BA48" s="463"/>
      <c r="BB48" s="463"/>
      <c r="BC48" s="463"/>
      <c r="BD48" s="463"/>
      <c r="BE48" s="463"/>
      <c r="BF48" s="463"/>
      <c r="BG48" s="463"/>
      <c r="BH48" s="463"/>
      <c r="BJ48" s="463"/>
      <c r="BK48" s="463"/>
      <c r="BL48" s="463"/>
      <c r="BN48" s="463"/>
      <c r="BO48" s="463"/>
      <c r="BP48" s="463"/>
      <c r="BQ48" s="463"/>
      <c r="BR48" s="463"/>
      <c r="BT48" s="463"/>
      <c r="BU48" s="463"/>
      <c r="BV48" s="463"/>
      <c r="BX48" s="463"/>
      <c r="BY48" s="463"/>
      <c r="BZ48" s="463"/>
      <c r="CB48" s="463"/>
      <c r="CC48" s="463"/>
      <c r="CD48" s="463"/>
      <c r="CF48" s="463"/>
      <c r="CG48" s="463"/>
      <c r="CH48" s="463"/>
      <c r="CJ48" s="463"/>
      <c r="CK48" s="463"/>
      <c r="CM48" s="463"/>
      <c r="CO48" s="463"/>
      <c r="CP48" s="463"/>
      <c r="CQ48" s="463"/>
      <c r="CS48" s="463"/>
      <c r="CT48" s="463"/>
      <c r="CU48" s="463"/>
      <c r="CW48" s="463"/>
      <c r="CX48" s="463"/>
      <c r="CY48" s="463"/>
      <c r="DA48" s="463"/>
      <c r="DB48" s="463"/>
      <c r="DC48" s="463"/>
      <c r="DD48" s="463"/>
      <c r="DE48" s="463"/>
      <c r="DF48" s="463"/>
      <c r="DH48" s="463"/>
      <c r="DI48" s="463"/>
      <c r="DJ48" s="463"/>
      <c r="DL48" s="463"/>
      <c r="DM48" s="463"/>
      <c r="DN48" s="463"/>
      <c r="DO48" s="463"/>
      <c r="DP48" s="463"/>
      <c r="DR48" s="463"/>
      <c r="DS48" s="463"/>
      <c r="DT48" s="463"/>
      <c r="DV48" s="463"/>
      <c r="DW48" s="463"/>
      <c r="DX48" s="463"/>
      <c r="DZ48" s="463"/>
      <c r="EA48" s="463"/>
      <c r="EB48" s="463"/>
      <c r="ED48" s="463"/>
      <c r="EE48" s="463"/>
      <c r="EF48" s="463"/>
      <c r="EH48" s="463"/>
      <c r="EI48" s="463"/>
      <c r="EJ48" s="463"/>
      <c r="EK48" s="463"/>
      <c r="EL48" s="463"/>
      <c r="EN48" s="463"/>
      <c r="EO48" s="463"/>
      <c r="EP48" s="463"/>
      <c r="ER48" s="463"/>
      <c r="ES48" s="463"/>
      <c r="ET48" s="463"/>
      <c r="EV48" s="463"/>
      <c r="EW48" s="463"/>
      <c r="EY48" s="463"/>
      <c r="EZ48" s="463"/>
      <c r="FA48" s="463"/>
      <c r="FB48" s="463"/>
      <c r="FC48" s="463"/>
      <c r="FD48" s="463"/>
      <c r="FE48" s="463"/>
      <c r="FF48" s="463"/>
      <c r="FG48" s="463"/>
      <c r="FH48" s="463"/>
      <c r="FI48" s="463"/>
      <c r="FJ48" s="463"/>
      <c r="FK48" s="463"/>
      <c r="FL48" s="463"/>
      <c r="FM48" s="463"/>
      <c r="FN48" s="463"/>
      <c r="FO48" s="463"/>
      <c r="FP48" s="463"/>
      <c r="FQ48" s="463"/>
      <c r="FS48" s="463"/>
      <c r="FT48" s="463"/>
      <c r="FU48" s="463"/>
      <c r="FV48" s="463"/>
      <c r="FW48" s="463"/>
      <c r="FX48" s="463"/>
      <c r="FY48" s="463"/>
      <c r="FZ48" s="463"/>
    </row>
    <row r="49" spans="1:182" ht="25" customHeight="1">
      <c r="A49" s="420"/>
      <c r="B49" s="425"/>
      <c r="C49" s="429" t="s">
        <v>529</v>
      </c>
      <c r="D49" s="421" t="s">
        <v>529</v>
      </c>
      <c r="E49" s="428">
        <f>E43</f>
        <v>5.8</v>
      </c>
      <c r="F49" s="421">
        <v>7.82</v>
      </c>
      <c r="G49" s="425"/>
      <c r="H49" s="835" t="s">
        <v>530</v>
      </c>
      <c r="I49" s="470" t="s">
        <v>439</v>
      </c>
      <c r="J49" s="467">
        <v>0.995</v>
      </c>
      <c r="K49" s="459"/>
      <c r="L49" s="393"/>
      <c r="M49" s="393"/>
      <c r="N49" s="393"/>
      <c r="O49" s="463"/>
      <c r="P49" s="463"/>
      <c r="Q49" s="463"/>
      <c r="R49" s="463"/>
      <c r="S49" s="463"/>
      <c r="T49" s="463"/>
      <c r="U49" s="463"/>
      <c r="V49" s="463"/>
      <c r="W49" s="463"/>
      <c r="X49" s="463"/>
      <c r="Y49" s="463"/>
      <c r="Z49" s="463"/>
      <c r="AA49" s="463"/>
      <c r="AB49" s="463"/>
      <c r="AD49" s="463"/>
      <c r="AE49" s="463"/>
      <c r="AG49" s="463"/>
      <c r="AI49" s="463"/>
      <c r="AJ49" s="463"/>
      <c r="AK49" s="463"/>
      <c r="AL49" s="463"/>
      <c r="AM49" s="463"/>
      <c r="AN49" s="463"/>
      <c r="AO49" s="463"/>
      <c r="AP49" s="463"/>
      <c r="AQ49" s="463"/>
      <c r="AR49" s="463"/>
      <c r="AS49" s="463"/>
      <c r="AT49" s="463"/>
      <c r="AU49" s="463"/>
      <c r="AV49" s="463"/>
      <c r="AX49" s="463"/>
      <c r="AY49" s="463"/>
      <c r="AZ49" s="463"/>
      <c r="BA49" s="463"/>
      <c r="BB49" s="463"/>
      <c r="BC49" s="463"/>
      <c r="BD49" s="463"/>
      <c r="BE49" s="463"/>
      <c r="BF49" s="463"/>
      <c r="BG49" s="463"/>
      <c r="BH49" s="463"/>
      <c r="BJ49" s="463"/>
      <c r="BK49" s="463"/>
      <c r="BL49" s="463"/>
      <c r="BN49" s="463"/>
      <c r="BO49" s="463"/>
      <c r="BP49" s="463"/>
      <c r="BQ49" s="463"/>
      <c r="BR49" s="463"/>
      <c r="BT49" s="463"/>
      <c r="BU49" s="463"/>
      <c r="BV49" s="463"/>
      <c r="BX49" s="463"/>
      <c r="BY49" s="463"/>
      <c r="BZ49" s="463"/>
      <c r="CB49" s="463"/>
      <c r="CC49" s="463"/>
      <c r="CD49" s="463"/>
      <c r="CF49" s="463"/>
      <c r="CG49" s="463"/>
      <c r="CH49" s="463"/>
      <c r="CJ49" s="463"/>
      <c r="CK49" s="463"/>
      <c r="CM49" s="463"/>
      <c r="CO49" s="463"/>
      <c r="CP49" s="463"/>
      <c r="CQ49" s="463"/>
      <c r="CS49" s="463"/>
      <c r="CT49" s="463"/>
      <c r="CU49" s="463"/>
      <c r="CW49" s="463"/>
      <c r="CX49" s="463"/>
      <c r="CY49" s="463"/>
      <c r="DA49" s="463"/>
      <c r="DB49" s="463"/>
      <c r="DC49" s="463"/>
      <c r="DD49" s="463"/>
      <c r="DE49" s="463"/>
      <c r="DF49" s="463"/>
      <c r="DH49" s="463"/>
      <c r="DI49" s="463"/>
      <c r="DJ49" s="463"/>
      <c r="DL49" s="463"/>
      <c r="DM49" s="463"/>
      <c r="DN49" s="463"/>
      <c r="DO49" s="463"/>
      <c r="DP49" s="463"/>
      <c r="DR49" s="463"/>
      <c r="DS49" s="463"/>
      <c r="DT49" s="463"/>
      <c r="DV49" s="463"/>
      <c r="DW49" s="463"/>
      <c r="DX49" s="463"/>
      <c r="DZ49" s="463"/>
      <c r="EA49" s="463"/>
      <c r="EB49" s="463"/>
      <c r="ED49" s="463"/>
      <c r="EE49" s="463"/>
      <c r="EF49" s="463"/>
      <c r="EH49" s="463"/>
      <c r="EI49" s="463"/>
      <c r="EJ49" s="463"/>
      <c r="EK49" s="463"/>
      <c r="EL49" s="463"/>
      <c r="EN49" s="463"/>
      <c r="EO49" s="463"/>
      <c r="EP49" s="463"/>
      <c r="ER49" s="463"/>
      <c r="ES49" s="463"/>
      <c r="ET49" s="463"/>
      <c r="EV49" s="463"/>
      <c r="EW49" s="463"/>
      <c r="EY49" s="463"/>
      <c r="EZ49" s="463"/>
      <c r="FA49" s="463"/>
      <c r="FB49" s="463"/>
      <c r="FC49" s="463"/>
      <c r="FD49" s="463"/>
      <c r="FE49" s="463"/>
      <c r="FF49" s="463"/>
      <c r="FG49" s="463"/>
      <c r="FH49" s="463"/>
      <c r="FI49" s="463"/>
      <c r="FJ49" s="463"/>
      <c r="FK49" s="463"/>
      <c r="FL49" s="463"/>
      <c r="FM49" s="463"/>
      <c r="FN49" s="463"/>
      <c r="FO49" s="463"/>
      <c r="FP49" s="463"/>
      <c r="FQ49" s="463"/>
      <c r="FS49" s="463"/>
      <c r="FT49" s="463"/>
      <c r="FU49" s="463"/>
      <c r="FV49" s="463"/>
      <c r="FW49" s="463"/>
      <c r="FX49" s="463"/>
      <c r="FY49" s="463"/>
      <c r="FZ49" s="463"/>
    </row>
    <row r="50" spans="1:182" ht="25" customHeight="1">
      <c r="A50" s="420"/>
      <c r="B50" s="425"/>
      <c r="C50" s="425"/>
      <c r="D50" s="425"/>
      <c r="E50" s="425"/>
      <c r="F50" s="425"/>
      <c r="G50" s="425"/>
      <c r="H50" s="836"/>
      <c r="I50" s="421" t="s">
        <v>446</v>
      </c>
      <c r="J50" s="471">
        <v>0.04</v>
      </c>
      <c r="K50" s="459"/>
      <c r="L50" s="393"/>
      <c r="M50" s="393"/>
      <c r="N50" s="393"/>
      <c r="O50" s="463"/>
      <c r="P50" s="463"/>
      <c r="Q50" s="463"/>
      <c r="R50" s="463"/>
      <c r="S50" s="463"/>
      <c r="T50" s="463"/>
      <c r="U50" s="463"/>
      <c r="V50" s="463"/>
      <c r="W50" s="463"/>
      <c r="X50" s="463"/>
      <c r="Y50" s="463"/>
      <c r="Z50" s="463"/>
      <c r="AA50" s="463"/>
      <c r="AB50" s="463"/>
      <c r="AD50" s="463"/>
      <c r="AE50" s="463"/>
      <c r="AG50" s="463"/>
      <c r="AI50" s="463"/>
      <c r="AJ50" s="463"/>
      <c r="AK50" s="463"/>
      <c r="AL50" s="463"/>
      <c r="AM50" s="463"/>
      <c r="AN50" s="463"/>
      <c r="AO50" s="463"/>
      <c r="AP50" s="463"/>
      <c r="AQ50" s="463"/>
      <c r="AR50" s="463"/>
      <c r="AS50" s="463"/>
      <c r="AT50" s="463"/>
      <c r="AU50" s="463"/>
      <c r="AV50" s="463"/>
      <c r="AX50" s="463"/>
      <c r="AY50" s="463"/>
      <c r="AZ50" s="463"/>
      <c r="BA50" s="463"/>
      <c r="BB50" s="463"/>
      <c r="BC50" s="463"/>
      <c r="BD50" s="463"/>
      <c r="BE50" s="463"/>
      <c r="BF50" s="463"/>
      <c r="BG50" s="463"/>
      <c r="BH50" s="463"/>
      <c r="BJ50" s="463"/>
      <c r="BK50" s="463"/>
      <c r="BL50" s="463"/>
      <c r="BN50" s="463"/>
      <c r="BO50" s="463"/>
      <c r="BP50" s="463"/>
      <c r="BQ50" s="463"/>
      <c r="BR50" s="463"/>
      <c r="BT50" s="463"/>
      <c r="BU50" s="463"/>
      <c r="BV50" s="463"/>
      <c r="BX50" s="463"/>
      <c r="BY50" s="463"/>
      <c r="BZ50" s="463"/>
      <c r="CB50" s="463"/>
      <c r="CC50" s="463"/>
      <c r="CD50" s="463"/>
      <c r="CF50" s="463"/>
      <c r="CG50" s="463"/>
      <c r="CH50" s="463"/>
      <c r="CJ50" s="463"/>
      <c r="CK50" s="463"/>
      <c r="CM50" s="463"/>
      <c r="CO50" s="463"/>
      <c r="CP50" s="463"/>
      <c r="CQ50" s="463"/>
      <c r="CS50" s="463"/>
      <c r="CT50" s="463"/>
      <c r="CU50" s="463"/>
      <c r="CW50" s="463"/>
      <c r="CX50" s="463"/>
      <c r="CY50" s="463"/>
      <c r="DA50" s="463"/>
      <c r="DB50" s="463"/>
      <c r="DC50" s="463"/>
      <c r="DD50" s="463"/>
      <c r="DE50" s="463"/>
      <c r="DF50" s="463"/>
      <c r="DH50" s="463"/>
      <c r="DI50" s="463"/>
      <c r="DJ50" s="463"/>
      <c r="DL50" s="463"/>
      <c r="DM50" s="463"/>
      <c r="DN50" s="463"/>
      <c r="DO50" s="463"/>
      <c r="DP50" s="463"/>
      <c r="DR50" s="463"/>
      <c r="DS50" s="463"/>
      <c r="DT50" s="463"/>
      <c r="DV50" s="463"/>
      <c r="DW50" s="463"/>
      <c r="DX50" s="463"/>
      <c r="DZ50" s="463"/>
      <c r="EA50" s="463"/>
      <c r="EB50" s="463"/>
      <c r="ED50" s="463"/>
      <c r="EE50" s="463"/>
      <c r="EF50" s="463"/>
      <c r="EH50" s="463"/>
      <c r="EI50" s="463"/>
      <c r="EJ50" s="463"/>
      <c r="EK50" s="463"/>
      <c r="EL50" s="463"/>
      <c r="EN50" s="463"/>
      <c r="EO50" s="463"/>
      <c r="EP50" s="463"/>
      <c r="ER50" s="463"/>
      <c r="ES50" s="463"/>
      <c r="ET50" s="463"/>
      <c r="EV50" s="463"/>
      <c r="EW50" s="463"/>
      <c r="EY50" s="463"/>
      <c r="EZ50" s="463"/>
      <c r="FA50" s="463"/>
      <c r="FB50" s="463"/>
      <c r="FC50" s="463"/>
      <c r="FD50" s="463"/>
      <c r="FE50" s="463"/>
      <c r="FF50" s="463"/>
      <c r="FG50" s="463"/>
      <c r="FH50" s="463"/>
      <c r="FI50" s="463"/>
      <c r="FJ50" s="463"/>
      <c r="FK50" s="463"/>
      <c r="FL50" s="463"/>
      <c r="FM50" s="463"/>
      <c r="FN50" s="463"/>
      <c r="FO50" s="463"/>
      <c r="FP50" s="463"/>
      <c r="FQ50" s="463"/>
      <c r="FS50" s="463"/>
      <c r="FT50" s="463"/>
      <c r="FU50" s="463"/>
      <c r="FV50" s="463"/>
      <c r="FW50" s="463"/>
      <c r="FX50" s="463"/>
      <c r="FY50" s="463"/>
      <c r="FZ50" s="463"/>
    </row>
    <row r="51" spans="1:182" ht="25" customHeight="1">
      <c r="A51" s="420" t="s">
        <v>531</v>
      </c>
      <c r="B51" s="425" t="s">
        <v>532</v>
      </c>
      <c r="C51" s="829" t="s">
        <v>533</v>
      </c>
      <c r="D51" s="442" t="s">
        <v>534</v>
      </c>
      <c r="E51" s="443">
        <f>E22</f>
        <v>10</v>
      </c>
      <c r="F51" s="443">
        <f>F22</f>
        <v>1.47</v>
      </c>
      <c r="G51" s="425"/>
      <c r="H51" s="836"/>
      <c r="I51" s="421" t="s">
        <v>450</v>
      </c>
      <c r="J51" s="471">
        <v>0</v>
      </c>
      <c r="K51" s="459"/>
      <c r="L51" s="393"/>
      <c r="M51" s="393"/>
      <c r="N51" s="393"/>
      <c r="O51" s="463"/>
      <c r="P51" s="463"/>
      <c r="Q51" s="463"/>
      <c r="R51" s="463"/>
      <c r="S51" s="463"/>
      <c r="T51" s="463"/>
      <c r="U51" s="463"/>
      <c r="V51" s="463"/>
      <c r="W51" s="463"/>
      <c r="X51" s="463"/>
      <c r="Y51" s="463"/>
      <c r="Z51" s="463"/>
      <c r="AA51" s="463"/>
      <c r="AB51" s="463"/>
      <c r="AD51" s="463"/>
      <c r="AE51" s="463"/>
      <c r="AG51" s="463"/>
      <c r="AI51" s="463"/>
      <c r="AJ51" s="463"/>
      <c r="AK51" s="463"/>
      <c r="AL51" s="463"/>
      <c r="AM51" s="463"/>
      <c r="AN51" s="463"/>
      <c r="AO51" s="463"/>
      <c r="AP51" s="463"/>
      <c r="AQ51" s="463"/>
      <c r="AR51" s="463"/>
      <c r="AS51" s="463"/>
      <c r="AT51" s="463"/>
      <c r="AU51" s="463"/>
      <c r="AV51" s="463"/>
      <c r="AX51" s="463"/>
      <c r="AY51" s="463"/>
      <c r="AZ51" s="463"/>
      <c r="BA51" s="463"/>
      <c r="BB51" s="463"/>
      <c r="BC51" s="463"/>
      <c r="BD51" s="463"/>
      <c r="BE51" s="463"/>
      <c r="BF51" s="463"/>
      <c r="BG51" s="463"/>
      <c r="BH51" s="463"/>
      <c r="BJ51" s="463"/>
      <c r="BK51" s="463"/>
      <c r="BL51" s="463"/>
      <c r="BN51" s="463"/>
      <c r="BO51" s="463"/>
      <c r="BP51" s="463"/>
      <c r="BQ51" s="463"/>
      <c r="BR51" s="463"/>
      <c r="BT51" s="463"/>
      <c r="BU51" s="463"/>
      <c r="BV51" s="463"/>
      <c r="BX51" s="463"/>
      <c r="BY51" s="463"/>
      <c r="BZ51" s="463"/>
      <c r="CB51" s="463"/>
      <c r="CC51" s="463"/>
      <c r="CD51" s="463"/>
      <c r="CF51" s="463"/>
      <c r="CG51" s="463"/>
      <c r="CH51" s="463"/>
      <c r="CJ51" s="463"/>
      <c r="CK51" s="463"/>
      <c r="CM51" s="463"/>
      <c r="CO51" s="463"/>
      <c r="CP51" s="463"/>
      <c r="CQ51" s="463"/>
      <c r="CS51" s="463"/>
      <c r="CT51" s="463"/>
      <c r="CU51" s="463"/>
      <c r="CW51" s="463"/>
      <c r="CX51" s="463"/>
      <c r="CY51" s="463"/>
      <c r="DA51" s="463"/>
      <c r="DB51" s="463"/>
      <c r="DC51" s="463"/>
      <c r="DD51" s="463"/>
      <c r="DE51" s="463"/>
      <c r="DF51" s="463"/>
      <c r="DH51" s="463"/>
      <c r="DI51" s="463"/>
      <c r="DJ51" s="463"/>
      <c r="DL51" s="463"/>
      <c r="DM51" s="463"/>
      <c r="DN51" s="463"/>
      <c r="DO51" s="463"/>
      <c r="DP51" s="463"/>
      <c r="DR51" s="463"/>
      <c r="DS51" s="463"/>
      <c r="DT51" s="463"/>
      <c r="DV51" s="463"/>
      <c r="DW51" s="463"/>
      <c r="DX51" s="463"/>
      <c r="DZ51" s="463"/>
      <c r="EA51" s="463"/>
      <c r="EB51" s="463"/>
      <c r="ED51" s="463"/>
      <c r="EE51" s="463"/>
      <c r="EF51" s="463"/>
      <c r="EH51" s="463"/>
      <c r="EI51" s="463"/>
      <c r="EJ51" s="463"/>
      <c r="EK51" s="463"/>
      <c r="EL51" s="463"/>
      <c r="EN51" s="463"/>
      <c r="EO51" s="463"/>
      <c r="EP51" s="463"/>
      <c r="ER51" s="463"/>
      <c r="ES51" s="463"/>
      <c r="ET51" s="463"/>
      <c r="EV51" s="463"/>
      <c r="EW51" s="463"/>
      <c r="EY51" s="463"/>
      <c r="EZ51" s="463"/>
      <c r="FA51" s="463"/>
      <c r="FB51" s="463"/>
      <c r="FC51" s="463"/>
      <c r="FD51" s="463"/>
      <c r="FE51" s="463"/>
      <c r="FF51" s="463"/>
      <c r="FG51" s="463"/>
      <c r="FH51" s="463"/>
      <c r="FI51" s="463"/>
      <c r="FJ51" s="463"/>
      <c r="FK51" s="463"/>
      <c r="FL51" s="463"/>
      <c r="FM51" s="463"/>
      <c r="FN51" s="463"/>
      <c r="FO51" s="463"/>
      <c r="FP51" s="463"/>
      <c r="FQ51" s="463"/>
      <c r="FS51" s="463"/>
      <c r="FT51" s="463"/>
      <c r="FU51" s="463"/>
      <c r="FV51" s="463"/>
      <c r="FW51" s="463"/>
      <c r="FX51" s="463"/>
      <c r="FY51" s="463"/>
      <c r="FZ51" s="463"/>
    </row>
    <row r="52" spans="1:182" ht="25" customHeight="1">
      <c r="A52" s="420">
        <v>1</v>
      </c>
      <c r="B52" s="425">
        <v>1</v>
      </c>
      <c r="C52" s="830"/>
      <c r="D52" s="442" t="s">
        <v>535</v>
      </c>
      <c r="E52" s="443">
        <f>E23</f>
        <v>7.6</v>
      </c>
      <c r="F52" s="443">
        <f>F23</f>
        <v>1.47</v>
      </c>
      <c r="G52" s="425"/>
      <c r="H52" s="836"/>
      <c r="I52" s="421"/>
      <c r="J52" s="471"/>
      <c r="K52" s="459"/>
      <c r="L52" s="393"/>
      <c r="M52" s="393"/>
      <c r="N52" s="393"/>
      <c r="O52" s="393"/>
      <c r="P52" s="463"/>
      <c r="Q52" s="463"/>
      <c r="R52" s="463"/>
      <c r="S52" s="463"/>
      <c r="T52" s="463"/>
      <c r="U52" s="463"/>
      <c r="V52" s="463"/>
      <c r="W52" s="463"/>
      <c r="X52" s="463"/>
      <c r="Y52" s="463"/>
      <c r="Z52" s="463"/>
      <c r="AA52" s="463"/>
      <c r="AB52" s="463"/>
      <c r="AD52" s="463"/>
      <c r="AE52" s="463"/>
      <c r="AG52" s="463"/>
      <c r="AI52" s="463"/>
      <c r="AJ52" s="463"/>
      <c r="AK52" s="463"/>
      <c r="AL52" s="463"/>
      <c r="AM52" s="463"/>
      <c r="AN52" s="463"/>
      <c r="AO52" s="463"/>
      <c r="AP52" s="463"/>
      <c r="AQ52" s="463"/>
      <c r="AR52" s="463"/>
      <c r="AS52" s="463"/>
      <c r="AT52" s="463"/>
      <c r="AU52" s="463"/>
      <c r="AV52" s="463"/>
      <c r="AX52" s="463"/>
      <c r="AY52" s="463"/>
      <c r="AZ52" s="463"/>
      <c r="BA52" s="463"/>
      <c r="BB52" s="463"/>
      <c r="BC52" s="463"/>
      <c r="BD52" s="463"/>
      <c r="BE52" s="463"/>
      <c r="BF52" s="463"/>
      <c r="BG52" s="463"/>
      <c r="BH52" s="463"/>
      <c r="BJ52" s="463"/>
      <c r="BK52" s="463"/>
      <c r="BL52" s="463"/>
      <c r="BN52" s="463"/>
      <c r="BO52" s="463"/>
      <c r="BP52" s="463"/>
      <c r="BQ52" s="463"/>
      <c r="BR52" s="463"/>
      <c r="BT52" s="463"/>
      <c r="BU52" s="463"/>
      <c r="BV52" s="463"/>
      <c r="BX52" s="463"/>
      <c r="BY52" s="463"/>
      <c r="BZ52" s="463"/>
      <c r="CB52" s="463"/>
      <c r="CC52" s="463"/>
      <c r="CD52" s="463"/>
      <c r="CF52" s="463"/>
      <c r="CG52" s="463"/>
      <c r="CH52" s="463"/>
      <c r="CJ52" s="463"/>
      <c r="CK52" s="463"/>
      <c r="CM52" s="463"/>
      <c r="CO52" s="463"/>
      <c r="CP52" s="463"/>
      <c r="CQ52" s="463"/>
      <c r="CS52" s="463"/>
      <c r="CT52" s="463"/>
      <c r="CU52" s="463"/>
      <c r="CW52" s="463"/>
      <c r="CX52" s="463"/>
      <c r="CY52" s="463"/>
      <c r="DA52" s="463"/>
      <c r="DB52" s="463"/>
      <c r="DC52" s="463"/>
      <c r="DD52" s="463"/>
      <c r="DE52" s="463"/>
      <c r="DF52" s="463"/>
      <c r="DH52" s="463"/>
      <c r="DI52" s="463"/>
      <c r="DJ52" s="463"/>
      <c r="DL52" s="463"/>
      <c r="DM52" s="463"/>
      <c r="DN52" s="463"/>
      <c r="DO52" s="463"/>
      <c r="DP52" s="463"/>
      <c r="DR52" s="463"/>
      <c r="DS52" s="463"/>
      <c r="DT52" s="463"/>
      <c r="DV52" s="463"/>
      <c r="DW52" s="463"/>
      <c r="DX52" s="463"/>
      <c r="DZ52" s="463"/>
      <c r="EA52" s="463"/>
      <c r="EB52" s="463"/>
      <c r="ED52" s="463"/>
      <c r="EE52" s="463"/>
      <c r="EF52" s="463"/>
      <c r="EH52" s="463"/>
      <c r="EI52" s="463"/>
      <c r="EJ52" s="463"/>
      <c r="EK52" s="463"/>
      <c r="EL52" s="463"/>
      <c r="EN52" s="463"/>
      <c r="EO52" s="463"/>
      <c r="EP52" s="463"/>
      <c r="ER52" s="463"/>
      <c r="ES52" s="463"/>
      <c r="ET52" s="463"/>
      <c r="EV52" s="463"/>
      <c r="EW52" s="463"/>
      <c r="EY52" s="463"/>
      <c r="EZ52" s="463"/>
      <c r="FA52" s="463"/>
      <c r="FB52" s="463"/>
      <c r="FC52" s="463"/>
      <c r="FD52" s="463"/>
      <c r="FE52" s="463"/>
      <c r="FF52" s="463"/>
      <c r="FG52" s="463"/>
      <c r="FH52" s="463"/>
      <c r="FI52" s="463"/>
      <c r="FJ52" s="463"/>
      <c r="FK52" s="463"/>
      <c r="FL52" s="463"/>
      <c r="FM52" s="463"/>
      <c r="FN52" s="463"/>
      <c r="FO52" s="463"/>
      <c r="FP52" s="463"/>
      <c r="FQ52" s="463"/>
      <c r="FS52" s="463"/>
      <c r="FT52" s="463"/>
      <c r="FU52" s="463"/>
      <c r="FV52" s="463"/>
      <c r="FW52" s="463"/>
      <c r="FX52" s="463"/>
      <c r="FY52" s="463"/>
      <c r="FZ52" s="463"/>
    </row>
    <row r="53" spans="1:182" ht="25" customHeight="1">
      <c r="A53" s="420">
        <v>2</v>
      </c>
      <c r="B53" s="425">
        <v>2</v>
      </c>
      <c r="C53" s="830"/>
      <c r="D53" s="444" t="s">
        <v>536</v>
      </c>
      <c r="E53" s="69">
        <v>4</v>
      </c>
      <c r="F53" s="421">
        <v>2</v>
      </c>
      <c r="G53" s="425" t="s">
        <v>537</v>
      </c>
      <c r="H53" s="837"/>
      <c r="I53" s="468" t="s">
        <v>506</v>
      </c>
      <c r="J53" s="469">
        <v>100</v>
      </c>
      <c r="K53" s="459"/>
      <c r="L53" s="393"/>
      <c r="M53" s="393"/>
      <c r="N53" s="393"/>
      <c r="O53" s="393"/>
      <c r="P53" s="463"/>
      <c r="Q53" s="463"/>
      <c r="R53" s="463"/>
      <c r="S53" s="463"/>
      <c r="T53" s="463"/>
      <c r="U53" s="463"/>
      <c r="V53" s="463"/>
      <c r="W53" s="463"/>
      <c r="X53" s="463"/>
      <c r="Y53" s="463"/>
      <c r="Z53" s="463"/>
      <c r="AA53" s="463"/>
      <c r="AB53" s="463"/>
      <c r="AD53" s="463"/>
      <c r="AE53" s="463"/>
      <c r="AG53" s="463"/>
      <c r="AI53" s="463"/>
      <c r="AJ53" s="463"/>
      <c r="AK53" s="463"/>
      <c r="AL53" s="463"/>
      <c r="AM53" s="463"/>
      <c r="AN53" s="463"/>
      <c r="AO53" s="463"/>
      <c r="AP53" s="463"/>
      <c r="AQ53" s="463"/>
      <c r="AR53" s="463"/>
      <c r="AS53" s="463"/>
      <c r="AT53" s="463"/>
      <c r="AU53" s="463"/>
      <c r="AV53" s="463"/>
      <c r="AX53" s="463"/>
      <c r="AY53" s="463"/>
      <c r="AZ53" s="463"/>
      <c r="BA53" s="463"/>
      <c r="BB53" s="463"/>
      <c r="BC53" s="463"/>
      <c r="BD53" s="463"/>
      <c r="BE53" s="463"/>
      <c r="BF53" s="463"/>
      <c r="BG53" s="463"/>
      <c r="BH53" s="463"/>
      <c r="BJ53" s="463"/>
      <c r="BK53" s="463"/>
      <c r="BL53" s="463"/>
      <c r="BN53" s="463"/>
      <c r="BO53" s="463"/>
      <c r="BP53" s="463"/>
      <c r="BQ53" s="463"/>
      <c r="BR53" s="463"/>
      <c r="BT53" s="463"/>
      <c r="BU53" s="463"/>
      <c r="BV53" s="463"/>
      <c r="BX53" s="463"/>
      <c r="BY53" s="463"/>
      <c r="BZ53" s="463"/>
      <c r="CB53" s="463"/>
      <c r="CC53" s="463"/>
      <c r="CD53" s="463"/>
      <c r="CF53" s="463"/>
      <c r="CG53" s="463"/>
      <c r="CH53" s="463"/>
      <c r="CJ53" s="463"/>
      <c r="CK53" s="463"/>
      <c r="CM53" s="463"/>
      <c r="CO53" s="463"/>
      <c r="CP53" s="463"/>
      <c r="CQ53" s="463"/>
      <c r="CS53" s="463"/>
      <c r="CT53" s="463"/>
      <c r="CU53" s="463"/>
      <c r="CW53" s="463"/>
      <c r="CX53" s="463"/>
      <c r="CY53" s="463"/>
      <c r="DA53" s="463"/>
      <c r="DB53" s="463"/>
      <c r="DC53" s="463"/>
      <c r="DD53" s="463"/>
      <c r="DE53" s="463"/>
      <c r="DF53" s="463"/>
      <c r="DH53" s="463"/>
      <c r="DI53" s="463"/>
      <c r="DJ53" s="463"/>
      <c r="DL53" s="463"/>
      <c r="DM53" s="463"/>
      <c r="DN53" s="463"/>
      <c r="DO53" s="463"/>
      <c r="DP53" s="463"/>
      <c r="DR53" s="463"/>
      <c r="DS53" s="463"/>
      <c r="DT53" s="463"/>
      <c r="DV53" s="463"/>
      <c r="DW53" s="463"/>
      <c r="DX53" s="463"/>
      <c r="DZ53" s="463"/>
      <c r="EA53" s="463"/>
      <c r="EB53" s="463"/>
      <c r="ED53" s="463"/>
      <c r="EE53" s="463"/>
      <c r="EF53" s="463"/>
      <c r="EH53" s="463"/>
      <c r="EI53" s="463"/>
      <c r="EJ53" s="463"/>
      <c r="EK53" s="463"/>
      <c r="EL53" s="463"/>
      <c r="EN53" s="463"/>
      <c r="EO53" s="463"/>
      <c r="EP53" s="463"/>
      <c r="ER53" s="463"/>
      <c r="ES53" s="463"/>
      <c r="ET53" s="463"/>
      <c r="EV53" s="463"/>
      <c r="EW53" s="463"/>
      <c r="EY53" s="463"/>
      <c r="EZ53" s="463"/>
      <c r="FA53" s="463"/>
      <c r="FB53" s="463"/>
      <c r="FC53" s="463"/>
      <c r="FD53" s="463"/>
      <c r="FE53" s="463"/>
      <c r="FF53" s="463"/>
      <c r="FG53" s="463"/>
      <c r="FH53" s="463"/>
      <c r="FI53" s="463"/>
      <c r="FJ53" s="463"/>
      <c r="FK53" s="463"/>
      <c r="FL53" s="463"/>
      <c r="FM53" s="463"/>
      <c r="FN53" s="463"/>
      <c r="FO53" s="463"/>
      <c r="FP53" s="463"/>
      <c r="FQ53" s="463"/>
      <c r="FS53" s="463"/>
      <c r="FT53" s="463"/>
      <c r="FU53" s="463"/>
      <c r="FV53" s="463"/>
      <c r="FW53" s="463"/>
      <c r="FX53" s="463"/>
      <c r="FY53" s="463"/>
      <c r="FZ53" s="463"/>
    </row>
    <row r="54" spans="1:182" ht="25" customHeight="1">
      <c r="A54" s="420">
        <v>3</v>
      </c>
      <c r="B54" s="425">
        <v>2.1547000000000001</v>
      </c>
      <c r="C54" s="830"/>
      <c r="D54" s="445"/>
      <c r="E54" s="446"/>
      <c r="F54" s="446"/>
      <c r="G54" s="425"/>
      <c r="H54" s="393"/>
      <c r="I54" s="393"/>
      <c r="J54" s="393"/>
      <c r="K54" s="459"/>
      <c r="L54" s="393"/>
      <c r="M54" s="393"/>
      <c r="N54" s="393"/>
      <c r="O54" s="393"/>
      <c r="P54" s="463"/>
      <c r="Q54" s="463"/>
      <c r="R54" s="463"/>
      <c r="S54" s="463"/>
      <c r="T54" s="463"/>
      <c r="U54" s="463"/>
      <c r="V54" s="463"/>
      <c r="W54" s="463"/>
      <c r="X54" s="463"/>
      <c r="Y54" s="463"/>
      <c r="Z54" s="463"/>
      <c r="AA54" s="463"/>
      <c r="AB54" s="463"/>
      <c r="AD54" s="463"/>
      <c r="AE54" s="463"/>
      <c r="AG54" s="463"/>
      <c r="AI54" s="463"/>
      <c r="AJ54" s="463"/>
      <c r="AK54" s="463"/>
      <c r="AL54" s="463"/>
      <c r="AM54" s="463"/>
      <c r="AN54" s="463"/>
      <c r="AO54" s="463"/>
      <c r="AP54" s="463"/>
      <c r="AQ54" s="463"/>
      <c r="AR54" s="463"/>
      <c r="AS54" s="463"/>
      <c r="AT54" s="463"/>
      <c r="AU54" s="463"/>
      <c r="AV54" s="463"/>
      <c r="AX54" s="463"/>
      <c r="AY54" s="463"/>
      <c r="AZ54" s="463"/>
      <c r="BA54" s="463"/>
      <c r="BB54" s="463"/>
      <c r="BC54" s="463"/>
      <c r="BD54" s="463"/>
      <c r="BE54" s="463"/>
      <c r="BF54" s="463"/>
      <c r="BG54" s="463"/>
      <c r="BH54" s="463"/>
      <c r="BJ54" s="463"/>
      <c r="BK54" s="463"/>
      <c r="BL54" s="463"/>
      <c r="BN54" s="463"/>
      <c r="BO54" s="463"/>
      <c r="BP54" s="463"/>
      <c r="BQ54" s="463"/>
      <c r="BR54" s="463"/>
      <c r="BT54" s="463"/>
      <c r="BU54" s="463"/>
      <c r="BV54" s="463"/>
      <c r="BX54" s="463"/>
      <c r="BY54" s="463"/>
      <c r="BZ54" s="463"/>
      <c r="CB54" s="463"/>
      <c r="CC54" s="463"/>
      <c r="CD54" s="463"/>
      <c r="CF54" s="463"/>
      <c r="CG54" s="463"/>
      <c r="CH54" s="463"/>
      <c r="CJ54" s="463"/>
      <c r="CK54" s="463"/>
      <c r="CM54" s="463"/>
      <c r="CO54" s="463"/>
      <c r="CP54" s="463"/>
      <c r="CQ54" s="463"/>
      <c r="CS54" s="463"/>
      <c r="CT54" s="463"/>
      <c r="CU54" s="463"/>
      <c r="CW54" s="463"/>
      <c r="CX54" s="463"/>
      <c r="CY54" s="463"/>
      <c r="DA54" s="463"/>
      <c r="DB54" s="463"/>
      <c r="DC54" s="463"/>
      <c r="DD54" s="463"/>
      <c r="DE54" s="463"/>
      <c r="DF54" s="463"/>
      <c r="DH54" s="463"/>
      <c r="DI54" s="463"/>
      <c r="DJ54" s="463"/>
      <c r="DL54" s="463"/>
      <c r="DM54" s="463"/>
      <c r="DN54" s="463"/>
      <c r="DO54" s="463"/>
      <c r="DP54" s="463"/>
      <c r="DR54" s="463"/>
      <c r="DS54" s="463"/>
      <c r="DT54" s="463"/>
      <c r="DV54" s="463"/>
      <c r="DW54" s="463"/>
      <c r="DX54" s="463"/>
      <c r="DZ54" s="463"/>
      <c r="EA54" s="463"/>
      <c r="EB54" s="463"/>
      <c r="ED54" s="463"/>
      <c r="EE54" s="463"/>
      <c r="EF54" s="463"/>
      <c r="EH54" s="463"/>
      <c r="EI54" s="463"/>
      <c r="EJ54" s="463"/>
      <c r="EK54" s="463"/>
      <c r="EL54" s="463"/>
      <c r="EN54" s="463"/>
      <c r="EO54" s="463"/>
      <c r="EP54" s="463"/>
      <c r="ER54" s="463"/>
      <c r="ES54" s="463"/>
      <c r="ET54" s="463"/>
      <c r="EV54" s="463"/>
      <c r="EW54" s="463"/>
      <c r="EY54" s="463"/>
      <c r="EZ54" s="463"/>
      <c r="FA54" s="463"/>
      <c r="FB54" s="463"/>
      <c r="FC54" s="463"/>
      <c r="FD54" s="463"/>
      <c r="FE54" s="463"/>
      <c r="FF54" s="463"/>
      <c r="FG54" s="463"/>
      <c r="FH54" s="463"/>
      <c r="FI54" s="463"/>
      <c r="FJ54" s="463"/>
      <c r="FK54" s="463"/>
      <c r="FL54" s="463"/>
      <c r="FM54" s="463"/>
      <c r="FN54" s="463"/>
      <c r="FO54" s="463"/>
      <c r="FP54" s="463"/>
      <c r="FQ54" s="463"/>
      <c r="FS54" s="463"/>
      <c r="FT54" s="463"/>
      <c r="FU54" s="463"/>
      <c r="FV54" s="463"/>
      <c r="FW54" s="463"/>
      <c r="FX54" s="463"/>
      <c r="FY54" s="463"/>
      <c r="FZ54" s="463"/>
    </row>
    <row r="55" spans="1:182" ht="25" customHeight="1">
      <c r="A55" s="420">
        <v>4</v>
      </c>
      <c r="B55" s="425">
        <v>2.4198124999999999</v>
      </c>
      <c r="C55" s="830"/>
      <c r="D55" s="445" t="s">
        <v>538</v>
      </c>
      <c r="E55" s="447">
        <f>E11</f>
        <v>10.199999999999999</v>
      </c>
      <c r="F55" s="447">
        <f>F11</f>
        <v>1.1000000000000001</v>
      </c>
      <c r="G55" s="425"/>
      <c r="H55" s="831" t="s">
        <v>539</v>
      </c>
      <c r="I55" s="421" t="s">
        <v>540</v>
      </c>
      <c r="J55" s="421">
        <v>0.995</v>
      </c>
      <c r="K55" s="459"/>
      <c r="L55" s="393"/>
      <c r="M55" s="393"/>
      <c r="N55" s="393"/>
      <c r="O55" s="393"/>
      <c r="P55" s="463"/>
      <c r="Q55" s="463"/>
      <c r="R55" s="463"/>
      <c r="S55" s="463"/>
      <c r="T55" s="463"/>
      <c r="U55" s="463"/>
      <c r="V55" s="463"/>
      <c r="W55" s="463"/>
      <c r="X55" s="463"/>
      <c r="Y55" s="463"/>
      <c r="Z55" s="463"/>
      <c r="AA55" s="463"/>
      <c r="AB55" s="463"/>
      <c r="AD55" s="463"/>
      <c r="AE55" s="463"/>
      <c r="AG55" s="463"/>
      <c r="AI55" s="463"/>
      <c r="AJ55" s="463"/>
      <c r="AK55" s="463"/>
      <c r="AL55" s="463"/>
      <c r="AM55" s="463"/>
      <c r="AN55" s="463"/>
      <c r="AO55" s="463"/>
      <c r="AP55" s="463"/>
      <c r="AQ55" s="463"/>
      <c r="AR55" s="463"/>
      <c r="AS55" s="463"/>
      <c r="AT55" s="463"/>
      <c r="AU55" s="463"/>
      <c r="AV55" s="463"/>
      <c r="AX55" s="463"/>
      <c r="AY55" s="463"/>
      <c r="AZ55" s="463"/>
      <c r="BA55" s="463"/>
      <c r="BB55" s="463"/>
      <c r="BC55" s="463"/>
      <c r="BD55" s="463"/>
      <c r="BE55" s="463"/>
      <c r="BF55" s="463"/>
      <c r="BG55" s="463"/>
      <c r="BH55" s="463"/>
      <c r="BJ55" s="463"/>
      <c r="BK55" s="463"/>
      <c r="BL55" s="463"/>
      <c r="BN55" s="463"/>
      <c r="BO55" s="463"/>
      <c r="BP55" s="463"/>
      <c r="BQ55" s="463"/>
      <c r="BR55" s="463"/>
      <c r="BT55" s="463"/>
      <c r="BU55" s="463"/>
      <c r="BV55" s="463"/>
      <c r="BX55" s="463"/>
      <c r="BY55" s="463"/>
      <c r="BZ55" s="463"/>
      <c r="CB55" s="463"/>
      <c r="CC55" s="463"/>
      <c r="CD55" s="463"/>
      <c r="CF55" s="463"/>
      <c r="CG55" s="463"/>
      <c r="CH55" s="463"/>
      <c r="CJ55" s="463"/>
      <c r="CK55" s="463"/>
      <c r="CM55" s="463"/>
      <c r="CO55" s="463"/>
      <c r="CP55" s="463"/>
      <c r="CQ55" s="463"/>
      <c r="CS55" s="463"/>
      <c r="CT55" s="463"/>
      <c r="CU55" s="463"/>
      <c r="CW55" s="463"/>
      <c r="CX55" s="463"/>
      <c r="CY55" s="463"/>
      <c r="DA55" s="463"/>
      <c r="DB55" s="463"/>
      <c r="DC55" s="463"/>
      <c r="DD55" s="463"/>
      <c r="DE55" s="463"/>
      <c r="DF55" s="463"/>
      <c r="DH55" s="463"/>
      <c r="DI55" s="463"/>
      <c r="DJ55" s="463"/>
      <c r="DL55" s="463"/>
      <c r="DM55" s="463"/>
      <c r="DN55" s="463"/>
      <c r="DO55" s="463"/>
      <c r="DP55" s="463"/>
      <c r="DR55" s="463"/>
      <c r="DS55" s="463"/>
      <c r="DT55" s="463"/>
      <c r="DV55" s="463"/>
      <c r="DW55" s="463"/>
      <c r="DX55" s="463"/>
      <c r="DZ55" s="463"/>
      <c r="EA55" s="463"/>
      <c r="EB55" s="463"/>
      <c r="ED55" s="463"/>
      <c r="EE55" s="463"/>
      <c r="EF55" s="463"/>
      <c r="EH55" s="463"/>
      <c r="EI55" s="463"/>
      <c r="EJ55" s="463"/>
      <c r="EK55" s="463"/>
      <c r="EL55" s="463"/>
      <c r="EN55" s="463"/>
      <c r="EO55" s="463"/>
      <c r="EP55" s="463"/>
      <c r="ER55" s="463"/>
      <c r="ES55" s="463"/>
      <c r="ET55" s="463"/>
      <c r="EV55" s="463"/>
      <c r="EW55" s="463"/>
      <c r="EY55" s="463"/>
      <c r="EZ55" s="463"/>
      <c r="FA55" s="463"/>
      <c r="FB55" s="463"/>
      <c r="FC55" s="463"/>
      <c r="FD55" s="463"/>
      <c r="FE55" s="463"/>
      <c r="FF55" s="463"/>
      <c r="FG55" s="463"/>
      <c r="FH55" s="463"/>
      <c r="FI55" s="463"/>
      <c r="FJ55" s="463"/>
      <c r="FK55" s="463"/>
      <c r="FL55" s="463"/>
      <c r="FM55" s="463"/>
      <c r="FN55" s="463"/>
      <c r="FO55" s="463"/>
      <c r="FP55" s="463"/>
      <c r="FQ55" s="463"/>
      <c r="FS55" s="463"/>
      <c r="FT55" s="463"/>
      <c r="FU55" s="463"/>
      <c r="FV55" s="463"/>
      <c r="FW55" s="463"/>
      <c r="FX55" s="463"/>
      <c r="FY55" s="463"/>
      <c r="FZ55" s="463"/>
    </row>
    <row r="56" spans="1:182" ht="25" customHeight="1">
      <c r="A56" s="420">
        <v>5</v>
      </c>
      <c r="B56" s="425">
        <v>2.7159</v>
      </c>
      <c r="C56" s="830"/>
      <c r="D56" s="448" t="s">
        <v>541</v>
      </c>
      <c r="E56" s="446">
        <f>E32</f>
        <v>5</v>
      </c>
      <c r="F56" s="446">
        <f>F32</f>
        <v>2</v>
      </c>
      <c r="G56" s="425" t="s">
        <v>542</v>
      </c>
      <c r="H56" s="831"/>
      <c r="I56" s="421" t="s">
        <v>446</v>
      </c>
      <c r="J56" s="454">
        <v>7.0000000000000007E-2</v>
      </c>
      <c r="K56" s="459"/>
      <c r="L56" s="393"/>
      <c r="M56" s="393"/>
      <c r="N56" s="393"/>
      <c r="O56" s="393"/>
      <c r="P56" s="463"/>
      <c r="Q56" s="463"/>
      <c r="R56" s="463"/>
      <c r="S56" s="463"/>
      <c r="T56" s="463"/>
      <c r="U56" s="463"/>
      <c r="V56" s="463"/>
      <c r="W56" s="463"/>
      <c r="X56" s="463"/>
      <c r="Y56" s="463"/>
      <c r="Z56" s="463"/>
      <c r="AA56" s="463"/>
      <c r="AB56" s="463"/>
      <c r="AD56" s="463"/>
      <c r="AE56" s="463"/>
      <c r="AG56" s="463"/>
      <c r="AI56" s="463"/>
      <c r="AJ56" s="463"/>
      <c r="AK56" s="463"/>
      <c r="AL56" s="463"/>
      <c r="AM56" s="463"/>
      <c r="AN56" s="463"/>
      <c r="AO56" s="463"/>
      <c r="AP56" s="463"/>
      <c r="AQ56" s="463"/>
      <c r="AR56" s="463"/>
      <c r="AS56" s="463"/>
      <c r="AT56" s="463"/>
      <c r="AU56" s="463"/>
      <c r="AV56" s="463"/>
      <c r="AX56" s="463"/>
      <c r="AY56" s="463"/>
      <c r="AZ56" s="463"/>
      <c r="BA56" s="463"/>
      <c r="BB56" s="463"/>
      <c r="BC56" s="463"/>
      <c r="BD56" s="463"/>
      <c r="BE56" s="463"/>
      <c r="BF56" s="463"/>
      <c r="BG56" s="463"/>
      <c r="BH56" s="463"/>
      <c r="BJ56" s="463"/>
      <c r="BK56" s="463"/>
      <c r="BL56" s="463"/>
      <c r="BN56" s="463"/>
      <c r="BO56" s="463"/>
      <c r="BP56" s="463"/>
      <c r="BQ56" s="463"/>
      <c r="BR56" s="463"/>
      <c r="BT56" s="463"/>
      <c r="BU56" s="463"/>
      <c r="BV56" s="463"/>
      <c r="BX56" s="463"/>
      <c r="BY56" s="463"/>
      <c r="BZ56" s="463"/>
      <c r="CB56" s="463"/>
      <c r="CC56" s="463"/>
      <c r="CD56" s="463"/>
      <c r="CF56" s="463"/>
      <c r="CG56" s="463"/>
      <c r="CH56" s="463"/>
      <c r="CJ56" s="463"/>
      <c r="CK56" s="463"/>
      <c r="CM56" s="463"/>
      <c r="CO56" s="463"/>
      <c r="CP56" s="463"/>
      <c r="CQ56" s="463"/>
      <c r="CS56" s="463"/>
      <c r="CT56" s="463"/>
      <c r="CU56" s="463"/>
      <c r="CW56" s="463"/>
      <c r="CX56" s="463"/>
      <c r="CY56" s="463"/>
      <c r="DA56" s="463"/>
      <c r="DB56" s="463"/>
      <c r="DC56" s="463"/>
      <c r="DD56" s="463"/>
      <c r="DE56" s="463"/>
      <c r="DF56" s="463"/>
      <c r="DH56" s="463"/>
      <c r="DI56" s="463"/>
      <c r="DJ56" s="463"/>
      <c r="DL56" s="463"/>
      <c r="DM56" s="463"/>
      <c r="DN56" s="463"/>
      <c r="DO56" s="463"/>
      <c r="DP56" s="463"/>
      <c r="DR56" s="463"/>
      <c r="DS56" s="463"/>
      <c r="DT56" s="463"/>
      <c r="DV56" s="463"/>
      <c r="DW56" s="463"/>
      <c r="DX56" s="463"/>
      <c r="DZ56" s="463"/>
      <c r="EA56" s="463"/>
      <c r="EB56" s="463"/>
      <c r="ED56" s="463"/>
      <c r="EE56" s="463"/>
      <c r="EF56" s="463"/>
      <c r="EH56" s="463"/>
      <c r="EI56" s="463"/>
      <c r="EJ56" s="463"/>
      <c r="EK56" s="463"/>
      <c r="EL56" s="463"/>
      <c r="EN56" s="463"/>
      <c r="EO56" s="463"/>
      <c r="EP56" s="463"/>
      <c r="ER56" s="463"/>
      <c r="ES56" s="463"/>
      <c r="ET56" s="463"/>
      <c r="EV56" s="463"/>
      <c r="EW56" s="463"/>
      <c r="EY56" s="463"/>
      <c r="EZ56" s="463"/>
      <c r="FA56" s="463"/>
      <c r="FB56" s="463"/>
      <c r="FC56" s="463"/>
      <c r="FD56" s="463"/>
      <c r="FE56" s="463"/>
      <c r="FF56" s="463"/>
      <c r="FG56" s="463"/>
      <c r="FH56" s="463"/>
      <c r="FI56" s="463"/>
      <c r="FJ56" s="463"/>
      <c r="FK56" s="463"/>
      <c r="FL56" s="463"/>
      <c r="FM56" s="463"/>
      <c r="FN56" s="463"/>
      <c r="FO56" s="463"/>
      <c r="FP56" s="463"/>
      <c r="FQ56" s="463"/>
      <c r="FS56" s="463"/>
      <c r="FT56" s="463"/>
      <c r="FU56" s="463"/>
      <c r="FV56" s="463"/>
      <c r="FW56" s="463"/>
      <c r="FX56" s="463"/>
      <c r="FY56" s="463"/>
      <c r="FZ56" s="463"/>
    </row>
    <row r="57" spans="1:182" ht="25" customHeight="1">
      <c r="A57" s="420">
        <v>6</v>
      </c>
      <c r="B57" s="425">
        <v>3</v>
      </c>
      <c r="C57" s="830"/>
      <c r="D57" s="449"/>
      <c r="E57" s="421"/>
      <c r="F57" s="421"/>
      <c r="G57" s="425"/>
      <c r="H57" s="831"/>
      <c r="I57" s="421" t="s">
        <v>450</v>
      </c>
      <c r="J57" s="454">
        <v>0</v>
      </c>
      <c r="K57" s="459"/>
      <c r="L57" s="393"/>
      <c r="M57" s="393"/>
      <c r="N57" s="393"/>
      <c r="O57" s="463"/>
      <c r="P57" s="463"/>
      <c r="Q57" s="463"/>
      <c r="R57" s="463"/>
      <c r="S57" s="463"/>
      <c r="T57" s="463"/>
      <c r="U57" s="463"/>
      <c r="V57" s="463"/>
      <c r="W57" s="463"/>
      <c r="X57" s="463"/>
      <c r="Y57" s="463"/>
      <c r="Z57" s="463"/>
      <c r="AA57" s="463"/>
      <c r="AB57" s="463"/>
      <c r="AD57" s="463"/>
      <c r="AE57" s="463"/>
      <c r="AG57" s="463"/>
      <c r="AI57" s="463"/>
      <c r="AJ57" s="463"/>
      <c r="AK57" s="463"/>
      <c r="AL57" s="463"/>
      <c r="AM57" s="463"/>
      <c r="AN57" s="463"/>
      <c r="AO57" s="463"/>
      <c r="AP57" s="463"/>
      <c r="AQ57" s="463"/>
      <c r="AR57" s="463"/>
      <c r="AS57" s="463"/>
      <c r="AT57" s="463"/>
      <c r="AU57" s="463"/>
      <c r="AV57" s="463"/>
      <c r="AX57" s="463"/>
      <c r="AY57" s="463"/>
      <c r="AZ57" s="463"/>
      <c r="BA57" s="463"/>
      <c r="BB57" s="463"/>
      <c r="BC57" s="463"/>
      <c r="BD57" s="463"/>
      <c r="BE57" s="463"/>
      <c r="BF57" s="463"/>
      <c r="BG57" s="463"/>
      <c r="BH57" s="463"/>
      <c r="BJ57" s="463"/>
      <c r="BK57" s="463"/>
      <c r="BL57" s="463"/>
      <c r="BN57" s="463"/>
      <c r="BO57" s="463"/>
      <c r="BP57" s="463"/>
      <c r="BQ57" s="463"/>
      <c r="BR57" s="463"/>
      <c r="BT57" s="463"/>
      <c r="BU57" s="463"/>
      <c r="BV57" s="463"/>
      <c r="BX57" s="463"/>
      <c r="BY57" s="463"/>
      <c r="BZ57" s="463"/>
      <c r="CB57" s="463"/>
      <c r="CC57" s="463"/>
      <c r="CD57" s="463"/>
      <c r="CF57" s="463"/>
      <c r="CG57" s="463"/>
      <c r="CH57" s="463"/>
      <c r="CJ57" s="463"/>
      <c r="CK57" s="463"/>
      <c r="CM57" s="463"/>
      <c r="CO57" s="463"/>
      <c r="CP57" s="463"/>
      <c r="CQ57" s="463"/>
      <c r="CS57" s="463"/>
      <c r="CT57" s="463"/>
      <c r="CU57" s="463"/>
      <c r="CW57" s="463"/>
      <c r="CX57" s="463"/>
      <c r="CY57" s="463"/>
      <c r="DA57" s="463"/>
      <c r="DB57" s="463"/>
      <c r="DC57" s="463"/>
      <c r="DD57" s="463"/>
      <c r="DE57" s="463"/>
      <c r="DF57" s="463"/>
      <c r="DH57" s="463"/>
      <c r="DI57" s="463"/>
      <c r="DJ57" s="463"/>
      <c r="DL57" s="463"/>
      <c r="DM57" s="463"/>
      <c r="DN57" s="463"/>
      <c r="DO57" s="463"/>
      <c r="DP57" s="463"/>
      <c r="DR57" s="463"/>
      <c r="DS57" s="463"/>
      <c r="DT57" s="463"/>
      <c r="DV57" s="463"/>
      <c r="DW57" s="463"/>
      <c r="DX57" s="463"/>
      <c r="DZ57" s="463"/>
      <c r="EA57" s="463"/>
      <c r="EB57" s="463"/>
      <c r="ED57" s="463"/>
      <c r="EE57" s="463"/>
      <c r="EF57" s="463"/>
      <c r="EH57" s="463"/>
      <c r="EI57" s="463"/>
      <c r="EJ57" s="463"/>
      <c r="EK57" s="463"/>
      <c r="EL57" s="463"/>
      <c r="EN57" s="463"/>
      <c r="EO57" s="463"/>
      <c r="EP57" s="463"/>
      <c r="ER57" s="463"/>
      <c r="ES57" s="463"/>
      <c r="ET57" s="463"/>
      <c r="EV57" s="463"/>
      <c r="EW57" s="463"/>
      <c r="EY57" s="463"/>
      <c r="EZ57" s="463"/>
      <c r="FA57" s="463"/>
      <c r="FB57" s="463"/>
      <c r="FC57" s="463"/>
      <c r="FD57" s="463"/>
      <c r="FE57" s="463"/>
      <c r="FF57" s="463"/>
      <c r="FG57" s="463"/>
      <c r="FH57" s="463"/>
      <c r="FI57" s="463"/>
      <c r="FJ57" s="463"/>
      <c r="FK57" s="463"/>
      <c r="FL57" s="463"/>
      <c r="FM57" s="463"/>
      <c r="FN57" s="463"/>
      <c r="FO57" s="463"/>
      <c r="FP57" s="463"/>
      <c r="FQ57" s="463"/>
      <c r="FS57" s="463"/>
      <c r="FT57" s="463"/>
      <c r="FU57" s="463"/>
      <c r="FV57" s="463"/>
      <c r="FW57" s="463"/>
      <c r="FX57" s="463"/>
      <c r="FY57" s="463"/>
      <c r="FZ57" s="463"/>
    </row>
    <row r="58" spans="1:182" ht="25" customHeight="1">
      <c r="A58" s="420">
        <v>7</v>
      </c>
      <c r="B58" s="425">
        <v>3</v>
      </c>
      <c r="C58" s="830"/>
      <c r="D58" s="448" t="s">
        <v>543</v>
      </c>
      <c r="E58" s="446">
        <f>E39</f>
        <v>20</v>
      </c>
      <c r="F58" s="446">
        <f>F39</f>
        <v>0.3</v>
      </c>
      <c r="G58" s="425"/>
      <c r="H58" s="831"/>
      <c r="I58" s="421"/>
      <c r="J58" s="454"/>
      <c r="K58" s="459"/>
      <c r="L58" s="393"/>
      <c r="M58" s="393"/>
      <c r="N58" s="393"/>
      <c r="O58" s="463"/>
      <c r="P58" s="463"/>
      <c r="Q58" s="463"/>
      <c r="R58" s="463"/>
      <c r="S58" s="463"/>
      <c r="T58" s="463"/>
      <c r="U58" s="463"/>
      <c r="V58" s="463"/>
      <c r="W58" s="463"/>
      <c r="X58" s="463"/>
      <c r="Y58" s="463"/>
      <c r="Z58" s="463"/>
      <c r="AA58" s="463"/>
      <c r="AB58" s="463"/>
      <c r="AD58" s="463"/>
      <c r="AE58" s="463"/>
      <c r="AG58" s="463"/>
      <c r="AI58" s="463"/>
      <c r="AJ58" s="463"/>
      <c r="AK58" s="463"/>
      <c r="AL58" s="463"/>
      <c r="AM58" s="463"/>
      <c r="AN58" s="463"/>
      <c r="AO58" s="463"/>
      <c r="AP58" s="463"/>
      <c r="AQ58" s="463"/>
      <c r="AR58" s="463"/>
      <c r="AS58" s="463"/>
      <c r="AT58" s="463"/>
      <c r="AU58" s="463"/>
      <c r="AV58" s="463"/>
      <c r="AX58" s="463"/>
      <c r="AY58" s="463"/>
      <c r="AZ58" s="463"/>
      <c r="BA58" s="463"/>
      <c r="BB58" s="463"/>
      <c r="BC58" s="463"/>
      <c r="BD58" s="463"/>
      <c r="BE58" s="463"/>
      <c r="BF58" s="463"/>
      <c r="BG58" s="463"/>
      <c r="BH58" s="463"/>
      <c r="BJ58" s="463"/>
      <c r="BK58" s="463"/>
      <c r="BL58" s="463"/>
      <c r="BN58" s="463"/>
      <c r="BO58" s="463"/>
      <c r="BP58" s="463"/>
      <c r="BQ58" s="463"/>
      <c r="BR58" s="463"/>
      <c r="BT58" s="463"/>
      <c r="BU58" s="463"/>
      <c r="BV58" s="463"/>
      <c r="BX58" s="463"/>
      <c r="BY58" s="463"/>
      <c r="BZ58" s="463"/>
      <c r="CB58" s="463"/>
      <c r="CC58" s="463"/>
      <c r="CD58" s="463"/>
      <c r="CF58" s="463"/>
      <c r="CG58" s="463"/>
      <c r="CH58" s="463"/>
      <c r="CJ58" s="463"/>
      <c r="CK58" s="463"/>
      <c r="CM58" s="463"/>
      <c r="CO58" s="463"/>
      <c r="CP58" s="463"/>
      <c r="CQ58" s="463"/>
      <c r="CS58" s="463"/>
      <c r="CT58" s="463"/>
      <c r="CU58" s="463"/>
      <c r="CW58" s="463"/>
      <c r="CX58" s="463"/>
      <c r="CY58" s="463"/>
      <c r="DA58" s="463"/>
      <c r="DB58" s="463"/>
      <c r="DC58" s="463"/>
      <c r="DD58" s="463"/>
      <c r="DE58" s="463"/>
      <c r="DF58" s="463"/>
      <c r="DH58" s="463"/>
      <c r="DI58" s="463"/>
      <c r="DJ58" s="463"/>
      <c r="DL58" s="463"/>
      <c r="DM58" s="463"/>
      <c r="DN58" s="463"/>
      <c r="DO58" s="463"/>
      <c r="DP58" s="463"/>
      <c r="DR58" s="463"/>
      <c r="DS58" s="463"/>
      <c r="DT58" s="463"/>
      <c r="DV58" s="463"/>
      <c r="DW58" s="463"/>
      <c r="DX58" s="463"/>
      <c r="DZ58" s="463"/>
      <c r="EA58" s="463"/>
      <c r="EB58" s="463"/>
      <c r="ED58" s="463"/>
      <c r="EE58" s="463"/>
      <c r="EF58" s="463"/>
      <c r="EH58" s="463"/>
      <c r="EI58" s="463"/>
      <c r="EJ58" s="463"/>
      <c r="EK58" s="463"/>
      <c r="EL58" s="463"/>
      <c r="EN58" s="463"/>
      <c r="EO58" s="463"/>
      <c r="EP58" s="463"/>
      <c r="ER58" s="463"/>
      <c r="ES58" s="463"/>
      <c r="ET58" s="463"/>
      <c r="EV58" s="463"/>
      <c r="EW58" s="463"/>
      <c r="EY58" s="463"/>
      <c r="EZ58" s="463"/>
      <c r="FA58" s="463"/>
      <c r="FB58" s="463"/>
      <c r="FC58" s="463"/>
      <c r="FD58" s="463"/>
      <c r="FE58" s="463"/>
      <c r="FF58" s="463"/>
      <c r="FG58" s="463"/>
      <c r="FH58" s="463"/>
      <c r="FI58" s="463"/>
      <c r="FJ58" s="463"/>
      <c r="FK58" s="463"/>
      <c r="FL58" s="463"/>
      <c r="FM58" s="463"/>
      <c r="FN58" s="463"/>
      <c r="FO58" s="463"/>
      <c r="FP58" s="463"/>
      <c r="FQ58" s="463"/>
      <c r="FS58" s="463"/>
      <c r="FT58" s="463"/>
      <c r="FU58" s="463"/>
      <c r="FV58" s="463"/>
      <c r="FW58" s="463"/>
      <c r="FX58" s="463"/>
      <c r="FY58" s="463"/>
      <c r="FZ58" s="463"/>
    </row>
    <row r="59" spans="1:182" ht="25" customHeight="1">
      <c r="A59" s="420">
        <v>10</v>
      </c>
      <c r="B59" s="425">
        <v>3.8279999999999998</v>
      </c>
      <c r="C59" s="830"/>
      <c r="D59" s="448" t="s">
        <v>544</v>
      </c>
      <c r="E59" s="446">
        <f>E22</f>
        <v>10</v>
      </c>
      <c r="F59" s="446">
        <f>F22</f>
        <v>1.47</v>
      </c>
      <c r="G59" s="425"/>
      <c r="H59" s="420"/>
      <c r="I59" s="420"/>
      <c r="J59" s="420"/>
      <c r="K59" s="459"/>
      <c r="L59" s="393"/>
      <c r="M59" s="393"/>
      <c r="N59" s="393"/>
      <c r="O59" s="463"/>
      <c r="P59" s="463"/>
      <c r="Q59" s="463"/>
      <c r="R59" s="463"/>
      <c r="S59" s="463"/>
      <c r="T59" s="463"/>
      <c r="U59" s="463"/>
      <c r="V59" s="463"/>
      <c r="W59" s="463"/>
      <c r="X59" s="463"/>
      <c r="Y59" s="463"/>
      <c r="Z59" s="463"/>
      <c r="AA59" s="463"/>
      <c r="AB59" s="463"/>
      <c r="AD59" s="463"/>
      <c r="AE59" s="463"/>
      <c r="AG59" s="463"/>
      <c r="AI59" s="463"/>
      <c r="AJ59" s="463"/>
      <c r="AK59" s="463"/>
      <c r="AL59" s="463"/>
      <c r="AM59" s="463"/>
      <c r="AN59" s="463"/>
      <c r="AO59" s="463"/>
      <c r="AP59" s="463"/>
      <c r="AQ59" s="463"/>
      <c r="AR59" s="463"/>
      <c r="AS59" s="463"/>
      <c r="AT59" s="463"/>
      <c r="AU59" s="463"/>
      <c r="AV59" s="463"/>
      <c r="AX59" s="463"/>
      <c r="AY59" s="463"/>
      <c r="AZ59" s="463"/>
      <c r="BA59" s="463"/>
      <c r="BB59" s="463"/>
      <c r="BC59" s="463"/>
      <c r="BD59" s="463"/>
      <c r="BE59" s="463"/>
      <c r="BF59" s="463"/>
      <c r="BG59" s="463"/>
      <c r="BH59" s="463"/>
      <c r="BJ59" s="463"/>
      <c r="BK59" s="463"/>
      <c r="BL59" s="463"/>
      <c r="BN59" s="463"/>
      <c r="BO59" s="463"/>
      <c r="BP59" s="463"/>
      <c r="BQ59" s="463"/>
      <c r="BR59" s="463"/>
      <c r="BT59" s="463"/>
      <c r="BU59" s="463"/>
      <c r="BV59" s="463"/>
      <c r="BX59" s="463"/>
      <c r="BY59" s="463"/>
      <c r="BZ59" s="463"/>
      <c r="CB59" s="463"/>
      <c r="CC59" s="463"/>
      <c r="CD59" s="463"/>
      <c r="CF59" s="463"/>
      <c r="CG59" s="463"/>
      <c r="CH59" s="463"/>
      <c r="CJ59" s="463"/>
      <c r="CK59" s="463"/>
      <c r="CM59" s="463"/>
      <c r="CO59" s="463"/>
      <c r="CP59" s="463"/>
      <c r="CQ59" s="463"/>
      <c r="CS59" s="463"/>
      <c r="CT59" s="463"/>
      <c r="CU59" s="463"/>
      <c r="CW59" s="463"/>
      <c r="CX59" s="463"/>
      <c r="CY59" s="463"/>
      <c r="DA59" s="463"/>
      <c r="DB59" s="463"/>
      <c r="DC59" s="463"/>
      <c r="DD59" s="463"/>
      <c r="DE59" s="463"/>
      <c r="DF59" s="463"/>
      <c r="DH59" s="463"/>
      <c r="DI59" s="463"/>
      <c r="DJ59" s="463"/>
      <c r="DL59" s="463"/>
      <c r="DM59" s="463"/>
      <c r="DN59" s="463"/>
      <c r="DO59" s="463"/>
      <c r="DP59" s="463"/>
      <c r="DR59" s="463"/>
      <c r="DS59" s="463"/>
      <c r="DT59" s="463"/>
      <c r="DV59" s="463"/>
      <c r="DW59" s="463"/>
      <c r="DX59" s="463"/>
      <c r="DZ59" s="463"/>
      <c r="EA59" s="463"/>
      <c r="EB59" s="463"/>
      <c r="ED59" s="463"/>
      <c r="EE59" s="463"/>
      <c r="EF59" s="463"/>
      <c r="EH59" s="463"/>
      <c r="EI59" s="463"/>
      <c r="EJ59" s="463"/>
      <c r="EK59" s="463"/>
      <c r="EL59" s="463"/>
      <c r="EN59" s="463"/>
      <c r="EO59" s="463"/>
      <c r="EP59" s="463"/>
      <c r="ER59" s="463"/>
      <c r="ES59" s="463"/>
      <c r="ET59" s="463"/>
      <c r="EV59" s="463"/>
      <c r="EW59" s="463"/>
      <c r="EY59" s="463"/>
      <c r="EZ59" s="463"/>
      <c r="FA59" s="463"/>
      <c r="FB59" s="463"/>
      <c r="FC59" s="463"/>
      <c r="FD59" s="463"/>
      <c r="FE59" s="463"/>
      <c r="FF59" s="463"/>
      <c r="FG59" s="463"/>
      <c r="FH59" s="463"/>
      <c r="FI59" s="463"/>
      <c r="FJ59" s="463"/>
      <c r="FK59" s="463"/>
      <c r="FL59" s="463"/>
      <c r="FM59" s="463"/>
      <c r="FN59" s="463"/>
      <c r="FO59" s="463"/>
      <c r="FP59" s="463"/>
      <c r="FQ59" s="463"/>
      <c r="FS59" s="463"/>
      <c r="FT59" s="463"/>
      <c r="FU59" s="463"/>
      <c r="FV59" s="463"/>
      <c r="FW59" s="463"/>
      <c r="FX59" s="463"/>
      <c r="FY59" s="463"/>
      <c r="FZ59" s="463"/>
    </row>
    <row r="60" spans="1:182" ht="25" customHeight="1">
      <c r="A60" s="420">
        <v>14</v>
      </c>
      <c r="B60" s="425">
        <v>4.3738999999999999</v>
      </c>
      <c r="C60" s="830"/>
      <c r="D60" s="450" t="s">
        <v>545</v>
      </c>
      <c r="E60" s="421">
        <f>E32</f>
        <v>5</v>
      </c>
      <c r="F60" s="421">
        <f>F32</f>
        <v>2</v>
      </c>
      <c r="G60" s="420"/>
      <c r="H60" s="820" t="s">
        <v>546</v>
      </c>
      <c r="I60" s="421" t="s">
        <v>540</v>
      </c>
      <c r="J60" s="421">
        <v>0.995</v>
      </c>
      <c r="K60" s="459"/>
      <c r="L60" s="393"/>
      <c r="M60" s="393"/>
      <c r="N60" s="393"/>
      <c r="O60" s="463"/>
      <c r="P60" s="463"/>
      <c r="Q60" s="463"/>
      <c r="R60" s="463"/>
      <c r="S60" s="463"/>
      <c r="T60" s="463"/>
      <c r="U60" s="463"/>
      <c r="V60" s="463"/>
      <c r="W60" s="463"/>
      <c r="X60" s="463"/>
      <c r="Y60" s="463"/>
      <c r="Z60" s="463"/>
      <c r="AA60" s="463"/>
      <c r="AB60" s="463"/>
      <c r="AD60" s="463"/>
      <c r="AE60" s="463"/>
      <c r="AG60" s="463"/>
      <c r="AI60" s="463"/>
      <c r="AJ60" s="463"/>
      <c r="AK60" s="463"/>
      <c r="AL60" s="463"/>
      <c r="AM60" s="463"/>
      <c r="AN60" s="463"/>
      <c r="AO60" s="463"/>
      <c r="AP60" s="463"/>
      <c r="AQ60" s="463"/>
      <c r="AR60" s="463"/>
      <c r="AS60" s="463"/>
      <c r="AT60" s="463"/>
      <c r="AU60" s="463"/>
      <c r="AV60" s="463"/>
      <c r="AX60" s="463"/>
      <c r="AY60" s="463"/>
      <c r="AZ60" s="463"/>
      <c r="BA60" s="463"/>
      <c r="BB60" s="463"/>
      <c r="BC60" s="463"/>
      <c r="BD60" s="463"/>
      <c r="BE60" s="463"/>
      <c r="BF60" s="463"/>
      <c r="BG60" s="463"/>
      <c r="BH60" s="463"/>
      <c r="BJ60" s="463"/>
      <c r="BK60" s="463"/>
      <c r="BL60" s="463"/>
      <c r="BN60" s="463"/>
      <c r="BO60" s="463"/>
      <c r="BP60" s="463"/>
      <c r="BQ60" s="463"/>
      <c r="BR60" s="463"/>
      <c r="BT60" s="463"/>
      <c r="BU60" s="463"/>
      <c r="BV60" s="463"/>
      <c r="BX60" s="463"/>
      <c r="BY60" s="463"/>
      <c r="BZ60" s="463"/>
      <c r="CB60" s="463"/>
      <c r="CC60" s="463"/>
      <c r="CD60" s="463"/>
      <c r="CF60" s="463"/>
      <c r="CG60" s="463"/>
      <c r="CH60" s="463"/>
      <c r="CJ60" s="463"/>
      <c r="CK60" s="463"/>
      <c r="CM60" s="463"/>
      <c r="CO60" s="463"/>
      <c r="CP60" s="463"/>
      <c r="CQ60" s="463"/>
      <c r="CS60" s="463"/>
      <c r="CT60" s="463"/>
      <c r="CU60" s="463"/>
      <c r="CW60" s="463"/>
      <c r="CX60" s="463"/>
      <c r="CY60" s="463"/>
      <c r="DA60" s="463"/>
      <c r="DB60" s="463"/>
      <c r="DC60" s="463"/>
      <c r="DD60" s="463"/>
      <c r="DE60" s="463"/>
      <c r="DF60" s="463"/>
      <c r="DH60" s="463"/>
      <c r="DI60" s="463"/>
      <c r="DJ60" s="463"/>
      <c r="DL60" s="463"/>
      <c r="DM60" s="463"/>
      <c r="DN60" s="463"/>
      <c r="DO60" s="463"/>
      <c r="DP60" s="463"/>
      <c r="DR60" s="463"/>
      <c r="DS60" s="463"/>
      <c r="DT60" s="463"/>
      <c r="DV60" s="463"/>
      <c r="DW60" s="463"/>
      <c r="DX60" s="463"/>
      <c r="DZ60" s="463"/>
      <c r="EA60" s="463"/>
      <c r="EB60" s="463"/>
      <c r="ED60" s="463"/>
      <c r="EE60" s="463"/>
      <c r="EF60" s="463"/>
      <c r="EH60" s="463"/>
      <c r="EI60" s="463"/>
      <c r="EJ60" s="463"/>
      <c r="EK60" s="463"/>
      <c r="EL60" s="463"/>
      <c r="EN60" s="463"/>
      <c r="EO60" s="463"/>
      <c r="EP60" s="463"/>
      <c r="ER60" s="463"/>
      <c r="ES60" s="463"/>
      <c r="ET60" s="463"/>
      <c r="EV60" s="463"/>
      <c r="EW60" s="463"/>
      <c r="EY60" s="463"/>
      <c r="EZ60" s="463"/>
      <c r="FA60" s="463"/>
      <c r="FB60" s="463"/>
      <c r="FC60" s="463"/>
      <c r="FD60" s="463"/>
      <c r="FE60" s="463"/>
      <c r="FF60" s="463"/>
      <c r="FG60" s="463"/>
      <c r="FH60" s="463"/>
      <c r="FI60" s="463"/>
      <c r="FJ60" s="463"/>
      <c r="FK60" s="463"/>
      <c r="FL60" s="463"/>
      <c r="FM60" s="463"/>
      <c r="FN60" s="463"/>
      <c r="FO60" s="463"/>
      <c r="FP60" s="463"/>
      <c r="FQ60" s="463"/>
      <c r="FS60" s="463"/>
      <c r="FT60" s="463"/>
      <c r="FU60" s="463"/>
      <c r="FV60" s="463"/>
      <c r="FW60" s="463"/>
      <c r="FX60" s="463"/>
      <c r="FY60" s="463"/>
      <c r="FZ60" s="463"/>
    </row>
    <row r="61" spans="1:182" ht="25" customHeight="1">
      <c r="A61" s="420">
        <v>19</v>
      </c>
      <c r="B61" s="440">
        <v>4.8636999999999997</v>
      </c>
      <c r="C61" s="830"/>
      <c r="D61" s="425"/>
      <c r="E61" s="421"/>
      <c r="F61" s="421"/>
      <c r="G61" s="420"/>
      <c r="H61" s="821"/>
      <c r="I61" s="421" t="s">
        <v>446</v>
      </c>
      <c r="J61" s="454">
        <v>0.08</v>
      </c>
      <c r="K61" s="459"/>
      <c r="L61" s="393"/>
      <c r="M61" s="393"/>
      <c r="N61" s="393"/>
      <c r="O61" s="463"/>
      <c r="P61" s="463"/>
      <c r="Q61" s="463"/>
      <c r="R61" s="463"/>
      <c r="S61" s="463"/>
      <c r="T61" s="463"/>
      <c r="U61" s="463"/>
      <c r="V61" s="463"/>
      <c r="W61" s="463"/>
      <c r="X61" s="463"/>
      <c r="Y61" s="463"/>
      <c r="Z61" s="463"/>
      <c r="AA61" s="463"/>
      <c r="AB61" s="463"/>
      <c r="AD61" s="463"/>
      <c r="AE61" s="463"/>
      <c r="AG61" s="463"/>
      <c r="AI61" s="463"/>
      <c r="AJ61" s="463"/>
      <c r="AK61" s="463"/>
      <c r="AL61" s="463"/>
      <c r="AM61" s="463"/>
      <c r="AN61" s="463"/>
      <c r="AO61" s="463"/>
      <c r="AP61" s="463"/>
      <c r="AQ61" s="463"/>
      <c r="AR61" s="463"/>
      <c r="AS61" s="463"/>
      <c r="AT61" s="463"/>
      <c r="AU61" s="463"/>
      <c r="AV61" s="463"/>
      <c r="AX61" s="463"/>
      <c r="AY61" s="463"/>
      <c r="AZ61" s="463"/>
      <c r="BA61" s="463"/>
      <c r="BB61" s="463"/>
      <c r="BC61" s="463"/>
      <c r="BD61" s="463"/>
      <c r="BE61" s="463"/>
      <c r="BF61" s="463"/>
      <c r="BG61" s="463"/>
      <c r="BH61" s="463"/>
      <c r="BJ61" s="463"/>
      <c r="BK61" s="463"/>
      <c r="BL61" s="463"/>
      <c r="BN61" s="463"/>
      <c r="BO61" s="463"/>
      <c r="BP61" s="463"/>
      <c r="BQ61" s="463"/>
      <c r="BR61" s="463"/>
      <c r="BT61" s="463"/>
      <c r="BU61" s="463"/>
      <c r="BV61" s="463"/>
      <c r="BX61" s="463"/>
      <c r="BY61" s="463"/>
      <c r="BZ61" s="463"/>
      <c r="CB61" s="463"/>
      <c r="CC61" s="463"/>
      <c r="CD61" s="463"/>
      <c r="CF61" s="463"/>
      <c r="CG61" s="463"/>
      <c r="CH61" s="463"/>
      <c r="CJ61" s="463"/>
      <c r="CK61" s="463"/>
      <c r="CM61" s="463"/>
      <c r="CO61" s="463"/>
      <c r="CP61" s="463"/>
      <c r="CQ61" s="463"/>
      <c r="CS61" s="463"/>
      <c r="CT61" s="463"/>
      <c r="CU61" s="463"/>
      <c r="CW61" s="463"/>
      <c r="CX61" s="463"/>
      <c r="CY61" s="463"/>
      <c r="DA61" s="463"/>
      <c r="DB61" s="463"/>
      <c r="DC61" s="463"/>
      <c r="DD61" s="463"/>
      <c r="DE61" s="463"/>
      <c r="DF61" s="463"/>
      <c r="DH61" s="463"/>
      <c r="DI61" s="463"/>
      <c r="DJ61" s="463"/>
      <c r="DL61" s="463"/>
      <c r="DM61" s="463"/>
      <c r="DN61" s="463"/>
      <c r="DO61" s="463"/>
      <c r="DP61" s="463"/>
      <c r="DR61" s="463"/>
      <c r="DS61" s="463"/>
      <c r="DT61" s="463"/>
      <c r="DV61" s="463"/>
      <c r="DW61" s="463"/>
      <c r="DX61" s="463"/>
      <c r="DZ61" s="463"/>
      <c r="EA61" s="463"/>
      <c r="EB61" s="463"/>
      <c r="ED61" s="463"/>
      <c r="EE61" s="463"/>
      <c r="EF61" s="463"/>
      <c r="EH61" s="463"/>
      <c r="EI61" s="463"/>
      <c r="EJ61" s="463"/>
      <c r="EK61" s="463"/>
      <c r="EL61" s="463"/>
      <c r="EN61" s="463"/>
      <c r="EO61" s="463"/>
      <c r="EP61" s="463"/>
      <c r="ER61" s="463"/>
      <c r="ES61" s="463"/>
      <c r="ET61" s="463"/>
      <c r="EV61" s="463"/>
      <c r="EW61" s="463"/>
      <c r="EY61" s="463"/>
      <c r="EZ61" s="463"/>
      <c r="FA61" s="463"/>
      <c r="FB61" s="463"/>
      <c r="FC61" s="463"/>
      <c r="FD61" s="463"/>
      <c r="FE61" s="463"/>
      <c r="FF61" s="463"/>
      <c r="FG61" s="463"/>
      <c r="FH61" s="463"/>
      <c r="FI61" s="463"/>
      <c r="FJ61" s="463"/>
      <c r="FK61" s="463"/>
      <c r="FL61" s="463"/>
      <c r="FM61" s="463"/>
      <c r="FN61" s="463"/>
      <c r="FO61" s="463"/>
      <c r="FP61" s="463"/>
      <c r="FQ61" s="463"/>
      <c r="FS61" s="463"/>
      <c r="FT61" s="463"/>
      <c r="FU61" s="463"/>
      <c r="FV61" s="463"/>
      <c r="FW61" s="463"/>
      <c r="FX61" s="463"/>
      <c r="FY61" s="463"/>
      <c r="FZ61" s="463"/>
    </row>
    <row r="62" spans="1:182" ht="25" customHeight="1">
      <c r="A62" s="420">
        <v>24</v>
      </c>
      <c r="B62" s="440">
        <v>5.77</v>
      </c>
      <c r="C62" s="830"/>
      <c r="D62" s="444" t="s">
        <v>547</v>
      </c>
      <c r="E62" s="69">
        <v>7.9</v>
      </c>
      <c r="F62" s="421">
        <v>3.58</v>
      </c>
      <c r="G62" s="420"/>
      <c r="H62" s="821"/>
      <c r="I62" s="421" t="s">
        <v>450</v>
      </c>
      <c r="J62" s="465">
        <v>0</v>
      </c>
      <c r="K62" s="459"/>
      <c r="L62" s="393"/>
      <c r="M62" s="393"/>
      <c r="N62" s="393"/>
      <c r="O62" s="463"/>
      <c r="P62" s="463"/>
      <c r="Q62" s="463"/>
      <c r="R62" s="463"/>
      <c r="S62" s="463"/>
      <c r="T62" s="463"/>
      <c r="U62" s="463"/>
      <c r="V62" s="463"/>
      <c r="W62" s="463"/>
      <c r="X62" s="463"/>
      <c r="Y62" s="463"/>
      <c r="Z62" s="463"/>
      <c r="AA62" s="463"/>
      <c r="AB62" s="463"/>
      <c r="AD62" s="463"/>
      <c r="AE62" s="463"/>
      <c r="AG62" s="463"/>
      <c r="AI62" s="463"/>
      <c r="AJ62" s="463"/>
      <c r="AK62" s="463"/>
      <c r="AL62" s="463"/>
      <c r="AM62" s="463"/>
      <c r="AN62" s="463"/>
      <c r="AO62" s="463"/>
      <c r="AP62" s="463"/>
      <c r="AQ62" s="463"/>
      <c r="AR62" s="463"/>
      <c r="AS62" s="463"/>
      <c r="AT62" s="463"/>
      <c r="AU62" s="463"/>
      <c r="AV62" s="463"/>
      <c r="AX62" s="463"/>
      <c r="AY62" s="463"/>
      <c r="AZ62" s="463"/>
      <c r="BA62" s="463"/>
      <c r="BB62" s="463"/>
      <c r="BC62" s="463"/>
      <c r="BD62" s="463"/>
      <c r="BE62" s="463"/>
      <c r="BF62" s="463"/>
      <c r="BG62" s="463"/>
      <c r="BH62" s="463"/>
      <c r="BJ62" s="463"/>
      <c r="BK62" s="463"/>
      <c r="BL62" s="463"/>
      <c r="BN62" s="463"/>
      <c r="BO62" s="463"/>
      <c r="BP62" s="463"/>
      <c r="BQ62" s="463"/>
      <c r="BR62" s="463"/>
      <c r="BT62" s="463"/>
      <c r="BU62" s="463"/>
      <c r="BV62" s="463"/>
      <c r="BX62" s="463"/>
      <c r="BY62" s="463"/>
      <c r="BZ62" s="463"/>
      <c r="CB62" s="463"/>
      <c r="CC62" s="463"/>
      <c r="CD62" s="463"/>
      <c r="CF62" s="463"/>
      <c r="CG62" s="463"/>
      <c r="CH62" s="463"/>
      <c r="CJ62" s="463"/>
      <c r="CK62" s="463"/>
      <c r="CM62" s="463"/>
      <c r="CO62" s="463"/>
      <c r="CP62" s="463"/>
      <c r="CQ62" s="463"/>
      <c r="CS62" s="463"/>
      <c r="CT62" s="463"/>
      <c r="CU62" s="463"/>
      <c r="CW62" s="463"/>
      <c r="CX62" s="463"/>
      <c r="CY62" s="463"/>
      <c r="DA62" s="463"/>
      <c r="DB62" s="463"/>
      <c r="DC62" s="463"/>
      <c r="DD62" s="463"/>
      <c r="DE62" s="463"/>
      <c r="DF62" s="463"/>
      <c r="DH62" s="463"/>
      <c r="DI62" s="463"/>
      <c r="DJ62" s="463"/>
      <c r="DL62" s="463"/>
      <c r="DM62" s="463"/>
      <c r="DN62" s="463"/>
      <c r="DO62" s="463"/>
      <c r="DP62" s="463"/>
      <c r="DR62" s="463"/>
      <c r="DS62" s="463"/>
      <c r="DT62" s="463"/>
      <c r="DV62" s="463"/>
      <c r="DW62" s="463"/>
      <c r="DX62" s="463"/>
      <c r="DZ62" s="463"/>
      <c r="EA62" s="463"/>
      <c r="EB62" s="463"/>
      <c r="ED62" s="463"/>
      <c r="EE62" s="463"/>
      <c r="EF62" s="463"/>
      <c r="EH62" s="463"/>
      <c r="EI62" s="463"/>
      <c r="EJ62" s="463"/>
      <c r="EK62" s="463"/>
      <c r="EL62" s="463"/>
      <c r="EN62" s="463"/>
      <c r="EO62" s="463"/>
      <c r="EP62" s="463"/>
      <c r="ER62" s="463"/>
      <c r="ES62" s="463"/>
      <c r="ET62" s="463"/>
      <c r="EV62" s="463"/>
      <c r="EW62" s="463"/>
      <c r="EY62" s="463"/>
      <c r="EZ62" s="463"/>
      <c r="FA62" s="463"/>
      <c r="FB62" s="463"/>
      <c r="FC62" s="463"/>
      <c r="FD62" s="463"/>
      <c r="FE62" s="463"/>
      <c r="FF62" s="463"/>
      <c r="FG62" s="463"/>
      <c r="FH62" s="463"/>
      <c r="FI62" s="463"/>
      <c r="FJ62" s="463"/>
      <c r="FK62" s="463"/>
      <c r="FL62" s="463"/>
      <c r="FM62" s="463"/>
      <c r="FN62" s="463"/>
      <c r="FO62" s="463"/>
      <c r="FP62" s="463"/>
      <c r="FQ62" s="463"/>
      <c r="FS62" s="463"/>
      <c r="FT62" s="463"/>
      <c r="FU62" s="463"/>
      <c r="FV62" s="463"/>
      <c r="FW62" s="463"/>
      <c r="FX62" s="463"/>
      <c r="FY62" s="463"/>
      <c r="FZ62" s="463"/>
    </row>
    <row r="63" spans="1:182" ht="25" customHeight="1">
      <c r="A63" s="420">
        <v>30</v>
      </c>
      <c r="B63" s="440">
        <v>6.37</v>
      </c>
      <c r="C63" s="425"/>
      <c r="D63" s="425"/>
      <c r="E63" s="425"/>
      <c r="F63" s="425"/>
      <c r="G63" s="420"/>
      <c r="H63" s="822"/>
      <c r="I63" s="421"/>
      <c r="J63" s="465"/>
      <c r="K63" s="463"/>
      <c r="L63" s="393"/>
      <c r="M63" s="393"/>
      <c r="N63" s="393"/>
      <c r="O63" s="463"/>
      <c r="P63" s="463"/>
      <c r="Q63" s="463"/>
      <c r="R63" s="463"/>
      <c r="S63" s="463"/>
      <c r="T63" s="463"/>
      <c r="U63" s="463"/>
      <c r="V63" s="463"/>
      <c r="W63" s="463"/>
      <c r="X63" s="463"/>
      <c r="Y63" s="463"/>
      <c r="Z63" s="463"/>
      <c r="AA63" s="463"/>
      <c r="AB63" s="463"/>
      <c r="AD63" s="463"/>
      <c r="AE63" s="463"/>
      <c r="AG63" s="463"/>
      <c r="AI63" s="463"/>
      <c r="AJ63" s="463"/>
      <c r="AK63" s="463"/>
      <c r="AM63" s="463"/>
      <c r="AN63" s="463"/>
      <c r="AO63" s="463"/>
      <c r="AQ63" s="463"/>
      <c r="AR63" s="463"/>
      <c r="AS63" s="463"/>
      <c r="AT63" s="463"/>
      <c r="AU63" s="463"/>
      <c r="AV63" s="463"/>
      <c r="AX63" s="463"/>
      <c r="AY63" s="463"/>
      <c r="AZ63" s="463"/>
      <c r="BB63" s="463"/>
      <c r="BC63" s="463"/>
      <c r="BD63" s="463"/>
      <c r="BF63" s="463"/>
      <c r="BG63" s="463"/>
      <c r="BH63" s="463"/>
      <c r="BJ63" s="463"/>
      <c r="BK63" s="463"/>
      <c r="BL63" s="463"/>
      <c r="BN63" s="463"/>
      <c r="BO63" s="463"/>
      <c r="BP63" s="463"/>
      <c r="BQ63" s="463"/>
      <c r="BR63" s="463"/>
      <c r="BT63" s="463"/>
      <c r="BU63" s="463"/>
      <c r="BV63" s="463"/>
      <c r="BX63" s="463"/>
      <c r="BY63" s="463"/>
      <c r="BZ63" s="463"/>
      <c r="CB63" s="463"/>
      <c r="CC63" s="463"/>
      <c r="CD63" s="463"/>
      <c r="CF63" s="463"/>
      <c r="CG63" s="463"/>
      <c r="CH63" s="463"/>
      <c r="CJ63" s="463"/>
      <c r="CK63" s="463"/>
      <c r="CM63" s="463"/>
      <c r="CO63" s="463"/>
      <c r="CP63" s="463"/>
      <c r="CQ63" s="463"/>
      <c r="CS63" s="463"/>
      <c r="CT63" s="463"/>
      <c r="CU63" s="463"/>
      <c r="CW63" s="463"/>
      <c r="CX63" s="463"/>
      <c r="CY63" s="463"/>
      <c r="DA63" s="463"/>
      <c r="DB63" s="463"/>
      <c r="DC63" s="463"/>
      <c r="DD63" s="463"/>
      <c r="DE63" s="463"/>
      <c r="DF63" s="463"/>
      <c r="DH63" s="463"/>
      <c r="DI63" s="463"/>
      <c r="DJ63" s="463"/>
      <c r="DL63" s="463"/>
      <c r="DM63" s="463"/>
      <c r="DN63" s="463"/>
      <c r="DO63" s="463"/>
      <c r="DP63" s="463"/>
      <c r="DR63" s="463"/>
      <c r="DS63" s="463"/>
      <c r="DT63" s="463"/>
      <c r="DV63" s="463"/>
      <c r="DW63" s="463"/>
      <c r="DX63" s="463"/>
      <c r="DZ63" s="463"/>
      <c r="EA63" s="463"/>
      <c r="EB63" s="463"/>
      <c r="ED63" s="463"/>
      <c r="EE63" s="463"/>
      <c r="EF63" s="463"/>
      <c r="EH63" s="463"/>
      <c r="EI63" s="463"/>
      <c r="EJ63" s="463"/>
      <c r="EK63" s="463"/>
      <c r="EL63" s="463"/>
      <c r="EN63" s="463"/>
      <c r="EO63" s="463"/>
      <c r="EP63" s="463"/>
      <c r="ER63" s="463"/>
      <c r="ES63" s="463"/>
      <c r="ET63" s="463"/>
      <c r="EV63" s="463"/>
      <c r="EW63" s="463"/>
      <c r="EY63" s="463"/>
      <c r="EZ63" s="463"/>
      <c r="FA63" s="463"/>
      <c r="FB63" s="463"/>
      <c r="FC63" s="463"/>
      <c r="FD63" s="463"/>
      <c r="FE63" s="463"/>
      <c r="FF63" s="463"/>
      <c r="FG63" s="463"/>
      <c r="FH63" s="463"/>
      <c r="FI63" s="463"/>
      <c r="FJ63" s="463"/>
      <c r="FK63" s="463"/>
      <c r="FL63" s="463"/>
      <c r="FM63" s="463"/>
      <c r="FN63" s="463"/>
      <c r="FO63" s="463"/>
      <c r="FP63" s="463"/>
      <c r="FQ63" s="463"/>
      <c r="FS63" s="463"/>
      <c r="FT63" s="463"/>
      <c r="FU63" s="463"/>
      <c r="FV63" s="463"/>
      <c r="FW63" s="463"/>
      <c r="FX63" s="463"/>
      <c r="FY63" s="463"/>
      <c r="FZ63" s="463"/>
    </row>
    <row r="64" spans="1:182" ht="25" customHeight="1">
      <c r="A64" s="420">
        <v>37</v>
      </c>
      <c r="B64" s="440">
        <v>6.8186260000000001</v>
      </c>
      <c r="C64" s="393"/>
      <c r="D64" s="393"/>
      <c r="E64" s="393"/>
      <c r="F64" s="393"/>
      <c r="G64" s="420"/>
      <c r="H64" s="420"/>
      <c r="I64" s="420"/>
      <c r="J64" s="420"/>
      <c r="K64" s="463"/>
      <c r="L64" s="393"/>
      <c r="M64" s="393"/>
      <c r="N64" s="393"/>
      <c r="O64" s="463"/>
      <c r="P64" s="463"/>
      <c r="Q64" s="463"/>
      <c r="R64" s="463"/>
      <c r="S64" s="463"/>
      <c r="T64" s="463"/>
      <c r="U64" s="463"/>
      <c r="V64" s="463"/>
      <c r="W64" s="463"/>
      <c r="X64" s="463"/>
      <c r="Y64" s="463"/>
      <c r="Z64" s="463"/>
      <c r="AA64" s="463"/>
      <c r="AB64" s="463"/>
      <c r="AD64" s="463"/>
      <c r="AE64" s="463"/>
      <c r="AG64" s="463"/>
      <c r="AI64" s="463"/>
      <c r="AJ64" s="463"/>
      <c r="AK64" s="463"/>
      <c r="AM64" s="463"/>
      <c r="AN64" s="463"/>
      <c r="AO64" s="463"/>
      <c r="AQ64" s="463"/>
      <c r="AR64" s="463"/>
      <c r="AS64" s="463"/>
      <c r="AT64" s="463"/>
      <c r="AU64" s="463"/>
      <c r="AV64" s="463"/>
      <c r="AX64" s="463"/>
      <c r="AY64" s="463"/>
      <c r="AZ64" s="463"/>
      <c r="BB64" s="463"/>
      <c r="BC64" s="463"/>
      <c r="BD64" s="463"/>
      <c r="BF64" s="463"/>
      <c r="BG64" s="463"/>
      <c r="BH64" s="463"/>
      <c r="BJ64" s="463"/>
      <c r="BK64" s="463"/>
      <c r="BL64" s="463"/>
      <c r="BN64" s="463"/>
      <c r="BO64" s="463"/>
      <c r="BP64" s="463"/>
      <c r="BQ64" s="463"/>
      <c r="BR64" s="463"/>
      <c r="BT64" s="463"/>
      <c r="BU64" s="463"/>
      <c r="BV64" s="463"/>
      <c r="BX64" s="463"/>
      <c r="BY64" s="463"/>
      <c r="BZ64" s="463"/>
      <c r="CB64" s="463"/>
      <c r="CC64" s="463"/>
      <c r="CD64" s="463"/>
      <c r="CF64" s="463"/>
      <c r="CG64" s="463"/>
      <c r="CH64" s="463"/>
      <c r="CJ64" s="463"/>
      <c r="CK64" s="463"/>
      <c r="CM64" s="463"/>
      <c r="CO64" s="463"/>
      <c r="CP64" s="463"/>
      <c r="CQ64" s="463"/>
      <c r="CS64" s="463"/>
      <c r="CT64" s="463"/>
      <c r="CU64" s="463"/>
      <c r="CW64" s="463"/>
      <c r="CX64" s="463"/>
      <c r="CY64" s="463"/>
      <c r="DA64" s="463"/>
      <c r="DB64" s="463"/>
      <c r="DC64" s="463"/>
      <c r="DD64" s="463"/>
      <c r="DE64" s="463"/>
      <c r="DF64" s="463"/>
      <c r="DH64" s="463"/>
      <c r="DI64" s="463"/>
      <c r="DJ64" s="463"/>
      <c r="DL64" s="463"/>
      <c r="DM64" s="463"/>
      <c r="DN64" s="463"/>
      <c r="DO64" s="463"/>
      <c r="DP64" s="463"/>
      <c r="DR64" s="463"/>
      <c r="DS64" s="463"/>
      <c r="DT64" s="463"/>
      <c r="DV64" s="463"/>
      <c r="DW64" s="463"/>
      <c r="DX64" s="463"/>
      <c r="DZ64" s="463"/>
      <c r="EA64" s="463"/>
      <c r="EB64" s="463"/>
      <c r="ED64" s="463"/>
      <c r="EE64" s="463"/>
      <c r="EF64" s="463"/>
      <c r="EH64" s="463"/>
      <c r="EI64" s="463"/>
      <c r="EJ64" s="463"/>
      <c r="EK64" s="463"/>
      <c r="EL64" s="463"/>
      <c r="EN64" s="463"/>
      <c r="EO64" s="463"/>
      <c r="EP64" s="463"/>
      <c r="ER64" s="463"/>
      <c r="ES64" s="463"/>
      <c r="ET64" s="463"/>
      <c r="EV64" s="463"/>
      <c r="EW64" s="463"/>
      <c r="EY64" s="463"/>
      <c r="EZ64" s="463"/>
      <c r="FA64" s="463"/>
      <c r="FB64" s="463"/>
      <c r="FC64" s="463"/>
      <c r="FD64" s="463"/>
      <c r="FE64" s="463"/>
      <c r="FF64" s="463"/>
      <c r="FG64" s="463"/>
      <c r="FH64" s="463"/>
      <c r="FI64" s="463"/>
      <c r="FJ64" s="463"/>
      <c r="FK64" s="463"/>
      <c r="FL64" s="463"/>
      <c r="FM64" s="463"/>
      <c r="FN64" s="463"/>
      <c r="FO64" s="463"/>
      <c r="FP64" s="463"/>
      <c r="FQ64" s="463"/>
      <c r="FS64" s="463"/>
      <c r="FT64" s="463"/>
      <c r="FU64" s="463"/>
      <c r="FV64" s="463"/>
      <c r="FW64" s="463"/>
      <c r="FX64" s="463"/>
      <c r="FY64" s="463"/>
      <c r="FZ64" s="463"/>
    </row>
    <row r="65" spans="1:182" ht="25" customHeight="1">
      <c r="A65" s="420">
        <v>48</v>
      </c>
      <c r="B65" s="440">
        <v>7.8658000000000001</v>
      </c>
      <c r="C65" s="393"/>
      <c r="D65" s="393"/>
      <c r="E65" s="393"/>
      <c r="F65" s="393"/>
      <c r="G65" s="420"/>
      <c r="H65" s="831" t="s">
        <v>548</v>
      </c>
      <c r="I65" s="421" t="s">
        <v>549</v>
      </c>
      <c r="J65" s="421">
        <v>0.995</v>
      </c>
      <c r="K65" s="463"/>
      <c r="L65" s="393"/>
      <c r="M65" s="393"/>
      <c r="N65" s="393"/>
      <c r="O65" s="463"/>
      <c r="P65" s="463"/>
      <c r="Q65" s="463"/>
      <c r="R65" s="463"/>
      <c r="S65" s="463"/>
      <c r="T65" s="463"/>
      <c r="U65" s="463"/>
      <c r="V65" s="463"/>
      <c r="W65" s="463"/>
      <c r="X65" s="463"/>
      <c r="Y65" s="463"/>
      <c r="Z65" s="463"/>
      <c r="AA65" s="463"/>
      <c r="AB65" s="463"/>
      <c r="AD65" s="463"/>
      <c r="AE65" s="463"/>
      <c r="AG65" s="463"/>
      <c r="AI65" s="463"/>
      <c r="AJ65" s="463"/>
      <c r="AK65" s="463"/>
      <c r="AM65" s="463"/>
      <c r="AN65" s="463"/>
      <c r="AO65" s="463"/>
      <c r="AQ65" s="463"/>
      <c r="AR65" s="463"/>
      <c r="AS65" s="463"/>
      <c r="AT65" s="463"/>
      <c r="AU65" s="463"/>
      <c r="AV65" s="463"/>
      <c r="AX65" s="463"/>
      <c r="AY65" s="463"/>
      <c r="AZ65" s="463"/>
      <c r="BB65" s="463"/>
      <c r="BC65" s="463"/>
      <c r="BD65" s="463"/>
      <c r="BF65" s="463"/>
      <c r="BG65" s="463"/>
      <c r="BH65" s="463"/>
      <c r="BJ65" s="463"/>
      <c r="BK65" s="463"/>
      <c r="BL65" s="463"/>
      <c r="BN65" s="463"/>
      <c r="BO65" s="463"/>
      <c r="BP65" s="463"/>
      <c r="BQ65" s="463"/>
      <c r="BR65" s="463"/>
      <c r="BT65" s="463"/>
      <c r="BU65" s="463"/>
      <c r="BV65" s="463"/>
      <c r="BX65" s="463"/>
      <c r="BY65" s="463"/>
      <c r="BZ65" s="463"/>
      <c r="CB65" s="463"/>
      <c r="CC65" s="463"/>
      <c r="CD65" s="463"/>
      <c r="CF65" s="463"/>
      <c r="CG65" s="463"/>
      <c r="CH65" s="463"/>
      <c r="CJ65" s="463"/>
      <c r="CK65" s="463"/>
      <c r="CM65" s="463"/>
      <c r="CO65" s="463"/>
      <c r="CP65" s="463"/>
      <c r="CQ65" s="463"/>
      <c r="CS65" s="463"/>
      <c r="CT65" s="463"/>
      <c r="CU65" s="463"/>
      <c r="CW65" s="463"/>
      <c r="CX65" s="463"/>
      <c r="CY65" s="463"/>
      <c r="DA65" s="463"/>
      <c r="DB65" s="463"/>
      <c r="DC65" s="463"/>
      <c r="DD65" s="463"/>
      <c r="DE65" s="463"/>
      <c r="DF65" s="463"/>
      <c r="DH65" s="463"/>
      <c r="DI65" s="463"/>
      <c r="DJ65" s="463"/>
      <c r="DL65" s="463"/>
      <c r="DM65" s="463"/>
      <c r="DN65" s="463"/>
      <c r="DO65" s="463"/>
      <c r="DP65" s="463"/>
      <c r="DR65" s="463"/>
      <c r="DS65" s="463"/>
      <c r="DT65" s="463"/>
      <c r="DV65" s="463"/>
      <c r="DW65" s="463"/>
      <c r="DX65" s="463"/>
      <c r="DZ65" s="463"/>
      <c r="EA65" s="463"/>
      <c r="EB65" s="463"/>
      <c r="ED65" s="463"/>
      <c r="EE65" s="463"/>
      <c r="EF65" s="463"/>
      <c r="EH65" s="463"/>
      <c r="EI65" s="463"/>
      <c r="EJ65" s="463"/>
      <c r="EK65" s="463"/>
      <c r="EL65" s="463"/>
      <c r="EN65" s="463"/>
      <c r="EO65" s="463"/>
      <c r="EP65" s="463"/>
      <c r="ER65" s="463"/>
      <c r="ES65" s="463"/>
      <c r="ET65" s="463"/>
      <c r="EV65" s="463"/>
      <c r="EW65" s="463"/>
      <c r="EY65" s="463"/>
      <c r="EZ65" s="463"/>
      <c r="FA65" s="463"/>
      <c r="FB65" s="463"/>
      <c r="FC65" s="463"/>
      <c r="FD65" s="463"/>
      <c r="FE65" s="463"/>
      <c r="FF65" s="463"/>
      <c r="FG65" s="463"/>
      <c r="FH65" s="463"/>
      <c r="FI65" s="463"/>
      <c r="FJ65" s="463"/>
      <c r="FK65" s="463"/>
      <c r="FL65" s="463"/>
      <c r="FM65" s="463"/>
      <c r="FN65" s="463"/>
      <c r="FO65" s="463"/>
      <c r="FP65" s="463"/>
      <c r="FQ65" s="463"/>
      <c r="FS65" s="463"/>
      <c r="FT65" s="463"/>
      <c r="FU65" s="463"/>
      <c r="FV65" s="463"/>
      <c r="FW65" s="463"/>
      <c r="FX65" s="463"/>
      <c r="FY65" s="463"/>
      <c r="FZ65" s="463"/>
    </row>
    <row r="66" spans="1:182" ht="25" customHeight="1">
      <c r="A66" s="420">
        <v>61</v>
      </c>
      <c r="B66" s="440">
        <v>8.7059999999999995</v>
      </c>
      <c r="C66" s="393"/>
      <c r="D66" s="393"/>
      <c r="E66" s="393"/>
      <c r="F66" s="393"/>
      <c r="G66" s="420"/>
      <c r="H66" s="831"/>
      <c r="I66" s="421" t="s">
        <v>446</v>
      </c>
      <c r="J66" s="454">
        <v>7.0000000000000007E-2</v>
      </c>
      <c r="K66" s="463"/>
      <c r="L66" s="393"/>
      <c r="M66" s="393"/>
      <c r="N66" s="393"/>
      <c r="O66" s="463"/>
      <c r="P66" s="463"/>
      <c r="Q66" s="463"/>
      <c r="R66" s="463"/>
      <c r="S66" s="463"/>
      <c r="T66" s="463"/>
      <c r="U66" s="463"/>
      <c r="V66" s="463"/>
      <c r="W66" s="463"/>
      <c r="X66" s="463"/>
      <c r="Y66" s="463"/>
      <c r="Z66" s="463"/>
      <c r="AA66" s="463"/>
      <c r="AB66" s="463"/>
      <c r="AD66" s="463"/>
      <c r="AE66" s="463"/>
      <c r="AG66" s="463"/>
      <c r="AI66" s="463"/>
      <c r="AJ66" s="463"/>
      <c r="AK66" s="463"/>
      <c r="AM66" s="463"/>
      <c r="AN66" s="463"/>
      <c r="AO66" s="463"/>
      <c r="AQ66" s="463"/>
      <c r="AR66" s="463"/>
      <c r="AS66" s="463"/>
      <c r="AT66" s="463"/>
      <c r="AU66" s="463"/>
      <c r="AV66" s="463"/>
      <c r="AX66" s="463"/>
      <c r="AY66" s="463"/>
      <c r="AZ66" s="463"/>
      <c r="BB66" s="463"/>
      <c r="BC66" s="463"/>
      <c r="BD66" s="463"/>
      <c r="BF66" s="463"/>
      <c r="BG66" s="463"/>
      <c r="BH66" s="463"/>
      <c r="BJ66" s="463"/>
      <c r="BK66" s="463"/>
      <c r="BL66" s="463"/>
      <c r="BN66" s="463"/>
      <c r="BO66" s="463"/>
      <c r="BP66" s="463"/>
      <c r="BQ66" s="463"/>
      <c r="BR66" s="463"/>
      <c r="BT66" s="463"/>
      <c r="BU66" s="463"/>
      <c r="BV66" s="463"/>
      <c r="BX66" s="463"/>
      <c r="BY66" s="463"/>
      <c r="BZ66" s="463"/>
      <c r="CB66" s="463"/>
      <c r="CC66" s="463"/>
      <c r="CD66" s="463"/>
      <c r="CF66" s="463"/>
      <c r="CG66" s="463"/>
      <c r="CH66" s="463"/>
      <c r="CJ66" s="463"/>
      <c r="CK66" s="463"/>
      <c r="CM66" s="463"/>
      <c r="CO66" s="463"/>
      <c r="CP66" s="463"/>
      <c r="CQ66" s="463"/>
      <c r="CS66" s="463"/>
      <c r="CT66" s="463"/>
      <c r="CU66" s="463"/>
      <c r="CW66" s="463"/>
      <c r="CX66" s="463"/>
      <c r="CY66" s="463"/>
      <c r="DA66" s="463"/>
      <c r="DB66" s="463"/>
      <c r="DC66" s="463"/>
      <c r="DD66" s="463"/>
      <c r="DE66" s="463"/>
      <c r="DF66" s="463"/>
      <c r="DH66" s="463"/>
      <c r="DI66" s="463"/>
      <c r="DJ66" s="463"/>
      <c r="DL66" s="463"/>
      <c r="DM66" s="463"/>
      <c r="DN66" s="463"/>
      <c r="DO66" s="463"/>
      <c r="DP66" s="463"/>
      <c r="DR66" s="463"/>
      <c r="DS66" s="463"/>
      <c r="DT66" s="463"/>
      <c r="DV66" s="463"/>
      <c r="DW66" s="463"/>
      <c r="DX66" s="463"/>
      <c r="DZ66" s="463"/>
      <c r="EA66" s="463"/>
      <c r="EB66" s="463"/>
      <c r="ED66" s="463"/>
      <c r="EE66" s="463"/>
      <c r="EF66" s="463"/>
      <c r="EH66" s="463"/>
      <c r="EI66" s="463"/>
      <c r="EJ66" s="463"/>
      <c r="EK66" s="463"/>
      <c r="EL66" s="463"/>
      <c r="EN66" s="463"/>
      <c r="EO66" s="463"/>
      <c r="EP66" s="463"/>
      <c r="ER66" s="463"/>
      <c r="ES66" s="463"/>
      <c r="ET66" s="463"/>
      <c r="EV66" s="463"/>
      <c r="EW66" s="463"/>
      <c r="EY66" s="463"/>
      <c r="EZ66" s="463"/>
      <c r="FA66" s="463"/>
      <c r="FB66" s="463"/>
      <c r="FC66" s="463"/>
      <c r="FD66" s="463"/>
      <c r="FE66" s="463"/>
      <c r="FF66" s="463"/>
      <c r="FG66" s="463"/>
      <c r="FH66" s="463"/>
      <c r="FI66" s="463"/>
      <c r="FJ66" s="463"/>
      <c r="FK66" s="463"/>
      <c r="FL66" s="463"/>
      <c r="FM66" s="463"/>
      <c r="FN66" s="463"/>
      <c r="FO66" s="463"/>
      <c r="FP66" s="463"/>
      <c r="FQ66" s="463"/>
      <c r="FS66" s="463"/>
      <c r="FT66" s="463"/>
      <c r="FU66" s="463"/>
      <c r="FV66" s="463"/>
      <c r="FW66" s="463"/>
      <c r="FX66" s="463"/>
      <c r="FY66" s="463"/>
      <c r="FZ66" s="463"/>
    </row>
    <row r="67" spans="1:182" ht="25" customHeight="1">
      <c r="A67" s="420"/>
      <c r="B67" s="393"/>
      <c r="C67" s="393"/>
      <c r="D67" s="393"/>
      <c r="E67" s="393"/>
      <c r="F67" s="393"/>
      <c r="G67" s="420"/>
      <c r="H67" s="831"/>
      <c r="I67" s="421" t="s">
        <v>450</v>
      </c>
      <c r="J67" s="454">
        <v>0</v>
      </c>
      <c r="K67" s="463"/>
      <c r="L67" s="393"/>
      <c r="M67" s="393"/>
      <c r="N67" s="393"/>
      <c r="O67" s="463"/>
      <c r="P67" s="463"/>
      <c r="Q67" s="463"/>
      <c r="R67" s="463"/>
      <c r="S67" s="463"/>
      <c r="T67" s="463"/>
      <c r="U67" s="463"/>
      <c r="V67" s="463"/>
      <c r="W67" s="463"/>
      <c r="X67" s="463"/>
      <c r="Y67" s="463"/>
      <c r="Z67" s="463"/>
      <c r="AA67" s="463"/>
      <c r="AB67" s="463"/>
      <c r="AD67" s="463"/>
      <c r="AE67" s="463"/>
      <c r="AG67" s="463"/>
      <c r="AI67" s="463"/>
      <c r="AJ67" s="463"/>
      <c r="AK67" s="463"/>
      <c r="AL67" s="463"/>
      <c r="AM67" s="463"/>
      <c r="AN67" s="463"/>
      <c r="AO67" s="463"/>
      <c r="AQ67" s="463"/>
      <c r="AR67" s="463"/>
      <c r="AS67" s="463"/>
      <c r="AT67" s="463"/>
      <c r="AU67" s="463"/>
      <c r="AV67" s="463"/>
      <c r="AX67" s="463"/>
      <c r="AY67" s="463"/>
      <c r="AZ67" s="463"/>
      <c r="BB67" s="463"/>
      <c r="BC67" s="463"/>
      <c r="BD67" s="463"/>
      <c r="BF67" s="463"/>
      <c r="BG67" s="463"/>
      <c r="BH67" s="463"/>
      <c r="BJ67" s="463"/>
      <c r="BK67" s="463"/>
      <c r="BL67" s="463"/>
      <c r="BN67" s="463"/>
      <c r="BO67" s="463"/>
      <c r="BP67" s="463"/>
      <c r="BQ67" s="463"/>
      <c r="BR67" s="463"/>
      <c r="BT67" s="463"/>
      <c r="BU67" s="463"/>
      <c r="BV67" s="463"/>
      <c r="BX67" s="463"/>
      <c r="BY67" s="463"/>
      <c r="BZ67" s="463"/>
      <c r="CB67" s="463"/>
      <c r="CC67" s="463"/>
      <c r="CD67" s="463"/>
      <c r="CF67" s="463"/>
      <c r="CG67" s="463"/>
      <c r="CH67" s="463"/>
      <c r="CJ67" s="463"/>
      <c r="CK67" s="463"/>
      <c r="CM67" s="463"/>
      <c r="CO67" s="463"/>
      <c r="CP67" s="463"/>
      <c r="CQ67" s="463"/>
      <c r="CS67" s="463"/>
      <c r="CT67" s="463"/>
      <c r="CU67" s="463"/>
      <c r="CW67" s="463"/>
      <c r="CX67" s="463"/>
      <c r="CY67" s="463"/>
      <c r="DA67" s="463"/>
      <c r="DB67" s="463"/>
      <c r="DC67" s="463"/>
      <c r="DD67" s="463"/>
      <c r="DE67" s="463"/>
      <c r="DF67" s="463"/>
      <c r="DH67" s="463"/>
      <c r="DI67" s="463"/>
      <c r="DJ67" s="463"/>
      <c r="DL67" s="463"/>
      <c r="DM67" s="463"/>
      <c r="DN67" s="463"/>
      <c r="DO67" s="463"/>
      <c r="DP67" s="463"/>
      <c r="DR67" s="463"/>
      <c r="DS67" s="463"/>
      <c r="DT67" s="463"/>
      <c r="DV67" s="463"/>
      <c r="DW67" s="463"/>
      <c r="DX67" s="463"/>
      <c r="DZ67" s="463"/>
      <c r="EA67" s="463"/>
      <c r="EB67" s="463"/>
      <c r="ED67" s="463"/>
      <c r="EE67" s="463"/>
      <c r="EF67" s="463"/>
      <c r="EH67" s="463"/>
      <c r="EI67" s="463"/>
      <c r="EJ67" s="463"/>
      <c r="EK67" s="463"/>
      <c r="EL67" s="463"/>
      <c r="EN67" s="463"/>
      <c r="EO67" s="463"/>
      <c r="EP67" s="463"/>
      <c r="ER67" s="463"/>
      <c r="ES67" s="463"/>
      <c r="ET67" s="463"/>
      <c r="EV67" s="463"/>
      <c r="EW67" s="463"/>
      <c r="EY67" s="463"/>
      <c r="EZ67" s="463"/>
      <c r="FA67" s="463"/>
      <c r="FB67" s="463"/>
      <c r="FC67" s="463"/>
      <c r="FD67" s="463"/>
      <c r="FE67" s="463"/>
      <c r="FF67" s="463"/>
      <c r="FG67" s="463"/>
      <c r="FH67" s="463"/>
      <c r="FI67" s="463"/>
      <c r="FJ67" s="463"/>
      <c r="FK67" s="463"/>
      <c r="FL67" s="463"/>
      <c r="FM67" s="463"/>
      <c r="FN67" s="463"/>
      <c r="FO67" s="463"/>
      <c r="FP67" s="463"/>
      <c r="FQ67" s="463"/>
      <c r="FS67" s="463"/>
      <c r="FT67" s="463"/>
      <c r="FU67" s="463"/>
      <c r="FV67" s="463"/>
      <c r="FW67" s="463"/>
      <c r="FX67" s="463"/>
      <c r="FY67" s="463"/>
      <c r="FZ67" s="463"/>
    </row>
    <row r="68" spans="1:182" ht="25" customHeight="1">
      <c r="A68" s="420"/>
      <c r="B68" s="393"/>
      <c r="C68" s="393"/>
      <c r="D68" s="393"/>
      <c r="E68" s="393"/>
      <c r="F68" s="393"/>
      <c r="G68" s="420"/>
      <c r="H68" s="831"/>
      <c r="I68" s="421"/>
      <c r="J68" s="454"/>
      <c r="K68" s="463"/>
      <c r="L68" s="393"/>
      <c r="M68" s="393"/>
      <c r="N68" s="393"/>
      <c r="O68" s="463"/>
      <c r="P68" s="463"/>
      <c r="Q68" s="463"/>
      <c r="R68" s="463"/>
      <c r="S68" s="463"/>
      <c r="T68" s="463"/>
      <c r="U68" s="463"/>
      <c r="V68" s="463"/>
      <c r="W68" s="463"/>
      <c r="X68" s="463"/>
      <c r="Y68" s="463"/>
      <c r="Z68" s="463"/>
      <c r="AA68" s="463"/>
      <c r="AB68" s="463"/>
      <c r="AD68" s="463"/>
      <c r="AE68" s="463"/>
      <c r="AG68" s="463"/>
      <c r="AI68" s="463"/>
      <c r="AJ68" s="463"/>
      <c r="AK68" s="463"/>
      <c r="AM68" s="463"/>
      <c r="AN68" s="463"/>
      <c r="AO68" s="463"/>
      <c r="AQ68" s="463"/>
      <c r="AR68" s="463"/>
      <c r="AS68" s="463"/>
      <c r="AT68" s="463"/>
      <c r="AU68" s="463"/>
      <c r="AV68" s="463"/>
      <c r="AX68" s="463"/>
      <c r="AY68" s="463"/>
      <c r="AZ68" s="463"/>
      <c r="BB68" s="463"/>
      <c r="BC68" s="463"/>
      <c r="BD68" s="463"/>
      <c r="BF68" s="463"/>
      <c r="BG68" s="463"/>
      <c r="BH68" s="463"/>
      <c r="BJ68" s="463"/>
      <c r="BK68" s="463"/>
      <c r="BL68" s="463"/>
      <c r="BN68" s="463"/>
      <c r="BO68" s="463"/>
      <c r="BP68" s="463"/>
      <c r="BQ68" s="463"/>
      <c r="BR68" s="463"/>
      <c r="BT68" s="463"/>
      <c r="BU68" s="463"/>
      <c r="BV68" s="463"/>
      <c r="BX68" s="463"/>
      <c r="BY68" s="463"/>
      <c r="BZ68" s="463"/>
      <c r="CB68" s="463"/>
      <c r="CC68" s="463"/>
      <c r="CD68" s="463"/>
      <c r="CF68" s="463"/>
      <c r="CG68" s="463"/>
      <c r="CH68" s="463"/>
      <c r="CJ68" s="463"/>
      <c r="CK68" s="463"/>
      <c r="CM68" s="463"/>
      <c r="CO68" s="463"/>
      <c r="CP68" s="463"/>
      <c r="CQ68" s="463"/>
      <c r="CS68" s="463"/>
      <c r="CT68" s="463"/>
      <c r="CU68" s="463"/>
      <c r="CW68" s="463"/>
      <c r="CX68" s="463"/>
      <c r="CY68" s="463"/>
      <c r="DA68" s="463"/>
      <c r="DB68" s="463"/>
      <c r="DC68" s="463"/>
      <c r="DD68" s="463"/>
      <c r="DE68" s="463"/>
      <c r="DF68" s="463"/>
      <c r="DH68" s="463"/>
      <c r="DI68" s="463"/>
      <c r="DJ68" s="463"/>
      <c r="DL68" s="463"/>
      <c r="DM68" s="463"/>
      <c r="DN68" s="463"/>
      <c r="DO68" s="463"/>
      <c r="DP68" s="463"/>
      <c r="DR68" s="463"/>
      <c r="DS68" s="463"/>
      <c r="DT68" s="463"/>
      <c r="DV68" s="463"/>
      <c r="DW68" s="463"/>
      <c r="DX68" s="463"/>
      <c r="DZ68" s="463"/>
      <c r="EA68" s="463"/>
      <c r="EB68" s="463"/>
      <c r="ED68" s="463"/>
      <c r="EE68" s="463"/>
      <c r="EF68" s="463"/>
      <c r="EH68" s="463"/>
      <c r="EI68" s="463"/>
      <c r="EJ68" s="463"/>
      <c r="EK68" s="463"/>
      <c r="EL68" s="463"/>
      <c r="EN68" s="463"/>
      <c r="EO68" s="463"/>
      <c r="EP68" s="463"/>
      <c r="ER68" s="463"/>
      <c r="ES68" s="463"/>
      <c r="ET68" s="463"/>
      <c r="EV68" s="463"/>
      <c r="EW68" s="463"/>
      <c r="EY68" s="463"/>
      <c r="EZ68" s="463"/>
      <c r="FA68" s="463"/>
      <c r="FB68" s="463"/>
      <c r="FC68" s="463"/>
      <c r="FD68" s="463"/>
      <c r="FE68" s="463"/>
      <c r="FF68" s="463"/>
      <c r="FG68" s="463"/>
      <c r="FH68" s="463"/>
      <c r="FI68" s="463"/>
      <c r="FJ68" s="463"/>
      <c r="FK68" s="463"/>
      <c r="FL68" s="463"/>
      <c r="FM68" s="463"/>
      <c r="FN68" s="463"/>
      <c r="FO68" s="463"/>
      <c r="FP68" s="463"/>
      <c r="FQ68" s="463"/>
      <c r="FS68" s="463"/>
      <c r="FT68" s="463"/>
      <c r="FU68" s="463"/>
      <c r="FV68" s="463"/>
      <c r="FW68" s="463"/>
      <c r="FX68" s="463"/>
      <c r="FY68" s="463"/>
      <c r="FZ68" s="463"/>
    </row>
    <row r="69" spans="1:182" ht="25" customHeight="1">
      <c r="A69" s="420"/>
      <c r="B69" s="393"/>
      <c r="C69" s="393"/>
      <c r="D69" s="393"/>
      <c r="E69" s="393"/>
      <c r="F69" s="393"/>
      <c r="G69" s="420"/>
      <c r="H69" s="420"/>
      <c r="I69" s="420"/>
      <c r="J69" s="420"/>
      <c r="K69" s="463"/>
      <c r="L69" s="393"/>
      <c r="M69" s="393"/>
      <c r="N69" s="393"/>
      <c r="O69" s="463"/>
      <c r="P69" s="463"/>
      <c r="Q69" s="463"/>
      <c r="R69" s="463"/>
      <c r="S69" s="463"/>
      <c r="T69" s="463"/>
      <c r="U69" s="463"/>
      <c r="V69" s="463"/>
      <c r="W69" s="463"/>
      <c r="X69" s="463"/>
      <c r="Y69" s="463"/>
      <c r="Z69" s="463"/>
      <c r="AA69" s="463"/>
      <c r="AB69" s="463"/>
      <c r="AD69" s="463"/>
      <c r="AE69" s="463"/>
      <c r="AG69" s="463"/>
      <c r="AI69" s="463"/>
      <c r="AJ69" s="463"/>
      <c r="AK69" s="463"/>
      <c r="AM69" s="463"/>
      <c r="AN69" s="463"/>
      <c r="AO69" s="463"/>
      <c r="AQ69" s="463"/>
      <c r="AR69" s="463"/>
      <c r="AS69" s="463"/>
      <c r="AT69" s="463"/>
      <c r="AU69" s="463"/>
      <c r="AV69" s="463"/>
      <c r="AX69" s="463"/>
      <c r="AY69" s="463"/>
      <c r="AZ69" s="463"/>
      <c r="BB69" s="463"/>
      <c r="BC69" s="463"/>
      <c r="BD69" s="463"/>
      <c r="BF69" s="463"/>
      <c r="BG69" s="463"/>
      <c r="BH69" s="463"/>
      <c r="BJ69" s="463"/>
      <c r="BK69" s="463"/>
      <c r="BL69" s="463"/>
      <c r="BN69" s="463"/>
      <c r="BO69" s="463"/>
      <c r="BP69" s="463"/>
      <c r="BQ69" s="463"/>
      <c r="BR69" s="463"/>
      <c r="BT69" s="463"/>
      <c r="BU69" s="463"/>
      <c r="BV69" s="463"/>
      <c r="BX69" s="463"/>
      <c r="BY69" s="463"/>
      <c r="BZ69" s="463"/>
      <c r="CB69" s="463"/>
      <c r="CC69" s="463"/>
      <c r="CD69" s="463"/>
      <c r="CF69" s="463"/>
      <c r="CG69" s="463"/>
      <c r="CH69" s="463"/>
      <c r="CJ69" s="463"/>
      <c r="CK69" s="463"/>
      <c r="CM69" s="463"/>
      <c r="CO69" s="463"/>
      <c r="CP69" s="463"/>
      <c r="CQ69" s="463"/>
      <c r="CS69" s="463"/>
      <c r="CT69" s="463"/>
      <c r="CU69" s="463"/>
      <c r="CW69" s="463"/>
      <c r="CX69" s="463"/>
      <c r="CY69" s="463"/>
      <c r="DA69" s="463"/>
      <c r="DB69" s="463"/>
      <c r="DC69" s="463"/>
      <c r="DD69" s="463"/>
      <c r="DE69" s="463"/>
      <c r="DF69" s="463"/>
      <c r="DH69" s="463"/>
      <c r="DI69" s="463"/>
      <c r="DJ69" s="463"/>
      <c r="DL69" s="463"/>
      <c r="DM69" s="463"/>
      <c r="DN69" s="463"/>
      <c r="DO69" s="463"/>
      <c r="DP69" s="463"/>
      <c r="DR69" s="463"/>
      <c r="DS69" s="463"/>
      <c r="DT69" s="463"/>
      <c r="DV69" s="463"/>
      <c r="DW69" s="463"/>
      <c r="DX69" s="463"/>
      <c r="DZ69" s="463"/>
      <c r="EA69" s="463"/>
      <c r="EB69" s="463"/>
      <c r="ED69" s="463"/>
      <c r="EE69" s="463"/>
      <c r="EF69" s="463"/>
      <c r="EH69" s="463"/>
      <c r="EI69" s="463"/>
      <c r="EJ69" s="463"/>
      <c r="EK69" s="463"/>
      <c r="EL69" s="463"/>
      <c r="EN69" s="463"/>
      <c r="EO69" s="463"/>
      <c r="EP69" s="463"/>
      <c r="ER69" s="463"/>
      <c r="ES69" s="463"/>
      <c r="ET69" s="463"/>
      <c r="EV69" s="463"/>
      <c r="EW69" s="463"/>
      <c r="EY69" s="463"/>
      <c r="EZ69" s="463"/>
      <c r="FA69" s="463"/>
      <c r="FB69" s="463"/>
      <c r="FC69" s="463"/>
      <c r="FD69" s="463"/>
      <c r="FE69" s="463"/>
      <c r="FF69" s="463"/>
      <c r="FG69" s="463"/>
      <c r="FH69" s="463"/>
      <c r="FI69" s="463"/>
      <c r="FJ69" s="463"/>
      <c r="FK69" s="463"/>
      <c r="FL69" s="463"/>
      <c r="FM69" s="463"/>
      <c r="FN69" s="463"/>
      <c r="FO69" s="463"/>
      <c r="FP69" s="463"/>
      <c r="FQ69" s="463"/>
      <c r="FS69" s="463"/>
      <c r="FT69" s="463"/>
      <c r="FU69" s="463"/>
      <c r="FV69" s="463"/>
      <c r="FW69" s="463"/>
      <c r="FX69" s="463"/>
      <c r="FY69" s="463"/>
      <c r="FZ69" s="463"/>
    </row>
    <row r="70" spans="1:182" ht="25" customHeight="1">
      <c r="A70" s="393" t="s">
        <v>550</v>
      </c>
      <c r="B70" s="393" t="s">
        <v>551</v>
      </c>
      <c r="C70" s="393"/>
      <c r="D70" s="393"/>
      <c r="E70" s="393"/>
      <c r="F70" s="393"/>
      <c r="G70" s="420"/>
      <c r="H70" s="835" t="s">
        <v>552</v>
      </c>
      <c r="I70" s="470" t="s">
        <v>540</v>
      </c>
      <c r="J70" s="467">
        <v>0.995</v>
      </c>
      <c r="K70" s="463"/>
      <c r="L70" s="393"/>
      <c r="M70" s="393"/>
      <c r="N70" s="393"/>
      <c r="O70" s="463"/>
      <c r="P70" s="463"/>
      <c r="Q70" s="463"/>
      <c r="R70" s="463"/>
      <c r="S70" s="463"/>
      <c r="T70" s="463"/>
      <c r="U70" s="463"/>
      <c r="V70" s="463"/>
      <c r="W70" s="463"/>
      <c r="X70" s="463"/>
      <c r="Y70" s="463"/>
      <c r="Z70" s="463"/>
      <c r="AA70" s="463"/>
      <c r="AB70" s="463"/>
      <c r="AD70" s="463"/>
      <c r="AE70" s="463"/>
      <c r="AG70" s="463"/>
      <c r="AI70" s="463"/>
      <c r="AJ70" s="463"/>
      <c r="AK70" s="463"/>
      <c r="AM70" s="463"/>
      <c r="AN70" s="463"/>
      <c r="AO70" s="463"/>
      <c r="AQ70" s="463"/>
      <c r="AR70" s="463"/>
      <c r="AS70" s="463"/>
      <c r="AT70" s="463"/>
      <c r="AU70" s="463"/>
      <c r="AV70" s="463"/>
      <c r="AX70" s="463"/>
      <c r="AY70" s="463"/>
      <c r="AZ70" s="463"/>
      <c r="BB70" s="463"/>
      <c r="BC70" s="463"/>
      <c r="BD70" s="463"/>
      <c r="BF70" s="463"/>
      <c r="BG70" s="463"/>
      <c r="BH70" s="463"/>
      <c r="BJ70" s="463"/>
      <c r="BK70" s="463"/>
      <c r="BL70" s="463"/>
      <c r="BN70" s="463"/>
      <c r="BO70" s="463"/>
      <c r="BP70" s="463"/>
      <c r="BQ70" s="463"/>
      <c r="BR70" s="463"/>
      <c r="BT70" s="463"/>
      <c r="BU70" s="463"/>
      <c r="BV70" s="463"/>
      <c r="BX70" s="463"/>
      <c r="BY70" s="463"/>
      <c r="BZ70" s="463"/>
      <c r="CB70" s="463"/>
      <c r="CC70" s="463"/>
      <c r="CD70" s="463"/>
      <c r="CF70" s="463"/>
      <c r="CG70" s="463"/>
      <c r="CH70" s="463"/>
      <c r="CJ70" s="463"/>
      <c r="CK70" s="463"/>
      <c r="CM70" s="463"/>
      <c r="CO70" s="463"/>
      <c r="CP70" s="463"/>
      <c r="CQ70" s="463"/>
      <c r="CS70" s="463"/>
      <c r="CT70" s="463"/>
      <c r="CU70" s="463"/>
      <c r="CW70" s="463"/>
      <c r="CX70" s="463"/>
      <c r="CY70" s="463"/>
      <c r="DA70" s="463"/>
      <c r="DB70" s="463"/>
      <c r="DC70" s="463"/>
      <c r="DD70" s="463"/>
      <c r="DE70" s="463"/>
      <c r="DF70" s="463"/>
      <c r="DH70" s="463"/>
      <c r="DI70" s="463"/>
      <c r="DJ70" s="463"/>
      <c r="DL70" s="463"/>
      <c r="DM70" s="463"/>
      <c r="DN70" s="463"/>
      <c r="DO70" s="463"/>
      <c r="DP70" s="463"/>
      <c r="DR70" s="463"/>
      <c r="DS70" s="463"/>
      <c r="DT70" s="463"/>
      <c r="DV70" s="463"/>
      <c r="DW70" s="463"/>
      <c r="DX70" s="463"/>
      <c r="DZ70" s="463"/>
      <c r="EA70" s="463"/>
      <c r="EB70" s="463"/>
      <c r="ED70" s="463"/>
      <c r="EE70" s="463"/>
      <c r="EF70" s="463"/>
      <c r="EH70" s="463"/>
      <c r="EI70" s="463"/>
      <c r="EJ70" s="463"/>
      <c r="EK70" s="463"/>
      <c r="EL70" s="463"/>
      <c r="EN70" s="463"/>
      <c r="EO70" s="463"/>
      <c r="EP70" s="463"/>
      <c r="ER70" s="463"/>
      <c r="ES70" s="463"/>
      <c r="ET70" s="463"/>
      <c r="EV70" s="463"/>
      <c r="EW70" s="463"/>
      <c r="EY70" s="463"/>
      <c r="EZ70" s="463"/>
      <c r="FA70" s="463"/>
      <c r="FB70" s="463"/>
      <c r="FC70" s="463"/>
      <c r="FD70" s="463"/>
      <c r="FE70" s="463"/>
      <c r="FF70" s="463"/>
      <c r="FG70" s="463"/>
      <c r="FH70" s="463"/>
      <c r="FI70" s="463"/>
      <c r="FJ70" s="463"/>
      <c r="FK70" s="463"/>
      <c r="FL70" s="463"/>
      <c r="FM70" s="463"/>
      <c r="FN70" s="463"/>
      <c r="FO70" s="463"/>
      <c r="FP70" s="463"/>
      <c r="FQ70" s="463"/>
      <c r="FS70" s="463"/>
      <c r="FT70" s="463"/>
      <c r="FU70" s="463"/>
      <c r="FV70" s="463"/>
      <c r="FW70" s="463"/>
      <c r="FX70" s="463"/>
      <c r="FY70" s="463"/>
      <c r="FZ70" s="463"/>
    </row>
    <row r="71" spans="1:182" ht="25" customHeight="1">
      <c r="A71" s="393">
        <v>3</v>
      </c>
      <c r="B71" s="393">
        <v>0.15470100000000001</v>
      </c>
      <c r="C71" s="393"/>
      <c r="D71" s="393"/>
      <c r="E71" s="393"/>
      <c r="F71" s="393"/>
      <c r="G71" s="420"/>
      <c r="H71" s="836"/>
      <c r="I71" s="421" t="s">
        <v>446</v>
      </c>
      <c r="J71" s="471">
        <v>7.0000000000000007E-2</v>
      </c>
      <c r="K71" s="463"/>
      <c r="L71" s="393"/>
      <c r="M71" s="393"/>
      <c r="N71" s="393"/>
      <c r="O71" s="463"/>
      <c r="P71" s="463"/>
      <c r="Q71" s="463"/>
      <c r="R71" s="463"/>
      <c r="S71" s="463"/>
      <c r="T71" s="463"/>
      <c r="U71" s="463"/>
      <c r="V71" s="463"/>
      <c r="W71" s="463"/>
      <c r="X71" s="463"/>
      <c r="Y71" s="463"/>
      <c r="Z71" s="463"/>
      <c r="AA71" s="463"/>
      <c r="AB71" s="463"/>
      <c r="AD71" s="463"/>
      <c r="AE71" s="463"/>
      <c r="AG71" s="463"/>
      <c r="AI71" s="463"/>
      <c r="AJ71" s="463"/>
      <c r="AK71" s="463"/>
      <c r="AM71" s="463"/>
      <c r="AN71" s="463"/>
      <c r="AO71" s="463"/>
      <c r="AQ71" s="463"/>
      <c r="AR71" s="463"/>
      <c r="AS71" s="463"/>
      <c r="AT71" s="463"/>
      <c r="AU71" s="463"/>
      <c r="AV71" s="463"/>
      <c r="AX71" s="463"/>
      <c r="AY71" s="463"/>
      <c r="AZ71" s="463"/>
      <c r="BB71" s="463"/>
      <c r="BC71" s="463"/>
      <c r="BD71" s="463"/>
      <c r="BF71" s="463"/>
      <c r="BG71" s="463"/>
      <c r="BH71" s="463"/>
      <c r="BJ71" s="463"/>
      <c r="BK71" s="463"/>
      <c r="BL71" s="463"/>
      <c r="BN71" s="463"/>
      <c r="BO71" s="463"/>
      <c r="BP71" s="463"/>
      <c r="BQ71" s="463"/>
      <c r="BR71" s="463"/>
      <c r="BT71" s="463"/>
      <c r="BU71" s="463"/>
      <c r="BV71" s="463"/>
      <c r="BX71" s="463"/>
      <c r="BY71" s="463"/>
      <c r="BZ71" s="463"/>
      <c r="CB71" s="463"/>
      <c r="CC71" s="463"/>
      <c r="CD71" s="463"/>
      <c r="CF71" s="463"/>
      <c r="CG71" s="463"/>
      <c r="CH71" s="463"/>
      <c r="CJ71" s="463"/>
      <c r="CK71" s="463"/>
      <c r="CM71" s="463"/>
      <c r="CO71" s="463"/>
      <c r="CP71" s="463"/>
      <c r="CQ71" s="463"/>
      <c r="CS71" s="463"/>
      <c r="CT71" s="463"/>
      <c r="CU71" s="463"/>
      <c r="CW71" s="463"/>
      <c r="CX71" s="463"/>
      <c r="CY71" s="463"/>
      <c r="DA71" s="463"/>
      <c r="DB71" s="463"/>
      <c r="DC71" s="463"/>
      <c r="DD71" s="463"/>
      <c r="DE71" s="463"/>
      <c r="DF71" s="463"/>
      <c r="DH71" s="463"/>
      <c r="DI71" s="463"/>
      <c r="DJ71" s="463"/>
      <c r="DL71" s="463"/>
      <c r="DM71" s="463"/>
      <c r="DN71" s="463"/>
      <c r="DO71" s="463"/>
      <c r="DP71" s="463"/>
      <c r="DR71" s="463"/>
      <c r="DS71" s="463"/>
      <c r="DT71" s="463"/>
      <c r="DV71" s="463"/>
      <c r="DW71" s="463"/>
      <c r="DX71" s="463"/>
      <c r="DZ71" s="463"/>
      <c r="EA71" s="463"/>
      <c r="EB71" s="463"/>
      <c r="ED71" s="463"/>
      <c r="EE71" s="463"/>
      <c r="EF71" s="463"/>
      <c r="EH71" s="463"/>
      <c r="EI71" s="463"/>
      <c r="EJ71" s="463"/>
      <c r="EK71" s="463"/>
      <c r="EL71" s="463"/>
      <c r="EN71" s="463"/>
      <c r="EO71" s="463"/>
      <c r="EP71" s="463"/>
      <c r="ER71" s="463"/>
      <c r="ES71" s="463"/>
      <c r="ET71" s="463"/>
      <c r="EV71" s="463"/>
      <c r="EW71" s="463"/>
      <c r="EY71" s="463"/>
      <c r="EZ71" s="463"/>
      <c r="FA71" s="463"/>
      <c r="FB71" s="463"/>
      <c r="FC71" s="463"/>
      <c r="FD71" s="463"/>
      <c r="FE71" s="463"/>
      <c r="FF71" s="463"/>
      <c r="FG71" s="463"/>
      <c r="FH71" s="463"/>
      <c r="FI71" s="463"/>
      <c r="FJ71" s="463"/>
      <c r="FK71" s="463"/>
      <c r="FL71" s="463"/>
      <c r="FM71" s="463"/>
      <c r="FN71" s="463"/>
      <c r="FO71" s="463"/>
      <c r="FP71" s="463"/>
      <c r="FQ71" s="463"/>
      <c r="FS71" s="463"/>
      <c r="FT71" s="463"/>
      <c r="FU71" s="463"/>
      <c r="FV71" s="463"/>
      <c r="FW71" s="463"/>
      <c r="FX71" s="463"/>
      <c r="FY71" s="463"/>
      <c r="FZ71" s="463"/>
    </row>
    <row r="72" spans="1:182" ht="25" customHeight="1">
      <c r="A72" s="393">
        <v>4</v>
      </c>
      <c r="B72" s="393">
        <v>0.41421400000000003</v>
      </c>
      <c r="C72" s="393"/>
      <c r="D72" s="393"/>
      <c r="E72" s="393"/>
      <c r="F72" s="393"/>
      <c r="G72" s="420"/>
      <c r="H72" s="836"/>
      <c r="I72" s="421" t="s">
        <v>450</v>
      </c>
      <c r="J72" s="471">
        <v>0</v>
      </c>
      <c r="K72" s="463"/>
      <c r="L72" s="393"/>
      <c r="M72" s="393"/>
      <c r="N72" s="393"/>
      <c r="O72" s="463"/>
      <c r="P72" s="463"/>
      <c r="Q72" s="463"/>
      <c r="R72" s="463"/>
      <c r="S72" s="463"/>
      <c r="T72" s="463"/>
      <c r="U72" s="463"/>
      <c r="V72" s="463"/>
      <c r="W72" s="463"/>
      <c r="X72" s="463"/>
      <c r="Y72" s="463"/>
      <c r="Z72" s="463"/>
      <c r="AA72" s="463"/>
      <c r="AB72" s="463"/>
      <c r="AD72" s="463"/>
      <c r="AE72" s="463"/>
      <c r="AG72" s="463"/>
      <c r="AI72" s="463"/>
      <c r="AJ72" s="463"/>
      <c r="AK72" s="463"/>
      <c r="AM72" s="463"/>
      <c r="AN72" s="463"/>
      <c r="AO72" s="463"/>
      <c r="AQ72" s="463"/>
      <c r="AR72" s="463"/>
      <c r="AS72" s="463"/>
      <c r="AT72" s="463"/>
      <c r="AU72" s="463"/>
      <c r="AV72" s="463"/>
      <c r="AX72" s="463"/>
      <c r="AY72" s="463"/>
      <c r="AZ72" s="463"/>
      <c r="BB72" s="463"/>
      <c r="BC72" s="463"/>
      <c r="BD72" s="463"/>
      <c r="BF72" s="463"/>
      <c r="BG72" s="463"/>
      <c r="BH72" s="463"/>
      <c r="BJ72" s="463"/>
      <c r="BK72" s="463"/>
      <c r="BL72" s="463"/>
      <c r="BN72" s="463"/>
      <c r="BO72" s="463"/>
      <c r="BP72" s="463"/>
      <c r="BQ72" s="463"/>
      <c r="BR72" s="463"/>
      <c r="BT72" s="463"/>
      <c r="BU72" s="463"/>
      <c r="BV72" s="463"/>
      <c r="BX72" s="463"/>
      <c r="BY72" s="463"/>
      <c r="BZ72" s="463"/>
      <c r="CB72" s="463"/>
      <c r="CC72" s="463"/>
      <c r="CD72" s="463"/>
      <c r="CF72" s="463"/>
      <c r="CG72" s="463"/>
      <c r="CH72" s="463"/>
      <c r="CJ72" s="463"/>
      <c r="CK72" s="463"/>
      <c r="CM72" s="463"/>
      <c r="CO72" s="463"/>
      <c r="CP72" s="463"/>
      <c r="CQ72" s="463"/>
      <c r="CS72" s="463"/>
      <c r="CT72" s="463"/>
      <c r="CU72" s="463"/>
      <c r="CW72" s="463"/>
      <c r="CX72" s="463"/>
      <c r="CY72" s="463"/>
      <c r="DA72" s="463"/>
      <c r="DB72" s="463"/>
      <c r="DC72" s="463"/>
      <c r="DD72" s="463"/>
      <c r="DE72" s="463"/>
      <c r="DF72" s="463"/>
      <c r="DH72" s="463"/>
      <c r="DI72" s="463"/>
      <c r="DJ72" s="463"/>
      <c r="DL72" s="463"/>
      <c r="DM72" s="463"/>
      <c r="DN72" s="463"/>
      <c r="DO72" s="463"/>
      <c r="DP72" s="463"/>
      <c r="DR72" s="463"/>
      <c r="DS72" s="463"/>
      <c r="DT72" s="463"/>
      <c r="DV72" s="463"/>
      <c r="DW72" s="463"/>
      <c r="DX72" s="463"/>
      <c r="DZ72" s="463"/>
      <c r="EA72" s="463"/>
      <c r="EB72" s="463"/>
      <c r="ED72" s="463"/>
      <c r="EE72" s="463"/>
      <c r="EF72" s="463"/>
      <c r="EH72" s="463"/>
      <c r="EI72" s="463"/>
      <c r="EJ72" s="463"/>
      <c r="EK72" s="463"/>
      <c r="EL72" s="463"/>
      <c r="EN72" s="463"/>
      <c r="EO72" s="463"/>
      <c r="EP72" s="463"/>
      <c r="ER72" s="463"/>
      <c r="ES72" s="463"/>
      <c r="ET72" s="463"/>
      <c r="EV72" s="463"/>
      <c r="EW72" s="463"/>
      <c r="EY72" s="463"/>
      <c r="EZ72" s="463"/>
      <c r="FA72" s="463"/>
      <c r="FB72" s="463"/>
      <c r="FC72" s="463"/>
      <c r="FD72" s="463"/>
      <c r="FE72" s="463"/>
      <c r="FF72" s="463"/>
      <c r="FG72" s="463"/>
      <c r="FH72" s="463"/>
      <c r="FI72" s="463"/>
      <c r="FJ72" s="463"/>
      <c r="FK72" s="463"/>
      <c r="FL72" s="463"/>
      <c r="FM72" s="463"/>
      <c r="FN72" s="463"/>
      <c r="FO72" s="463"/>
      <c r="FP72" s="463"/>
      <c r="FQ72" s="463"/>
      <c r="FS72" s="463"/>
      <c r="FT72" s="463"/>
      <c r="FU72" s="463"/>
      <c r="FV72" s="463"/>
      <c r="FW72" s="463"/>
      <c r="FX72" s="463"/>
      <c r="FY72" s="463"/>
      <c r="FZ72" s="463"/>
    </row>
    <row r="73" spans="1:182" ht="25" customHeight="1">
      <c r="A73" s="393">
        <v>5</v>
      </c>
      <c r="B73" s="393">
        <v>0.70130199999999998</v>
      </c>
      <c r="C73" s="393"/>
      <c r="D73" s="393"/>
      <c r="E73" s="393"/>
      <c r="F73" s="393"/>
      <c r="G73" s="420"/>
      <c r="H73" s="836"/>
      <c r="I73" s="421"/>
      <c r="J73" s="471"/>
      <c r="K73" s="463"/>
      <c r="L73" s="393"/>
      <c r="M73" s="393"/>
      <c r="N73" s="393"/>
      <c r="O73" s="463"/>
      <c r="P73" s="463"/>
      <c r="Q73" s="463"/>
      <c r="R73" s="463"/>
      <c r="S73" s="463"/>
      <c r="T73" s="463"/>
      <c r="U73" s="463"/>
      <c r="V73" s="463"/>
      <c r="W73" s="463"/>
      <c r="X73" s="463"/>
      <c r="Y73" s="463"/>
      <c r="Z73" s="463"/>
      <c r="AA73" s="463"/>
      <c r="AB73" s="463"/>
      <c r="AD73" s="463"/>
      <c r="AE73" s="463"/>
      <c r="AG73" s="463"/>
      <c r="AI73" s="463"/>
      <c r="AJ73" s="463"/>
      <c r="AK73" s="463"/>
      <c r="AM73" s="463"/>
      <c r="AN73" s="463"/>
      <c r="AO73" s="463"/>
      <c r="AQ73" s="463"/>
      <c r="AR73" s="463"/>
      <c r="AS73" s="463"/>
      <c r="AT73" s="463"/>
      <c r="AU73" s="463"/>
      <c r="AV73" s="463"/>
      <c r="AX73" s="463"/>
      <c r="AY73" s="463"/>
      <c r="AZ73" s="463"/>
      <c r="BB73" s="463"/>
      <c r="BC73" s="463"/>
      <c r="BD73" s="463"/>
      <c r="BF73" s="463"/>
      <c r="BG73" s="463"/>
      <c r="BH73" s="463"/>
      <c r="BJ73" s="463"/>
      <c r="BK73" s="463"/>
      <c r="BL73" s="463"/>
      <c r="BN73" s="463"/>
      <c r="BO73" s="463"/>
      <c r="BP73" s="463"/>
      <c r="BQ73" s="463"/>
      <c r="BR73" s="463"/>
      <c r="BT73" s="463"/>
      <c r="BU73" s="463"/>
      <c r="BV73" s="463"/>
      <c r="BX73" s="463"/>
      <c r="BY73" s="463"/>
      <c r="BZ73" s="463"/>
      <c r="CB73" s="463"/>
      <c r="CC73" s="463"/>
      <c r="CD73" s="463"/>
      <c r="CF73" s="463"/>
      <c r="CG73" s="463"/>
      <c r="CH73" s="463"/>
      <c r="CJ73" s="463"/>
      <c r="CK73" s="463"/>
      <c r="CM73" s="463"/>
      <c r="CO73" s="463"/>
      <c r="CP73" s="463"/>
      <c r="CQ73" s="463"/>
      <c r="CS73" s="463"/>
      <c r="CT73" s="463"/>
      <c r="CU73" s="463"/>
      <c r="CW73" s="463"/>
      <c r="CX73" s="463"/>
      <c r="CY73" s="463"/>
      <c r="DA73" s="463"/>
      <c r="DB73" s="463"/>
      <c r="DC73" s="463"/>
      <c r="DD73" s="463"/>
      <c r="DE73" s="463"/>
      <c r="DF73" s="463"/>
      <c r="DH73" s="463"/>
      <c r="DI73" s="463"/>
      <c r="DJ73" s="463"/>
      <c r="DL73" s="463"/>
      <c r="DM73" s="463"/>
      <c r="DN73" s="463"/>
      <c r="DO73" s="463"/>
      <c r="DP73" s="463"/>
      <c r="DR73" s="463"/>
      <c r="DS73" s="463"/>
      <c r="DT73" s="463"/>
      <c r="DV73" s="463"/>
      <c r="DW73" s="463"/>
      <c r="DX73" s="463"/>
      <c r="DZ73" s="463"/>
      <c r="EA73" s="463"/>
      <c r="EB73" s="463"/>
      <c r="ED73" s="463"/>
      <c r="EE73" s="463"/>
      <c r="EF73" s="463"/>
      <c r="EH73" s="463"/>
      <c r="EI73" s="463"/>
      <c r="EJ73" s="463"/>
      <c r="EK73" s="463"/>
      <c r="EL73" s="463"/>
      <c r="EN73" s="463"/>
      <c r="EO73" s="463"/>
      <c r="EP73" s="463"/>
      <c r="ER73" s="463"/>
      <c r="ES73" s="463"/>
      <c r="ET73" s="463"/>
      <c r="EV73" s="463"/>
      <c r="EW73" s="463"/>
      <c r="EY73" s="463"/>
      <c r="EZ73" s="463"/>
      <c r="FA73" s="463"/>
      <c r="FB73" s="463"/>
      <c r="FC73" s="463"/>
      <c r="FD73" s="463"/>
      <c r="FE73" s="463"/>
      <c r="FF73" s="463"/>
      <c r="FG73" s="463"/>
      <c r="FH73" s="463"/>
      <c r="FI73" s="463"/>
      <c r="FJ73" s="463"/>
      <c r="FK73" s="463"/>
      <c r="FL73" s="463"/>
      <c r="FM73" s="463"/>
      <c r="FN73" s="463"/>
      <c r="FO73" s="463"/>
      <c r="FP73" s="463"/>
      <c r="FQ73" s="463"/>
      <c r="FS73" s="463"/>
      <c r="FT73" s="463"/>
      <c r="FU73" s="463"/>
      <c r="FV73" s="463"/>
      <c r="FW73" s="463"/>
      <c r="FX73" s="463"/>
      <c r="FY73" s="463"/>
      <c r="FZ73" s="463"/>
    </row>
    <row r="74" spans="1:182" ht="25" customHeight="1">
      <c r="A74" s="420"/>
      <c r="B74" s="393"/>
      <c r="C74" s="393"/>
      <c r="D74" s="393"/>
      <c r="E74" s="393"/>
      <c r="F74" s="393"/>
      <c r="G74" s="420"/>
      <c r="H74" s="837"/>
      <c r="I74" s="468" t="s">
        <v>506</v>
      </c>
      <c r="J74" s="469">
        <v>100</v>
      </c>
      <c r="K74" s="463"/>
      <c r="L74" s="393"/>
      <c r="M74" s="393"/>
      <c r="N74" s="393"/>
      <c r="O74" s="463"/>
      <c r="P74" s="463"/>
      <c r="Q74" s="463"/>
      <c r="R74" s="463"/>
      <c r="S74" s="463"/>
      <c r="T74" s="463"/>
      <c r="U74" s="463"/>
      <c r="V74" s="463"/>
      <c r="W74" s="463"/>
      <c r="X74" s="463"/>
      <c r="Y74" s="463"/>
      <c r="Z74" s="463"/>
      <c r="AA74" s="463"/>
      <c r="AB74" s="463"/>
      <c r="AD74" s="463"/>
      <c r="AE74" s="463"/>
      <c r="AG74" s="463"/>
      <c r="AI74" s="463"/>
      <c r="AJ74" s="463"/>
      <c r="AK74" s="463"/>
      <c r="AM74" s="463"/>
      <c r="AN74" s="463"/>
      <c r="AO74" s="463"/>
      <c r="AQ74" s="463"/>
      <c r="AR74" s="463"/>
      <c r="AS74" s="463"/>
      <c r="AT74" s="463"/>
      <c r="AU74" s="463"/>
      <c r="AV74" s="463"/>
      <c r="AX74" s="463"/>
      <c r="AY74" s="463"/>
      <c r="AZ74" s="463"/>
      <c r="BB74" s="463"/>
      <c r="BC74" s="463"/>
      <c r="BD74" s="463"/>
      <c r="BF74" s="463"/>
      <c r="BG74" s="463"/>
      <c r="BH74" s="463"/>
      <c r="BJ74" s="463"/>
      <c r="BK74" s="463"/>
      <c r="BL74" s="463"/>
      <c r="BN74" s="463"/>
      <c r="BO74" s="463"/>
      <c r="BP74" s="463"/>
      <c r="BQ74" s="463"/>
      <c r="BR74" s="463"/>
      <c r="BT74" s="463"/>
      <c r="BU74" s="463"/>
      <c r="BV74" s="463"/>
      <c r="BX74" s="463"/>
      <c r="BY74" s="463"/>
      <c r="BZ74" s="463"/>
      <c r="CB74" s="463"/>
      <c r="CC74" s="463"/>
      <c r="CD74" s="463"/>
      <c r="CF74" s="463"/>
      <c r="CG74" s="463"/>
      <c r="CH74" s="463"/>
      <c r="CJ74" s="463"/>
      <c r="CK74" s="463"/>
      <c r="CM74" s="463"/>
      <c r="CO74" s="463"/>
      <c r="CP74" s="463"/>
      <c r="CQ74" s="463"/>
      <c r="CS74" s="463"/>
      <c r="CT74" s="463"/>
      <c r="CU74" s="463"/>
      <c r="CW74" s="463"/>
      <c r="CX74" s="463"/>
      <c r="CY74" s="463"/>
      <c r="DA74" s="463"/>
      <c r="DB74" s="463"/>
      <c r="DC74" s="463"/>
      <c r="DD74" s="463"/>
      <c r="DE74" s="463"/>
      <c r="DF74" s="463"/>
      <c r="DH74" s="463"/>
      <c r="DI74" s="463"/>
      <c r="DJ74" s="463"/>
      <c r="DL74" s="463"/>
      <c r="DM74" s="463"/>
      <c r="DN74" s="463"/>
      <c r="DO74" s="463"/>
      <c r="DP74" s="463"/>
      <c r="DR74" s="463"/>
      <c r="DS74" s="463"/>
      <c r="DT74" s="463"/>
      <c r="DV74" s="463"/>
      <c r="DW74" s="463"/>
      <c r="DX74" s="463"/>
      <c r="DZ74" s="463"/>
      <c r="EA74" s="463"/>
      <c r="EB74" s="463"/>
      <c r="ED74" s="463"/>
      <c r="EE74" s="463"/>
      <c r="EF74" s="463"/>
      <c r="EH74" s="463"/>
      <c r="EI74" s="463"/>
      <c r="EJ74" s="463"/>
      <c r="EK74" s="463"/>
      <c r="EL74" s="463"/>
      <c r="EN74" s="463"/>
      <c r="EO74" s="463"/>
      <c r="EP74" s="463"/>
      <c r="ER74" s="463"/>
      <c r="ES74" s="463"/>
      <c r="ET74" s="463"/>
      <c r="EV74" s="463"/>
      <c r="EW74" s="463"/>
      <c r="EY74" s="463"/>
      <c r="EZ74" s="463"/>
      <c r="FA74" s="463"/>
      <c r="FB74" s="463"/>
      <c r="FC74" s="463"/>
      <c r="FD74" s="463"/>
      <c r="FE74" s="463"/>
      <c r="FF74" s="463"/>
      <c r="FG74" s="463"/>
      <c r="FH74" s="463"/>
      <c r="FI74" s="463"/>
      <c r="FJ74" s="463"/>
      <c r="FK74" s="463"/>
      <c r="FL74" s="463"/>
      <c r="FM74" s="463"/>
      <c r="FN74" s="463"/>
      <c r="FO74" s="463"/>
      <c r="FP74" s="463"/>
      <c r="FQ74" s="463"/>
      <c r="FS74" s="463"/>
      <c r="FT74" s="463"/>
      <c r="FU74" s="463"/>
      <c r="FV74" s="463"/>
      <c r="FW74" s="463"/>
      <c r="FX74" s="463"/>
      <c r="FY74" s="463"/>
      <c r="FZ74" s="463"/>
    </row>
    <row r="75" spans="1:182" ht="25" customHeight="1">
      <c r="A75" s="420"/>
      <c r="B75" s="393"/>
      <c r="C75" s="393"/>
      <c r="D75" s="393"/>
      <c r="E75" s="393"/>
      <c r="F75" s="393"/>
      <c r="G75" s="420"/>
      <c r="H75" s="425"/>
      <c r="I75" s="425"/>
      <c r="J75" s="496"/>
      <c r="K75" s="463"/>
      <c r="L75" s="463"/>
      <c r="M75" s="463"/>
      <c r="N75" s="463"/>
      <c r="O75" s="463"/>
      <c r="P75" s="463"/>
      <c r="Q75" s="463"/>
      <c r="R75" s="463"/>
      <c r="S75" s="463"/>
      <c r="T75" s="463"/>
      <c r="U75" s="463"/>
      <c r="V75" s="463"/>
      <c r="W75" s="463"/>
      <c r="X75" s="463"/>
      <c r="Y75" s="463"/>
      <c r="Z75" s="463"/>
      <c r="AA75" s="463"/>
      <c r="AB75" s="463"/>
      <c r="AD75" s="463"/>
      <c r="AE75" s="463"/>
      <c r="AG75" s="463"/>
      <c r="AI75" s="463"/>
      <c r="AJ75" s="463"/>
      <c r="AK75" s="463"/>
      <c r="AM75" s="463"/>
      <c r="AN75" s="463"/>
      <c r="AO75" s="463"/>
      <c r="AQ75" s="463"/>
      <c r="AR75" s="463"/>
      <c r="AS75" s="463"/>
      <c r="AT75" s="463"/>
      <c r="AU75" s="463"/>
      <c r="AV75" s="463"/>
      <c r="AX75" s="463"/>
      <c r="AY75" s="463"/>
      <c r="AZ75" s="463"/>
      <c r="BB75" s="463"/>
      <c r="BC75" s="463"/>
      <c r="BD75" s="463"/>
      <c r="BF75" s="463"/>
      <c r="BG75" s="463"/>
      <c r="BH75" s="463"/>
      <c r="BJ75" s="463"/>
      <c r="BK75" s="463"/>
      <c r="BL75" s="463"/>
      <c r="BN75" s="463"/>
      <c r="BO75" s="463"/>
      <c r="BP75" s="463"/>
      <c r="BQ75" s="463"/>
      <c r="BR75" s="463"/>
      <c r="BT75" s="463"/>
      <c r="BU75" s="463"/>
      <c r="BV75" s="463"/>
      <c r="BX75" s="463"/>
      <c r="BY75" s="463"/>
      <c r="BZ75" s="463"/>
      <c r="CB75" s="463"/>
      <c r="CC75" s="463"/>
      <c r="CD75" s="463"/>
      <c r="CF75" s="463"/>
      <c r="CG75" s="463"/>
      <c r="CH75" s="463"/>
      <c r="CJ75" s="463"/>
      <c r="CK75" s="463"/>
      <c r="CM75" s="463"/>
      <c r="CO75" s="463"/>
      <c r="CP75" s="463"/>
      <c r="CQ75" s="463"/>
      <c r="CS75" s="463"/>
      <c r="CT75" s="463"/>
      <c r="CU75" s="463"/>
      <c r="CW75" s="463"/>
      <c r="CX75" s="463"/>
      <c r="CY75" s="463"/>
      <c r="DA75" s="463"/>
      <c r="DB75" s="463"/>
      <c r="DC75" s="463"/>
      <c r="DD75" s="463"/>
      <c r="DE75" s="463"/>
      <c r="DF75" s="463"/>
      <c r="DH75" s="463"/>
      <c r="DI75" s="463"/>
      <c r="DJ75" s="463"/>
      <c r="DL75" s="463"/>
      <c r="DM75" s="463"/>
      <c r="DN75" s="463"/>
      <c r="DO75" s="463"/>
      <c r="DP75" s="463"/>
      <c r="DR75" s="463"/>
      <c r="DS75" s="463"/>
      <c r="DT75" s="463"/>
      <c r="DV75" s="463"/>
      <c r="DW75" s="463"/>
      <c r="DX75" s="463"/>
      <c r="DZ75" s="463"/>
      <c r="EA75" s="463"/>
      <c r="EB75" s="463"/>
      <c r="ED75" s="463"/>
      <c r="EE75" s="463"/>
      <c r="EF75" s="463"/>
      <c r="EH75" s="463"/>
      <c r="EI75" s="463"/>
      <c r="EJ75" s="463"/>
      <c r="EK75" s="463"/>
      <c r="EL75" s="463"/>
      <c r="EN75" s="463"/>
      <c r="EO75" s="463"/>
      <c r="EP75" s="463"/>
      <c r="ER75" s="463"/>
      <c r="ES75" s="463"/>
      <c r="ET75" s="463"/>
      <c r="EV75" s="463"/>
      <c r="EW75" s="463"/>
      <c r="EY75" s="463"/>
      <c r="EZ75" s="463"/>
      <c r="FA75" s="463"/>
      <c r="FB75" s="463"/>
      <c r="FC75" s="463"/>
      <c r="FD75" s="463"/>
      <c r="FE75" s="463"/>
      <c r="FF75" s="463"/>
      <c r="FG75" s="463"/>
      <c r="FH75" s="463"/>
      <c r="FI75" s="463"/>
      <c r="FJ75" s="463"/>
      <c r="FK75" s="463"/>
      <c r="FL75" s="463"/>
      <c r="FM75" s="463"/>
      <c r="FN75" s="463"/>
      <c r="FO75" s="463"/>
      <c r="FP75" s="463"/>
      <c r="FQ75" s="463"/>
      <c r="FS75" s="463"/>
      <c r="FT75" s="463"/>
      <c r="FU75" s="463"/>
      <c r="FV75" s="463"/>
      <c r="FW75" s="463"/>
      <c r="FX75" s="463"/>
      <c r="FY75" s="463"/>
      <c r="FZ75" s="463"/>
    </row>
    <row r="76" spans="1:182" ht="25" customHeight="1">
      <c r="A76" s="420"/>
      <c r="B76" s="393"/>
      <c r="C76" s="393"/>
      <c r="D76" s="421" t="s">
        <v>553</v>
      </c>
      <c r="E76" s="421" t="s">
        <v>554</v>
      </c>
      <c r="F76" s="421">
        <f>PI()</f>
        <v>3.1415926535897931</v>
      </c>
      <c r="G76" s="420"/>
      <c r="H76" s="831" t="s">
        <v>555</v>
      </c>
      <c r="I76" s="421" t="s">
        <v>439</v>
      </c>
      <c r="J76" s="421">
        <v>0.995</v>
      </c>
      <c r="K76" s="463"/>
      <c r="L76" s="463"/>
      <c r="M76" s="463"/>
      <c r="N76" s="463"/>
      <c r="O76" s="463"/>
      <c r="P76" s="463"/>
      <c r="Q76" s="463"/>
      <c r="R76" s="463"/>
      <c r="S76" s="463"/>
      <c r="T76" s="463"/>
      <c r="U76" s="463"/>
      <c r="V76" s="463"/>
      <c r="W76" s="463"/>
      <c r="X76" s="463"/>
      <c r="Y76" s="463"/>
      <c r="Z76" s="463"/>
      <c r="AA76" s="463"/>
      <c r="AB76" s="463"/>
      <c r="AD76" s="463"/>
      <c r="AE76" s="463"/>
      <c r="AG76" s="463"/>
      <c r="AI76" s="463"/>
      <c r="AJ76" s="463"/>
      <c r="AK76" s="463"/>
      <c r="AM76" s="463"/>
      <c r="AN76" s="463"/>
      <c r="AO76" s="463"/>
      <c r="AQ76" s="463"/>
      <c r="AR76" s="463"/>
      <c r="AS76" s="463"/>
      <c r="AT76" s="463"/>
      <c r="AU76" s="463"/>
      <c r="AV76" s="463"/>
      <c r="AX76" s="463"/>
      <c r="AY76" s="463"/>
      <c r="AZ76" s="463"/>
      <c r="BB76" s="463"/>
      <c r="BC76" s="463"/>
      <c r="BD76" s="463"/>
      <c r="BF76" s="463"/>
      <c r="BG76" s="463"/>
      <c r="BH76" s="463"/>
      <c r="BJ76" s="463"/>
      <c r="BK76" s="463"/>
      <c r="BL76" s="463"/>
      <c r="BN76" s="463"/>
      <c r="BO76" s="463"/>
      <c r="BP76" s="463"/>
      <c r="BQ76" s="463"/>
      <c r="BR76" s="463"/>
      <c r="BT76" s="463"/>
      <c r="BU76" s="463"/>
      <c r="BV76" s="463"/>
      <c r="BX76" s="463"/>
      <c r="BY76" s="463"/>
      <c r="BZ76" s="463"/>
      <c r="CB76" s="463"/>
      <c r="CC76" s="463"/>
      <c r="CD76" s="463"/>
      <c r="CF76" s="463"/>
      <c r="CG76" s="463"/>
      <c r="CH76" s="463"/>
      <c r="CJ76" s="463"/>
      <c r="CK76" s="463"/>
      <c r="CM76" s="463"/>
      <c r="CO76" s="463"/>
      <c r="CP76" s="463"/>
      <c r="CQ76" s="463"/>
      <c r="CS76" s="463"/>
      <c r="CT76" s="463"/>
      <c r="CU76" s="463"/>
      <c r="CW76" s="463"/>
      <c r="CX76" s="463"/>
      <c r="CY76" s="463"/>
      <c r="DA76" s="463"/>
      <c r="DB76" s="463"/>
      <c r="DC76" s="463"/>
      <c r="DD76" s="463"/>
      <c r="DE76" s="463"/>
      <c r="DF76" s="463"/>
      <c r="DH76" s="463"/>
      <c r="DI76" s="463"/>
      <c r="DJ76" s="463"/>
      <c r="DL76" s="463"/>
      <c r="DM76" s="463"/>
      <c r="DN76" s="463"/>
      <c r="DO76" s="463"/>
      <c r="DP76" s="463"/>
      <c r="DR76" s="463"/>
      <c r="DS76" s="463"/>
      <c r="DT76" s="463"/>
      <c r="DV76" s="463"/>
      <c r="DW76" s="463"/>
      <c r="DX76" s="463"/>
      <c r="DZ76" s="463"/>
      <c r="EA76" s="463"/>
      <c r="EB76" s="463"/>
      <c r="ED76" s="463"/>
      <c r="EE76" s="463"/>
      <c r="EF76" s="463"/>
      <c r="EH76" s="463"/>
      <c r="EI76" s="463"/>
      <c r="EJ76" s="463"/>
      <c r="EK76" s="463"/>
      <c r="EL76" s="463"/>
      <c r="EN76" s="463"/>
      <c r="EO76" s="463"/>
      <c r="EP76" s="463"/>
      <c r="ER76" s="463"/>
      <c r="ES76" s="463"/>
      <c r="ET76" s="463"/>
      <c r="EV76" s="463"/>
      <c r="EW76" s="463"/>
      <c r="EY76" s="463"/>
      <c r="EZ76" s="463"/>
      <c r="FA76" s="463"/>
      <c r="FB76" s="463"/>
      <c r="FC76" s="463"/>
      <c r="FD76" s="463"/>
      <c r="FE76" s="463"/>
      <c r="FF76" s="463"/>
      <c r="FG76" s="463"/>
      <c r="FH76" s="463"/>
      <c r="FI76" s="463"/>
      <c r="FJ76" s="463"/>
      <c r="FK76" s="463"/>
      <c r="FL76" s="463"/>
      <c r="FM76" s="463"/>
      <c r="FN76" s="463"/>
      <c r="FO76" s="463"/>
      <c r="FP76" s="463"/>
      <c r="FQ76" s="463"/>
      <c r="FS76" s="463"/>
      <c r="FT76" s="463"/>
      <c r="FU76" s="463"/>
      <c r="FV76" s="463"/>
      <c r="FW76" s="463"/>
      <c r="FX76" s="463"/>
      <c r="FY76" s="463"/>
      <c r="FZ76" s="463"/>
    </row>
    <row r="77" spans="1:182" ht="25" customHeight="1">
      <c r="A77" s="420"/>
      <c r="B77" s="393"/>
      <c r="C77" s="393"/>
      <c r="D77" s="421"/>
      <c r="E77" s="421" t="s">
        <v>556</v>
      </c>
      <c r="F77" s="428">
        <f>F76/4</f>
        <v>0.78539816339744828</v>
      </c>
      <c r="G77" s="420"/>
      <c r="H77" s="831"/>
      <c r="I77" s="421" t="s">
        <v>446</v>
      </c>
      <c r="J77" s="454">
        <v>0.04</v>
      </c>
      <c r="K77" s="463"/>
      <c r="L77" s="463"/>
      <c r="M77" s="463"/>
      <c r="N77" s="463"/>
      <c r="O77" s="463"/>
      <c r="P77" s="463"/>
      <c r="Q77" s="463"/>
      <c r="R77" s="463"/>
      <c r="S77" s="463"/>
      <c r="T77" s="463"/>
      <c r="U77" s="463"/>
      <c r="V77" s="463"/>
      <c r="W77" s="463"/>
      <c r="X77" s="463"/>
      <c r="Y77" s="463"/>
      <c r="Z77" s="463"/>
      <c r="AA77" s="463"/>
      <c r="AB77" s="463"/>
      <c r="AD77" s="463"/>
      <c r="AE77" s="463"/>
      <c r="AG77" s="463"/>
      <c r="AI77" s="463"/>
      <c r="AJ77" s="463"/>
      <c r="AK77" s="463"/>
      <c r="AM77" s="463"/>
      <c r="AN77" s="463"/>
      <c r="AO77" s="463"/>
      <c r="AQ77" s="463"/>
      <c r="AR77" s="463"/>
      <c r="AS77" s="463"/>
      <c r="AT77" s="463"/>
      <c r="AU77" s="463"/>
      <c r="AV77" s="463"/>
      <c r="AX77" s="463"/>
      <c r="AY77" s="463"/>
      <c r="AZ77" s="463"/>
      <c r="BB77" s="463"/>
      <c r="BC77" s="463"/>
      <c r="BD77" s="463"/>
      <c r="BF77" s="463"/>
      <c r="BG77" s="463"/>
      <c r="BH77" s="463"/>
      <c r="BJ77" s="463"/>
      <c r="BK77" s="463"/>
      <c r="BL77" s="463"/>
      <c r="BN77" s="463"/>
      <c r="BO77" s="463"/>
      <c r="BP77" s="463"/>
      <c r="BQ77" s="463"/>
      <c r="BR77" s="463"/>
      <c r="BT77" s="463"/>
      <c r="BU77" s="463"/>
      <c r="BV77" s="463"/>
      <c r="BX77" s="463"/>
      <c r="BY77" s="463"/>
      <c r="BZ77" s="463"/>
      <c r="CB77" s="463"/>
      <c r="CC77" s="463"/>
      <c r="CD77" s="463"/>
      <c r="CF77" s="463"/>
      <c r="CG77" s="463"/>
      <c r="CH77" s="463"/>
      <c r="CJ77" s="463"/>
      <c r="CK77" s="463"/>
      <c r="CM77" s="463"/>
      <c r="CO77" s="463"/>
      <c r="CP77" s="463"/>
      <c r="CQ77" s="463"/>
      <c r="CS77" s="463"/>
      <c r="CT77" s="463"/>
      <c r="CU77" s="463"/>
      <c r="CW77" s="463"/>
      <c r="CX77" s="463"/>
      <c r="CY77" s="463"/>
      <c r="DA77" s="463"/>
      <c r="DB77" s="463"/>
      <c r="DC77" s="463"/>
      <c r="DD77" s="463"/>
      <c r="DE77" s="463"/>
      <c r="DF77" s="463"/>
      <c r="DH77" s="463"/>
      <c r="DI77" s="463"/>
      <c r="DJ77" s="463"/>
      <c r="DL77" s="463"/>
      <c r="DM77" s="463"/>
      <c r="DN77" s="463"/>
      <c r="DO77" s="463"/>
      <c r="DP77" s="463"/>
      <c r="DR77" s="463"/>
      <c r="DS77" s="463"/>
      <c r="DT77" s="463"/>
      <c r="DV77" s="463"/>
      <c r="DW77" s="463"/>
      <c r="DX77" s="463"/>
      <c r="DZ77" s="463"/>
      <c r="EA77" s="463"/>
      <c r="EB77" s="463"/>
      <c r="ED77" s="463"/>
      <c r="EE77" s="463"/>
      <c r="EF77" s="463"/>
      <c r="EH77" s="463"/>
      <c r="EI77" s="463"/>
      <c r="EJ77" s="463"/>
      <c r="EK77" s="463"/>
      <c r="EL77" s="463"/>
      <c r="EN77" s="463"/>
      <c r="EO77" s="463"/>
      <c r="EP77" s="463"/>
      <c r="ER77" s="463"/>
      <c r="ES77" s="463"/>
      <c r="ET77" s="463"/>
      <c r="EV77" s="463"/>
      <c r="EW77" s="463"/>
      <c r="EY77" s="463"/>
      <c r="EZ77" s="463"/>
      <c r="FA77" s="463"/>
      <c r="FB77" s="463"/>
      <c r="FC77" s="463"/>
      <c r="FD77" s="463"/>
      <c r="FE77" s="463"/>
      <c r="FF77" s="463"/>
      <c r="FG77" s="463"/>
      <c r="FH77" s="463"/>
      <c r="FI77" s="463"/>
      <c r="FJ77" s="463"/>
      <c r="FK77" s="463"/>
      <c r="FL77" s="463"/>
      <c r="FM77" s="463"/>
      <c r="FN77" s="463"/>
      <c r="FO77" s="463"/>
      <c r="FP77" s="463"/>
      <c r="FQ77" s="463"/>
      <c r="FS77" s="463"/>
      <c r="FT77" s="463"/>
      <c r="FU77" s="463"/>
      <c r="FV77" s="463"/>
      <c r="FW77" s="463"/>
      <c r="FX77" s="463"/>
      <c r="FY77" s="463"/>
      <c r="FZ77" s="463"/>
    </row>
    <row r="78" spans="1:182" ht="25" customHeight="1">
      <c r="A78" s="420"/>
      <c r="B78" s="393"/>
      <c r="C78" s="393"/>
      <c r="D78" s="421" t="s">
        <v>557</v>
      </c>
      <c r="E78" s="472">
        <v>0.1</v>
      </c>
      <c r="F78" s="421"/>
      <c r="G78" s="420"/>
      <c r="H78" s="831"/>
      <c r="I78" s="421" t="s">
        <v>450</v>
      </c>
      <c r="J78" s="454">
        <v>0</v>
      </c>
      <c r="K78" s="463"/>
      <c r="L78" s="463"/>
      <c r="M78" s="463"/>
      <c r="N78" s="463"/>
      <c r="O78" s="463"/>
      <c r="P78" s="463"/>
      <c r="Q78" s="463"/>
      <c r="R78" s="463"/>
      <c r="S78" s="463"/>
      <c r="T78" s="463"/>
      <c r="U78" s="463"/>
      <c r="V78" s="463"/>
      <c r="W78" s="463"/>
      <c r="X78" s="463"/>
      <c r="Y78" s="463"/>
      <c r="Z78" s="463"/>
      <c r="AA78" s="463"/>
      <c r="AB78" s="463"/>
      <c r="AD78" s="463"/>
      <c r="AE78" s="463"/>
      <c r="AG78" s="463"/>
      <c r="AI78" s="463"/>
      <c r="AJ78" s="463"/>
      <c r="AK78" s="463"/>
      <c r="AM78" s="463"/>
      <c r="AN78" s="463"/>
      <c r="AO78" s="463"/>
      <c r="AQ78" s="463"/>
      <c r="AR78" s="463"/>
      <c r="AS78" s="463"/>
      <c r="AT78" s="463"/>
      <c r="AU78" s="463"/>
      <c r="AV78" s="463"/>
      <c r="AX78" s="463"/>
      <c r="AY78" s="463"/>
      <c r="AZ78" s="463"/>
      <c r="BB78" s="463"/>
      <c r="BC78" s="463"/>
      <c r="BD78" s="463"/>
      <c r="BF78" s="463"/>
      <c r="BG78" s="463"/>
      <c r="BH78" s="463"/>
      <c r="BJ78" s="463"/>
      <c r="BK78" s="463"/>
      <c r="BL78" s="463"/>
      <c r="BN78" s="463"/>
      <c r="BO78" s="463"/>
      <c r="BP78" s="463"/>
      <c r="BQ78" s="463"/>
      <c r="BR78" s="463"/>
      <c r="BT78" s="463"/>
      <c r="BU78" s="463"/>
      <c r="BV78" s="463"/>
      <c r="BX78" s="463"/>
      <c r="BY78" s="463"/>
      <c r="BZ78" s="463"/>
      <c r="CB78" s="463"/>
      <c r="CC78" s="463"/>
      <c r="CD78" s="463"/>
      <c r="CF78" s="463"/>
      <c r="CG78" s="463"/>
      <c r="CH78" s="463"/>
      <c r="CJ78" s="463"/>
      <c r="CK78" s="463"/>
      <c r="CM78" s="463"/>
      <c r="CO78" s="463"/>
      <c r="CP78" s="463"/>
      <c r="CQ78" s="463"/>
      <c r="CS78" s="463"/>
      <c r="CT78" s="463"/>
      <c r="CU78" s="463"/>
      <c r="CW78" s="463"/>
      <c r="CX78" s="463"/>
      <c r="CY78" s="463"/>
      <c r="DA78" s="463"/>
      <c r="DB78" s="463"/>
      <c r="DC78" s="463"/>
      <c r="DD78" s="463"/>
      <c r="DE78" s="463"/>
      <c r="DF78" s="463"/>
      <c r="DH78" s="463"/>
      <c r="DI78" s="463"/>
      <c r="DJ78" s="463"/>
      <c r="DL78" s="463"/>
      <c r="DM78" s="463"/>
      <c r="DN78" s="463"/>
      <c r="DO78" s="463"/>
      <c r="DP78" s="463"/>
      <c r="DR78" s="463"/>
      <c r="DS78" s="463"/>
      <c r="DT78" s="463"/>
      <c r="DV78" s="463"/>
      <c r="DW78" s="463"/>
      <c r="DX78" s="463"/>
      <c r="DZ78" s="463"/>
      <c r="EA78" s="463"/>
      <c r="EB78" s="463"/>
      <c r="ED78" s="463"/>
      <c r="EE78" s="463"/>
      <c r="EF78" s="463"/>
      <c r="EH78" s="463"/>
      <c r="EI78" s="463"/>
      <c r="EJ78" s="463"/>
      <c r="EK78" s="463"/>
      <c r="EL78" s="463"/>
      <c r="EN78" s="463"/>
      <c r="EO78" s="463"/>
      <c r="EP78" s="463"/>
      <c r="ER78" s="463"/>
      <c r="ES78" s="463"/>
      <c r="ET78" s="463"/>
      <c r="EV78" s="463"/>
      <c r="EW78" s="463"/>
      <c r="EY78" s="463"/>
      <c r="EZ78" s="463"/>
      <c r="FA78" s="463"/>
      <c r="FB78" s="463"/>
      <c r="FC78" s="463"/>
      <c r="FD78" s="463"/>
      <c r="FE78" s="463"/>
      <c r="FF78" s="463"/>
      <c r="FG78" s="463"/>
      <c r="FH78" s="463"/>
      <c r="FI78" s="463"/>
      <c r="FJ78" s="463"/>
      <c r="FK78" s="463"/>
      <c r="FL78" s="463"/>
      <c r="FM78" s="463"/>
      <c r="FN78" s="463"/>
      <c r="FO78" s="463"/>
      <c r="FP78" s="463"/>
      <c r="FQ78" s="463"/>
      <c r="FS78" s="463"/>
      <c r="FT78" s="463"/>
      <c r="FU78" s="463"/>
      <c r="FV78" s="463"/>
      <c r="FW78" s="463"/>
      <c r="FX78" s="463"/>
      <c r="FY78" s="463"/>
      <c r="FZ78" s="463"/>
    </row>
    <row r="79" spans="1:182" ht="25" customHeight="1">
      <c r="A79" s="420"/>
      <c r="B79" s="393"/>
      <c r="C79" s="393"/>
      <c r="D79" s="421" t="s">
        <v>558</v>
      </c>
      <c r="E79" s="472">
        <v>0.1</v>
      </c>
      <c r="F79" s="425"/>
      <c r="G79" s="420"/>
      <c r="H79" s="831"/>
      <c r="I79" s="421"/>
      <c r="J79" s="454"/>
      <c r="K79" s="463"/>
      <c r="L79" s="463"/>
      <c r="M79" s="463"/>
      <c r="N79" s="463"/>
      <c r="O79" s="463"/>
      <c r="P79" s="463"/>
      <c r="Q79" s="463"/>
      <c r="R79" s="463"/>
      <c r="S79" s="463"/>
      <c r="T79" s="463"/>
      <c r="U79" s="463"/>
      <c r="V79" s="463"/>
      <c r="W79" s="463"/>
      <c r="X79" s="463"/>
      <c r="Y79" s="463"/>
      <c r="Z79" s="463"/>
      <c r="AA79" s="463"/>
      <c r="AB79" s="463"/>
      <c r="AD79" s="463"/>
      <c r="AE79" s="463"/>
      <c r="AG79" s="463"/>
      <c r="AI79" s="463"/>
      <c r="AJ79" s="463"/>
      <c r="AK79" s="463"/>
      <c r="AM79" s="463"/>
      <c r="AN79" s="463"/>
      <c r="AO79" s="463"/>
      <c r="AQ79" s="463"/>
      <c r="AR79" s="463"/>
      <c r="AS79" s="463"/>
      <c r="AT79" s="463"/>
      <c r="AU79" s="463"/>
      <c r="AV79" s="463"/>
      <c r="AX79" s="463"/>
      <c r="AY79" s="463"/>
      <c r="AZ79" s="463"/>
      <c r="BB79" s="463"/>
      <c r="BC79" s="463"/>
      <c r="BD79" s="463"/>
      <c r="BF79" s="463"/>
      <c r="BG79" s="463"/>
      <c r="BH79" s="463"/>
      <c r="BJ79" s="463"/>
      <c r="BK79" s="463"/>
      <c r="BL79" s="463"/>
      <c r="BN79" s="463"/>
      <c r="BO79" s="463"/>
      <c r="BP79" s="463"/>
      <c r="BQ79" s="463"/>
      <c r="BR79" s="463"/>
      <c r="BT79" s="463"/>
      <c r="BU79" s="463"/>
      <c r="BV79" s="463"/>
      <c r="BX79" s="463"/>
      <c r="BY79" s="463"/>
      <c r="BZ79" s="463"/>
      <c r="CB79" s="463"/>
      <c r="CC79" s="463"/>
      <c r="CD79" s="463"/>
      <c r="CF79" s="463"/>
      <c r="CG79" s="463"/>
      <c r="CH79" s="463"/>
      <c r="CJ79" s="463"/>
      <c r="CK79" s="463"/>
      <c r="CM79" s="463"/>
      <c r="CO79" s="463"/>
      <c r="CP79" s="463"/>
      <c r="CQ79" s="463"/>
      <c r="CS79" s="463"/>
      <c r="CT79" s="463"/>
      <c r="CU79" s="463"/>
      <c r="CW79" s="463"/>
      <c r="CX79" s="463"/>
      <c r="CY79" s="463"/>
      <c r="DA79" s="463"/>
      <c r="DB79" s="463"/>
      <c r="DC79" s="463"/>
      <c r="DD79" s="463"/>
      <c r="DE79" s="463"/>
      <c r="DF79" s="463"/>
      <c r="DH79" s="463"/>
      <c r="DI79" s="463"/>
      <c r="DJ79" s="463"/>
      <c r="DL79" s="463"/>
      <c r="DM79" s="463"/>
      <c r="DN79" s="463"/>
      <c r="DO79" s="463"/>
      <c r="DP79" s="463"/>
      <c r="DR79" s="463"/>
      <c r="DS79" s="463"/>
      <c r="DT79" s="463"/>
      <c r="DV79" s="463"/>
      <c r="DW79" s="463"/>
      <c r="DX79" s="463"/>
      <c r="DZ79" s="463"/>
      <c r="EA79" s="463"/>
      <c r="EB79" s="463"/>
      <c r="ED79" s="463"/>
      <c r="EE79" s="463"/>
      <c r="EF79" s="463"/>
      <c r="EH79" s="463"/>
      <c r="EI79" s="463"/>
      <c r="EJ79" s="463"/>
      <c r="EK79" s="463"/>
      <c r="EL79" s="463"/>
      <c r="EN79" s="463"/>
      <c r="EO79" s="463"/>
      <c r="EP79" s="463"/>
      <c r="ER79" s="463"/>
      <c r="ES79" s="463"/>
      <c r="ET79" s="463"/>
      <c r="EV79" s="463"/>
      <c r="EW79" s="463"/>
      <c r="EY79" s="463"/>
      <c r="EZ79" s="463"/>
      <c r="FA79" s="463"/>
      <c r="FB79" s="463"/>
      <c r="FC79" s="463"/>
      <c r="FD79" s="463"/>
      <c r="FE79" s="463"/>
      <c r="FF79" s="463"/>
      <c r="FG79" s="463"/>
      <c r="FH79" s="463"/>
      <c r="FI79" s="463"/>
      <c r="FJ79" s="463"/>
      <c r="FK79" s="463"/>
      <c r="FL79" s="463"/>
      <c r="FM79" s="463"/>
      <c r="FN79" s="463"/>
      <c r="FO79" s="463"/>
      <c r="FP79" s="463"/>
      <c r="FQ79" s="463"/>
      <c r="FS79" s="463"/>
      <c r="FT79" s="463"/>
      <c r="FU79" s="463"/>
      <c r="FV79" s="463"/>
      <c r="FW79" s="463"/>
      <c r="FX79" s="463"/>
      <c r="FY79" s="463"/>
      <c r="FZ79" s="463"/>
    </row>
    <row r="80" spans="1:182">
      <c r="A80" s="420"/>
      <c r="B80" s="393"/>
      <c r="C80" s="393"/>
      <c r="D80" s="425"/>
      <c r="E80" s="425"/>
      <c r="F80" s="425"/>
      <c r="G80" s="420"/>
      <c r="H80" s="425"/>
      <c r="I80" s="425"/>
      <c r="J80" s="496"/>
      <c r="K80" s="463"/>
      <c r="L80" s="463"/>
      <c r="M80" s="463"/>
      <c r="N80" s="463"/>
      <c r="O80" s="463"/>
      <c r="P80" s="463"/>
      <c r="Q80" s="463"/>
      <c r="R80" s="463"/>
      <c r="S80" s="463"/>
      <c r="T80" s="463"/>
      <c r="U80" s="463"/>
      <c r="V80" s="463"/>
      <c r="W80" s="463"/>
      <c r="X80" s="463"/>
      <c r="Y80" s="463"/>
      <c r="Z80" s="463"/>
      <c r="AA80" s="463"/>
      <c r="AB80" s="463"/>
      <c r="AD80" s="463"/>
      <c r="AE80" s="463"/>
      <c r="AG80" s="463"/>
      <c r="AI80" s="463"/>
      <c r="AJ80" s="463"/>
      <c r="AK80" s="463"/>
      <c r="AM80" s="463"/>
      <c r="AN80" s="463"/>
      <c r="AO80" s="463"/>
      <c r="AQ80" s="463"/>
      <c r="AR80" s="463"/>
      <c r="AS80" s="463"/>
      <c r="AT80" s="463"/>
      <c r="AU80" s="463"/>
      <c r="AV80" s="463"/>
      <c r="AX80" s="463"/>
      <c r="AY80" s="463"/>
      <c r="AZ80" s="463"/>
      <c r="BB80" s="463"/>
      <c r="BC80" s="463"/>
      <c r="BD80" s="463"/>
      <c r="BF80" s="463"/>
      <c r="BG80" s="463"/>
      <c r="BH80" s="463"/>
      <c r="BJ80" s="463"/>
      <c r="BK80" s="463"/>
      <c r="BL80" s="463"/>
      <c r="BN80" s="463"/>
      <c r="BO80" s="463"/>
      <c r="BP80" s="463"/>
      <c r="BQ80" s="463"/>
      <c r="BR80" s="463"/>
      <c r="BT80" s="463"/>
      <c r="BU80" s="463"/>
      <c r="BV80" s="463"/>
      <c r="BX80" s="463"/>
      <c r="BY80" s="463"/>
      <c r="BZ80" s="463"/>
      <c r="CB80" s="463"/>
      <c r="CC80" s="463"/>
      <c r="CD80" s="463"/>
      <c r="CF80" s="463"/>
      <c r="CG80" s="463"/>
      <c r="CH80" s="463"/>
      <c r="CJ80" s="463"/>
      <c r="CK80" s="463"/>
      <c r="CM80" s="463"/>
      <c r="CO80" s="463"/>
      <c r="CP80" s="463"/>
      <c r="CQ80" s="463"/>
      <c r="CS80" s="463"/>
      <c r="CT80" s="463"/>
      <c r="CU80" s="463"/>
      <c r="CW80" s="463"/>
      <c r="CX80" s="463"/>
      <c r="CY80" s="463"/>
      <c r="DA80" s="463"/>
      <c r="DB80" s="463"/>
      <c r="DC80" s="463"/>
      <c r="DD80" s="463"/>
      <c r="DE80" s="463"/>
      <c r="DF80" s="463"/>
      <c r="DH80" s="463"/>
      <c r="DI80" s="463"/>
      <c r="DJ80" s="463"/>
      <c r="DL80" s="463"/>
      <c r="DM80" s="463"/>
      <c r="DN80" s="463"/>
      <c r="DO80" s="463"/>
      <c r="DP80" s="463"/>
      <c r="DR80" s="463"/>
      <c r="DS80" s="463"/>
      <c r="DT80" s="463"/>
      <c r="DV80" s="463"/>
      <c r="DW80" s="463"/>
      <c r="DX80" s="463"/>
      <c r="DZ80" s="463"/>
      <c r="EA80" s="463"/>
      <c r="EB80" s="463"/>
      <c r="ED80" s="463"/>
      <c r="EE80" s="463"/>
      <c r="EF80" s="463"/>
      <c r="EH80" s="463"/>
      <c r="EI80" s="463"/>
      <c r="EJ80" s="463"/>
      <c r="EK80" s="463"/>
      <c r="EL80" s="463"/>
      <c r="EN80" s="463"/>
      <c r="EO80" s="463"/>
      <c r="EP80" s="463"/>
      <c r="ER80" s="463"/>
      <c r="ES80" s="463"/>
      <c r="ET80" s="463"/>
      <c r="EV80" s="463"/>
      <c r="EW80" s="463"/>
      <c r="EY80" s="463"/>
      <c r="EZ80" s="463"/>
      <c r="FA80" s="463"/>
      <c r="FB80" s="463"/>
      <c r="FC80" s="463"/>
      <c r="FD80" s="463"/>
      <c r="FE80" s="463"/>
      <c r="FF80" s="463"/>
      <c r="FG80" s="463"/>
      <c r="FH80" s="463"/>
      <c r="FI80" s="463"/>
      <c r="FJ80" s="463"/>
      <c r="FK80" s="463"/>
      <c r="FL80" s="463"/>
      <c r="FM80" s="463"/>
      <c r="FN80" s="463"/>
      <c r="FO80" s="463"/>
      <c r="FP80" s="463"/>
      <c r="FQ80" s="463"/>
      <c r="FS80" s="463"/>
      <c r="FT80" s="463"/>
      <c r="FU80" s="463"/>
      <c r="FV80" s="463"/>
      <c r="FW80" s="463"/>
      <c r="FX80" s="463"/>
      <c r="FY80" s="463"/>
      <c r="FZ80" s="463"/>
    </row>
    <row r="81" spans="1:182">
      <c r="A81" s="420"/>
      <c r="B81" s="393"/>
      <c r="C81" s="393"/>
      <c r="D81" s="425"/>
      <c r="E81" s="425"/>
      <c r="F81" s="425"/>
      <c r="G81" s="420"/>
      <c r="H81" s="425"/>
      <c r="I81" s="425"/>
      <c r="J81" s="496"/>
      <c r="K81" s="463"/>
      <c r="L81" s="463"/>
      <c r="M81" s="463"/>
      <c r="N81" s="463"/>
      <c r="O81" s="463"/>
      <c r="P81" s="463"/>
      <c r="Q81" s="463"/>
      <c r="R81" s="463"/>
      <c r="S81" s="463"/>
      <c r="T81" s="463"/>
      <c r="U81" s="463"/>
      <c r="V81" s="463"/>
      <c r="W81" s="463"/>
      <c r="X81" s="463"/>
      <c r="Y81" s="463"/>
      <c r="Z81" s="463"/>
      <c r="AA81" s="463"/>
      <c r="AB81" s="463"/>
      <c r="AD81" s="463"/>
      <c r="AE81" s="463"/>
      <c r="AG81" s="463"/>
      <c r="AI81" s="463"/>
      <c r="AJ81" s="463"/>
      <c r="AK81" s="463"/>
      <c r="AM81" s="463"/>
      <c r="AN81" s="463"/>
      <c r="AO81" s="463"/>
      <c r="AQ81" s="463"/>
      <c r="AR81" s="463"/>
      <c r="AS81" s="463"/>
      <c r="AT81" s="463"/>
      <c r="AU81" s="463"/>
      <c r="AV81" s="463"/>
      <c r="AX81" s="463"/>
      <c r="AY81" s="463"/>
      <c r="AZ81" s="463"/>
      <c r="BB81" s="463"/>
      <c r="BC81" s="463"/>
      <c r="BD81" s="463"/>
      <c r="BF81" s="463"/>
      <c r="BG81" s="463"/>
      <c r="BH81" s="463"/>
      <c r="BJ81" s="463"/>
      <c r="BK81" s="463"/>
      <c r="BL81" s="463"/>
      <c r="BN81" s="463"/>
      <c r="BO81" s="463"/>
      <c r="BP81" s="463"/>
      <c r="BQ81" s="463"/>
      <c r="BR81" s="463"/>
      <c r="BT81" s="463"/>
      <c r="BU81" s="463"/>
      <c r="BV81" s="463"/>
      <c r="BX81" s="463"/>
      <c r="BY81" s="463"/>
      <c r="BZ81" s="463"/>
      <c r="CB81" s="463"/>
      <c r="CC81" s="463"/>
      <c r="CD81" s="463"/>
      <c r="CF81" s="463"/>
      <c r="CG81" s="463"/>
      <c r="CH81" s="463"/>
      <c r="CJ81" s="463"/>
      <c r="CK81" s="463"/>
      <c r="CM81" s="463"/>
      <c r="CO81" s="463"/>
      <c r="CP81" s="463"/>
      <c r="CQ81" s="463"/>
      <c r="CS81" s="463"/>
      <c r="CT81" s="463"/>
      <c r="CU81" s="463"/>
      <c r="CW81" s="463"/>
      <c r="CX81" s="463"/>
      <c r="CY81" s="463"/>
      <c r="DA81" s="463"/>
      <c r="DB81" s="463"/>
      <c r="DC81" s="463"/>
      <c r="DD81" s="463"/>
      <c r="DE81" s="463"/>
      <c r="DF81" s="463"/>
      <c r="DH81" s="463"/>
      <c r="DI81" s="463"/>
      <c r="DJ81" s="463"/>
      <c r="DL81" s="463"/>
      <c r="DM81" s="463"/>
      <c r="DN81" s="463"/>
      <c r="DO81" s="463"/>
      <c r="DP81" s="463"/>
      <c r="DR81" s="463"/>
      <c r="DS81" s="463"/>
      <c r="DT81" s="463"/>
      <c r="DV81" s="463"/>
      <c r="DW81" s="463"/>
      <c r="DX81" s="463"/>
      <c r="DZ81" s="463"/>
      <c r="EA81" s="463"/>
      <c r="EB81" s="463"/>
      <c r="ED81" s="463"/>
      <c r="EE81" s="463"/>
      <c r="EF81" s="463"/>
      <c r="EH81" s="463"/>
      <c r="EI81" s="463"/>
      <c r="EJ81" s="463"/>
      <c r="EK81" s="463"/>
      <c r="EL81" s="463"/>
      <c r="EN81" s="463"/>
      <c r="EO81" s="463"/>
      <c r="EP81" s="463"/>
      <c r="ER81" s="463"/>
      <c r="ES81" s="463"/>
      <c r="ET81" s="463"/>
      <c r="EV81" s="463"/>
      <c r="EW81" s="463"/>
      <c r="EY81" s="463"/>
      <c r="EZ81" s="463"/>
      <c r="FA81" s="463"/>
      <c r="FB81" s="463"/>
      <c r="FC81" s="463"/>
      <c r="FD81" s="463"/>
      <c r="FE81" s="463"/>
      <c r="FF81" s="463"/>
      <c r="FG81" s="463"/>
      <c r="FH81" s="463"/>
      <c r="FI81" s="463"/>
      <c r="FJ81" s="463"/>
      <c r="FK81" s="463"/>
      <c r="FL81" s="463"/>
      <c r="FM81" s="463"/>
      <c r="FN81" s="463"/>
      <c r="FO81" s="463"/>
      <c r="FP81" s="463"/>
      <c r="FQ81" s="463"/>
      <c r="FS81" s="463"/>
      <c r="FT81" s="463"/>
      <c r="FU81" s="463"/>
      <c r="FV81" s="463"/>
      <c r="FW81" s="463"/>
      <c r="FX81" s="463"/>
      <c r="FY81" s="463"/>
      <c r="FZ81" s="463"/>
    </row>
    <row r="82" spans="1:182">
      <c r="A82" s="420"/>
      <c r="B82" s="393"/>
      <c r="C82" s="393"/>
      <c r="D82" s="393"/>
      <c r="E82" s="393"/>
      <c r="F82" s="393"/>
      <c r="G82" s="420"/>
      <c r="H82" s="425"/>
      <c r="I82" s="425"/>
      <c r="J82" s="496"/>
      <c r="K82" s="463"/>
      <c r="L82" s="463"/>
      <c r="M82" s="463"/>
      <c r="N82" s="463"/>
      <c r="O82" s="463"/>
      <c r="P82" s="463"/>
      <c r="Q82" s="463"/>
      <c r="R82" s="463"/>
      <c r="S82" s="463"/>
      <c r="T82" s="463"/>
      <c r="U82" s="463"/>
      <c r="V82" s="463"/>
      <c r="W82" s="463"/>
      <c r="X82" s="463"/>
      <c r="Y82" s="463"/>
      <c r="Z82" s="463"/>
      <c r="AA82" s="463"/>
      <c r="AB82" s="463"/>
      <c r="AD82" s="463"/>
      <c r="AE82" s="463"/>
      <c r="AG82" s="463"/>
      <c r="AI82" s="463"/>
      <c r="AJ82" s="463"/>
      <c r="AK82" s="463"/>
      <c r="AM82" s="463"/>
      <c r="AN82" s="463"/>
      <c r="AO82" s="463"/>
      <c r="AQ82" s="463"/>
      <c r="AR82" s="463"/>
      <c r="AS82" s="463"/>
      <c r="AT82" s="463"/>
      <c r="AU82" s="463"/>
      <c r="AV82" s="463"/>
      <c r="AX82" s="463"/>
      <c r="AY82" s="463"/>
      <c r="AZ82" s="463"/>
      <c r="BB82" s="463"/>
      <c r="BC82" s="463"/>
      <c r="BD82" s="463"/>
      <c r="BF82" s="463"/>
      <c r="BG82" s="463"/>
      <c r="BH82" s="463"/>
      <c r="BJ82" s="463"/>
      <c r="BK82" s="463"/>
      <c r="BL82" s="463"/>
      <c r="BN82" s="463"/>
      <c r="BO82" s="463"/>
      <c r="BP82" s="463"/>
      <c r="BQ82" s="463"/>
      <c r="BR82" s="463"/>
      <c r="BT82" s="463"/>
      <c r="BU82" s="463"/>
      <c r="BV82" s="463"/>
      <c r="BX82" s="463"/>
      <c r="BY82" s="463"/>
      <c r="BZ82" s="463"/>
      <c r="CB82" s="463"/>
      <c r="CC82" s="463"/>
      <c r="CD82" s="463"/>
      <c r="CF82" s="463"/>
      <c r="CG82" s="463"/>
      <c r="CH82" s="463"/>
      <c r="CJ82" s="463"/>
      <c r="CK82" s="463"/>
      <c r="CM82" s="463"/>
      <c r="CO82" s="463"/>
      <c r="CP82" s="463"/>
      <c r="CQ82" s="463"/>
      <c r="CS82" s="463"/>
      <c r="CT82" s="463"/>
      <c r="CU82" s="463"/>
      <c r="CW82" s="463"/>
      <c r="CX82" s="463"/>
      <c r="CY82" s="463"/>
      <c r="DA82" s="463"/>
      <c r="DB82" s="463"/>
      <c r="DC82" s="463"/>
      <c r="DD82" s="463"/>
      <c r="DE82" s="463"/>
      <c r="DF82" s="463"/>
      <c r="DH82" s="463"/>
      <c r="DI82" s="463"/>
      <c r="DJ82" s="463"/>
      <c r="DL82" s="463"/>
      <c r="DM82" s="463"/>
      <c r="DN82" s="463"/>
      <c r="DO82" s="463"/>
      <c r="DP82" s="463"/>
      <c r="DR82" s="463"/>
      <c r="DS82" s="463"/>
      <c r="DT82" s="463"/>
      <c r="DV82" s="463"/>
      <c r="DW82" s="463"/>
      <c r="DX82" s="463"/>
      <c r="DZ82" s="463"/>
      <c r="EA82" s="463"/>
      <c r="EB82" s="463"/>
      <c r="ED82" s="463"/>
      <c r="EE82" s="463"/>
      <c r="EF82" s="463"/>
      <c r="EH82" s="463"/>
      <c r="EI82" s="463"/>
      <c r="EJ82" s="463"/>
      <c r="EK82" s="463"/>
      <c r="EL82" s="463"/>
      <c r="EN82" s="463"/>
      <c r="EO82" s="463"/>
      <c r="EP82" s="463"/>
      <c r="ER82" s="463"/>
      <c r="ES82" s="463"/>
      <c r="ET82" s="463"/>
      <c r="EV82" s="463"/>
      <c r="EW82" s="463"/>
      <c r="EY82" s="463"/>
      <c r="EZ82" s="463"/>
      <c r="FA82" s="463"/>
      <c r="FB82" s="463"/>
      <c r="FC82" s="463"/>
      <c r="FD82" s="463"/>
      <c r="FE82" s="463"/>
      <c r="FF82" s="463"/>
      <c r="FG82" s="463"/>
      <c r="FH82" s="463"/>
      <c r="FI82" s="463"/>
      <c r="FJ82" s="463"/>
      <c r="FK82" s="463"/>
      <c r="FL82" s="463"/>
      <c r="FM82" s="463"/>
      <c r="FN82" s="463"/>
      <c r="FO82" s="463"/>
      <c r="FP82" s="463"/>
      <c r="FQ82" s="463"/>
      <c r="FS82" s="463"/>
      <c r="FT82" s="463"/>
      <c r="FU82" s="463"/>
      <c r="FV82" s="463"/>
      <c r="FW82" s="463"/>
      <c r="FX82" s="463"/>
      <c r="FY82" s="463"/>
      <c r="FZ82" s="463"/>
    </row>
    <row r="83" spans="1:182">
      <c r="A83" s="420"/>
      <c r="B83" s="393"/>
      <c r="C83" s="393"/>
      <c r="D83" s="393"/>
      <c r="E83" s="393"/>
      <c r="F83" s="393"/>
      <c r="G83" s="420"/>
      <c r="H83" s="425"/>
      <c r="I83" s="425"/>
      <c r="J83" s="496"/>
      <c r="K83" s="463"/>
      <c r="L83" s="463"/>
      <c r="M83" s="463"/>
      <c r="N83" s="463"/>
      <c r="O83" s="463"/>
      <c r="P83" s="463"/>
      <c r="Q83" s="463"/>
      <c r="R83" s="463"/>
      <c r="S83" s="463"/>
      <c r="T83" s="463"/>
      <c r="U83" s="463"/>
      <c r="V83" s="463"/>
      <c r="W83" s="463"/>
      <c r="X83" s="463"/>
      <c r="Y83" s="463"/>
      <c r="Z83" s="463"/>
      <c r="AA83" s="463"/>
      <c r="AB83" s="463"/>
      <c r="AD83" s="463"/>
      <c r="AE83" s="463"/>
      <c r="AG83" s="463"/>
      <c r="AI83" s="463"/>
      <c r="AJ83" s="463"/>
      <c r="AK83" s="463"/>
      <c r="AM83" s="463"/>
      <c r="AN83" s="463"/>
      <c r="AO83" s="463"/>
      <c r="AQ83" s="463"/>
      <c r="AR83" s="463"/>
      <c r="AS83" s="463"/>
      <c r="AT83" s="463"/>
      <c r="AU83" s="463"/>
      <c r="AV83" s="463"/>
      <c r="AX83" s="463"/>
      <c r="AY83" s="463"/>
      <c r="AZ83" s="463"/>
      <c r="BB83" s="463"/>
      <c r="BC83" s="463"/>
      <c r="BD83" s="463"/>
      <c r="BF83" s="463"/>
      <c r="BG83" s="463"/>
      <c r="BH83" s="463"/>
      <c r="BJ83" s="463"/>
      <c r="BK83" s="463"/>
      <c r="BL83" s="463"/>
      <c r="BN83" s="463"/>
      <c r="BO83" s="463"/>
      <c r="BP83" s="463"/>
      <c r="BQ83" s="463"/>
      <c r="BR83" s="463"/>
      <c r="BT83" s="463"/>
      <c r="BU83" s="463"/>
      <c r="BV83" s="463"/>
      <c r="BX83" s="463"/>
      <c r="BY83" s="463"/>
      <c r="BZ83" s="463"/>
      <c r="CB83" s="463"/>
      <c r="CC83" s="463"/>
      <c r="CD83" s="463"/>
      <c r="CF83" s="463"/>
      <c r="CG83" s="463"/>
      <c r="CH83" s="463"/>
      <c r="CJ83" s="463"/>
      <c r="CK83" s="463"/>
      <c r="CM83" s="463"/>
      <c r="CO83" s="463"/>
      <c r="CP83" s="463"/>
      <c r="CQ83" s="463"/>
      <c r="CS83" s="463"/>
      <c r="CT83" s="463"/>
      <c r="CU83" s="463"/>
      <c r="CW83" s="463"/>
      <c r="CX83" s="463"/>
      <c r="CY83" s="463"/>
      <c r="DA83" s="463"/>
      <c r="DB83" s="463"/>
      <c r="DC83" s="463"/>
      <c r="DD83" s="463"/>
      <c r="DE83" s="463"/>
      <c r="DF83" s="463"/>
      <c r="DH83" s="463"/>
      <c r="DI83" s="463"/>
      <c r="DJ83" s="463"/>
      <c r="DL83" s="463"/>
      <c r="DM83" s="463"/>
      <c r="DN83" s="463"/>
      <c r="DO83" s="463"/>
      <c r="DP83" s="463"/>
      <c r="DR83" s="463"/>
      <c r="DS83" s="463"/>
      <c r="DT83" s="463"/>
      <c r="DV83" s="463"/>
      <c r="DW83" s="463"/>
      <c r="DX83" s="463"/>
      <c r="DZ83" s="463"/>
      <c r="EA83" s="463"/>
      <c r="EB83" s="463"/>
      <c r="ED83" s="463"/>
      <c r="EE83" s="463"/>
      <c r="EF83" s="463"/>
      <c r="EH83" s="463"/>
      <c r="EI83" s="463"/>
      <c r="EJ83" s="463"/>
      <c r="EK83" s="463"/>
      <c r="EL83" s="463"/>
      <c r="EN83" s="463"/>
      <c r="EO83" s="463"/>
      <c r="EP83" s="463"/>
      <c r="ER83" s="463"/>
      <c r="ES83" s="463"/>
      <c r="ET83" s="463"/>
      <c r="EV83" s="463"/>
      <c r="EW83" s="463"/>
      <c r="EY83" s="463"/>
      <c r="EZ83" s="463"/>
      <c r="FA83" s="463"/>
      <c r="FB83" s="463"/>
      <c r="FC83" s="463"/>
      <c r="FD83" s="463"/>
      <c r="FE83" s="463"/>
      <c r="FF83" s="463"/>
      <c r="FG83" s="463"/>
      <c r="FH83" s="463"/>
      <c r="FI83" s="463"/>
      <c r="FJ83" s="463"/>
      <c r="FK83" s="463"/>
      <c r="FL83" s="463"/>
      <c r="FM83" s="463"/>
      <c r="FN83" s="463"/>
      <c r="FO83" s="463"/>
      <c r="FP83" s="463"/>
      <c r="FQ83" s="463"/>
      <c r="FS83" s="463"/>
      <c r="FT83" s="463"/>
      <c r="FU83" s="463"/>
      <c r="FV83" s="463"/>
      <c r="FW83" s="463"/>
      <c r="FX83" s="463"/>
      <c r="FY83" s="463"/>
      <c r="FZ83" s="463"/>
    </row>
    <row r="84" spans="1:182">
      <c r="A84" s="393"/>
      <c r="B84" s="473"/>
      <c r="C84" s="474"/>
      <c r="D84" s="463"/>
      <c r="E84" s="463"/>
      <c r="F84" s="463"/>
      <c r="G84" s="393"/>
      <c r="H84" s="463"/>
      <c r="I84" s="463"/>
      <c r="J84" s="497"/>
      <c r="K84" s="463"/>
      <c r="L84" s="463"/>
      <c r="M84" s="463"/>
      <c r="N84" s="463"/>
      <c r="O84" s="463"/>
      <c r="P84" s="463"/>
      <c r="Q84" s="463"/>
      <c r="R84" s="463"/>
      <c r="S84" s="463"/>
      <c r="T84" s="463"/>
      <c r="U84" s="463"/>
      <c r="V84" s="463"/>
      <c r="W84" s="463"/>
      <c r="X84" s="463"/>
      <c r="Y84" s="463"/>
      <c r="Z84" s="463"/>
      <c r="AA84" s="463"/>
      <c r="AB84" s="463"/>
      <c r="AD84" s="463"/>
      <c r="AE84" s="463"/>
      <c r="AG84" s="463"/>
      <c r="AI84" s="463"/>
      <c r="AJ84" s="463"/>
      <c r="AK84" s="463"/>
      <c r="AM84" s="463"/>
      <c r="AN84" s="463"/>
      <c r="AO84" s="463"/>
      <c r="AQ84" s="463"/>
      <c r="AR84" s="463"/>
      <c r="AS84" s="463"/>
      <c r="AT84" s="463"/>
      <c r="AU84" s="463"/>
      <c r="AV84" s="463"/>
      <c r="AX84" s="463"/>
      <c r="AY84" s="463"/>
      <c r="AZ84" s="463"/>
      <c r="BB84" s="463"/>
      <c r="BC84" s="463"/>
      <c r="BD84" s="463"/>
      <c r="BF84" s="463"/>
      <c r="BG84" s="463"/>
      <c r="BH84" s="463"/>
      <c r="BJ84" s="463"/>
      <c r="BK84" s="463"/>
      <c r="BL84" s="463"/>
      <c r="BN84" s="463"/>
      <c r="BO84" s="463"/>
      <c r="BP84" s="463"/>
      <c r="BQ84" s="463"/>
      <c r="BR84" s="463"/>
      <c r="BT84" s="463"/>
      <c r="BU84" s="463"/>
      <c r="BV84" s="463"/>
      <c r="BX84" s="463"/>
      <c r="BY84" s="463"/>
      <c r="BZ84" s="463"/>
      <c r="CB84" s="463"/>
      <c r="CC84" s="463"/>
      <c r="CD84" s="463"/>
      <c r="CF84" s="463"/>
      <c r="CG84" s="463"/>
      <c r="CH84" s="463"/>
      <c r="CJ84" s="463"/>
      <c r="CK84" s="463"/>
      <c r="CM84" s="463"/>
      <c r="CO84" s="463"/>
      <c r="CP84" s="463"/>
      <c r="CQ84" s="463"/>
      <c r="CS84" s="463"/>
      <c r="CT84" s="463"/>
      <c r="CU84" s="463"/>
      <c r="CW84" s="463"/>
      <c r="CX84" s="463"/>
      <c r="CY84" s="463"/>
      <c r="DA84" s="463"/>
      <c r="DB84" s="463"/>
      <c r="DC84" s="463"/>
      <c r="DD84" s="463"/>
      <c r="DE84" s="463"/>
      <c r="DF84" s="463"/>
      <c r="DH84" s="463"/>
      <c r="DI84" s="463"/>
      <c r="DJ84" s="463"/>
      <c r="DL84" s="463"/>
      <c r="DM84" s="463"/>
      <c r="DN84" s="463"/>
      <c r="DO84" s="463"/>
      <c r="DP84" s="463"/>
      <c r="DR84" s="463"/>
      <c r="DS84" s="463"/>
      <c r="DT84" s="463"/>
      <c r="DV84" s="463"/>
      <c r="DW84" s="463"/>
      <c r="DX84" s="463"/>
      <c r="DZ84" s="463"/>
      <c r="EA84" s="463"/>
      <c r="EB84" s="463"/>
      <c r="ED84" s="463"/>
      <c r="EE84" s="463"/>
      <c r="EF84" s="463"/>
      <c r="EH84" s="463"/>
      <c r="EI84" s="463"/>
      <c r="EJ84" s="463"/>
      <c r="EK84" s="463"/>
      <c r="EL84" s="463"/>
      <c r="EN84" s="463"/>
      <c r="EO84" s="463"/>
      <c r="EP84" s="463"/>
      <c r="ER84" s="463"/>
      <c r="ES84" s="463"/>
      <c r="ET84" s="463"/>
      <c r="EV84" s="463"/>
      <c r="EW84" s="463"/>
      <c r="EY84" s="463"/>
      <c r="EZ84" s="463"/>
      <c r="FA84" s="463"/>
      <c r="FB84" s="463"/>
      <c r="FC84" s="463"/>
      <c r="FD84" s="463"/>
      <c r="FE84" s="463"/>
      <c r="FF84" s="463"/>
      <c r="FG84" s="463"/>
      <c r="FH84" s="463"/>
      <c r="FI84" s="463"/>
      <c r="FJ84" s="463"/>
      <c r="FK84" s="463"/>
      <c r="FL84" s="463"/>
      <c r="FM84" s="463"/>
      <c r="FN84" s="463"/>
      <c r="FO84" s="463"/>
      <c r="FP84" s="463"/>
      <c r="FQ84" s="463"/>
      <c r="FS84" s="463"/>
      <c r="FT84" s="463"/>
      <c r="FU84" s="463"/>
      <c r="FV84" s="463"/>
      <c r="FW84" s="463"/>
      <c r="FX84" s="463"/>
      <c r="FY84" s="463"/>
      <c r="FZ84" s="463"/>
    </row>
    <row r="85" spans="1:182">
      <c r="A85" s="393"/>
      <c r="B85" s="473"/>
      <c r="C85" s="474"/>
      <c r="D85" s="463"/>
      <c r="E85" s="463"/>
      <c r="F85" s="463"/>
      <c r="G85" s="393"/>
      <c r="H85" s="463"/>
      <c r="I85" s="463"/>
      <c r="J85" s="497"/>
      <c r="K85" s="463"/>
      <c r="L85" s="463"/>
      <c r="M85" s="463"/>
      <c r="N85" s="463"/>
      <c r="O85" s="463"/>
      <c r="P85" s="463"/>
      <c r="Q85" s="463"/>
      <c r="R85" s="463"/>
      <c r="S85" s="463"/>
      <c r="T85" s="463"/>
      <c r="U85" s="463"/>
      <c r="V85" s="463"/>
      <c r="W85" s="463"/>
      <c r="X85" s="463"/>
      <c r="Y85" s="463"/>
      <c r="Z85" s="463"/>
      <c r="AA85" s="463"/>
      <c r="AB85" s="463"/>
      <c r="AD85" s="463"/>
      <c r="AE85" s="463"/>
      <c r="AG85" s="463"/>
      <c r="AI85" s="463"/>
      <c r="AJ85" s="463"/>
      <c r="AK85" s="463"/>
      <c r="AM85" s="463"/>
      <c r="AN85" s="463"/>
      <c r="AO85" s="463"/>
      <c r="AQ85" s="463"/>
      <c r="AR85" s="463"/>
      <c r="AS85" s="463"/>
      <c r="AT85" s="463"/>
      <c r="AU85" s="463"/>
      <c r="AV85" s="463"/>
      <c r="AX85" s="463"/>
      <c r="AY85" s="463"/>
      <c r="AZ85" s="463"/>
      <c r="BB85" s="463"/>
      <c r="BC85" s="463"/>
      <c r="BD85" s="463"/>
      <c r="BF85" s="463"/>
      <c r="BG85" s="463"/>
      <c r="BH85" s="463"/>
      <c r="BJ85" s="463"/>
      <c r="BK85" s="463"/>
      <c r="BL85" s="463"/>
      <c r="BN85" s="463"/>
      <c r="BO85" s="463"/>
      <c r="BP85" s="463"/>
      <c r="BQ85" s="463"/>
      <c r="BR85" s="463"/>
      <c r="BT85" s="463"/>
      <c r="BU85" s="463"/>
      <c r="BV85" s="463"/>
      <c r="BX85" s="463"/>
      <c r="BY85" s="463"/>
      <c r="BZ85" s="463"/>
      <c r="CB85" s="463"/>
      <c r="CC85" s="463"/>
      <c r="CD85" s="463"/>
      <c r="CF85" s="463"/>
      <c r="CG85" s="463"/>
      <c r="CH85" s="463"/>
      <c r="CJ85" s="463"/>
      <c r="CK85" s="463"/>
      <c r="CM85" s="463"/>
      <c r="CO85" s="463"/>
      <c r="CP85" s="463"/>
      <c r="CQ85" s="463"/>
      <c r="CS85" s="463"/>
      <c r="CT85" s="463"/>
      <c r="CU85" s="463"/>
      <c r="CW85" s="463"/>
      <c r="CX85" s="463"/>
      <c r="CY85" s="463"/>
      <c r="DA85" s="463"/>
      <c r="DB85" s="463"/>
      <c r="DC85" s="463"/>
      <c r="DD85" s="463"/>
      <c r="DE85" s="463"/>
      <c r="DF85" s="463"/>
      <c r="DH85" s="463"/>
      <c r="DI85" s="463"/>
      <c r="DJ85" s="463"/>
      <c r="DL85" s="463"/>
      <c r="DM85" s="463"/>
      <c r="DN85" s="463"/>
      <c r="DO85" s="463"/>
      <c r="DP85" s="463"/>
      <c r="DR85" s="463"/>
      <c r="DS85" s="463"/>
      <c r="DT85" s="463"/>
      <c r="DV85" s="463"/>
      <c r="DW85" s="463"/>
      <c r="DX85" s="463"/>
      <c r="DZ85" s="463"/>
      <c r="EA85" s="463"/>
      <c r="EB85" s="463"/>
      <c r="ED85" s="463"/>
      <c r="EE85" s="463"/>
      <c r="EF85" s="463"/>
      <c r="EH85" s="463"/>
      <c r="EI85" s="463"/>
      <c r="EJ85" s="463"/>
      <c r="EK85" s="463"/>
      <c r="EL85" s="463"/>
      <c r="EN85" s="463"/>
      <c r="EO85" s="463"/>
      <c r="EP85" s="463"/>
      <c r="ER85" s="463"/>
      <c r="ES85" s="463"/>
      <c r="ET85" s="463"/>
      <c r="EV85" s="463"/>
      <c r="EW85" s="463"/>
      <c r="EY85" s="463"/>
      <c r="EZ85" s="463"/>
      <c r="FA85" s="463"/>
      <c r="FB85" s="463"/>
      <c r="FC85" s="463"/>
      <c r="FD85" s="463"/>
      <c r="FE85" s="463"/>
      <c r="FF85" s="463"/>
      <c r="FG85" s="463"/>
      <c r="FH85" s="463"/>
      <c r="FI85" s="463"/>
      <c r="FJ85" s="463"/>
      <c r="FK85" s="463"/>
      <c r="FL85" s="463"/>
      <c r="FM85" s="463"/>
      <c r="FN85" s="463"/>
      <c r="FO85" s="463"/>
      <c r="FP85" s="463"/>
      <c r="FQ85" s="463"/>
      <c r="FS85" s="463"/>
      <c r="FT85" s="463"/>
      <c r="FU85" s="463"/>
      <c r="FV85" s="463"/>
      <c r="FW85" s="463"/>
      <c r="FX85" s="463"/>
      <c r="FY85" s="463"/>
      <c r="FZ85" s="463"/>
    </row>
    <row r="86" spans="1:182" ht="30">
      <c r="A86" s="393"/>
      <c r="B86" s="475" t="s">
        <v>102</v>
      </c>
      <c r="C86" s="476" t="s">
        <v>14</v>
      </c>
      <c r="D86" s="477" t="s">
        <v>559</v>
      </c>
      <c r="E86" s="478" t="s">
        <v>560</v>
      </c>
      <c r="F86" s="479" t="s">
        <v>561</v>
      </c>
      <c r="G86" s="18" t="s">
        <v>562</v>
      </c>
      <c r="H86" s="2" t="s">
        <v>563</v>
      </c>
      <c r="I86" s="2" t="s">
        <v>564</v>
      </c>
      <c r="J86" s="419" t="s">
        <v>565</v>
      </c>
      <c r="K86" s="479" t="s">
        <v>561</v>
      </c>
      <c r="L86" s="475" t="s">
        <v>102</v>
      </c>
      <c r="M86" s="419" t="s">
        <v>566</v>
      </c>
      <c r="N86" s="463"/>
      <c r="O86" s="463"/>
      <c r="P86" s="463"/>
      <c r="Q86" s="463"/>
      <c r="R86" s="463"/>
      <c r="S86" s="463"/>
      <c r="T86" s="463"/>
      <c r="U86" s="463"/>
      <c r="V86" s="463"/>
      <c r="W86" s="463"/>
      <c r="X86" s="463"/>
      <c r="Y86" s="463"/>
      <c r="Z86" s="463"/>
      <c r="AA86" s="463"/>
      <c r="AB86" s="463"/>
      <c r="AD86" s="463"/>
      <c r="AE86" s="463"/>
      <c r="AG86" s="463"/>
      <c r="AI86" s="463"/>
      <c r="AJ86" s="463"/>
      <c r="AK86" s="463"/>
      <c r="AM86" s="463"/>
      <c r="AN86" s="463"/>
      <c r="AO86" s="463"/>
      <c r="AQ86" s="463"/>
      <c r="AR86" s="463"/>
      <c r="AS86" s="463"/>
      <c r="AT86" s="463"/>
      <c r="AU86" s="463"/>
      <c r="AV86" s="463"/>
      <c r="AX86" s="463"/>
      <c r="AY86" s="463"/>
      <c r="AZ86" s="463"/>
      <c r="BB86" s="463"/>
      <c r="BC86" s="463"/>
      <c r="BD86" s="463"/>
      <c r="BF86" s="463"/>
      <c r="BG86" s="463"/>
      <c r="BH86" s="463"/>
      <c r="BJ86" s="463"/>
      <c r="BK86" s="463"/>
      <c r="BL86" s="463"/>
      <c r="BN86" s="463"/>
      <c r="BO86" s="463"/>
      <c r="BP86" s="463"/>
      <c r="BQ86" s="463"/>
      <c r="BR86" s="463"/>
      <c r="BT86" s="463"/>
      <c r="BU86" s="463"/>
      <c r="BV86" s="463"/>
      <c r="BX86" s="463"/>
      <c r="BY86" s="463"/>
      <c r="BZ86" s="463"/>
      <c r="CB86" s="463"/>
      <c r="CC86" s="463"/>
      <c r="CD86" s="463"/>
      <c r="CF86" s="463"/>
      <c r="CG86" s="463"/>
      <c r="CH86" s="463"/>
      <c r="CJ86" s="463"/>
      <c r="CK86" s="463"/>
      <c r="CM86" s="463"/>
      <c r="CO86" s="463"/>
      <c r="CP86" s="463"/>
      <c r="CQ86" s="463"/>
      <c r="CS86" s="463"/>
      <c r="CT86" s="463"/>
      <c r="CU86" s="463"/>
      <c r="CW86" s="463"/>
      <c r="CX86" s="463"/>
      <c r="CY86" s="463"/>
      <c r="DA86" s="463"/>
      <c r="DB86" s="463"/>
      <c r="DC86" s="463"/>
      <c r="DD86" s="463"/>
      <c r="DE86" s="463"/>
      <c r="DF86" s="463"/>
      <c r="DH86" s="463"/>
      <c r="DI86" s="463"/>
      <c r="DJ86" s="463"/>
      <c r="DL86" s="463"/>
      <c r="DM86" s="463"/>
      <c r="DN86" s="463"/>
      <c r="DO86" s="463"/>
      <c r="DP86" s="463"/>
      <c r="DR86" s="463"/>
      <c r="DS86" s="463"/>
      <c r="DT86" s="463"/>
      <c r="DV86" s="463"/>
      <c r="DW86" s="463"/>
      <c r="DX86" s="463"/>
      <c r="DZ86" s="463"/>
      <c r="EA86" s="463"/>
      <c r="EB86" s="463"/>
      <c r="ED86" s="463"/>
      <c r="EE86" s="463"/>
      <c r="EF86" s="463"/>
      <c r="EH86" s="463"/>
      <c r="EI86" s="463"/>
      <c r="EJ86" s="463"/>
      <c r="EK86" s="463"/>
      <c r="EL86" s="463"/>
      <c r="EN86" s="463"/>
      <c r="EO86" s="463"/>
      <c r="EP86" s="463"/>
      <c r="ER86" s="463"/>
      <c r="ES86" s="463"/>
      <c r="ET86" s="463"/>
      <c r="EV86" s="463"/>
      <c r="EW86" s="463"/>
      <c r="EY86" s="463"/>
      <c r="EZ86" s="463"/>
      <c r="FA86" s="463"/>
      <c r="FB86" s="463"/>
      <c r="FC86" s="463"/>
      <c r="FD86" s="463"/>
      <c r="FE86" s="463"/>
      <c r="FF86" s="463"/>
      <c r="FG86" s="463"/>
      <c r="FH86" s="463"/>
      <c r="FI86" s="463"/>
      <c r="FJ86" s="463"/>
      <c r="FK86" s="463"/>
      <c r="FL86" s="463"/>
      <c r="FM86" s="463"/>
      <c r="FN86" s="463"/>
      <c r="FO86" s="463"/>
      <c r="FP86" s="463"/>
      <c r="FQ86" s="463"/>
      <c r="FS86" s="463"/>
      <c r="FT86" s="463"/>
      <c r="FU86" s="463"/>
      <c r="FV86" s="463"/>
      <c r="FW86" s="463"/>
      <c r="FX86" s="463"/>
      <c r="FY86" s="463"/>
      <c r="FZ86" s="463"/>
    </row>
    <row r="87" spans="1:182" ht="15.5">
      <c r="A87" s="393"/>
      <c r="B87" s="480">
        <v>0.3</v>
      </c>
      <c r="C87" s="481">
        <v>1</v>
      </c>
      <c r="D87" s="482">
        <f t="shared" ref="D87:D101" si="0">(4*B87/PI()/C87)^(1/2)*100</f>
        <v>61.80387232371033</v>
      </c>
      <c r="E87" s="2">
        <f>TA!F12</f>
        <v>56.418892388857998</v>
      </c>
      <c r="F87" s="479">
        <f>PI()*E87*E87/10000/4*C87</f>
        <v>0.24999941539261808</v>
      </c>
      <c r="G87" s="483">
        <f>TA!AA12</f>
        <v>1</v>
      </c>
      <c r="H87" s="419">
        <f>TA!EU12/TA!EG12</f>
        <v>2.2113823288261729E-3</v>
      </c>
      <c r="I87" s="419">
        <f>H87/0.995</f>
        <v>2.2224948028403747E-3</v>
      </c>
      <c r="J87" s="419">
        <f>POWER(I87*4/(C87*各项系数!$F$5*PI())*10000000,0.5)</f>
        <v>56.418892388857998</v>
      </c>
      <c r="K87" s="479">
        <f t="shared" ref="K87:K110" si="1">PI()*J87*J87/10000/4*C87</f>
        <v>0.24999941539261808</v>
      </c>
      <c r="L87" s="480">
        <v>0.3</v>
      </c>
      <c r="M87" s="419">
        <f t="shared" ref="M87:M110" si="2">K87-L87</f>
        <v>-5.0000584607381909E-2</v>
      </c>
      <c r="N87" s="463"/>
      <c r="O87" s="463"/>
      <c r="P87" s="463"/>
      <c r="Q87" s="463"/>
      <c r="R87" s="463"/>
      <c r="S87" s="463"/>
      <c r="T87" s="463"/>
      <c r="U87" s="463"/>
      <c r="V87" s="463"/>
      <c r="W87" s="463"/>
      <c r="X87" s="463"/>
      <c r="Y87" s="463"/>
      <c r="Z87" s="463"/>
      <c r="AA87" s="463"/>
      <c r="AB87" s="463"/>
      <c r="AD87" s="463"/>
      <c r="AE87" s="463"/>
      <c r="AG87" s="463"/>
      <c r="AI87" s="463"/>
      <c r="AJ87" s="463"/>
      <c r="AK87" s="463"/>
      <c r="AM87" s="463"/>
      <c r="AN87" s="463"/>
      <c r="AO87" s="463"/>
      <c r="AQ87" s="463"/>
      <c r="AR87" s="463"/>
      <c r="AS87" s="463"/>
      <c r="AT87" s="463"/>
      <c r="AU87" s="463"/>
      <c r="AV87" s="463"/>
      <c r="AX87" s="463"/>
      <c r="AY87" s="463"/>
      <c r="AZ87" s="463"/>
      <c r="BB87" s="463"/>
      <c r="BC87" s="463"/>
      <c r="BD87" s="463"/>
      <c r="BF87" s="463"/>
      <c r="BG87" s="463"/>
      <c r="BH87" s="463"/>
      <c r="BJ87" s="463"/>
      <c r="BK87" s="463"/>
      <c r="BL87" s="463"/>
      <c r="BN87" s="463"/>
      <c r="BO87" s="463"/>
      <c r="BP87" s="463"/>
      <c r="BQ87" s="463"/>
      <c r="BR87" s="463"/>
      <c r="BT87" s="463"/>
      <c r="BU87" s="463"/>
      <c r="BV87" s="463"/>
      <c r="BX87" s="463"/>
      <c r="BY87" s="463"/>
      <c r="BZ87" s="463"/>
      <c r="CB87" s="463"/>
      <c r="CC87" s="463"/>
      <c r="CD87" s="463"/>
      <c r="CF87" s="463"/>
      <c r="CG87" s="463"/>
      <c r="CH87" s="463"/>
      <c r="CJ87" s="463"/>
      <c r="CK87" s="463"/>
      <c r="CM87" s="463"/>
      <c r="CO87" s="463"/>
      <c r="CP87" s="463"/>
      <c r="CQ87" s="463"/>
      <c r="CS87" s="463"/>
      <c r="CT87" s="463"/>
      <c r="CU87" s="463"/>
      <c r="CW87" s="463"/>
      <c r="CX87" s="463"/>
      <c r="CY87" s="463"/>
      <c r="DA87" s="463"/>
      <c r="DB87" s="463"/>
      <c r="DC87" s="463"/>
      <c r="DD87" s="463"/>
      <c r="DE87" s="463"/>
      <c r="DF87" s="463"/>
      <c r="DH87" s="463"/>
      <c r="DI87" s="463"/>
      <c r="DJ87" s="463"/>
      <c r="DL87" s="463"/>
      <c r="DM87" s="463"/>
      <c r="DN87" s="463"/>
      <c r="DO87" s="463"/>
      <c r="DP87" s="463"/>
      <c r="DR87" s="463"/>
      <c r="DS87" s="463"/>
      <c r="DT87" s="463"/>
      <c r="DV87" s="463"/>
      <c r="DW87" s="463"/>
      <c r="DX87" s="463"/>
      <c r="DZ87" s="463"/>
      <c r="EA87" s="463"/>
      <c r="EB87" s="463"/>
      <c r="ED87" s="463"/>
      <c r="EE87" s="463"/>
      <c r="EF87" s="463"/>
      <c r="EH87" s="463"/>
      <c r="EI87" s="463"/>
      <c r="EJ87" s="463"/>
      <c r="EK87" s="463"/>
      <c r="EL87" s="463"/>
      <c r="EN87" s="463"/>
      <c r="EO87" s="463"/>
      <c r="EP87" s="463"/>
      <c r="ER87" s="463"/>
      <c r="ES87" s="463"/>
      <c r="ET87" s="463"/>
      <c r="EV87" s="463"/>
      <c r="EW87" s="463"/>
      <c r="EY87" s="463"/>
      <c r="EZ87" s="463"/>
      <c r="FA87" s="463"/>
      <c r="FB87" s="463"/>
      <c r="FC87" s="463"/>
      <c r="FD87" s="463"/>
      <c r="FE87" s="463"/>
      <c r="FF87" s="463"/>
      <c r="FG87" s="463"/>
      <c r="FH87" s="463"/>
      <c r="FI87" s="463"/>
      <c r="FJ87" s="463"/>
      <c r="FK87" s="463"/>
      <c r="FL87" s="463"/>
      <c r="FM87" s="463"/>
      <c r="FN87" s="463"/>
      <c r="FO87" s="463"/>
      <c r="FP87" s="463"/>
      <c r="FQ87" s="463"/>
      <c r="FS87" s="463"/>
      <c r="FT87" s="463"/>
      <c r="FU87" s="463"/>
      <c r="FV87" s="463"/>
      <c r="FW87" s="463"/>
      <c r="FX87" s="463"/>
      <c r="FY87" s="463"/>
      <c r="FZ87" s="463"/>
    </row>
    <row r="88" spans="1:182" ht="15.5">
      <c r="A88" s="393"/>
      <c r="B88" s="480">
        <v>0.5</v>
      </c>
      <c r="C88" s="481">
        <v>1</v>
      </c>
      <c r="D88" s="482">
        <f t="shared" si="0"/>
        <v>79.788456080286537</v>
      </c>
      <c r="E88" s="2">
        <f>TA!F13</f>
        <v>78.221538336864299</v>
      </c>
      <c r="F88" s="479">
        <f t="shared" ref="F88:F110" si="3">PI()*E88*E88/10000/4*C88</f>
        <v>0.48055443181025437</v>
      </c>
      <c r="G88" s="483">
        <f>TA!AA13</f>
        <v>1</v>
      </c>
      <c r="H88" s="419">
        <f>TA!EU13/TA!EG13</f>
        <v>4.2507682542991957E-3</v>
      </c>
      <c r="I88" s="419">
        <f t="shared" ref="I88:I110" si="4">H88/0.995</f>
        <v>4.2721288987931615E-3</v>
      </c>
      <c r="J88" s="419">
        <f>POWER(I88*4/(C88*各项系数!$F$5*PI())*10000000,0.5)</f>
        <v>78.221538336864299</v>
      </c>
      <c r="K88" s="479">
        <f t="shared" si="1"/>
        <v>0.48055443181025437</v>
      </c>
      <c r="L88" s="480">
        <v>0.5</v>
      </c>
      <c r="M88" s="419">
        <f t="shared" si="2"/>
        <v>-1.9445568189745632E-2</v>
      </c>
      <c r="N88" s="463"/>
      <c r="O88" s="463"/>
      <c r="P88" s="463"/>
      <c r="Q88" s="463"/>
      <c r="R88" s="463"/>
      <c r="S88" s="463"/>
      <c r="T88" s="463"/>
      <c r="U88" s="463"/>
      <c r="V88" s="463"/>
      <c r="W88" s="463"/>
      <c r="X88" s="463"/>
      <c r="Y88" s="463"/>
      <c r="Z88" s="463"/>
      <c r="AA88" s="463"/>
      <c r="AB88" s="463"/>
      <c r="AD88" s="463"/>
      <c r="AE88" s="463"/>
      <c r="AG88" s="463"/>
      <c r="AI88" s="463"/>
      <c r="AJ88" s="463"/>
      <c r="AK88" s="463"/>
      <c r="AM88" s="463"/>
      <c r="AN88" s="463"/>
      <c r="AO88" s="463"/>
      <c r="AQ88" s="463"/>
      <c r="AR88" s="463"/>
      <c r="AS88" s="463"/>
      <c r="AT88" s="463"/>
      <c r="AU88" s="463"/>
      <c r="AV88" s="463"/>
      <c r="AX88" s="463"/>
      <c r="AY88" s="463"/>
      <c r="AZ88" s="463"/>
      <c r="BB88" s="463"/>
      <c r="BC88" s="463"/>
      <c r="BD88" s="463"/>
      <c r="BF88" s="463"/>
      <c r="BG88" s="463"/>
      <c r="BH88" s="463"/>
      <c r="BJ88" s="463"/>
      <c r="BK88" s="463"/>
      <c r="BL88" s="463"/>
      <c r="BN88" s="463"/>
      <c r="BO88" s="463"/>
      <c r="BP88" s="463"/>
      <c r="BQ88" s="463"/>
      <c r="BR88" s="463"/>
      <c r="BT88" s="463"/>
      <c r="BU88" s="463"/>
      <c r="BV88" s="463"/>
      <c r="BX88" s="463"/>
      <c r="BY88" s="463"/>
      <c r="BZ88" s="463"/>
      <c r="CB88" s="463"/>
      <c r="CC88" s="463"/>
      <c r="CD88" s="463"/>
      <c r="CF88" s="463"/>
      <c r="CG88" s="463"/>
      <c r="CH88" s="463"/>
      <c r="CJ88" s="463"/>
      <c r="CK88" s="463"/>
      <c r="CM88" s="463"/>
      <c r="CO88" s="463"/>
      <c r="CP88" s="463"/>
      <c r="CQ88" s="463"/>
      <c r="CS88" s="463"/>
      <c r="CT88" s="463"/>
      <c r="CU88" s="463"/>
      <c r="CW88" s="463"/>
      <c r="CX88" s="463"/>
      <c r="CY88" s="463"/>
      <c r="DA88" s="463"/>
      <c r="DB88" s="463"/>
      <c r="DC88" s="463"/>
      <c r="DD88" s="463"/>
      <c r="DE88" s="463"/>
      <c r="DF88" s="463"/>
      <c r="DH88" s="463"/>
      <c r="DI88" s="463"/>
      <c r="DJ88" s="463"/>
      <c r="DL88" s="463"/>
      <c r="DM88" s="463"/>
      <c r="DN88" s="463"/>
      <c r="DO88" s="463"/>
      <c r="DP88" s="463"/>
      <c r="DR88" s="463"/>
      <c r="DS88" s="463"/>
      <c r="DT88" s="463"/>
      <c r="DV88" s="463"/>
      <c r="DW88" s="463"/>
      <c r="DX88" s="463"/>
      <c r="DZ88" s="463"/>
      <c r="EA88" s="463"/>
      <c r="EB88" s="463"/>
      <c r="ED88" s="463"/>
      <c r="EE88" s="463"/>
      <c r="EF88" s="463"/>
      <c r="EH88" s="463"/>
      <c r="EI88" s="463"/>
      <c r="EJ88" s="463"/>
      <c r="EK88" s="463"/>
      <c r="EL88" s="463"/>
      <c r="EN88" s="463"/>
      <c r="EO88" s="463"/>
      <c r="EP88" s="463"/>
      <c r="ER88" s="463"/>
      <c r="ES88" s="463"/>
      <c r="ET88" s="463"/>
      <c r="EV88" s="463"/>
      <c r="EW88" s="463"/>
      <c r="EY88" s="463"/>
      <c r="EZ88" s="463"/>
      <c r="FA88" s="463"/>
      <c r="FB88" s="463"/>
      <c r="FC88" s="463"/>
      <c r="FD88" s="463"/>
      <c r="FE88" s="463"/>
      <c r="FF88" s="463"/>
      <c r="FG88" s="463"/>
      <c r="FH88" s="463"/>
      <c r="FI88" s="463"/>
      <c r="FJ88" s="463"/>
      <c r="FK88" s="463"/>
      <c r="FL88" s="463"/>
      <c r="FM88" s="463"/>
      <c r="FN88" s="463"/>
      <c r="FO88" s="463"/>
      <c r="FP88" s="463"/>
      <c r="FQ88" s="463"/>
      <c r="FS88" s="463"/>
      <c r="FT88" s="463"/>
      <c r="FU88" s="463"/>
      <c r="FV88" s="463"/>
      <c r="FW88" s="463"/>
      <c r="FX88" s="463"/>
      <c r="FY88" s="463"/>
      <c r="FZ88" s="463"/>
    </row>
    <row r="89" spans="1:182" ht="15.5">
      <c r="A89" s="393"/>
      <c r="B89" s="480">
        <v>0.75</v>
      </c>
      <c r="C89" s="481">
        <v>1</v>
      </c>
      <c r="D89" s="482">
        <f t="shared" si="0"/>
        <v>97.72050238058398</v>
      </c>
      <c r="E89" s="2">
        <f>TA!F14</f>
        <v>94.818823187726096</v>
      </c>
      <c r="F89" s="479">
        <f t="shared" si="3"/>
        <v>0.70612079776200587</v>
      </c>
      <c r="G89" s="483">
        <f>TA!AA14</f>
        <v>1</v>
      </c>
      <c r="H89" s="419">
        <f>TA!EU14/TA!EG14</f>
        <v>6.2460268226437118E-3</v>
      </c>
      <c r="I89" s="419">
        <f t="shared" si="4"/>
        <v>6.2774138921042333E-3</v>
      </c>
      <c r="J89" s="419">
        <f>POWER(I89*4/(C89*各项系数!$F$5*PI())*10000000,0.5)</f>
        <v>94.818823187726096</v>
      </c>
      <c r="K89" s="479">
        <f t="shared" si="1"/>
        <v>0.70612079776200587</v>
      </c>
      <c r="L89" s="480">
        <v>0.75</v>
      </c>
      <c r="M89" s="419">
        <f t="shared" si="2"/>
        <v>-4.387920223799413E-2</v>
      </c>
      <c r="N89" s="463"/>
      <c r="O89" s="463"/>
      <c r="P89" s="463"/>
      <c r="Q89" s="463"/>
      <c r="R89" s="463"/>
      <c r="S89" s="463"/>
      <c r="T89" s="463"/>
      <c r="U89" s="463"/>
      <c r="V89" s="463"/>
      <c r="W89" s="463"/>
      <c r="X89" s="463"/>
      <c r="Y89" s="463"/>
      <c r="Z89" s="463"/>
      <c r="AA89" s="463"/>
      <c r="AB89" s="463"/>
      <c r="AD89" s="463"/>
      <c r="AE89" s="463"/>
      <c r="AG89" s="463"/>
      <c r="AI89" s="463"/>
      <c r="AJ89" s="463"/>
      <c r="AK89" s="463"/>
      <c r="AM89" s="463"/>
      <c r="AN89" s="463"/>
      <c r="AO89" s="463"/>
      <c r="AQ89" s="463"/>
      <c r="AR89" s="463"/>
      <c r="AS89" s="463"/>
      <c r="AT89" s="463"/>
      <c r="AU89" s="463"/>
      <c r="AV89" s="463"/>
      <c r="AX89" s="463"/>
      <c r="AY89" s="463"/>
      <c r="AZ89" s="463"/>
      <c r="BB89" s="463"/>
      <c r="BC89" s="463"/>
      <c r="BD89" s="463"/>
      <c r="BF89" s="463"/>
      <c r="BG89" s="463"/>
      <c r="BH89" s="463"/>
      <c r="BJ89" s="463"/>
      <c r="BK89" s="463"/>
      <c r="BL89" s="463"/>
      <c r="BN89" s="463"/>
      <c r="BO89" s="463"/>
      <c r="BP89" s="463"/>
      <c r="BQ89" s="463"/>
      <c r="BR89" s="463"/>
      <c r="BT89" s="463"/>
      <c r="BU89" s="463"/>
      <c r="BV89" s="463"/>
      <c r="BX89" s="463"/>
      <c r="BY89" s="463"/>
      <c r="BZ89" s="463"/>
      <c r="CB89" s="463"/>
      <c r="CC89" s="463"/>
      <c r="CD89" s="463"/>
      <c r="CF89" s="463"/>
      <c r="CG89" s="463"/>
      <c r="CH89" s="463"/>
      <c r="CJ89" s="463"/>
      <c r="CK89" s="463"/>
      <c r="CM89" s="463"/>
      <c r="CO89" s="463"/>
      <c r="CP89" s="463"/>
      <c r="CQ89" s="463"/>
      <c r="CS89" s="463"/>
      <c r="CT89" s="463"/>
      <c r="CU89" s="463"/>
      <c r="CW89" s="463"/>
      <c r="CX89" s="463"/>
      <c r="CY89" s="463"/>
      <c r="DA89" s="463"/>
      <c r="DB89" s="463"/>
      <c r="DC89" s="463"/>
      <c r="DD89" s="463"/>
      <c r="DE89" s="463"/>
      <c r="DF89" s="463"/>
      <c r="DH89" s="463"/>
      <c r="DI89" s="463"/>
      <c r="DJ89" s="463"/>
      <c r="DL89" s="463"/>
      <c r="DM89" s="463"/>
      <c r="DN89" s="463"/>
      <c r="DO89" s="463"/>
      <c r="DP89" s="463"/>
      <c r="DR89" s="463"/>
      <c r="DS89" s="463"/>
      <c r="DT89" s="463"/>
      <c r="DV89" s="463"/>
      <c r="DW89" s="463"/>
      <c r="DX89" s="463"/>
      <c r="DZ89" s="463"/>
      <c r="EA89" s="463"/>
      <c r="EB89" s="463"/>
      <c r="ED89" s="463"/>
      <c r="EE89" s="463"/>
      <c r="EF89" s="463"/>
      <c r="EH89" s="463"/>
      <c r="EI89" s="463"/>
      <c r="EJ89" s="463"/>
      <c r="EK89" s="463"/>
      <c r="EL89" s="463"/>
      <c r="EN89" s="463"/>
      <c r="EO89" s="463"/>
      <c r="EP89" s="463"/>
      <c r="ER89" s="463"/>
      <c r="ES89" s="463"/>
      <c r="ET89" s="463"/>
      <c r="EV89" s="463"/>
      <c r="EW89" s="463"/>
      <c r="EY89" s="463"/>
      <c r="EZ89" s="463"/>
      <c r="FA89" s="463"/>
      <c r="FB89" s="463"/>
      <c r="FC89" s="463"/>
      <c r="FD89" s="463"/>
      <c r="FE89" s="463"/>
      <c r="FF89" s="463"/>
      <c r="FG89" s="463"/>
      <c r="FH89" s="463"/>
      <c r="FI89" s="463"/>
      <c r="FJ89" s="463"/>
      <c r="FK89" s="463"/>
      <c r="FL89" s="463"/>
      <c r="FM89" s="463"/>
      <c r="FN89" s="463"/>
      <c r="FO89" s="463"/>
      <c r="FP89" s="463"/>
      <c r="FQ89" s="463"/>
      <c r="FS89" s="463"/>
      <c r="FT89" s="463"/>
      <c r="FU89" s="463"/>
      <c r="FV89" s="463"/>
      <c r="FW89" s="463"/>
      <c r="FX89" s="463"/>
      <c r="FY89" s="463"/>
      <c r="FZ89" s="463"/>
    </row>
    <row r="90" spans="1:182" ht="15.5">
      <c r="A90" s="393"/>
      <c r="B90" s="480">
        <v>1</v>
      </c>
      <c r="C90" s="481">
        <v>1</v>
      </c>
      <c r="D90" s="482">
        <f t="shared" si="0"/>
        <v>112.83791670955125</v>
      </c>
      <c r="E90" s="2">
        <f>TA!F15</f>
        <v>110.31595161029</v>
      </c>
      <c r="F90" s="479">
        <f t="shared" si="3"/>
        <v>0.95579886989884177</v>
      </c>
      <c r="G90" s="483">
        <f>TA!AA15</f>
        <v>1</v>
      </c>
      <c r="H90" s="419">
        <f>TA!EU15/TA!EG15</f>
        <v>8.454566693633701E-3</v>
      </c>
      <c r="I90" s="419">
        <f t="shared" si="4"/>
        <v>8.4970519534007041E-3</v>
      </c>
      <c r="J90" s="419">
        <f>POWER(I90*4/(C90*各项系数!$F$5*PI())*10000000,0.5)</f>
        <v>110.31595161029</v>
      </c>
      <c r="K90" s="479">
        <f t="shared" si="1"/>
        <v>0.95579886989884177</v>
      </c>
      <c r="L90" s="480">
        <v>1</v>
      </c>
      <c r="M90" s="419">
        <f t="shared" si="2"/>
        <v>-4.4201130101158226E-2</v>
      </c>
      <c r="N90" s="463"/>
      <c r="O90" s="463"/>
      <c r="P90" s="463"/>
      <c r="Q90" s="463"/>
      <c r="R90" s="463"/>
      <c r="S90" s="463"/>
      <c r="T90" s="463"/>
      <c r="U90" s="463"/>
      <c r="V90" s="463"/>
      <c r="W90" s="463"/>
      <c r="X90" s="463"/>
      <c r="Y90" s="463"/>
      <c r="Z90" s="463"/>
      <c r="AA90" s="463"/>
      <c r="AB90" s="463"/>
      <c r="AD90" s="463"/>
      <c r="AE90" s="463"/>
      <c r="AG90" s="463"/>
      <c r="AI90" s="463"/>
      <c r="AJ90" s="463"/>
      <c r="AK90" s="463"/>
      <c r="AM90" s="463"/>
      <c r="AN90" s="463"/>
      <c r="AO90" s="463"/>
      <c r="AQ90" s="463"/>
      <c r="AR90" s="463"/>
      <c r="AS90" s="463"/>
      <c r="AT90" s="463"/>
      <c r="AU90" s="463"/>
      <c r="AV90" s="463"/>
      <c r="AX90" s="463"/>
      <c r="AY90" s="463"/>
      <c r="AZ90" s="463"/>
      <c r="BB90" s="463"/>
      <c r="BC90" s="463"/>
      <c r="BD90" s="463"/>
      <c r="BF90" s="463"/>
      <c r="BG90" s="463"/>
      <c r="BH90" s="463"/>
      <c r="BJ90" s="463"/>
      <c r="BK90" s="463"/>
      <c r="BL90" s="463"/>
      <c r="BN90" s="463"/>
      <c r="BO90" s="463"/>
      <c r="BP90" s="463"/>
      <c r="BQ90" s="463"/>
      <c r="BR90" s="463"/>
      <c r="BT90" s="463"/>
      <c r="BU90" s="463"/>
      <c r="BV90" s="463"/>
      <c r="BX90" s="463"/>
      <c r="BY90" s="463"/>
      <c r="BZ90" s="463"/>
      <c r="CB90" s="463"/>
      <c r="CC90" s="463"/>
      <c r="CD90" s="463"/>
      <c r="CF90" s="463"/>
      <c r="CG90" s="463"/>
      <c r="CH90" s="463"/>
      <c r="CJ90" s="463"/>
      <c r="CK90" s="463"/>
      <c r="CM90" s="463"/>
      <c r="CO90" s="463"/>
      <c r="CP90" s="463"/>
      <c r="CQ90" s="463"/>
      <c r="CS90" s="463"/>
      <c r="CT90" s="463"/>
      <c r="CU90" s="463"/>
      <c r="CW90" s="463"/>
      <c r="CX90" s="463"/>
      <c r="CY90" s="463"/>
      <c r="DA90" s="463"/>
      <c r="DB90" s="463"/>
      <c r="DC90" s="463"/>
      <c r="DD90" s="463"/>
      <c r="DE90" s="463"/>
      <c r="DF90" s="463"/>
      <c r="DH90" s="463"/>
      <c r="DI90" s="463"/>
      <c r="DJ90" s="463"/>
      <c r="DL90" s="463"/>
      <c r="DM90" s="463"/>
      <c r="DN90" s="463"/>
      <c r="DO90" s="463"/>
      <c r="DP90" s="463"/>
      <c r="DR90" s="463"/>
      <c r="DS90" s="463"/>
      <c r="DT90" s="463"/>
      <c r="DV90" s="463"/>
      <c r="DW90" s="463"/>
      <c r="DX90" s="463"/>
      <c r="DZ90" s="463"/>
      <c r="EA90" s="463"/>
      <c r="EB90" s="463"/>
      <c r="ED90" s="463"/>
      <c r="EE90" s="463"/>
      <c r="EF90" s="463"/>
      <c r="EH90" s="463"/>
      <c r="EI90" s="463"/>
      <c r="EJ90" s="463"/>
      <c r="EK90" s="463"/>
      <c r="EL90" s="463"/>
      <c r="EN90" s="463"/>
      <c r="EO90" s="463"/>
      <c r="EP90" s="463"/>
      <c r="ER90" s="463"/>
      <c r="ES90" s="463"/>
      <c r="ET90" s="463"/>
      <c r="EV90" s="463"/>
      <c r="EW90" s="463"/>
      <c r="EY90" s="463"/>
      <c r="EZ90" s="463"/>
      <c r="FA90" s="463"/>
      <c r="FB90" s="463"/>
      <c r="FC90" s="463"/>
      <c r="FD90" s="463"/>
      <c r="FE90" s="463"/>
      <c r="FF90" s="463"/>
      <c r="FG90" s="463"/>
      <c r="FH90" s="463"/>
      <c r="FI90" s="463"/>
      <c r="FJ90" s="463"/>
      <c r="FK90" s="463"/>
      <c r="FL90" s="463"/>
      <c r="FM90" s="463"/>
      <c r="FN90" s="463"/>
      <c r="FO90" s="463"/>
      <c r="FP90" s="463"/>
      <c r="FQ90" s="463"/>
      <c r="FS90" s="463"/>
      <c r="FT90" s="463"/>
      <c r="FU90" s="463"/>
      <c r="FV90" s="463"/>
      <c r="FW90" s="463"/>
      <c r="FX90" s="463"/>
      <c r="FY90" s="463"/>
      <c r="FZ90" s="463"/>
    </row>
    <row r="91" spans="1:182" ht="15.5">
      <c r="A91" s="393"/>
      <c r="B91" s="480">
        <v>1.5</v>
      </c>
      <c r="C91" s="481">
        <v>1</v>
      </c>
      <c r="D91" s="482">
        <f t="shared" si="0"/>
        <v>138.1976597885342</v>
      </c>
      <c r="E91" s="2">
        <f>TA!F16</f>
        <v>134.922667214547</v>
      </c>
      <c r="F91" s="479">
        <f t="shared" si="3"/>
        <v>1.4297487227412422</v>
      </c>
      <c r="G91" s="483">
        <f>TA!AA16</f>
        <v>1</v>
      </c>
      <c r="H91" s="419">
        <f>TA!EU16/TA!EG16</f>
        <v>1.2646913814443798E-2</v>
      </c>
      <c r="I91" s="419">
        <f t="shared" si="4"/>
        <v>1.2710466145169646E-2</v>
      </c>
      <c r="J91" s="419">
        <f>POWER(I91*4/(C91*各项系数!$F$5*PI())*10000000,0.5)</f>
        <v>134.922667214547</v>
      </c>
      <c r="K91" s="479">
        <f t="shared" si="1"/>
        <v>1.4297487227412422</v>
      </c>
      <c r="L91" s="480">
        <v>1.5</v>
      </c>
      <c r="M91" s="419">
        <f t="shared" si="2"/>
        <v>-7.0251277258757794E-2</v>
      </c>
      <c r="N91" s="463"/>
      <c r="O91" s="463"/>
      <c r="P91" s="463"/>
      <c r="Q91" s="463"/>
      <c r="R91" s="463"/>
      <c r="S91" s="463"/>
      <c r="T91" s="463"/>
      <c r="U91" s="463"/>
      <c r="V91" s="463"/>
      <c r="W91" s="463"/>
      <c r="X91" s="463"/>
      <c r="Y91" s="463"/>
      <c r="Z91" s="463"/>
      <c r="AA91" s="463"/>
      <c r="AB91" s="463"/>
      <c r="AD91" s="463"/>
      <c r="AE91" s="463"/>
      <c r="AG91" s="463"/>
      <c r="AI91" s="463"/>
      <c r="AJ91" s="463"/>
      <c r="AK91" s="463"/>
      <c r="AM91" s="463"/>
      <c r="AN91" s="463"/>
      <c r="AO91" s="463"/>
      <c r="AQ91" s="463"/>
      <c r="AR91" s="463"/>
      <c r="AS91" s="463"/>
      <c r="AT91" s="463"/>
      <c r="AU91" s="463"/>
      <c r="AV91" s="463"/>
      <c r="AX91" s="463"/>
      <c r="AY91" s="463"/>
      <c r="AZ91" s="463"/>
      <c r="BB91" s="463"/>
      <c r="BC91" s="463"/>
      <c r="BD91" s="463"/>
      <c r="BF91" s="463"/>
      <c r="BG91" s="463"/>
      <c r="BH91" s="463"/>
      <c r="BJ91" s="463"/>
      <c r="BK91" s="463"/>
      <c r="BL91" s="463"/>
      <c r="BN91" s="463"/>
      <c r="BO91" s="463"/>
      <c r="BP91" s="463"/>
      <c r="BQ91" s="463"/>
      <c r="BR91" s="463"/>
      <c r="BT91" s="463"/>
      <c r="BU91" s="463"/>
      <c r="BV91" s="463"/>
      <c r="BX91" s="463"/>
      <c r="BY91" s="463"/>
      <c r="BZ91" s="463"/>
      <c r="CB91" s="463"/>
      <c r="CC91" s="463"/>
      <c r="CD91" s="463"/>
      <c r="CF91" s="463"/>
      <c r="CG91" s="463"/>
      <c r="CH91" s="463"/>
      <c r="CJ91" s="463"/>
      <c r="CK91" s="463"/>
      <c r="CM91" s="463"/>
      <c r="CO91" s="463"/>
      <c r="CP91" s="463"/>
      <c r="CQ91" s="463"/>
      <c r="CS91" s="463"/>
      <c r="CT91" s="463"/>
      <c r="CU91" s="463"/>
      <c r="CW91" s="463"/>
      <c r="CX91" s="463"/>
      <c r="CY91" s="463"/>
      <c r="DA91" s="463"/>
      <c r="DB91" s="463"/>
      <c r="DC91" s="463"/>
      <c r="DD91" s="463"/>
      <c r="DE91" s="463"/>
      <c r="DF91" s="463"/>
      <c r="DH91" s="463"/>
      <c r="DI91" s="463"/>
      <c r="DJ91" s="463"/>
      <c r="DL91" s="463"/>
      <c r="DM91" s="463"/>
      <c r="DN91" s="463"/>
      <c r="DO91" s="463"/>
      <c r="DP91" s="463"/>
      <c r="DR91" s="463"/>
      <c r="DS91" s="463"/>
      <c r="DT91" s="463"/>
      <c r="DV91" s="463"/>
      <c r="DW91" s="463"/>
      <c r="DX91" s="463"/>
      <c r="DZ91" s="463"/>
      <c r="EA91" s="463"/>
      <c r="EB91" s="463"/>
      <c r="ED91" s="463"/>
      <c r="EE91" s="463"/>
      <c r="EF91" s="463"/>
      <c r="EH91" s="463"/>
      <c r="EI91" s="463"/>
      <c r="EJ91" s="463"/>
      <c r="EK91" s="463"/>
      <c r="EL91" s="463"/>
      <c r="EN91" s="463"/>
      <c r="EO91" s="463"/>
      <c r="EP91" s="463"/>
      <c r="ER91" s="463"/>
      <c r="ES91" s="463"/>
      <c r="ET91" s="463"/>
      <c r="EV91" s="463"/>
      <c r="EW91" s="463"/>
      <c r="EY91" s="463"/>
      <c r="EZ91" s="463"/>
      <c r="FA91" s="463"/>
      <c r="FB91" s="463"/>
      <c r="FC91" s="463"/>
      <c r="FD91" s="463"/>
      <c r="FE91" s="463"/>
      <c r="FF91" s="463"/>
      <c r="FG91" s="463"/>
      <c r="FH91" s="463"/>
      <c r="FI91" s="463"/>
      <c r="FJ91" s="463"/>
      <c r="FK91" s="463"/>
      <c r="FL91" s="463"/>
      <c r="FM91" s="463"/>
      <c r="FN91" s="463"/>
      <c r="FO91" s="463"/>
      <c r="FP91" s="463"/>
      <c r="FQ91" s="463"/>
      <c r="FS91" s="463"/>
      <c r="FT91" s="463"/>
      <c r="FU91" s="463"/>
      <c r="FV91" s="463"/>
      <c r="FW91" s="463"/>
      <c r="FX91" s="463"/>
      <c r="FY91" s="463"/>
      <c r="FZ91" s="463"/>
    </row>
    <row r="92" spans="1:182" ht="15.5">
      <c r="A92" s="393"/>
      <c r="B92" s="480">
        <v>2.5</v>
      </c>
      <c r="C92" s="481">
        <v>1</v>
      </c>
      <c r="D92" s="482">
        <f t="shared" si="0"/>
        <v>178.41241161527711</v>
      </c>
      <c r="E92" s="2">
        <f>TA!F17</f>
        <v>172.412400708262</v>
      </c>
      <c r="F92" s="479">
        <f t="shared" si="3"/>
        <v>2.3346774015073022</v>
      </c>
      <c r="G92" s="483">
        <f>TA!AA17</f>
        <v>1</v>
      </c>
      <c r="H92" s="419">
        <f>TA!EU17/TA!EG17</f>
        <v>2.0651505688902914E-2</v>
      </c>
      <c r="I92" s="419">
        <f t="shared" si="4"/>
        <v>2.0755282099399915E-2</v>
      </c>
      <c r="J92" s="419">
        <f>POWER(I92*4/(C92*各项系数!$F$5*PI())*10000000,0.5)</f>
        <v>172.412400708262</v>
      </c>
      <c r="K92" s="479">
        <f t="shared" si="1"/>
        <v>2.3346774015073022</v>
      </c>
      <c r="L92" s="480">
        <v>2.5</v>
      </c>
      <c r="M92" s="419">
        <f t="shared" si="2"/>
        <v>-0.16532259849269781</v>
      </c>
      <c r="N92" s="463"/>
      <c r="O92" s="463"/>
      <c r="P92" s="463"/>
      <c r="Q92" s="463"/>
      <c r="R92" s="463"/>
      <c r="S92" s="463"/>
      <c r="T92" s="463"/>
      <c r="U92" s="463"/>
      <c r="V92" s="463"/>
      <c r="W92" s="463"/>
      <c r="X92" s="463"/>
      <c r="Y92" s="463"/>
      <c r="Z92" s="463"/>
      <c r="AA92" s="463"/>
      <c r="AB92" s="463"/>
      <c r="AD92" s="463"/>
      <c r="AE92" s="463"/>
      <c r="AG92" s="463"/>
      <c r="AI92" s="463"/>
      <c r="AJ92" s="463"/>
      <c r="AK92" s="463"/>
      <c r="AM92" s="463"/>
      <c r="AN92" s="463"/>
      <c r="AO92" s="463"/>
      <c r="AQ92" s="463"/>
      <c r="AR92" s="463"/>
      <c r="AS92" s="463"/>
      <c r="AT92" s="463"/>
      <c r="AU92" s="463"/>
      <c r="AV92" s="463"/>
      <c r="AX92" s="463"/>
      <c r="AY92" s="463"/>
      <c r="AZ92" s="463"/>
      <c r="BB92" s="463"/>
      <c r="BC92" s="463"/>
      <c r="BD92" s="463"/>
      <c r="BF92" s="463"/>
      <c r="BG92" s="463"/>
      <c r="BH92" s="463"/>
      <c r="BJ92" s="463"/>
      <c r="BK92" s="463"/>
      <c r="BL92" s="463"/>
      <c r="BN92" s="463"/>
      <c r="BO92" s="463"/>
      <c r="BP92" s="463"/>
      <c r="BQ92" s="463"/>
      <c r="BR92" s="463"/>
      <c r="BT92" s="463"/>
      <c r="BU92" s="463"/>
      <c r="BV92" s="463"/>
      <c r="BX92" s="463"/>
      <c r="BY92" s="463"/>
      <c r="BZ92" s="463"/>
      <c r="CB92" s="463"/>
      <c r="CC92" s="463"/>
      <c r="CD92" s="463"/>
      <c r="CF92" s="463"/>
      <c r="CG92" s="463"/>
      <c r="CH92" s="463"/>
      <c r="CJ92" s="463"/>
      <c r="CK92" s="463"/>
      <c r="CM92" s="463"/>
      <c r="CO92" s="463"/>
      <c r="CP92" s="463"/>
      <c r="CQ92" s="463"/>
      <c r="CS92" s="463"/>
      <c r="CT92" s="463"/>
      <c r="CU92" s="463"/>
      <c r="CW92" s="463"/>
      <c r="CX92" s="463"/>
      <c r="CY92" s="463"/>
      <c r="DA92" s="463"/>
      <c r="DB92" s="463"/>
      <c r="DC92" s="463"/>
      <c r="DD92" s="463"/>
      <c r="DE92" s="463"/>
      <c r="DF92" s="463"/>
      <c r="DH92" s="463"/>
      <c r="DI92" s="463"/>
      <c r="DJ92" s="463"/>
      <c r="DL92" s="463"/>
      <c r="DM92" s="463"/>
      <c r="DN92" s="463"/>
      <c r="DO92" s="463"/>
      <c r="DP92" s="463"/>
      <c r="DR92" s="463"/>
      <c r="DS92" s="463"/>
      <c r="DT92" s="463"/>
      <c r="DV92" s="463"/>
      <c r="DW92" s="463"/>
      <c r="DX92" s="463"/>
      <c r="DZ92" s="463"/>
      <c r="EA92" s="463"/>
      <c r="EB92" s="463"/>
      <c r="ED92" s="463"/>
      <c r="EE92" s="463"/>
      <c r="EF92" s="463"/>
      <c r="EH92" s="463"/>
      <c r="EI92" s="463"/>
      <c r="EJ92" s="463"/>
      <c r="EK92" s="463"/>
      <c r="EL92" s="463"/>
      <c r="EN92" s="463"/>
      <c r="EO92" s="463"/>
      <c r="EP92" s="463"/>
      <c r="ER92" s="463"/>
      <c r="ES92" s="463"/>
      <c r="ET92" s="463"/>
      <c r="EV92" s="463"/>
      <c r="EW92" s="463"/>
      <c r="EY92" s="463"/>
      <c r="EZ92" s="463"/>
      <c r="FA92" s="463"/>
      <c r="FB92" s="463"/>
      <c r="FC92" s="463"/>
      <c r="FD92" s="463"/>
      <c r="FE92" s="463"/>
      <c r="FF92" s="463"/>
      <c r="FG92" s="463"/>
      <c r="FH92" s="463"/>
      <c r="FI92" s="463"/>
      <c r="FJ92" s="463"/>
      <c r="FK92" s="463"/>
      <c r="FL92" s="463"/>
      <c r="FM92" s="463"/>
      <c r="FN92" s="463"/>
      <c r="FO92" s="463"/>
      <c r="FP92" s="463"/>
      <c r="FQ92" s="463"/>
      <c r="FS92" s="463"/>
      <c r="FT92" s="463"/>
      <c r="FU92" s="463"/>
      <c r="FV92" s="463"/>
      <c r="FW92" s="463"/>
      <c r="FX92" s="463"/>
      <c r="FY92" s="463"/>
      <c r="FZ92" s="463"/>
    </row>
    <row r="93" spans="1:182" ht="15.5">
      <c r="A93" s="393"/>
      <c r="B93" s="480">
        <v>4</v>
      </c>
      <c r="C93" s="481">
        <v>1</v>
      </c>
      <c r="D93" s="482">
        <f t="shared" si="0"/>
        <v>225.6758334191025</v>
      </c>
      <c r="E93" s="2">
        <f>TA!F18</f>
        <v>218.58841470644899</v>
      </c>
      <c r="F93" s="479">
        <f t="shared" si="3"/>
        <v>3.7527027212948427</v>
      </c>
      <c r="G93" s="483">
        <f>TA!AA18</f>
        <v>1</v>
      </c>
      <c r="H93" s="419">
        <f>TA!EU18/TA!EG18</f>
        <v>3.3194719556349596E-2</v>
      </c>
      <c r="I93" s="419">
        <f t="shared" si="4"/>
        <v>3.3361527192311155E-2</v>
      </c>
      <c r="J93" s="419">
        <f>POWER(I93*4/(C93*各项系数!$F$5*PI())*10000000,0.5)</f>
        <v>218.58841470644899</v>
      </c>
      <c r="K93" s="479">
        <f t="shared" si="1"/>
        <v>3.7527027212948427</v>
      </c>
      <c r="L93" s="480">
        <v>4</v>
      </c>
      <c r="M93" s="419">
        <f t="shared" si="2"/>
        <v>-0.24729727870515728</v>
      </c>
      <c r="N93" s="463"/>
      <c r="O93" s="463"/>
      <c r="P93" s="463"/>
      <c r="Q93" s="463"/>
      <c r="R93" s="463"/>
      <c r="S93" s="463"/>
      <c r="T93" s="463"/>
      <c r="U93" s="463"/>
      <c r="V93" s="463"/>
      <c r="W93" s="463"/>
      <c r="X93" s="463"/>
      <c r="Y93" s="463"/>
      <c r="Z93" s="463"/>
      <c r="AA93" s="463"/>
      <c r="AB93" s="463"/>
      <c r="AD93" s="463"/>
      <c r="AE93" s="463"/>
      <c r="AG93" s="463"/>
      <c r="AI93" s="463"/>
      <c r="AJ93" s="463"/>
      <c r="AK93" s="463"/>
      <c r="AM93" s="463"/>
      <c r="AN93" s="463"/>
      <c r="AO93" s="463"/>
      <c r="AQ93" s="463"/>
      <c r="AR93" s="463"/>
      <c r="AS93" s="463"/>
      <c r="AT93" s="463"/>
      <c r="AU93" s="463"/>
      <c r="AV93" s="463"/>
      <c r="AX93" s="463"/>
      <c r="AY93" s="463"/>
      <c r="AZ93" s="463"/>
      <c r="BB93" s="463"/>
      <c r="BC93" s="463"/>
      <c r="BD93" s="463"/>
      <c r="BF93" s="463"/>
      <c r="BG93" s="463"/>
      <c r="BH93" s="463"/>
      <c r="BJ93" s="463"/>
      <c r="BK93" s="463"/>
      <c r="BL93" s="463"/>
      <c r="BN93" s="463"/>
      <c r="BO93" s="463"/>
      <c r="BP93" s="463"/>
      <c r="BQ93" s="463"/>
      <c r="BR93" s="463"/>
      <c r="BT93" s="463"/>
      <c r="BU93" s="463"/>
      <c r="BV93" s="463"/>
      <c r="BX93" s="463"/>
      <c r="BY93" s="463"/>
      <c r="BZ93" s="463"/>
      <c r="CB93" s="463"/>
      <c r="CC93" s="463"/>
      <c r="CD93" s="463"/>
      <c r="CF93" s="463"/>
      <c r="CG93" s="463"/>
      <c r="CH93" s="463"/>
      <c r="CJ93" s="463"/>
      <c r="CK93" s="463"/>
      <c r="CM93" s="463"/>
      <c r="CO93" s="463"/>
      <c r="CP93" s="463"/>
      <c r="CQ93" s="463"/>
      <c r="CS93" s="463"/>
      <c r="CT93" s="463"/>
      <c r="CU93" s="463"/>
      <c r="CW93" s="463"/>
      <c r="CX93" s="463"/>
      <c r="CY93" s="463"/>
      <c r="DA93" s="463"/>
      <c r="DB93" s="463"/>
      <c r="DC93" s="463"/>
      <c r="DD93" s="463"/>
      <c r="DE93" s="463"/>
      <c r="DF93" s="463"/>
      <c r="DH93" s="463"/>
      <c r="DI93" s="463"/>
      <c r="DJ93" s="463"/>
      <c r="DL93" s="463"/>
      <c r="DM93" s="463"/>
      <c r="DN93" s="463"/>
      <c r="DO93" s="463"/>
      <c r="DP93" s="463"/>
      <c r="DR93" s="463"/>
      <c r="DS93" s="463"/>
      <c r="DT93" s="463"/>
      <c r="DV93" s="463"/>
      <c r="DW93" s="463"/>
      <c r="DX93" s="463"/>
      <c r="DZ93" s="463"/>
      <c r="EA93" s="463"/>
      <c r="EB93" s="463"/>
      <c r="ED93" s="463"/>
      <c r="EE93" s="463"/>
      <c r="EF93" s="463"/>
      <c r="EH93" s="463"/>
      <c r="EI93" s="463"/>
      <c r="EJ93" s="463"/>
      <c r="EK93" s="463"/>
      <c r="EL93" s="463"/>
      <c r="EN93" s="463"/>
      <c r="EO93" s="463"/>
      <c r="EP93" s="463"/>
      <c r="ER93" s="463"/>
      <c r="ES93" s="463"/>
      <c r="ET93" s="463"/>
      <c r="EV93" s="463"/>
      <c r="EW93" s="463"/>
      <c r="EY93" s="463"/>
      <c r="EZ93" s="463"/>
      <c r="FA93" s="463"/>
      <c r="FB93" s="463"/>
      <c r="FC93" s="463"/>
      <c r="FD93" s="463"/>
      <c r="FE93" s="463"/>
      <c r="FF93" s="463"/>
      <c r="FG93" s="463"/>
      <c r="FH93" s="463"/>
      <c r="FI93" s="463"/>
      <c r="FJ93" s="463"/>
      <c r="FK93" s="463"/>
      <c r="FL93" s="463"/>
      <c r="FM93" s="463"/>
      <c r="FN93" s="463"/>
      <c r="FO93" s="463"/>
      <c r="FP93" s="463"/>
      <c r="FQ93" s="463"/>
      <c r="FS93" s="463"/>
      <c r="FT93" s="463"/>
      <c r="FU93" s="463"/>
      <c r="FV93" s="463"/>
      <c r="FW93" s="463"/>
      <c r="FX93" s="463"/>
      <c r="FY93" s="463"/>
      <c r="FZ93" s="463"/>
    </row>
    <row r="94" spans="1:182" ht="15.5">
      <c r="A94" s="393"/>
      <c r="B94" s="480">
        <v>6</v>
      </c>
      <c r="C94" s="481">
        <v>1</v>
      </c>
      <c r="D94" s="482">
        <f t="shared" si="0"/>
        <v>276.39531957706839</v>
      </c>
      <c r="E94" s="2">
        <f>TA!F19</f>
        <v>267.425148012862</v>
      </c>
      <c r="F94" s="479">
        <f t="shared" si="3"/>
        <v>5.6168699821977892</v>
      </c>
      <c r="G94" s="483">
        <f>TA!AA19</f>
        <v>1</v>
      </c>
      <c r="H94" s="419">
        <f>TA!EU19/TA!EG19</f>
        <v>4.9684304271029649E-2</v>
      </c>
      <c r="I94" s="419">
        <f t="shared" si="4"/>
        <v>4.9933974141738342E-2</v>
      </c>
      <c r="J94" s="419">
        <f>POWER(I94*4/(C94*各项系数!$F$5*PI())*10000000,0.5)</f>
        <v>267.425148012862</v>
      </c>
      <c r="K94" s="479">
        <f t="shared" si="1"/>
        <v>5.6168699821977892</v>
      </c>
      <c r="L94" s="480">
        <v>6</v>
      </c>
      <c r="M94" s="419">
        <f t="shared" si="2"/>
        <v>-0.38313001780221079</v>
      </c>
      <c r="N94" s="463"/>
      <c r="O94" s="463"/>
      <c r="P94" s="463"/>
      <c r="Q94" s="463"/>
      <c r="R94" s="463"/>
      <c r="S94" s="463"/>
      <c r="T94" s="463"/>
      <c r="U94" s="463"/>
      <c r="V94" s="463"/>
      <c r="W94" s="463"/>
      <c r="X94" s="463"/>
      <c r="Y94" s="463"/>
      <c r="Z94" s="463"/>
      <c r="AA94" s="463"/>
      <c r="AB94" s="463"/>
      <c r="AD94" s="463"/>
      <c r="AE94" s="463"/>
      <c r="AG94" s="463"/>
      <c r="AI94" s="463"/>
      <c r="AJ94" s="463"/>
      <c r="AK94" s="463"/>
      <c r="AM94" s="463"/>
      <c r="AN94" s="463"/>
      <c r="AO94" s="463"/>
      <c r="AQ94" s="463"/>
      <c r="AR94" s="463"/>
      <c r="AS94" s="463"/>
      <c r="AT94" s="463"/>
      <c r="AU94" s="463"/>
      <c r="AV94" s="463"/>
      <c r="AX94" s="463"/>
      <c r="AY94" s="463"/>
      <c r="AZ94" s="463"/>
      <c r="BB94" s="463"/>
      <c r="BC94" s="463"/>
      <c r="BD94" s="463"/>
      <c r="BF94" s="463"/>
      <c r="BG94" s="463"/>
      <c r="BH94" s="463"/>
      <c r="BJ94" s="463"/>
      <c r="BK94" s="463"/>
      <c r="BL94" s="463"/>
      <c r="BN94" s="463"/>
      <c r="BO94" s="463"/>
      <c r="BP94" s="463"/>
      <c r="BQ94" s="463"/>
      <c r="BR94" s="463"/>
      <c r="BT94" s="463"/>
      <c r="BU94" s="463"/>
      <c r="BV94" s="463"/>
      <c r="BX94" s="463"/>
      <c r="BY94" s="463"/>
      <c r="BZ94" s="463"/>
      <c r="CB94" s="463"/>
      <c r="CC94" s="463"/>
      <c r="CD94" s="463"/>
      <c r="CF94" s="463"/>
      <c r="CG94" s="463"/>
      <c r="CH94" s="463"/>
      <c r="CJ94" s="463"/>
      <c r="CK94" s="463"/>
      <c r="CM94" s="463"/>
      <c r="CO94" s="463"/>
      <c r="CP94" s="463"/>
      <c r="CQ94" s="463"/>
      <c r="CS94" s="463"/>
      <c r="CT94" s="463"/>
      <c r="CU94" s="463"/>
      <c r="CW94" s="463"/>
      <c r="CX94" s="463"/>
      <c r="CY94" s="463"/>
      <c r="DA94" s="463"/>
      <c r="DB94" s="463"/>
      <c r="DC94" s="463"/>
      <c r="DD94" s="463"/>
      <c r="DE94" s="463"/>
      <c r="DF94" s="463"/>
      <c r="DH94" s="463"/>
      <c r="DI94" s="463"/>
      <c r="DJ94" s="463"/>
      <c r="DL94" s="463"/>
      <c r="DM94" s="463"/>
      <c r="DN94" s="463"/>
      <c r="DO94" s="463"/>
      <c r="DP94" s="463"/>
      <c r="DR94" s="463"/>
      <c r="DS94" s="463"/>
      <c r="DT94" s="463"/>
      <c r="DV94" s="463"/>
      <c r="DW94" s="463"/>
      <c r="DX94" s="463"/>
      <c r="DZ94" s="463"/>
      <c r="EA94" s="463"/>
      <c r="EB94" s="463"/>
      <c r="ED94" s="463"/>
      <c r="EE94" s="463"/>
      <c r="EF94" s="463"/>
      <c r="EH94" s="463"/>
      <c r="EI94" s="463"/>
      <c r="EJ94" s="463"/>
      <c r="EK94" s="463"/>
      <c r="EL94" s="463"/>
      <c r="EN94" s="463"/>
      <c r="EO94" s="463"/>
      <c r="EP94" s="463"/>
      <c r="ER94" s="463"/>
      <c r="ES94" s="463"/>
      <c r="ET94" s="463"/>
      <c r="EV94" s="463"/>
      <c r="EW94" s="463"/>
      <c r="EY94" s="463"/>
      <c r="EZ94" s="463"/>
      <c r="FA94" s="463"/>
      <c r="FB94" s="463"/>
      <c r="FC94" s="463"/>
      <c r="FD94" s="463"/>
      <c r="FE94" s="463"/>
      <c r="FF94" s="463"/>
      <c r="FG94" s="463"/>
      <c r="FH94" s="463"/>
      <c r="FI94" s="463"/>
      <c r="FJ94" s="463"/>
      <c r="FK94" s="463"/>
      <c r="FL94" s="463"/>
      <c r="FM94" s="463"/>
      <c r="FN94" s="463"/>
      <c r="FO94" s="463"/>
      <c r="FP94" s="463"/>
      <c r="FQ94" s="463"/>
      <c r="FS94" s="463"/>
      <c r="FT94" s="463"/>
      <c r="FU94" s="463"/>
      <c r="FV94" s="463"/>
      <c r="FW94" s="463"/>
      <c r="FX94" s="463"/>
      <c r="FY94" s="463"/>
      <c r="FZ94" s="463"/>
    </row>
    <row r="95" spans="1:182" ht="15.5">
      <c r="A95" s="393"/>
      <c r="B95" s="480">
        <v>10</v>
      </c>
      <c r="C95" s="481">
        <v>7</v>
      </c>
      <c r="D95" s="482">
        <f t="shared" si="0"/>
        <v>134.86710626894708</v>
      </c>
      <c r="E95" s="2">
        <f>TA!F20</f>
        <v>131.13029499843299</v>
      </c>
      <c r="F95" s="479">
        <f t="shared" si="3"/>
        <v>9.4535298061032886</v>
      </c>
      <c r="G95" s="483">
        <f>TA!AA20</f>
        <v>1.0109999999999999</v>
      </c>
      <c r="H95" s="419">
        <f>TA!EU20/TA!EG20</f>
        <v>8.4541508952717073E-2</v>
      </c>
      <c r="I95" s="419">
        <f t="shared" si="4"/>
        <v>8.4966340655997064E-2</v>
      </c>
      <c r="J95" s="419">
        <f>POWER(I95*4/(C95*各项系数!$F$5*PI())*10000000,0.5)</f>
        <v>131.8495391091914</v>
      </c>
      <c r="K95" s="479">
        <f t="shared" si="1"/>
        <v>9.557518633970421</v>
      </c>
      <c r="L95" s="480">
        <v>10</v>
      </c>
      <c r="M95" s="419">
        <f t="shared" si="2"/>
        <v>-0.44248136602957899</v>
      </c>
      <c r="N95" s="463"/>
      <c r="O95" s="463"/>
      <c r="P95" s="463"/>
      <c r="Q95" s="463"/>
      <c r="R95" s="463"/>
      <c r="S95" s="463"/>
      <c r="T95" s="463"/>
      <c r="U95" s="463"/>
      <c r="V95" s="463"/>
      <c r="W95" s="463"/>
      <c r="X95" s="463"/>
      <c r="Y95" s="463"/>
      <c r="Z95" s="463"/>
      <c r="AA95" s="463"/>
      <c r="AB95" s="463"/>
      <c r="AD95" s="463"/>
      <c r="AE95" s="463"/>
      <c r="AG95" s="463"/>
      <c r="AI95" s="463"/>
      <c r="AJ95" s="463"/>
      <c r="AK95" s="463"/>
      <c r="AM95" s="463"/>
      <c r="AN95" s="463"/>
      <c r="AO95" s="463"/>
      <c r="AQ95" s="463"/>
      <c r="AR95" s="463"/>
      <c r="AS95" s="463"/>
      <c r="AT95" s="463"/>
      <c r="AU95" s="463"/>
      <c r="AV95" s="463"/>
      <c r="AX95" s="463"/>
      <c r="AY95" s="463"/>
      <c r="AZ95" s="463"/>
      <c r="BB95" s="463"/>
      <c r="BC95" s="463"/>
      <c r="BD95" s="463"/>
      <c r="BF95" s="463"/>
      <c r="BG95" s="463"/>
      <c r="BH95" s="463"/>
      <c r="BJ95" s="463"/>
      <c r="BK95" s="463"/>
      <c r="BL95" s="463"/>
      <c r="BN95" s="463"/>
      <c r="BO95" s="463"/>
      <c r="BP95" s="463"/>
      <c r="BQ95" s="463"/>
      <c r="BR95" s="463"/>
      <c r="BT95" s="463"/>
      <c r="BU95" s="463"/>
      <c r="BV95" s="463"/>
      <c r="BX95" s="463"/>
      <c r="BY95" s="463"/>
      <c r="BZ95" s="463"/>
      <c r="CB95" s="463"/>
      <c r="CC95" s="463"/>
      <c r="CD95" s="463"/>
      <c r="CF95" s="463"/>
      <c r="CG95" s="463"/>
      <c r="CH95" s="463"/>
      <c r="CJ95" s="463"/>
      <c r="CK95" s="463"/>
      <c r="CM95" s="463"/>
      <c r="CO95" s="463"/>
      <c r="CP95" s="463"/>
      <c r="CQ95" s="463"/>
      <c r="CS95" s="463"/>
      <c r="CT95" s="463"/>
      <c r="CU95" s="463"/>
      <c r="CW95" s="463"/>
      <c r="CX95" s="463"/>
      <c r="CY95" s="463"/>
      <c r="DA95" s="463"/>
      <c r="DB95" s="463"/>
      <c r="DC95" s="463"/>
      <c r="DD95" s="463"/>
      <c r="DE95" s="463"/>
      <c r="DF95" s="463"/>
      <c r="DH95" s="463"/>
      <c r="DI95" s="463"/>
      <c r="DJ95" s="463"/>
      <c r="DL95" s="463"/>
      <c r="DM95" s="463"/>
      <c r="DN95" s="463"/>
      <c r="DO95" s="463"/>
      <c r="DP95" s="463"/>
      <c r="DR95" s="463"/>
      <c r="DS95" s="463"/>
      <c r="DT95" s="463"/>
      <c r="DV95" s="463"/>
      <c r="DW95" s="463"/>
      <c r="DX95" s="463"/>
      <c r="DZ95" s="463"/>
      <c r="EA95" s="463"/>
      <c r="EB95" s="463"/>
      <c r="ED95" s="463"/>
      <c r="EE95" s="463"/>
      <c r="EF95" s="463"/>
      <c r="EH95" s="463"/>
      <c r="EI95" s="463"/>
      <c r="EJ95" s="463"/>
      <c r="EK95" s="463"/>
      <c r="EL95" s="463"/>
      <c r="EN95" s="463"/>
      <c r="EO95" s="463"/>
      <c r="EP95" s="463"/>
      <c r="ER95" s="463"/>
      <c r="ES95" s="463"/>
      <c r="ET95" s="463"/>
      <c r="EV95" s="463"/>
      <c r="EW95" s="463"/>
      <c r="EY95" s="463"/>
      <c r="EZ95" s="463"/>
      <c r="FA95" s="463"/>
      <c r="FB95" s="463"/>
      <c r="FC95" s="463"/>
      <c r="FD95" s="463"/>
      <c r="FE95" s="463"/>
      <c r="FF95" s="463"/>
      <c r="FG95" s="463"/>
      <c r="FH95" s="463"/>
      <c r="FI95" s="463"/>
      <c r="FJ95" s="463"/>
      <c r="FK95" s="463"/>
      <c r="FL95" s="463"/>
      <c r="FM95" s="463"/>
      <c r="FN95" s="463"/>
      <c r="FO95" s="463"/>
      <c r="FP95" s="463"/>
      <c r="FQ95" s="463"/>
      <c r="FS95" s="463"/>
      <c r="FT95" s="463"/>
      <c r="FU95" s="463"/>
      <c r="FV95" s="463"/>
      <c r="FW95" s="463"/>
      <c r="FX95" s="463"/>
      <c r="FY95" s="463"/>
      <c r="FZ95" s="463"/>
    </row>
    <row r="96" spans="1:182" ht="15.5">
      <c r="A96" s="393"/>
      <c r="B96" s="480">
        <v>16</v>
      </c>
      <c r="C96" s="481">
        <v>7</v>
      </c>
      <c r="D96" s="482">
        <f t="shared" si="0"/>
        <v>170.59489489833845</v>
      </c>
      <c r="E96" s="2">
        <f>TA!F21</f>
        <v>165.41681820668899</v>
      </c>
      <c r="F96" s="479">
        <f t="shared" si="3"/>
        <v>15.043443082755822</v>
      </c>
      <c r="G96" s="483">
        <f>TA!AA21</f>
        <v>1.0109999999999999</v>
      </c>
      <c r="H96" s="419">
        <f>TA!EU21/TA!EG21</f>
        <v>0.13453127076823812</v>
      </c>
      <c r="I96" s="419">
        <f t="shared" si="4"/>
        <v>0.13520730730476194</v>
      </c>
      <c r="J96" s="419">
        <f>POWER(I96*4/(C96*各项系数!$F$5*PI())*10000000,0.5)</f>
        <v>166.32412244418023</v>
      </c>
      <c r="K96" s="479">
        <f t="shared" si="1"/>
        <v>15.20892095666613</v>
      </c>
      <c r="L96" s="480">
        <v>16</v>
      </c>
      <c r="M96" s="419">
        <f t="shared" si="2"/>
        <v>-0.79107904333386969</v>
      </c>
      <c r="N96" s="463"/>
      <c r="O96" s="463"/>
      <c r="P96" s="463"/>
      <c r="Q96" s="463"/>
      <c r="R96" s="463"/>
      <c r="S96" s="463"/>
      <c r="T96" s="463"/>
      <c r="U96" s="463"/>
      <c r="V96" s="463"/>
      <c r="W96" s="463"/>
      <c r="X96" s="463"/>
      <c r="Y96" s="463"/>
      <c r="Z96" s="463"/>
      <c r="AA96" s="463"/>
      <c r="AB96" s="463"/>
      <c r="AD96" s="463"/>
      <c r="AE96" s="463"/>
      <c r="AG96" s="463"/>
      <c r="AI96" s="463"/>
      <c r="AJ96" s="463"/>
      <c r="AK96" s="463"/>
      <c r="AM96" s="463"/>
      <c r="AN96" s="463"/>
      <c r="AO96" s="463"/>
      <c r="AQ96" s="463"/>
      <c r="AR96" s="463"/>
      <c r="AS96" s="463"/>
      <c r="AT96" s="463"/>
      <c r="AU96" s="463"/>
      <c r="AV96" s="463"/>
      <c r="AX96" s="463"/>
      <c r="AY96" s="463"/>
      <c r="AZ96" s="463"/>
      <c r="BB96" s="463"/>
      <c r="BC96" s="463"/>
      <c r="BD96" s="463"/>
      <c r="BF96" s="463"/>
      <c r="BG96" s="463"/>
      <c r="BH96" s="463"/>
      <c r="BJ96" s="463"/>
      <c r="BK96" s="463"/>
      <c r="BL96" s="463"/>
      <c r="BN96" s="463"/>
      <c r="BO96" s="463"/>
      <c r="BP96" s="463"/>
      <c r="BQ96" s="463"/>
      <c r="BR96" s="463"/>
      <c r="BT96" s="463"/>
      <c r="BU96" s="463"/>
      <c r="BV96" s="463"/>
      <c r="BX96" s="463"/>
      <c r="BY96" s="463"/>
      <c r="BZ96" s="463"/>
      <c r="CB96" s="463"/>
      <c r="CC96" s="463"/>
      <c r="CD96" s="463"/>
      <c r="CF96" s="463"/>
      <c r="CG96" s="463"/>
      <c r="CH96" s="463"/>
      <c r="CJ96" s="463"/>
      <c r="CK96" s="463"/>
      <c r="CM96" s="463"/>
      <c r="CO96" s="463"/>
      <c r="CP96" s="463"/>
      <c r="CQ96" s="463"/>
      <c r="CS96" s="463"/>
      <c r="CT96" s="463"/>
      <c r="CU96" s="463"/>
      <c r="CW96" s="463"/>
      <c r="CX96" s="463"/>
      <c r="CY96" s="463"/>
      <c r="DA96" s="463"/>
      <c r="DB96" s="463"/>
      <c r="DC96" s="463"/>
      <c r="DD96" s="463"/>
      <c r="DE96" s="463"/>
      <c r="DF96" s="463"/>
      <c r="DH96" s="463"/>
      <c r="DI96" s="463"/>
      <c r="DJ96" s="463"/>
      <c r="DL96" s="463"/>
      <c r="DM96" s="463"/>
      <c r="DN96" s="463"/>
      <c r="DO96" s="463"/>
      <c r="DP96" s="463"/>
      <c r="DR96" s="463"/>
      <c r="DS96" s="463"/>
      <c r="DT96" s="463"/>
      <c r="DV96" s="463"/>
      <c r="DW96" s="463"/>
      <c r="DX96" s="463"/>
      <c r="DZ96" s="463"/>
      <c r="EA96" s="463"/>
      <c r="EB96" s="463"/>
      <c r="ED96" s="463"/>
      <c r="EE96" s="463"/>
      <c r="EF96" s="463"/>
      <c r="EH96" s="463"/>
      <c r="EI96" s="463"/>
      <c r="EJ96" s="463"/>
      <c r="EK96" s="463"/>
      <c r="EL96" s="463"/>
      <c r="EN96" s="463"/>
      <c r="EO96" s="463"/>
      <c r="EP96" s="463"/>
      <c r="ER96" s="463"/>
      <c r="ES96" s="463"/>
      <c r="ET96" s="463"/>
      <c r="EV96" s="463"/>
      <c r="EW96" s="463"/>
      <c r="EY96" s="463"/>
      <c r="EZ96" s="463"/>
      <c r="FA96" s="463"/>
      <c r="FB96" s="463"/>
      <c r="FC96" s="463"/>
      <c r="FD96" s="463"/>
      <c r="FE96" s="463"/>
      <c r="FF96" s="463"/>
      <c r="FG96" s="463"/>
      <c r="FH96" s="463"/>
      <c r="FI96" s="463"/>
      <c r="FJ96" s="463"/>
      <c r="FK96" s="463"/>
      <c r="FL96" s="463"/>
      <c r="FM96" s="463"/>
      <c r="FN96" s="463"/>
      <c r="FO96" s="463"/>
      <c r="FP96" s="463"/>
      <c r="FQ96" s="463"/>
      <c r="FS96" s="463"/>
      <c r="FT96" s="463"/>
      <c r="FU96" s="463"/>
      <c r="FV96" s="463"/>
      <c r="FW96" s="463"/>
      <c r="FX96" s="463"/>
      <c r="FY96" s="463"/>
      <c r="FZ96" s="463"/>
    </row>
    <row r="97" spans="1:182" ht="15.5">
      <c r="A97" s="393"/>
      <c r="B97" s="480">
        <v>25</v>
      </c>
      <c r="C97" s="481">
        <v>7</v>
      </c>
      <c r="D97" s="482">
        <f t="shared" si="0"/>
        <v>213.24361862292309</v>
      </c>
      <c r="E97" s="2">
        <f>TA!F22</f>
        <v>208.046961644752</v>
      </c>
      <c r="F97" s="479">
        <f t="shared" si="3"/>
        <v>23.796368012612426</v>
      </c>
      <c r="G97" s="483">
        <f>TA!AA22</f>
        <v>1.0109999999999999</v>
      </c>
      <c r="H97" s="419">
        <f>TA!EU22/TA!EG22</f>
        <v>0.21280737466777744</v>
      </c>
      <c r="I97" s="419">
        <f t="shared" si="4"/>
        <v>0.21387675846007784</v>
      </c>
      <c r="J97" s="419">
        <f>POWER(I97*4/(C97*各项系数!$F$5*PI())*10000000,0.5)</f>
        <v>209.18809041233357</v>
      </c>
      <c r="K97" s="479">
        <f t="shared" si="1"/>
        <v>24.058128060751155</v>
      </c>
      <c r="L97" s="480">
        <v>25</v>
      </c>
      <c r="M97" s="419">
        <f t="shared" si="2"/>
        <v>-0.94187193924884482</v>
      </c>
      <c r="N97" s="463"/>
      <c r="O97" s="463"/>
      <c r="P97" s="463"/>
      <c r="Q97" s="463"/>
      <c r="R97" s="463"/>
      <c r="S97" s="463"/>
      <c r="T97" s="463"/>
      <c r="U97" s="463"/>
      <c r="V97" s="463"/>
      <c r="W97" s="463"/>
      <c r="X97" s="463"/>
      <c r="Y97" s="463"/>
      <c r="Z97" s="463"/>
      <c r="AA97" s="463"/>
      <c r="AB97" s="463"/>
      <c r="AD97" s="463"/>
      <c r="AE97" s="463"/>
      <c r="AG97" s="463"/>
      <c r="AI97" s="463"/>
      <c r="AJ97" s="463"/>
      <c r="AK97" s="463"/>
      <c r="AM97" s="463"/>
      <c r="AN97" s="463"/>
      <c r="AO97" s="463"/>
      <c r="AQ97" s="463"/>
      <c r="AR97" s="463"/>
      <c r="AS97" s="463"/>
      <c r="AT97" s="463"/>
      <c r="AU97" s="463"/>
      <c r="AV97" s="463"/>
      <c r="AX97" s="463"/>
      <c r="AY97" s="463"/>
      <c r="AZ97" s="463"/>
      <c r="BB97" s="463"/>
      <c r="BC97" s="463"/>
      <c r="BD97" s="463"/>
      <c r="BF97" s="463"/>
      <c r="BG97" s="463"/>
      <c r="BH97" s="463"/>
      <c r="BJ97" s="463"/>
      <c r="BK97" s="463"/>
      <c r="BL97" s="463"/>
      <c r="BN97" s="463"/>
      <c r="BO97" s="463"/>
      <c r="BP97" s="463"/>
      <c r="BQ97" s="463"/>
      <c r="BR97" s="463"/>
      <c r="BT97" s="463"/>
      <c r="BU97" s="463"/>
      <c r="BV97" s="463"/>
      <c r="BX97" s="463"/>
      <c r="BY97" s="463"/>
      <c r="BZ97" s="463"/>
      <c r="CB97" s="463"/>
      <c r="CC97" s="463"/>
      <c r="CD97" s="463"/>
      <c r="CF97" s="463"/>
      <c r="CG97" s="463"/>
      <c r="CH97" s="463"/>
      <c r="CJ97" s="463"/>
      <c r="CK97" s="463"/>
      <c r="CM97" s="463"/>
      <c r="CO97" s="463"/>
      <c r="CP97" s="463"/>
      <c r="CQ97" s="463"/>
      <c r="CS97" s="463"/>
      <c r="CT97" s="463"/>
      <c r="CU97" s="463"/>
      <c r="CW97" s="463"/>
      <c r="CX97" s="463"/>
      <c r="CY97" s="463"/>
      <c r="DA97" s="463"/>
      <c r="DB97" s="463"/>
      <c r="DC97" s="463"/>
      <c r="DD97" s="463"/>
      <c r="DE97" s="463"/>
      <c r="DF97" s="463"/>
      <c r="DH97" s="463"/>
      <c r="DI97" s="463"/>
      <c r="DJ97" s="463"/>
      <c r="DL97" s="463"/>
      <c r="DM97" s="463"/>
      <c r="DN97" s="463"/>
      <c r="DO97" s="463"/>
      <c r="DP97" s="463"/>
      <c r="DR97" s="463"/>
      <c r="DS97" s="463"/>
      <c r="DT97" s="463"/>
      <c r="DV97" s="463"/>
      <c r="DW97" s="463"/>
      <c r="DX97" s="463"/>
      <c r="DZ97" s="463"/>
      <c r="EA97" s="463"/>
      <c r="EB97" s="463"/>
      <c r="ED97" s="463"/>
      <c r="EE97" s="463"/>
      <c r="EF97" s="463"/>
      <c r="EH97" s="463"/>
      <c r="EI97" s="463"/>
      <c r="EJ97" s="463"/>
      <c r="EK97" s="463"/>
      <c r="EL97" s="463"/>
      <c r="EN97" s="463"/>
      <c r="EO97" s="463"/>
      <c r="EP97" s="463"/>
      <c r="ER97" s="463"/>
      <c r="ES97" s="463"/>
      <c r="ET97" s="463"/>
      <c r="EV97" s="463"/>
      <c r="EW97" s="463"/>
      <c r="EY97" s="463"/>
      <c r="EZ97" s="463"/>
      <c r="FA97" s="463"/>
      <c r="FB97" s="463"/>
      <c r="FC97" s="463"/>
      <c r="FD97" s="463"/>
      <c r="FE97" s="463"/>
      <c r="FF97" s="463"/>
      <c r="FG97" s="463"/>
      <c r="FH97" s="463"/>
      <c r="FI97" s="463"/>
      <c r="FJ97" s="463"/>
      <c r="FK97" s="463"/>
      <c r="FL97" s="463"/>
      <c r="FM97" s="463"/>
      <c r="FN97" s="463"/>
      <c r="FO97" s="463"/>
      <c r="FP97" s="463"/>
      <c r="FQ97" s="463"/>
      <c r="FS97" s="463"/>
      <c r="FT97" s="463"/>
      <c r="FU97" s="463"/>
      <c r="FV97" s="463"/>
      <c r="FW97" s="463"/>
      <c r="FX97" s="463"/>
      <c r="FY97" s="463"/>
      <c r="FZ97" s="463"/>
    </row>
    <row r="98" spans="1:182" ht="15.5">
      <c r="A98" s="393"/>
      <c r="B98" s="480">
        <v>35</v>
      </c>
      <c r="C98" s="481">
        <v>7</v>
      </c>
      <c r="D98" s="482">
        <f t="shared" si="0"/>
        <v>252.313252202016</v>
      </c>
      <c r="E98" s="2">
        <f>TA!F23</f>
        <v>245.05464536042999</v>
      </c>
      <c r="F98" s="479">
        <f t="shared" si="3"/>
        <v>33.015189971696906</v>
      </c>
      <c r="G98" s="483">
        <f>TA!AA23</f>
        <v>1.0109999999999999</v>
      </c>
      <c r="H98" s="419">
        <f>TA!EU23/TA!EG23</f>
        <v>0.29524992630433911</v>
      </c>
      <c r="I98" s="419">
        <f t="shared" si="4"/>
        <v>0.29673359427571772</v>
      </c>
      <c r="J98" s="419">
        <f>POWER(I98*4/(C98*各项系数!$F$5*PI())*10000000,0.5)</f>
        <v>246.39875970480469</v>
      </c>
      <c r="K98" s="479">
        <f t="shared" si="1"/>
        <v>33.378357061385564</v>
      </c>
      <c r="L98" s="480">
        <v>35</v>
      </c>
      <c r="M98" s="419">
        <f t="shared" si="2"/>
        <v>-1.6216429386144355</v>
      </c>
      <c r="N98" s="463"/>
      <c r="O98" s="463"/>
      <c r="P98" s="463"/>
      <c r="Q98" s="463"/>
      <c r="R98" s="463"/>
      <c r="S98" s="463"/>
      <c r="T98" s="463"/>
      <c r="U98" s="463"/>
      <c r="V98" s="463"/>
      <c r="W98" s="463"/>
      <c r="X98" s="463"/>
      <c r="Y98" s="463"/>
      <c r="Z98" s="463"/>
      <c r="AA98" s="463"/>
      <c r="AB98" s="463"/>
      <c r="AD98" s="463"/>
      <c r="AE98" s="463"/>
      <c r="AG98" s="463"/>
      <c r="AI98" s="463"/>
      <c r="AJ98" s="463"/>
      <c r="AK98" s="463"/>
      <c r="AM98" s="463"/>
      <c r="AN98" s="463"/>
      <c r="AO98" s="463"/>
      <c r="AQ98" s="463"/>
      <c r="AR98" s="463"/>
      <c r="AS98" s="463"/>
      <c r="AT98" s="463"/>
      <c r="AU98" s="463"/>
      <c r="AV98" s="463"/>
      <c r="AX98" s="463"/>
      <c r="AY98" s="463"/>
      <c r="AZ98" s="463"/>
      <c r="BB98" s="463"/>
      <c r="BC98" s="463"/>
      <c r="BD98" s="463"/>
      <c r="BF98" s="463"/>
      <c r="BG98" s="463"/>
      <c r="BH98" s="463"/>
      <c r="BJ98" s="463"/>
      <c r="BK98" s="463"/>
      <c r="BL98" s="463"/>
      <c r="BN98" s="463"/>
      <c r="BO98" s="463"/>
      <c r="BP98" s="463"/>
      <c r="BQ98" s="463"/>
      <c r="BR98" s="463"/>
      <c r="BT98" s="463"/>
      <c r="BU98" s="463"/>
      <c r="BV98" s="463"/>
      <c r="BX98" s="463"/>
      <c r="BY98" s="463"/>
      <c r="BZ98" s="463"/>
      <c r="CB98" s="463"/>
      <c r="CC98" s="463"/>
      <c r="CD98" s="463"/>
      <c r="CF98" s="463"/>
      <c r="CG98" s="463"/>
      <c r="CH98" s="463"/>
      <c r="CJ98" s="463"/>
      <c r="CK98" s="463"/>
      <c r="CM98" s="463"/>
      <c r="CO98" s="463"/>
      <c r="CP98" s="463"/>
      <c r="CQ98" s="463"/>
      <c r="CS98" s="463"/>
      <c r="CT98" s="463"/>
      <c r="CU98" s="463"/>
      <c r="CW98" s="463"/>
      <c r="CX98" s="463"/>
      <c r="CY98" s="463"/>
      <c r="DA98" s="463"/>
      <c r="DB98" s="463"/>
      <c r="DC98" s="463"/>
      <c r="DD98" s="463"/>
      <c r="DE98" s="463"/>
      <c r="DF98" s="463"/>
      <c r="DH98" s="463"/>
      <c r="DI98" s="463"/>
      <c r="DJ98" s="463"/>
      <c r="DL98" s="463"/>
      <c r="DM98" s="463"/>
      <c r="DN98" s="463"/>
      <c r="DO98" s="463"/>
      <c r="DP98" s="463"/>
      <c r="DR98" s="463"/>
      <c r="DS98" s="463"/>
      <c r="DT98" s="463"/>
      <c r="DV98" s="463"/>
      <c r="DW98" s="463"/>
      <c r="DX98" s="463"/>
      <c r="DZ98" s="463"/>
      <c r="EA98" s="463"/>
      <c r="EB98" s="463"/>
      <c r="ED98" s="463"/>
      <c r="EE98" s="463"/>
      <c r="EF98" s="463"/>
      <c r="EH98" s="463"/>
      <c r="EI98" s="463"/>
      <c r="EJ98" s="463"/>
      <c r="EK98" s="463"/>
      <c r="EL98" s="463"/>
      <c r="EN98" s="463"/>
      <c r="EO98" s="463"/>
      <c r="EP98" s="463"/>
      <c r="ER98" s="463"/>
      <c r="ES98" s="463"/>
      <c r="ET98" s="463"/>
      <c r="EV98" s="463"/>
      <c r="EW98" s="463"/>
      <c r="EY98" s="463"/>
      <c r="EZ98" s="463"/>
      <c r="FA98" s="463"/>
      <c r="FB98" s="463"/>
      <c r="FC98" s="463"/>
      <c r="FD98" s="463"/>
      <c r="FE98" s="463"/>
      <c r="FF98" s="463"/>
      <c r="FG98" s="463"/>
      <c r="FH98" s="463"/>
      <c r="FI98" s="463"/>
      <c r="FJ98" s="463"/>
      <c r="FK98" s="463"/>
      <c r="FL98" s="463"/>
      <c r="FM98" s="463"/>
      <c r="FN98" s="463"/>
      <c r="FO98" s="463"/>
      <c r="FP98" s="463"/>
      <c r="FQ98" s="463"/>
      <c r="FS98" s="463"/>
      <c r="FT98" s="463"/>
      <c r="FU98" s="463"/>
      <c r="FV98" s="463"/>
      <c r="FW98" s="463"/>
      <c r="FX98" s="463"/>
      <c r="FY98" s="463"/>
      <c r="FZ98" s="463"/>
    </row>
    <row r="99" spans="1:182" ht="15.5">
      <c r="A99" s="393"/>
      <c r="B99" s="480">
        <v>50</v>
      </c>
      <c r="C99" s="481">
        <v>10</v>
      </c>
      <c r="D99" s="482">
        <f t="shared" si="0"/>
        <v>252.313252202016</v>
      </c>
      <c r="E99" s="2">
        <f>TA!F24</f>
        <v>238.573455311777</v>
      </c>
      <c r="F99" s="479">
        <f t="shared" si="3"/>
        <v>44.702737842814493</v>
      </c>
      <c r="G99" s="483">
        <f>TA!AA24</f>
        <v>1.0109999999999999</v>
      </c>
      <c r="H99" s="419">
        <f>TA!EU24/TA!EG24</f>
        <v>0.39976992605548828</v>
      </c>
      <c r="I99" s="419">
        <f t="shared" si="4"/>
        <v>0.40177882015626964</v>
      </c>
      <c r="J99" s="419">
        <f>POWER(I99*4/(C99*各项系数!$F$5*PI())*10000000,0.5)</f>
        <v>239.88202060340797</v>
      </c>
      <c r="K99" s="479">
        <f t="shared" si="1"/>
        <v>45.194467959085443</v>
      </c>
      <c r="L99" s="480">
        <v>50</v>
      </c>
      <c r="M99" s="419">
        <f t="shared" si="2"/>
        <v>-4.8055320409145565</v>
      </c>
      <c r="N99" s="463"/>
      <c r="O99" s="463"/>
      <c r="P99" s="463"/>
      <c r="Q99" s="463"/>
      <c r="R99" s="463"/>
      <c r="S99" s="463"/>
      <c r="T99" s="463"/>
      <c r="U99" s="463"/>
      <c r="V99" s="463"/>
      <c r="W99" s="463"/>
      <c r="X99" s="463"/>
      <c r="Y99" s="463"/>
      <c r="Z99" s="463"/>
      <c r="AA99" s="463"/>
      <c r="AB99" s="463"/>
      <c r="AD99" s="463"/>
      <c r="AE99" s="463"/>
      <c r="AG99" s="463"/>
      <c r="AI99" s="463"/>
      <c r="AJ99" s="463"/>
      <c r="AK99" s="463"/>
      <c r="AM99" s="463"/>
      <c r="AN99" s="463"/>
      <c r="AO99" s="463"/>
      <c r="AQ99" s="463"/>
      <c r="AR99" s="463"/>
      <c r="AS99" s="463"/>
      <c r="AT99" s="463"/>
      <c r="AU99" s="463"/>
      <c r="AV99" s="463"/>
      <c r="AX99" s="463"/>
      <c r="AY99" s="463"/>
      <c r="AZ99" s="463"/>
      <c r="BB99" s="463"/>
      <c r="BC99" s="463"/>
      <c r="BD99" s="463"/>
      <c r="BF99" s="463"/>
      <c r="BG99" s="463"/>
      <c r="BH99" s="463"/>
      <c r="BJ99" s="463"/>
      <c r="BK99" s="463"/>
      <c r="BL99" s="463"/>
      <c r="BN99" s="463"/>
      <c r="BO99" s="463"/>
      <c r="BP99" s="463"/>
      <c r="BQ99" s="463"/>
      <c r="BR99" s="463"/>
      <c r="BT99" s="463"/>
      <c r="BU99" s="463"/>
      <c r="BV99" s="463"/>
      <c r="BX99" s="463"/>
      <c r="BY99" s="463"/>
      <c r="BZ99" s="463"/>
      <c r="CB99" s="463"/>
      <c r="CC99" s="463"/>
      <c r="CD99" s="463"/>
      <c r="CF99" s="463"/>
      <c r="CG99" s="463"/>
      <c r="CH99" s="463"/>
      <c r="CJ99" s="463"/>
      <c r="CK99" s="463"/>
      <c r="CM99" s="463"/>
      <c r="CO99" s="463"/>
      <c r="CP99" s="463"/>
      <c r="CQ99" s="463"/>
      <c r="CS99" s="463"/>
      <c r="CT99" s="463"/>
      <c r="CU99" s="463"/>
      <c r="CW99" s="463"/>
      <c r="CX99" s="463"/>
      <c r="CY99" s="463"/>
      <c r="DA99" s="463"/>
      <c r="DB99" s="463"/>
      <c r="DC99" s="463"/>
      <c r="DD99" s="463"/>
      <c r="DE99" s="463"/>
      <c r="DF99" s="463"/>
      <c r="DH99" s="463"/>
      <c r="DI99" s="463"/>
      <c r="DJ99" s="463"/>
      <c r="DL99" s="463"/>
      <c r="DM99" s="463"/>
      <c r="DN99" s="463"/>
      <c r="DO99" s="463"/>
      <c r="DP99" s="463"/>
      <c r="DR99" s="463"/>
      <c r="DS99" s="463"/>
      <c r="DT99" s="463"/>
      <c r="DV99" s="463"/>
      <c r="DW99" s="463"/>
      <c r="DX99" s="463"/>
      <c r="DZ99" s="463"/>
      <c r="EA99" s="463"/>
      <c r="EB99" s="463"/>
      <c r="ED99" s="463"/>
      <c r="EE99" s="463"/>
      <c r="EF99" s="463"/>
      <c r="EH99" s="463"/>
      <c r="EI99" s="463"/>
      <c r="EJ99" s="463"/>
      <c r="EK99" s="463"/>
      <c r="EL99" s="463"/>
      <c r="EN99" s="463"/>
      <c r="EO99" s="463"/>
      <c r="EP99" s="463"/>
      <c r="ER99" s="463"/>
      <c r="ES99" s="463"/>
      <c r="ET99" s="463"/>
      <c r="EV99" s="463"/>
      <c r="EW99" s="463"/>
      <c r="EY99" s="463"/>
      <c r="EZ99" s="463"/>
      <c r="FA99" s="463"/>
      <c r="FB99" s="463"/>
      <c r="FC99" s="463"/>
      <c r="FD99" s="463"/>
      <c r="FE99" s="463"/>
      <c r="FF99" s="463"/>
      <c r="FG99" s="463"/>
      <c r="FH99" s="463"/>
      <c r="FI99" s="463"/>
      <c r="FJ99" s="463"/>
      <c r="FK99" s="463"/>
      <c r="FL99" s="463"/>
      <c r="FM99" s="463"/>
      <c r="FN99" s="463"/>
      <c r="FO99" s="463"/>
      <c r="FP99" s="463"/>
      <c r="FQ99" s="463"/>
      <c r="FS99" s="463"/>
      <c r="FT99" s="463"/>
      <c r="FU99" s="463"/>
      <c r="FV99" s="463"/>
      <c r="FW99" s="463"/>
      <c r="FX99" s="463"/>
      <c r="FY99" s="463"/>
      <c r="FZ99" s="463"/>
    </row>
    <row r="100" spans="1:182" ht="15.5">
      <c r="A100" s="393"/>
      <c r="B100" s="480">
        <v>70</v>
      </c>
      <c r="C100" s="481">
        <v>14</v>
      </c>
      <c r="D100" s="482">
        <f t="shared" si="0"/>
        <v>252.313252202016</v>
      </c>
      <c r="E100" s="2">
        <f>TA!F25</f>
        <v>242.29596858910099</v>
      </c>
      <c r="F100" s="479">
        <f t="shared" si="3"/>
        <v>64.552087855108724</v>
      </c>
      <c r="G100" s="483">
        <f>TA!AA25</f>
        <v>1.0129999999999999</v>
      </c>
      <c r="H100" s="419">
        <f>TA!EU25/TA!EG25</f>
        <v>0.57842170409620486</v>
      </c>
      <c r="I100" s="419">
        <f t="shared" si="4"/>
        <v>0.58132834582533155</v>
      </c>
      <c r="J100" s="419">
        <f>POWER(I100*4/(C100*各项系数!$F$5*PI())*10000000,0.5)</f>
        <v>243.86580688497418</v>
      </c>
      <c r="K100" s="479">
        <f t="shared" si="1"/>
        <v>65.39126499722515</v>
      </c>
      <c r="L100" s="480">
        <v>70</v>
      </c>
      <c r="M100" s="419">
        <f t="shared" si="2"/>
        <v>-4.6087350027748499</v>
      </c>
      <c r="N100" s="463"/>
      <c r="O100" s="463"/>
      <c r="P100" s="463"/>
      <c r="Q100" s="463"/>
      <c r="R100" s="463"/>
      <c r="S100" s="463"/>
      <c r="T100" s="463"/>
      <c r="U100" s="463"/>
      <c r="V100" s="463"/>
      <c r="W100" s="463"/>
      <c r="X100" s="463"/>
      <c r="Y100" s="463"/>
      <c r="Z100" s="463"/>
      <c r="AA100" s="463"/>
      <c r="AB100" s="463"/>
      <c r="AD100" s="463"/>
      <c r="AE100" s="463"/>
      <c r="AG100" s="463"/>
      <c r="AI100" s="463"/>
      <c r="AJ100" s="463"/>
      <c r="AK100" s="463"/>
      <c r="AM100" s="463"/>
      <c r="AN100" s="463"/>
      <c r="AO100" s="463"/>
      <c r="AQ100" s="463"/>
      <c r="AR100" s="463"/>
      <c r="AS100" s="463"/>
      <c r="AT100" s="463"/>
      <c r="AU100" s="463"/>
      <c r="AV100" s="463"/>
      <c r="AX100" s="463"/>
      <c r="AY100" s="463"/>
      <c r="AZ100" s="463"/>
      <c r="BB100" s="463"/>
      <c r="BC100" s="463"/>
      <c r="BD100" s="463"/>
      <c r="BF100" s="463"/>
      <c r="BG100" s="463"/>
      <c r="BH100" s="463"/>
      <c r="BJ100" s="463"/>
      <c r="BK100" s="463"/>
      <c r="BL100" s="463"/>
      <c r="BN100" s="463"/>
      <c r="BO100" s="463"/>
      <c r="BP100" s="463"/>
      <c r="BQ100" s="463"/>
      <c r="BR100" s="463"/>
      <c r="BT100" s="463"/>
      <c r="BU100" s="463"/>
      <c r="BV100" s="463"/>
      <c r="BX100" s="463"/>
      <c r="BY100" s="463"/>
      <c r="BZ100" s="463"/>
      <c r="CB100" s="463"/>
      <c r="CC100" s="463"/>
      <c r="CD100" s="463"/>
      <c r="CF100" s="463"/>
      <c r="CG100" s="463"/>
      <c r="CH100" s="463"/>
      <c r="CJ100" s="463"/>
      <c r="CK100" s="463"/>
      <c r="CM100" s="463"/>
      <c r="CO100" s="463"/>
      <c r="CP100" s="463"/>
      <c r="CQ100" s="463"/>
      <c r="CS100" s="463"/>
      <c r="CT100" s="463"/>
      <c r="CU100" s="463"/>
      <c r="CW100" s="463"/>
      <c r="CX100" s="463"/>
      <c r="CY100" s="463"/>
      <c r="DA100" s="463"/>
      <c r="DB100" s="463"/>
      <c r="DC100" s="463"/>
      <c r="DD100" s="463"/>
      <c r="DE100" s="463"/>
      <c r="DF100" s="463"/>
      <c r="DH100" s="463"/>
      <c r="DI100" s="463"/>
      <c r="DJ100" s="463"/>
      <c r="DL100" s="463"/>
      <c r="DM100" s="463"/>
      <c r="DN100" s="463"/>
      <c r="DO100" s="463"/>
      <c r="DP100" s="463"/>
      <c r="DR100" s="463"/>
      <c r="DS100" s="463"/>
      <c r="DT100" s="463"/>
      <c r="DV100" s="463"/>
      <c r="DW100" s="463"/>
      <c r="DX100" s="463"/>
      <c r="DZ100" s="463"/>
      <c r="EA100" s="463"/>
      <c r="EB100" s="463"/>
      <c r="ED100" s="463"/>
      <c r="EE100" s="463"/>
      <c r="EF100" s="463"/>
      <c r="EH100" s="463"/>
      <c r="EI100" s="463"/>
      <c r="EJ100" s="463"/>
      <c r="EK100" s="463"/>
      <c r="EL100" s="463"/>
      <c r="EN100" s="463"/>
      <c r="EO100" s="463"/>
      <c r="EP100" s="463"/>
      <c r="ER100" s="463"/>
      <c r="ES100" s="463"/>
      <c r="ET100" s="463"/>
      <c r="EV100" s="463"/>
      <c r="EW100" s="463"/>
      <c r="EY100" s="463"/>
      <c r="EZ100" s="463"/>
      <c r="FA100" s="463"/>
      <c r="FB100" s="463"/>
      <c r="FC100" s="463"/>
      <c r="FD100" s="463"/>
      <c r="FE100" s="463"/>
      <c r="FF100" s="463"/>
      <c r="FG100" s="463"/>
      <c r="FH100" s="463"/>
      <c r="FI100" s="463"/>
      <c r="FJ100" s="463"/>
      <c r="FK100" s="463"/>
      <c r="FL100" s="463"/>
      <c r="FM100" s="463"/>
      <c r="FN100" s="463"/>
      <c r="FO100" s="463"/>
      <c r="FP100" s="463"/>
      <c r="FQ100" s="463"/>
      <c r="FS100" s="463"/>
      <c r="FT100" s="463"/>
      <c r="FU100" s="463"/>
      <c r="FV100" s="463"/>
      <c r="FW100" s="463"/>
      <c r="FX100" s="463"/>
      <c r="FY100" s="463"/>
      <c r="FZ100" s="463"/>
    </row>
    <row r="101" spans="1:182" ht="15.5">
      <c r="A101" s="393"/>
      <c r="B101" s="480">
        <v>95</v>
      </c>
      <c r="C101" s="481">
        <v>19</v>
      </c>
      <c r="D101" s="482">
        <f t="shared" si="0"/>
        <v>252.313252202016</v>
      </c>
      <c r="E101" s="2">
        <f>TA!F26</f>
        <v>245.088056587712</v>
      </c>
      <c r="F101" s="479">
        <f t="shared" si="3"/>
        <v>89.637096088959552</v>
      </c>
      <c r="G101" s="483">
        <f>TA!AA26</f>
        <v>1.0129999999999999</v>
      </c>
      <c r="H101" s="419">
        <f>TA!EU26/TA!EG26</f>
        <v>0.803196977708722</v>
      </c>
      <c r="I101" s="419">
        <f t="shared" si="4"/>
        <v>0.80723314342585129</v>
      </c>
      <c r="J101" s="419">
        <f>POWER(I101*4/(C101*各项系数!$F$5*PI())*10000000,0.5)</f>
        <v>246.67598485301875</v>
      </c>
      <c r="K101" s="479">
        <f t="shared" si="1"/>
        <v>90.802378338115986</v>
      </c>
      <c r="L101" s="480">
        <v>95</v>
      </c>
      <c r="M101" s="419">
        <f t="shared" si="2"/>
        <v>-4.1976216618840141</v>
      </c>
      <c r="N101" s="463"/>
      <c r="O101" s="463"/>
      <c r="P101" s="463"/>
      <c r="Q101" s="463"/>
      <c r="R101" s="463"/>
      <c r="S101" s="463"/>
      <c r="T101" s="463"/>
      <c r="U101" s="463"/>
      <c r="V101" s="463"/>
      <c r="W101" s="463"/>
      <c r="X101" s="463"/>
      <c r="Y101" s="463"/>
      <c r="Z101" s="463"/>
      <c r="AA101" s="463"/>
      <c r="AB101" s="463"/>
      <c r="AD101" s="463"/>
      <c r="AE101" s="463"/>
      <c r="AG101" s="463"/>
      <c r="AI101" s="463"/>
      <c r="AJ101" s="463"/>
      <c r="AK101" s="463"/>
      <c r="AM101" s="463"/>
      <c r="AN101" s="463"/>
      <c r="AO101" s="463"/>
      <c r="AQ101" s="463"/>
      <c r="AR101" s="463"/>
      <c r="AS101" s="463"/>
      <c r="AT101" s="463"/>
      <c r="AU101" s="463"/>
      <c r="AV101" s="463"/>
      <c r="AX101" s="463"/>
      <c r="AY101" s="463"/>
      <c r="AZ101" s="463"/>
      <c r="BB101" s="463"/>
      <c r="BC101" s="463"/>
      <c r="BD101" s="463"/>
      <c r="BF101" s="463"/>
      <c r="BG101" s="463"/>
      <c r="BH101" s="463"/>
      <c r="BJ101" s="463"/>
      <c r="BK101" s="463"/>
      <c r="BL101" s="463"/>
      <c r="BN101" s="463"/>
      <c r="BO101" s="463"/>
      <c r="BP101" s="463"/>
      <c r="BQ101" s="463"/>
      <c r="BR101" s="463"/>
      <c r="BT101" s="463"/>
      <c r="BU101" s="463"/>
      <c r="BV101" s="463"/>
      <c r="BX101" s="463"/>
      <c r="BY101" s="463"/>
      <c r="BZ101" s="463"/>
      <c r="CB101" s="463"/>
      <c r="CC101" s="463"/>
      <c r="CD101" s="463"/>
      <c r="CF101" s="463"/>
      <c r="CG101" s="463"/>
      <c r="CH101" s="463"/>
      <c r="CJ101" s="463"/>
      <c r="CK101" s="463"/>
      <c r="CM101" s="463"/>
      <c r="CO101" s="463"/>
      <c r="CP101" s="463"/>
      <c r="CQ101" s="463"/>
      <c r="CS101" s="463"/>
      <c r="CT101" s="463"/>
      <c r="CU101" s="463"/>
      <c r="CW101" s="463"/>
      <c r="CX101" s="463"/>
      <c r="CY101" s="463"/>
      <c r="DA101" s="463"/>
      <c r="DB101" s="463"/>
      <c r="DC101" s="463"/>
      <c r="DD101" s="463"/>
      <c r="DE101" s="463"/>
      <c r="DF101" s="463"/>
      <c r="DH101" s="463"/>
      <c r="DI101" s="463"/>
      <c r="DJ101" s="463"/>
      <c r="DL101" s="463"/>
      <c r="DM101" s="463"/>
      <c r="DN101" s="463"/>
      <c r="DO101" s="463"/>
      <c r="DP101" s="463"/>
      <c r="DR101" s="463"/>
      <c r="DS101" s="463"/>
      <c r="DT101" s="463"/>
      <c r="DV101" s="463"/>
      <c r="DW101" s="463"/>
      <c r="DX101" s="463"/>
      <c r="DZ101" s="463"/>
      <c r="EA101" s="463"/>
      <c r="EB101" s="463"/>
      <c r="ED101" s="463"/>
      <c r="EE101" s="463"/>
      <c r="EF101" s="463"/>
      <c r="EH101" s="463"/>
      <c r="EI101" s="463"/>
      <c r="EJ101" s="463"/>
      <c r="EK101" s="463"/>
      <c r="EL101" s="463"/>
      <c r="EN101" s="463"/>
      <c r="EO101" s="463"/>
      <c r="EP101" s="463"/>
      <c r="ER101" s="463"/>
      <c r="ES101" s="463"/>
      <c r="ET101" s="463"/>
      <c r="EV101" s="463"/>
      <c r="EW101" s="463"/>
      <c r="EY101" s="463"/>
      <c r="EZ101" s="463"/>
      <c r="FA101" s="463"/>
      <c r="FB101" s="463"/>
      <c r="FC101" s="463"/>
      <c r="FD101" s="463"/>
      <c r="FE101" s="463"/>
      <c r="FF101" s="463"/>
      <c r="FG101" s="463"/>
      <c r="FH101" s="463"/>
      <c r="FI101" s="463"/>
      <c r="FJ101" s="463"/>
      <c r="FK101" s="463"/>
      <c r="FL101" s="463"/>
      <c r="FM101" s="463"/>
      <c r="FN101" s="463"/>
      <c r="FO101" s="463"/>
      <c r="FP101" s="463"/>
      <c r="FQ101" s="463"/>
      <c r="FS101" s="463"/>
      <c r="FT101" s="463"/>
      <c r="FU101" s="463"/>
      <c r="FV101" s="463"/>
      <c r="FW101" s="463"/>
      <c r="FX101" s="463"/>
      <c r="FY101" s="463"/>
      <c r="FZ101" s="463"/>
    </row>
    <row r="102" spans="1:182" ht="15.5">
      <c r="A102" s="393"/>
      <c r="B102" s="484">
        <v>120</v>
      </c>
      <c r="C102" s="481">
        <v>24</v>
      </c>
      <c r="D102" s="485">
        <f t="shared" ref="D102:D110" si="5">(4*B102/PI()/C102)^(1/2)*100</f>
        <v>252.31325220201603</v>
      </c>
      <c r="E102" s="2">
        <f>TA!F27</f>
        <v>244.921136962963</v>
      </c>
      <c r="F102" s="479">
        <f t="shared" si="3"/>
        <v>113.07163101417709</v>
      </c>
      <c r="G102" s="483">
        <f>TA!AA27</f>
        <v>1.0129999999999999</v>
      </c>
      <c r="H102" s="419">
        <f>TA!EU27/TA!EG27</f>
        <v>1.013183115671781</v>
      </c>
      <c r="I102" s="419">
        <f t="shared" si="4"/>
        <v>1.0182744881123427</v>
      </c>
      <c r="J102" s="419">
        <f>POWER(I102*4/(C102*各项系数!$F$5*PI())*10000000,0.5)</f>
        <v>246.50798375415039</v>
      </c>
      <c r="K102" s="479">
        <f t="shared" si="1"/>
        <v>114.54156221736139</v>
      </c>
      <c r="L102" s="484">
        <v>120</v>
      </c>
      <c r="M102" s="419">
        <f t="shared" si="2"/>
        <v>-5.4584377826386117</v>
      </c>
      <c r="N102" s="463"/>
      <c r="O102" s="463"/>
      <c r="P102" s="463"/>
      <c r="Q102" s="463"/>
      <c r="R102" s="463"/>
      <c r="S102" s="463"/>
      <c r="T102" s="463"/>
      <c r="U102" s="463"/>
      <c r="V102" s="463"/>
      <c r="W102" s="463"/>
      <c r="X102" s="463"/>
      <c r="Y102" s="463"/>
      <c r="Z102" s="463"/>
      <c r="AA102" s="463"/>
      <c r="AB102" s="463"/>
      <c r="AD102" s="463"/>
      <c r="AE102" s="463"/>
      <c r="AG102" s="463"/>
      <c r="AI102" s="463"/>
      <c r="AJ102" s="463"/>
      <c r="AK102" s="463"/>
      <c r="AM102" s="463"/>
      <c r="AN102" s="463"/>
      <c r="AO102" s="463"/>
      <c r="AQ102" s="463"/>
      <c r="AR102" s="463"/>
      <c r="AS102" s="463"/>
      <c r="AT102" s="463"/>
      <c r="AU102" s="463"/>
      <c r="AV102" s="463"/>
      <c r="AX102" s="463"/>
      <c r="AY102" s="463"/>
      <c r="AZ102" s="463"/>
      <c r="BB102" s="463"/>
      <c r="BC102" s="463"/>
      <c r="BD102" s="463"/>
      <c r="BF102" s="463"/>
      <c r="BG102" s="463"/>
      <c r="BH102" s="463"/>
      <c r="BJ102" s="463"/>
      <c r="BK102" s="463"/>
      <c r="BL102" s="463"/>
      <c r="BN102" s="463"/>
      <c r="BO102" s="463"/>
      <c r="BP102" s="463"/>
      <c r="BQ102" s="463"/>
      <c r="BR102" s="463"/>
      <c r="BT102" s="463"/>
      <c r="BU102" s="463"/>
      <c r="BV102" s="463"/>
      <c r="BX102" s="463"/>
      <c r="BY102" s="463"/>
      <c r="BZ102" s="463"/>
      <c r="CB102" s="463"/>
      <c r="CC102" s="463"/>
      <c r="CD102" s="463"/>
      <c r="CF102" s="463"/>
      <c r="CG102" s="463"/>
      <c r="CH102" s="463"/>
      <c r="CJ102" s="463"/>
      <c r="CK102" s="463"/>
      <c r="CM102" s="463"/>
      <c r="CO102" s="463"/>
      <c r="CP102" s="463"/>
      <c r="CQ102" s="463"/>
      <c r="CS102" s="463"/>
      <c r="CT102" s="463"/>
      <c r="CU102" s="463"/>
      <c r="CW102" s="463"/>
      <c r="CX102" s="463"/>
      <c r="CY102" s="463"/>
      <c r="DA102" s="463"/>
      <c r="DB102" s="463"/>
      <c r="DC102" s="463"/>
      <c r="DD102" s="463"/>
      <c r="DE102" s="463"/>
      <c r="DF102" s="463"/>
      <c r="DH102" s="463"/>
      <c r="DI102" s="463"/>
      <c r="DJ102" s="463"/>
      <c r="DL102" s="463"/>
      <c r="DM102" s="463"/>
      <c r="DN102" s="463"/>
      <c r="DO102" s="463"/>
      <c r="DP102" s="463"/>
      <c r="DR102" s="463"/>
      <c r="DS102" s="463"/>
      <c r="DT102" s="463"/>
      <c r="DV102" s="463"/>
      <c r="DW102" s="463"/>
      <c r="DX102" s="463"/>
      <c r="DZ102" s="463"/>
      <c r="EA102" s="463"/>
      <c r="EB102" s="463"/>
      <c r="ED102" s="463"/>
      <c r="EE102" s="463"/>
      <c r="EF102" s="463"/>
      <c r="EH102" s="463"/>
      <c r="EI102" s="463"/>
      <c r="EJ102" s="463"/>
      <c r="EK102" s="463"/>
      <c r="EL102" s="463"/>
      <c r="EN102" s="463"/>
      <c r="EO102" s="463"/>
      <c r="EP102" s="463"/>
      <c r="ER102" s="463"/>
      <c r="ES102" s="463"/>
      <c r="ET102" s="463"/>
      <c r="EV102" s="463"/>
      <c r="EW102" s="463"/>
      <c r="EY102" s="463"/>
      <c r="EZ102" s="463"/>
      <c r="FA102" s="463"/>
      <c r="FB102" s="463"/>
      <c r="FC102" s="463"/>
      <c r="FD102" s="463"/>
      <c r="FE102" s="463"/>
      <c r="FF102" s="463"/>
      <c r="FG102" s="463"/>
      <c r="FH102" s="463"/>
      <c r="FI102" s="463"/>
      <c r="FJ102" s="463"/>
      <c r="FK102" s="463"/>
      <c r="FL102" s="463"/>
      <c r="FM102" s="463"/>
      <c r="FN102" s="463"/>
      <c r="FO102" s="463"/>
      <c r="FP102" s="463"/>
      <c r="FQ102" s="463"/>
      <c r="FS102" s="463"/>
      <c r="FT102" s="463"/>
      <c r="FU102" s="463"/>
      <c r="FV102" s="463"/>
      <c r="FW102" s="463"/>
      <c r="FX102" s="463"/>
      <c r="FY102" s="463"/>
      <c r="FZ102" s="463"/>
    </row>
    <row r="103" spans="1:182" ht="15.5">
      <c r="A103" s="393"/>
      <c r="B103" s="484">
        <v>150</v>
      </c>
      <c r="C103" s="481">
        <v>30</v>
      </c>
      <c r="D103" s="485">
        <f t="shared" si="5"/>
        <v>252.313252202016</v>
      </c>
      <c r="E103" s="2">
        <f>TA!F28</f>
        <v>243.33587022849699</v>
      </c>
      <c r="F103" s="479">
        <f t="shared" si="3"/>
        <v>139.51580278362212</v>
      </c>
      <c r="G103" s="483">
        <f>TA!AA28</f>
        <v>1.0149999999999999</v>
      </c>
      <c r="H103" s="419">
        <f>TA!EU28/TA!EG28</f>
        <v>1.2526054194523586</v>
      </c>
      <c r="I103" s="419">
        <f t="shared" si="4"/>
        <v>1.2588999190475967</v>
      </c>
      <c r="J103" s="419">
        <f>POWER(I103*4/(C103*各项系数!$F$5*PI())*10000000,0.5)</f>
        <v>245.15409628631093</v>
      </c>
      <c r="K103" s="479">
        <f t="shared" si="1"/>
        <v>141.60853982537643</v>
      </c>
      <c r="L103" s="484">
        <v>150</v>
      </c>
      <c r="M103" s="419">
        <f t="shared" si="2"/>
        <v>-8.3914601746235746</v>
      </c>
      <c r="N103" s="463"/>
      <c r="O103" s="463"/>
      <c r="P103" s="463"/>
      <c r="Q103" s="463"/>
      <c r="R103" s="463"/>
      <c r="S103" s="463"/>
      <c r="T103" s="463"/>
      <c r="U103" s="463"/>
      <c r="V103" s="463"/>
      <c r="W103" s="463"/>
      <c r="X103" s="463"/>
      <c r="Y103" s="463"/>
      <c r="Z103" s="463"/>
      <c r="AA103" s="463"/>
      <c r="AB103" s="463"/>
      <c r="AD103" s="463"/>
      <c r="AE103" s="463"/>
      <c r="AG103" s="463"/>
      <c r="AI103" s="463"/>
      <c r="AJ103" s="463"/>
      <c r="AK103" s="463"/>
      <c r="AM103" s="463"/>
      <c r="AN103" s="463"/>
      <c r="AO103" s="463"/>
      <c r="AQ103" s="463"/>
      <c r="AR103" s="463"/>
      <c r="AS103" s="463"/>
      <c r="AT103" s="463"/>
      <c r="AU103" s="463"/>
      <c r="AV103" s="463"/>
      <c r="AX103" s="463"/>
      <c r="AY103" s="463"/>
      <c r="AZ103" s="463"/>
      <c r="BB103" s="463"/>
      <c r="BC103" s="463"/>
      <c r="BD103" s="463"/>
      <c r="BF103" s="463"/>
      <c r="BG103" s="463"/>
      <c r="BH103" s="463"/>
      <c r="BJ103" s="463"/>
      <c r="BK103" s="463"/>
      <c r="BL103" s="463"/>
      <c r="BN103" s="463"/>
      <c r="BO103" s="463"/>
      <c r="BP103" s="463"/>
      <c r="BQ103" s="463"/>
      <c r="BR103" s="463"/>
      <c r="BT103" s="463"/>
      <c r="BU103" s="463"/>
      <c r="BV103" s="463"/>
      <c r="BX103" s="463"/>
      <c r="BY103" s="463"/>
      <c r="BZ103" s="463"/>
      <c r="CB103" s="463"/>
      <c r="CC103" s="463"/>
      <c r="CD103" s="463"/>
      <c r="CF103" s="463"/>
      <c r="CG103" s="463"/>
      <c r="CH103" s="463"/>
      <c r="CJ103" s="463"/>
      <c r="CK103" s="463"/>
      <c r="CM103" s="463"/>
      <c r="CO103" s="463"/>
      <c r="CP103" s="463"/>
      <c r="CQ103" s="463"/>
      <c r="CS103" s="463"/>
      <c r="CT103" s="463"/>
      <c r="CU103" s="463"/>
      <c r="CW103" s="463"/>
      <c r="CX103" s="463"/>
      <c r="CY103" s="463"/>
      <c r="DA103" s="463"/>
      <c r="DB103" s="463"/>
      <c r="DC103" s="463"/>
      <c r="DD103" s="463"/>
      <c r="DE103" s="463"/>
      <c r="DF103" s="463"/>
      <c r="DH103" s="463"/>
      <c r="DI103" s="463"/>
      <c r="DJ103" s="463"/>
      <c r="DL103" s="463"/>
      <c r="DM103" s="463"/>
      <c r="DN103" s="463"/>
      <c r="DO103" s="463"/>
      <c r="DP103" s="463"/>
      <c r="DR103" s="463"/>
      <c r="DS103" s="463"/>
      <c r="DT103" s="463"/>
      <c r="DV103" s="463"/>
      <c r="DW103" s="463"/>
      <c r="DX103" s="463"/>
      <c r="DZ103" s="463"/>
      <c r="EA103" s="463"/>
      <c r="EB103" s="463"/>
      <c r="ED103" s="463"/>
      <c r="EE103" s="463"/>
      <c r="EF103" s="463"/>
      <c r="EH103" s="463"/>
      <c r="EI103" s="463"/>
      <c r="EJ103" s="463"/>
      <c r="EK103" s="463"/>
      <c r="EL103" s="463"/>
      <c r="EN103" s="463"/>
      <c r="EO103" s="463"/>
      <c r="EP103" s="463"/>
      <c r="ER103" s="463"/>
      <c r="ES103" s="463"/>
      <c r="ET103" s="463"/>
      <c r="EV103" s="463"/>
      <c r="EW103" s="463"/>
      <c r="EY103" s="463"/>
      <c r="EZ103" s="463"/>
      <c r="FA103" s="463"/>
      <c r="FB103" s="463"/>
      <c r="FC103" s="463"/>
      <c r="FD103" s="463"/>
      <c r="FE103" s="463"/>
      <c r="FF103" s="463"/>
      <c r="FG103" s="463"/>
      <c r="FH103" s="463"/>
      <c r="FI103" s="463"/>
      <c r="FJ103" s="463"/>
      <c r="FK103" s="463"/>
      <c r="FL103" s="463"/>
      <c r="FM103" s="463"/>
      <c r="FN103" s="463"/>
      <c r="FO103" s="463"/>
      <c r="FP103" s="463"/>
      <c r="FQ103" s="463"/>
      <c r="FS103" s="463"/>
      <c r="FT103" s="463"/>
      <c r="FU103" s="463"/>
      <c r="FV103" s="463"/>
      <c r="FW103" s="463"/>
      <c r="FX103" s="463"/>
      <c r="FY103" s="463"/>
      <c r="FZ103" s="463"/>
    </row>
    <row r="104" spans="1:182" ht="15.5">
      <c r="A104" s="393"/>
      <c r="B104" s="484">
        <v>185</v>
      </c>
      <c r="C104" s="481">
        <v>37</v>
      </c>
      <c r="D104" s="485">
        <f t="shared" si="5"/>
        <v>252.313252202016</v>
      </c>
      <c r="E104" s="2">
        <f>TA!F29</f>
        <v>245.09808262108001</v>
      </c>
      <c r="F104" s="479">
        <f t="shared" si="3"/>
        <v>174.57073204005218</v>
      </c>
      <c r="G104" s="483">
        <f>TA!AA29</f>
        <v>1.0149999999999999</v>
      </c>
      <c r="H104" s="419">
        <f>TA!EU29/TA!EG29</f>
        <v>1.5673367508788367</v>
      </c>
      <c r="I104" s="419">
        <f t="shared" si="4"/>
        <v>1.5752128149536047</v>
      </c>
      <c r="J104" s="419">
        <f>POWER(I104*4/(C104*各项系数!$F$5*PI())*10000000,0.5)</f>
        <v>246.92947607788281</v>
      </c>
      <c r="K104" s="479">
        <f t="shared" si="1"/>
        <v>177.18929302065294</v>
      </c>
      <c r="L104" s="484">
        <v>185</v>
      </c>
      <c r="M104" s="419">
        <f t="shared" si="2"/>
        <v>-7.81070697934706</v>
      </c>
      <c r="N104" s="463"/>
      <c r="O104" s="463"/>
      <c r="P104" s="463"/>
      <c r="Q104" s="463"/>
      <c r="R104" s="463"/>
      <c r="S104" s="463"/>
      <c r="T104" s="463"/>
      <c r="U104" s="463"/>
      <c r="V104" s="463"/>
      <c r="W104" s="463"/>
      <c r="X104" s="463"/>
      <c r="Y104" s="463"/>
      <c r="Z104" s="463"/>
      <c r="AA104" s="463"/>
      <c r="AB104" s="463"/>
      <c r="AD104" s="463"/>
      <c r="AE104" s="463"/>
      <c r="AG104" s="463"/>
      <c r="AI104" s="463"/>
      <c r="AJ104" s="463"/>
      <c r="AK104" s="463"/>
      <c r="AM104" s="463"/>
      <c r="AN104" s="463"/>
      <c r="AO104" s="463"/>
      <c r="AQ104" s="463"/>
      <c r="AR104" s="463"/>
      <c r="AS104" s="463"/>
      <c r="AT104" s="463"/>
      <c r="AU104" s="463"/>
      <c r="AV104" s="463"/>
      <c r="AX104" s="463"/>
      <c r="AY104" s="463"/>
      <c r="AZ104" s="463"/>
      <c r="BB104" s="463"/>
      <c r="BC104" s="463"/>
      <c r="BD104" s="463"/>
      <c r="BF104" s="463"/>
      <c r="BG104" s="463"/>
      <c r="BH104" s="463"/>
      <c r="BJ104" s="463"/>
      <c r="BK104" s="463"/>
      <c r="BL104" s="463"/>
      <c r="BN104" s="463"/>
      <c r="BO104" s="463"/>
      <c r="BP104" s="463"/>
      <c r="BQ104" s="463"/>
      <c r="BR104" s="463"/>
      <c r="BT104" s="463"/>
      <c r="BU104" s="463"/>
      <c r="BV104" s="463"/>
      <c r="BX104" s="463"/>
      <c r="BY104" s="463"/>
      <c r="BZ104" s="463"/>
      <c r="CB104" s="463"/>
      <c r="CC104" s="463"/>
      <c r="CD104" s="463"/>
      <c r="CF104" s="463"/>
      <c r="CG104" s="463"/>
      <c r="CH104" s="463"/>
      <c r="CJ104" s="463"/>
      <c r="CK104" s="463"/>
      <c r="CM104" s="463"/>
      <c r="CO104" s="463"/>
      <c r="CP104" s="463"/>
      <c r="CQ104" s="463"/>
      <c r="CS104" s="463"/>
      <c r="CT104" s="463"/>
      <c r="CU104" s="463"/>
      <c r="CW104" s="463"/>
      <c r="CX104" s="463"/>
      <c r="CY104" s="463"/>
      <c r="DA104" s="463"/>
      <c r="DB104" s="463"/>
      <c r="DC104" s="463"/>
      <c r="DD104" s="463"/>
      <c r="DE104" s="463"/>
      <c r="DF104" s="463"/>
      <c r="DH104" s="463"/>
      <c r="DI104" s="463"/>
      <c r="DJ104" s="463"/>
      <c r="DL104" s="463"/>
      <c r="DM104" s="463"/>
      <c r="DN104" s="463"/>
      <c r="DO104" s="463"/>
      <c r="DP104" s="463"/>
      <c r="DR104" s="463"/>
      <c r="DS104" s="463"/>
      <c r="DT104" s="463"/>
      <c r="DV104" s="463"/>
      <c r="DW104" s="463"/>
      <c r="DX104" s="463"/>
      <c r="DZ104" s="463"/>
      <c r="EA104" s="463"/>
      <c r="EB104" s="463"/>
      <c r="ED104" s="463"/>
      <c r="EE104" s="463"/>
      <c r="EF104" s="463"/>
      <c r="EH104" s="463"/>
      <c r="EI104" s="463"/>
      <c r="EJ104" s="463"/>
      <c r="EK104" s="463"/>
      <c r="EL104" s="463"/>
      <c r="EN104" s="463"/>
      <c r="EO104" s="463"/>
      <c r="EP104" s="463"/>
      <c r="ER104" s="463"/>
      <c r="ES104" s="463"/>
      <c r="ET104" s="463"/>
      <c r="EV104" s="463"/>
      <c r="EW104" s="463"/>
      <c r="EY104" s="463"/>
      <c r="EZ104" s="463"/>
      <c r="FA104" s="463"/>
      <c r="FB104" s="463"/>
      <c r="FC104" s="463"/>
      <c r="FD104" s="463"/>
      <c r="FE104" s="463"/>
      <c r="FF104" s="463"/>
      <c r="FG104" s="463"/>
      <c r="FH104" s="463"/>
      <c r="FI104" s="463"/>
      <c r="FJ104" s="463"/>
      <c r="FK104" s="463"/>
      <c r="FL104" s="463"/>
      <c r="FM104" s="463"/>
      <c r="FN104" s="463"/>
      <c r="FO104" s="463"/>
      <c r="FP104" s="463"/>
      <c r="FQ104" s="463"/>
      <c r="FS104" s="463"/>
      <c r="FT104" s="463"/>
      <c r="FU104" s="463"/>
      <c r="FV104" s="463"/>
      <c r="FW104" s="463"/>
      <c r="FX104" s="463"/>
      <c r="FY104" s="463"/>
      <c r="FZ104" s="463"/>
    </row>
    <row r="105" spans="1:182" ht="15.5">
      <c r="A105" s="393"/>
      <c r="B105" s="486">
        <v>240</v>
      </c>
      <c r="C105" s="481">
        <v>48</v>
      </c>
      <c r="D105" s="485">
        <f t="shared" si="5"/>
        <v>252.31325220201603</v>
      </c>
      <c r="E105" s="2">
        <f>TA!F30</f>
        <v>246.701228113631</v>
      </c>
      <c r="F105" s="479">
        <f t="shared" si="3"/>
        <v>229.44243428606293</v>
      </c>
      <c r="G105" s="483">
        <f>TA!AA30</f>
        <v>1.0149999999999999</v>
      </c>
      <c r="H105" s="419">
        <f>TA!EU30/TA!EG30</f>
        <v>2.05998769246807</v>
      </c>
      <c r="I105" s="419">
        <f t="shared" si="4"/>
        <v>2.0703393894151456</v>
      </c>
      <c r="J105" s="419">
        <f>POWER(I105*4/(C105*各项系数!$F$5*PI())*10000000,0.5)</f>
        <v>248.54460040818708</v>
      </c>
      <c r="K105" s="479">
        <f t="shared" si="1"/>
        <v>232.88407080035378</v>
      </c>
      <c r="L105" s="486">
        <v>240</v>
      </c>
      <c r="M105" s="419">
        <f t="shared" si="2"/>
        <v>-7.1159291996462173</v>
      </c>
      <c r="N105" s="463"/>
      <c r="O105" s="463"/>
      <c r="P105" s="463"/>
      <c r="Q105" s="463"/>
      <c r="R105" s="463"/>
      <c r="S105" s="463"/>
      <c r="T105" s="463"/>
      <c r="U105" s="463"/>
      <c r="V105" s="463"/>
      <c r="W105" s="463"/>
      <c r="X105" s="463"/>
      <c r="Y105" s="463"/>
      <c r="Z105" s="463"/>
      <c r="AA105" s="463"/>
      <c r="AB105" s="463"/>
      <c r="AD105" s="463"/>
      <c r="AE105" s="463"/>
      <c r="AG105" s="463"/>
      <c r="AI105" s="463"/>
      <c r="AJ105" s="463"/>
      <c r="AK105" s="463"/>
      <c r="AM105" s="463"/>
      <c r="AN105" s="463"/>
      <c r="AO105" s="463"/>
      <c r="AQ105" s="463"/>
      <c r="AR105" s="463"/>
      <c r="AS105" s="463"/>
      <c r="AT105" s="463"/>
      <c r="AU105" s="463"/>
      <c r="AV105" s="463"/>
      <c r="AX105" s="463"/>
      <c r="AY105" s="463"/>
      <c r="AZ105" s="463"/>
      <c r="BB105" s="463"/>
      <c r="BC105" s="463"/>
      <c r="BD105" s="463"/>
      <c r="BF105" s="463"/>
      <c r="BG105" s="463"/>
      <c r="BH105" s="463"/>
      <c r="BJ105" s="463"/>
      <c r="BK105" s="463"/>
      <c r="BL105" s="463"/>
      <c r="BN105" s="463"/>
      <c r="BO105" s="463"/>
      <c r="BP105" s="463"/>
      <c r="BQ105" s="463"/>
      <c r="BR105" s="463"/>
      <c r="BT105" s="463"/>
      <c r="BU105" s="463"/>
      <c r="BV105" s="463"/>
      <c r="BX105" s="463"/>
      <c r="BY105" s="463"/>
      <c r="BZ105" s="463"/>
      <c r="CB105" s="463"/>
      <c r="CC105" s="463"/>
      <c r="CD105" s="463"/>
      <c r="CF105" s="463"/>
      <c r="CG105" s="463"/>
      <c r="CH105" s="463"/>
      <c r="CJ105" s="463"/>
      <c r="CK105" s="463"/>
      <c r="CM105" s="463"/>
      <c r="CO105" s="463"/>
      <c r="CP105" s="463"/>
      <c r="CQ105" s="463"/>
      <c r="CS105" s="463"/>
      <c r="CT105" s="463"/>
      <c r="CU105" s="463"/>
      <c r="CW105" s="463"/>
      <c r="CX105" s="463"/>
      <c r="CY105" s="463"/>
      <c r="DA105" s="463"/>
      <c r="DB105" s="463"/>
      <c r="DC105" s="463"/>
      <c r="DD105" s="463"/>
      <c r="DE105" s="463"/>
      <c r="DF105" s="463"/>
      <c r="DH105" s="463"/>
      <c r="DI105" s="463"/>
      <c r="DJ105" s="463"/>
      <c r="DL105" s="463"/>
      <c r="DM105" s="463"/>
      <c r="DN105" s="463"/>
      <c r="DO105" s="463"/>
      <c r="DP105" s="463"/>
      <c r="DR105" s="463"/>
      <c r="DS105" s="463"/>
      <c r="DT105" s="463"/>
      <c r="DV105" s="463"/>
      <c r="DW105" s="463"/>
      <c r="DX105" s="463"/>
      <c r="DZ105" s="463"/>
      <c r="EA105" s="463"/>
      <c r="EB105" s="463"/>
      <c r="ED105" s="463"/>
      <c r="EE105" s="463"/>
      <c r="EF105" s="463"/>
      <c r="EH105" s="463"/>
      <c r="EI105" s="463"/>
      <c r="EJ105" s="463"/>
      <c r="EK105" s="463"/>
      <c r="EL105" s="463"/>
      <c r="EN105" s="463"/>
      <c r="EO105" s="463"/>
      <c r="EP105" s="463"/>
      <c r="ER105" s="463"/>
      <c r="ES105" s="463"/>
      <c r="ET105" s="463"/>
      <c r="EV105" s="463"/>
      <c r="EW105" s="463"/>
      <c r="EY105" s="463"/>
      <c r="EZ105" s="463"/>
      <c r="FA105" s="463"/>
      <c r="FB105" s="463"/>
      <c r="FC105" s="463"/>
      <c r="FD105" s="463"/>
      <c r="FE105" s="463"/>
      <c r="FF105" s="463"/>
      <c r="FG105" s="463"/>
      <c r="FH105" s="463"/>
      <c r="FI105" s="463"/>
      <c r="FJ105" s="463"/>
      <c r="FK105" s="463"/>
      <c r="FL105" s="463"/>
      <c r="FM105" s="463"/>
      <c r="FN105" s="463"/>
      <c r="FO105" s="463"/>
      <c r="FP105" s="463"/>
      <c r="FQ105" s="463"/>
      <c r="FS105" s="463"/>
      <c r="FT105" s="463"/>
      <c r="FU105" s="463"/>
      <c r="FV105" s="463"/>
      <c r="FW105" s="463"/>
      <c r="FX105" s="463"/>
      <c r="FY105" s="463"/>
      <c r="FZ105" s="463"/>
    </row>
    <row r="106" spans="1:182" ht="15.5">
      <c r="A106" s="393"/>
      <c r="B106" s="484">
        <v>300</v>
      </c>
      <c r="C106" s="487">
        <v>61</v>
      </c>
      <c r="D106" s="485">
        <f t="shared" si="5"/>
        <v>250.23656460570214</v>
      </c>
      <c r="E106" s="2">
        <f>TA!F31</f>
        <v>245.118138379664</v>
      </c>
      <c r="F106" s="479">
        <f t="shared" si="3"/>
        <v>287.85290424574276</v>
      </c>
      <c r="G106" s="483">
        <f>TA!AA31</f>
        <v>1.02</v>
      </c>
      <c r="H106" s="419">
        <f>TA!EU31/TA!EG31</f>
        <v>2.5971416022939482</v>
      </c>
      <c r="I106" s="419">
        <f t="shared" si="4"/>
        <v>2.6101925651195459</v>
      </c>
      <c r="J106" s="419">
        <f>POWER(I106*4/(C106*各项系数!$F$5*PI())*10000000,0.5)</f>
        <v>247.55718490475357</v>
      </c>
      <c r="K106" s="479">
        <f t="shared" si="1"/>
        <v>293.60996233065759</v>
      </c>
      <c r="L106" s="484">
        <v>300</v>
      </c>
      <c r="M106" s="419">
        <f t="shared" si="2"/>
        <v>-6.390037669342405</v>
      </c>
      <c r="N106" s="463"/>
      <c r="O106" s="463"/>
      <c r="P106" s="463"/>
      <c r="Q106" s="463"/>
      <c r="R106" s="463"/>
      <c r="S106" s="463"/>
      <c r="T106" s="463"/>
      <c r="U106" s="463"/>
      <c r="V106" s="463"/>
      <c r="W106" s="463"/>
      <c r="X106" s="463"/>
      <c r="Y106" s="463"/>
      <c r="Z106" s="463"/>
      <c r="AA106" s="463"/>
      <c r="AB106" s="463"/>
      <c r="AD106" s="463"/>
      <c r="AE106" s="463"/>
      <c r="AG106" s="463"/>
      <c r="AI106" s="463"/>
      <c r="AJ106" s="463"/>
      <c r="AK106" s="463"/>
      <c r="AM106" s="463"/>
      <c r="AN106" s="463"/>
      <c r="AO106" s="463"/>
      <c r="AQ106" s="463"/>
      <c r="AR106" s="463"/>
      <c r="AS106" s="463"/>
      <c r="AT106" s="463"/>
      <c r="AU106" s="463"/>
      <c r="AV106" s="463"/>
      <c r="AX106" s="463"/>
      <c r="AY106" s="463"/>
      <c r="AZ106" s="463"/>
      <c r="BB106" s="463"/>
      <c r="BC106" s="463"/>
      <c r="BD106" s="463"/>
      <c r="BF106" s="463"/>
      <c r="BG106" s="463"/>
      <c r="BH106" s="463"/>
      <c r="BJ106" s="463"/>
      <c r="BK106" s="463"/>
      <c r="BL106" s="463"/>
      <c r="BN106" s="463"/>
      <c r="BO106" s="463"/>
      <c r="BP106" s="463"/>
      <c r="BQ106" s="463"/>
      <c r="BR106" s="463"/>
      <c r="BT106" s="463"/>
      <c r="BU106" s="463"/>
      <c r="BV106" s="463"/>
      <c r="BX106" s="463"/>
      <c r="BY106" s="463"/>
      <c r="BZ106" s="463"/>
      <c r="CB106" s="463"/>
      <c r="CC106" s="463"/>
      <c r="CD106" s="463"/>
      <c r="CF106" s="463"/>
      <c r="CG106" s="463"/>
      <c r="CH106" s="463"/>
      <c r="CJ106" s="463"/>
      <c r="CK106" s="463"/>
      <c r="CM106" s="463"/>
      <c r="CO106" s="463"/>
      <c r="CP106" s="463"/>
      <c r="CQ106" s="463"/>
      <c r="CS106" s="463"/>
      <c r="CT106" s="463"/>
      <c r="CU106" s="463"/>
      <c r="CW106" s="463"/>
      <c r="CX106" s="463"/>
      <c r="CY106" s="463"/>
      <c r="DA106" s="463"/>
      <c r="DB106" s="463"/>
      <c r="DC106" s="463"/>
      <c r="DD106" s="463"/>
      <c r="DE106" s="463"/>
      <c r="DF106" s="463"/>
      <c r="DH106" s="463"/>
      <c r="DI106" s="463"/>
      <c r="DJ106" s="463"/>
      <c r="DL106" s="463"/>
      <c r="DM106" s="463"/>
      <c r="DN106" s="463"/>
      <c r="DO106" s="463"/>
      <c r="DP106" s="463"/>
      <c r="DR106" s="463"/>
      <c r="DS106" s="463"/>
      <c r="DT106" s="463"/>
      <c r="DV106" s="463"/>
      <c r="DW106" s="463"/>
      <c r="DX106" s="463"/>
      <c r="DZ106" s="463"/>
      <c r="EA106" s="463"/>
      <c r="EB106" s="463"/>
      <c r="ED106" s="463"/>
      <c r="EE106" s="463"/>
      <c r="EF106" s="463"/>
      <c r="EH106" s="463"/>
      <c r="EI106" s="463"/>
      <c r="EJ106" s="463"/>
      <c r="EK106" s="463"/>
      <c r="EL106" s="463"/>
      <c r="EN106" s="463"/>
      <c r="EO106" s="463"/>
      <c r="EP106" s="463"/>
      <c r="ER106" s="463"/>
      <c r="ES106" s="463"/>
      <c r="ET106" s="463"/>
      <c r="EV106" s="463"/>
      <c r="EW106" s="463"/>
      <c r="EY106" s="463"/>
      <c r="EZ106" s="463"/>
      <c r="FA106" s="463"/>
      <c r="FB106" s="463"/>
      <c r="FC106" s="463"/>
      <c r="FD106" s="463"/>
      <c r="FE106" s="463"/>
      <c r="FF106" s="463"/>
      <c r="FG106" s="463"/>
      <c r="FH106" s="463"/>
      <c r="FI106" s="463"/>
      <c r="FJ106" s="463"/>
      <c r="FK106" s="463"/>
      <c r="FL106" s="463"/>
      <c r="FM106" s="463"/>
      <c r="FN106" s="463"/>
      <c r="FO106" s="463"/>
      <c r="FP106" s="463"/>
      <c r="FQ106" s="463"/>
      <c r="FS106" s="463"/>
      <c r="FT106" s="463"/>
      <c r="FU106" s="463"/>
      <c r="FV106" s="463"/>
      <c r="FW106" s="463"/>
      <c r="FX106" s="463"/>
      <c r="FY106" s="463"/>
      <c r="FZ106" s="463"/>
    </row>
    <row r="107" spans="1:182" ht="15.5">
      <c r="A107" s="393"/>
      <c r="B107" s="484">
        <v>400</v>
      </c>
      <c r="C107" s="487">
        <v>61</v>
      </c>
      <c r="D107" s="485">
        <f t="shared" si="5"/>
        <v>288.94829587237865</v>
      </c>
      <c r="E107" s="2">
        <f>TA!F32</f>
        <v>277.18119106381198</v>
      </c>
      <c r="F107" s="479">
        <f t="shared" si="3"/>
        <v>368.08424564189795</v>
      </c>
      <c r="G107" s="483">
        <f>TA!AA32</f>
        <v>1.02</v>
      </c>
      <c r="H107" s="419">
        <f>TA!EU32/TA!EG32</f>
        <v>3.3210257510184444</v>
      </c>
      <c r="I107" s="419">
        <f t="shared" si="4"/>
        <v>3.3377143226316024</v>
      </c>
      <c r="J107" s="419">
        <f>POWER(I107*4/(C107*各项系数!$F$5*PI())*10000000,0.5)</f>
        <v>279.93928079700515</v>
      </c>
      <c r="K107" s="479">
        <f t="shared" si="1"/>
        <v>375.44593055473587</v>
      </c>
      <c r="L107" s="484">
        <v>400</v>
      </c>
      <c r="M107" s="419">
        <f t="shared" si="2"/>
        <v>-24.554069445264133</v>
      </c>
      <c r="N107" s="463"/>
      <c r="O107" s="463"/>
      <c r="P107" s="463"/>
      <c r="Q107" s="463"/>
      <c r="R107" s="463"/>
      <c r="S107" s="463"/>
      <c r="T107" s="463"/>
      <c r="U107" s="463"/>
      <c r="V107" s="463"/>
      <c r="W107" s="463"/>
      <c r="X107" s="463"/>
      <c r="Y107" s="463"/>
      <c r="Z107" s="463"/>
      <c r="AA107" s="463"/>
      <c r="AB107" s="463"/>
      <c r="AD107" s="463"/>
      <c r="AE107" s="463"/>
      <c r="AG107" s="463"/>
      <c r="AI107" s="463"/>
      <c r="AJ107" s="463"/>
      <c r="AK107" s="463"/>
      <c r="AM107" s="463"/>
      <c r="AN107" s="463"/>
      <c r="AO107" s="463"/>
      <c r="AQ107" s="463"/>
      <c r="AR107" s="463"/>
      <c r="AS107" s="463"/>
      <c r="AT107" s="463"/>
      <c r="AU107" s="463"/>
      <c r="AV107" s="463"/>
      <c r="AX107" s="463"/>
      <c r="AY107" s="463"/>
      <c r="AZ107" s="463"/>
      <c r="BB107" s="463"/>
      <c r="BC107" s="463"/>
      <c r="BD107" s="463"/>
      <c r="BF107" s="463"/>
      <c r="BG107" s="463"/>
      <c r="BH107" s="463"/>
      <c r="BJ107" s="463"/>
      <c r="BK107" s="463"/>
      <c r="BL107" s="463"/>
      <c r="BN107" s="463"/>
      <c r="BO107" s="463"/>
      <c r="BP107" s="463"/>
      <c r="BQ107" s="463"/>
      <c r="BR107" s="463"/>
      <c r="BT107" s="463"/>
      <c r="BU107" s="463"/>
      <c r="BV107" s="463"/>
      <c r="BX107" s="463"/>
      <c r="BY107" s="463"/>
      <c r="BZ107" s="463"/>
      <c r="CB107" s="463"/>
      <c r="CC107" s="463"/>
      <c r="CD107" s="463"/>
      <c r="CF107" s="463"/>
      <c r="CG107" s="463"/>
      <c r="CH107" s="463"/>
      <c r="CJ107" s="463"/>
      <c r="CK107" s="463"/>
      <c r="CM107" s="463"/>
      <c r="CO107" s="463"/>
      <c r="CP107" s="463"/>
      <c r="CQ107" s="463"/>
      <c r="CS107" s="463"/>
      <c r="CT107" s="463"/>
      <c r="CU107" s="463"/>
      <c r="CW107" s="463"/>
      <c r="CX107" s="463"/>
      <c r="CY107" s="463"/>
      <c r="DA107" s="463"/>
      <c r="DB107" s="463"/>
      <c r="DC107" s="463"/>
      <c r="DD107" s="463"/>
      <c r="DE107" s="463"/>
      <c r="DF107" s="463"/>
      <c r="DH107" s="463"/>
      <c r="DI107" s="463"/>
      <c r="DJ107" s="463"/>
      <c r="DL107" s="463"/>
      <c r="DM107" s="463"/>
      <c r="DN107" s="463"/>
      <c r="DO107" s="463"/>
      <c r="DP107" s="463"/>
      <c r="DR107" s="463"/>
      <c r="DS107" s="463"/>
      <c r="DT107" s="463"/>
      <c r="DV107" s="463"/>
      <c r="DW107" s="463"/>
      <c r="DX107" s="463"/>
      <c r="DZ107" s="463"/>
      <c r="EA107" s="463"/>
      <c r="EB107" s="463"/>
      <c r="ED107" s="463"/>
      <c r="EE107" s="463"/>
      <c r="EF107" s="463"/>
      <c r="EH107" s="463"/>
      <c r="EI107" s="463"/>
      <c r="EJ107" s="463"/>
      <c r="EK107" s="463"/>
      <c r="EL107" s="463"/>
      <c r="EN107" s="463"/>
      <c r="EO107" s="463"/>
      <c r="EP107" s="463"/>
      <c r="ER107" s="463"/>
      <c r="ES107" s="463"/>
      <c r="ET107" s="463"/>
      <c r="EV107" s="463"/>
      <c r="EW107" s="463"/>
      <c r="EY107" s="463"/>
      <c r="EZ107" s="463"/>
      <c r="FA107" s="463"/>
      <c r="FB107" s="463"/>
      <c r="FC107" s="463"/>
      <c r="FD107" s="463"/>
      <c r="FE107" s="463"/>
      <c r="FF107" s="463"/>
      <c r="FG107" s="463"/>
      <c r="FH107" s="463"/>
      <c r="FI107" s="463"/>
      <c r="FJ107" s="463"/>
      <c r="FK107" s="463"/>
      <c r="FL107" s="463"/>
      <c r="FM107" s="463"/>
      <c r="FN107" s="463"/>
      <c r="FO107" s="463"/>
      <c r="FP107" s="463"/>
      <c r="FQ107" s="463"/>
      <c r="FS107" s="463"/>
      <c r="FT107" s="463"/>
      <c r="FU107" s="463"/>
      <c r="FV107" s="463"/>
      <c r="FW107" s="463"/>
      <c r="FX107" s="463"/>
      <c r="FY107" s="463"/>
      <c r="FZ107" s="463"/>
    </row>
    <row r="108" spans="1:182" ht="15.5">
      <c r="A108" s="393"/>
      <c r="B108" s="488">
        <v>500</v>
      </c>
      <c r="C108" s="487">
        <v>61</v>
      </c>
      <c r="D108" s="485">
        <f t="shared" si="5"/>
        <v>323.05401577668027</v>
      </c>
      <c r="E108" s="2">
        <f>TA!F33</f>
        <v>314.10304232929502</v>
      </c>
      <c r="F108" s="479">
        <f t="shared" si="3"/>
        <v>472.67649030516696</v>
      </c>
      <c r="G108" s="483">
        <f>TA!AA33</f>
        <v>1.02</v>
      </c>
      <c r="H108" s="419">
        <f>TA!EU33/TA!EG33</f>
        <v>4.2647051993952472</v>
      </c>
      <c r="I108" s="419">
        <f t="shared" si="4"/>
        <v>4.2861358787891932</v>
      </c>
      <c r="J108" s="419">
        <f>POWER(I108*4/(C108*各项系数!$F$5*PI())*10000000,0.5)</f>
        <v>317.22852271592683</v>
      </c>
      <c r="K108" s="479">
        <f t="shared" si="1"/>
        <v>482.13002011127043</v>
      </c>
      <c r="L108" s="488">
        <v>500</v>
      </c>
      <c r="M108" s="419">
        <f t="shared" si="2"/>
        <v>-17.869979888729574</v>
      </c>
      <c r="N108" s="463"/>
      <c r="O108" s="463"/>
      <c r="P108" s="463"/>
      <c r="Q108" s="463"/>
      <c r="R108" s="463"/>
      <c r="S108" s="463"/>
      <c r="T108" s="463"/>
      <c r="U108" s="463"/>
      <c r="V108" s="463"/>
      <c r="W108" s="463"/>
      <c r="X108" s="463"/>
      <c r="Y108" s="463"/>
      <c r="Z108" s="463"/>
      <c r="AA108" s="463"/>
      <c r="AB108" s="463"/>
      <c r="AD108" s="463"/>
      <c r="AE108" s="463"/>
      <c r="AG108" s="463"/>
      <c r="AI108" s="463"/>
      <c r="AJ108" s="463"/>
      <c r="AK108" s="463"/>
      <c r="AM108" s="463"/>
      <c r="AN108" s="463"/>
      <c r="AO108" s="463"/>
      <c r="AQ108" s="463"/>
      <c r="AR108" s="463"/>
      <c r="AS108" s="463"/>
      <c r="AT108" s="463"/>
      <c r="AU108" s="463"/>
      <c r="AV108" s="463"/>
      <c r="AX108" s="463"/>
      <c r="AY108" s="463"/>
      <c r="AZ108" s="463"/>
      <c r="BB108" s="463"/>
      <c r="BC108" s="463"/>
      <c r="BD108" s="463"/>
      <c r="BF108" s="463"/>
      <c r="BG108" s="463"/>
      <c r="BH108" s="463"/>
      <c r="BJ108" s="463"/>
      <c r="BK108" s="463"/>
      <c r="BL108" s="463"/>
      <c r="BN108" s="463"/>
      <c r="BO108" s="463"/>
      <c r="BP108" s="463"/>
      <c r="BQ108" s="463"/>
      <c r="BR108" s="463"/>
      <c r="BT108" s="463"/>
      <c r="BU108" s="463"/>
      <c r="BV108" s="463"/>
      <c r="BX108" s="463"/>
      <c r="BY108" s="463"/>
      <c r="BZ108" s="463"/>
      <c r="CB108" s="463"/>
      <c r="CC108" s="463"/>
      <c r="CD108" s="463"/>
      <c r="CF108" s="463"/>
      <c r="CG108" s="463"/>
      <c r="CH108" s="463"/>
      <c r="CJ108" s="463"/>
      <c r="CK108" s="463"/>
      <c r="CM108" s="463"/>
      <c r="CO108" s="463"/>
      <c r="CP108" s="463"/>
      <c r="CQ108" s="463"/>
      <c r="CS108" s="463"/>
      <c r="CT108" s="463"/>
      <c r="CU108" s="463"/>
      <c r="CW108" s="463"/>
      <c r="CX108" s="463"/>
      <c r="CY108" s="463"/>
      <c r="DA108" s="463"/>
      <c r="DB108" s="463"/>
      <c r="DC108" s="463"/>
      <c r="DD108" s="463"/>
      <c r="DE108" s="463"/>
      <c r="DF108" s="463"/>
      <c r="DH108" s="463"/>
      <c r="DI108" s="463"/>
      <c r="DJ108" s="463"/>
      <c r="DL108" s="463"/>
      <c r="DM108" s="463"/>
      <c r="DN108" s="463"/>
      <c r="DO108" s="463"/>
      <c r="DP108" s="463"/>
      <c r="DR108" s="463"/>
      <c r="DS108" s="463"/>
      <c r="DT108" s="463"/>
      <c r="DV108" s="463"/>
      <c r="DW108" s="463"/>
      <c r="DX108" s="463"/>
      <c r="DZ108" s="463"/>
      <c r="EA108" s="463"/>
      <c r="EB108" s="463"/>
      <c r="ED108" s="463"/>
      <c r="EE108" s="463"/>
      <c r="EF108" s="463"/>
      <c r="EH108" s="463"/>
      <c r="EI108" s="463"/>
      <c r="EJ108" s="463"/>
      <c r="EK108" s="463"/>
      <c r="EL108" s="463"/>
      <c r="EN108" s="463"/>
      <c r="EO108" s="463"/>
      <c r="EP108" s="463"/>
      <c r="ER108" s="463"/>
      <c r="ES108" s="463"/>
      <c r="ET108" s="463"/>
      <c r="EV108" s="463"/>
      <c r="EW108" s="463"/>
      <c r="EY108" s="463"/>
      <c r="EZ108" s="463"/>
      <c r="FA108" s="463"/>
      <c r="FB108" s="463"/>
      <c r="FC108" s="463"/>
      <c r="FD108" s="463"/>
      <c r="FE108" s="463"/>
      <c r="FF108" s="463"/>
      <c r="FG108" s="463"/>
      <c r="FH108" s="463"/>
      <c r="FI108" s="463"/>
      <c r="FJ108" s="463"/>
      <c r="FK108" s="463"/>
      <c r="FL108" s="463"/>
      <c r="FM108" s="463"/>
      <c r="FN108" s="463"/>
      <c r="FO108" s="463"/>
      <c r="FP108" s="463"/>
      <c r="FQ108" s="463"/>
      <c r="FS108" s="463"/>
      <c r="FT108" s="463"/>
      <c r="FU108" s="463"/>
      <c r="FV108" s="463"/>
      <c r="FW108" s="463"/>
      <c r="FX108" s="463"/>
      <c r="FY108" s="463"/>
      <c r="FZ108" s="463"/>
    </row>
    <row r="109" spans="1:182" ht="15.5">
      <c r="A109" s="393"/>
      <c r="B109" s="488">
        <v>630</v>
      </c>
      <c r="C109" s="487">
        <v>61</v>
      </c>
      <c r="D109" s="485">
        <f t="shared" si="5"/>
        <v>362.62723333734033</v>
      </c>
      <c r="E109" s="2">
        <f>TA!F34</f>
        <v>357.20659441456399</v>
      </c>
      <c r="F109" s="479">
        <f t="shared" si="3"/>
        <v>611.30599099537596</v>
      </c>
      <c r="G109" s="483">
        <f>TA!AA34</f>
        <v>1.03</v>
      </c>
      <c r="H109" s="419">
        <f>TA!EU34/TA!EG34</f>
        <v>5.5695578399086223</v>
      </c>
      <c r="I109" s="419">
        <f t="shared" si="4"/>
        <v>5.5975455677473596</v>
      </c>
      <c r="J109" s="419">
        <f>POWER(I109*4/(C109*各项系数!$F$5*PI())*10000000,0.5)</f>
        <v>362.52509930492857</v>
      </c>
      <c r="K109" s="479">
        <f t="shared" si="1"/>
        <v>629.64517072523711</v>
      </c>
      <c r="L109" s="488">
        <v>630</v>
      </c>
      <c r="M109" s="419">
        <f t="shared" si="2"/>
        <v>-0.35482927476289206</v>
      </c>
      <c r="N109" s="463"/>
      <c r="O109" s="463"/>
      <c r="P109" s="463"/>
      <c r="Q109" s="463"/>
      <c r="R109" s="463"/>
      <c r="S109" s="463"/>
      <c r="T109" s="463"/>
      <c r="U109" s="463"/>
      <c r="V109" s="463"/>
      <c r="W109" s="463"/>
      <c r="X109" s="463"/>
      <c r="Y109" s="463"/>
      <c r="Z109" s="463"/>
      <c r="AA109" s="463"/>
      <c r="AB109" s="463"/>
      <c r="AD109" s="463"/>
      <c r="AE109" s="463"/>
      <c r="AG109" s="463"/>
      <c r="AI109" s="463"/>
      <c r="AJ109" s="463"/>
      <c r="AK109" s="463"/>
      <c r="AM109" s="463"/>
      <c r="AN109" s="463"/>
      <c r="AO109" s="463"/>
      <c r="AQ109" s="463"/>
      <c r="AR109" s="463"/>
      <c r="AS109" s="463"/>
      <c r="AT109" s="463"/>
      <c r="AU109" s="463"/>
      <c r="AV109" s="463"/>
      <c r="AX109" s="463"/>
      <c r="AY109" s="463"/>
      <c r="AZ109" s="463"/>
      <c r="BB109" s="463"/>
      <c r="BC109" s="463"/>
      <c r="BD109" s="463"/>
      <c r="BF109" s="463"/>
      <c r="BG109" s="463"/>
      <c r="BH109" s="463"/>
      <c r="BJ109" s="463"/>
      <c r="BK109" s="463"/>
      <c r="BL109" s="463"/>
      <c r="BN109" s="463"/>
      <c r="BO109" s="463"/>
      <c r="BP109" s="463"/>
      <c r="BQ109" s="463"/>
      <c r="BR109" s="463"/>
      <c r="BT109" s="463"/>
      <c r="BU109" s="463"/>
      <c r="BV109" s="463"/>
      <c r="BX109" s="463"/>
      <c r="BY109" s="463"/>
      <c r="BZ109" s="463"/>
      <c r="CB109" s="463"/>
      <c r="CC109" s="463"/>
      <c r="CD109" s="463"/>
      <c r="CF109" s="463"/>
      <c r="CG109" s="463"/>
      <c r="CH109" s="463"/>
      <c r="CJ109" s="463"/>
      <c r="CK109" s="463"/>
      <c r="CM109" s="463"/>
      <c r="CO109" s="463"/>
      <c r="CP109" s="463"/>
      <c r="CQ109" s="463"/>
      <c r="CS109" s="463"/>
      <c r="CT109" s="463"/>
      <c r="CU109" s="463"/>
      <c r="CW109" s="463"/>
      <c r="CX109" s="463"/>
      <c r="CY109" s="463"/>
      <c r="DA109" s="463"/>
      <c r="DB109" s="463"/>
      <c r="DC109" s="463"/>
      <c r="DD109" s="463"/>
      <c r="DE109" s="463"/>
      <c r="DF109" s="463"/>
      <c r="DH109" s="463"/>
      <c r="DI109" s="463"/>
      <c r="DJ109" s="463"/>
      <c r="DL109" s="463"/>
      <c r="DM109" s="463"/>
      <c r="DN109" s="463"/>
      <c r="DO109" s="463"/>
      <c r="DP109" s="463"/>
      <c r="DR109" s="463"/>
      <c r="DS109" s="463"/>
      <c r="DT109" s="463"/>
      <c r="DV109" s="463"/>
      <c r="DW109" s="463"/>
      <c r="DX109" s="463"/>
      <c r="DZ109" s="463"/>
      <c r="EA109" s="463"/>
      <c r="EB109" s="463"/>
      <c r="ED109" s="463"/>
      <c r="EE109" s="463"/>
      <c r="EF109" s="463"/>
      <c r="EH109" s="463"/>
      <c r="EI109" s="463"/>
      <c r="EJ109" s="463"/>
      <c r="EK109" s="463"/>
      <c r="EL109" s="463"/>
      <c r="EN109" s="463"/>
      <c r="EO109" s="463"/>
      <c r="EP109" s="463"/>
      <c r="ER109" s="463"/>
      <c r="ES109" s="463"/>
      <c r="ET109" s="463"/>
      <c r="EV109" s="463"/>
      <c r="EW109" s="463"/>
      <c r="EY109" s="463"/>
      <c r="EZ109" s="463"/>
      <c r="FA109" s="463"/>
      <c r="FB109" s="463"/>
      <c r="FC109" s="463"/>
      <c r="FD109" s="463"/>
      <c r="FE109" s="463"/>
      <c r="FF109" s="463"/>
      <c r="FG109" s="463"/>
      <c r="FH109" s="463"/>
      <c r="FI109" s="463"/>
      <c r="FJ109" s="463"/>
      <c r="FK109" s="463"/>
      <c r="FL109" s="463"/>
      <c r="FM109" s="463"/>
      <c r="FN109" s="463"/>
      <c r="FO109" s="463"/>
      <c r="FP109" s="463"/>
      <c r="FQ109" s="463"/>
      <c r="FS109" s="463"/>
      <c r="FT109" s="463"/>
      <c r="FU109" s="463"/>
      <c r="FV109" s="463"/>
      <c r="FW109" s="463"/>
      <c r="FX109" s="463"/>
      <c r="FY109" s="463"/>
      <c r="FZ109" s="463"/>
    </row>
    <row r="110" spans="1:182" ht="15.5">
      <c r="A110" s="393"/>
      <c r="B110" s="488">
        <v>800</v>
      </c>
      <c r="C110" s="487">
        <v>61</v>
      </c>
      <c r="D110" s="485">
        <f t="shared" si="5"/>
        <v>408.63459884731162</v>
      </c>
      <c r="E110" s="2">
        <f>TA!F35</f>
        <v>404.21883750578098</v>
      </c>
      <c r="F110" s="479">
        <f t="shared" si="3"/>
        <v>782.80359932892111</v>
      </c>
      <c r="G110" s="483">
        <f>TA!AA35</f>
        <v>1.03</v>
      </c>
      <c r="H110" s="419">
        <f>TA!EU35/TA!EG35</f>
        <v>7.1320582293852581</v>
      </c>
      <c r="I110" s="419">
        <f t="shared" si="4"/>
        <v>7.1678977179751335</v>
      </c>
      <c r="J110" s="419">
        <f>POWER(I110*4/(C110*各项系数!$F$5*PI())*10000000,0.5)</f>
        <v>410.23731504138033</v>
      </c>
      <c r="K110" s="479">
        <f t="shared" si="1"/>
        <v>806.28770730878898</v>
      </c>
      <c r="L110" s="488">
        <v>800</v>
      </c>
      <c r="M110" s="419">
        <f t="shared" si="2"/>
        <v>6.2877073087889812</v>
      </c>
      <c r="N110" s="463"/>
      <c r="O110" s="463"/>
      <c r="P110" s="463"/>
      <c r="Q110" s="463"/>
      <c r="R110" s="463"/>
      <c r="S110" s="463"/>
      <c r="T110" s="463"/>
      <c r="U110" s="463"/>
      <c r="V110" s="463"/>
      <c r="W110" s="463"/>
      <c r="X110" s="463"/>
      <c r="Y110" s="463"/>
      <c r="Z110" s="463"/>
      <c r="AA110" s="463"/>
      <c r="AB110" s="463"/>
      <c r="AD110" s="463"/>
      <c r="AE110" s="463"/>
      <c r="AG110" s="463"/>
      <c r="AI110" s="463"/>
      <c r="AJ110" s="463"/>
      <c r="AK110" s="463"/>
      <c r="AM110" s="463"/>
      <c r="AN110" s="463"/>
      <c r="AO110" s="463"/>
      <c r="AQ110" s="463"/>
      <c r="AR110" s="463"/>
      <c r="AS110" s="463"/>
      <c r="AT110" s="463"/>
      <c r="AU110" s="463"/>
      <c r="AV110" s="463"/>
      <c r="AX110" s="463"/>
      <c r="AY110" s="463"/>
      <c r="AZ110" s="463"/>
      <c r="BB110" s="463"/>
      <c r="BC110" s="463"/>
      <c r="BD110" s="463"/>
      <c r="BF110" s="463"/>
      <c r="BG110" s="463"/>
      <c r="BH110" s="463"/>
      <c r="BJ110" s="463"/>
      <c r="BK110" s="463"/>
      <c r="BL110" s="463"/>
      <c r="BN110" s="463"/>
      <c r="BO110" s="463"/>
      <c r="BP110" s="463"/>
      <c r="BQ110" s="463"/>
      <c r="BR110" s="463"/>
      <c r="BT110" s="463"/>
      <c r="BU110" s="463"/>
      <c r="BV110" s="463"/>
      <c r="BX110" s="463"/>
      <c r="BY110" s="463"/>
      <c r="BZ110" s="463"/>
      <c r="CB110" s="463"/>
      <c r="CC110" s="463"/>
      <c r="CD110" s="463"/>
      <c r="CF110" s="463"/>
      <c r="CG110" s="463"/>
      <c r="CH110" s="463"/>
      <c r="CJ110" s="463"/>
      <c r="CK110" s="463"/>
      <c r="CM110" s="463"/>
      <c r="CO110" s="463"/>
      <c r="CP110" s="463"/>
      <c r="CQ110" s="463"/>
      <c r="CS110" s="463"/>
      <c r="CT110" s="463"/>
      <c r="CU110" s="463"/>
      <c r="CW110" s="463"/>
      <c r="CX110" s="463"/>
      <c r="CY110" s="463"/>
      <c r="DA110" s="463"/>
      <c r="DB110" s="463"/>
      <c r="DC110" s="463"/>
      <c r="DD110" s="463"/>
      <c r="DE110" s="463"/>
      <c r="DF110" s="463"/>
      <c r="DH110" s="463"/>
      <c r="DI110" s="463"/>
      <c r="DJ110" s="463"/>
      <c r="DL110" s="463"/>
      <c r="DM110" s="463"/>
      <c r="DN110" s="463"/>
      <c r="DO110" s="463"/>
      <c r="DP110" s="463"/>
      <c r="DR110" s="463"/>
      <c r="DS110" s="463"/>
      <c r="DT110" s="463"/>
      <c r="DV110" s="463"/>
      <c r="DW110" s="463"/>
      <c r="DX110" s="463"/>
      <c r="DZ110" s="463"/>
      <c r="EA110" s="463"/>
      <c r="EB110" s="463"/>
      <c r="ED110" s="463"/>
      <c r="EE110" s="463"/>
      <c r="EF110" s="463"/>
      <c r="EH110" s="463"/>
      <c r="EI110" s="463"/>
      <c r="EJ110" s="463"/>
      <c r="EK110" s="463"/>
      <c r="EL110" s="463"/>
      <c r="EN110" s="463"/>
      <c r="EO110" s="463"/>
      <c r="EP110" s="463"/>
      <c r="ER110" s="463"/>
      <c r="ES110" s="463"/>
      <c r="ET110" s="463"/>
      <c r="EV110" s="463"/>
      <c r="EW110" s="463"/>
      <c r="EY110" s="463"/>
      <c r="EZ110" s="463"/>
      <c r="FA110" s="463"/>
      <c r="FB110" s="463"/>
      <c r="FC110" s="463"/>
      <c r="FD110" s="463"/>
      <c r="FE110" s="463"/>
      <c r="FF110" s="463"/>
      <c r="FG110" s="463"/>
      <c r="FH110" s="463"/>
      <c r="FI110" s="463"/>
      <c r="FJ110" s="463"/>
      <c r="FK110" s="463"/>
      <c r="FL110" s="463"/>
      <c r="FM110" s="463"/>
      <c r="FN110" s="463"/>
      <c r="FO110" s="463"/>
      <c r="FP110" s="463"/>
      <c r="FQ110" s="463"/>
      <c r="FS110" s="463"/>
      <c r="FT110" s="463"/>
      <c r="FU110" s="463"/>
      <c r="FV110" s="463"/>
      <c r="FW110" s="463"/>
      <c r="FX110" s="463"/>
      <c r="FY110" s="463"/>
      <c r="FZ110" s="463"/>
    </row>
    <row r="111" spans="1:182" ht="15.5">
      <c r="A111" s="393"/>
      <c r="B111" s="489"/>
      <c r="C111" s="490"/>
      <c r="D111" s="2"/>
      <c r="E111" s="2"/>
      <c r="F111" s="479"/>
      <c r="G111" s="483"/>
      <c r="H111" s="419"/>
      <c r="I111" s="419"/>
      <c r="J111" s="419"/>
      <c r="K111" s="479"/>
      <c r="L111" s="419"/>
      <c r="M111" s="419"/>
      <c r="N111" s="463"/>
      <c r="O111" s="463"/>
      <c r="P111" s="463"/>
      <c r="Q111" s="463"/>
      <c r="R111" s="463"/>
      <c r="S111" s="463"/>
      <c r="T111" s="463"/>
      <c r="U111" s="463"/>
      <c r="V111" s="463"/>
      <c r="W111" s="463"/>
      <c r="X111" s="463"/>
      <c r="Y111" s="463"/>
      <c r="Z111" s="463"/>
      <c r="AA111" s="463"/>
      <c r="AB111" s="463"/>
      <c r="AD111" s="463"/>
      <c r="AE111" s="463"/>
      <c r="AG111" s="463"/>
      <c r="AI111" s="463"/>
      <c r="AJ111" s="463"/>
      <c r="AK111" s="463"/>
      <c r="AM111" s="463"/>
      <c r="AN111" s="463"/>
      <c r="AO111" s="463"/>
      <c r="AQ111" s="463"/>
      <c r="AR111" s="463"/>
      <c r="AS111" s="463"/>
      <c r="AT111" s="463"/>
      <c r="AU111" s="463"/>
      <c r="AV111" s="463"/>
      <c r="AX111" s="463"/>
      <c r="AY111" s="463"/>
      <c r="AZ111" s="463"/>
      <c r="BB111" s="463"/>
      <c r="BC111" s="463"/>
      <c r="BD111" s="463"/>
      <c r="BF111" s="463"/>
      <c r="BG111" s="463"/>
      <c r="BH111" s="463"/>
      <c r="BJ111" s="463"/>
      <c r="BK111" s="463"/>
      <c r="BL111" s="463"/>
      <c r="BN111" s="463"/>
      <c r="BO111" s="463"/>
      <c r="BP111" s="463"/>
      <c r="BQ111" s="463"/>
      <c r="BR111" s="463"/>
      <c r="BT111" s="463"/>
      <c r="BU111" s="463"/>
      <c r="BV111" s="463"/>
      <c r="BX111" s="463"/>
      <c r="BY111" s="463"/>
      <c r="BZ111" s="463"/>
      <c r="CB111" s="463"/>
      <c r="CC111" s="463"/>
      <c r="CD111" s="463"/>
      <c r="CF111" s="463"/>
      <c r="CG111" s="463"/>
      <c r="CH111" s="463"/>
      <c r="CJ111" s="463"/>
      <c r="CK111" s="463"/>
      <c r="CM111" s="463"/>
      <c r="CO111" s="463"/>
      <c r="CP111" s="463"/>
      <c r="CQ111" s="463"/>
      <c r="CS111" s="463"/>
      <c r="CT111" s="463"/>
      <c r="CU111" s="463"/>
      <c r="CW111" s="463"/>
      <c r="CX111" s="463"/>
      <c r="CY111" s="463"/>
      <c r="DA111" s="463"/>
      <c r="DB111" s="463"/>
      <c r="DC111" s="463"/>
      <c r="DD111" s="463"/>
      <c r="DE111" s="463"/>
      <c r="DF111" s="463"/>
      <c r="DH111" s="463"/>
      <c r="DI111" s="463"/>
      <c r="DJ111" s="463"/>
      <c r="DL111" s="463"/>
      <c r="DM111" s="463"/>
      <c r="DN111" s="463"/>
      <c r="DO111" s="463"/>
      <c r="DP111" s="463"/>
      <c r="DR111" s="463"/>
      <c r="DS111" s="463"/>
      <c r="DT111" s="463"/>
      <c r="DV111" s="463"/>
      <c r="DW111" s="463"/>
      <c r="DX111" s="463"/>
      <c r="DZ111" s="463"/>
      <c r="EA111" s="463"/>
      <c r="EB111" s="463"/>
      <c r="ED111" s="463"/>
      <c r="EE111" s="463"/>
      <c r="EF111" s="463"/>
      <c r="EH111" s="463"/>
      <c r="EI111" s="463"/>
      <c r="EJ111" s="463"/>
      <c r="EK111" s="463"/>
      <c r="EL111" s="463"/>
      <c r="EN111" s="463"/>
      <c r="EO111" s="463"/>
      <c r="EP111" s="463"/>
      <c r="ER111" s="463"/>
      <c r="ES111" s="463"/>
      <c r="ET111" s="463"/>
      <c r="EV111" s="463"/>
      <c r="EW111" s="463"/>
      <c r="EY111" s="463"/>
      <c r="EZ111" s="463"/>
      <c r="FA111" s="463"/>
      <c r="FB111" s="463"/>
      <c r="FC111" s="463"/>
      <c r="FD111" s="463"/>
      <c r="FE111" s="463"/>
      <c r="FF111" s="463"/>
      <c r="FG111" s="463"/>
      <c r="FH111" s="463"/>
      <c r="FI111" s="463"/>
      <c r="FJ111" s="463"/>
      <c r="FK111" s="463"/>
      <c r="FL111" s="463"/>
      <c r="FM111" s="463"/>
      <c r="FN111" s="463"/>
      <c r="FO111" s="463"/>
      <c r="FP111" s="463"/>
      <c r="FQ111" s="463"/>
      <c r="FS111" s="463"/>
      <c r="FT111" s="463"/>
      <c r="FU111" s="463"/>
      <c r="FV111" s="463"/>
      <c r="FW111" s="463"/>
      <c r="FX111" s="463"/>
      <c r="FY111" s="463"/>
      <c r="FZ111" s="463"/>
    </row>
    <row r="112" spans="1:182" ht="15.5">
      <c r="A112" s="393"/>
      <c r="B112" s="489"/>
      <c r="C112" s="490"/>
      <c r="D112" s="2"/>
      <c r="E112" s="2"/>
      <c r="F112" s="479"/>
      <c r="G112" s="483"/>
      <c r="H112" s="419"/>
      <c r="I112" s="419"/>
      <c r="J112" s="419"/>
      <c r="K112" s="479"/>
      <c r="L112" s="419"/>
      <c r="M112" s="419"/>
      <c r="N112" s="463"/>
      <c r="O112" s="463"/>
      <c r="P112" s="463"/>
      <c r="Q112" s="463"/>
      <c r="R112" s="463"/>
      <c r="S112" s="463"/>
      <c r="T112" s="463"/>
      <c r="U112" s="463"/>
      <c r="V112" s="463"/>
      <c r="W112" s="463"/>
      <c r="X112" s="463"/>
      <c r="Y112" s="463"/>
      <c r="Z112" s="463"/>
      <c r="AA112" s="463"/>
      <c r="AB112" s="463"/>
      <c r="AD112" s="463"/>
      <c r="AE112" s="463"/>
      <c r="AG112" s="463"/>
      <c r="AI112" s="463"/>
      <c r="AJ112" s="463"/>
      <c r="AK112" s="463"/>
      <c r="AM112" s="463"/>
      <c r="AN112" s="463"/>
      <c r="AO112" s="463"/>
      <c r="AQ112" s="463"/>
      <c r="AR112" s="463"/>
      <c r="AS112" s="463"/>
      <c r="AT112" s="463"/>
      <c r="AU112" s="463"/>
      <c r="AV112" s="463"/>
      <c r="AX112" s="463"/>
      <c r="AY112" s="463"/>
      <c r="AZ112" s="463"/>
      <c r="BB112" s="463"/>
      <c r="BC112" s="463"/>
      <c r="BD112" s="463"/>
      <c r="BF112" s="463"/>
      <c r="BG112" s="463"/>
      <c r="BH112" s="463"/>
      <c r="BJ112" s="463"/>
      <c r="BK112" s="463"/>
      <c r="BL112" s="463"/>
      <c r="BN112" s="463"/>
      <c r="BO112" s="463"/>
      <c r="BP112" s="463"/>
      <c r="BQ112" s="463"/>
      <c r="BR112" s="463"/>
      <c r="BT112" s="463"/>
      <c r="BU112" s="463"/>
      <c r="BV112" s="463"/>
      <c r="BX112" s="463"/>
      <c r="BY112" s="463"/>
      <c r="BZ112" s="463"/>
      <c r="CB112" s="463"/>
      <c r="CC112" s="463"/>
      <c r="CD112" s="463"/>
      <c r="CF112" s="463"/>
      <c r="CG112" s="463"/>
      <c r="CH112" s="463"/>
      <c r="CJ112" s="463"/>
      <c r="CK112" s="463"/>
      <c r="CM112" s="463"/>
      <c r="CO112" s="463"/>
      <c r="CP112" s="463"/>
      <c r="CQ112" s="463"/>
      <c r="CS112" s="463"/>
      <c r="CT112" s="463"/>
      <c r="CU112" s="463"/>
      <c r="CW112" s="463"/>
      <c r="CX112" s="463"/>
      <c r="CY112" s="463"/>
      <c r="DA112" s="463"/>
      <c r="DB112" s="463"/>
      <c r="DC112" s="463"/>
      <c r="DD112" s="463"/>
      <c r="DE112" s="463"/>
      <c r="DF112" s="463"/>
      <c r="DH112" s="463"/>
      <c r="DI112" s="463"/>
      <c r="DJ112" s="463"/>
      <c r="DL112" s="463"/>
      <c r="DM112" s="463"/>
      <c r="DN112" s="463"/>
      <c r="DO112" s="463"/>
      <c r="DP112" s="463"/>
      <c r="DR112" s="463"/>
      <c r="DS112" s="463"/>
      <c r="DT112" s="463"/>
      <c r="DV112" s="463"/>
      <c r="DW112" s="463"/>
      <c r="DX112" s="463"/>
      <c r="DZ112" s="463"/>
      <c r="EA112" s="463"/>
      <c r="EB112" s="463"/>
      <c r="ED112" s="463"/>
      <c r="EE112" s="463"/>
      <c r="EF112" s="463"/>
      <c r="EH112" s="463"/>
      <c r="EI112" s="463"/>
      <c r="EJ112" s="463"/>
      <c r="EK112" s="463"/>
      <c r="EL112" s="463"/>
      <c r="EN112" s="463"/>
      <c r="EO112" s="463"/>
      <c r="EP112" s="463"/>
      <c r="ER112" s="463"/>
      <c r="ES112" s="463"/>
      <c r="ET112" s="463"/>
      <c r="EV112" s="463"/>
      <c r="EW112" s="463"/>
      <c r="EY112" s="463"/>
      <c r="EZ112" s="463"/>
      <c r="FA112" s="463"/>
      <c r="FB112" s="463"/>
      <c r="FC112" s="463"/>
      <c r="FD112" s="463"/>
      <c r="FE112" s="463"/>
      <c r="FF112" s="463"/>
      <c r="FG112" s="463"/>
      <c r="FH112" s="463"/>
      <c r="FI112" s="463"/>
      <c r="FJ112" s="463"/>
      <c r="FK112" s="463"/>
      <c r="FL112" s="463"/>
      <c r="FM112" s="463"/>
      <c r="FN112" s="463"/>
      <c r="FO112" s="463"/>
      <c r="FP112" s="463"/>
      <c r="FQ112" s="463"/>
      <c r="FS112" s="463"/>
      <c r="FT112" s="463"/>
      <c r="FU112" s="463"/>
      <c r="FV112" s="463"/>
      <c r="FW112" s="463"/>
      <c r="FX112" s="463"/>
      <c r="FY112" s="463"/>
      <c r="FZ112" s="463"/>
    </row>
    <row r="113" spans="1:182" ht="15.5">
      <c r="A113" s="393"/>
      <c r="B113" s="489"/>
      <c r="C113" s="490"/>
      <c r="D113" s="2"/>
      <c r="E113" s="2"/>
      <c r="F113" s="479"/>
      <c r="G113" s="483"/>
      <c r="H113" s="419"/>
      <c r="I113" s="419"/>
      <c r="J113" s="419"/>
      <c r="K113" s="479"/>
      <c r="L113" s="419"/>
      <c r="M113" s="419"/>
      <c r="N113" s="463"/>
      <c r="O113" s="463"/>
      <c r="P113" s="463"/>
      <c r="Q113" s="463"/>
      <c r="R113" s="463"/>
      <c r="S113" s="463"/>
      <c r="T113" s="463"/>
      <c r="U113" s="463"/>
      <c r="V113" s="463"/>
      <c r="W113" s="463"/>
      <c r="X113" s="463"/>
      <c r="Y113" s="463"/>
      <c r="Z113" s="463"/>
      <c r="AA113" s="463"/>
      <c r="AB113" s="463"/>
      <c r="AD113" s="463"/>
      <c r="AE113" s="463"/>
      <c r="AG113" s="463"/>
      <c r="AI113" s="463"/>
      <c r="AJ113" s="463"/>
      <c r="AK113" s="463"/>
      <c r="AM113" s="463"/>
      <c r="AN113" s="463"/>
      <c r="AO113" s="463"/>
      <c r="AQ113" s="463"/>
      <c r="AR113" s="463"/>
      <c r="AS113" s="463"/>
      <c r="AT113" s="463"/>
      <c r="AU113" s="463"/>
      <c r="AV113" s="463"/>
      <c r="AX113" s="463"/>
      <c r="AY113" s="463"/>
      <c r="AZ113" s="463"/>
      <c r="BB113" s="463"/>
      <c r="BC113" s="463"/>
      <c r="BD113" s="463"/>
      <c r="BF113" s="463"/>
      <c r="BG113" s="463"/>
      <c r="BH113" s="463"/>
      <c r="BJ113" s="463"/>
      <c r="BK113" s="463"/>
      <c r="BL113" s="463"/>
      <c r="BN113" s="463"/>
      <c r="BO113" s="463"/>
      <c r="BP113" s="463"/>
      <c r="BQ113" s="463"/>
      <c r="BR113" s="463"/>
      <c r="BT113" s="463"/>
      <c r="BU113" s="463"/>
      <c r="BV113" s="463"/>
      <c r="BX113" s="463"/>
      <c r="BY113" s="463"/>
      <c r="BZ113" s="463"/>
      <c r="CB113" s="463"/>
      <c r="CC113" s="463"/>
      <c r="CD113" s="463"/>
      <c r="CF113" s="463"/>
      <c r="CG113" s="463"/>
      <c r="CH113" s="463"/>
      <c r="CJ113" s="463"/>
      <c r="CK113" s="463"/>
      <c r="CM113" s="463"/>
      <c r="CO113" s="463"/>
      <c r="CP113" s="463"/>
      <c r="CQ113" s="463"/>
      <c r="CS113" s="463"/>
      <c r="CT113" s="463"/>
      <c r="CU113" s="463"/>
      <c r="CW113" s="463"/>
      <c r="CX113" s="463"/>
      <c r="CY113" s="463"/>
      <c r="DA113" s="463"/>
      <c r="DB113" s="463"/>
      <c r="DC113" s="463"/>
      <c r="DD113" s="463"/>
      <c r="DE113" s="463"/>
      <c r="DF113" s="463"/>
      <c r="DH113" s="463"/>
      <c r="DI113" s="463"/>
      <c r="DJ113" s="463"/>
      <c r="DL113" s="463"/>
      <c r="DM113" s="463"/>
      <c r="DN113" s="463"/>
      <c r="DO113" s="463"/>
      <c r="DP113" s="463"/>
      <c r="DR113" s="463"/>
      <c r="DS113" s="463"/>
      <c r="DT113" s="463"/>
      <c r="DV113" s="463"/>
      <c r="DW113" s="463"/>
      <c r="DX113" s="463"/>
      <c r="DZ113" s="463"/>
      <c r="EA113" s="463"/>
      <c r="EB113" s="463"/>
      <c r="ED113" s="463"/>
      <c r="EE113" s="463"/>
      <c r="EF113" s="463"/>
      <c r="EH113" s="463"/>
      <c r="EI113" s="463"/>
      <c r="EJ113" s="463"/>
      <c r="EK113" s="463"/>
      <c r="EL113" s="463"/>
      <c r="EN113" s="463"/>
      <c r="EO113" s="463"/>
      <c r="EP113" s="463"/>
      <c r="ER113" s="463"/>
      <c r="ES113" s="463"/>
      <c r="ET113" s="463"/>
      <c r="EV113" s="463"/>
      <c r="EW113" s="463"/>
      <c r="EY113" s="463"/>
      <c r="EZ113" s="463"/>
      <c r="FA113" s="463"/>
      <c r="FB113" s="463"/>
      <c r="FC113" s="463"/>
      <c r="FD113" s="463"/>
      <c r="FE113" s="463"/>
      <c r="FF113" s="463"/>
      <c r="FG113" s="463"/>
      <c r="FH113" s="463"/>
      <c r="FI113" s="463"/>
      <c r="FJ113" s="463"/>
      <c r="FK113" s="463"/>
      <c r="FL113" s="463"/>
      <c r="FM113" s="463"/>
      <c r="FN113" s="463"/>
      <c r="FO113" s="463"/>
      <c r="FP113" s="463"/>
      <c r="FQ113" s="463"/>
      <c r="FS113" s="463"/>
      <c r="FT113" s="463"/>
      <c r="FU113" s="463"/>
      <c r="FV113" s="463"/>
      <c r="FW113" s="463"/>
      <c r="FX113" s="463"/>
      <c r="FY113" s="463"/>
      <c r="FZ113" s="463"/>
    </row>
    <row r="114" spans="1:182">
      <c r="A114" s="393"/>
      <c r="B114" s="818" t="s">
        <v>567</v>
      </c>
      <c r="C114" s="818"/>
      <c r="D114" s="818"/>
      <c r="E114" s="819"/>
      <c r="F114" s="463"/>
      <c r="G114" s="393"/>
      <c r="H114" s="818" t="s">
        <v>568</v>
      </c>
      <c r="I114" s="818"/>
      <c r="J114" s="818"/>
      <c r="K114" s="463"/>
      <c r="L114" s="463"/>
      <c r="M114" s="463"/>
      <c r="N114" s="463"/>
      <c r="O114" s="463"/>
      <c r="P114" s="463"/>
      <c r="Q114" s="463"/>
      <c r="R114" s="463"/>
      <c r="S114" s="463"/>
      <c r="T114" s="463"/>
      <c r="U114" s="463"/>
      <c r="V114" s="463"/>
      <c r="W114" s="463"/>
      <c r="X114" s="463"/>
      <c r="Y114" s="463"/>
      <c r="Z114" s="463"/>
      <c r="AA114" s="463"/>
      <c r="AB114" s="463"/>
      <c r="AD114" s="463"/>
      <c r="AE114" s="463"/>
      <c r="AG114" s="463"/>
      <c r="AI114" s="463"/>
      <c r="AJ114" s="463"/>
      <c r="AK114" s="463"/>
      <c r="AM114" s="463"/>
      <c r="AN114" s="463"/>
      <c r="AO114" s="463"/>
      <c r="AQ114" s="463"/>
      <c r="AR114" s="463"/>
      <c r="AS114" s="463"/>
      <c r="AT114" s="463"/>
      <c r="AU114" s="463"/>
      <c r="AV114" s="463"/>
      <c r="AX114" s="463"/>
      <c r="AY114" s="463"/>
      <c r="AZ114" s="463"/>
      <c r="BB114" s="463"/>
      <c r="BC114" s="463"/>
      <c r="BD114" s="463"/>
      <c r="BF114" s="463"/>
      <c r="BG114" s="463"/>
      <c r="BH114" s="463"/>
      <c r="BJ114" s="463"/>
      <c r="BK114" s="463"/>
      <c r="BL114" s="463"/>
      <c r="BN114" s="463"/>
      <c r="BO114" s="463"/>
      <c r="BP114" s="463"/>
      <c r="BQ114" s="463"/>
      <c r="BR114" s="463"/>
      <c r="BT114" s="463"/>
      <c r="BU114" s="463"/>
      <c r="BV114" s="463"/>
      <c r="BX114" s="463"/>
      <c r="BY114" s="463"/>
      <c r="BZ114" s="463"/>
      <c r="CB114" s="463"/>
      <c r="CC114" s="463"/>
      <c r="CD114" s="463"/>
      <c r="CF114" s="463"/>
      <c r="CG114" s="463"/>
      <c r="CH114" s="463"/>
      <c r="CJ114" s="463"/>
      <c r="CK114" s="463"/>
      <c r="CM114" s="463"/>
      <c r="CO114" s="463"/>
      <c r="CP114" s="463"/>
      <c r="CQ114" s="463"/>
      <c r="CS114" s="463"/>
      <c r="CT114" s="463"/>
      <c r="CU114" s="463"/>
      <c r="CW114" s="463"/>
      <c r="CX114" s="463"/>
      <c r="CY114" s="463"/>
      <c r="DA114" s="463"/>
      <c r="DB114" s="463"/>
      <c r="DC114" s="463"/>
      <c r="DD114" s="463"/>
      <c r="DE114" s="463"/>
      <c r="DF114" s="463"/>
      <c r="DH114" s="463"/>
      <c r="DI114" s="463"/>
      <c r="DJ114" s="463"/>
      <c r="DL114" s="463"/>
      <c r="DM114" s="463"/>
      <c r="DN114" s="463"/>
      <c r="DO114" s="463"/>
      <c r="DP114" s="463"/>
      <c r="DR114" s="463"/>
      <c r="DS114" s="463"/>
      <c r="DT114" s="463"/>
      <c r="DV114" s="463"/>
      <c r="DW114" s="463"/>
      <c r="DX114" s="463"/>
      <c r="DZ114" s="463"/>
      <c r="EA114" s="463"/>
      <c r="EB114" s="463"/>
      <c r="ED114" s="463"/>
      <c r="EE114" s="463"/>
      <c r="EF114" s="463"/>
      <c r="EH114" s="463"/>
      <c r="EI114" s="463"/>
      <c r="EJ114" s="463"/>
      <c r="EK114" s="463"/>
      <c r="EL114" s="463"/>
      <c r="EN114" s="463"/>
      <c r="EO114" s="463"/>
      <c r="EP114" s="463"/>
      <c r="ER114" s="463"/>
      <c r="ES114" s="463"/>
      <c r="ET114" s="463"/>
      <c r="EV114" s="463"/>
      <c r="EW114" s="463"/>
      <c r="EY114" s="463"/>
      <c r="EZ114" s="463"/>
      <c r="FA114" s="463"/>
      <c r="FB114" s="463"/>
      <c r="FC114" s="463"/>
      <c r="FD114" s="463"/>
      <c r="FE114" s="463"/>
      <c r="FF114" s="463"/>
      <c r="FG114" s="463"/>
      <c r="FH114" s="463"/>
      <c r="FI114" s="463"/>
      <c r="FJ114" s="463"/>
      <c r="FK114" s="463"/>
      <c r="FL114" s="463"/>
      <c r="FM114" s="463"/>
      <c r="FN114" s="463"/>
      <c r="FO114" s="463"/>
      <c r="FP114" s="463"/>
      <c r="FQ114" s="463"/>
      <c r="FS114" s="463"/>
      <c r="FT114" s="463"/>
      <c r="FU114" s="463"/>
      <c r="FV114" s="463"/>
      <c r="FW114" s="463"/>
      <c r="FX114" s="463"/>
      <c r="FY114" s="463"/>
      <c r="FZ114" s="463"/>
    </row>
    <row r="115" spans="1:182">
      <c r="A115" s="393"/>
      <c r="B115" s="491" t="s">
        <v>102</v>
      </c>
      <c r="C115" s="2" t="s">
        <v>14</v>
      </c>
      <c r="D115" s="2" t="s">
        <v>569</v>
      </c>
      <c r="E115" s="2" t="s">
        <v>570</v>
      </c>
      <c r="F115" s="492"/>
      <c r="G115" s="4"/>
      <c r="H115" s="2" t="s">
        <v>14</v>
      </c>
      <c r="I115" s="2" t="s">
        <v>4</v>
      </c>
      <c r="J115" t="s">
        <v>571</v>
      </c>
      <c r="K115" s="463"/>
      <c r="L115" s="463"/>
      <c r="M115" s="463"/>
      <c r="N115" s="463"/>
      <c r="O115" s="463"/>
      <c r="P115" s="463"/>
      <c r="Q115" s="463"/>
      <c r="R115" s="463"/>
      <c r="S115" s="463"/>
      <c r="T115" s="463"/>
      <c r="U115" s="463"/>
      <c r="V115" s="463"/>
      <c r="W115" s="463"/>
      <c r="X115" s="463"/>
      <c r="Y115" s="463"/>
      <c r="Z115" s="463"/>
      <c r="AA115" s="463"/>
      <c r="AB115" s="463"/>
      <c r="AD115" s="463"/>
      <c r="AE115" s="463"/>
      <c r="AG115" s="463"/>
      <c r="AI115" s="463"/>
      <c r="AJ115" s="463"/>
      <c r="AK115" s="463"/>
      <c r="AM115" s="463"/>
      <c r="AN115" s="463"/>
      <c r="AO115" s="463"/>
      <c r="AQ115" s="463"/>
      <c r="AR115" s="463"/>
      <c r="AS115" s="463"/>
      <c r="AT115" s="463"/>
      <c r="AU115" s="463"/>
      <c r="AV115" s="463"/>
      <c r="AX115" s="463"/>
      <c r="AY115" s="463"/>
      <c r="AZ115" s="463"/>
      <c r="BB115" s="463"/>
      <c r="BC115" s="463"/>
      <c r="BD115" s="463"/>
      <c r="BF115" s="463"/>
      <c r="BG115" s="463"/>
      <c r="BH115" s="463"/>
      <c r="BJ115" s="463"/>
      <c r="BK115" s="463"/>
      <c r="BL115" s="463"/>
      <c r="BN115" s="463"/>
      <c r="BO115" s="463"/>
      <c r="BP115" s="463"/>
      <c r="BQ115" s="463"/>
      <c r="BR115" s="463"/>
      <c r="BT115" s="463"/>
      <c r="BU115" s="463"/>
      <c r="BV115" s="463"/>
      <c r="BX115" s="463"/>
      <c r="BY115" s="463"/>
      <c r="BZ115" s="463"/>
      <c r="CB115" s="463"/>
      <c r="CC115" s="463"/>
      <c r="CD115" s="463"/>
      <c r="CF115" s="463"/>
      <c r="CG115" s="463"/>
      <c r="CH115" s="463"/>
      <c r="CJ115" s="463"/>
      <c r="CK115" s="463"/>
      <c r="CM115" s="463"/>
      <c r="CO115" s="463"/>
      <c r="CP115" s="463"/>
      <c r="CQ115" s="463"/>
      <c r="CS115" s="463"/>
      <c r="CT115" s="463"/>
      <c r="CU115" s="463"/>
      <c r="CW115" s="463"/>
      <c r="CX115" s="463"/>
      <c r="CY115" s="463"/>
      <c r="DA115" s="463"/>
      <c r="DB115" s="463"/>
      <c r="DC115" s="463"/>
      <c r="DD115" s="463"/>
      <c r="DE115" s="463"/>
      <c r="DF115" s="463"/>
      <c r="DH115" s="463"/>
      <c r="DI115" s="463"/>
      <c r="DJ115" s="463"/>
      <c r="DL115" s="463"/>
      <c r="DM115" s="463"/>
      <c r="DN115" s="463"/>
      <c r="DO115" s="463"/>
      <c r="DP115" s="463"/>
      <c r="DR115" s="463"/>
      <c r="DS115" s="463"/>
      <c r="DT115" s="463"/>
      <c r="DV115" s="463"/>
      <c r="DW115" s="463"/>
      <c r="DX115" s="463"/>
      <c r="DZ115" s="463"/>
      <c r="EA115" s="463"/>
      <c r="EB115" s="463"/>
      <c r="ED115" s="463"/>
      <c r="EE115" s="463"/>
      <c r="EF115" s="463"/>
      <c r="EH115" s="463"/>
      <c r="EI115" s="463"/>
      <c r="EJ115" s="463"/>
      <c r="EK115" s="463"/>
      <c r="EL115" s="463"/>
      <c r="EN115" s="463"/>
      <c r="EO115" s="463"/>
      <c r="EP115" s="463"/>
      <c r="ER115" s="463"/>
      <c r="ES115" s="463"/>
      <c r="ET115" s="463"/>
      <c r="EV115" s="463"/>
      <c r="EW115" s="463"/>
      <c r="EY115" s="463"/>
      <c r="EZ115" s="463"/>
      <c r="FA115" s="463"/>
      <c r="FB115" s="463"/>
      <c r="FC115" s="463"/>
      <c r="FD115" s="463"/>
      <c r="FE115" s="463"/>
      <c r="FF115" s="463"/>
      <c r="FG115" s="463"/>
      <c r="FH115" s="463"/>
      <c r="FI115" s="463"/>
      <c r="FJ115" s="463"/>
      <c r="FK115" s="463"/>
      <c r="FL115" s="463"/>
      <c r="FM115" s="463"/>
      <c r="FN115" s="463"/>
      <c r="FO115" s="463"/>
      <c r="FP115" s="463"/>
      <c r="FQ115" s="463"/>
      <c r="FS115" s="463"/>
      <c r="FT115" s="463"/>
      <c r="FU115" s="463"/>
      <c r="FV115" s="463"/>
      <c r="FW115" s="463"/>
      <c r="FX115" s="463"/>
      <c r="FY115" s="463"/>
      <c r="FZ115" s="463"/>
    </row>
    <row r="116" spans="1:182">
      <c r="A116" s="393"/>
      <c r="B116" s="493">
        <v>0.3</v>
      </c>
      <c r="C116" s="2">
        <v>1</v>
      </c>
      <c r="D116">
        <f t="shared" ref="D116:D137" si="6">(B116/C116*4/PI())^(1/2)*100</f>
        <v>61.80387232371033</v>
      </c>
      <c r="E116">
        <f t="shared" ref="E116:E137" si="7">PI()*D116*D116/4*C116/10000</f>
        <v>0.29999999999999993</v>
      </c>
      <c r="F116" s="492"/>
      <c r="G116" s="494"/>
      <c r="H116" s="2">
        <v>1</v>
      </c>
      <c r="I116">
        <v>2</v>
      </c>
      <c r="J116">
        <f t="shared" ref="J116:J137" si="8">PI()*I116*I116/4*H116/10000</f>
        <v>3.1415926535897931E-4</v>
      </c>
      <c r="K116" s="463"/>
      <c r="L116" s="463"/>
      <c r="M116" s="463"/>
      <c r="N116" s="463"/>
      <c r="O116" s="463"/>
      <c r="P116" s="463"/>
      <c r="Q116" s="463"/>
      <c r="R116" s="463"/>
      <c r="S116" s="463"/>
      <c r="T116" s="463"/>
      <c r="U116" s="463"/>
      <c r="V116" s="463"/>
      <c r="W116" s="463"/>
      <c r="X116" s="463"/>
      <c r="Y116" s="463"/>
      <c r="Z116" s="463"/>
      <c r="AA116" s="463"/>
      <c r="AB116" s="463"/>
      <c r="AD116" s="463"/>
      <c r="AE116" s="463"/>
      <c r="AG116" s="463"/>
      <c r="AI116" s="463"/>
      <c r="AJ116" s="463"/>
      <c r="AK116" s="463"/>
      <c r="AM116" s="463"/>
      <c r="AN116" s="463"/>
      <c r="AO116" s="463"/>
      <c r="AQ116" s="463"/>
      <c r="AR116" s="463"/>
      <c r="AS116" s="463"/>
      <c r="AT116" s="463"/>
      <c r="AU116" s="463"/>
      <c r="AV116" s="463"/>
      <c r="AX116" s="463"/>
      <c r="AY116" s="463"/>
      <c r="AZ116" s="463"/>
      <c r="BB116" s="463"/>
      <c r="BC116" s="463"/>
      <c r="BD116" s="463"/>
      <c r="BF116" s="463"/>
      <c r="BG116" s="463"/>
      <c r="BH116" s="463"/>
      <c r="BJ116" s="463"/>
      <c r="BK116" s="463"/>
      <c r="BL116" s="463"/>
      <c r="BN116" s="463"/>
      <c r="BO116" s="463"/>
      <c r="BP116" s="463"/>
      <c r="BQ116" s="463"/>
      <c r="BR116" s="463"/>
      <c r="BT116" s="463"/>
      <c r="BU116" s="463"/>
      <c r="BV116" s="463"/>
      <c r="BX116" s="463"/>
      <c r="BY116" s="463"/>
      <c r="BZ116" s="463"/>
      <c r="CB116" s="463"/>
      <c r="CC116" s="463"/>
      <c r="CD116" s="463"/>
      <c r="CF116" s="463"/>
      <c r="CG116" s="463"/>
      <c r="CH116" s="463"/>
      <c r="CJ116" s="463"/>
      <c r="CK116" s="463"/>
      <c r="CM116" s="463"/>
      <c r="CO116" s="463"/>
      <c r="CP116" s="463"/>
      <c r="CQ116" s="463"/>
      <c r="CS116" s="463"/>
      <c r="CT116" s="463"/>
      <c r="CU116" s="463"/>
      <c r="CW116" s="463"/>
      <c r="CX116" s="463"/>
      <c r="CY116" s="463"/>
      <c r="DA116" s="463"/>
      <c r="DB116" s="463"/>
      <c r="DC116" s="463"/>
      <c r="DD116" s="463"/>
      <c r="DE116" s="463"/>
      <c r="DF116" s="463"/>
      <c r="DH116" s="463"/>
      <c r="DI116" s="463"/>
      <c r="DJ116" s="463"/>
      <c r="DL116" s="463"/>
      <c r="DM116" s="463"/>
      <c r="DN116" s="463"/>
      <c r="DO116" s="463"/>
      <c r="DP116" s="463"/>
      <c r="DR116" s="463"/>
      <c r="DS116" s="463"/>
      <c r="DT116" s="463"/>
      <c r="DV116" s="463"/>
      <c r="DW116" s="463"/>
      <c r="DX116" s="463"/>
      <c r="DZ116" s="463"/>
      <c r="EA116" s="463"/>
      <c r="EB116" s="463"/>
      <c r="ED116" s="463"/>
      <c r="EE116" s="463"/>
      <c r="EF116" s="463"/>
      <c r="EH116" s="463"/>
      <c r="EI116" s="463"/>
      <c r="EJ116" s="463"/>
      <c r="EK116" s="463"/>
      <c r="EL116" s="463"/>
      <c r="EN116" s="463"/>
      <c r="EO116" s="463"/>
      <c r="EP116" s="463"/>
      <c r="ER116" s="463"/>
      <c r="ES116" s="463"/>
      <c r="ET116" s="463"/>
      <c r="EV116" s="463"/>
      <c r="EW116" s="463"/>
      <c r="EY116" s="463"/>
      <c r="EZ116" s="463"/>
      <c r="FA116" s="463"/>
      <c r="FB116" s="463"/>
      <c r="FC116" s="463"/>
      <c r="FD116" s="463"/>
      <c r="FE116" s="463"/>
      <c r="FF116" s="463"/>
      <c r="FG116" s="463"/>
      <c r="FH116" s="463"/>
      <c r="FI116" s="463"/>
      <c r="FJ116" s="463"/>
      <c r="FK116" s="463"/>
      <c r="FL116" s="463"/>
      <c r="FM116" s="463"/>
      <c r="FN116" s="463"/>
      <c r="FO116" s="463"/>
      <c r="FP116" s="463"/>
      <c r="FQ116" s="463"/>
      <c r="FS116" s="463"/>
      <c r="FT116" s="463"/>
      <c r="FU116" s="463"/>
      <c r="FV116" s="463"/>
      <c r="FW116" s="463"/>
      <c r="FX116" s="463"/>
      <c r="FY116" s="463"/>
      <c r="FZ116" s="463"/>
    </row>
    <row r="117" spans="1:182">
      <c r="A117" s="393"/>
      <c r="B117" s="493">
        <v>0.5</v>
      </c>
      <c r="C117" s="2">
        <v>1</v>
      </c>
      <c r="D117">
        <f t="shared" si="6"/>
        <v>79.788456080286537</v>
      </c>
      <c r="E117">
        <f t="shared" si="7"/>
        <v>0.5</v>
      </c>
      <c r="F117" s="492"/>
      <c r="G117" s="494"/>
      <c r="H117" s="2">
        <v>1</v>
      </c>
      <c r="J117">
        <f t="shared" si="8"/>
        <v>0</v>
      </c>
      <c r="K117" s="463"/>
      <c r="L117" s="463"/>
      <c r="M117" s="463"/>
      <c r="N117" s="463"/>
      <c r="O117" s="463"/>
      <c r="P117" s="463"/>
      <c r="Q117" s="463"/>
      <c r="R117" s="463"/>
      <c r="S117" s="463"/>
      <c r="T117" s="463"/>
      <c r="U117" s="463"/>
      <c r="V117" s="463"/>
      <c r="W117" s="463"/>
      <c r="X117" s="463"/>
      <c r="Y117" s="463"/>
      <c r="Z117" s="463"/>
      <c r="AA117" s="463"/>
      <c r="AB117" s="463"/>
      <c r="AD117" s="463"/>
      <c r="AE117" s="463"/>
      <c r="AG117" s="463"/>
      <c r="AI117" s="463"/>
      <c r="AJ117" s="463"/>
      <c r="AK117" s="463"/>
      <c r="AM117" s="463"/>
      <c r="AN117" s="463"/>
      <c r="AO117" s="463"/>
      <c r="AQ117" s="463"/>
      <c r="AR117" s="463"/>
      <c r="AS117" s="463"/>
      <c r="AT117" s="463"/>
      <c r="AU117" s="463"/>
      <c r="AV117" s="463"/>
      <c r="AX117" s="463"/>
      <c r="AY117" s="463"/>
      <c r="AZ117" s="463"/>
      <c r="BB117" s="463"/>
      <c r="BC117" s="463"/>
      <c r="BD117" s="463"/>
      <c r="BF117" s="463"/>
      <c r="BG117" s="463"/>
      <c r="BH117" s="463"/>
      <c r="BJ117" s="463"/>
      <c r="BK117" s="463"/>
      <c r="BL117" s="463"/>
      <c r="BN117" s="463"/>
      <c r="BO117" s="463"/>
      <c r="BP117" s="463"/>
      <c r="BQ117" s="463"/>
      <c r="BR117" s="463"/>
      <c r="BT117" s="463"/>
      <c r="BU117" s="463"/>
      <c r="BV117" s="463"/>
      <c r="BX117" s="463"/>
      <c r="BY117" s="463"/>
      <c r="BZ117" s="463"/>
      <c r="CB117" s="463"/>
      <c r="CC117" s="463"/>
      <c r="CD117" s="463"/>
      <c r="CF117" s="463"/>
      <c r="CG117" s="463"/>
      <c r="CH117" s="463"/>
      <c r="CJ117" s="463"/>
      <c r="CK117" s="463"/>
      <c r="CM117" s="463"/>
      <c r="CO117" s="463"/>
      <c r="CP117" s="463"/>
      <c r="CQ117" s="463"/>
      <c r="CS117" s="463"/>
      <c r="CT117" s="463"/>
      <c r="CU117" s="463"/>
      <c r="CW117" s="463"/>
      <c r="CX117" s="463"/>
      <c r="CY117" s="463"/>
      <c r="DA117" s="463"/>
      <c r="DB117" s="463"/>
      <c r="DC117" s="463"/>
      <c r="DD117" s="463"/>
      <c r="DE117" s="463"/>
      <c r="DF117" s="463"/>
      <c r="DH117" s="463"/>
      <c r="DI117" s="463"/>
      <c r="DJ117" s="463"/>
      <c r="DL117" s="463"/>
      <c r="DM117" s="463"/>
      <c r="DN117" s="463"/>
      <c r="DO117" s="463"/>
      <c r="DP117" s="463"/>
      <c r="DR117" s="463"/>
      <c r="DS117" s="463"/>
      <c r="DT117" s="463"/>
      <c r="DV117" s="463"/>
      <c r="DW117" s="463"/>
      <c r="DX117" s="463"/>
      <c r="DZ117" s="463"/>
      <c r="EA117" s="463"/>
      <c r="EB117" s="463"/>
      <c r="ED117" s="463"/>
      <c r="EE117" s="463"/>
      <c r="EF117" s="463"/>
      <c r="EH117" s="463"/>
      <c r="EI117" s="463"/>
      <c r="EJ117" s="463"/>
      <c r="EK117" s="463"/>
      <c r="EL117" s="463"/>
      <c r="EN117" s="463"/>
      <c r="EO117" s="463"/>
      <c r="EP117" s="463"/>
      <c r="ER117" s="463"/>
      <c r="ES117" s="463"/>
      <c r="ET117" s="463"/>
      <c r="EV117" s="463"/>
      <c r="EW117" s="463"/>
      <c r="EY117" s="463"/>
      <c r="EZ117" s="463"/>
      <c r="FA117" s="463"/>
      <c r="FB117" s="463"/>
      <c r="FC117" s="463"/>
      <c r="FD117" s="463"/>
      <c r="FE117" s="463"/>
      <c r="FF117" s="463"/>
      <c r="FG117" s="463"/>
      <c r="FH117" s="463"/>
      <c r="FI117" s="463"/>
      <c r="FJ117" s="463"/>
      <c r="FK117" s="463"/>
      <c r="FL117" s="463"/>
      <c r="FM117" s="463"/>
      <c r="FN117" s="463"/>
      <c r="FO117" s="463"/>
      <c r="FP117" s="463"/>
      <c r="FQ117" s="463"/>
      <c r="FS117" s="463"/>
      <c r="FT117" s="463"/>
      <c r="FU117" s="463"/>
      <c r="FV117" s="463"/>
      <c r="FW117" s="463"/>
      <c r="FX117" s="463"/>
      <c r="FY117" s="463"/>
      <c r="FZ117" s="463"/>
    </row>
    <row r="118" spans="1:182">
      <c r="A118" s="393"/>
      <c r="B118" s="493">
        <v>0.75</v>
      </c>
      <c r="C118" s="2">
        <v>1</v>
      </c>
      <c r="D118">
        <f t="shared" si="6"/>
        <v>97.72050238058398</v>
      </c>
      <c r="E118">
        <f t="shared" si="7"/>
        <v>0.74999999999999978</v>
      </c>
      <c r="F118" s="492"/>
      <c r="G118" s="494"/>
      <c r="H118" s="2">
        <v>1</v>
      </c>
      <c r="J118">
        <f t="shared" si="8"/>
        <v>0</v>
      </c>
      <c r="K118" s="463"/>
      <c r="L118" s="463"/>
      <c r="M118" s="463"/>
      <c r="N118" s="463"/>
      <c r="O118" s="463"/>
      <c r="P118" s="463"/>
      <c r="Q118" s="463"/>
      <c r="R118" s="463"/>
      <c r="S118" s="463"/>
      <c r="T118" s="463"/>
      <c r="U118" s="463"/>
      <c r="V118" s="463"/>
      <c r="W118" s="463"/>
      <c r="X118" s="463"/>
      <c r="Y118" s="463"/>
      <c r="Z118" s="463"/>
      <c r="AA118" s="463"/>
      <c r="AB118" s="463"/>
      <c r="AD118" s="463"/>
      <c r="AE118" s="463"/>
      <c r="AG118" s="463"/>
      <c r="AI118" s="463"/>
      <c r="AJ118" s="463"/>
      <c r="AK118" s="463"/>
      <c r="AM118" s="463"/>
      <c r="AN118" s="463"/>
      <c r="AO118" s="463"/>
      <c r="AQ118" s="463"/>
      <c r="AR118" s="463"/>
      <c r="AS118" s="463"/>
      <c r="AT118" s="463"/>
      <c r="AU118" s="463"/>
      <c r="AV118" s="463"/>
      <c r="AX118" s="463"/>
      <c r="AY118" s="463"/>
      <c r="AZ118" s="463"/>
      <c r="BB118" s="463"/>
      <c r="BC118" s="463"/>
      <c r="BD118" s="463"/>
      <c r="BF118" s="463"/>
      <c r="BG118" s="463"/>
      <c r="BH118" s="463"/>
      <c r="BJ118" s="463"/>
      <c r="BK118" s="463"/>
      <c r="BL118" s="463"/>
      <c r="BN118" s="463"/>
      <c r="BO118" s="463"/>
      <c r="BP118" s="463"/>
      <c r="BQ118" s="463"/>
      <c r="BR118" s="463"/>
      <c r="BT118" s="463"/>
      <c r="BU118" s="463"/>
      <c r="BV118" s="463"/>
      <c r="BX118" s="463"/>
      <c r="BY118" s="463"/>
      <c r="BZ118" s="463"/>
      <c r="CB118" s="463"/>
      <c r="CC118" s="463"/>
      <c r="CD118" s="463"/>
      <c r="CF118" s="463"/>
      <c r="CG118" s="463"/>
      <c r="CH118" s="463"/>
      <c r="CJ118" s="463"/>
      <c r="CK118" s="463"/>
      <c r="CM118" s="463"/>
      <c r="CO118" s="463"/>
      <c r="CP118" s="463"/>
      <c r="CQ118" s="463"/>
      <c r="CS118" s="463"/>
      <c r="CT118" s="463"/>
      <c r="CU118" s="463"/>
      <c r="CW118" s="463"/>
      <c r="CX118" s="463"/>
      <c r="CY118" s="463"/>
      <c r="DA118" s="463"/>
      <c r="DB118" s="463"/>
      <c r="DC118" s="463"/>
      <c r="DD118" s="463"/>
      <c r="DE118" s="463"/>
      <c r="DF118" s="463"/>
      <c r="DH118" s="463"/>
      <c r="DI118" s="463"/>
      <c r="DJ118" s="463"/>
      <c r="DL118" s="463"/>
      <c r="DM118" s="463"/>
      <c r="DN118" s="463"/>
      <c r="DO118" s="463"/>
      <c r="DP118" s="463"/>
      <c r="DR118" s="463"/>
      <c r="DS118" s="463"/>
      <c r="DT118" s="463"/>
      <c r="DV118" s="463"/>
      <c r="DW118" s="463"/>
      <c r="DX118" s="463"/>
      <c r="DZ118" s="463"/>
      <c r="EA118" s="463"/>
      <c r="EB118" s="463"/>
      <c r="ED118" s="463"/>
      <c r="EE118" s="463"/>
      <c r="EF118" s="463"/>
      <c r="EH118" s="463"/>
      <c r="EI118" s="463"/>
      <c r="EJ118" s="463"/>
      <c r="EK118" s="463"/>
      <c r="EL118" s="463"/>
      <c r="EN118" s="463"/>
      <c r="EO118" s="463"/>
      <c r="EP118" s="463"/>
      <c r="ER118" s="463"/>
      <c r="ES118" s="463"/>
      <c r="ET118" s="463"/>
      <c r="EV118" s="463"/>
      <c r="EW118" s="463"/>
      <c r="EY118" s="463"/>
      <c r="EZ118" s="463"/>
      <c r="FA118" s="463"/>
      <c r="FB118" s="463"/>
      <c r="FC118" s="463"/>
      <c r="FD118" s="463"/>
      <c r="FE118" s="463"/>
      <c r="FF118" s="463"/>
      <c r="FG118" s="463"/>
      <c r="FH118" s="463"/>
      <c r="FI118" s="463"/>
      <c r="FJ118" s="463"/>
      <c r="FK118" s="463"/>
      <c r="FL118" s="463"/>
      <c r="FM118" s="463"/>
      <c r="FN118" s="463"/>
      <c r="FO118" s="463"/>
      <c r="FP118" s="463"/>
      <c r="FQ118" s="463"/>
      <c r="FS118" s="463"/>
      <c r="FT118" s="463"/>
      <c r="FU118" s="463"/>
      <c r="FV118" s="463"/>
      <c r="FW118" s="463"/>
      <c r="FX118" s="463"/>
      <c r="FY118" s="463"/>
      <c r="FZ118" s="463"/>
    </row>
    <row r="119" spans="1:182">
      <c r="A119" s="393"/>
      <c r="B119" s="493">
        <v>1</v>
      </c>
      <c r="C119" s="2">
        <v>1</v>
      </c>
      <c r="D119">
        <f t="shared" si="6"/>
        <v>112.83791670955125</v>
      </c>
      <c r="E119">
        <f t="shared" si="7"/>
        <v>0.99999999999999978</v>
      </c>
      <c r="F119" s="495"/>
      <c r="G119" s="494"/>
      <c r="H119" s="2">
        <v>1</v>
      </c>
      <c r="J119">
        <f t="shared" si="8"/>
        <v>0</v>
      </c>
      <c r="K119" s="463"/>
      <c r="L119" s="463"/>
      <c r="M119" s="463"/>
      <c r="N119" s="463"/>
      <c r="O119" s="463"/>
      <c r="P119" s="463"/>
      <c r="Q119" s="463"/>
      <c r="R119" s="463"/>
      <c r="S119" s="463"/>
      <c r="T119" s="463"/>
      <c r="U119" s="463"/>
      <c r="V119" s="463"/>
      <c r="W119" s="463"/>
      <c r="X119" s="463"/>
      <c r="Y119" s="463"/>
      <c r="Z119" s="463"/>
      <c r="AA119" s="463"/>
      <c r="AB119" s="463"/>
      <c r="AD119" s="463"/>
      <c r="AE119" s="463"/>
      <c r="AG119" s="463"/>
      <c r="AI119" s="463"/>
      <c r="AJ119" s="463"/>
      <c r="AK119" s="463"/>
      <c r="AM119" s="463"/>
      <c r="AN119" s="463"/>
      <c r="AO119" s="463"/>
      <c r="AQ119" s="463"/>
      <c r="AR119" s="463"/>
      <c r="AS119" s="463"/>
      <c r="AT119" s="463"/>
      <c r="AU119" s="463"/>
      <c r="AV119" s="463"/>
      <c r="AX119" s="463"/>
      <c r="AY119" s="463"/>
      <c r="AZ119" s="463"/>
      <c r="BB119" s="463"/>
      <c r="BC119" s="463"/>
      <c r="BD119" s="463"/>
      <c r="BF119" s="463"/>
      <c r="BG119" s="463"/>
      <c r="BH119" s="463"/>
      <c r="BJ119" s="463"/>
      <c r="BK119" s="463"/>
      <c r="BL119" s="463"/>
      <c r="BN119" s="463"/>
      <c r="BO119" s="463"/>
      <c r="BP119" s="463"/>
      <c r="BQ119" s="463"/>
      <c r="BR119" s="463"/>
      <c r="BT119" s="463"/>
      <c r="BU119" s="463"/>
      <c r="BV119" s="463"/>
      <c r="BX119" s="463"/>
      <c r="BY119" s="463"/>
      <c r="BZ119" s="463"/>
      <c r="CB119" s="463"/>
      <c r="CC119" s="463"/>
      <c r="CD119" s="463"/>
      <c r="CF119" s="463"/>
      <c r="CG119" s="463"/>
      <c r="CH119" s="463"/>
      <c r="CJ119" s="463"/>
      <c r="CK119" s="463"/>
      <c r="CM119" s="463"/>
      <c r="CO119" s="463"/>
      <c r="CP119" s="463"/>
      <c r="CQ119" s="463"/>
      <c r="CS119" s="463"/>
      <c r="CT119" s="463"/>
      <c r="CU119" s="463"/>
      <c r="CW119" s="463"/>
      <c r="CX119" s="463"/>
      <c r="CY119" s="463"/>
      <c r="DA119" s="463"/>
      <c r="DB119" s="463"/>
      <c r="DC119" s="463"/>
      <c r="DD119" s="463"/>
      <c r="DE119" s="463"/>
      <c r="DF119" s="463"/>
      <c r="DH119" s="463"/>
      <c r="DI119" s="463"/>
      <c r="DJ119" s="463"/>
      <c r="DL119" s="463"/>
      <c r="DM119" s="463"/>
      <c r="DN119" s="463"/>
      <c r="DO119" s="463"/>
      <c r="DP119" s="463"/>
      <c r="DR119" s="463"/>
      <c r="DS119" s="463"/>
      <c r="DT119" s="463"/>
      <c r="DV119" s="463"/>
      <c r="DW119" s="463"/>
      <c r="DX119" s="463"/>
      <c r="DZ119" s="463"/>
      <c r="EA119" s="463"/>
      <c r="EB119" s="463"/>
      <c r="ED119" s="463"/>
      <c r="EE119" s="463"/>
      <c r="EF119" s="463"/>
      <c r="EH119" s="463"/>
      <c r="EI119" s="463"/>
      <c r="EJ119" s="463"/>
      <c r="EK119" s="463"/>
      <c r="EL119" s="463"/>
      <c r="EN119" s="463"/>
      <c r="EO119" s="463"/>
      <c r="EP119" s="463"/>
      <c r="ER119" s="463"/>
      <c r="ES119" s="463"/>
      <c r="ET119" s="463"/>
      <c r="EV119" s="463"/>
      <c r="EW119" s="463"/>
      <c r="EY119" s="463"/>
      <c r="EZ119" s="463"/>
      <c r="FA119" s="463"/>
      <c r="FB119" s="463"/>
      <c r="FC119" s="463"/>
      <c r="FD119" s="463"/>
      <c r="FE119" s="463"/>
      <c r="FF119" s="463"/>
      <c r="FG119" s="463"/>
      <c r="FH119" s="463"/>
      <c r="FI119" s="463"/>
      <c r="FJ119" s="463"/>
      <c r="FK119" s="463"/>
      <c r="FL119" s="463"/>
      <c r="FM119" s="463"/>
      <c r="FN119" s="463"/>
      <c r="FO119" s="463"/>
      <c r="FP119" s="463"/>
      <c r="FQ119" s="463"/>
      <c r="FS119" s="463"/>
      <c r="FT119" s="463"/>
      <c r="FU119" s="463"/>
      <c r="FV119" s="463"/>
      <c r="FW119" s="463"/>
      <c r="FX119" s="463"/>
      <c r="FY119" s="463"/>
      <c r="FZ119" s="463"/>
    </row>
    <row r="120" spans="1:182">
      <c r="A120" s="393"/>
      <c r="B120" s="493">
        <v>1.5</v>
      </c>
      <c r="C120" s="2">
        <v>1</v>
      </c>
      <c r="D120">
        <f t="shared" si="6"/>
        <v>138.1976597885342</v>
      </c>
      <c r="E120">
        <f t="shared" si="7"/>
        <v>1.5</v>
      </c>
      <c r="F120" s="495"/>
      <c r="G120" s="494"/>
      <c r="H120" s="2">
        <v>1</v>
      </c>
      <c r="J120">
        <f t="shared" si="8"/>
        <v>0</v>
      </c>
      <c r="K120" s="498"/>
      <c r="L120" s="463"/>
      <c r="M120" s="463"/>
      <c r="N120" s="463"/>
      <c r="O120" s="463"/>
      <c r="P120" s="463"/>
      <c r="Q120" s="463"/>
      <c r="R120" s="463"/>
      <c r="S120" s="463"/>
      <c r="T120" s="463"/>
      <c r="U120" s="463"/>
      <c r="V120" s="463"/>
      <c r="W120" s="463"/>
      <c r="X120" s="463"/>
      <c r="Y120" s="463"/>
      <c r="Z120" s="463"/>
      <c r="AA120" s="463"/>
      <c r="AB120" s="463"/>
      <c r="AD120" s="463"/>
      <c r="AE120" s="463"/>
      <c r="AG120" s="463"/>
      <c r="AI120" s="463"/>
      <c r="AJ120" s="463"/>
      <c r="AK120" s="463"/>
      <c r="AM120" s="463"/>
      <c r="AN120" s="463"/>
      <c r="AO120" s="463"/>
      <c r="AQ120" s="463"/>
      <c r="AR120" s="463"/>
      <c r="AS120" s="463"/>
      <c r="AT120" s="463"/>
      <c r="AU120" s="463"/>
      <c r="AV120" s="463"/>
      <c r="AX120" s="463"/>
      <c r="AY120" s="463"/>
      <c r="AZ120" s="463"/>
      <c r="BB120" s="463"/>
      <c r="BC120" s="463"/>
      <c r="BD120" s="463"/>
      <c r="BF120" s="463"/>
      <c r="BG120" s="463"/>
      <c r="BH120" s="463"/>
      <c r="BJ120" s="463"/>
      <c r="BK120" s="463"/>
      <c r="BL120" s="463"/>
      <c r="BN120" s="463"/>
      <c r="BO120" s="463"/>
      <c r="BP120" s="463"/>
      <c r="BQ120" s="463"/>
      <c r="BR120" s="463"/>
      <c r="BT120" s="463"/>
      <c r="BU120" s="463"/>
      <c r="BV120" s="463"/>
      <c r="BX120" s="463"/>
      <c r="BY120" s="463"/>
      <c r="BZ120" s="463"/>
      <c r="CB120" s="463"/>
      <c r="CC120" s="463"/>
      <c r="CD120" s="463"/>
      <c r="CF120" s="463"/>
      <c r="CG120" s="463"/>
      <c r="CH120" s="463"/>
      <c r="CJ120" s="463"/>
      <c r="CK120" s="463"/>
      <c r="CM120" s="463"/>
      <c r="CO120" s="463"/>
      <c r="CP120" s="463"/>
      <c r="CQ120" s="463"/>
      <c r="CS120" s="463"/>
      <c r="CT120" s="463"/>
      <c r="CU120" s="463"/>
      <c r="CW120" s="463"/>
      <c r="CX120" s="463"/>
      <c r="CY120" s="463"/>
      <c r="DA120" s="463"/>
      <c r="DB120" s="463"/>
      <c r="DC120" s="463"/>
      <c r="DD120" s="463"/>
      <c r="DE120" s="463"/>
      <c r="DF120" s="463"/>
      <c r="DH120" s="463"/>
      <c r="DI120" s="463"/>
      <c r="DJ120" s="463"/>
      <c r="DL120" s="463"/>
      <c r="DM120" s="463"/>
      <c r="DN120" s="463"/>
      <c r="DO120" s="463"/>
      <c r="DP120" s="463"/>
      <c r="DR120" s="463"/>
      <c r="DS120" s="463"/>
      <c r="DT120" s="463"/>
      <c r="DV120" s="463"/>
      <c r="DW120" s="463"/>
      <c r="DX120" s="463"/>
      <c r="DZ120" s="463"/>
      <c r="EA120" s="463"/>
      <c r="EB120" s="463"/>
      <c r="ED120" s="463"/>
      <c r="EE120" s="463"/>
      <c r="EF120" s="463"/>
      <c r="EH120" s="463"/>
      <c r="EI120" s="463"/>
      <c r="EJ120" s="463"/>
      <c r="EK120" s="463"/>
      <c r="EL120" s="463"/>
      <c r="EN120" s="463"/>
      <c r="EO120" s="463"/>
      <c r="EP120" s="463"/>
      <c r="ER120" s="463"/>
      <c r="ES120" s="463"/>
      <c r="ET120" s="463"/>
      <c r="EV120" s="463"/>
      <c r="EW120" s="463"/>
      <c r="EY120" s="463"/>
      <c r="EZ120" s="463"/>
      <c r="FA120" s="463"/>
      <c r="FB120" s="463"/>
      <c r="FC120" s="463"/>
      <c r="FD120" s="463"/>
      <c r="FE120" s="463"/>
      <c r="FF120" s="463"/>
      <c r="FG120" s="463"/>
      <c r="FH120" s="463"/>
      <c r="FI120" s="463"/>
      <c r="FJ120" s="463"/>
      <c r="FK120" s="463"/>
      <c r="FL120" s="463"/>
      <c r="FM120" s="463"/>
      <c r="FN120" s="463"/>
      <c r="FO120" s="463"/>
      <c r="FP120" s="463"/>
      <c r="FQ120" s="463"/>
      <c r="FS120" s="463"/>
      <c r="FT120" s="463"/>
      <c r="FU120" s="463"/>
      <c r="FV120" s="463"/>
      <c r="FW120" s="463"/>
      <c r="FX120" s="463"/>
      <c r="FY120" s="463"/>
      <c r="FZ120" s="463"/>
    </row>
    <row r="121" spans="1:182">
      <c r="A121" s="393"/>
      <c r="B121" s="493">
        <v>2.5</v>
      </c>
      <c r="C121" s="2">
        <v>1</v>
      </c>
      <c r="D121">
        <f t="shared" si="6"/>
        <v>178.41241161527711</v>
      </c>
      <c r="E121">
        <f t="shared" si="7"/>
        <v>2.5</v>
      </c>
      <c r="F121" s="495"/>
      <c r="G121" s="494"/>
      <c r="H121" s="2">
        <v>1</v>
      </c>
      <c r="J121">
        <f t="shared" si="8"/>
        <v>0</v>
      </c>
      <c r="K121" s="498"/>
      <c r="L121" s="498"/>
      <c r="M121" s="463"/>
      <c r="N121" s="463"/>
      <c r="O121" s="463"/>
      <c r="P121" s="463"/>
      <c r="Q121" s="463"/>
      <c r="R121" s="463"/>
      <c r="S121" s="463"/>
      <c r="T121" s="463"/>
      <c r="U121" s="463"/>
      <c r="V121" s="463"/>
      <c r="W121" s="463"/>
      <c r="X121" s="463"/>
      <c r="Y121" s="463"/>
      <c r="Z121" s="463"/>
      <c r="AA121" s="463"/>
      <c r="AB121" s="463"/>
      <c r="AD121" s="463"/>
      <c r="AE121" s="463"/>
      <c r="AG121" s="463"/>
      <c r="AI121" s="463"/>
      <c r="AJ121" s="463"/>
      <c r="AK121" s="463"/>
      <c r="AM121" s="463"/>
      <c r="AN121" s="463"/>
      <c r="AO121" s="463"/>
      <c r="AQ121" s="463"/>
      <c r="AR121" s="463"/>
      <c r="AS121" s="463"/>
      <c r="AT121" s="463"/>
      <c r="AU121" s="463"/>
      <c r="AV121" s="463"/>
      <c r="AX121" s="463"/>
      <c r="AY121" s="463"/>
      <c r="AZ121" s="463"/>
      <c r="BB121" s="463"/>
      <c r="BC121" s="463"/>
      <c r="BD121" s="463"/>
      <c r="BF121" s="463"/>
      <c r="BG121" s="463"/>
      <c r="BH121" s="463"/>
      <c r="BJ121" s="463"/>
      <c r="BK121" s="463"/>
      <c r="BL121" s="463"/>
      <c r="BN121" s="463"/>
      <c r="BO121" s="463"/>
      <c r="BP121" s="463"/>
      <c r="BQ121" s="463"/>
      <c r="BR121" s="463"/>
      <c r="BT121" s="463"/>
      <c r="BU121" s="463"/>
      <c r="BV121" s="463"/>
      <c r="BX121" s="463"/>
      <c r="BY121" s="463"/>
      <c r="BZ121" s="463"/>
      <c r="CB121" s="463"/>
      <c r="CC121" s="463"/>
      <c r="CD121" s="463"/>
      <c r="CF121" s="463"/>
      <c r="CG121" s="463"/>
      <c r="CH121" s="463"/>
      <c r="CJ121" s="463"/>
      <c r="CK121" s="463"/>
      <c r="CM121" s="463"/>
      <c r="CO121" s="463"/>
      <c r="CP121" s="463"/>
      <c r="CQ121" s="463"/>
      <c r="CS121" s="463"/>
      <c r="CT121" s="463"/>
      <c r="CU121" s="463"/>
      <c r="CW121" s="463"/>
      <c r="CX121" s="463"/>
      <c r="CY121" s="463"/>
      <c r="DA121" s="463"/>
      <c r="DB121" s="463"/>
      <c r="DC121" s="463"/>
      <c r="DD121" s="463"/>
      <c r="DE121" s="463"/>
      <c r="DF121" s="463"/>
      <c r="DH121" s="463"/>
      <c r="DI121" s="463"/>
      <c r="DJ121" s="463"/>
      <c r="DL121" s="463"/>
      <c r="DM121" s="463"/>
      <c r="DN121" s="463"/>
      <c r="DO121" s="463"/>
      <c r="DP121" s="463"/>
      <c r="DR121" s="463"/>
      <c r="DS121" s="463"/>
      <c r="DT121" s="463"/>
      <c r="DV121" s="463"/>
      <c r="DW121" s="463"/>
      <c r="DX121" s="463"/>
      <c r="DZ121" s="463"/>
      <c r="EA121" s="463"/>
      <c r="EB121" s="463"/>
      <c r="ED121" s="463"/>
      <c r="EE121" s="463"/>
      <c r="EF121" s="463"/>
      <c r="EH121" s="463"/>
      <c r="EI121" s="463"/>
      <c r="EJ121" s="463"/>
      <c r="EK121" s="463"/>
      <c r="EL121" s="463"/>
      <c r="EN121" s="463"/>
      <c r="EO121" s="463"/>
      <c r="EP121" s="463"/>
      <c r="ER121" s="463"/>
      <c r="ES121" s="463"/>
      <c r="ET121" s="463"/>
      <c r="EV121" s="463"/>
      <c r="EW121" s="463"/>
      <c r="EY121" s="463"/>
      <c r="EZ121" s="463"/>
      <c r="FA121" s="463"/>
      <c r="FB121" s="463"/>
      <c r="FC121" s="463"/>
      <c r="FD121" s="463"/>
      <c r="FE121" s="463"/>
      <c r="FF121" s="463"/>
      <c r="FG121" s="463"/>
      <c r="FH121" s="463"/>
      <c r="FI121" s="463"/>
      <c r="FJ121" s="463"/>
      <c r="FK121" s="463"/>
      <c r="FL121" s="463"/>
      <c r="FM121" s="463"/>
      <c r="FN121" s="463"/>
      <c r="FO121" s="463"/>
      <c r="FP121" s="463"/>
      <c r="FQ121" s="463"/>
      <c r="FS121" s="463"/>
      <c r="FT121" s="463"/>
      <c r="FU121" s="463"/>
      <c r="FV121" s="463"/>
      <c r="FW121" s="463"/>
      <c r="FX121" s="463"/>
      <c r="FY121" s="463"/>
      <c r="FZ121" s="463"/>
    </row>
    <row r="122" spans="1:182">
      <c r="A122" s="393"/>
      <c r="B122" s="493">
        <v>4</v>
      </c>
      <c r="C122" s="2">
        <v>1</v>
      </c>
      <c r="D122">
        <f t="shared" si="6"/>
        <v>225.6758334191025</v>
      </c>
      <c r="E122">
        <f t="shared" si="7"/>
        <v>3.9999999999999991</v>
      </c>
      <c r="F122" s="495"/>
      <c r="G122" s="494"/>
      <c r="H122" s="2">
        <v>1</v>
      </c>
      <c r="J122">
        <f t="shared" si="8"/>
        <v>0</v>
      </c>
      <c r="K122" s="498"/>
      <c r="L122" s="498"/>
      <c r="M122" s="463"/>
      <c r="N122" s="463"/>
      <c r="O122" s="463"/>
      <c r="P122" s="463"/>
      <c r="Q122" s="463"/>
      <c r="R122" s="463"/>
      <c r="S122" s="463"/>
      <c r="T122" s="463"/>
      <c r="U122" s="463"/>
      <c r="V122" s="463"/>
      <c r="W122" s="463"/>
      <c r="X122" s="463"/>
      <c r="Y122" s="463"/>
      <c r="Z122" s="463"/>
      <c r="AA122" s="463"/>
      <c r="AB122" s="463"/>
      <c r="AD122" s="463"/>
      <c r="AE122" s="463"/>
      <c r="AG122" s="463"/>
      <c r="AI122" s="463"/>
      <c r="AJ122" s="463"/>
      <c r="AK122" s="463"/>
      <c r="AM122" s="463"/>
      <c r="AN122" s="463"/>
      <c r="AO122" s="463"/>
      <c r="AQ122" s="463"/>
      <c r="AR122" s="463"/>
      <c r="AS122" s="463"/>
      <c r="AT122" s="463"/>
      <c r="AU122" s="463"/>
      <c r="AV122" s="463"/>
      <c r="AX122" s="463"/>
      <c r="AY122" s="463"/>
      <c r="AZ122" s="463"/>
      <c r="BB122" s="463"/>
      <c r="BC122" s="463"/>
      <c r="BD122" s="463"/>
      <c r="BF122" s="463"/>
      <c r="BG122" s="463"/>
      <c r="BH122" s="463"/>
      <c r="BJ122" s="463"/>
      <c r="BK122" s="463"/>
      <c r="BL122" s="463"/>
      <c r="BN122" s="463"/>
      <c r="BO122" s="463"/>
      <c r="BP122" s="463"/>
      <c r="BQ122" s="463"/>
      <c r="BR122" s="463"/>
      <c r="BT122" s="463"/>
      <c r="BU122" s="463"/>
      <c r="BV122" s="463"/>
      <c r="BX122" s="463"/>
      <c r="BY122" s="463"/>
      <c r="BZ122" s="463"/>
      <c r="CB122" s="463"/>
      <c r="CC122" s="463"/>
      <c r="CD122" s="463"/>
      <c r="CF122" s="463"/>
      <c r="CG122" s="463"/>
      <c r="CH122" s="463"/>
      <c r="CJ122" s="463"/>
      <c r="CK122" s="463"/>
      <c r="CM122" s="463"/>
      <c r="CO122" s="463"/>
      <c r="CP122" s="463"/>
      <c r="CQ122" s="463"/>
      <c r="CS122" s="463"/>
      <c r="CT122" s="463"/>
      <c r="CU122" s="463"/>
      <c r="CW122" s="463"/>
      <c r="CX122" s="463"/>
      <c r="CY122" s="463"/>
      <c r="DA122" s="463"/>
      <c r="DB122" s="463"/>
      <c r="DC122" s="463"/>
      <c r="DD122" s="463"/>
      <c r="DE122" s="463"/>
      <c r="DF122" s="463"/>
      <c r="DH122" s="463"/>
      <c r="DI122" s="463"/>
      <c r="DJ122" s="463"/>
      <c r="DL122" s="463"/>
      <c r="DM122" s="463"/>
      <c r="DN122" s="463"/>
      <c r="DO122" s="463"/>
      <c r="DP122" s="463"/>
      <c r="DR122" s="463"/>
      <c r="DS122" s="463"/>
      <c r="DT122" s="463"/>
      <c r="DV122" s="463"/>
      <c r="DW122" s="463"/>
      <c r="DX122" s="463"/>
      <c r="DZ122" s="463"/>
      <c r="EA122" s="463"/>
      <c r="EB122" s="463"/>
      <c r="ED122" s="463"/>
      <c r="EE122" s="463"/>
      <c r="EF122" s="463"/>
      <c r="EH122" s="463"/>
      <c r="EI122" s="463"/>
      <c r="EJ122" s="463"/>
      <c r="EK122" s="463"/>
      <c r="EL122" s="463"/>
      <c r="EN122" s="463"/>
      <c r="EO122" s="463"/>
      <c r="EP122" s="463"/>
      <c r="ER122" s="463"/>
      <c r="ES122" s="463"/>
      <c r="ET122" s="463"/>
      <c r="EV122" s="463"/>
      <c r="EW122" s="463"/>
      <c r="EY122" s="463"/>
      <c r="EZ122" s="463"/>
      <c r="FA122" s="463"/>
      <c r="FB122" s="463"/>
      <c r="FC122" s="463"/>
      <c r="FD122" s="463"/>
      <c r="FE122" s="463"/>
      <c r="FF122" s="463"/>
      <c r="FG122" s="463"/>
      <c r="FH122" s="463"/>
      <c r="FI122" s="463"/>
      <c r="FJ122" s="463"/>
      <c r="FK122" s="463"/>
      <c r="FL122" s="463"/>
      <c r="FM122" s="463"/>
      <c r="FN122" s="463"/>
      <c r="FO122" s="463"/>
      <c r="FP122" s="463"/>
      <c r="FQ122" s="463"/>
      <c r="FS122" s="463"/>
      <c r="FT122" s="463"/>
      <c r="FU122" s="463"/>
      <c r="FV122" s="463"/>
      <c r="FW122" s="463"/>
      <c r="FX122" s="463"/>
      <c r="FY122" s="463"/>
      <c r="FZ122" s="463"/>
    </row>
    <row r="123" spans="1:182">
      <c r="A123" s="393"/>
      <c r="B123" s="493">
        <v>6</v>
      </c>
      <c r="C123" s="2">
        <v>1</v>
      </c>
      <c r="D123">
        <f t="shared" si="6"/>
        <v>276.39531957706839</v>
      </c>
      <c r="E123">
        <f t="shared" si="7"/>
        <v>6</v>
      </c>
      <c r="F123" s="495"/>
      <c r="G123" s="494"/>
      <c r="H123" s="2">
        <v>1</v>
      </c>
      <c r="J123">
        <f t="shared" si="8"/>
        <v>0</v>
      </c>
      <c r="K123" s="498"/>
      <c r="L123" s="498"/>
      <c r="M123" s="463"/>
      <c r="N123" s="463"/>
      <c r="O123" s="463"/>
      <c r="P123" s="463"/>
      <c r="Q123" s="463"/>
      <c r="R123" s="463"/>
      <c r="S123" s="463"/>
      <c r="T123" s="463"/>
      <c r="U123" s="463"/>
      <c r="V123" s="463"/>
      <c r="W123" s="463"/>
      <c r="X123" s="463"/>
      <c r="Y123" s="463"/>
      <c r="Z123" s="463"/>
      <c r="AA123" s="463"/>
      <c r="AB123" s="463"/>
      <c r="AD123" s="463"/>
      <c r="AE123" s="463"/>
      <c r="AG123" s="463"/>
      <c r="AI123" s="463"/>
      <c r="AJ123" s="463"/>
      <c r="AK123" s="463"/>
      <c r="AM123" s="463"/>
      <c r="AN123" s="463"/>
      <c r="AO123" s="463"/>
      <c r="AQ123" s="463"/>
      <c r="AR123" s="463"/>
      <c r="AS123" s="463"/>
      <c r="AT123" s="463"/>
      <c r="AU123" s="463"/>
      <c r="AV123" s="463"/>
      <c r="AX123" s="463"/>
      <c r="AY123" s="463"/>
      <c r="AZ123" s="463"/>
      <c r="BB123" s="463"/>
      <c r="BC123" s="463"/>
      <c r="BD123" s="463"/>
      <c r="BF123" s="463"/>
      <c r="BG123" s="463"/>
      <c r="BH123" s="463"/>
      <c r="BJ123" s="463"/>
      <c r="BK123" s="463"/>
      <c r="BL123" s="463"/>
      <c r="BN123" s="463"/>
      <c r="BO123" s="463"/>
      <c r="BP123" s="463"/>
      <c r="BQ123" s="463"/>
      <c r="BR123" s="463"/>
      <c r="BT123" s="463"/>
      <c r="BU123" s="463"/>
      <c r="BV123" s="463"/>
      <c r="BX123" s="463"/>
      <c r="BY123" s="463"/>
      <c r="BZ123" s="463"/>
      <c r="CB123" s="463"/>
      <c r="CC123" s="463"/>
      <c r="CD123" s="463"/>
      <c r="CF123" s="463"/>
      <c r="CG123" s="463"/>
      <c r="CH123" s="463"/>
      <c r="CJ123" s="463"/>
      <c r="CK123" s="463"/>
      <c r="CM123" s="463"/>
      <c r="CO123" s="463"/>
      <c r="CP123" s="463"/>
      <c r="CQ123" s="463"/>
      <c r="CS123" s="463"/>
      <c r="CT123" s="463"/>
      <c r="CU123" s="463"/>
      <c r="CW123" s="463"/>
      <c r="CX123" s="463"/>
      <c r="CY123" s="463"/>
      <c r="DA123" s="463"/>
      <c r="DB123" s="463"/>
      <c r="DC123" s="463"/>
      <c r="DD123" s="463"/>
      <c r="DE123" s="463"/>
      <c r="DF123" s="463"/>
      <c r="DH123" s="463"/>
      <c r="DI123" s="463"/>
      <c r="DJ123" s="463"/>
      <c r="DL123" s="463"/>
      <c r="DM123" s="463"/>
      <c r="DN123" s="463"/>
      <c r="DO123" s="463"/>
      <c r="DP123" s="463"/>
      <c r="DR123" s="463"/>
      <c r="DS123" s="463"/>
      <c r="DT123" s="463"/>
      <c r="DV123" s="463"/>
      <c r="DW123" s="463"/>
      <c r="DX123" s="463"/>
      <c r="DZ123" s="463"/>
      <c r="EA123" s="463"/>
      <c r="EB123" s="463"/>
      <c r="ED123" s="463"/>
      <c r="EE123" s="463"/>
      <c r="EF123" s="463"/>
      <c r="EH123" s="463"/>
      <c r="EI123" s="463"/>
      <c r="EJ123" s="463"/>
      <c r="EK123" s="463"/>
      <c r="EL123" s="463"/>
      <c r="EN123" s="463"/>
      <c r="EO123" s="463"/>
      <c r="EP123" s="463"/>
      <c r="ER123" s="463"/>
      <c r="ES123" s="463"/>
      <c r="ET123" s="463"/>
      <c r="EV123" s="463"/>
      <c r="EW123" s="463"/>
      <c r="EY123" s="463"/>
      <c r="EZ123" s="463"/>
      <c r="FA123" s="463"/>
      <c r="FB123" s="463"/>
      <c r="FC123" s="463"/>
      <c r="FD123" s="463"/>
      <c r="FE123" s="463"/>
      <c r="FF123" s="463"/>
      <c r="FG123" s="463"/>
      <c r="FH123" s="463"/>
      <c r="FI123" s="463"/>
      <c r="FJ123" s="463"/>
      <c r="FK123" s="463"/>
      <c r="FL123" s="463"/>
      <c r="FM123" s="463"/>
      <c r="FN123" s="463"/>
      <c r="FO123" s="463"/>
      <c r="FP123" s="463"/>
      <c r="FQ123" s="463"/>
      <c r="FS123" s="463"/>
      <c r="FT123" s="463"/>
      <c r="FU123" s="463"/>
      <c r="FV123" s="463"/>
      <c r="FW123" s="463"/>
      <c r="FX123" s="463"/>
      <c r="FY123" s="463"/>
      <c r="FZ123" s="463"/>
    </row>
    <row r="124" spans="1:182">
      <c r="A124" s="393"/>
      <c r="B124" s="493">
        <v>10</v>
      </c>
      <c r="C124" s="2">
        <v>7</v>
      </c>
      <c r="D124">
        <f t="shared" si="6"/>
        <v>134.86710626894708</v>
      </c>
      <c r="E124">
        <f t="shared" si="7"/>
        <v>9.9999999999999982</v>
      </c>
      <c r="F124" s="495"/>
      <c r="G124" s="494"/>
      <c r="H124" s="2">
        <v>7</v>
      </c>
      <c r="I124">
        <v>225</v>
      </c>
      <c r="J124">
        <f t="shared" si="8"/>
        <v>27.832547415397073</v>
      </c>
      <c r="K124" s="498"/>
      <c r="L124" s="498"/>
      <c r="M124" s="463"/>
      <c r="N124" s="463"/>
      <c r="O124" s="463"/>
      <c r="P124" s="463"/>
      <c r="Q124" s="463"/>
      <c r="R124" s="463"/>
      <c r="S124" s="463"/>
      <c r="T124" s="463"/>
      <c r="U124" s="463"/>
      <c r="V124" s="463"/>
      <c r="W124" s="463"/>
      <c r="X124" s="463"/>
      <c r="Y124" s="463"/>
      <c r="Z124" s="463"/>
      <c r="AA124" s="463"/>
      <c r="AB124" s="463"/>
      <c r="AD124" s="463"/>
      <c r="AE124" s="463"/>
      <c r="AG124" s="463"/>
      <c r="AI124" s="463"/>
      <c r="AJ124" s="463"/>
      <c r="AK124" s="463"/>
      <c r="AM124" s="463"/>
      <c r="AN124" s="463"/>
      <c r="AO124" s="463"/>
      <c r="AQ124" s="463"/>
      <c r="AR124" s="463"/>
      <c r="AS124" s="463"/>
      <c r="AT124" s="463"/>
      <c r="AU124" s="463"/>
      <c r="AV124" s="463"/>
      <c r="AX124" s="463"/>
      <c r="AY124" s="463"/>
      <c r="AZ124" s="463"/>
      <c r="BB124" s="463"/>
      <c r="BC124" s="463"/>
      <c r="BD124" s="463"/>
      <c r="BF124" s="463"/>
      <c r="BG124" s="463"/>
      <c r="BH124" s="463"/>
      <c r="BJ124" s="463"/>
      <c r="BK124" s="463"/>
      <c r="BL124" s="463"/>
      <c r="BN124" s="463"/>
      <c r="BO124" s="463"/>
      <c r="BP124" s="463"/>
      <c r="BQ124" s="463"/>
      <c r="BR124" s="463"/>
      <c r="BT124" s="463"/>
      <c r="BU124" s="463"/>
      <c r="BV124" s="463"/>
      <c r="BX124" s="463"/>
      <c r="BY124" s="463"/>
      <c r="BZ124" s="463"/>
      <c r="CB124" s="463"/>
      <c r="CC124" s="463"/>
      <c r="CD124" s="463"/>
      <c r="CF124" s="463"/>
      <c r="CG124" s="463"/>
      <c r="CH124" s="463"/>
      <c r="CJ124" s="463"/>
      <c r="CK124" s="463"/>
      <c r="CM124" s="463"/>
      <c r="CO124" s="463"/>
      <c r="CP124" s="463"/>
      <c r="CQ124" s="463"/>
      <c r="CS124" s="463"/>
      <c r="CT124" s="463"/>
      <c r="CU124" s="463"/>
      <c r="CW124" s="463"/>
      <c r="CX124" s="463"/>
      <c r="CY124" s="463"/>
      <c r="DA124" s="463"/>
      <c r="DB124" s="463"/>
      <c r="DC124" s="463"/>
      <c r="DD124" s="463"/>
      <c r="DE124" s="463"/>
      <c r="DF124" s="463"/>
      <c r="DH124" s="463"/>
      <c r="DI124" s="463"/>
      <c r="DJ124" s="463"/>
      <c r="DL124" s="463"/>
      <c r="DM124" s="463"/>
      <c r="DN124" s="463"/>
      <c r="DO124" s="463"/>
      <c r="DP124" s="463"/>
      <c r="DR124" s="463"/>
      <c r="DS124" s="463"/>
      <c r="DT124" s="463"/>
      <c r="DV124" s="463"/>
      <c r="DW124" s="463"/>
      <c r="DX124" s="463"/>
      <c r="DZ124" s="463"/>
      <c r="EA124" s="463"/>
      <c r="EB124" s="463"/>
      <c r="ED124" s="463"/>
      <c r="EE124" s="463"/>
      <c r="EF124" s="463"/>
      <c r="EH124" s="463"/>
      <c r="EI124" s="463"/>
      <c r="EJ124" s="463"/>
      <c r="EK124" s="463"/>
      <c r="EL124" s="463"/>
      <c r="EN124" s="463"/>
      <c r="EO124" s="463"/>
      <c r="EP124" s="463"/>
      <c r="ER124" s="463"/>
      <c r="ES124" s="463"/>
      <c r="ET124" s="463"/>
      <c r="EV124" s="463"/>
      <c r="EW124" s="463"/>
      <c r="EY124" s="463"/>
      <c r="EZ124" s="463"/>
      <c r="FA124" s="463"/>
      <c r="FB124" s="463"/>
      <c r="FC124" s="463"/>
      <c r="FD124" s="463"/>
      <c r="FE124" s="463"/>
      <c r="FF124" s="463"/>
      <c r="FG124" s="463"/>
      <c r="FH124" s="463"/>
      <c r="FI124" s="463"/>
      <c r="FJ124" s="463"/>
      <c r="FK124" s="463"/>
      <c r="FL124" s="463"/>
      <c r="FM124" s="463"/>
      <c r="FN124" s="463"/>
      <c r="FO124" s="463"/>
      <c r="FP124" s="463"/>
      <c r="FQ124" s="463"/>
      <c r="FS124" s="463"/>
      <c r="FT124" s="463"/>
      <c r="FU124" s="463"/>
      <c r="FV124" s="463"/>
      <c r="FW124" s="463"/>
      <c r="FX124" s="463"/>
      <c r="FY124" s="463"/>
      <c r="FZ124" s="463"/>
    </row>
    <row r="125" spans="1:182">
      <c r="A125" s="393"/>
      <c r="B125" s="493">
        <v>16</v>
      </c>
      <c r="C125" s="2">
        <v>7</v>
      </c>
      <c r="D125">
        <f t="shared" si="6"/>
        <v>170.59489489833845</v>
      </c>
      <c r="E125">
        <f t="shared" si="7"/>
        <v>15.999999999999996</v>
      </c>
      <c r="F125" s="495"/>
      <c r="G125" s="494"/>
      <c r="H125" s="2">
        <v>7</v>
      </c>
      <c r="I125">
        <v>156</v>
      </c>
      <c r="J125">
        <f t="shared" si="8"/>
        <v>13.379414793108209</v>
      </c>
      <c r="K125" s="498"/>
      <c r="L125" s="498"/>
      <c r="M125" s="463"/>
      <c r="N125" s="463"/>
      <c r="O125" s="463"/>
      <c r="P125" s="463"/>
      <c r="Q125" s="463"/>
      <c r="R125" s="463"/>
      <c r="S125" s="463"/>
      <c r="T125" s="463"/>
      <c r="U125" s="463"/>
      <c r="V125" s="463"/>
      <c r="W125" s="463"/>
      <c r="X125" s="463"/>
      <c r="Y125" s="463"/>
      <c r="Z125" s="463"/>
      <c r="AA125" s="463"/>
      <c r="AB125" s="463"/>
      <c r="AD125" s="463"/>
      <c r="AE125" s="463"/>
      <c r="AG125" s="463"/>
      <c r="AI125" s="463"/>
      <c r="AJ125" s="463"/>
      <c r="AK125" s="463"/>
      <c r="AM125" s="463"/>
      <c r="AN125" s="463"/>
      <c r="AO125" s="463"/>
      <c r="AQ125" s="463"/>
      <c r="AR125" s="463"/>
      <c r="AS125" s="463"/>
      <c r="AT125" s="463"/>
      <c r="AU125" s="463"/>
      <c r="AV125" s="463"/>
      <c r="AX125" s="463"/>
      <c r="AY125" s="463"/>
      <c r="AZ125" s="463"/>
      <c r="BB125" s="463"/>
      <c r="BC125" s="463"/>
      <c r="BD125" s="463"/>
      <c r="BF125" s="463"/>
      <c r="BG125" s="463"/>
      <c r="BH125" s="463"/>
      <c r="BJ125" s="463"/>
      <c r="BK125" s="463"/>
      <c r="BL125" s="463"/>
      <c r="BN125" s="463"/>
      <c r="BO125" s="463"/>
      <c r="BP125" s="463"/>
      <c r="BQ125" s="463"/>
      <c r="BR125" s="463"/>
      <c r="BT125" s="463"/>
      <c r="BU125" s="463"/>
      <c r="BV125" s="463"/>
      <c r="BX125" s="463"/>
      <c r="BY125" s="463"/>
      <c r="BZ125" s="463"/>
      <c r="CB125" s="463"/>
      <c r="CC125" s="463"/>
      <c r="CD125" s="463"/>
      <c r="CF125" s="463"/>
      <c r="CG125" s="463"/>
      <c r="CH125" s="463"/>
      <c r="CJ125" s="463"/>
      <c r="CK125" s="463"/>
      <c r="CM125" s="463"/>
      <c r="CO125" s="463"/>
      <c r="CP125" s="463"/>
      <c r="CQ125" s="463"/>
      <c r="CS125" s="463"/>
      <c r="CT125" s="463"/>
      <c r="CU125" s="463"/>
      <c r="CW125" s="463"/>
      <c r="CX125" s="463"/>
      <c r="CY125" s="463"/>
      <c r="DA125" s="463"/>
      <c r="DB125" s="463"/>
      <c r="DC125" s="463"/>
      <c r="DD125" s="463"/>
      <c r="DE125" s="463"/>
      <c r="DF125" s="463"/>
      <c r="DH125" s="463"/>
      <c r="DI125" s="463"/>
      <c r="DJ125" s="463"/>
      <c r="DL125" s="463"/>
      <c r="DM125" s="463"/>
      <c r="DN125" s="463"/>
      <c r="DO125" s="463"/>
      <c r="DP125" s="463"/>
      <c r="DR125" s="463"/>
      <c r="DS125" s="463"/>
      <c r="DT125" s="463"/>
      <c r="DV125" s="463"/>
      <c r="DW125" s="463"/>
      <c r="DX125" s="463"/>
      <c r="DZ125" s="463"/>
      <c r="EA125" s="463"/>
      <c r="EB125" s="463"/>
      <c r="ED125" s="463"/>
      <c r="EE125" s="463"/>
      <c r="EF125" s="463"/>
      <c r="EH125" s="463"/>
      <c r="EI125" s="463"/>
      <c r="EJ125" s="463"/>
      <c r="EK125" s="463"/>
      <c r="EL125" s="463"/>
      <c r="EN125" s="463"/>
      <c r="EO125" s="463"/>
      <c r="EP125" s="463"/>
      <c r="ER125" s="463"/>
      <c r="ES125" s="463"/>
      <c r="ET125" s="463"/>
      <c r="EV125" s="463"/>
      <c r="EW125" s="463"/>
      <c r="EY125" s="463"/>
      <c r="EZ125" s="463"/>
      <c r="FA125" s="463"/>
      <c r="FB125" s="463"/>
      <c r="FC125" s="463"/>
      <c r="FD125" s="463"/>
      <c r="FE125" s="463"/>
      <c r="FF125" s="463"/>
      <c r="FG125" s="463"/>
      <c r="FH125" s="463"/>
      <c r="FI125" s="463"/>
      <c r="FJ125" s="463"/>
      <c r="FK125" s="463"/>
      <c r="FL125" s="463"/>
      <c r="FM125" s="463"/>
      <c r="FN125" s="463"/>
      <c r="FO125" s="463"/>
      <c r="FP125" s="463"/>
      <c r="FQ125" s="463"/>
      <c r="FS125" s="463"/>
      <c r="FT125" s="463"/>
      <c r="FU125" s="463"/>
      <c r="FV125" s="463"/>
      <c r="FW125" s="463"/>
      <c r="FX125" s="463"/>
      <c r="FY125" s="463"/>
      <c r="FZ125" s="463"/>
    </row>
    <row r="126" spans="1:182">
      <c r="A126" s="393"/>
      <c r="B126" s="493">
        <v>25</v>
      </c>
      <c r="C126" s="2">
        <v>7</v>
      </c>
      <c r="D126">
        <f t="shared" si="6"/>
        <v>213.24361862292309</v>
      </c>
      <c r="E126">
        <f t="shared" si="7"/>
        <v>25.000000000000004</v>
      </c>
      <c r="F126" s="495"/>
      <c r="G126" s="494"/>
      <c r="H126" s="2">
        <v>7</v>
      </c>
      <c r="J126">
        <f t="shared" si="8"/>
        <v>0</v>
      </c>
      <c r="K126" s="498"/>
      <c r="L126" s="498"/>
      <c r="M126" s="463"/>
      <c r="N126" s="463"/>
      <c r="O126" s="463"/>
      <c r="P126" s="463"/>
      <c r="Q126" s="463"/>
      <c r="R126" s="463"/>
      <c r="S126" s="463"/>
      <c r="T126" s="463"/>
      <c r="U126" s="463"/>
      <c r="V126" s="463"/>
      <c r="W126" s="463"/>
      <c r="X126" s="463"/>
      <c r="Y126" s="463"/>
      <c r="Z126" s="463"/>
      <c r="AA126" s="463"/>
      <c r="AB126" s="463"/>
      <c r="AD126" s="463"/>
      <c r="AE126" s="463"/>
      <c r="AG126" s="463"/>
      <c r="AI126" s="463"/>
      <c r="AJ126" s="463"/>
      <c r="AK126" s="463"/>
      <c r="AM126" s="463"/>
      <c r="AN126" s="463"/>
      <c r="AO126" s="463"/>
      <c r="AQ126" s="463"/>
      <c r="AR126" s="463"/>
      <c r="AS126" s="463"/>
      <c r="AT126" s="463"/>
      <c r="AU126" s="463"/>
      <c r="AV126" s="463"/>
      <c r="AX126" s="463"/>
      <c r="AY126" s="463"/>
      <c r="AZ126" s="463"/>
      <c r="BB126" s="463"/>
      <c r="BC126" s="463"/>
      <c r="BD126" s="463"/>
      <c r="BF126" s="463"/>
      <c r="BG126" s="463"/>
      <c r="BH126" s="463"/>
      <c r="BJ126" s="463"/>
      <c r="BK126" s="463"/>
      <c r="BL126" s="463"/>
      <c r="BN126" s="463"/>
      <c r="BO126" s="463"/>
      <c r="BP126" s="463"/>
      <c r="BQ126" s="463"/>
      <c r="BR126" s="463"/>
      <c r="BT126" s="463"/>
      <c r="BU126" s="463"/>
      <c r="BV126" s="463"/>
      <c r="BX126" s="463"/>
      <c r="BY126" s="463"/>
      <c r="BZ126" s="463"/>
      <c r="CB126" s="463"/>
      <c r="CC126" s="463"/>
      <c r="CD126" s="463"/>
      <c r="CF126" s="463"/>
      <c r="CG126" s="463"/>
      <c r="CH126" s="463"/>
      <c r="CJ126" s="463"/>
      <c r="CK126" s="463"/>
      <c r="CM126" s="463"/>
      <c r="CO126" s="463"/>
      <c r="CP126" s="463"/>
      <c r="CQ126" s="463"/>
      <c r="CS126" s="463"/>
      <c r="CT126" s="463"/>
      <c r="CU126" s="463"/>
      <c r="CW126" s="463"/>
      <c r="CX126" s="463"/>
      <c r="CY126" s="463"/>
      <c r="DA126" s="463"/>
      <c r="DB126" s="463"/>
      <c r="DC126" s="463"/>
      <c r="DD126" s="463"/>
      <c r="DE126" s="463"/>
      <c r="DF126" s="463"/>
      <c r="DH126" s="463"/>
      <c r="DI126" s="463"/>
      <c r="DJ126" s="463"/>
      <c r="DL126" s="463"/>
      <c r="DM126" s="463"/>
      <c r="DN126" s="463"/>
      <c r="DO126" s="463"/>
      <c r="DP126" s="463"/>
      <c r="DR126" s="463"/>
      <c r="DS126" s="463"/>
      <c r="DT126" s="463"/>
      <c r="DV126" s="463"/>
      <c r="DW126" s="463"/>
      <c r="DX126" s="463"/>
      <c r="DZ126" s="463"/>
      <c r="EA126" s="463"/>
      <c r="EB126" s="463"/>
      <c r="ED126" s="463"/>
      <c r="EE126" s="463"/>
      <c r="EF126" s="463"/>
      <c r="EH126" s="463"/>
      <c r="EI126" s="463"/>
      <c r="EJ126" s="463"/>
      <c r="EK126" s="463"/>
      <c r="EL126" s="463"/>
      <c r="EN126" s="463"/>
      <c r="EO126" s="463"/>
      <c r="EP126" s="463"/>
      <c r="ER126" s="463"/>
      <c r="ES126" s="463"/>
      <c r="ET126" s="463"/>
      <c r="EV126" s="463"/>
      <c r="EW126" s="463"/>
      <c r="EY126" s="463"/>
      <c r="EZ126" s="463"/>
      <c r="FA126" s="463"/>
      <c r="FB126" s="463"/>
      <c r="FC126" s="463"/>
      <c r="FD126" s="463"/>
      <c r="FE126" s="463"/>
      <c r="FF126" s="463"/>
      <c r="FG126" s="463"/>
      <c r="FH126" s="463"/>
      <c r="FI126" s="463"/>
      <c r="FJ126" s="463"/>
      <c r="FK126" s="463"/>
      <c r="FL126" s="463"/>
      <c r="FM126" s="463"/>
      <c r="FN126" s="463"/>
      <c r="FO126" s="463"/>
      <c r="FP126" s="463"/>
      <c r="FQ126" s="463"/>
      <c r="FS126" s="463"/>
      <c r="FT126" s="463"/>
      <c r="FU126" s="463"/>
      <c r="FV126" s="463"/>
      <c r="FW126" s="463"/>
      <c r="FX126" s="463"/>
      <c r="FY126" s="463"/>
      <c r="FZ126" s="463"/>
    </row>
    <row r="127" spans="1:182">
      <c r="A127" s="393"/>
      <c r="B127" s="493">
        <v>35</v>
      </c>
      <c r="C127" s="2">
        <v>7</v>
      </c>
      <c r="D127">
        <f t="shared" si="6"/>
        <v>252.31325220201603</v>
      </c>
      <c r="E127">
        <f t="shared" si="7"/>
        <v>35.000000000000007</v>
      </c>
      <c r="F127" s="495"/>
      <c r="G127" s="494"/>
      <c r="H127" s="2">
        <v>7</v>
      </c>
      <c r="J127">
        <f t="shared" si="8"/>
        <v>0</v>
      </c>
      <c r="K127" s="498"/>
      <c r="L127" s="498"/>
      <c r="M127" s="463"/>
      <c r="N127" s="463"/>
      <c r="O127" s="463"/>
      <c r="P127" s="463"/>
      <c r="Q127" s="463"/>
      <c r="R127" s="463"/>
      <c r="S127" s="463"/>
      <c r="T127" s="463"/>
      <c r="U127" s="463"/>
      <c r="V127" s="463"/>
      <c r="W127" s="463"/>
      <c r="X127" s="463"/>
      <c r="Y127" s="463"/>
      <c r="Z127" s="463"/>
      <c r="AA127" s="463"/>
      <c r="AB127" s="463"/>
      <c r="AD127" s="463"/>
      <c r="AE127" s="463"/>
      <c r="AG127" s="463"/>
      <c r="AI127" s="463"/>
      <c r="AJ127" s="463"/>
      <c r="AK127" s="463"/>
      <c r="AM127" s="463"/>
      <c r="AN127" s="463"/>
      <c r="AO127" s="463"/>
      <c r="AQ127" s="463"/>
      <c r="AR127" s="463"/>
      <c r="AS127" s="463"/>
      <c r="AT127" s="463"/>
      <c r="AU127" s="463"/>
      <c r="AV127" s="463"/>
      <c r="AX127" s="463"/>
      <c r="AY127" s="463"/>
      <c r="AZ127" s="463"/>
      <c r="BB127" s="463"/>
      <c r="BC127" s="463"/>
      <c r="BD127" s="463"/>
      <c r="BF127" s="463"/>
      <c r="BG127" s="463"/>
      <c r="BH127" s="463"/>
      <c r="BJ127" s="463"/>
      <c r="BK127" s="463"/>
      <c r="BL127" s="463"/>
      <c r="BN127" s="463"/>
      <c r="BO127" s="463"/>
      <c r="BP127" s="463"/>
      <c r="BQ127" s="463"/>
      <c r="BR127" s="463"/>
      <c r="BT127" s="463"/>
      <c r="BU127" s="463"/>
      <c r="BV127" s="463"/>
      <c r="BX127" s="463"/>
      <c r="BY127" s="463"/>
      <c r="BZ127" s="463"/>
      <c r="CB127" s="463"/>
      <c r="CC127" s="463"/>
      <c r="CD127" s="463"/>
      <c r="CF127" s="463"/>
      <c r="CG127" s="463"/>
      <c r="CH127" s="463"/>
      <c r="CJ127" s="463"/>
      <c r="CK127" s="463"/>
      <c r="CM127" s="463"/>
      <c r="CO127" s="463"/>
      <c r="CP127" s="463"/>
      <c r="CQ127" s="463"/>
      <c r="CS127" s="463"/>
      <c r="CT127" s="463"/>
      <c r="CU127" s="463"/>
      <c r="CW127" s="463"/>
      <c r="CX127" s="463"/>
      <c r="CY127" s="463"/>
      <c r="DA127" s="463"/>
      <c r="DB127" s="463"/>
      <c r="DC127" s="463"/>
      <c r="DD127" s="463"/>
      <c r="DE127" s="463"/>
      <c r="DF127" s="463"/>
      <c r="DH127" s="463"/>
      <c r="DI127" s="463"/>
      <c r="DJ127" s="463"/>
      <c r="DL127" s="463"/>
      <c r="DM127" s="463"/>
      <c r="DN127" s="463"/>
      <c r="DO127" s="463"/>
      <c r="DP127" s="463"/>
      <c r="DR127" s="463"/>
      <c r="DS127" s="463"/>
      <c r="DT127" s="463"/>
      <c r="DV127" s="463"/>
      <c r="DW127" s="463"/>
      <c r="DX127" s="463"/>
      <c r="DZ127" s="463"/>
      <c r="EA127" s="463"/>
      <c r="EB127" s="463"/>
      <c r="ED127" s="463"/>
      <c r="EE127" s="463"/>
      <c r="EF127" s="463"/>
      <c r="EH127" s="463"/>
      <c r="EI127" s="463"/>
      <c r="EJ127" s="463"/>
      <c r="EK127" s="463"/>
      <c r="EL127" s="463"/>
      <c r="EN127" s="463"/>
      <c r="EO127" s="463"/>
      <c r="EP127" s="463"/>
      <c r="ER127" s="463"/>
      <c r="ES127" s="463"/>
      <c r="ET127" s="463"/>
      <c r="EV127" s="463"/>
      <c r="EW127" s="463"/>
      <c r="EY127" s="463"/>
      <c r="EZ127" s="463"/>
      <c r="FA127" s="463"/>
      <c r="FB127" s="463"/>
      <c r="FC127" s="463"/>
      <c r="FD127" s="463"/>
      <c r="FE127" s="463"/>
      <c r="FF127" s="463"/>
      <c r="FG127" s="463"/>
      <c r="FH127" s="463"/>
      <c r="FI127" s="463"/>
      <c r="FJ127" s="463"/>
      <c r="FK127" s="463"/>
      <c r="FL127" s="463"/>
      <c r="FM127" s="463"/>
      <c r="FN127" s="463"/>
      <c r="FO127" s="463"/>
      <c r="FP127" s="463"/>
      <c r="FQ127" s="463"/>
      <c r="FS127" s="463"/>
      <c r="FT127" s="463"/>
      <c r="FU127" s="463"/>
      <c r="FV127" s="463"/>
      <c r="FW127" s="463"/>
      <c r="FX127" s="463"/>
      <c r="FY127" s="463"/>
      <c r="FZ127" s="463"/>
    </row>
    <row r="128" spans="1:182">
      <c r="A128" s="393"/>
      <c r="B128" s="493">
        <v>50</v>
      </c>
      <c r="C128" s="2">
        <v>10</v>
      </c>
      <c r="D128">
        <f t="shared" si="6"/>
        <v>252.31325220201603</v>
      </c>
      <c r="E128">
        <f t="shared" si="7"/>
        <v>50.000000000000007</v>
      </c>
      <c r="F128" s="495"/>
      <c r="G128" s="494"/>
      <c r="H128" s="2">
        <v>10</v>
      </c>
      <c r="J128">
        <f t="shared" si="8"/>
        <v>0</v>
      </c>
      <c r="K128" s="498"/>
      <c r="L128" s="498"/>
      <c r="M128" s="463"/>
      <c r="N128" s="463"/>
      <c r="O128" s="463"/>
      <c r="P128" s="463"/>
      <c r="Q128" s="463"/>
      <c r="R128" s="463"/>
      <c r="S128" s="463"/>
      <c r="T128" s="463"/>
      <c r="U128" s="463"/>
      <c r="V128" s="463"/>
      <c r="W128" s="463"/>
      <c r="X128" s="463"/>
      <c r="Y128" s="463"/>
      <c r="Z128" s="463"/>
      <c r="AA128" s="463"/>
      <c r="AB128" s="463"/>
      <c r="AD128" s="463"/>
      <c r="AE128" s="463"/>
      <c r="AG128" s="463"/>
      <c r="AI128" s="463"/>
      <c r="AJ128" s="463"/>
      <c r="AK128" s="463"/>
      <c r="AM128" s="463"/>
      <c r="AN128" s="463"/>
      <c r="AO128" s="463"/>
      <c r="AQ128" s="463"/>
      <c r="AR128" s="463"/>
      <c r="AS128" s="463"/>
      <c r="AT128" s="463"/>
      <c r="AU128" s="463"/>
      <c r="AV128" s="463"/>
      <c r="AX128" s="463"/>
      <c r="AY128" s="463"/>
      <c r="AZ128" s="463"/>
      <c r="BB128" s="463"/>
      <c r="BC128" s="463"/>
      <c r="BD128" s="463"/>
      <c r="BF128" s="463"/>
      <c r="BG128" s="463"/>
      <c r="BH128" s="463"/>
      <c r="BJ128" s="463"/>
      <c r="BK128" s="463"/>
      <c r="BL128" s="463"/>
      <c r="BN128" s="463"/>
      <c r="BO128" s="463"/>
      <c r="BP128" s="463"/>
      <c r="BQ128" s="463"/>
      <c r="BR128" s="463"/>
      <c r="BT128" s="463"/>
      <c r="BU128" s="463"/>
      <c r="BV128" s="463"/>
      <c r="BX128" s="463"/>
      <c r="BY128" s="463"/>
      <c r="BZ128" s="463"/>
      <c r="CB128" s="463"/>
      <c r="CC128" s="463"/>
      <c r="CD128" s="463"/>
      <c r="CF128" s="463"/>
      <c r="CG128" s="463"/>
      <c r="CH128" s="463"/>
      <c r="CJ128" s="463"/>
      <c r="CK128" s="463"/>
      <c r="CM128" s="463"/>
      <c r="CO128" s="463"/>
      <c r="CP128" s="463"/>
      <c r="CQ128" s="463"/>
      <c r="CS128" s="463"/>
      <c r="CT128" s="463"/>
      <c r="CU128" s="463"/>
      <c r="CW128" s="463"/>
      <c r="CX128" s="463"/>
      <c r="CY128" s="463"/>
      <c r="DA128" s="463"/>
      <c r="DB128" s="463"/>
      <c r="DC128" s="463"/>
      <c r="DD128" s="463"/>
      <c r="DE128" s="463"/>
      <c r="DF128" s="463"/>
      <c r="DH128" s="463"/>
      <c r="DI128" s="463"/>
      <c r="DJ128" s="463"/>
      <c r="DL128" s="463"/>
      <c r="DM128" s="463"/>
      <c r="DN128" s="463"/>
      <c r="DO128" s="463"/>
      <c r="DP128" s="463"/>
      <c r="DR128" s="463"/>
      <c r="DS128" s="463"/>
      <c r="DT128" s="463"/>
      <c r="DV128" s="463"/>
      <c r="DW128" s="463"/>
      <c r="DX128" s="463"/>
      <c r="DZ128" s="463"/>
      <c r="EA128" s="463"/>
      <c r="EB128" s="463"/>
      <c r="ED128" s="463"/>
      <c r="EE128" s="463"/>
      <c r="EF128" s="463"/>
      <c r="EH128" s="463"/>
      <c r="EI128" s="463"/>
      <c r="EJ128" s="463"/>
      <c r="EK128" s="463"/>
      <c r="EL128" s="463"/>
      <c r="EN128" s="463"/>
      <c r="EO128" s="463"/>
      <c r="EP128" s="463"/>
      <c r="ER128" s="463"/>
      <c r="ES128" s="463"/>
      <c r="ET128" s="463"/>
      <c r="EV128" s="463"/>
      <c r="EW128" s="463"/>
      <c r="EY128" s="463"/>
      <c r="EZ128" s="463"/>
      <c r="FA128" s="463"/>
      <c r="FB128" s="463"/>
      <c r="FC128" s="463"/>
      <c r="FD128" s="463"/>
      <c r="FE128" s="463"/>
      <c r="FF128" s="463"/>
      <c r="FG128" s="463"/>
      <c r="FH128" s="463"/>
      <c r="FI128" s="463"/>
      <c r="FJ128" s="463"/>
      <c r="FK128" s="463"/>
      <c r="FL128" s="463"/>
      <c r="FM128" s="463"/>
      <c r="FN128" s="463"/>
      <c r="FO128" s="463"/>
      <c r="FP128" s="463"/>
      <c r="FQ128" s="463"/>
      <c r="FS128" s="463"/>
      <c r="FT128" s="463"/>
      <c r="FU128" s="463"/>
      <c r="FV128" s="463"/>
      <c r="FW128" s="463"/>
      <c r="FX128" s="463"/>
      <c r="FY128" s="463"/>
      <c r="FZ128" s="463"/>
    </row>
    <row r="129" spans="1:182">
      <c r="A129" s="393"/>
      <c r="B129" s="493">
        <v>70</v>
      </c>
      <c r="C129" s="2">
        <v>14</v>
      </c>
      <c r="D129">
        <f t="shared" si="6"/>
        <v>252.31325220201603</v>
      </c>
      <c r="E129">
        <f t="shared" si="7"/>
        <v>70.000000000000014</v>
      </c>
      <c r="F129" s="495"/>
      <c r="G129" s="494"/>
      <c r="H129" s="2">
        <v>14</v>
      </c>
      <c r="J129">
        <f t="shared" si="8"/>
        <v>0</v>
      </c>
      <c r="K129" s="498"/>
      <c r="L129" s="498"/>
      <c r="M129" s="463"/>
      <c r="N129" s="463"/>
      <c r="O129" s="463"/>
      <c r="P129" s="463"/>
      <c r="Q129" s="463"/>
      <c r="R129" s="463"/>
      <c r="S129" s="463"/>
      <c r="T129" s="463"/>
      <c r="U129" s="463"/>
      <c r="V129" s="463"/>
      <c r="W129" s="463"/>
      <c r="X129" s="463"/>
      <c r="Y129" s="463"/>
      <c r="Z129" s="463"/>
      <c r="AA129" s="463"/>
      <c r="AB129" s="463"/>
      <c r="AD129" s="463"/>
      <c r="AE129" s="463"/>
      <c r="AG129" s="463"/>
      <c r="AI129" s="463"/>
      <c r="AJ129" s="463"/>
      <c r="AK129" s="463"/>
      <c r="AM129" s="463"/>
      <c r="AN129" s="463"/>
      <c r="AO129" s="463"/>
      <c r="AQ129" s="463"/>
      <c r="AR129" s="463"/>
      <c r="AS129" s="463"/>
      <c r="AT129" s="463"/>
      <c r="AU129" s="463"/>
      <c r="AV129" s="463"/>
      <c r="AX129" s="463"/>
      <c r="AY129" s="463"/>
      <c r="AZ129" s="463"/>
      <c r="BB129" s="463"/>
      <c r="BC129" s="463"/>
      <c r="BD129" s="463"/>
      <c r="BF129" s="463"/>
      <c r="BG129" s="463"/>
      <c r="BH129" s="463"/>
      <c r="BJ129" s="463"/>
      <c r="BK129" s="463"/>
      <c r="BL129" s="463"/>
      <c r="BN129" s="463"/>
      <c r="BO129" s="463"/>
      <c r="BP129" s="463"/>
      <c r="BQ129" s="463"/>
      <c r="BR129" s="463"/>
      <c r="BT129" s="463"/>
      <c r="BU129" s="463"/>
      <c r="BV129" s="463"/>
      <c r="BX129" s="463"/>
      <c r="BY129" s="463"/>
      <c r="BZ129" s="463"/>
      <c r="CB129" s="463"/>
      <c r="CC129" s="463"/>
      <c r="CD129" s="463"/>
      <c r="CF129" s="463"/>
      <c r="CG129" s="463"/>
      <c r="CH129" s="463"/>
      <c r="CJ129" s="463"/>
      <c r="CK129" s="463"/>
      <c r="CM129" s="463"/>
      <c r="CO129" s="463"/>
      <c r="CP129" s="463"/>
      <c r="CQ129" s="463"/>
      <c r="CS129" s="463"/>
      <c r="CT129" s="463"/>
      <c r="CU129" s="463"/>
      <c r="CW129" s="463"/>
      <c r="CX129" s="463"/>
      <c r="CY129" s="463"/>
      <c r="DA129" s="463"/>
      <c r="DB129" s="463"/>
      <c r="DC129" s="463"/>
      <c r="DD129" s="463"/>
      <c r="DE129" s="463"/>
      <c r="DF129" s="463"/>
      <c r="DH129" s="463"/>
      <c r="DI129" s="463"/>
      <c r="DJ129" s="463"/>
      <c r="DL129" s="463"/>
      <c r="DM129" s="463"/>
      <c r="DN129" s="463"/>
      <c r="DO129" s="463"/>
      <c r="DP129" s="463"/>
      <c r="DR129" s="463"/>
      <c r="DS129" s="463"/>
      <c r="DT129" s="463"/>
      <c r="DV129" s="463"/>
      <c r="DW129" s="463"/>
      <c r="DX129" s="463"/>
      <c r="DZ129" s="463"/>
      <c r="EA129" s="463"/>
      <c r="EB129" s="463"/>
      <c r="ED129" s="463"/>
      <c r="EE129" s="463"/>
      <c r="EF129" s="463"/>
      <c r="EH129" s="463"/>
      <c r="EI129" s="463"/>
      <c r="EJ129" s="463"/>
      <c r="EK129" s="463"/>
      <c r="EL129" s="463"/>
      <c r="EN129" s="463"/>
      <c r="EO129" s="463"/>
      <c r="EP129" s="463"/>
      <c r="ER129" s="463"/>
      <c r="ES129" s="463"/>
      <c r="ET129" s="463"/>
      <c r="EV129" s="463"/>
      <c r="EW129" s="463"/>
      <c r="EY129" s="463"/>
      <c r="EZ129" s="463"/>
      <c r="FA129" s="463"/>
      <c r="FB129" s="463"/>
      <c r="FC129" s="463"/>
      <c r="FD129" s="463"/>
      <c r="FE129" s="463"/>
      <c r="FF129" s="463"/>
      <c r="FG129" s="463"/>
      <c r="FH129" s="463"/>
      <c r="FI129" s="463"/>
      <c r="FJ129" s="463"/>
      <c r="FK129" s="463"/>
      <c r="FL129" s="463"/>
      <c r="FM129" s="463"/>
      <c r="FN129" s="463"/>
      <c r="FO129" s="463"/>
      <c r="FP129" s="463"/>
      <c r="FQ129" s="463"/>
      <c r="FS129" s="463"/>
      <c r="FT129" s="463"/>
      <c r="FU129" s="463"/>
      <c r="FV129" s="463"/>
      <c r="FW129" s="463"/>
      <c r="FX129" s="463"/>
      <c r="FY129" s="463"/>
      <c r="FZ129" s="463"/>
    </row>
    <row r="130" spans="1:182">
      <c r="A130" s="393"/>
      <c r="B130" s="493">
        <v>95</v>
      </c>
      <c r="C130" s="2">
        <v>19</v>
      </c>
      <c r="D130">
        <f t="shared" si="6"/>
        <v>252.31325220201603</v>
      </c>
      <c r="E130">
        <f t="shared" si="7"/>
        <v>95.000000000000014</v>
      </c>
      <c r="F130" s="495"/>
      <c r="G130" s="494"/>
      <c r="H130" s="2">
        <v>19</v>
      </c>
      <c r="J130">
        <f t="shared" si="8"/>
        <v>0</v>
      </c>
      <c r="K130" s="498"/>
      <c r="L130" s="498"/>
      <c r="M130" s="463"/>
      <c r="N130" s="463"/>
      <c r="O130" s="463"/>
      <c r="P130" s="463"/>
      <c r="Q130" s="463"/>
      <c r="R130" s="463"/>
      <c r="S130" s="463"/>
      <c r="T130" s="463"/>
      <c r="U130" s="463"/>
      <c r="V130" s="463"/>
      <c r="W130" s="463"/>
      <c r="X130" s="463"/>
      <c r="Y130" s="463"/>
      <c r="Z130" s="463"/>
      <c r="AA130" s="463"/>
      <c r="AB130" s="463"/>
      <c r="AD130" s="463"/>
      <c r="AE130" s="463"/>
      <c r="AG130" s="463"/>
      <c r="AI130" s="463"/>
      <c r="AJ130" s="463"/>
      <c r="AK130" s="463"/>
      <c r="AM130" s="463"/>
      <c r="AN130" s="463"/>
      <c r="AO130" s="463"/>
      <c r="AQ130" s="463"/>
      <c r="AR130" s="463"/>
      <c r="AS130" s="463"/>
      <c r="AT130" s="463"/>
      <c r="AU130" s="463"/>
      <c r="AV130" s="463"/>
      <c r="AX130" s="463"/>
      <c r="AY130" s="463"/>
      <c r="AZ130" s="463"/>
      <c r="BB130" s="463"/>
      <c r="BC130" s="463"/>
      <c r="BD130" s="463"/>
      <c r="BF130" s="463"/>
      <c r="BG130" s="463"/>
      <c r="BH130" s="463"/>
      <c r="BJ130" s="463"/>
      <c r="BK130" s="463"/>
      <c r="BL130" s="463"/>
      <c r="BN130" s="463"/>
      <c r="BO130" s="463"/>
      <c r="BP130" s="463"/>
      <c r="BQ130" s="463"/>
      <c r="BR130" s="463"/>
      <c r="BT130" s="463"/>
      <c r="BU130" s="463"/>
      <c r="BV130" s="463"/>
      <c r="BX130" s="463"/>
      <c r="BY130" s="463"/>
      <c r="BZ130" s="463"/>
      <c r="CB130" s="463"/>
      <c r="CC130" s="463"/>
      <c r="CD130" s="463"/>
      <c r="CF130" s="463"/>
      <c r="CG130" s="463"/>
      <c r="CH130" s="463"/>
      <c r="CJ130" s="463"/>
      <c r="CK130" s="463"/>
      <c r="CM130" s="463"/>
      <c r="CO130" s="463"/>
      <c r="CP130" s="463"/>
      <c r="CQ130" s="463"/>
      <c r="CS130" s="463"/>
      <c r="CT130" s="463"/>
      <c r="CU130" s="463"/>
      <c r="CW130" s="463"/>
      <c r="CX130" s="463"/>
      <c r="CY130" s="463"/>
      <c r="DA130" s="463"/>
      <c r="DB130" s="463"/>
      <c r="DC130" s="463"/>
      <c r="DD130" s="463"/>
      <c r="DE130" s="463"/>
      <c r="DF130" s="463"/>
      <c r="DH130" s="463"/>
      <c r="DI130" s="463"/>
      <c r="DJ130" s="463"/>
      <c r="DL130" s="463"/>
      <c r="DM130" s="463"/>
      <c r="DN130" s="463"/>
      <c r="DO130" s="463"/>
      <c r="DP130" s="463"/>
      <c r="DR130" s="463"/>
      <c r="DS130" s="463"/>
      <c r="DT130" s="463"/>
      <c r="DV130" s="463"/>
      <c r="DW130" s="463"/>
      <c r="DX130" s="463"/>
      <c r="DZ130" s="463"/>
      <c r="EA130" s="463"/>
      <c r="EB130" s="463"/>
      <c r="ED130" s="463"/>
      <c r="EE130" s="463"/>
      <c r="EF130" s="463"/>
      <c r="EH130" s="463"/>
      <c r="EI130" s="463"/>
      <c r="EJ130" s="463"/>
      <c r="EK130" s="463"/>
      <c r="EL130" s="463"/>
      <c r="EN130" s="463"/>
      <c r="EO130" s="463"/>
      <c r="EP130" s="463"/>
      <c r="ER130" s="463"/>
      <c r="ES130" s="463"/>
      <c r="ET130" s="463"/>
      <c r="EV130" s="463"/>
      <c r="EW130" s="463"/>
      <c r="EY130" s="463"/>
      <c r="EZ130" s="463"/>
      <c r="FA130" s="463"/>
      <c r="FB130" s="463"/>
      <c r="FC130" s="463"/>
      <c r="FD130" s="463"/>
      <c r="FE130" s="463"/>
      <c r="FF130" s="463"/>
      <c r="FG130" s="463"/>
      <c r="FH130" s="463"/>
      <c r="FI130" s="463"/>
      <c r="FJ130" s="463"/>
      <c r="FK130" s="463"/>
      <c r="FL130" s="463"/>
      <c r="FM130" s="463"/>
      <c r="FN130" s="463"/>
      <c r="FO130" s="463"/>
      <c r="FP130" s="463"/>
      <c r="FQ130" s="463"/>
      <c r="FS130" s="463"/>
      <c r="FT130" s="463"/>
      <c r="FU130" s="463"/>
      <c r="FV130" s="463"/>
      <c r="FW130" s="463"/>
      <c r="FX130" s="463"/>
      <c r="FY130" s="463"/>
      <c r="FZ130" s="463"/>
    </row>
    <row r="131" spans="1:182">
      <c r="A131" s="393"/>
      <c r="B131" s="493">
        <v>120</v>
      </c>
      <c r="C131" s="2">
        <v>24</v>
      </c>
      <c r="D131">
        <f t="shared" si="6"/>
        <v>252.31325220201603</v>
      </c>
      <c r="E131">
        <f t="shared" si="7"/>
        <v>120.00000000000003</v>
      </c>
      <c r="F131" s="495"/>
      <c r="G131" s="494"/>
      <c r="H131" s="2">
        <v>24</v>
      </c>
      <c r="J131">
        <f t="shared" si="8"/>
        <v>0</v>
      </c>
      <c r="K131" s="498"/>
      <c r="L131" s="498"/>
      <c r="M131" s="463"/>
      <c r="N131" s="463"/>
      <c r="O131" s="463"/>
      <c r="P131" s="463"/>
      <c r="Q131" s="463"/>
      <c r="R131" s="463"/>
      <c r="S131" s="463"/>
      <c r="T131" s="463"/>
      <c r="U131" s="463"/>
      <c r="V131" s="463"/>
      <c r="W131" s="463"/>
      <c r="X131" s="463"/>
      <c r="Y131" s="463"/>
      <c r="Z131" s="463"/>
      <c r="AA131" s="463"/>
      <c r="AB131" s="463"/>
      <c r="AD131" s="463"/>
      <c r="AE131" s="463"/>
      <c r="AG131" s="463"/>
      <c r="AI131" s="463"/>
      <c r="AJ131" s="463"/>
      <c r="AK131" s="463"/>
      <c r="AM131" s="463"/>
      <c r="AN131" s="463"/>
      <c r="AO131" s="463"/>
      <c r="AQ131" s="463"/>
      <c r="AR131" s="463"/>
      <c r="AS131" s="463"/>
      <c r="AT131" s="463"/>
      <c r="AU131" s="463"/>
      <c r="AV131" s="463"/>
      <c r="AX131" s="463"/>
      <c r="AY131" s="463"/>
      <c r="AZ131" s="463"/>
      <c r="BB131" s="463"/>
      <c r="BC131" s="463"/>
      <c r="BD131" s="463"/>
      <c r="BF131" s="463"/>
      <c r="BG131" s="463"/>
      <c r="BH131" s="463"/>
      <c r="BJ131" s="463"/>
      <c r="BK131" s="463"/>
      <c r="BL131" s="463"/>
      <c r="BN131" s="463"/>
      <c r="BO131" s="463"/>
      <c r="BP131" s="463"/>
      <c r="BQ131" s="463"/>
      <c r="BR131" s="463"/>
      <c r="BT131" s="463"/>
      <c r="BU131" s="463"/>
      <c r="BV131" s="463"/>
      <c r="BX131" s="463"/>
      <c r="BY131" s="463"/>
      <c r="BZ131" s="463"/>
      <c r="CB131" s="463"/>
      <c r="CC131" s="463"/>
      <c r="CD131" s="463"/>
      <c r="CF131" s="463"/>
      <c r="CG131" s="463"/>
      <c r="CH131" s="463"/>
      <c r="CJ131" s="463"/>
      <c r="CK131" s="463"/>
      <c r="CM131" s="463"/>
      <c r="CO131" s="463"/>
      <c r="CP131" s="463"/>
      <c r="CQ131" s="463"/>
      <c r="CS131" s="463"/>
      <c r="CT131" s="463"/>
      <c r="CU131" s="463"/>
      <c r="CW131" s="463"/>
      <c r="CX131" s="463"/>
      <c r="CY131" s="463"/>
      <c r="DA131" s="463"/>
      <c r="DB131" s="463"/>
      <c r="DC131" s="463"/>
      <c r="DD131" s="463"/>
      <c r="DE131" s="463"/>
      <c r="DF131" s="463"/>
      <c r="DH131" s="463"/>
      <c r="DI131" s="463"/>
      <c r="DJ131" s="463"/>
      <c r="DL131" s="463"/>
      <c r="DM131" s="463"/>
      <c r="DN131" s="463"/>
      <c r="DO131" s="463"/>
      <c r="DP131" s="463"/>
      <c r="DR131" s="463"/>
      <c r="DS131" s="463"/>
      <c r="DT131" s="463"/>
      <c r="DV131" s="463"/>
      <c r="DW131" s="463"/>
      <c r="DX131" s="463"/>
      <c r="DZ131" s="463"/>
      <c r="EA131" s="463"/>
      <c r="EB131" s="463"/>
      <c r="ED131" s="463"/>
      <c r="EE131" s="463"/>
      <c r="EF131" s="463"/>
      <c r="EH131" s="463"/>
      <c r="EI131" s="463"/>
      <c r="EJ131" s="463"/>
      <c r="EK131" s="463"/>
      <c r="EL131" s="463"/>
      <c r="EN131" s="463"/>
      <c r="EO131" s="463"/>
      <c r="EP131" s="463"/>
      <c r="ER131" s="463"/>
      <c r="ES131" s="463"/>
      <c r="ET131" s="463"/>
      <c r="EV131" s="463"/>
      <c r="EW131" s="463"/>
      <c r="EY131" s="463"/>
      <c r="EZ131" s="463"/>
      <c r="FA131" s="463"/>
      <c r="FB131" s="463"/>
      <c r="FC131" s="463"/>
      <c r="FD131" s="463"/>
      <c r="FE131" s="463"/>
      <c r="FF131" s="463"/>
      <c r="FG131" s="463"/>
      <c r="FH131" s="463"/>
      <c r="FI131" s="463"/>
      <c r="FJ131" s="463"/>
      <c r="FK131" s="463"/>
      <c r="FL131" s="463"/>
      <c r="FM131" s="463"/>
      <c r="FN131" s="463"/>
      <c r="FO131" s="463"/>
      <c r="FP131" s="463"/>
      <c r="FQ131" s="463"/>
      <c r="FS131" s="463"/>
      <c r="FT131" s="463"/>
      <c r="FU131" s="463"/>
      <c r="FV131" s="463"/>
      <c r="FW131" s="463"/>
      <c r="FX131" s="463"/>
      <c r="FY131" s="463"/>
      <c r="FZ131" s="463"/>
    </row>
    <row r="132" spans="1:182">
      <c r="A132" s="393"/>
      <c r="B132" s="493">
        <v>150</v>
      </c>
      <c r="C132" s="2">
        <v>30</v>
      </c>
      <c r="D132">
        <f t="shared" si="6"/>
        <v>252.31325220201603</v>
      </c>
      <c r="E132">
        <f t="shared" si="7"/>
        <v>150.00000000000003</v>
      </c>
      <c r="F132" s="495"/>
      <c r="G132" s="494"/>
      <c r="H132" s="2">
        <v>30</v>
      </c>
      <c r="J132">
        <f t="shared" si="8"/>
        <v>0</v>
      </c>
      <c r="K132" s="498"/>
      <c r="L132" s="498"/>
      <c r="M132" s="463"/>
      <c r="N132" s="463"/>
      <c r="O132" s="463"/>
      <c r="P132" s="463"/>
      <c r="Q132" s="463"/>
      <c r="R132" s="463"/>
      <c r="S132" s="463"/>
      <c r="T132" s="463"/>
      <c r="U132" s="463"/>
      <c r="V132" s="463"/>
      <c r="W132" s="463"/>
      <c r="X132" s="463"/>
      <c r="Y132" s="463"/>
      <c r="Z132" s="463"/>
      <c r="AA132" s="463"/>
      <c r="AB132" s="463"/>
      <c r="AD132" s="463"/>
      <c r="AE132" s="463"/>
      <c r="AG132" s="463"/>
      <c r="AI132" s="463"/>
      <c r="AJ132" s="463"/>
      <c r="AK132" s="463"/>
      <c r="AM132" s="463"/>
      <c r="AN132" s="463"/>
      <c r="AO132" s="463"/>
      <c r="AQ132" s="463"/>
      <c r="AR132" s="463"/>
      <c r="AS132" s="463"/>
      <c r="AT132" s="463"/>
      <c r="AU132" s="463"/>
      <c r="AV132" s="463"/>
      <c r="AX132" s="463"/>
      <c r="AY132" s="463"/>
      <c r="AZ132" s="463"/>
      <c r="BB132" s="463"/>
      <c r="BC132" s="463"/>
      <c r="BD132" s="463"/>
      <c r="BF132" s="463"/>
      <c r="BG132" s="463"/>
      <c r="BH132" s="463"/>
      <c r="BJ132" s="463"/>
      <c r="BK132" s="463"/>
      <c r="BL132" s="463"/>
      <c r="BN132" s="463"/>
      <c r="BO132" s="463"/>
      <c r="BP132" s="463"/>
      <c r="BQ132" s="463"/>
      <c r="BR132" s="463"/>
      <c r="BT132" s="463"/>
      <c r="BU132" s="463"/>
      <c r="BV132" s="463"/>
      <c r="BX132" s="463"/>
      <c r="BY132" s="463"/>
      <c r="BZ132" s="463"/>
      <c r="CB132" s="463"/>
      <c r="CC132" s="463"/>
      <c r="CD132" s="463"/>
      <c r="CF132" s="463"/>
      <c r="CG132" s="463"/>
      <c r="CH132" s="463"/>
      <c r="CJ132" s="463"/>
      <c r="CK132" s="463"/>
      <c r="CM132" s="463"/>
      <c r="CO132" s="463"/>
      <c r="CP132" s="463"/>
      <c r="CQ132" s="463"/>
      <c r="CS132" s="463"/>
      <c r="CT132" s="463"/>
      <c r="CU132" s="463"/>
      <c r="CW132" s="463"/>
      <c r="CX132" s="463"/>
      <c r="CY132" s="463"/>
      <c r="DA132" s="463"/>
      <c r="DB132" s="463"/>
      <c r="DC132" s="463"/>
      <c r="DD132" s="463"/>
      <c r="DE132" s="463"/>
      <c r="DF132" s="463"/>
      <c r="DH132" s="463"/>
      <c r="DI132" s="463"/>
      <c r="DJ132" s="463"/>
      <c r="DL132" s="463"/>
      <c r="DM132" s="463"/>
      <c r="DN132" s="463"/>
      <c r="DO132" s="463"/>
      <c r="DP132" s="463"/>
      <c r="DR132" s="463"/>
      <c r="DS132" s="463"/>
      <c r="DT132" s="463"/>
      <c r="DV132" s="463"/>
      <c r="DW132" s="463"/>
      <c r="DX132" s="463"/>
      <c r="DZ132" s="463"/>
      <c r="EA132" s="463"/>
      <c r="EB132" s="463"/>
      <c r="ED132" s="463"/>
      <c r="EE132" s="463"/>
      <c r="EF132" s="463"/>
      <c r="EH132" s="463"/>
      <c r="EI132" s="463"/>
      <c r="EJ132" s="463"/>
      <c r="EK132" s="463"/>
      <c r="EL132" s="463"/>
      <c r="EN132" s="463"/>
      <c r="EO132" s="463"/>
      <c r="EP132" s="463"/>
      <c r="ER132" s="463"/>
      <c r="ES132" s="463"/>
      <c r="ET132" s="463"/>
      <c r="EV132" s="463"/>
      <c r="EW132" s="463"/>
      <c r="EY132" s="463"/>
      <c r="EZ132" s="463"/>
      <c r="FA132" s="463"/>
      <c r="FB132" s="463"/>
      <c r="FC132" s="463"/>
      <c r="FD132" s="463"/>
      <c r="FE132" s="463"/>
      <c r="FF132" s="463"/>
      <c r="FG132" s="463"/>
      <c r="FH132" s="463"/>
      <c r="FI132" s="463"/>
      <c r="FJ132" s="463"/>
      <c r="FK132" s="463"/>
      <c r="FL132" s="463"/>
      <c r="FM132" s="463"/>
      <c r="FN132" s="463"/>
      <c r="FO132" s="463"/>
      <c r="FP132" s="463"/>
      <c r="FQ132" s="463"/>
      <c r="FS132" s="463"/>
      <c r="FT132" s="463"/>
      <c r="FU132" s="463"/>
      <c r="FV132" s="463"/>
      <c r="FW132" s="463"/>
      <c r="FX132" s="463"/>
      <c r="FY132" s="463"/>
      <c r="FZ132" s="463"/>
    </row>
    <row r="133" spans="1:182">
      <c r="A133" s="393"/>
      <c r="B133" s="493">
        <v>185</v>
      </c>
      <c r="C133" s="2">
        <v>37</v>
      </c>
      <c r="D133">
        <f t="shared" si="6"/>
        <v>252.31325220201603</v>
      </c>
      <c r="E133">
        <f t="shared" si="7"/>
        <v>185.00000000000003</v>
      </c>
      <c r="F133" s="495"/>
      <c r="G133" s="494"/>
      <c r="H133" s="2">
        <v>37</v>
      </c>
      <c r="J133">
        <f t="shared" si="8"/>
        <v>0</v>
      </c>
      <c r="K133" s="498"/>
      <c r="L133" s="498"/>
      <c r="M133" s="393"/>
      <c r="N133" s="393"/>
      <c r="O133" s="393"/>
      <c r="P133" s="393"/>
      <c r="Q133" s="393"/>
    </row>
    <row r="134" spans="1:182">
      <c r="A134" s="393"/>
      <c r="B134" s="493">
        <v>240</v>
      </c>
      <c r="C134" s="2">
        <v>48</v>
      </c>
      <c r="D134">
        <f t="shared" si="6"/>
        <v>252.31325220201603</v>
      </c>
      <c r="E134">
        <f t="shared" si="7"/>
        <v>240.00000000000006</v>
      </c>
      <c r="F134" s="495"/>
      <c r="G134" s="494"/>
      <c r="H134" s="2">
        <v>48</v>
      </c>
      <c r="J134">
        <f t="shared" si="8"/>
        <v>0</v>
      </c>
      <c r="K134" s="498"/>
      <c r="L134" s="498"/>
      <c r="M134" s="393"/>
      <c r="N134" s="393"/>
      <c r="O134" s="393"/>
      <c r="P134" s="393"/>
      <c r="Q134" s="393"/>
    </row>
    <row r="135" spans="1:182">
      <c r="A135" s="393"/>
      <c r="B135" s="493">
        <v>300</v>
      </c>
      <c r="C135" s="2">
        <v>61</v>
      </c>
      <c r="D135">
        <f t="shared" si="6"/>
        <v>250.23656460570214</v>
      </c>
      <c r="E135">
        <f t="shared" si="7"/>
        <v>300</v>
      </c>
      <c r="F135" s="495"/>
      <c r="G135" s="494"/>
      <c r="H135" s="2">
        <v>61</v>
      </c>
      <c r="J135">
        <f t="shared" si="8"/>
        <v>0</v>
      </c>
      <c r="K135" s="498"/>
      <c r="L135" s="498"/>
      <c r="M135" s="393"/>
      <c r="N135" s="393"/>
      <c r="O135" s="393"/>
      <c r="P135" s="393"/>
      <c r="Q135" s="393"/>
    </row>
    <row r="136" spans="1:182">
      <c r="B136" s="493">
        <v>400</v>
      </c>
      <c r="C136" s="2">
        <v>61</v>
      </c>
      <c r="D136">
        <f t="shared" si="6"/>
        <v>288.94829587237865</v>
      </c>
      <c r="E136">
        <f t="shared" si="7"/>
        <v>400.00000000000011</v>
      </c>
      <c r="F136" s="495"/>
      <c r="G136" s="494"/>
      <c r="H136" s="2">
        <v>61</v>
      </c>
      <c r="J136">
        <f t="shared" si="8"/>
        <v>0</v>
      </c>
    </row>
    <row r="137" spans="1:182">
      <c r="B137" s="493">
        <v>500</v>
      </c>
      <c r="C137" s="2">
        <v>61</v>
      </c>
      <c r="D137">
        <f t="shared" si="6"/>
        <v>323.05401577668022</v>
      </c>
      <c r="E137">
        <f t="shared" si="7"/>
        <v>499.99999999999989</v>
      </c>
      <c r="F137" s="495"/>
      <c r="G137" s="494"/>
      <c r="H137" s="2">
        <v>61</v>
      </c>
      <c r="J137">
        <f t="shared" si="8"/>
        <v>0</v>
      </c>
    </row>
    <row r="141" spans="1:182">
      <c r="D141" s="2" t="s">
        <v>14</v>
      </c>
      <c r="E141" s="2" t="s">
        <v>572</v>
      </c>
      <c r="F141" s="2"/>
      <c r="G141" s="2" t="s">
        <v>573</v>
      </c>
    </row>
    <row r="142" spans="1:182" ht="15.5">
      <c r="D142" s="499">
        <v>1</v>
      </c>
      <c r="E142" s="74">
        <v>1</v>
      </c>
      <c r="F142" s="2">
        <v>1</v>
      </c>
      <c r="G142" s="2">
        <v>1</v>
      </c>
    </row>
    <row r="143" spans="1:182" ht="15.5">
      <c r="D143" s="499">
        <v>2</v>
      </c>
      <c r="E143" s="74">
        <v>2</v>
      </c>
      <c r="F143" s="2">
        <v>2</v>
      </c>
      <c r="G143" s="2">
        <v>2</v>
      </c>
    </row>
    <row r="144" spans="1:182" ht="15.5">
      <c r="D144" s="499">
        <v>3</v>
      </c>
      <c r="E144" s="74">
        <v>2.16</v>
      </c>
      <c r="F144" s="2">
        <v>2.16</v>
      </c>
      <c r="G144" s="2">
        <v>2.1547000000000001</v>
      </c>
    </row>
    <row r="145" spans="4:7" ht="15.5">
      <c r="D145" s="499">
        <v>4</v>
      </c>
      <c r="E145" s="74">
        <v>2.42</v>
      </c>
      <c r="F145" s="2">
        <v>2.42</v>
      </c>
      <c r="G145" s="2">
        <v>2.4198124999999999</v>
      </c>
    </row>
    <row r="146" spans="4:7" ht="15.5">
      <c r="D146" s="499">
        <v>5</v>
      </c>
      <c r="E146" s="74">
        <v>2.7</v>
      </c>
      <c r="F146" s="2"/>
      <c r="G146" s="2">
        <v>2.7159</v>
      </c>
    </row>
    <row r="147" spans="4:7" ht="15.5">
      <c r="D147" s="499">
        <v>6</v>
      </c>
      <c r="E147" s="74">
        <v>3</v>
      </c>
      <c r="F147" s="2"/>
      <c r="G147" s="2">
        <v>3</v>
      </c>
    </row>
    <row r="148" spans="4:7" ht="15.5">
      <c r="D148" s="499">
        <v>7</v>
      </c>
      <c r="E148" s="74">
        <v>3</v>
      </c>
      <c r="F148" s="2"/>
      <c r="G148" s="2">
        <v>3</v>
      </c>
    </row>
    <row r="149" spans="4:7" ht="15.5">
      <c r="D149" s="499">
        <v>8</v>
      </c>
      <c r="E149" s="74">
        <v>3.45</v>
      </c>
      <c r="F149" s="2" t="s">
        <v>574</v>
      </c>
      <c r="G149" s="2">
        <v>3.3047650000000002</v>
      </c>
    </row>
    <row r="150" spans="4:7" ht="15.5">
      <c r="D150" s="499">
        <v>9</v>
      </c>
      <c r="E150" s="74">
        <v>3.8</v>
      </c>
      <c r="F150" s="2" t="s">
        <v>575</v>
      </c>
      <c r="G150" s="2">
        <v>3.6131259999999998</v>
      </c>
    </row>
    <row r="151" spans="4:7" ht="15.5">
      <c r="D151" s="499">
        <v>10</v>
      </c>
      <c r="E151" s="74">
        <v>4</v>
      </c>
      <c r="F151" s="2" t="s">
        <v>22</v>
      </c>
      <c r="G151" s="2">
        <v>3.8279999999999998</v>
      </c>
    </row>
    <row r="152" spans="4:7" ht="15.5">
      <c r="D152" s="499">
        <v>11</v>
      </c>
      <c r="E152" s="74">
        <v>4</v>
      </c>
      <c r="F152" s="2" t="s">
        <v>576</v>
      </c>
      <c r="G152" s="2">
        <v>3.9238040000000001</v>
      </c>
    </row>
    <row r="153" spans="4:7" ht="15.5">
      <c r="D153" s="499">
        <v>12</v>
      </c>
      <c r="E153" s="74">
        <v>4.16</v>
      </c>
      <c r="F153" s="2" t="s">
        <v>577</v>
      </c>
      <c r="G153" s="2">
        <v>4.0372159999999999</v>
      </c>
    </row>
    <row r="154" spans="4:7" ht="15.5">
      <c r="D154" s="499">
        <v>13</v>
      </c>
      <c r="E154" s="74">
        <v>4.41</v>
      </c>
      <c r="F154" s="2" t="s">
        <v>578</v>
      </c>
      <c r="G154" s="2">
        <v>4.3913289999999998</v>
      </c>
    </row>
    <row r="155" spans="4:7">
      <c r="D155" s="72">
        <v>14</v>
      </c>
      <c r="E155" s="74">
        <v>4.41</v>
      </c>
      <c r="F155" s="2" t="s">
        <v>24</v>
      </c>
      <c r="G155" s="2">
        <v>4.3738999999999999</v>
      </c>
    </row>
    <row r="156" spans="4:7" ht="15.5">
      <c r="D156" s="499">
        <v>15</v>
      </c>
      <c r="E156" s="74">
        <v>4.7</v>
      </c>
      <c r="F156" s="2"/>
      <c r="G156" s="2"/>
    </row>
    <row r="157" spans="4:7">
      <c r="D157" s="500">
        <v>16</v>
      </c>
      <c r="E157" s="74">
        <v>4.7</v>
      </c>
      <c r="F157" s="2" t="s">
        <v>579</v>
      </c>
      <c r="G157" s="2">
        <v>4.6455489999999999</v>
      </c>
    </row>
    <row r="158" spans="4:7" ht="15.5">
      <c r="D158" s="499">
        <v>17</v>
      </c>
      <c r="E158" s="74">
        <v>5</v>
      </c>
      <c r="F158" s="2"/>
      <c r="G158" s="2"/>
    </row>
    <row r="159" spans="4:7">
      <c r="D159" s="72">
        <v>18</v>
      </c>
      <c r="E159" s="74">
        <v>5</v>
      </c>
      <c r="F159" s="2"/>
      <c r="G159" s="2"/>
    </row>
    <row r="160" spans="4:7" ht="15.5">
      <c r="D160" s="499">
        <v>19</v>
      </c>
      <c r="E160" s="74">
        <v>5</v>
      </c>
      <c r="F160" s="2" t="s">
        <v>26</v>
      </c>
      <c r="G160" s="2">
        <v>4.8636999999999997</v>
      </c>
    </row>
    <row r="161" spans="4:7">
      <c r="D161" s="500">
        <v>20</v>
      </c>
      <c r="E161" s="74">
        <v>5.33</v>
      </c>
      <c r="F161" s="2" t="s">
        <v>580</v>
      </c>
      <c r="G161" s="2">
        <v>5.1785810000000003</v>
      </c>
    </row>
    <row r="162" spans="4:7" ht="15.5">
      <c r="D162" s="499">
        <v>21</v>
      </c>
      <c r="E162" s="74">
        <v>5.33</v>
      </c>
      <c r="F162" s="2"/>
      <c r="G162" s="2"/>
    </row>
    <row r="163" spans="4:7">
      <c r="D163" s="72">
        <v>22</v>
      </c>
      <c r="E163" s="74">
        <v>5.67</v>
      </c>
      <c r="F163" s="2"/>
      <c r="G163" s="2"/>
    </row>
    <row r="164" spans="4:7">
      <c r="D164" s="72">
        <v>23</v>
      </c>
      <c r="E164" s="74">
        <v>5.67</v>
      </c>
      <c r="F164" s="2"/>
      <c r="G164" s="2"/>
    </row>
    <row r="165" spans="4:7">
      <c r="D165" s="500">
        <v>24</v>
      </c>
      <c r="E165" s="74">
        <v>6</v>
      </c>
      <c r="F165" s="2" t="s">
        <v>28</v>
      </c>
      <c r="G165" s="2">
        <v>5.77</v>
      </c>
    </row>
    <row r="166" spans="4:7">
      <c r="D166" s="72">
        <v>25</v>
      </c>
      <c r="E166" s="74">
        <v>6</v>
      </c>
      <c r="F166" s="2"/>
      <c r="G166" s="2"/>
    </row>
    <row r="167" spans="4:7">
      <c r="D167" s="72">
        <v>26</v>
      </c>
      <c r="E167" s="74">
        <v>6</v>
      </c>
      <c r="F167" s="2"/>
      <c r="G167" s="2"/>
    </row>
    <row r="168" spans="4:7">
      <c r="D168" s="500">
        <v>27</v>
      </c>
      <c r="E168" s="74">
        <v>6.15</v>
      </c>
      <c r="F168" s="2" t="s">
        <v>581</v>
      </c>
      <c r="G168" s="2">
        <v>5.8519604999999997</v>
      </c>
    </row>
    <row r="169" spans="4:7">
      <c r="D169" s="72">
        <v>28</v>
      </c>
      <c r="E169" s="74">
        <v>6.41</v>
      </c>
      <c r="F169" s="2"/>
      <c r="G169" s="2"/>
    </row>
    <row r="170" spans="4:7">
      <c r="D170" s="72">
        <v>29</v>
      </c>
      <c r="E170" s="74">
        <v>6.41</v>
      </c>
      <c r="F170" s="2"/>
      <c r="G170" s="2"/>
    </row>
    <row r="171" spans="4:7">
      <c r="D171" s="72">
        <v>30</v>
      </c>
      <c r="E171" s="74">
        <v>6.41</v>
      </c>
      <c r="F171" s="2" t="s">
        <v>30</v>
      </c>
      <c r="G171" s="2">
        <v>6.37</v>
      </c>
    </row>
    <row r="172" spans="4:7">
      <c r="D172" s="72">
        <v>31</v>
      </c>
      <c r="E172" s="74">
        <v>6.7</v>
      </c>
      <c r="F172" s="2"/>
      <c r="G172" s="2"/>
    </row>
    <row r="173" spans="4:7">
      <c r="D173" s="72">
        <v>32</v>
      </c>
      <c r="E173" s="74">
        <v>6.7</v>
      </c>
      <c r="F173" s="2"/>
      <c r="G173" s="2"/>
    </row>
    <row r="174" spans="4:7">
      <c r="D174" s="72">
        <v>33</v>
      </c>
      <c r="E174" s="74">
        <v>6.7</v>
      </c>
      <c r="F174" s="2"/>
      <c r="G174" s="2"/>
    </row>
    <row r="175" spans="4:7">
      <c r="D175" s="72">
        <v>34</v>
      </c>
      <c r="E175" s="74">
        <v>7</v>
      </c>
      <c r="F175" s="2"/>
      <c r="G175" s="2"/>
    </row>
    <row r="176" spans="4:7">
      <c r="D176" s="72">
        <v>35</v>
      </c>
      <c r="E176" s="74">
        <v>7</v>
      </c>
      <c r="F176" s="2"/>
      <c r="G176" s="2"/>
    </row>
    <row r="177" spans="4:7">
      <c r="D177" s="72">
        <v>36</v>
      </c>
      <c r="E177" s="74">
        <v>7</v>
      </c>
      <c r="F177" s="2"/>
      <c r="G177" s="2"/>
    </row>
    <row r="178" spans="4:7">
      <c r="D178" s="72">
        <v>37</v>
      </c>
      <c r="E178" s="74">
        <v>7</v>
      </c>
      <c r="F178" s="2" t="s">
        <v>32</v>
      </c>
      <c r="G178" s="2">
        <v>6.8186260000000001</v>
      </c>
    </row>
    <row r="179" spans="4:7" ht="15.5">
      <c r="D179" s="499">
        <v>38</v>
      </c>
      <c r="E179" s="74">
        <v>7.33</v>
      </c>
      <c r="F179" s="2" t="s">
        <v>34</v>
      </c>
      <c r="G179" s="2">
        <v>7.8658000000000001</v>
      </c>
    </row>
    <row r="180" spans="4:7">
      <c r="D180" s="74">
        <v>39</v>
      </c>
      <c r="E180" s="74">
        <v>7.33</v>
      </c>
      <c r="F180" s="2" t="s">
        <v>36</v>
      </c>
      <c r="G180" s="2">
        <v>8.7059999999999995</v>
      </c>
    </row>
    <row r="181" spans="4:7">
      <c r="D181" s="2">
        <v>40</v>
      </c>
      <c r="E181" s="2">
        <v>7.33</v>
      </c>
      <c r="F181" s="2"/>
      <c r="G181" s="2"/>
    </row>
    <row r="182" spans="4:7">
      <c r="D182" s="2">
        <v>41</v>
      </c>
      <c r="E182" s="2">
        <v>7.67</v>
      </c>
      <c r="F182" s="2"/>
      <c r="G182" s="2"/>
    </row>
    <row r="183" spans="4:7">
      <c r="D183" s="2">
        <v>42</v>
      </c>
      <c r="E183" s="2">
        <v>7.67</v>
      </c>
      <c r="F183" s="2"/>
      <c r="G183" s="2"/>
    </row>
    <row r="184" spans="4:7">
      <c r="D184" s="2">
        <v>43</v>
      </c>
      <c r="E184" s="2">
        <v>7.67</v>
      </c>
      <c r="F184" s="2"/>
      <c r="G184" s="2"/>
    </row>
    <row r="185" spans="4:7">
      <c r="D185" s="2">
        <v>44</v>
      </c>
      <c r="E185" s="2">
        <v>8</v>
      </c>
      <c r="F185" s="2"/>
      <c r="G185" s="2"/>
    </row>
    <row r="186" spans="4:7">
      <c r="D186" s="2">
        <v>45</v>
      </c>
      <c r="E186" s="2">
        <v>8</v>
      </c>
      <c r="F186" s="2"/>
      <c r="G186" s="2"/>
    </row>
    <row r="187" spans="4:7">
      <c r="D187" s="2">
        <v>46</v>
      </c>
      <c r="E187" s="2">
        <v>8</v>
      </c>
      <c r="F187" s="2"/>
      <c r="G187" s="2"/>
    </row>
    <row r="188" spans="4:7">
      <c r="D188" s="2">
        <v>47</v>
      </c>
      <c r="E188" s="2">
        <v>8</v>
      </c>
      <c r="F188" s="2"/>
      <c r="G188" s="2"/>
    </row>
    <row r="189" spans="4:7">
      <c r="D189" s="2">
        <v>48</v>
      </c>
      <c r="E189" s="2">
        <v>8.15</v>
      </c>
      <c r="F189" s="2" t="s">
        <v>34</v>
      </c>
      <c r="G189" s="2">
        <v>7.8658000000000001</v>
      </c>
    </row>
    <row r="190" spans="4:7">
      <c r="D190" s="2">
        <v>52</v>
      </c>
      <c r="E190" s="2">
        <v>8.41</v>
      </c>
      <c r="F190" s="2"/>
      <c r="G190" s="2">
        <v>8.41</v>
      </c>
    </row>
    <row r="191" spans="4:7">
      <c r="D191" s="2">
        <v>61</v>
      </c>
      <c r="E191" s="2">
        <v>9</v>
      </c>
      <c r="F191" s="2"/>
      <c r="G191" s="2">
        <v>8.7059999999999995</v>
      </c>
    </row>
  </sheetData>
  <mergeCells count="24">
    <mergeCell ref="H65:H68"/>
    <mergeCell ref="H70:H74"/>
    <mergeCell ref="H76:H79"/>
    <mergeCell ref="H37:H41"/>
    <mergeCell ref="H43:H47"/>
    <mergeCell ref="H49:H53"/>
    <mergeCell ref="H55:H58"/>
    <mergeCell ref="H60:H63"/>
    <mergeCell ref="D3:F3"/>
    <mergeCell ref="H3:J3"/>
    <mergeCell ref="B114:E114"/>
    <mergeCell ref="H114:J114"/>
    <mergeCell ref="C5:C10"/>
    <mergeCell ref="C11:C19"/>
    <mergeCell ref="C20:C28"/>
    <mergeCell ref="C29:C34"/>
    <mergeCell ref="C35:C41"/>
    <mergeCell ref="C43:C44"/>
    <mergeCell ref="C51:C62"/>
    <mergeCell ref="H4:H7"/>
    <mergeCell ref="H10:H16"/>
    <mergeCell ref="H18:H24"/>
    <mergeCell ref="H26:H29"/>
    <mergeCell ref="H31:H35"/>
  </mergeCells>
  <phoneticPr fontId="19" type="noConversion"/>
  <pageMargins left="0.75" right="0.75" top="1" bottom="1" header="0.50902777777777797" footer="0.50902777777777797"/>
  <pageSetup paperSize="9" orientation="portrait" horizontalDpi="300" verticalDpi="300"/>
  <ignoredErrors>
    <ignoredError sqref="D87:D110 D83:D85" unlocked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10">
    <tabColor rgb="FFFF0000"/>
  </sheetPr>
  <dimension ref="A1:OI217"/>
  <sheetViews>
    <sheetView tabSelected="1" zoomScale="85" zoomScaleNormal="85" workbookViewId="0">
      <pane xSplit="12" ySplit="21" topLeftCell="FO22" activePane="bottomRight" state="frozen"/>
      <selection pane="topRight"/>
      <selection pane="bottomLeft"/>
      <selection pane="bottomRight" activeCell="FP219" sqref="FP219"/>
    </sheetView>
  </sheetViews>
  <sheetFormatPr defaultColWidth="9" defaultRowHeight="15" customHeight="1"/>
  <cols>
    <col min="1" max="1" width="9.75" customWidth="1"/>
    <col min="2" max="2" width="10.58203125" style="11" customWidth="1"/>
    <col min="3" max="3" width="10.58203125" customWidth="1"/>
    <col min="4" max="4" width="15.58203125" customWidth="1"/>
    <col min="5" max="5" width="10.58203125" customWidth="1"/>
    <col min="6" max="6" width="17.33203125" customWidth="1"/>
    <col min="7" max="7" width="6.08203125" customWidth="1"/>
    <col min="8" max="8" width="5.33203125" customWidth="1"/>
    <col min="9" max="9" width="8.33203125" customWidth="1"/>
    <col min="10" max="11" width="6.08203125" customWidth="1"/>
    <col min="12" max="12" width="10" style="12" customWidth="1"/>
    <col min="13" max="14" width="5.83203125" customWidth="1"/>
    <col min="15" max="15" width="7.83203125" customWidth="1"/>
    <col min="16" max="16" width="7.58203125" style="1" customWidth="1"/>
    <col min="17" max="17" width="6.08203125" customWidth="1"/>
    <col min="18" max="18" width="7.5" style="1" customWidth="1"/>
    <col min="19" max="19" width="13.25" style="13" customWidth="1"/>
    <col min="20" max="21" width="6.08203125" customWidth="1"/>
    <col min="22" max="22" width="6.08203125" style="1" customWidth="1"/>
    <col min="23" max="25" width="6.08203125" customWidth="1"/>
    <col min="26" max="26" width="11.5" style="1" customWidth="1"/>
    <col min="27" max="27" width="9.25" customWidth="1"/>
    <col min="28" max="28" width="14.75" customWidth="1"/>
    <col min="29" max="29" width="10.58203125" customWidth="1"/>
    <col min="30" max="30" width="11.33203125" customWidth="1"/>
    <col min="31" max="31" width="16.58203125" customWidth="1"/>
    <col min="32" max="32" width="9.58203125" customWidth="1"/>
    <col min="33" max="33" width="11.75" customWidth="1"/>
    <col min="34" max="34" width="11.4140625" customWidth="1"/>
    <col min="35" max="35" width="16.5" customWidth="1"/>
    <col min="36" max="36" width="14.08203125" customWidth="1"/>
    <col min="37" max="37" width="9.33203125" customWidth="1"/>
    <col min="38" max="38" width="16.08203125" customWidth="1"/>
    <col min="39" max="39" width="10.58203125" customWidth="1"/>
    <col min="40" max="40" width="16.83203125" style="12" customWidth="1"/>
    <col min="41" max="42" width="12.58203125" customWidth="1"/>
    <col min="43" max="43" width="10.75" customWidth="1"/>
    <col min="44" max="44" width="9" customWidth="1"/>
    <col min="45" max="45" width="8.5" customWidth="1"/>
    <col min="46" max="47" width="12.58203125" customWidth="1"/>
    <col min="48" max="48" width="10.75" customWidth="1"/>
    <col min="49" max="49" width="9" customWidth="1"/>
    <col min="50" max="50" width="8.5" customWidth="1"/>
    <col min="51" max="51" width="14.25" customWidth="1"/>
    <col min="52" max="52" width="12.25" customWidth="1"/>
    <col min="53" max="54" width="10.83203125" customWidth="1"/>
    <col min="55" max="55" width="8.5" customWidth="1"/>
    <col min="56" max="56" width="14.25" customWidth="1"/>
    <col min="57" max="57" width="14" customWidth="1"/>
    <col min="58" max="58" width="14.83203125" customWidth="1"/>
    <col min="59" max="59" width="10.83203125" customWidth="1"/>
    <col min="60" max="60" width="8.5" customWidth="1"/>
    <col min="61" max="61" width="7.5" customWidth="1"/>
    <col min="62" max="62" width="6.83203125" customWidth="1"/>
    <col min="63" max="63" width="13.33203125" customWidth="1"/>
    <col min="64" max="73" width="9" customWidth="1"/>
    <col min="74" max="74" width="14.25" customWidth="1"/>
    <col min="75" max="75" width="12.25" customWidth="1"/>
    <col min="76" max="77" width="10.83203125" customWidth="1"/>
    <col min="78" max="78" width="8.5" customWidth="1"/>
    <col min="79" max="79" width="14.25" customWidth="1"/>
    <col min="80" max="80" width="12.25" customWidth="1"/>
    <col min="81" max="82" width="10.83203125" customWidth="1"/>
    <col min="83" max="83" width="8.5" customWidth="1"/>
    <col min="84" max="84" width="6.83203125" customWidth="1"/>
    <col min="85" max="85" width="7.08203125" customWidth="1"/>
    <col min="86" max="86" width="7" customWidth="1"/>
    <col min="87" max="96" width="9" customWidth="1"/>
    <col min="97" max="97" width="14.25" customWidth="1"/>
    <col min="98" max="98" width="12.25" customWidth="1"/>
    <col min="99" max="100" width="10.83203125" customWidth="1"/>
    <col min="101" max="101" width="8.5" customWidth="1"/>
    <col min="102" max="102" width="14.25" customWidth="1"/>
    <col min="103" max="103" width="12.25" customWidth="1"/>
    <col min="104" max="105" width="10.83203125" customWidth="1"/>
    <col min="106" max="106" width="8.5" customWidth="1"/>
    <col min="107" max="107" width="6.83203125" customWidth="1"/>
    <col min="108" max="108" width="7.08203125" customWidth="1"/>
    <col min="109" max="109" width="13.33203125" customWidth="1"/>
    <col min="110" max="110" width="7.83203125" customWidth="1"/>
    <col min="111" max="112" width="8.25" customWidth="1"/>
    <col min="113" max="115" width="9" customWidth="1"/>
    <col min="116" max="117" width="8.25" customWidth="1"/>
    <col min="118" max="120" width="9" customWidth="1"/>
    <col min="121" max="121" width="13.5" customWidth="1"/>
    <col min="122" max="122" width="12.25" customWidth="1"/>
    <col min="123" max="124" width="10.83203125" customWidth="1"/>
    <col min="125" max="125" width="8.5" customWidth="1"/>
    <col min="126" max="126" width="13.5" customWidth="1"/>
    <col min="127" max="127" width="12.25" customWidth="1"/>
    <col min="128" max="129" width="10.83203125" customWidth="1"/>
    <col min="130" max="130" width="8.5" customWidth="1"/>
    <col min="131" max="131" width="6.83203125" customWidth="1"/>
    <col min="132" max="132" width="8.33203125" customWidth="1"/>
    <col min="133" max="134" width="8.5" customWidth="1"/>
    <col min="135" max="135" width="6" customWidth="1"/>
    <col min="136" max="136" width="13.08203125" customWidth="1"/>
    <col min="137" max="138" width="8.33203125" customWidth="1"/>
    <col min="139" max="139" width="13.08203125" customWidth="1"/>
    <col min="140" max="140" width="19.08203125" customWidth="1"/>
    <col min="141" max="141" width="10.33203125" customWidth="1"/>
    <col min="142" max="142" width="7.33203125" customWidth="1"/>
    <col min="143" max="143" width="8.08203125" customWidth="1"/>
    <col min="144" max="144" width="12" customWidth="1"/>
    <col min="145" max="146" width="7.33203125" customWidth="1"/>
    <col min="147" max="147" width="9.25" customWidth="1"/>
    <col min="148" max="148" width="8.33203125" customWidth="1"/>
    <col min="149" max="149" width="8.83203125" customWidth="1"/>
    <col min="150" max="154" width="10.33203125" customWidth="1"/>
    <col min="155" max="155" width="16.25" customWidth="1"/>
    <col min="156" max="156" width="8.33203125" customWidth="1"/>
    <col min="157" max="157" width="8.58203125" customWidth="1"/>
    <col min="158" max="159" width="11" customWidth="1"/>
    <col min="160" max="160" width="11.08203125" customWidth="1"/>
    <col min="161" max="161" width="6.08203125" customWidth="1"/>
    <col min="162" max="162" width="9.33203125" customWidth="1"/>
    <col min="163" max="163" width="9" customWidth="1"/>
    <col min="164" max="164" width="11.33203125" customWidth="1"/>
    <col min="165" max="165" width="5.83203125" customWidth="1"/>
    <col min="166" max="166" width="9.25" customWidth="1"/>
    <col min="167" max="167" width="8.5" customWidth="1"/>
    <col min="168" max="168" width="13.08203125" customWidth="1"/>
    <col min="169" max="169" width="10.58203125" customWidth="1"/>
    <col min="170" max="170" width="10.75" customWidth="1"/>
    <col min="171" max="171" width="8.83203125" customWidth="1"/>
    <col min="172" max="172" width="23.83203125" customWidth="1"/>
    <col min="173" max="173" width="11.33203125" customWidth="1"/>
    <col min="174" max="174" width="11.33203125" style="14" customWidth="1"/>
    <col min="175" max="175" width="11.58203125" style="1" customWidth="1"/>
    <col min="176" max="176" width="10.58203125" style="15" customWidth="1"/>
    <col min="177" max="177" width="11" style="15" customWidth="1"/>
    <col min="178" max="178" width="8.33203125" style="15" customWidth="1"/>
    <col min="179" max="179" width="9.58203125" style="15" customWidth="1"/>
    <col min="180" max="180" width="10.5" style="15" customWidth="1"/>
    <col min="181" max="181" width="9" style="15" customWidth="1"/>
    <col min="182" max="182" width="6.08203125" style="15" customWidth="1"/>
    <col min="183" max="183" width="11.08203125" style="15" customWidth="1"/>
    <col min="184" max="184" width="8.25" style="15" customWidth="1"/>
    <col min="185" max="185" width="12.5" style="15" customWidth="1"/>
    <col min="186" max="186" width="8.33203125" style="15" customWidth="1"/>
    <col min="187" max="187" width="9.58203125" style="15" customWidth="1"/>
    <col min="188" max="188" width="10.75" style="15" customWidth="1"/>
    <col min="189" max="189" width="10" style="15" customWidth="1"/>
    <col min="190" max="190" width="6.08203125" style="15" customWidth="1"/>
    <col min="191" max="191" width="8.33203125" style="15" customWidth="1"/>
    <col min="192" max="192" width="9" style="15" customWidth="1"/>
    <col min="193" max="193" width="9.25" style="15" customWidth="1"/>
    <col min="194" max="194" width="6.08203125" style="15" customWidth="1"/>
    <col min="195" max="195" width="9" style="15" customWidth="1"/>
    <col min="196" max="196" width="10.58203125" style="15" customWidth="1"/>
    <col min="197" max="197" width="9.25" style="15" customWidth="1"/>
    <col min="198" max="198" width="10.58203125" style="15" customWidth="1"/>
    <col min="199" max="199" width="8.08203125" style="15" customWidth="1"/>
    <col min="200" max="200" width="6.08203125" style="15" customWidth="1"/>
    <col min="201" max="201" width="10.5" style="15" customWidth="1"/>
    <col min="202" max="202" width="8" style="15" customWidth="1"/>
    <col min="203" max="203" width="13.33203125" style="15" customWidth="1"/>
    <col min="204" max="204" width="8.08203125" style="15" customWidth="1"/>
    <col min="205" max="205" width="6.08203125" style="15" customWidth="1"/>
    <col min="206" max="207" width="13.33203125" style="15" customWidth="1"/>
    <col min="208" max="208" width="10.33203125" style="15" customWidth="1"/>
    <col min="209" max="209" width="6.08203125" style="15" customWidth="1"/>
    <col min="210" max="210" width="9.75" style="15" customWidth="1"/>
    <col min="211" max="212" width="10.33203125" style="15" customWidth="1"/>
    <col min="213" max="213" width="6.08203125" style="15" customWidth="1"/>
    <col min="214" max="214" width="9.75" style="15" customWidth="1"/>
    <col min="215" max="216" width="10.33203125" style="15" customWidth="1"/>
    <col min="217" max="217" width="5.33203125" style="15" customWidth="1"/>
    <col min="218" max="220" width="10.33203125" style="15" customWidth="1"/>
    <col min="221" max="221" width="6.08203125" style="15" customWidth="1"/>
    <col min="222" max="222" width="9.75" style="15" customWidth="1"/>
    <col min="223" max="224" width="10.33203125" style="15" customWidth="1"/>
    <col min="225" max="225" width="6.08203125" style="15" customWidth="1"/>
    <col min="226" max="226" width="9.75" style="15" customWidth="1"/>
    <col min="227" max="228" width="10.33203125" style="15" customWidth="1"/>
    <col min="229" max="229" width="6.08203125" style="15" customWidth="1"/>
    <col min="230" max="230" width="9.75" style="15" customWidth="1"/>
    <col min="231" max="232" width="10.33203125" style="15" customWidth="1"/>
    <col min="233" max="233" width="8" style="15" customWidth="1"/>
    <col min="234" max="236" width="10.33203125" style="15" customWidth="1"/>
    <col min="237" max="237" width="6.08203125" style="15" customWidth="1"/>
    <col min="238" max="238" width="9.75" style="15" customWidth="1"/>
    <col min="239" max="240" width="10.33203125" style="15" customWidth="1"/>
    <col min="241" max="244" width="7.33203125" style="15" customWidth="1"/>
    <col min="245" max="245" width="7.83203125" style="15" customWidth="1"/>
    <col min="246" max="246" width="6.08203125" style="15" customWidth="1"/>
    <col min="247" max="247" width="9.33203125" style="15" customWidth="1"/>
    <col min="248" max="248" width="8.33203125" style="15" customWidth="1"/>
    <col min="249" max="249" width="6.08203125" style="15" customWidth="1"/>
    <col min="250" max="250" width="5.83203125" style="15" customWidth="1"/>
    <col min="251" max="251" width="9.25" style="15" customWidth="1"/>
    <col min="252" max="252" width="8.5" style="15" customWidth="1"/>
    <col min="253" max="253" width="10.5" style="15" customWidth="1"/>
    <col min="254" max="254" width="10.58203125" style="15" customWidth="1"/>
    <col min="255" max="255" width="10.75" style="15" customWidth="1"/>
    <col min="256" max="256" width="8.83203125" style="15" customWidth="1"/>
    <col min="257" max="257" width="10.75" style="15" customWidth="1"/>
    <col min="258" max="260" width="11.33203125" style="15" customWidth="1"/>
    <col min="261" max="261" width="10.5" style="15" customWidth="1"/>
    <col min="262" max="262" width="10.33203125" customWidth="1"/>
    <col min="263" max="263" width="6.33203125" customWidth="1"/>
    <col min="264" max="264" width="13.33203125" customWidth="1"/>
    <col min="265" max="265" width="9.75" customWidth="1"/>
    <col min="266" max="266" width="11" customWidth="1"/>
    <col min="267" max="267" width="7" customWidth="1"/>
    <col min="268" max="268" width="10" customWidth="1"/>
    <col min="269" max="269" width="11.08203125" customWidth="1"/>
    <col min="270" max="270" width="8.58203125" customWidth="1"/>
    <col min="271" max="271" width="10" customWidth="1"/>
    <col min="272" max="272" width="9" customWidth="1"/>
    <col min="273" max="273" width="6.08203125" customWidth="1"/>
    <col min="274" max="274" width="11.08203125" customWidth="1"/>
    <col min="275" max="275" width="8.25" customWidth="1"/>
    <col min="276" max="276" width="9" customWidth="1"/>
    <col min="277" max="277" width="6.08203125" customWidth="1"/>
    <col min="278" max="278" width="11.08203125" customWidth="1"/>
    <col min="279" max="279" width="8.25" customWidth="1"/>
    <col min="280" max="280" width="12.5" customWidth="1"/>
    <col min="281" max="281" width="8.33203125" customWidth="1"/>
    <col min="282" max="282" width="9.58203125" customWidth="1"/>
    <col min="283" max="283" width="11.5" customWidth="1"/>
    <col min="284" max="284" width="10" customWidth="1"/>
    <col min="285" max="285" width="6.08203125" customWidth="1"/>
    <col min="286" max="286" width="8.33203125" customWidth="1"/>
    <col min="287" max="287" width="9" customWidth="1"/>
    <col min="288" max="288" width="9.25" customWidth="1"/>
    <col min="289" max="289" width="6.08203125" customWidth="1"/>
    <col min="290" max="290" width="9" customWidth="1"/>
    <col min="291" max="291" width="10.58203125" customWidth="1"/>
    <col min="292" max="292" width="9.25" customWidth="1"/>
    <col min="293" max="293" width="10.58203125" customWidth="1"/>
    <col min="294" max="294" width="12.08203125" customWidth="1"/>
    <col min="295" max="295" width="6.08203125" customWidth="1"/>
    <col min="296" max="297" width="13.33203125" customWidth="1"/>
    <col min="298" max="298" width="8.08203125" customWidth="1"/>
    <col min="299" max="299" width="6.08203125" customWidth="1"/>
    <col min="300" max="301" width="13.33203125" customWidth="1"/>
    <col min="302" max="302" width="10.33203125" customWidth="1"/>
    <col min="303" max="303" width="6.08203125" customWidth="1"/>
    <col min="304" max="304" width="9.75" customWidth="1"/>
    <col min="305" max="306" width="10.33203125" customWidth="1"/>
    <col min="307" max="307" width="6.08203125" customWidth="1"/>
    <col min="308" max="308" width="9.75" customWidth="1"/>
    <col min="309" max="310" width="10.33203125" customWidth="1"/>
    <col min="311" max="311" width="6.5" customWidth="1"/>
    <col min="312" max="312" width="10.33203125" customWidth="1"/>
    <col min="313" max="313" width="9.5" customWidth="1"/>
    <col min="314" max="314" width="10.33203125" customWidth="1"/>
    <col min="315" max="315" width="6.5" customWidth="1"/>
    <col min="316" max="316" width="10.33203125" customWidth="1"/>
    <col min="317" max="317" width="9.5" customWidth="1"/>
    <col min="318" max="318" width="10.33203125" customWidth="1"/>
    <col min="319" max="319" width="6.08203125" customWidth="1"/>
    <col min="320" max="320" width="9.75" customWidth="1"/>
    <col min="321" max="322" width="10.33203125" customWidth="1"/>
    <col min="323" max="323" width="6.08203125" customWidth="1"/>
    <col min="324" max="324" width="9.75" customWidth="1"/>
    <col min="325" max="326" width="10.33203125" customWidth="1"/>
    <col min="327" max="327" width="6.5" customWidth="1"/>
    <col min="328" max="328" width="10.33203125" customWidth="1"/>
    <col min="329" max="329" width="9.5" customWidth="1"/>
    <col min="330" max="330" width="10.33203125" customWidth="1"/>
    <col min="331" max="331" width="6.5" customWidth="1"/>
    <col min="332" max="332" width="10.33203125" customWidth="1"/>
    <col min="333" max="333" width="9.5" customWidth="1"/>
    <col min="334" max="334" width="20.5" customWidth="1"/>
    <col min="335" max="335" width="17.58203125" customWidth="1"/>
    <col min="336" max="336" width="15.08203125" customWidth="1"/>
    <col min="337" max="337" width="15.5" customWidth="1"/>
    <col min="338" max="338" width="13.33203125" customWidth="1"/>
    <col min="339" max="339" width="13.08203125" customWidth="1"/>
    <col min="340" max="340" width="18.58203125" customWidth="1"/>
    <col min="341" max="347" width="9" customWidth="1"/>
    <col min="348" max="348" width="18.08203125" customWidth="1"/>
    <col min="349" max="349" width="18.58203125" customWidth="1"/>
    <col min="350" max="351" width="11.25" customWidth="1"/>
    <col min="352" max="352" width="17.08203125" customWidth="1"/>
    <col min="353" max="353" width="9.08203125" customWidth="1"/>
    <col min="354" max="354" width="13.5" customWidth="1"/>
    <col min="355" max="355" width="18.33203125" customWidth="1"/>
    <col min="356" max="356" width="16.58203125" customWidth="1"/>
    <col min="357" max="361" width="11.33203125" customWidth="1"/>
    <col min="362" max="365" width="9.08203125" customWidth="1"/>
    <col min="366" max="366" width="13.5" customWidth="1"/>
    <col min="367" max="368" width="16.5" customWidth="1"/>
    <col min="369" max="373" width="11.33203125" customWidth="1"/>
    <col min="374" max="374" width="9" customWidth="1"/>
    <col min="375" max="375" width="15" customWidth="1"/>
    <col min="376" max="376" width="10.5" customWidth="1"/>
    <col min="377" max="377" width="14.08203125" customWidth="1"/>
    <col min="378" max="378" width="15.58203125" customWidth="1"/>
    <col min="379" max="379" width="17.08203125" customWidth="1"/>
    <col min="380" max="380" width="15.83203125" customWidth="1"/>
    <col min="381" max="381" width="17.33203125" customWidth="1"/>
    <col min="382" max="382" width="15.5" customWidth="1"/>
    <col min="383" max="383" width="15" customWidth="1"/>
    <col min="384" max="384" width="14.08203125" customWidth="1"/>
    <col min="385" max="385" width="17.08203125" customWidth="1"/>
    <col min="386" max="386" width="17.33203125" customWidth="1"/>
    <col min="387" max="392" width="9" customWidth="1"/>
    <col min="393" max="393" width="15.83203125" customWidth="1"/>
    <col min="394" max="394" width="20.25" customWidth="1"/>
    <col min="395" max="395" width="18.25" customWidth="1"/>
    <col min="396" max="396" width="22.25" customWidth="1"/>
    <col min="397" max="397" width="8.58203125" customWidth="1"/>
    <col min="398" max="398" width="21.5" customWidth="1"/>
    <col min="399" max="399" width="9" customWidth="1"/>
  </cols>
  <sheetData>
    <row r="1" spans="1:398" ht="15" customHeight="1"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>
        <v>121</v>
      </c>
      <c r="DU1">
        <v>122</v>
      </c>
      <c r="DV1">
        <v>123</v>
      </c>
      <c r="DW1">
        <v>124</v>
      </c>
      <c r="DX1">
        <v>125</v>
      </c>
      <c r="DY1">
        <v>126</v>
      </c>
      <c r="DZ1">
        <v>127</v>
      </c>
      <c r="EA1">
        <v>128</v>
      </c>
      <c r="EB1">
        <v>129</v>
      </c>
      <c r="EC1">
        <v>130</v>
      </c>
      <c r="ED1">
        <v>131</v>
      </c>
      <c r="EE1">
        <v>132</v>
      </c>
      <c r="EF1">
        <v>133</v>
      </c>
      <c r="EG1">
        <v>134</v>
      </c>
      <c r="EH1">
        <v>135</v>
      </c>
      <c r="EI1">
        <v>136</v>
      </c>
      <c r="EJ1">
        <v>137</v>
      </c>
      <c r="EK1">
        <v>138</v>
      </c>
      <c r="EL1">
        <v>139</v>
      </c>
      <c r="EM1">
        <v>140</v>
      </c>
      <c r="EN1">
        <v>141</v>
      </c>
      <c r="EO1">
        <v>142</v>
      </c>
      <c r="EP1">
        <v>143</v>
      </c>
      <c r="EQ1">
        <v>144</v>
      </c>
      <c r="ER1">
        <v>145</v>
      </c>
      <c r="ES1">
        <v>146</v>
      </c>
      <c r="ET1">
        <v>147</v>
      </c>
      <c r="EU1">
        <v>148</v>
      </c>
      <c r="EV1">
        <v>149</v>
      </c>
      <c r="EW1">
        <v>150</v>
      </c>
      <c r="EX1">
        <v>151</v>
      </c>
      <c r="EY1">
        <v>152</v>
      </c>
      <c r="EZ1">
        <v>153</v>
      </c>
      <c r="FA1">
        <v>154</v>
      </c>
      <c r="FB1">
        <v>155</v>
      </c>
      <c r="FC1">
        <v>156</v>
      </c>
      <c r="FD1">
        <v>157</v>
      </c>
      <c r="FE1">
        <v>158</v>
      </c>
      <c r="FF1">
        <v>159</v>
      </c>
      <c r="FG1">
        <v>160</v>
      </c>
      <c r="FH1">
        <v>161</v>
      </c>
      <c r="FI1">
        <v>162</v>
      </c>
      <c r="FJ1">
        <v>163</v>
      </c>
      <c r="FK1">
        <v>164</v>
      </c>
      <c r="FL1">
        <v>165</v>
      </c>
      <c r="FM1">
        <v>166</v>
      </c>
      <c r="FN1">
        <v>167</v>
      </c>
      <c r="FO1">
        <v>168</v>
      </c>
      <c r="FP1">
        <v>169</v>
      </c>
      <c r="FQ1">
        <v>170</v>
      </c>
      <c r="FR1">
        <v>171</v>
      </c>
      <c r="FS1">
        <v>172</v>
      </c>
      <c r="FT1">
        <v>173</v>
      </c>
      <c r="FU1">
        <v>174</v>
      </c>
      <c r="FV1">
        <v>175</v>
      </c>
      <c r="FW1">
        <v>176</v>
      </c>
      <c r="FX1">
        <v>177</v>
      </c>
      <c r="FY1">
        <v>178</v>
      </c>
      <c r="FZ1">
        <v>179</v>
      </c>
      <c r="GA1">
        <v>180</v>
      </c>
      <c r="GB1">
        <v>181</v>
      </c>
      <c r="GC1">
        <v>182</v>
      </c>
      <c r="GD1">
        <v>183</v>
      </c>
      <c r="GE1">
        <v>184</v>
      </c>
      <c r="GF1">
        <v>185</v>
      </c>
      <c r="GG1">
        <v>186</v>
      </c>
      <c r="GH1">
        <v>187</v>
      </c>
      <c r="GI1">
        <v>188</v>
      </c>
      <c r="GJ1">
        <v>189</v>
      </c>
      <c r="GK1">
        <v>190</v>
      </c>
      <c r="GL1">
        <v>191</v>
      </c>
      <c r="GM1">
        <v>192</v>
      </c>
      <c r="GN1">
        <v>193</v>
      </c>
      <c r="GO1">
        <v>194</v>
      </c>
      <c r="GP1">
        <v>195</v>
      </c>
      <c r="GQ1">
        <v>196</v>
      </c>
      <c r="GR1">
        <v>197</v>
      </c>
      <c r="GS1">
        <v>198</v>
      </c>
      <c r="GT1">
        <v>199</v>
      </c>
      <c r="GU1">
        <v>200</v>
      </c>
      <c r="GV1">
        <v>201</v>
      </c>
      <c r="GW1">
        <v>202</v>
      </c>
      <c r="GX1">
        <v>203</v>
      </c>
      <c r="GY1">
        <v>204</v>
      </c>
      <c r="GZ1">
        <v>205</v>
      </c>
      <c r="HA1">
        <v>206</v>
      </c>
      <c r="HB1">
        <v>207</v>
      </c>
      <c r="HC1">
        <v>208</v>
      </c>
      <c r="HD1">
        <v>209</v>
      </c>
      <c r="HE1">
        <v>210</v>
      </c>
      <c r="HF1">
        <v>211</v>
      </c>
      <c r="HG1">
        <v>212</v>
      </c>
      <c r="HH1">
        <v>213</v>
      </c>
      <c r="HI1">
        <v>214</v>
      </c>
      <c r="HJ1">
        <v>215</v>
      </c>
      <c r="HK1">
        <v>216</v>
      </c>
      <c r="HL1">
        <v>217</v>
      </c>
      <c r="HM1">
        <v>218</v>
      </c>
      <c r="HN1">
        <v>219</v>
      </c>
      <c r="HO1">
        <v>220</v>
      </c>
      <c r="HP1">
        <v>221</v>
      </c>
      <c r="HQ1">
        <v>222</v>
      </c>
      <c r="HR1">
        <v>223</v>
      </c>
      <c r="HS1">
        <v>224</v>
      </c>
      <c r="HT1">
        <v>225</v>
      </c>
      <c r="HU1">
        <v>226</v>
      </c>
      <c r="HV1">
        <v>227</v>
      </c>
      <c r="HW1">
        <v>228</v>
      </c>
      <c r="HX1">
        <v>229</v>
      </c>
      <c r="HY1">
        <v>230</v>
      </c>
      <c r="HZ1">
        <v>231</v>
      </c>
      <c r="IA1">
        <v>232</v>
      </c>
      <c r="IB1">
        <v>233</v>
      </c>
      <c r="IC1">
        <v>234</v>
      </c>
      <c r="ID1">
        <v>235</v>
      </c>
      <c r="IE1">
        <v>236</v>
      </c>
      <c r="IF1">
        <v>237</v>
      </c>
      <c r="IG1">
        <v>238</v>
      </c>
      <c r="IH1">
        <v>239</v>
      </c>
      <c r="II1">
        <v>240</v>
      </c>
      <c r="IJ1">
        <v>241</v>
      </c>
      <c r="IK1">
        <v>242</v>
      </c>
      <c r="IL1">
        <v>243</v>
      </c>
      <c r="IM1">
        <v>244</v>
      </c>
      <c r="IN1">
        <v>245</v>
      </c>
      <c r="IO1">
        <v>246</v>
      </c>
      <c r="IP1">
        <v>247</v>
      </c>
      <c r="IQ1">
        <v>248</v>
      </c>
      <c r="IR1">
        <v>249</v>
      </c>
      <c r="IS1">
        <v>250</v>
      </c>
      <c r="IT1">
        <v>251</v>
      </c>
      <c r="IU1">
        <v>252</v>
      </c>
      <c r="IV1">
        <v>253</v>
      </c>
      <c r="IW1">
        <v>254</v>
      </c>
      <c r="IX1">
        <v>255</v>
      </c>
      <c r="IY1">
        <v>256</v>
      </c>
      <c r="IZ1">
        <v>257</v>
      </c>
      <c r="JA1">
        <v>258</v>
      </c>
      <c r="JB1">
        <v>259</v>
      </c>
      <c r="JC1">
        <v>260</v>
      </c>
      <c r="JD1">
        <v>261</v>
      </c>
      <c r="JE1">
        <v>262</v>
      </c>
      <c r="JF1">
        <v>263</v>
      </c>
      <c r="JG1">
        <v>264</v>
      </c>
      <c r="JH1">
        <v>265</v>
      </c>
      <c r="JI1">
        <v>266</v>
      </c>
      <c r="JJ1">
        <v>267</v>
      </c>
      <c r="JK1">
        <v>268</v>
      </c>
      <c r="JL1">
        <v>269</v>
      </c>
      <c r="JM1">
        <v>270</v>
      </c>
      <c r="JN1">
        <v>271</v>
      </c>
      <c r="JO1">
        <v>272</v>
      </c>
      <c r="JP1">
        <v>273</v>
      </c>
      <c r="JQ1">
        <v>274</v>
      </c>
      <c r="JR1">
        <v>275</v>
      </c>
      <c r="JS1">
        <v>276</v>
      </c>
      <c r="JT1">
        <v>277</v>
      </c>
      <c r="JU1">
        <v>278</v>
      </c>
      <c r="JV1">
        <v>279</v>
      </c>
      <c r="JW1">
        <v>280</v>
      </c>
      <c r="JX1">
        <v>281</v>
      </c>
      <c r="JY1">
        <v>282</v>
      </c>
      <c r="JZ1">
        <v>283</v>
      </c>
      <c r="KA1">
        <v>284</v>
      </c>
      <c r="KB1">
        <v>285</v>
      </c>
      <c r="KC1">
        <v>286</v>
      </c>
      <c r="KD1">
        <v>287</v>
      </c>
      <c r="KE1">
        <v>288</v>
      </c>
      <c r="KF1">
        <v>289</v>
      </c>
      <c r="KG1">
        <v>290</v>
      </c>
      <c r="KH1">
        <v>291</v>
      </c>
      <c r="KI1">
        <v>292</v>
      </c>
      <c r="KJ1">
        <v>293</v>
      </c>
      <c r="KK1">
        <v>294</v>
      </c>
      <c r="KL1">
        <v>295</v>
      </c>
      <c r="KM1">
        <v>296</v>
      </c>
      <c r="KN1">
        <v>297</v>
      </c>
      <c r="KO1">
        <v>298</v>
      </c>
      <c r="KP1">
        <v>299</v>
      </c>
      <c r="KQ1">
        <v>300</v>
      </c>
      <c r="KR1">
        <v>301</v>
      </c>
      <c r="KS1">
        <v>302</v>
      </c>
      <c r="KT1">
        <v>303</v>
      </c>
      <c r="KU1">
        <v>304</v>
      </c>
      <c r="KV1">
        <v>305</v>
      </c>
      <c r="KW1">
        <v>306</v>
      </c>
      <c r="KX1">
        <v>307</v>
      </c>
      <c r="KY1">
        <v>308</v>
      </c>
      <c r="KZ1">
        <v>309</v>
      </c>
      <c r="LA1">
        <v>310</v>
      </c>
      <c r="LB1">
        <v>311</v>
      </c>
      <c r="LC1">
        <v>312</v>
      </c>
      <c r="LD1">
        <v>313</v>
      </c>
      <c r="LE1">
        <v>314</v>
      </c>
      <c r="LF1">
        <v>315</v>
      </c>
      <c r="LG1">
        <v>316</v>
      </c>
      <c r="LH1">
        <v>317</v>
      </c>
      <c r="LI1">
        <v>318</v>
      </c>
      <c r="LJ1">
        <v>319</v>
      </c>
      <c r="LK1">
        <v>320</v>
      </c>
      <c r="LL1">
        <v>321</v>
      </c>
      <c r="LM1">
        <v>322</v>
      </c>
      <c r="LN1">
        <v>323</v>
      </c>
      <c r="LO1">
        <v>324</v>
      </c>
      <c r="LP1">
        <v>325</v>
      </c>
      <c r="LQ1">
        <v>326</v>
      </c>
      <c r="LR1">
        <v>327</v>
      </c>
      <c r="LS1">
        <v>328</v>
      </c>
      <c r="LT1">
        <v>329</v>
      </c>
      <c r="LU1">
        <v>330</v>
      </c>
      <c r="LV1">
        <v>331</v>
      </c>
      <c r="LW1">
        <v>332</v>
      </c>
      <c r="LX1">
        <v>333</v>
      </c>
      <c r="LY1">
        <v>334</v>
      </c>
      <c r="LZ1">
        <v>335</v>
      </c>
      <c r="MA1">
        <v>336</v>
      </c>
      <c r="MB1">
        <v>337</v>
      </c>
      <c r="MC1">
        <v>338</v>
      </c>
      <c r="MD1">
        <v>339</v>
      </c>
      <c r="ME1">
        <v>340</v>
      </c>
      <c r="MF1">
        <v>341</v>
      </c>
      <c r="MG1">
        <v>342</v>
      </c>
      <c r="MH1">
        <v>343</v>
      </c>
      <c r="MI1">
        <v>344</v>
      </c>
      <c r="MJ1">
        <v>345</v>
      </c>
      <c r="MK1">
        <v>346</v>
      </c>
      <c r="ML1">
        <v>347</v>
      </c>
      <c r="MM1">
        <v>348</v>
      </c>
      <c r="MN1">
        <v>349</v>
      </c>
      <c r="MO1">
        <v>350</v>
      </c>
      <c r="MP1">
        <v>351</v>
      </c>
      <c r="MQ1">
        <v>352</v>
      </c>
      <c r="MR1">
        <v>353</v>
      </c>
      <c r="MS1">
        <v>354</v>
      </c>
      <c r="MT1">
        <v>355</v>
      </c>
      <c r="MU1">
        <v>356</v>
      </c>
      <c r="MV1">
        <v>357</v>
      </c>
      <c r="MW1">
        <v>358</v>
      </c>
      <c r="MX1">
        <v>359</v>
      </c>
      <c r="MY1">
        <v>360</v>
      </c>
      <c r="MZ1">
        <v>361</v>
      </c>
      <c r="NA1">
        <v>362</v>
      </c>
      <c r="NB1">
        <v>363</v>
      </c>
      <c r="NC1">
        <v>364</v>
      </c>
      <c r="ND1">
        <v>365</v>
      </c>
      <c r="NE1">
        <v>366</v>
      </c>
      <c r="NF1">
        <v>367</v>
      </c>
      <c r="NG1">
        <v>368</v>
      </c>
      <c r="NH1">
        <v>369</v>
      </c>
      <c r="NI1">
        <v>370</v>
      </c>
      <c r="NJ1">
        <v>371</v>
      </c>
      <c r="NK1">
        <v>372</v>
      </c>
      <c r="NL1">
        <v>373</v>
      </c>
      <c r="NM1">
        <v>374</v>
      </c>
      <c r="NN1">
        <v>375</v>
      </c>
      <c r="NO1">
        <v>376</v>
      </c>
      <c r="NP1">
        <v>377</v>
      </c>
      <c r="NQ1">
        <v>378</v>
      </c>
      <c r="NR1">
        <v>379</v>
      </c>
      <c r="NS1">
        <v>380</v>
      </c>
      <c r="NT1">
        <v>381</v>
      </c>
      <c r="NU1">
        <v>382</v>
      </c>
      <c r="NV1">
        <v>383</v>
      </c>
      <c r="NW1">
        <v>384</v>
      </c>
      <c r="NX1">
        <v>385</v>
      </c>
      <c r="NY1">
        <v>386</v>
      </c>
      <c r="NZ1">
        <v>387</v>
      </c>
      <c r="OA1">
        <v>388</v>
      </c>
      <c r="OB1">
        <v>389</v>
      </c>
      <c r="OC1">
        <v>390</v>
      </c>
      <c r="OD1">
        <v>391</v>
      </c>
      <c r="OE1">
        <v>392</v>
      </c>
      <c r="OF1">
        <v>393</v>
      </c>
      <c r="OG1">
        <v>394</v>
      </c>
      <c r="OH1">
        <v>395</v>
      </c>
    </row>
    <row r="2" spans="1:398" ht="15" customHeight="1">
      <c r="A2" s="16"/>
      <c r="B2" s="838" t="s">
        <v>582</v>
      </c>
      <c r="C2" s="838"/>
      <c r="D2" s="838"/>
      <c r="E2" s="17">
        <v>-0.02</v>
      </c>
      <c r="F2" s="18"/>
      <c r="G2" s="19"/>
      <c r="H2" s="19"/>
      <c r="I2" s="19"/>
      <c r="J2" s="19"/>
      <c r="K2" s="19"/>
      <c r="L2" s="82"/>
      <c r="M2" s="19"/>
      <c r="N2" s="19"/>
      <c r="O2" s="19"/>
      <c r="P2" s="83"/>
      <c r="Q2" s="19"/>
      <c r="R2" s="109"/>
      <c r="S2" s="82"/>
      <c r="T2" s="19"/>
      <c r="U2" s="19"/>
      <c r="V2" s="109"/>
      <c r="W2" s="19"/>
      <c r="X2" s="110"/>
      <c r="Y2" s="19"/>
      <c r="Z2" s="109"/>
      <c r="AA2" s="152"/>
      <c r="AB2" s="153" t="s">
        <v>583</v>
      </c>
      <c r="AC2" s="153" t="s">
        <v>584</v>
      </c>
      <c r="AD2" s="65"/>
      <c r="AE2" s="65" t="s">
        <v>585</v>
      </c>
      <c r="AF2" s="65"/>
      <c r="AG2" s="65"/>
      <c r="AH2" s="65"/>
      <c r="AI2" s="65"/>
      <c r="AJ2" s="65"/>
      <c r="AK2" s="65"/>
      <c r="AL2" s="65"/>
      <c r="AM2" s="65"/>
      <c r="AN2" s="173"/>
      <c r="AO2" s="65"/>
      <c r="AP2" s="65" t="str">
        <f>$FB10</f>
        <v>导体金额</v>
      </c>
      <c r="AQ2" s="65"/>
      <c r="AR2" s="65" t="str">
        <f>$FQ9</f>
        <v>绝缘金额</v>
      </c>
      <c r="AS2" s="65" t="str">
        <f>$FX10</f>
        <v>填充绳(无阻燃)使用金额</v>
      </c>
      <c r="AT2" s="65" t="str">
        <f>$GP9</f>
        <v>包带金额</v>
      </c>
      <c r="AU2" s="65" t="str">
        <f>$HS10</f>
        <v>护套金额</v>
      </c>
      <c r="AV2" s="65"/>
      <c r="AW2" s="65"/>
      <c r="AX2" s="65"/>
      <c r="AY2" s="65"/>
      <c r="AZ2" s="65"/>
      <c r="BA2" s="200"/>
      <c r="BB2" s="200"/>
      <c r="BC2" s="201"/>
      <c r="BD2" s="65"/>
      <c r="BE2" s="65"/>
      <c r="BF2" s="200"/>
      <c r="BG2" s="200"/>
      <c r="BH2" s="201"/>
      <c r="BI2" s="202"/>
      <c r="BJ2" s="203"/>
      <c r="BK2" s="19"/>
      <c r="BL2" s="204"/>
      <c r="BM2" s="204"/>
      <c r="BN2" s="204"/>
      <c r="BO2" s="204"/>
      <c r="BP2" s="201"/>
      <c r="BQ2" s="204"/>
      <c r="BR2" s="204"/>
      <c r="BS2" s="204"/>
      <c r="BT2" s="204"/>
      <c r="BU2" s="201"/>
      <c r="BV2" s="65"/>
      <c r="BW2" s="65"/>
      <c r="BX2" s="200"/>
      <c r="BY2" s="200"/>
      <c r="BZ2" s="201"/>
      <c r="CA2" s="65"/>
      <c r="CB2" s="65"/>
      <c r="CC2" s="200"/>
      <c r="CD2" s="200"/>
      <c r="CE2" s="218"/>
      <c r="CF2" s="219"/>
      <c r="CG2" s="202"/>
      <c r="CH2" s="19"/>
      <c r="CI2" s="204"/>
      <c r="CJ2" s="204"/>
      <c r="CK2" s="204"/>
      <c r="CL2" s="204"/>
      <c r="CM2" s="201"/>
      <c r="CN2" s="204"/>
      <c r="CO2" s="204"/>
      <c r="CP2" s="204"/>
      <c r="CQ2" s="204"/>
      <c r="CR2" s="201"/>
      <c r="CS2" s="65"/>
      <c r="CT2" s="65"/>
      <c r="CU2" s="200"/>
      <c r="CV2" s="200"/>
      <c r="CW2" s="201"/>
      <c r="CX2" s="65"/>
      <c r="CY2" s="65"/>
      <c r="CZ2" s="200"/>
      <c r="DA2" s="200"/>
      <c r="DB2" s="218"/>
      <c r="DC2" s="219"/>
      <c r="DD2" s="202"/>
      <c r="DE2" s="19"/>
      <c r="DF2" s="19"/>
      <c r="DG2" s="204"/>
      <c r="DH2" s="204"/>
      <c r="DI2" s="204"/>
      <c r="DJ2" s="204"/>
      <c r="DK2" s="201"/>
      <c r="DL2" s="204"/>
      <c r="DM2" s="204"/>
      <c r="DN2" s="204"/>
      <c r="DO2" s="204"/>
      <c r="DP2" s="201"/>
      <c r="DQ2" s="65"/>
      <c r="DR2" s="65"/>
      <c r="DS2" s="200"/>
      <c r="DT2" s="200"/>
      <c r="DU2" s="201"/>
      <c r="DV2" s="65"/>
      <c r="DW2" s="65"/>
      <c r="DX2" s="200"/>
      <c r="DY2" s="200"/>
      <c r="DZ2" s="218"/>
      <c r="EA2" s="219"/>
      <c r="EB2" s="202"/>
      <c r="EC2" s="201"/>
      <c r="ED2" s="201"/>
      <c r="EE2" s="201"/>
      <c r="EF2" s="201"/>
      <c r="EG2" s="201"/>
      <c r="EH2" s="201"/>
      <c r="EI2" s="201"/>
      <c r="EJ2" s="201"/>
      <c r="EK2" s="201"/>
      <c r="EL2" s="201"/>
      <c r="EM2" s="201"/>
      <c r="EN2" s="201"/>
      <c r="EO2" s="201"/>
      <c r="EP2" s="201"/>
      <c r="EQ2" s="201"/>
      <c r="ER2" s="201"/>
      <c r="ES2" s="201"/>
      <c r="ET2" s="18"/>
      <c r="EU2" s="18"/>
      <c r="EV2" s="18"/>
      <c r="EW2" s="18"/>
      <c r="EX2" s="18"/>
      <c r="EY2" s="201"/>
      <c r="EZ2" s="201"/>
      <c r="FA2" s="201"/>
      <c r="FB2" s="201"/>
      <c r="FC2" s="201"/>
      <c r="FD2" s="201"/>
      <c r="FE2" s="201"/>
      <c r="FF2" s="201"/>
      <c r="FG2" s="201"/>
      <c r="FH2" s="201"/>
      <c r="FI2" s="201"/>
      <c r="FJ2" s="201"/>
      <c r="FK2" s="201"/>
      <c r="FL2" s="201"/>
      <c r="FM2" s="201"/>
      <c r="FN2" s="201"/>
      <c r="FO2" s="201"/>
      <c r="FP2" s="201"/>
      <c r="FQ2" s="201"/>
      <c r="FR2" s="265"/>
      <c r="FS2" s="266"/>
      <c r="FT2" s="267"/>
      <c r="FU2" s="267"/>
      <c r="FV2" s="267"/>
      <c r="FW2" s="267"/>
      <c r="FX2" s="267"/>
      <c r="FY2" s="267"/>
      <c r="FZ2" s="267"/>
      <c r="GA2" s="267"/>
      <c r="GB2" s="267"/>
      <c r="GC2" s="267"/>
      <c r="GD2" s="267"/>
      <c r="GE2" s="267"/>
      <c r="GF2" s="267"/>
      <c r="GG2" s="267"/>
      <c r="GH2" s="267"/>
      <c r="GI2" s="267"/>
      <c r="GJ2" s="267"/>
      <c r="GK2" s="267"/>
      <c r="GL2" s="267"/>
      <c r="GM2" s="267"/>
      <c r="GN2" s="267"/>
      <c r="GO2" s="267"/>
      <c r="GP2" s="312"/>
      <c r="GQ2" s="267"/>
      <c r="GR2" s="267"/>
      <c r="GS2" s="267"/>
      <c r="GT2" s="267"/>
      <c r="GU2" s="267"/>
      <c r="GV2" s="267"/>
      <c r="GW2" s="267"/>
      <c r="GX2" s="267"/>
      <c r="GY2" s="267"/>
      <c r="GZ2" s="267"/>
      <c r="HA2" s="267"/>
      <c r="HB2" s="267"/>
      <c r="HC2" s="267"/>
      <c r="HD2" s="267"/>
      <c r="HE2" s="267"/>
      <c r="HF2" s="267"/>
      <c r="HG2" s="267"/>
      <c r="HH2" s="267"/>
      <c r="HI2" s="267"/>
      <c r="HJ2" s="267"/>
      <c r="HK2" s="267"/>
      <c r="HL2" s="267"/>
      <c r="HM2" s="267"/>
      <c r="HN2" s="267"/>
      <c r="HO2" s="267"/>
      <c r="HP2" s="267"/>
      <c r="HQ2" s="267"/>
      <c r="HR2" s="267"/>
      <c r="HS2" s="267"/>
      <c r="HT2" s="267"/>
      <c r="HU2" s="267"/>
      <c r="HV2" s="267"/>
      <c r="HW2" s="267"/>
      <c r="HX2" s="267"/>
      <c r="HY2" s="267"/>
      <c r="HZ2" s="267"/>
      <c r="IA2" s="267"/>
      <c r="IB2" s="267"/>
      <c r="IC2" s="267"/>
      <c r="ID2" s="267"/>
      <c r="IE2" s="267"/>
      <c r="IF2" s="267"/>
      <c r="IG2" s="267"/>
      <c r="IH2" s="267"/>
      <c r="II2" s="267"/>
      <c r="IJ2" s="267"/>
      <c r="IK2" s="267"/>
      <c r="IL2" s="267"/>
      <c r="IM2" s="267"/>
      <c r="IN2" s="267"/>
      <c r="IO2" s="267"/>
      <c r="IP2" s="267"/>
      <c r="IQ2" s="267"/>
      <c r="IR2" s="267"/>
      <c r="IS2" s="267"/>
      <c r="IT2" s="267"/>
      <c r="IU2" s="267"/>
      <c r="IV2" s="267"/>
      <c r="IW2" s="267"/>
      <c r="IX2" s="267"/>
      <c r="IY2" s="267"/>
      <c r="IZ2" s="267"/>
      <c r="JA2" s="267"/>
      <c r="JB2" s="201"/>
      <c r="JC2" s="201"/>
      <c r="JD2" s="201"/>
      <c r="JE2" s="201"/>
      <c r="JF2" s="201"/>
      <c r="JG2" s="201"/>
      <c r="JH2" s="201"/>
      <c r="JI2" s="201"/>
      <c r="JJ2" s="201"/>
      <c r="JK2" s="201"/>
      <c r="JL2" s="201"/>
      <c r="JM2" s="201"/>
      <c r="JN2" s="201"/>
      <c r="JO2" s="201"/>
      <c r="JP2" s="201"/>
      <c r="JQ2" s="201"/>
      <c r="JR2" s="201"/>
      <c r="JS2" s="201"/>
      <c r="JT2" s="201"/>
      <c r="JU2" s="201"/>
      <c r="JV2" s="201"/>
      <c r="JW2" s="201"/>
      <c r="JX2" s="201"/>
      <c r="JY2" s="201"/>
      <c r="JZ2" s="201"/>
      <c r="KA2" s="201"/>
      <c r="KB2" s="201"/>
      <c r="KC2" s="201"/>
      <c r="KD2" s="201"/>
      <c r="KE2" s="201"/>
      <c r="KF2" s="201"/>
      <c r="KG2" s="72"/>
      <c r="KH2" s="201"/>
      <c r="KI2" s="201"/>
      <c r="KJ2" s="201"/>
      <c r="KK2" s="201"/>
      <c r="KL2" s="201"/>
      <c r="KM2" s="201"/>
      <c r="KN2" s="201"/>
      <c r="KO2" s="201"/>
      <c r="KP2" s="201"/>
      <c r="KQ2" s="201"/>
      <c r="KR2" s="201"/>
      <c r="KS2" s="201"/>
      <c r="KT2" s="201"/>
      <c r="KU2" s="201"/>
      <c r="KV2" s="201"/>
      <c r="KW2" s="201"/>
      <c r="KX2" s="201"/>
      <c r="KY2" s="201"/>
      <c r="KZ2" s="201"/>
      <c r="LA2" s="201"/>
      <c r="LB2" s="201"/>
      <c r="LC2" s="201"/>
      <c r="LD2" s="201"/>
      <c r="LE2" s="201"/>
      <c r="LF2" s="201"/>
      <c r="LG2" s="201"/>
      <c r="LH2" s="201"/>
      <c r="LI2" s="201"/>
      <c r="LJ2" s="201"/>
      <c r="LK2" s="201"/>
      <c r="LL2" s="201"/>
      <c r="LM2" s="201"/>
      <c r="LN2" s="201"/>
      <c r="LO2" s="201"/>
      <c r="LP2" s="201"/>
      <c r="LQ2" s="201"/>
      <c r="LR2" s="201"/>
      <c r="LS2" s="201"/>
      <c r="LT2" s="201"/>
      <c r="LU2" s="201"/>
      <c r="LZ2" s="1"/>
      <c r="MG2" s="1"/>
      <c r="MJ2" s="201"/>
      <c r="MK2" s="201"/>
      <c r="ML2" s="201"/>
      <c r="MM2" s="201"/>
      <c r="MN2" s="201"/>
      <c r="MO2" s="201"/>
      <c r="MP2" s="201"/>
      <c r="MQ2" s="201"/>
      <c r="MR2" s="201"/>
      <c r="MS2" s="201"/>
      <c r="MT2" s="201"/>
      <c r="MU2" s="201"/>
      <c r="MV2" s="201"/>
      <c r="MW2" s="201"/>
      <c r="MX2" s="201"/>
      <c r="MY2" s="201"/>
      <c r="MZ2" s="201"/>
      <c r="NA2" s="201"/>
      <c r="NB2" s="201"/>
      <c r="NC2" s="201"/>
      <c r="ND2" s="201"/>
      <c r="NE2" s="201"/>
      <c r="NF2" s="201"/>
      <c r="NG2" s="201"/>
      <c r="NH2" s="201"/>
      <c r="NI2" s="201"/>
      <c r="NN2" s="227"/>
      <c r="NO2" s="227"/>
      <c r="NP2" s="227"/>
      <c r="NQ2" s="227"/>
      <c r="NR2" s="227"/>
      <c r="NU2" s="227"/>
      <c r="NV2" s="227"/>
    </row>
    <row r="3" spans="1:398" ht="15" customHeight="1">
      <c r="A3" s="20"/>
      <c r="B3" s="838" t="s">
        <v>586</v>
      </c>
      <c r="C3" s="838"/>
      <c r="D3" s="838"/>
      <c r="E3" s="21"/>
      <c r="F3" s="22" t="s">
        <v>587</v>
      </c>
      <c r="G3" s="23"/>
      <c r="H3" s="23"/>
      <c r="I3" s="23"/>
      <c r="J3" s="23"/>
      <c r="K3" s="23"/>
      <c r="L3" s="23"/>
      <c r="M3" s="23"/>
      <c r="N3" s="23"/>
      <c r="O3" s="23"/>
      <c r="P3" s="84"/>
      <c r="Q3" s="23"/>
      <c r="R3" s="111"/>
      <c r="S3" s="112"/>
      <c r="T3" s="23"/>
      <c r="U3" s="23"/>
      <c r="V3" s="111"/>
      <c r="W3" s="113"/>
      <c r="X3" s="114"/>
      <c r="Y3" s="114"/>
      <c r="Z3" s="154"/>
      <c r="AA3" s="155"/>
      <c r="AB3">
        <v>19</v>
      </c>
      <c r="AC3" s="153">
        <v>1</v>
      </c>
      <c r="AD3" s="153"/>
      <c r="AE3" s="153" t="s">
        <v>588</v>
      </c>
      <c r="AF3" s="72"/>
      <c r="AG3" s="72"/>
      <c r="AH3" s="72"/>
      <c r="AI3" s="72"/>
      <c r="AJ3" s="72"/>
      <c r="AK3" s="72"/>
      <c r="AL3" s="72"/>
      <c r="AM3" s="72"/>
      <c r="AN3" s="174"/>
      <c r="AO3" s="190" t="s">
        <v>589</v>
      </c>
      <c r="AP3" s="190">
        <f>$FB144</f>
        <v>972.7693039493962</v>
      </c>
      <c r="AQ3" s="190"/>
      <c r="AR3" s="190">
        <f>$FQ144</f>
        <v>8.6131370340620972</v>
      </c>
      <c r="AS3" s="72">
        <f>$FX144</f>
        <v>4.6102975099777579</v>
      </c>
      <c r="AT3" s="190">
        <f>$GP144</f>
        <v>0.25857483761799438</v>
      </c>
      <c r="AU3" s="190">
        <f>$HS144</f>
        <v>12.785904073932038</v>
      </c>
      <c r="AV3" s="190">
        <f>SUM(AP3:AU3)</f>
        <v>999.037217404986</v>
      </c>
      <c r="AW3" s="190"/>
      <c r="AX3" s="72"/>
      <c r="AY3" s="190"/>
      <c r="AZ3" s="190"/>
      <c r="BA3" s="114" t="s">
        <v>590</v>
      </c>
      <c r="BB3" s="114"/>
      <c r="BC3" s="114"/>
      <c r="BD3" s="190"/>
      <c r="BE3" s="190"/>
      <c r="BF3" s="114" t="s">
        <v>590</v>
      </c>
      <c r="BG3" s="114"/>
      <c r="BH3" s="114"/>
      <c r="BI3" s="114"/>
      <c r="BJ3" s="114"/>
      <c r="BK3" s="114"/>
      <c r="BL3" s="114"/>
      <c r="BM3" s="114"/>
      <c r="BN3" s="114"/>
      <c r="BO3" s="114"/>
      <c r="BP3" s="114"/>
      <c r="BQ3" s="114"/>
      <c r="BR3" s="114"/>
      <c r="BS3" s="114"/>
      <c r="BT3" s="114"/>
      <c r="BU3" s="114"/>
      <c r="BV3" s="120"/>
      <c r="BW3" s="120"/>
      <c r="BX3" s="114"/>
      <c r="BY3" s="114" t="s">
        <v>590</v>
      </c>
      <c r="BZ3" s="114"/>
      <c r="CA3" s="120"/>
      <c r="CB3" s="120"/>
      <c r="CC3" s="114"/>
      <c r="CD3" s="114" t="s">
        <v>590</v>
      </c>
      <c r="CE3" s="114"/>
      <c r="CF3" s="114"/>
      <c r="CG3" s="114"/>
      <c r="CH3" s="114"/>
      <c r="CI3" s="114"/>
      <c r="CJ3" s="114"/>
      <c r="CK3" s="114"/>
      <c r="CL3" s="114"/>
      <c r="CM3" s="114"/>
      <c r="CN3" s="114"/>
      <c r="CO3" s="114"/>
      <c r="CP3" s="114"/>
      <c r="CQ3" s="114"/>
      <c r="CR3" s="114"/>
      <c r="CS3" s="120"/>
      <c r="CT3" s="120"/>
      <c r="CU3" s="114"/>
      <c r="CV3" s="114" t="s">
        <v>590</v>
      </c>
      <c r="CW3" s="114"/>
      <c r="CX3" s="120"/>
      <c r="CY3" s="120"/>
      <c r="CZ3" s="114"/>
      <c r="DA3" s="114" t="s">
        <v>590</v>
      </c>
      <c r="DB3" s="114"/>
      <c r="DC3" s="114"/>
      <c r="DD3" s="114"/>
      <c r="DE3" s="114"/>
      <c r="DF3" s="114"/>
      <c r="DG3" s="114"/>
      <c r="DH3" s="114"/>
      <c r="DI3" s="114"/>
      <c r="DJ3" s="114"/>
      <c r="DK3" s="114"/>
      <c r="DL3" s="114"/>
      <c r="DM3" s="114"/>
      <c r="DN3" s="114"/>
      <c r="DO3" s="114"/>
      <c r="DP3" s="114"/>
      <c r="DQ3" s="120"/>
      <c r="DR3" s="120"/>
      <c r="DS3" s="114"/>
      <c r="DT3" s="114" t="s">
        <v>590</v>
      </c>
      <c r="DU3" s="114"/>
      <c r="DV3" s="120"/>
      <c r="DW3" s="120"/>
      <c r="DX3" s="114"/>
      <c r="DY3" s="114" t="s">
        <v>590</v>
      </c>
      <c r="DZ3" s="114"/>
      <c r="EA3" s="114"/>
      <c r="EB3" s="205"/>
      <c r="EC3" s="227"/>
      <c r="ED3" s="839" t="s">
        <v>591</v>
      </c>
      <c r="EE3" s="840"/>
      <c r="EF3" s="840"/>
      <c r="EG3" s="840"/>
      <c r="EH3" s="840"/>
      <c r="EI3" s="840"/>
      <c r="EJ3" s="840"/>
      <c r="EK3" s="840"/>
      <c r="EL3" s="840"/>
      <c r="EM3" s="840"/>
      <c r="EN3" s="840"/>
      <c r="EO3" s="840"/>
      <c r="EP3" s="840"/>
      <c r="EQ3" s="840"/>
      <c r="ER3" s="840"/>
      <c r="ES3" s="840"/>
      <c r="ET3" s="840"/>
      <c r="EU3" s="840"/>
      <c r="EV3" s="840"/>
      <c r="EW3" s="840"/>
      <c r="EX3" s="840"/>
      <c r="EY3" s="840"/>
      <c r="EZ3" s="840"/>
      <c r="FA3" s="840"/>
      <c r="FB3" s="841"/>
      <c r="FC3" s="23"/>
      <c r="FD3" s="839" t="s">
        <v>592</v>
      </c>
      <c r="FE3" s="840"/>
      <c r="FF3" s="840"/>
      <c r="FG3" s="840"/>
      <c r="FH3" s="840"/>
      <c r="FI3" s="840"/>
      <c r="FJ3" s="840"/>
      <c r="FK3" s="840"/>
      <c r="FL3" s="840"/>
      <c r="FM3" s="840"/>
      <c r="FN3" s="840"/>
      <c r="FO3" s="840"/>
      <c r="FP3" s="840"/>
      <c r="FQ3" s="840"/>
      <c r="FR3" s="840"/>
      <c r="FS3" s="840"/>
      <c r="FT3" s="840"/>
      <c r="FU3" s="840"/>
      <c r="FV3" s="840"/>
      <c r="FW3" s="840"/>
      <c r="FX3" s="840"/>
      <c r="FY3" s="840"/>
      <c r="FZ3" s="840"/>
      <c r="GA3" s="840"/>
      <c r="GB3" s="840"/>
      <c r="GC3" s="840"/>
      <c r="GD3" s="840"/>
      <c r="GE3" s="840"/>
      <c r="GF3" s="840"/>
      <c r="GG3" s="840"/>
      <c r="GH3" s="840"/>
      <c r="GI3" s="840"/>
      <c r="GJ3" s="840"/>
      <c r="GK3" s="840"/>
      <c r="GL3" s="840"/>
      <c r="GM3" s="840"/>
      <c r="GN3" s="840"/>
      <c r="GO3" s="840"/>
      <c r="GP3" s="840"/>
      <c r="GQ3" s="840"/>
      <c r="GR3" s="840"/>
      <c r="GS3" s="840"/>
      <c r="GT3" s="840"/>
      <c r="GU3" s="840"/>
      <c r="GV3" s="840"/>
      <c r="GW3" s="840"/>
      <c r="GX3" s="840"/>
      <c r="GY3" s="840"/>
      <c r="GZ3" s="840"/>
      <c r="HA3" s="840"/>
      <c r="HB3" s="840"/>
      <c r="HC3" s="840"/>
      <c r="HD3" s="840"/>
      <c r="HE3" s="840"/>
      <c r="HF3" s="840"/>
      <c r="HG3" s="840"/>
      <c r="HH3" s="840"/>
      <c r="HI3" s="840"/>
      <c r="HJ3" s="840"/>
      <c r="HK3" s="840"/>
      <c r="HL3" s="840"/>
      <c r="HM3" s="840"/>
      <c r="HN3" s="840"/>
      <c r="HO3" s="840"/>
      <c r="HP3" s="840"/>
      <c r="HQ3" s="840"/>
      <c r="HR3" s="840"/>
      <c r="HS3" s="840"/>
      <c r="HT3" s="840"/>
      <c r="HU3" s="840"/>
      <c r="HV3" s="840"/>
      <c r="HW3" s="840"/>
      <c r="HX3" s="840"/>
      <c r="HY3" s="840"/>
      <c r="HZ3" s="840"/>
      <c r="IA3" s="841"/>
      <c r="IB3" s="269"/>
      <c r="IC3" s="269"/>
      <c r="ID3" s="269"/>
      <c r="IE3" s="269"/>
      <c r="IF3" s="269"/>
      <c r="IG3" s="842" t="s">
        <v>593</v>
      </c>
      <c r="IH3" s="843"/>
      <c r="II3" s="843"/>
      <c r="IJ3" s="843"/>
      <c r="IK3" s="843"/>
      <c r="IL3" s="843"/>
      <c r="IM3" s="843"/>
      <c r="IN3" s="843"/>
      <c r="IO3" s="843"/>
      <c r="IP3" s="843"/>
      <c r="IQ3" s="843"/>
      <c r="IR3" s="843"/>
      <c r="IS3" s="843"/>
      <c r="IT3" s="843"/>
      <c r="IU3" s="843"/>
      <c r="IV3" s="843"/>
      <c r="IW3" s="843"/>
      <c r="IX3" s="843"/>
      <c r="IY3" s="843"/>
      <c r="IZ3" s="843"/>
      <c r="JA3" s="843"/>
      <c r="JB3" s="843"/>
      <c r="JC3" s="843"/>
      <c r="JD3" s="843"/>
      <c r="JE3" s="843"/>
      <c r="JF3" s="843"/>
      <c r="JG3" s="843"/>
      <c r="JH3" s="843"/>
      <c r="JI3" s="843"/>
      <c r="JJ3" s="843"/>
      <c r="JK3" s="843"/>
      <c r="JL3" s="843"/>
      <c r="JM3" s="843"/>
      <c r="JN3" s="843"/>
      <c r="JO3" s="843"/>
      <c r="JP3" s="843"/>
      <c r="JQ3" s="843"/>
      <c r="JR3" s="843"/>
      <c r="JS3" s="843"/>
      <c r="JT3" s="843"/>
      <c r="JU3" s="843"/>
      <c r="JV3" s="843"/>
      <c r="JW3" s="843"/>
      <c r="JX3" s="843"/>
      <c r="JY3" s="843"/>
      <c r="JZ3" s="843"/>
      <c r="KA3" s="843"/>
      <c r="KB3" s="843"/>
      <c r="KC3" s="843"/>
      <c r="KD3" s="843"/>
      <c r="KE3" s="843"/>
      <c r="KF3" s="843"/>
      <c r="KG3" s="843"/>
      <c r="KH3" s="843"/>
      <c r="KI3" s="843"/>
      <c r="KJ3" s="843"/>
      <c r="KK3" s="843"/>
      <c r="KL3" s="840"/>
      <c r="KM3" s="840"/>
      <c r="KN3" s="840"/>
      <c r="KO3" s="840"/>
      <c r="KP3" s="840"/>
      <c r="KQ3" s="840"/>
      <c r="KR3" s="840"/>
      <c r="KS3" s="840"/>
      <c r="KT3" s="840"/>
      <c r="KU3" s="840"/>
      <c r="KV3" s="840"/>
      <c r="KW3" s="840"/>
      <c r="KX3" s="840"/>
      <c r="KY3" s="840"/>
      <c r="KZ3" s="840"/>
      <c r="LA3" s="840"/>
      <c r="LB3" s="840"/>
      <c r="LC3" s="840"/>
      <c r="LD3" s="840"/>
      <c r="LE3" s="840"/>
      <c r="LF3" s="843"/>
      <c r="LG3" s="843"/>
      <c r="LH3" s="843"/>
      <c r="LI3" s="843"/>
      <c r="LJ3" s="843"/>
      <c r="LK3" s="843"/>
      <c r="LL3" s="843"/>
      <c r="LM3" s="843"/>
      <c r="LN3" s="843"/>
      <c r="LO3" s="843"/>
      <c r="LP3" s="843"/>
      <c r="LQ3" s="844"/>
      <c r="LR3" s="341"/>
      <c r="LS3" s="341"/>
      <c r="LT3" s="341"/>
      <c r="LU3" s="341"/>
      <c r="LZ3" s="1"/>
      <c r="MG3" s="1"/>
      <c r="MJ3" s="845" t="s">
        <v>594</v>
      </c>
      <c r="MK3" s="789"/>
      <c r="ML3" s="789"/>
      <c r="MM3" s="789"/>
      <c r="MN3" s="789"/>
      <c r="MO3" s="789"/>
      <c r="MP3" s="789"/>
      <c r="MQ3" s="789"/>
      <c r="MR3" s="789"/>
      <c r="MS3" s="789"/>
      <c r="MT3" s="789"/>
      <c r="MU3" s="789"/>
      <c r="MV3" s="789"/>
      <c r="MW3" s="789"/>
      <c r="MX3" s="789"/>
      <c r="MY3" s="789"/>
      <c r="MZ3" s="789"/>
      <c r="NA3" s="789"/>
      <c r="NB3" s="789"/>
      <c r="NC3" s="789"/>
      <c r="ND3" s="789"/>
      <c r="NE3" s="789"/>
      <c r="NF3" s="789"/>
      <c r="NG3" s="789"/>
      <c r="NH3" s="789"/>
    </row>
    <row r="4" spans="1:398" ht="15" customHeight="1">
      <c r="A4" s="20"/>
      <c r="B4" s="838" t="s">
        <v>595</v>
      </c>
      <c r="C4" s="838"/>
      <c r="D4" s="838"/>
      <c r="E4" s="24">
        <v>0.01</v>
      </c>
      <c r="F4" s="22"/>
      <c r="G4" s="23"/>
      <c r="H4" s="23"/>
      <c r="I4" s="23"/>
      <c r="J4" s="23"/>
      <c r="K4" s="23"/>
      <c r="L4" s="23"/>
      <c r="M4" s="23"/>
      <c r="N4" s="23"/>
      <c r="O4" s="23"/>
      <c r="P4" s="84"/>
      <c r="Q4" s="23"/>
      <c r="R4" s="111"/>
      <c r="S4" s="112"/>
      <c r="T4" s="23"/>
      <c r="U4" s="23"/>
      <c r="V4" s="111"/>
      <c r="W4" s="113"/>
      <c r="X4" s="114"/>
      <c r="Y4" s="114"/>
      <c r="Z4" s="154"/>
      <c r="AA4" s="155"/>
      <c r="AB4" s="155">
        <v>7</v>
      </c>
      <c r="AC4" s="155">
        <v>96</v>
      </c>
      <c r="AD4" s="155"/>
      <c r="AE4" t="s">
        <v>596</v>
      </c>
      <c r="AF4" s="120"/>
      <c r="AG4" s="120"/>
      <c r="AH4" s="120"/>
      <c r="AI4" s="120"/>
      <c r="AJ4" s="120"/>
      <c r="AK4" s="120"/>
      <c r="AL4" s="120"/>
      <c r="AM4" s="175"/>
      <c r="AN4" s="176"/>
      <c r="AO4" s="155"/>
      <c r="AP4" s="155" t="str">
        <f>$FB10</f>
        <v>导体金额</v>
      </c>
      <c r="AQ4" s="155" t="str">
        <f>$IJ10</f>
        <v>云母带金额</v>
      </c>
      <c r="AR4" s="155" t="str">
        <f>$IX9</f>
        <v>绝缘金额</v>
      </c>
      <c r="AS4" s="155" t="str">
        <f>$JK9</f>
        <v>绳金额</v>
      </c>
      <c r="AT4" s="155" t="str">
        <f>$KG9</f>
        <v>包带金额</v>
      </c>
      <c r="AU4" s="155" t="str">
        <f>$LI10</f>
        <v>护套金额</v>
      </c>
      <c r="AV4" s="155"/>
      <c r="AW4" s="155"/>
      <c r="AX4" s="155"/>
      <c r="AY4" s="155"/>
      <c r="AZ4" s="155"/>
      <c r="BA4" s="156"/>
      <c r="BB4" s="156"/>
      <c r="BC4" s="156"/>
      <c r="BD4" s="155"/>
      <c r="BE4" s="155"/>
      <c r="BF4" s="156"/>
      <c r="BG4" s="156"/>
      <c r="BH4" s="156"/>
      <c r="BI4" s="156"/>
      <c r="BJ4" s="156"/>
      <c r="BK4" s="156"/>
      <c r="BL4" s="156"/>
      <c r="BM4" s="156"/>
      <c r="BN4" s="156"/>
      <c r="BO4" s="156"/>
      <c r="BP4" s="156"/>
      <c r="BQ4" s="156"/>
      <c r="BR4" s="156"/>
      <c r="BS4" s="156"/>
      <c r="BT4" s="156"/>
      <c r="BU4" s="156"/>
      <c r="BV4" s="155"/>
      <c r="BW4" s="155"/>
      <c r="BX4" s="156"/>
      <c r="BY4" s="156"/>
      <c r="BZ4" s="156"/>
      <c r="CA4" s="155"/>
      <c r="CB4" s="155"/>
      <c r="CC4" s="156"/>
      <c r="CD4" s="156"/>
      <c r="CE4" s="156"/>
      <c r="CF4" s="156"/>
      <c r="CG4" s="220"/>
      <c r="CH4" s="181"/>
      <c r="CI4" s="114"/>
      <c r="CJ4" s="114"/>
      <c r="CK4" s="114"/>
      <c r="CL4" s="114"/>
      <c r="CM4" s="114"/>
      <c r="CN4" s="114"/>
      <c r="CO4" s="114"/>
      <c r="CP4" s="114"/>
      <c r="CQ4" s="114"/>
      <c r="CR4" s="114"/>
      <c r="CS4" s="155"/>
      <c r="CT4" s="155"/>
      <c r="CU4" s="156"/>
      <c r="CV4" s="156"/>
      <c r="CW4" s="156"/>
      <c r="CX4" s="155"/>
      <c r="CY4" s="155"/>
      <c r="CZ4" s="156"/>
      <c r="DA4" s="156"/>
      <c r="DB4" s="156"/>
      <c r="DC4" s="114"/>
      <c r="DD4" s="114"/>
      <c r="DE4" s="114"/>
      <c r="DF4" s="114"/>
      <c r="DG4" s="114"/>
      <c r="DH4" s="114"/>
      <c r="DI4" s="114"/>
      <c r="DJ4" s="114"/>
      <c r="DK4" s="114"/>
      <c r="DL4" s="114"/>
      <c r="DM4" s="114"/>
      <c r="DN4" s="114"/>
      <c r="DO4" s="114"/>
      <c r="DP4" s="114"/>
      <c r="DQ4" s="155"/>
      <c r="DR4" s="155"/>
      <c r="DS4" s="156"/>
      <c r="DT4" s="156"/>
      <c r="DU4" s="156"/>
      <c r="DV4" s="155"/>
      <c r="DW4" s="155"/>
      <c r="DX4" s="156"/>
      <c r="DY4" s="156"/>
      <c r="DZ4" s="156"/>
      <c r="EA4" s="114"/>
      <c r="EB4" s="205"/>
      <c r="EC4" s="228"/>
      <c r="ED4" s="228"/>
      <c r="EE4" s="229"/>
      <c r="EF4" s="840" t="s">
        <v>591</v>
      </c>
      <c r="EG4" s="840"/>
      <c r="EH4" s="840"/>
      <c r="EI4" s="840"/>
      <c r="EJ4" s="840"/>
      <c r="EK4" s="840"/>
      <c r="EL4" s="840"/>
      <c r="EM4" s="840"/>
      <c r="EN4" s="840"/>
      <c r="EO4" s="840"/>
      <c r="EP4" s="840"/>
      <c r="EQ4" s="840"/>
      <c r="ER4" s="840"/>
      <c r="ES4" s="840"/>
      <c r="ET4" s="840"/>
      <c r="EU4" s="840"/>
      <c r="EV4" s="840"/>
      <c r="EW4" s="840"/>
      <c r="EX4" s="840"/>
      <c r="EY4" s="840"/>
      <c r="EZ4" s="840"/>
      <c r="FA4" s="840"/>
      <c r="FB4" s="841"/>
      <c r="FC4" s="23"/>
      <c r="FH4" s="23"/>
      <c r="FI4" s="23"/>
      <c r="FJ4" s="23"/>
      <c r="FK4" s="23"/>
      <c r="FL4" s="23"/>
      <c r="FM4" s="23"/>
      <c r="FN4" s="23"/>
      <c r="FO4" s="23"/>
      <c r="FP4" s="23">
        <f>$MQ17^2</f>
        <v>9.76015082985848</v>
      </c>
      <c r="FQ4" s="23"/>
      <c r="FR4" s="268"/>
      <c r="FS4" s="111"/>
      <c r="FT4" s="269"/>
      <c r="FU4" s="269"/>
      <c r="FV4" s="269"/>
      <c r="FW4" s="269"/>
      <c r="FX4" s="269"/>
      <c r="FY4" s="269"/>
      <c r="FZ4" s="269"/>
      <c r="GA4" s="269"/>
      <c r="GB4" s="269"/>
      <c r="GC4" s="269"/>
      <c r="GD4" s="269"/>
      <c r="GE4" s="269"/>
      <c r="GF4" s="269"/>
      <c r="GG4" s="269"/>
      <c r="GH4" s="269"/>
      <c r="GI4" s="269"/>
      <c r="GJ4" s="269"/>
      <c r="GK4" s="269"/>
      <c r="GL4" s="269"/>
      <c r="GM4" s="269"/>
      <c r="GN4" s="269"/>
      <c r="GO4" s="269"/>
      <c r="GP4" s="269"/>
      <c r="GQ4" s="269"/>
      <c r="GR4" s="269"/>
      <c r="GS4" s="269"/>
      <c r="GT4" s="269"/>
      <c r="GU4" s="269"/>
      <c r="GV4" s="269"/>
      <c r="GW4" s="269"/>
      <c r="GX4" s="269"/>
      <c r="GY4" s="269"/>
      <c r="GZ4" s="269"/>
      <c r="HA4" s="269"/>
      <c r="HB4" s="269"/>
      <c r="HC4" s="269"/>
      <c r="HD4" s="269"/>
      <c r="HE4" s="269"/>
      <c r="HF4" s="269"/>
      <c r="HG4" s="269"/>
      <c r="HH4" s="269"/>
      <c r="HI4" s="269"/>
      <c r="HJ4" s="269"/>
      <c r="HK4" s="313"/>
      <c r="HL4" s="269"/>
      <c r="HM4" s="269"/>
      <c r="HN4" s="269"/>
      <c r="HO4" s="269"/>
      <c r="HP4" s="269"/>
      <c r="HQ4" s="269"/>
      <c r="HR4" s="269"/>
      <c r="HS4" s="269"/>
      <c r="HT4" s="269"/>
      <c r="HU4" s="269"/>
      <c r="HV4" s="269"/>
      <c r="HW4" s="269"/>
      <c r="HX4" s="269"/>
      <c r="HY4" s="269"/>
      <c r="HZ4" s="269"/>
      <c r="IA4" s="313"/>
      <c r="IB4" s="269"/>
      <c r="IC4" s="269"/>
      <c r="ID4" s="269"/>
      <c r="IE4" s="269"/>
      <c r="IF4" s="269"/>
      <c r="IG4" s="330"/>
      <c r="IH4" s="331"/>
      <c r="II4" s="331"/>
      <c r="IJ4" s="331"/>
      <c r="IK4" s="331"/>
      <c r="IL4" s="331"/>
      <c r="IM4" s="331"/>
      <c r="IN4" s="331"/>
      <c r="IO4" s="331"/>
      <c r="IP4" s="331"/>
      <c r="IQ4" s="331"/>
      <c r="IR4" s="331"/>
      <c r="IS4" s="331"/>
      <c r="IT4" s="331"/>
      <c r="IU4" s="331"/>
      <c r="IV4" s="331"/>
      <c r="IW4" s="331"/>
      <c r="IX4" s="331"/>
      <c r="IY4" s="331"/>
      <c r="IZ4" s="331"/>
      <c r="JA4" s="331"/>
      <c r="JB4" s="329"/>
      <c r="JC4" s="329"/>
      <c r="JD4" s="329"/>
      <c r="JE4" s="329"/>
      <c r="JF4" s="329"/>
      <c r="JG4" s="329"/>
      <c r="JH4" s="329"/>
      <c r="JI4" s="329"/>
      <c r="JJ4" s="329"/>
      <c r="JK4" s="329"/>
      <c r="JL4" s="341"/>
      <c r="JM4" s="341"/>
      <c r="JN4" s="341"/>
      <c r="JO4" s="341"/>
      <c r="JP4" s="341"/>
      <c r="JQ4" s="341"/>
      <c r="JR4" s="341"/>
      <c r="JS4" s="341"/>
      <c r="JT4" s="341"/>
      <c r="JU4" s="341"/>
      <c r="JV4" s="341"/>
      <c r="JW4" s="341"/>
      <c r="JX4" s="341"/>
      <c r="JY4" s="341"/>
      <c r="JZ4" s="341"/>
      <c r="KA4" s="341"/>
      <c r="KB4" s="341"/>
      <c r="KC4" s="341"/>
      <c r="KD4" s="341"/>
      <c r="KE4" s="341"/>
      <c r="KF4" s="341"/>
      <c r="KG4" s="341"/>
      <c r="KH4" s="329"/>
      <c r="KI4" s="329"/>
      <c r="KJ4" s="329"/>
      <c r="KK4" s="329"/>
      <c r="KL4" s="23"/>
      <c r="KM4" s="23"/>
      <c r="KN4" s="23"/>
      <c r="KO4" s="23"/>
      <c r="KP4" s="329"/>
      <c r="KQ4" s="329"/>
      <c r="KR4" s="329"/>
      <c r="KS4" s="329"/>
      <c r="KT4" s="329"/>
      <c r="KU4" s="329"/>
      <c r="KV4" s="329"/>
      <c r="KW4" s="329"/>
      <c r="KX4" s="329"/>
      <c r="KY4" s="329"/>
      <c r="KZ4" s="329"/>
      <c r="LA4" s="356"/>
      <c r="LB4" s="329"/>
      <c r="LC4" s="329"/>
      <c r="LD4" s="329"/>
      <c r="LE4" s="356"/>
      <c r="LF4" s="329"/>
      <c r="LG4" s="329"/>
      <c r="LH4" s="329"/>
      <c r="LI4" s="329"/>
      <c r="LJ4" s="329"/>
      <c r="LK4" s="329"/>
      <c r="LL4" s="329"/>
      <c r="LM4" s="329"/>
      <c r="LN4" s="329"/>
      <c r="LO4" s="329"/>
      <c r="LP4" s="329"/>
      <c r="LQ4" s="356"/>
      <c r="LR4" s="329"/>
      <c r="LS4" s="329"/>
      <c r="LT4" s="329"/>
      <c r="LU4" s="356"/>
      <c r="LW4" t="s">
        <v>597</v>
      </c>
      <c r="LX4" t="s">
        <v>598</v>
      </c>
      <c r="LZ4" s="1"/>
      <c r="MD4" t="s">
        <v>597</v>
      </c>
      <c r="ME4" t="s">
        <v>598</v>
      </c>
      <c r="MG4" s="1"/>
      <c r="MJ4" s="23"/>
      <c r="MK4" s="23"/>
      <c r="ML4" s="23"/>
      <c r="MM4" s="23"/>
      <c r="MQ4">
        <f>PI()*MQ47*MQ47/4</f>
        <v>2068.6384079637369</v>
      </c>
      <c r="MR4">
        <f>PI()*MR47*MR47/4</f>
        <v>2058.8123755891188</v>
      </c>
      <c r="MS4">
        <f>MQ4-MR4</f>
        <v>9.8260323746180802</v>
      </c>
    </row>
    <row r="5" spans="1:398" ht="15" customHeight="1">
      <c r="A5" s="20"/>
      <c r="B5" s="838" t="s">
        <v>599</v>
      </c>
      <c r="C5" s="838"/>
      <c r="D5" s="838"/>
      <c r="E5" s="24">
        <v>0</v>
      </c>
      <c r="F5" s="22"/>
      <c r="G5" s="23"/>
      <c r="H5" s="23"/>
      <c r="I5" s="23"/>
      <c r="J5" s="23"/>
      <c r="K5" s="23"/>
      <c r="L5" s="23"/>
      <c r="M5" s="23"/>
      <c r="N5" s="23"/>
      <c r="O5" s="23"/>
      <c r="P5" s="85"/>
      <c r="Q5" s="23"/>
      <c r="R5" s="111"/>
      <c r="S5" s="112"/>
      <c r="T5" s="23"/>
      <c r="U5" s="23"/>
      <c r="V5" s="111"/>
      <c r="W5" s="113"/>
      <c r="X5" s="114"/>
      <c r="Y5" s="156"/>
      <c r="Z5" s="157"/>
      <c r="AA5" s="158"/>
      <c r="AB5" s="158">
        <v>1</v>
      </c>
      <c r="AC5" s="158">
        <v>1</v>
      </c>
      <c r="AD5" s="158"/>
      <c r="AE5" s="158" t="s">
        <v>600</v>
      </c>
      <c r="AF5" s="159"/>
      <c r="AG5" s="159"/>
      <c r="AH5" s="159"/>
      <c r="AI5" s="159"/>
      <c r="AJ5" s="159"/>
      <c r="AK5" s="159"/>
      <c r="AL5" s="159"/>
      <c r="AM5" s="175"/>
      <c r="AN5" s="177"/>
      <c r="AO5" s="156" t="s">
        <v>601</v>
      </c>
      <c r="AP5" s="156">
        <f>$FB144</f>
        <v>972.7693039493962</v>
      </c>
      <c r="AQ5" s="156">
        <f>$IJ144</f>
        <v>4.1651587127654679</v>
      </c>
      <c r="AR5" s="156">
        <f>$IX144</f>
        <v>9.6611582670378588</v>
      </c>
      <c r="AS5" s="156">
        <f>$JK144</f>
        <v>8.1835731346081193</v>
      </c>
      <c r="AT5" s="156">
        <f>$KG144</f>
        <v>0.17034785684573528</v>
      </c>
      <c r="AU5" s="156">
        <f>$LI144</f>
        <v>13.135936640421864</v>
      </c>
      <c r="AV5" s="156">
        <f>SUM(AP5:AU5)</f>
        <v>1008.0854785610752</v>
      </c>
      <c r="AW5" s="156"/>
      <c r="AX5" s="156"/>
      <c r="AY5" s="156"/>
      <c r="AZ5" s="156"/>
      <c r="BA5" s="156"/>
      <c r="BB5" s="156"/>
      <c r="BC5" s="156"/>
      <c r="BD5" s="156"/>
      <c r="BE5" s="156"/>
      <c r="BF5" s="156"/>
      <c r="BG5" s="156"/>
      <c r="BH5" s="156"/>
      <c r="BI5" s="156"/>
      <c r="BJ5" s="156"/>
      <c r="BK5" s="156"/>
      <c r="BL5" s="156"/>
      <c r="BM5" s="156"/>
      <c r="BN5" s="156"/>
      <c r="BO5" s="156"/>
      <c r="BP5" s="156"/>
      <c r="BQ5" s="156"/>
      <c r="BR5" s="156"/>
      <c r="BS5" s="156"/>
      <c r="BT5" s="156"/>
      <c r="BU5" s="156"/>
      <c r="BV5" s="156"/>
      <c r="BW5" s="156"/>
      <c r="BX5" s="156"/>
      <c r="BY5" s="156"/>
      <c r="BZ5" s="156"/>
      <c r="CA5" s="156"/>
      <c r="CB5" s="156"/>
      <c r="CC5" s="156"/>
      <c r="CD5" s="156"/>
      <c r="CE5" s="156"/>
      <c r="CF5" s="156"/>
      <c r="CG5" s="220"/>
      <c r="CH5" s="181"/>
      <c r="CI5" s="114"/>
      <c r="CJ5" s="114"/>
      <c r="CK5" s="114"/>
      <c r="CL5" s="114"/>
      <c r="CM5" s="114"/>
      <c r="CN5" s="114"/>
      <c r="CO5" s="114"/>
      <c r="CP5" s="114"/>
      <c r="CQ5" s="114"/>
      <c r="CR5" s="114"/>
      <c r="CS5" s="156"/>
      <c r="CT5" s="156"/>
      <c r="CU5" s="156"/>
      <c r="CV5" s="156"/>
      <c r="CW5" s="156"/>
      <c r="CX5" s="156"/>
      <c r="CY5" s="156"/>
      <c r="CZ5" s="156"/>
      <c r="DA5" s="156"/>
      <c r="DB5" s="156"/>
      <c r="DC5" s="114"/>
      <c r="DD5" s="114"/>
      <c r="DE5" s="114"/>
      <c r="DF5" s="114"/>
      <c r="DG5" s="114"/>
      <c r="DH5" s="114"/>
      <c r="DI5" s="114"/>
      <c r="DJ5" s="114"/>
      <c r="DK5" s="114"/>
      <c r="DL5" s="114"/>
      <c r="DM5" s="114"/>
      <c r="DN5" s="114"/>
      <c r="DO5" s="114"/>
      <c r="DP5" s="114"/>
      <c r="DQ5" s="156"/>
      <c r="DR5" s="156"/>
      <c r="DS5" s="156"/>
      <c r="DT5" s="156"/>
      <c r="DU5" s="156"/>
      <c r="DV5" s="156"/>
      <c r="DW5" s="156"/>
      <c r="DX5" s="156"/>
      <c r="DY5" s="156"/>
      <c r="DZ5" s="156"/>
      <c r="EA5" s="114"/>
      <c r="EB5" s="205"/>
      <c r="EC5" s="228"/>
      <c r="ED5" s="228"/>
      <c r="EE5" s="229"/>
      <c r="EF5" s="229"/>
      <c r="EG5" s="229"/>
      <c r="EH5" s="229"/>
      <c r="EI5" s="229"/>
      <c r="EJ5" s="229"/>
      <c r="EK5" s="229"/>
      <c r="EL5" s="229"/>
      <c r="EM5" s="229"/>
      <c r="EN5" s="229"/>
      <c r="EO5" s="229"/>
      <c r="EP5" s="229"/>
      <c r="EQ5" s="229"/>
      <c r="ER5" s="229"/>
      <c r="ES5" s="229"/>
      <c r="ET5" s="229"/>
      <c r="EU5" s="229"/>
      <c r="EV5" s="229"/>
      <c r="EW5" s="229"/>
      <c r="EX5" s="229"/>
      <c r="EY5" s="229"/>
      <c r="EZ5" s="229"/>
      <c r="FA5" s="229"/>
      <c r="FB5" s="247"/>
      <c r="FC5" s="23"/>
      <c r="FD5" s="22"/>
      <c r="FE5" s="23"/>
      <c r="FF5" s="23"/>
      <c r="FG5" s="23"/>
      <c r="FH5" s="23"/>
      <c r="FI5" s="23"/>
      <c r="FJ5" s="23"/>
      <c r="FK5" s="23"/>
      <c r="FL5" s="23"/>
      <c r="FM5" s="23"/>
      <c r="FN5" s="23"/>
      <c r="FO5" s="23"/>
      <c r="FP5" s="23">
        <f>$MN17^2</f>
        <v>9.76015082985848</v>
      </c>
      <c r="FQ5" s="23"/>
      <c r="FR5" s="268">
        <f>$MQ14^2</f>
        <v>4.6147126715105333</v>
      </c>
      <c r="FS5" s="111"/>
      <c r="FT5" s="269"/>
      <c r="FU5" s="269"/>
      <c r="FV5" s="269"/>
      <c r="FW5" s="269"/>
      <c r="FX5" s="269"/>
      <c r="FY5" s="269"/>
      <c r="FZ5" s="269"/>
      <c r="GA5" s="269"/>
      <c r="GB5" s="269"/>
      <c r="GC5" s="269"/>
      <c r="GD5" s="269"/>
      <c r="GE5" s="269"/>
      <c r="GF5" s="269"/>
      <c r="GG5" s="269"/>
      <c r="GH5" s="269"/>
      <c r="GI5" s="269"/>
      <c r="GJ5" s="269"/>
      <c r="GO5" s="269"/>
      <c r="GP5" s="269"/>
      <c r="GQ5" s="269"/>
      <c r="GR5" s="269"/>
      <c r="GS5" s="269"/>
      <c r="GT5" s="269"/>
      <c r="GU5" s="269"/>
      <c r="GV5" s="269"/>
      <c r="GW5" s="269"/>
      <c r="GX5" s="269"/>
      <c r="GY5" s="269"/>
      <c r="GZ5" s="269"/>
      <c r="HA5" s="269"/>
      <c r="HB5" s="269"/>
      <c r="HC5" s="269"/>
      <c r="HD5" s="269"/>
      <c r="HE5" s="269"/>
      <c r="HF5" s="269"/>
      <c r="HG5" s="269"/>
      <c r="HH5" s="269"/>
      <c r="HI5" s="269"/>
      <c r="HJ5" s="269"/>
      <c r="HK5" s="313"/>
      <c r="HL5" s="269"/>
      <c r="HM5" s="269"/>
      <c r="HN5" s="269"/>
      <c r="HO5" s="269"/>
      <c r="HP5" s="269"/>
      <c r="HQ5" s="269"/>
      <c r="HR5" s="269"/>
      <c r="HS5" s="269"/>
      <c r="HT5" s="269"/>
      <c r="HU5" s="269"/>
      <c r="HV5" s="269"/>
      <c r="HW5" s="269"/>
      <c r="HX5" s="269"/>
      <c r="HY5" s="269"/>
      <c r="HZ5" s="269"/>
      <c r="IA5" s="313"/>
      <c r="IB5" s="269"/>
      <c r="IC5" s="269"/>
      <c r="ID5" s="269"/>
      <c r="IE5" s="269"/>
      <c r="IF5" s="269"/>
      <c r="IG5" s="330"/>
      <c r="IH5" s="331"/>
      <c r="II5" s="331"/>
      <c r="IJ5" s="331"/>
      <c r="IK5" s="331"/>
      <c r="IL5" s="331"/>
      <c r="IM5" s="331"/>
      <c r="IN5" s="331"/>
      <c r="IO5" s="331"/>
      <c r="IP5" s="331"/>
      <c r="IQ5" s="331"/>
      <c r="IR5" s="331"/>
      <c r="IS5" s="331"/>
      <c r="IT5" s="331"/>
      <c r="IU5" s="331"/>
      <c r="IV5" s="331"/>
      <c r="IW5" s="331"/>
      <c r="IX5" s="331"/>
      <c r="IY5" s="331"/>
      <c r="IZ5" s="331"/>
      <c r="JA5" s="331"/>
      <c r="JB5" s="329"/>
      <c r="JC5" s="329"/>
      <c r="JD5" s="329"/>
      <c r="JE5" s="329"/>
      <c r="JF5" s="329"/>
      <c r="JG5" s="329"/>
      <c r="JH5" s="329"/>
      <c r="JI5" s="329"/>
      <c r="JJ5" s="329"/>
      <c r="JK5" s="329"/>
      <c r="JL5" s="341"/>
      <c r="JM5" s="341"/>
      <c r="JN5" s="341"/>
      <c r="JO5" s="341"/>
      <c r="JP5" s="341"/>
      <c r="JQ5" s="341"/>
      <c r="JR5" s="341"/>
      <c r="JS5" s="341"/>
      <c r="JT5" s="341"/>
      <c r="JU5" s="341"/>
      <c r="JV5" s="341"/>
      <c r="JW5" s="341"/>
      <c r="JX5" s="341"/>
      <c r="JY5" s="341"/>
      <c r="JZ5" s="341"/>
      <c r="KA5" s="341"/>
      <c r="KB5" s="341"/>
      <c r="KC5" s="341"/>
      <c r="KD5" s="341"/>
      <c r="KE5" s="341"/>
      <c r="KF5" s="341"/>
      <c r="KG5" s="341"/>
      <c r="KH5" s="329"/>
      <c r="KI5" s="329"/>
      <c r="KJ5" s="329"/>
      <c r="KK5" s="329"/>
      <c r="KL5" s="23"/>
      <c r="KM5" s="23"/>
      <c r="KN5" s="23"/>
      <c r="KO5" s="23"/>
      <c r="KP5" s="329"/>
      <c r="KQ5" s="329"/>
      <c r="KR5" s="329"/>
      <c r="KS5" s="329"/>
      <c r="KT5" s="329"/>
      <c r="KU5" s="329"/>
      <c r="KV5" s="329"/>
      <c r="KW5" s="329"/>
      <c r="KX5" s="329"/>
      <c r="KY5" s="329"/>
      <c r="KZ5" s="329"/>
      <c r="LA5" s="356"/>
      <c r="LB5" s="329"/>
      <c r="LC5" s="329"/>
      <c r="LD5" s="329"/>
      <c r="LE5" s="356"/>
      <c r="LF5" s="329"/>
      <c r="LG5" s="329"/>
      <c r="LH5" s="329"/>
      <c r="LI5" s="329"/>
      <c r="LJ5" s="329"/>
      <c r="LK5" s="329"/>
      <c r="LL5" s="329"/>
      <c r="LM5" s="329"/>
      <c r="LN5" s="329"/>
      <c r="LO5" s="329"/>
      <c r="LP5" s="329"/>
      <c r="LQ5" s="356"/>
      <c r="LR5" s="329"/>
      <c r="LS5" s="329"/>
      <c r="LT5" s="329"/>
      <c r="LU5" s="356"/>
      <c r="LZ5" s="1"/>
      <c r="MG5" s="1"/>
      <c r="MK5" s="23"/>
      <c r="ML5" s="22"/>
      <c r="MM5" s="23"/>
    </row>
    <row r="6" spans="1:398" ht="15" customHeight="1">
      <c r="A6" s="20"/>
      <c r="B6" s="838" t="s">
        <v>602</v>
      </c>
      <c r="C6" s="838"/>
      <c r="D6" s="838"/>
      <c r="E6" s="24">
        <f>E4+E5</f>
        <v>0.01</v>
      </c>
      <c r="F6" s="25"/>
      <c r="G6" s="26"/>
      <c r="H6" s="26"/>
      <c r="I6" s="26"/>
      <c r="J6" s="26"/>
      <c r="K6" s="26"/>
      <c r="L6" s="26"/>
      <c r="M6" s="26"/>
      <c r="N6" s="26"/>
      <c r="O6" s="26"/>
      <c r="P6" s="85"/>
      <c r="Q6" s="26"/>
      <c r="R6" s="115"/>
      <c r="S6" s="116"/>
      <c r="T6" s="26"/>
      <c r="U6" s="26"/>
      <c r="V6" s="115"/>
      <c r="W6" s="117"/>
      <c r="X6" s="114"/>
      <c r="Y6" s="156"/>
      <c r="Z6" s="157"/>
      <c r="AA6" s="158"/>
      <c r="AB6" s="158"/>
      <c r="AC6" s="158"/>
      <c r="AD6" s="158"/>
      <c r="AE6" s="158"/>
      <c r="AF6" s="159"/>
      <c r="AG6" s="159"/>
      <c r="AH6" s="159"/>
      <c r="AI6" s="159"/>
      <c r="AJ6" s="159"/>
      <c r="AK6" s="159"/>
      <c r="AL6" s="159"/>
      <c r="AM6" s="175"/>
      <c r="AN6" s="177"/>
      <c r="AO6" s="156" t="s">
        <v>603</v>
      </c>
      <c r="AP6" s="156">
        <f t="shared" ref="AP6:AU6" si="0">AP5-AP3</f>
        <v>0</v>
      </c>
      <c r="AQ6" s="156">
        <f t="shared" si="0"/>
        <v>4.1651587127654679</v>
      </c>
      <c r="AR6" s="156">
        <f t="shared" si="0"/>
        <v>1.0480212329757617</v>
      </c>
      <c r="AS6" s="156">
        <f t="shared" si="0"/>
        <v>3.5732756246303614</v>
      </c>
      <c r="AT6" s="156">
        <f t="shared" si="0"/>
        <v>-8.82269807722591E-2</v>
      </c>
      <c r="AU6" s="156">
        <f t="shared" si="0"/>
        <v>0.35003256648982628</v>
      </c>
      <c r="AV6" s="156">
        <f>SUM(AP6:AU6)</f>
        <v>9.0482611560891577</v>
      </c>
      <c r="AW6" s="156"/>
      <c r="AX6" s="156"/>
      <c r="AY6" s="156"/>
      <c r="AZ6" s="156"/>
      <c r="BA6" s="156"/>
      <c r="BB6" s="156"/>
      <c r="BC6" s="156"/>
      <c r="BD6" s="156"/>
      <c r="BE6" s="156"/>
      <c r="BF6" s="156"/>
      <c r="BG6" s="156"/>
      <c r="BH6" s="156"/>
      <c r="BI6" s="156"/>
      <c r="BJ6" s="156"/>
      <c r="BK6" s="156"/>
      <c r="BL6" s="156"/>
      <c r="BM6" s="156"/>
      <c r="BN6" s="156"/>
      <c r="BO6" s="156"/>
      <c r="BP6" s="156"/>
      <c r="BQ6" s="156"/>
      <c r="BR6" s="156"/>
      <c r="BS6" s="156"/>
      <c r="BT6" s="156"/>
      <c r="BU6" s="156"/>
      <c r="BV6" s="156"/>
      <c r="BW6" s="156"/>
      <c r="BX6" s="156"/>
      <c r="BY6" s="156"/>
      <c r="BZ6" s="156"/>
      <c r="CA6" s="156"/>
      <c r="CB6" s="156"/>
      <c r="CC6" s="156"/>
      <c r="CD6" s="156"/>
      <c r="CE6" s="156"/>
      <c r="CF6" s="156"/>
      <c r="CG6" s="220"/>
      <c r="CH6" s="181"/>
      <c r="CI6" s="114"/>
      <c r="CJ6" s="114"/>
      <c r="CK6" s="114"/>
      <c r="CL6" s="114"/>
      <c r="CM6" s="114"/>
      <c r="CN6" s="114"/>
      <c r="CO6" s="114"/>
      <c r="CP6" s="114"/>
      <c r="CQ6" s="114"/>
      <c r="CR6" s="114"/>
      <c r="CS6" s="156"/>
      <c r="CT6" s="156"/>
      <c r="CU6" s="156"/>
      <c r="CV6" s="156"/>
      <c r="CW6" s="156"/>
      <c r="CX6" s="156"/>
      <c r="CY6" s="156"/>
      <c r="CZ6" s="156"/>
      <c r="DA6" s="156"/>
      <c r="DB6" s="156"/>
      <c r="DC6" s="114"/>
      <c r="DD6" s="114"/>
      <c r="DE6" s="114"/>
      <c r="DF6" s="114"/>
      <c r="DG6" s="114"/>
      <c r="DH6" s="114"/>
      <c r="DI6" s="114"/>
      <c r="DJ6" s="114"/>
      <c r="DK6" s="114"/>
      <c r="DL6" s="114"/>
      <c r="DM6" s="114"/>
      <c r="DN6" s="114"/>
      <c r="DO6" s="114"/>
      <c r="DP6" s="114"/>
      <c r="DQ6" s="156"/>
      <c r="DR6" s="156"/>
      <c r="DS6" s="156"/>
      <c r="DT6" s="156"/>
      <c r="DU6" s="156"/>
      <c r="DV6" s="156"/>
      <c r="DW6" s="156"/>
      <c r="DX6" s="156"/>
      <c r="DY6" s="156"/>
      <c r="DZ6" s="156"/>
      <c r="EA6" s="114"/>
      <c r="EB6" s="205"/>
      <c r="EC6" s="228"/>
      <c r="ED6" s="228"/>
      <c r="EE6" s="229"/>
      <c r="EF6" s="229"/>
      <c r="EG6" s="229"/>
      <c r="EH6" s="229"/>
      <c r="EI6" s="229"/>
      <c r="EJ6" s="229"/>
      <c r="EK6" s="229"/>
      <c r="EL6" s="229"/>
      <c r="EM6" s="229"/>
      <c r="EN6" s="229"/>
      <c r="EO6" s="229"/>
      <c r="EP6" s="229"/>
      <c r="EQ6" s="229"/>
      <c r="ER6" s="229"/>
      <c r="ES6" s="229"/>
      <c r="ET6" s="229"/>
      <c r="EU6" s="229"/>
      <c r="EV6" s="229"/>
      <c r="EW6" s="229"/>
      <c r="EX6" s="229"/>
      <c r="EY6" s="229"/>
      <c r="EZ6" s="229"/>
      <c r="FA6" s="229"/>
      <c r="FB6" s="247"/>
      <c r="FC6" s="23"/>
      <c r="FD6" s="22"/>
      <c r="FE6" s="23"/>
      <c r="FF6" s="23"/>
      <c r="FG6" s="23"/>
      <c r="FH6" s="23"/>
      <c r="FI6" s="23"/>
      <c r="FJ6" s="23"/>
      <c r="FK6" s="23"/>
      <c r="FL6" s="23"/>
      <c r="FM6" s="23"/>
      <c r="FN6" s="23"/>
      <c r="FO6" s="23"/>
      <c r="FP6" s="23">
        <f>$MN17^2*$EG17</f>
        <v>9.76015082985848</v>
      </c>
      <c r="FQ6" s="23"/>
      <c r="FR6" s="268">
        <f>$MN14^2*$EG14</f>
        <v>4.6147126715105315</v>
      </c>
      <c r="FS6" s="111"/>
      <c r="FT6" s="269"/>
      <c r="FU6" s="269"/>
      <c r="FV6" s="269"/>
      <c r="FW6" s="269"/>
      <c r="FX6" s="269"/>
      <c r="FY6" s="269"/>
      <c r="FZ6" s="269"/>
      <c r="GA6" s="269"/>
      <c r="GB6" s="269"/>
      <c r="GC6" s="269"/>
      <c r="GD6" s="269"/>
      <c r="GE6" s="269"/>
      <c r="GF6" s="269"/>
      <c r="GG6" s="269"/>
      <c r="GH6" s="269"/>
      <c r="GI6" s="269"/>
      <c r="GJ6" s="269"/>
      <c r="GO6" s="269"/>
      <c r="GP6" s="269"/>
      <c r="GQ6" s="269"/>
      <c r="GR6" s="269"/>
      <c r="GS6" s="269"/>
      <c r="GT6" s="269"/>
      <c r="GU6" s="269"/>
      <c r="GV6" s="269"/>
      <c r="GW6" s="269"/>
      <c r="GX6" s="269"/>
      <c r="GY6" s="269"/>
      <c r="GZ6" s="269"/>
      <c r="HA6" s="269"/>
      <c r="HB6" s="269"/>
      <c r="HC6" s="269"/>
      <c r="HD6" s="269"/>
      <c r="HE6" s="269"/>
      <c r="HF6" s="269"/>
      <c r="HG6" s="269"/>
      <c r="HH6" s="269"/>
      <c r="HI6" s="269"/>
      <c r="HJ6" s="269"/>
      <c r="HK6" s="313"/>
      <c r="HL6" s="269"/>
      <c r="HM6" s="269"/>
      <c r="HN6" s="269"/>
      <c r="HO6" s="269"/>
      <c r="HP6" s="269"/>
      <c r="HQ6" s="269"/>
      <c r="HR6" s="269"/>
      <c r="HS6" s="269"/>
      <c r="HT6" s="269"/>
      <c r="HU6" s="269"/>
      <c r="HV6" s="269"/>
      <c r="HW6" s="269"/>
      <c r="HX6" s="269"/>
      <c r="HY6" s="269"/>
      <c r="HZ6" s="269"/>
      <c r="IA6" s="313"/>
      <c r="IB6" s="269"/>
      <c r="IC6" s="269"/>
      <c r="ID6" s="269"/>
      <c r="IE6" s="269"/>
      <c r="IF6" s="269"/>
      <c r="IG6" s="330"/>
      <c r="IH6" s="331"/>
      <c r="II6" s="331"/>
      <c r="IJ6" s="331"/>
      <c r="IK6" s="331"/>
      <c r="IL6" s="331"/>
      <c r="IM6" s="331"/>
      <c r="IN6" s="331"/>
      <c r="IO6" s="331"/>
      <c r="IP6" s="331"/>
      <c r="IQ6" s="331"/>
      <c r="IR6" s="331"/>
      <c r="IS6" s="331"/>
      <c r="IT6" s="331"/>
      <c r="IU6" s="331"/>
      <c r="IV6" s="331"/>
      <c r="IW6" s="331"/>
      <c r="IX6" s="331"/>
      <c r="IY6" s="331"/>
      <c r="IZ6" s="331"/>
      <c r="JA6" s="331"/>
      <c r="JB6" s="329"/>
      <c r="JC6" s="329"/>
      <c r="JD6" s="329"/>
      <c r="JE6" s="329"/>
      <c r="JF6" s="329"/>
      <c r="JG6" s="329"/>
      <c r="JH6" s="329"/>
      <c r="JI6" s="329"/>
      <c r="JJ6" s="329"/>
      <c r="JK6" s="329"/>
      <c r="JL6" s="341"/>
      <c r="JM6" s="341"/>
      <c r="JN6" s="341"/>
      <c r="JO6" s="341"/>
      <c r="JP6" s="341"/>
      <c r="JQ6" s="341"/>
      <c r="JR6" s="341"/>
      <c r="JS6" s="341"/>
      <c r="JT6" s="341"/>
      <c r="JU6" s="341"/>
      <c r="JV6" s="341"/>
      <c r="JW6" s="341"/>
      <c r="JX6" s="341"/>
      <c r="JY6" s="341"/>
      <c r="JZ6" s="341"/>
      <c r="KA6" s="341"/>
      <c r="KB6" s="341"/>
      <c r="KC6" s="341"/>
      <c r="KD6" s="341"/>
      <c r="KE6" s="341"/>
      <c r="KF6" s="341"/>
      <c r="KG6" s="341"/>
      <c r="KH6" s="329"/>
      <c r="KI6" s="329"/>
      <c r="KJ6" s="329"/>
      <c r="KK6" s="329"/>
      <c r="KL6" s="23"/>
      <c r="KM6" s="23"/>
      <c r="KN6" s="23"/>
      <c r="KO6" s="23"/>
      <c r="KP6" s="329"/>
      <c r="KQ6" s="329"/>
      <c r="KR6" s="329"/>
      <c r="KS6" s="329"/>
      <c r="KT6" s="329"/>
      <c r="KU6" s="329"/>
      <c r="KV6" s="329"/>
      <c r="KW6" s="329"/>
      <c r="KX6" s="329"/>
      <c r="KY6" s="329"/>
      <c r="KZ6" s="329"/>
      <c r="LA6" s="356"/>
      <c r="LB6" s="329"/>
      <c r="LC6" s="329"/>
      <c r="LD6" s="329"/>
      <c r="LE6" s="356"/>
      <c r="LF6" s="329"/>
      <c r="LG6" s="329"/>
      <c r="LH6" s="329"/>
      <c r="LI6" s="329"/>
      <c r="LJ6" s="329"/>
      <c r="LK6" s="329"/>
      <c r="LL6" s="329"/>
      <c r="LM6" s="329"/>
      <c r="LN6" s="329"/>
      <c r="LO6" s="329"/>
      <c r="LP6" s="329"/>
      <c r="LQ6" s="356"/>
      <c r="LR6" s="329"/>
      <c r="LS6" s="329"/>
      <c r="LT6" s="329"/>
      <c r="LU6" s="356"/>
      <c r="LV6">
        <f>ROUND($EJ13*10^-2,8)</f>
        <v>0.78221538000000002</v>
      </c>
      <c r="LZ6" s="1"/>
      <c r="MG6" s="1"/>
      <c r="MJ6" s="227"/>
    </row>
    <row r="7" spans="1:398" ht="15" customHeight="1">
      <c r="A7" s="27"/>
      <c r="B7" s="28"/>
      <c r="C7" s="29"/>
      <c r="D7" s="30"/>
      <c r="E7" s="31"/>
      <c r="F7" s="25"/>
      <c r="G7" s="26"/>
      <c r="H7" s="26"/>
      <c r="I7" s="26"/>
      <c r="J7" s="26"/>
      <c r="K7" s="26"/>
      <c r="L7" s="86"/>
      <c r="M7" s="26"/>
      <c r="N7" s="26"/>
      <c r="O7" s="26"/>
      <c r="P7" s="85"/>
      <c r="Q7" s="26"/>
      <c r="R7" s="115"/>
      <c r="S7" s="118"/>
      <c r="T7" s="26"/>
      <c r="U7" s="26"/>
      <c r="V7" s="115"/>
      <c r="W7" s="117"/>
      <c r="X7" s="119"/>
      <c r="Y7" s="160"/>
      <c r="Z7" s="161"/>
      <c r="AA7" s="158"/>
      <c r="AB7" s="158"/>
      <c r="AC7" s="158"/>
      <c r="AD7" s="158"/>
      <c r="AE7" s="158"/>
      <c r="AF7" s="159"/>
      <c r="AG7" s="159"/>
      <c r="AH7" s="159"/>
      <c r="AI7" s="159"/>
      <c r="AJ7" s="159"/>
      <c r="AK7" s="159"/>
      <c r="AL7" s="159"/>
      <c r="AM7" s="175"/>
      <c r="AN7" s="177"/>
      <c r="AO7" s="156"/>
      <c r="AP7" s="156"/>
      <c r="AQ7" s="156"/>
      <c r="AR7" s="156"/>
      <c r="AS7" s="156"/>
      <c r="AT7" s="156"/>
      <c r="AU7" s="156"/>
      <c r="AV7" s="156"/>
      <c r="AW7" s="156"/>
      <c r="AX7" s="156"/>
      <c r="AY7" s="156"/>
      <c r="AZ7" s="156"/>
      <c r="BA7" s="156"/>
      <c r="BB7" s="156"/>
      <c r="BC7" s="156"/>
      <c r="BD7" s="156"/>
      <c r="BE7" s="156"/>
      <c r="BF7" s="156"/>
      <c r="BG7" s="156"/>
      <c r="BH7" s="156"/>
      <c r="BI7" s="156"/>
      <c r="BJ7" s="156"/>
      <c r="BK7" s="156"/>
      <c r="BL7" s="156"/>
      <c r="BM7" s="156"/>
      <c r="BN7" s="156"/>
      <c r="BO7" s="156"/>
      <c r="BP7" s="156"/>
      <c r="BQ7" s="156"/>
      <c r="BR7" s="156"/>
      <c r="BS7" s="156"/>
      <c r="BT7" s="156"/>
      <c r="BU7" s="156"/>
      <c r="BV7" s="156"/>
      <c r="BW7" s="156"/>
      <c r="BX7" s="156"/>
      <c r="BY7" s="156"/>
      <c r="BZ7" s="156"/>
      <c r="CA7" s="156"/>
      <c r="CB7" s="156"/>
      <c r="CC7" s="156"/>
      <c r="CD7" s="156"/>
      <c r="CE7" s="156"/>
      <c r="CF7" s="156"/>
      <c r="CG7" s="220"/>
      <c r="CH7" s="221"/>
      <c r="CI7" s="119"/>
      <c r="CJ7" s="119"/>
      <c r="CK7" s="119"/>
      <c r="CL7" s="119"/>
      <c r="CM7" s="119"/>
      <c r="CN7" s="119"/>
      <c r="CO7" s="119"/>
      <c r="CP7" s="119"/>
      <c r="CQ7" s="119"/>
      <c r="CR7" s="119"/>
      <c r="CS7" s="160"/>
      <c r="CT7" s="160"/>
      <c r="CU7" s="160"/>
      <c r="CV7" s="160"/>
      <c r="CW7" s="160"/>
      <c r="CX7" s="160"/>
      <c r="CY7" s="160"/>
      <c r="CZ7" s="160"/>
      <c r="DA7" s="160"/>
      <c r="DB7" s="160"/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60"/>
      <c r="DR7" s="160"/>
      <c r="DS7" s="160"/>
      <c r="DT7" s="160"/>
      <c r="DU7" s="160"/>
      <c r="DV7" s="160"/>
      <c r="DW7" s="160"/>
      <c r="DX7" s="160"/>
      <c r="DY7" s="160"/>
      <c r="DZ7" s="160"/>
      <c r="EA7" s="119"/>
      <c r="EB7" s="230"/>
      <c r="EC7" s="228"/>
      <c r="ED7" s="228"/>
      <c r="EE7" s="229"/>
      <c r="EF7" s="229"/>
      <c r="EG7" s="229"/>
      <c r="EH7" s="229"/>
      <c r="EI7" s="229"/>
      <c r="EJ7" s="229"/>
      <c r="EK7" s="229"/>
      <c r="EL7" s="229"/>
      <c r="EM7" s="229"/>
      <c r="EN7" s="229"/>
      <c r="EO7" s="229"/>
      <c r="EP7" s="229"/>
      <c r="EQ7" s="229"/>
      <c r="ER7" s="229"/>
      <c r="ES7" s="229"/>
      <c r="ET7" s="229"/>
      <c r="EU7" s="229"/>
      <c r="EV7" s="229"/>
      <c r="EW7" s="229"/>
      <c r="EX7" s="229"/>
      <c r="EY7" s="229"/>
      <c r="EZ7" s="229"/>
      <c r="FA7" s="229"/>
      <c r="FB7" s="247"/>
      <c r="FC7" s="23"/>
      <c r="FD7" s="22"/>
      <c r="FE7" s="23"/>
      <c r="FF7" s="23"/>
      <c r="FG7" s="23"/>
      <c r="FH7" s="23"/>
      <c r="FI7" s="23"/>
      <c r="FJ7" s="23"/>
      <c r="FK7" s="23"/>
      <c r="FL7" s="23"/>
      <c r="FM7" s="23"/>
      <c r="FN7" s="23"/>
      <c r="FO7" s="23"/>
      <c r="FP7" s="23">
        <f>$MO17^2*$EO17</f>
        <v>0</v>
      </c>
      <c r="FQ7" s="23"/>
      <c r="FR7" s="268">
        <f>$MO14^2*$EO14</f>
        <v>0</v>
      </c>
      <c r="FS7" s="111"/>
      <c r="FU7" s="269"/>
      <c r="FV7" s="269"/>
      <c r="FW7" s="269"/>
      <c r="FX7" s="269"/>
      <c r="FY7" s="269"/>
      <c r="FZ7" s="269"/>
      <c r="GA7" s="269"/>
      <c r="GB7" s="269"/>
      <c r="GC7" s="269"/>
      <c r="GD7" s="269"/>
      <c r="GE7" s="269"/>
      <c r="GF7" s="269"/>
      <c r="GG7" s="269"/>
      <c r="GH7" s="269"/>
      <c r="GI7" s="269"/>
      <c r="GJ7" s="269"/>
      <c r="GK7" s="269"/>
      <c r="GL7" s="269"/>
      <c r="GM7" s="269"/>
      <c r="GN7" s="269"/>
      <c r="GO7" s="269"/>
      <c r="GP7" s="269"/>
      <c r="GQ7" s="269"/>
      <c r="GR7" s="269"/>
      <c r="GS7" s="269"/>
      <c r="GT7" s="269"/>
      <c r="GU7" s="269"/>
      <c r="GV7" s="269"/>
      <c r="GW7" s="269"/>
      <c r="GX7" s="269"/>
      <c r="GY7" s="269"/>
      <c r="GZ7" s="269"/>
      <c r="HA7" s="269"/>
      <c r="HB7" s="269"/>
      <c r="HC7" s="269"/>
      <c r="HD7" s="269"/>
      <c r="HE7" s="269"/>
      <c r="HF7" s="269"/>
      <c r="HG7" s="269"/>
      <c r="HH7" s="269"/>
      <c r="HI7" s="269"/>
      <c r="HJ7" s="269"/>
      <c r="HK7" s="313"/>
      <c r="HL7" s="269"/>
      <c r="HM7" s="269"/>
      <c r="HN7" s="269"/>
      <c r="HO7" s="269"/>
      <c r="HP7" s="269"/>
      <c r="HQ7" s="269"/>
      <c r="HR7" s="269"/>
      <c r="HS7" s="269"/>
      <c r="HT7" s="269"/>
      <c r="HU7" s="269"/>
      <c r="HV7" s="269"/>
      <c r="HW7" s="269"/>
      <c r="HX7" s="269"/>
      <c r="HY7" s="269"/>
      <c r="HZ7" s="269"/>
      <c r="IA7" s="313"/>
      <c r="IB7" s="269"/>
      <c r="IC7" s="269"/>
      <c r="ID7" s="269"/>
      <c r="IE7" s="269"/>
      <c r="IF7" s="269"/>
      <c r="IG7" s="330"/>
      <c r="IH7" s="331"/>
      <c r="II7" s="331"/>
      <c r="IJ7" s="331"/>
      <c r="IK7" s="331"/>
      <c r="IL7" s="331"/>
      <c r="IM7" s="331"/>
      <c r="IN7" s="331"/>
      <c r="IO7" s="331"/>
      <c r="IP7" s="331"/>
      <c r="IQ7" s="331"/>
      <c r="IR7" s="331"/>
      <c r="IS7" s="331"/>
      <c r="IT7" s="331"/>
      <c r="IU7" s="331"/>
      <c r="IV7" s="331"/>
      <c r="IW7" s="331"/>
      <c r="IX7" s="331"/>
      <c r="IY7" s="331"/>
      <c r="IZ7" s="331"/>
      <c r="JA7" s="331"/>
      <c r="JB7" s="329"/>
      <c r="JC7" s="329"/>
      <c r="JD7" s="329"/>
      <c r="JE7" s="329"/>
      <c r="JF7" s="329"/>
      <c r="JG7" s="329"/>
      <c r="JH7" s="329"/>
      <c r="JI7" s="329"/>
      <c r="JJ7" s="329"/>
      <c r="JK7" s="329"/>
      <c r="JL7" s="341"/>
      <c r="JM7" s="341"/>
      <c r="JN7" s="341"/>
      <c r="JO7" s="341"/>
      <c r="JP7" s="341"/>
      <c r="JQ7" s="341"/>
      <c r="JR7" s="341"/>
      <c r="JS7" s="341"/>
      <c r="JT7" s="341"/>
      <c r="JU7" s="341"/>
      <c r="JV7" s="341"/>
      <c r="JW7" s="341"/>
      <c r="JX7" s="341"/>
      <c r="JY7" s="341"/>
      <c r="JZ7" s="341"/>
      <c r="KA7" s="341"/>
      <c r="KB7" s="341"/>
      <c r="KC7" s="341"/>
      <c r="KD7" s="341"/>
      <c r="KE7" s="341"/>
      <c r="KF7" s="341"/>
      <c r="KG7" s="341"/>
      <c r="KH7" s="329"/>
      <c r="KI7" s="329"/>
      <c r="KJ7" s="329"/>
      <c r="KK7" s="329"/>
      <c r="KL7" s="23"/>
      <c r="KM7" s="23"/>
      <c r="KN7" s="23"/>
      <c r="KO7" s="23"/>
      <c r="KP7" s="329"/>
      <c r="KQ7" s="329"/>
      <c r="KR7" s="329"/>
      <c r="KS7" s="329"/>
      <c r="KT7" s="329"/>
      <c r="KU7" s="329"/>
      <c r="KV7" s="329"/>
      <c r="KW7" s="329"/>
      <c r="KX7" s="329"/>
      <c r="KY7" s="329"/>
      <c r="KZ7" s="329"/>
      <c r="LA7" s="356"/>
      <c r="LB7" s="329"/>
      <c r="LC7" s="329"/>
      <c r="LD7" s="329"/>
      <c r="LE7" s="356"/>
      <c r="LF7" s="329"/>
      <c r="LG7" s="329"/>
      <c r="LH7" s="329"/>
      <c r="LI7" s="329"/>
      <c r="LJ7" s="329"/>
      <c r="LK7" s="329"/>
      <c r="LL7" s="329"/>
      <c r="LM7" s="329"/>
      <c r="LN7" s="329"/>
      <c r="LO7" s="329"/>
      <c r="LP7" s="329"/>
      <c r="LQ7" s="356"/>
      <c r="LR7" s="329"/>
      <c r="LS7" s="329"/>
      <c r="LT7" s="329"/>
      <c r="LU7" s="356"/>
      <c r="LW7">
        <f>LV12-LW12</f>
        <v>0</v>
      </c>
      <c r="LZ7" s="1"/>
      <c r="MG7" s="1"/>
      <c r="MJ7" s="227"/>
    </row>
    <row r="8" spans="1:398" ht="15" customHeight="1">
      <c r="A8" s="32"/>
      <c r="B8" s="33"/>
      <c r="C8" s="34"/>
      <c r="D8" s="35"/>
      <c r="E8" s="36"/>
      <c r="F8" s="846" t="s">
        <v>604</v>
      </c>
      <c r="G8" s="847"/>
      <c r="H8" s="847"/>
      <c r="I8" s="847"/>
      <c r="J8" s="847"/>
      <c r="K8" s="847"/>
      <c r="L8" s="847"/>
      <c r="M8" s="847"/>
      <c r="N8" s="847"/>
      <c r="O8" s="847"/>
      <c r="P8" s="848"/>
      <c r="Q8" s="847"/>
      <c r="R8" s="848"/>
      <c r="S8" s="847"/>
      <c r="T8" s="847"/>
      <c r="U8" s="847"/>
      <c r="V8" s="848"/>
      <c r="W8" s="847"/>
      <c r="X8" s="847"/>
      <c r="Y8" s="37"/>
      <c r="Z8" s="87"/>
      <c r="AA8" s="158"/>
      <c r="AB8" s="158"/>
      <c r="AC8" s="158"/>
      <c r="AD8" s="158"/>
      <c r="AE8" s="158"/>
      <c r="AF8" s="159"/>
      <c r="AG8" s="159"/>
      <c r="AH8" s="159"/>
      <c r="AI8" s="159"/>
      <c r="AJ8" s="159"/>
      <c r="AK8" s="159"/>
      <c r="AL8" s="159"/>
      <c r="AM8" s="175"/>
      <c r="AN8" s="849" t="s">
        <v>605</v>
      </c>
      <c r="AO8" s="850"/>
      <c r="AP8" s="850"/>
      <c r="AQ8" s="850"/>
      <c r="AR8" s="850"/>
      <c r="AS8" s="850"/>
      <c r="AT8" s="850"/>
      <c r="AU8" s="850"/>
      <c r="AV8" s="850"/>
      <c r="AW8" s="850"/>
      <c r="AX8" s="850"/>
      <c r="AY8" s="850"/>
      <c r="AZ8" s="850"/>
      <c r="BA8" s="850"/>
      <c r="BB8" s="850"/>
      <c r="BC8" s="850"/>
      <c r="BD8" s="850"/>
      <c r="BE8" s="850"/>
      <c r="BF8" s="850"/>
      <c r="BG8" s="850"/>
      <c r="BH8" s="850"/>
      <c r="BI8" s="850"/>
      <c r="BJ8" s="850"/>
      <c r="BK8" s="850"/>
      <c r="BL8" s="850"/>
      <c r="BM8" s="850"/>
      <c r="BN8" s="850"/>
      <c r="BO8" s="850"/>
      <c r="BP8" s="850"/>
      <c r="BQ8" s="850"/>
      <c r="BR8" s="850"/>
      <c r="BS8" s="850"/>
      <c r="BT8" s="850"/>
      <c r="BU8" s="850"/>
      <c r="BV8" s="850"/>
      <c r="BW8" s="850"/>
      <c r="BX8" s="850"/>
      <c r="BY8" s="850"/>
      <c r="BZ8" s="850"/>
      <c r="CA8" s="850"/>
      <c r="CB8" s="850"/>
      <c r="CC8" s="850"/>
      <c r="CD8" s="850"/>
      <c r="CE8" s="850"/>
      <c r="CF8" s="850"/>
      <c r="CG8" s="851"/>
      <c r="CH8" s="221" t="s">
        <v>606</v>
      </c>
      <c r="CI8" s="119"/>
      <c r="CJ8" s="119"/>
      <c r="CK8" s="119"/>
      <c r="CL8" s="119"/>
      <c r="CM8" s="119"/>
      <c r="CN8" s="119"/>
      <c r="CO8" s="119"/>
      <c r="CP8" s="119"/>
      <c r="CQ8" s="119"/>
      <c r="CR8" s="119"/>
      <c r="CS8" s="119"/>
      <c r="CT8" s="119"/>
      <c r="CU8" s="119"/>
      <c r="CV8" s="119"/>
      <c r="CW8" s="119"/>
      <c r="CX8" s="119"/>
      <c r="CY8" s="119"/>
      <c r="CZ8" s="119"/>
      <c r="DA8" s="119"/>
      <c r="DB8" s="119"/>
      <c r="DC8" s="119"/>
      <c r="DD8" s="119"/>
      <c r="DE8" s="119"/>
      <c r="DF8" s="119"/>
      <c r="DG8" s="119"/>
      <c r="DH8" s="119"/>
      <c r="DI8" s="119"/>
      <c r="DJ8" s="119"/>
      <c r="DK8" s="119"/>
      <c r="DL8" s="119"/>
      <c r="DM8" s="119"/>
      <c r="DN8" s="119"/>
      <c r="DO8" s="119"/>
      <c r="DP8" s="119"/>
      <c r="DQ8" s="119"/>
      <c r="DR8" s="119"/>
      <c r="DS8" s="119"/>
      <c r="DT8" s="119"/>
      <c r="DU8" s="119"/>
      <c r="DV8" s="119"/>
      <c r="DW8" s="119"/>
      <c r="DX8" s="119"/>
      <c r="DY8" s="119"/>
      <c r="DZ8" s="119"/>
      <c r="EA8" s="119"/>
      <c r="EB8" s="230"/>
      <c r="EC8" s="231"/>
      <c r="ED8" s="231"/>
      <c r="EE8" s="232"/>
      <c r="EF8" s="232"/>
      <c r="EG8" s="232"/>
      <c r="EH8" s="232"/>
      <c r="EI8" s="232"/>
      <c r="EJ8" s="232"/>
      <c r="EK8" s="232"/>
      <c r="EL8" s="232"/>
      <c r="EM8" s="232"/>
      <c r="EN8" s="232"/>
      <c r="EO8" s="232"/>
      <c r="EP8" s="232"/>
      <c r="EQ8" s="232"/>
      <c r="ER8" s="232"/>
      <c r="ES8" s="232"/>
      <c r="ET8" s="232"/>
      <c r="EU8" s="232"/>
      <c r="EV8" s="232"/>
      <c r="EW8" s="232"/>
      <c r="EX8" s="232"/>
      <c r="EY8" s="852" t="s">
        <v>607</v>
      </c>
      <c r="EZ8" s="853"/>
      <c r="FA8" s="853"/>
      <c r="FB8" s="854"/>
      <c r="FC8" s="26"/>
      <c r="FD8" s="855" t="s">
        <v>608</v>
      </c>
      <c r="FE8" s="856"/>
      <c r="FF8" s="856"/>
      <c r="FG8" s="856"/>
      <c r="FH8" s="856"/>
      <c r="FI8" s="856"/>
      <c r="FJ8" s="856"/>
      <c r="FK8" s="856"/>
      <c r="FL8" s="857"/>
      <c r="FM8" s="857"/>
      <c r="FN8" s="857"/>
      <c r="FO8" s="857"/>
      <c r="FP8" s="857"/>
      <c r="FQ8" s="858"/>
      <c r="FR8" s="270">
        <f>FR5-FR6-FR7</f>
        <v>1.7763568394002505E-15</v>
      </c>
      <c r="FS8" s="271"/>
      <c r="FT8" s="859" t="s">
        <v>609</v>
      </c>
      <c r="FU8" s="860"/>
      <c r="FV8" s="860"/>
      <c r="FW8" s="860"/>
      <c r="FX8" s="861"/>
      <c r="FY8" s="862" t="s">
        <v>610</v>
      </c>
      <c r="FZ8" s="863"/>
      <c r="GA8" s="863"/>
      <c r="GB8" s="863"/>
      <c r="GC8" s="863"/>
      <c r="GD8" s="863"/>
      <c r="GE8" s="863"/>
      <c r="GF8" s="863"/>
      <c r="GG8" s="863"/>
      <c r="GH8" s="863"/>
      <c r="GI8" s="863"/>
      <c r="GJ8" s="863"/>
      <c r="GK8" s="863"/>
      <c r="GL8" s="863"/>
      <c r="GM8" s="863"/>
      <c r="GN8" s="863"/>
      <c r="GO8" s="863"/>
      <c r="GP8" s="864"/>
      <c r="GQ8" s="865" t="s">
        <v>611</v>
      </c>
      <c r="GR8" s="866"/>
      <c r="GS8" s="866"/>
      <c r="GT8" s="866"/>
      <c r="GU8" s="867"/>
      <c r="GV8" s="865" t="s">
        <v>612</v>
      </c>
      <c r="GW8" s="866"/>
      <c r="GX8" s="866"/>
      <c r="GY8" s="867"/>
      <c r="GZ8" s="868" t="s">
        <v>613</v>
      </c>
      <c r="HA8" s="869"/>
      <c r="HB8" s="869"/>
      <c r="HC8" s="869"/>
      <c r="HD8" s="869"/>
      <c r="HE8" s="869"/>
      <c r="HF8" s="869"/>
      <c r="HG8" s="869"/>
      <c r="HH8" s="869"/>
      <c r="HI8" s="869"/>
      <c r="HJ8" s="869"/>
      <c r="HK8" s="869"/>
      <c r="HL8" s="869"/>
      <c r="HM8" s="869"/>
      <c r="HN8" s="869"/>
      <c r="HO8" s="869"/>
      <c r="HP8" s="870" t="s">
        <v>614</v>
      </c>
      <c r="HQ8" s="871"/>
      <c r="HR8" s="871"/>
      <c r="HS8" s="871"/>
      <c r="HT8" s="871"/>
      <c r="HU8" s="871"/>
      <c r="HV8" s="871"/>
      <c r="HW8" s="871"/>
      <c r="HX8" s="871"/>
      <c r="HY8" s="871"/>
      <c r="HZ8" s="871"/>
      <c r="IA8" s="871"/>
      <c r="IB8" s="871"/>
      <c r="IC8" s="871"/>
      <c r="ID8" s="871"/>
      <c r="IE8" s="871"/>
      <c r="IF8" s="324"/>
      <c r="IG8" s="865" t="s">
        <v>505</v>
      </c>
      <c r="IH8" s="866"/>
      <c r="II8" s="866"/>
      <c r="IJ8" s="867"/>
      <c r="IK8" s="872" t="s">
        <v>608</v>
      </c>
      <c r="IL8" s="873"/>
      <c r="IM8" s="873"/>
      <c r="IN8" s="873"/>
      <c r="IO8" s="873"/>
      <c r="IP8" s="873"/>
      <c r="IQ8" s="873"/>
      <c r="IR8" s="873"/>
      <c r="IS8" s="873"/>
      <c r="IT8" s="873"/>
      <c r="IU8" s="873"/>
      <c r="IV8" s="873"/>
      <c r="IW8" s="873"/>
      <c r="IX8" s="874"/>
      <c r="IY8" s="332"/>
      <c r="IZ8" s="332"/>
      <c r="JA8" s="875" t="s">
        <v>615</v>
      </c>
      <c r="JB8" s="876"/>
      <c r="JC8" s="876"/>
      <c r="JD8" s="876"/>
      <c r="JE8" s="876"/>
      <c r="JF8" s="876"/>
      <c r="JG8" s="876"/>
      <c r="JH8" s="876"/>
      <c r="JI8" s="876"/>
      <c r="JJ8" s="876"/>
      <c r="JK8" s="877"/>
      <c r="JL8" s="846" t="s">
        <v>616</v>
      </c>
      <c r="JM8" s="847"/>
      <c r="JN8" s="847"/>
      <c r="JO8" s="847"/>
      <c r="JP8" s="847"/>
      <c r="JQ8" s="847"/>
      <c r="JR8" s="847"/>
      <c r="JS8" s="847"/>
      <c r="JT8" s="847"/>
      <c r="JU8" s="847"/>
      <c r="JV8" s="847"/>
      <c r="JW8" s="847"/>
      <c r="JX8" s="847"/>
      <c r="JY8" s="847"/>
      <c r="JZ8" s="847"/>
      <c r="KA8" s="847"/>
      <c r="KB8" s="847"/>
      <c r="KC8" s="847"/>
      <c r="KD8" s="847"/>
      <c r="KE8" s="847"/>
      <c r="KF8" s="847"/>
      <c r="KG8" s="878"/>
      <c r="KH8" s="852" t="s">
        <v>617</v>
      </c>
      <c r="KI8" s="853"/>
      <c r="KJ8" s="853"/>
      <c r="KK8" s="854"/>
      <c r="KL8" s="852" t="s">
        <v>618</v>
      </c>
      <c r="KM8" s="853"/>
      <c r="KN8" s="853"/>
      <c r="KO8" s="854"/>
      <c r="KP8" s="879" t="s">
        <v>613</v>
      </c>
      <c r="KQ8" s="880"/>
      <c r="KR8" s="880"/>
      <c r="KS8" s="880"/>
      <c r="KT8" s="880"/>
      <c r="KU8" s="880"/>
      <c r="KV8" s="880"/>
      <c r="KW8" s="880"/>
      <c r="KX8" s="880"/>
      <c r="KY8" s="880"/>
      <c r="KZ8" s="880"/>
      <c r="LA8" s="880"/>
      <c r="LB8" s="880"/>
      <c r="LC8" s="880"/>
      <c r="LD8" s="880"/>
      <c r="LE8" s="880"/>
      <c r="LF8" s="881" t="s">
        <v>619</v>
      </c>
      <c r="LG8" s="882"/>
      <c r="LH8" s="882"/>
      <c r="LI8" s="882"/>
      <c r="LJ8" s="882"/>
      <c r="LK8" s="882"/>
      <c r="LL8" s="882"/>
      <c r="LM8" s="882"/>
      <c r="LN8" s="882"/>
      <c r="LO8" s="882"/>
      <c r="LP8" s="882"/>
      <c r="LQ8" s="882"/>
      <c r="LR8" s="882"/>
      <c r="LS8" s="882"/>
      <c r="LT8" s="882"/>
      <c r="LU8" s="882"/>
      <c r="LZ8" s="368">
        <v>1</v>
      </c>
      <c r="MG8" s="376">
        <v>1</v>
      </c>
      <c r="MJ8" s="883" t="s">
        <v>620</v>
      </c>
      <c r="MK8" s="883"/>
      <c r="ML8" s="883"/>
      <c r="MM8" s="884"/>
      <c r="MN8" s="885" t="s">
        <v>605</v>
      </c>
      <c r="MO8" s="886"/>
      <c r="MP8" s="886"/>
      <c r="MQ8" s="886"/>
      <c r="MR8" s="886"/>
      <c r="MS8" s="886"/>
      <c r="MT8" s="886"/>
      <c r="MU8" s="886"/>
      <c r="MV8" s="886"/>
      <c r="MW8" s="887"/>
      <c r="MX8" s="888" t="s">
        <v>621</v>
      </c>
      <c r="MY8" s="888"/>
      <c r="MZ8" s="888"/>
      <c r="NA8" s="888"/>
      <c r="NB8" s="888"/>
      <c r="NC8" s="888"/>
      <c r="ND8" s="888"/>
      <c r="NE8" s="888"/>
      <c r="NF8" s="886"/>
      <c r="NG8" s="888"/>
      <c r="NH8" s="888"/>
      <c r="NI8" s="227"/>
      <c r="NK8" s="885" t="s">
        <v>622</v>
      </c>
      <c r="NL8" s="886"/>
      <c r="NM8" s="886"/>
      <c r="NN8" s="886"/>
      <c r="NO8" s="888" t="s">
        <v>623</v>
      </c>
      <c r="NP8" s="888"/>
      <c r="NQ8" s="888"/>
      <c r="NR8" s="888"/>
      <c r="NS8" s="227"/>
      <c r="NT8" s="227"/>
      <c r="NU8" s="227"/>
      <c r="NV8" s="227"/>
    </row>
    <row r="9" spans="1:398" ht="15" customHeight="1">
      <c r="A9" s="38"/>
      <c r="B9" s="39"/>
      <c r="C9" s="40"/>
      <c r="D9" s="35" t="s">
        <v>328</v>
      </c>
      <c r="E9" s="41"/>
      <c r="F9" s="926" t="s">
        <v>624</v>
      </c>
      <c r="G9" s="926" t="s">
        <v>625</v>
      </c>
      <c r="H9" s="926" t="s">
        <v>626</v>
      </c>
      <c r="I9" s="928" t="s">
        <v>627</v>
      </c>
      <c r="J9" s="928" t="s">
        <v>628</v>
      </c>
      <c r="K9" s="928" t="s">
        <v>629</v>
      </c>
      <c r="L9" s="88" t="s">
        <v>466</v>
      </c>
      <c r="M9" s="89" t="s">
        <v>630</v>
      </c>
      <c r="N9" s="89" t="s">
        <v>631</v>
      </c>
      <c r="O9" s="889" t="s">
        <v>632</v>
      </c>
      <c r="P9" s="890"/>
      <c r="Q9" s="891" t="s">
        <v>633</v>
      </c>
      <c r="R9" s="892"/>
      <c r="S9" s="893" t="s">
        <v>518</v>
      </c>
      <c r="T9" s="894"/>
      <c r="U9" s="894"/>
      <c r="V9" s="895"/>
      <c r="W9" s="930" t="s">
        <v>634</v>
      </c>
      <c r="X9" s="889" t="s">
        <v>635</v>
      </c>
      <c r="Y9" s="896"/>
      <c r="Z9" s="896"/>
      <c r="AA9" s="897" t="s">
        <v>630</v>
      </c>
      <c r="AB9" s="897"/>
      <c r="AC9" s="897"/>
      <c r="AD9" s="897"/>
      <c r="AE9" s="897"/>
      <c r="AF9" s="898" t="s">
        <v>636</v>
      </c>
      <c r="AG9" s="899"/>
      <c r="AH9" s="899"/>
      <c r="AI9" s="899"/>
      <c r="AJ9" s="899"/>
      <c r="AK9" s="178" t="s">
        <v>637</v>
      </c>
      <c r="AL9" s="179"/>
      <c r="AM9" s="180"/>
      <c r="AN9" s="885" t="s">
        <v>638</v>
      </c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886"/>
      <c r="BD9" s="886"/>
      <c r="BE9" s="886"/>
      <c r="BF9" s="886"/>
      <c r="BG9" s="886"/>
      <c r="BH9" s="886"/>
      <c r="BI9" s="886"/>
      <c r="BJ9" s="887"/>
      <c r="BK9" s="932" t="s">
        <v>632</v>
      </c>
      <c r="BL9" s="885" t="s">
        <v>639</v>
      </c>
      <c r="BM9" s="886"/>
      <c r="BN9" s="886"/>
      <c r="BO9" s="886"/>
      <c r="BP9" s="886"/>
      <c r="BQ9" s="886"/>
      <c r="BR9" s="886"/>
      <c r="BS9" s="886"/>
      <c r="BT9" s="886"/>
      <c r="BU9" s="886"/>
      <c r="BV9" s="886"/>
      <c r="BW9" s="886"/>
      <c r="BX9" s="886"/>
      <c r="BY9" s="886"/>
      <c r="BZ9" s="886"/>
      <c r="CA9" s="886"/>
      <c r="CB9" s="886"/>
      <c r="CC9" s="886"/>
      <c r="CD9" s="886"/>
      <c r="CE9" s="886"/>
      <c r="CF9" s="886"/>
      <c r="CG9" s="887"/>
      <c r="CH9" s="852" t="s">
        <v>640</v>
      </c>
      <c r="CI9" s="853"/>
      <c r="CJ9" s="853"/>
      <c r="CK9" s="853"/>
      <c r="CL9" s="853"/>
      <c r="CM9" s="853"/>
      <c r="CN9" s="853"/>
      <c r="CO9" s="853"/>
      <c r="CP9" s="853"/>
      <c r="CQ9" s="853"/>
      <c r="CR9" s="853"/>
      <c r="CS9" s="886"/>
      <c r="CT9" s="886"/>
      <c r="CU9" s="886"/>
      <c r="CV9" s="886"/>
      <c r="CW9" s="886"/>
      <c r="CX9" s="886"/>
      <c r="CY9" s="886"/>
      <c r="CZ9" s="886"/>
      <c r="DA9" s="886"/>
      <c r="DB9" s="886"/>
      <c r="DC9" s="853"/>
      <c r="DD9" s="854"/>
      <c r="DE9" s="72" t="s">
        <v>505</v>
      </c>
      <c r="DF9" s="72"/>
      <c r="DG9" s="885" t="s">
        <v>641</v>
      </c>
      <c r="DH9" s="886"/>
      <c r="DI9" s="886"/>
      <c r="DJ9" s="886"/>
      <c r="DK9" s="886"/>
      <c r="DL9" s="886"/>
      <c r="DM9" s="886"/>
      <c r="DN9" s="886"/>
      <c r="DO9" s="886"/>
      <c r="DP9" s="886"/>
      <c r="DQ9" s="886"/>
      <c r="DR9" s="886"/>
      <c r="DS9" s="886"/>
      <c r="DT9" s="886"/>
      <c r="DU9" s="886"/>
      <c r="DV9" s="886"/>
      <c r="DW9" s="886"/>
      <c r="DX9" s="886"/>
      <c r="DY9" s="886"/>
      <c r="DZ9" s="886"/>
      <c r="EA9" s="886"/>
      <c r="EB9" s="887"/>
      <c r="EC9" s="114"/>
      <c r="ED9" s="885" t="s">
        <v>642</v>
      </c>
      <c r="EE9" s="886"/>
      <c r="EF9" s="886"/>
      <c r="EG9" s="886"/>
      <c r="EH9" s="886"/>
      <c r="EI9" s="886"/>
      <c r="EJ9" s="887"/>
      <c r="EK9" s="885" t="s">
        <v>643</v>
      </c>
      <c r="EL9" s="886"/>
      <c r="EM9" s="886"/>
      <c r="EN9" s="886"/>
      <c r="EO9" s="886"/>
      <c r="EP9" s="886"/>
      <c r="EQ9" s="886"/>
      <c r="ER9" s="887"/>
      <c r="ES9" s="885" t="s">
        <v>644</v>
      </c>
      <c r="ET9" s="886"/>
      <c r="EU9" s="114"/>
      <c r="EV9" s="114"/>
      <c r="EW9" s="114"/>
      <c r="EX9" s="114"/>
      <c r="EY9" s="876" t="s">
        <v>445</v>
      </c>
      <c r="EZ9" s="876"/>
      <c r="FA9" s="876"/>
      <c r="FB9" s="876"/>
      <c r="FC9" s="222"/>
      <c r="FD9" s="900"/>
      <c r="FE9" s="901"/>
      <c r="FF9" s="901"/>
      <c r="FG9" s="902"/>
      <c r="FH9" s="900" t="s">
        <v>645</v>
      </c>
      <c r="FI9" s="901"/>
      <c r="FJ9" s="901"/>
      <c r="FK9" s="902"/>
      <c r="FL9" s="903"/>
      <c r="FM9" s="903"/>
      <c r="FN9" s="903"/>
      <c r="FO9" s="904"/>
      <c r="FP9" s="934" t="s">
        <v>646</v>
      </c>
      <c r="FQ9" s="934" t="s">
        <v>647</v>
      </c>
      <c r="FR9" s="272"/>
      <c r="FS9" s="273"/>
      <c r="FT9" s="866" t="s">
        <v>496</v>
      </c>
      <c r="FU9" s="866"/>
      <c r="FV9" s="866"/>
      <c r="FW9" s="866"/>
      <c r="FX9" s="867"/>
      <c r="FY9" s="866" t="s">
        <v>508</v>
      </c>
      <c r="FZ9" s="866"/>
      <c r="GA9" s="866"/>
      <c r="GB9" s="905" t="s">
        <v>648</v>
      </c>
      <c r="GC9" s="866" t="s">
        <v>514</v>
      </c>
      <c r="GD9" s="866"/>
      <c r="GE9" s="866"/>
      <c r="GF9" s="905"/>
      <c r="GG9" s="866" t="s">
        <v>512</v>
      </c>
      <c r="GH9" s="866"/>
      <c r="GI9" s="866"/>
      <c r="GJ9" s="866"/>
      <c r="GK9" s="865" t="s">
        <v>516</v>
      </c>
      <c r="GL9" s="866"/>
      <c r="GM9" s="866"/>
      <c r="GN9" s="867"/>
      <c r="GO9" s="936" t="s">
        <v>649</v>
      </c>
      <c r="GP9" s="938" t="s">
        <v>650</v>
      </c>
      <c r="GQ9" s="866" t="s">
        <v>518</v>
      </c>
      <c r="GR9" s="866"/>
      <c r="GS9" s="866"/>
      <c r="GT9" s="866"/>
      <c r="GU9" s="867"/>
      <c r="GV9" s="865" t="s">
        <v>525</v>
      </c>
      <c r="GW9" s="866"/>
      <c r="GX9" s="866"/>
      <c r="GY9" s="867"/>
      <c r="GZ9" s="906" t="str">
        <f>各项系数!$D$20</f>
        <v>ZA聚氯乙烯护套（一代）</v>
      </c>
      <c r="HA9" s="907"/>
      <c r="HB9" s="908"/>
      <c r="HC9" s="319" t="s">
        <v>651</v>
      </c>
      <c r="HD9" s="906" t="str">
        <f>各项系数!$D$20</f>
        <v>ZA聚氯乙烯护套（一代）</v>
      </c>
      <c r="HE9" s="907"/>
      <c r="HF9" s="908"/>
      <c r="HG9" s="319" t="s">
        <v>652</v>
      </c>
      <c r="HH9" s="906" t="str">
        <f>各项系数!$D$21</f>
        <v>ZA硅烷护套-低烟无卤</v>
      </c>
      <c r="HI9" s="907"/>
      <c r="HJ9" s="907"/>
      <c r="HK9" s="320" t="s">
        <v>651</v>
      </c>
      <c r="HL9" s="906" t="str">
        <f>各项系数!$D$21</f>
        <v>ZA硅烷护套-低烟无卤</v>
      </c>
      <c r="HM9" s="907"/>
      <c r="HN9" s="907"/>
      <c r="HO9" s="320" t="s">
        <v>652</v>
      </c>
      <c r="HP9" s="909" t="s">
        <v>653</v>
      </c>
      <c r="HQ9" s="909"/>
      <c r="HR9" s="909"/>
      <c r="HS9" s="909"/>
      <c r="HT9" s="909" t="s">
        <v>654</v>
      </c>
      <c r="HU9" s="909"/>
      <c r="HV9" s="909"/>
      <c r="HW9" s="909"/>
      <c r="HX9" s="910" t="s">
        <v>489</v>
      </c>
      <c r="HY9" s="911"/>
      <c r="HZ9" s="911"/>
      <c r="IA9" s="325" t="s">
        <v>651</v>
      </c>
      <c r="IB9" s="910" t="s">
        <v>489</v>
      </c>
      <c r="IC9" s="911"/>
      <c r="ID9" s="911"/>
      <c r="IE9" s="325" t="s">
        <v>652</v>
      </c>
      <c r="IF9" s="291"/>
      <c r="IG9" s="865" t="s">
        <v>655</v>
      </c>
      <c r="IH9" s="866"/>
      <c r="II9" s="866"/>
      <c r="IJ9" s="867"/>
      <c r="IK9" s="865"/>
      <c r="IL9" s="866"/>
      <c r="IM9" s="866"/>
      <c r="IN9" s="867"/>
      <c r="IO9" s="865" t="s">
        <v>645</v>
      </c>
      <c r="IP9" s="866"/>
      <c r="IQ9" s="866"/>
      <c r="IR9" s="867"/>
      <c r="IS9" s="865"/>
      <c r="IT9" s="866"/>
      <c r="IU9" s="866"/>
      <c r="IV9" s="867"/>
      <c r="IW9" s="940" t="s">
        <v>646</v>
      </c>
      <c r="IX9" s="940" t="s">
        <v>647</v>
      </c>
      <c r="IY9" s="334"/>
      <c r="IZ9" s="334"/>
      <c r="JA9" s="942" t="s">
        <v>656</v>
      </c>
      <c r="JB9" s="852" t="s">
        <v>500</v>
      </c>
      <c r="JC9" s="853"/>
      <c r="JD9" s="853"/>
      <c r="JE9" s="912"/>
      <c r="JF9" s="913" t="s">
        <v>498</v>
      </c>
      <c r="JG9" s="853"/>
      <c r="JH9" s="853"/>
      <c r="JI9" s="912"/>
      <c r="JJ9" s="944" t="s">
        <v>657</v>
      </c>
      <c r="JK9" s="946" t="s">
        <v>658</v>
      </c>
      <c r="JL9" s="853" t="s">
        <v>513</v>
      </c>
      <c r="JM9" s="853"/>
      <c r="JN9" s="853"/>
      <c r="JO9" s="912"/>
      <c r="JP9" s="913" t="s">
        <v>508</v>
      </c>
      <c r="JQ9" s="853"/>
      <c r="JR9" s="853"/>
      <c r="JS9" s="912"/>
      <c r="JT9" s="913" t="s">
        <v>514</v>
      </c>
      <c r="JU9" s="853"/>
      <c r="JV9" s="853"/>
      <c r="JW9" s="912"/>
      <c r="JX9" s="913" t="s">
        <v>512</v>
      </c>
      <c r="JY9" s="853"/>
      <c r="JZ9" s="853"/>
      <c r="KA9" s="854"/>
      <c r="KB9" s="852" t="s">
        <v>516</v>
      </c>
      <c r="KC9" s="853"/>
      <c r="KD9" s="853"/>
      <c r="KE9" s="854"/>
      <c r="KF9" s="948" t="s">
        <v>649</v>
      </c>
      <c r="KG9" s="950" t="s">
        <v>650</v>
      </c>
      <c r="KH9" s="852" t="s">
        <v>659</v>
      </c>
      <c r="KI9" s="853"/>
      <c r="KJ9" s="853"/>
      <c r="KK9" s="854"/>
      <c r="KL9" s="852" t="s">
        <v>660</v>
      </c>
      <c r="KM9" s="853"/>
      <c r="KN9" s="853"/>
      <c r="KO9" s="854"/>
      <c r="KP9" s="914" t="str">
        <f>各项系数!$D$20</f>
        <v>ZA聚氯乙烯护套（一代）</v>
      </c>
      <c r="KQ9" s="915"/>
      <c r="KR9" s="916"/>
      <c r="KS9" s="350" t="s">
        <v>651</v>
      </c>
      <c r="KT9" s="914" t="str">
        <f>各项系数!$D$20</f>
        <v>ZA聚氯乙烯护套（一代）</v>
      </c>
      <c r="KU9" s="915"/>
      <c r="KV9" s="916"/>
      <c r="KW9" s="350" t="s">
        <v>652</v>
      </c>
      <c r="KX9" s="914" t="str">
        <f>各项系数!$D$21</f>
        <v>ZA硅烷护套-低烟无卤</v>
      </c>
      <c r="KY9" s="915"/>
      <c r="KZ9" s="915"/>
      <c r="LA9" s="357" t="s">
        <v>651</v>
      </c>
      <c r="LB9" s="914" t="str">
        <f>各项系数!$D$21</f>
        <v>ZA硅烷护套-低烟无卤</v>
      </c>
      <c r="LC9" s="915"/>
      <c r="LD9" s="915"/>
      <c r="LE9" s="357" t="s">
        <v>652</v>
      </c>
      <c r="LF9" s="917" t="s">
        <v>661</v>
      </c>
      <c r="LG9" s="917"/>
      <c r="LH9" s="917"/>
      <c r="LI9" s="917"/>
      <c r="LJ9" s="917" t="s">
        <v>661</v>
      </c>
      <c r="LK9" s="917"/>
      <c r="LL9" s="917"/>
      <c r="LM9" s="917"/>
      <c r="LN9" s="918" t="str">
        <f>各项系数!D24</f>
        <v>低烟无卤护套料</v>
      </c>
      <c r="LO9" s="919"/>
      <c r="LP9" s="919"/>
      <c r="LQ9" s="361" t="s">
        <v>651</v>
      </c>
      <c r="LR9" s="918" t="str">
        <f>各项系数!D24</f>
        <v>低烟无卤护套料</v>
      </c>
      <c r="LS9" s="919"/>
      <c r="LT9" s="919"/>
      <c r="LU9" s="361" t="s">
        <v>652</v>
      </c>
      <c r="LV9" s="920" t="s">
        <v>630</v>
      </c>
      <c r="LW9" s="921"/>
      <c r="LX9" s="921"/>
      <c r="LY9" s="921"/>
      <c r="LZ9" s="922"/>
      <c r="MA9" s="362"/>
      <c r="MB9" s="362"/>
      <c r="MC9" s="923" t="s">
        <v>662</v>
      </c>
      <c r="MD9" s="924"/>
      <c r="ME9" s="924"/>
      <c r="MF9" s="924"/>
      <c r="MG9" s="925"/>
      <c r="MH9" s="377"/>
      <c r="MI9" s="377"/>
      <c r="MJ9" s="951" t="s">
        <v>663</v>
      </c>
      <c r="MK9" s="951" t="s">
        <v>664</v>
      </c>
      <c r="ML9" s="953" t="s">
        <v>665</v>
      </c>
      <c r="MM9" s="953" t="s">
        <v>666</v>
      </c>
      <c r="MN9" s="841" t="s">
        <v>667</v>
      </c>
      <c r="MO9" s="841" t="s">
        <v>668</v>
      </c>
      <c r="MP9" s="841" t="s">
        <v>669</v>
      </c>
      <c r="MQ9" s="841" t="s">
        <v>670</v>
      </c>
      <c r="MR9" s="955" t="s">
        <v>671</v>
      </c>
      <c r="MS9" s="841" t="s">
        <v>672</v>
      </c>
      <c r="MT9" s="946" t="s">
        <v>673</v>
      </c>
      <c r="MU9" s="841" t="s">
        <v>674</v>
      </c>
      <c r="MV9" s="841" t="s">
        <v>675</v>
      </c>
      <c r="MW9" s="946" t="s">
        <v>676</v>
      </c>
      <c r="MX9" s="841" t="s">
        <v>677</v>
      </c>
      <c r="MY9" s="841" t="s">
        <v>678</v>
      </c>
      <c r="MZ9" s="957" t="s">
        <v>679</v>
      </c>
      <c r="NA9" s="957" t="s">
        <v>668</v>
      </c>
      <c r="NB9" s="841" t="s">
        <v>680</v>
      </c>
      <c r="NC9" s="841" t="s">
        <v>681</v>
      </c>
      <c r="ND9" s="955" t="s">
        <v>671</v>
      </c>
      <c r="NE9" s="841" t="s">
        <v>672</v>
      </c>
      <c r="NF9" s="946" t="s">
        <v>673</v>
      </c>
      <c r="NG9" s="841" t="s">
        <v>674</v>
      </c>
      <c r="NH9" s="841" t="s">
        <v>675</v>
      </c>
      <c r="NI9" s="946" t="s">
        <v>676</v>
      </c>
      <c r="NK9" s="888" t="s">
        <v>682</v>
      </c>
      <c r="NL9" s="888"/>
      <c r="NM9" s="888" t="s">
        <v>683</v>
      </c>
      <c r="NN9" s="888"/>
      <c r="NO9" s="888" t="s">
        <v>473</v>
      </c>
      <c r="NP9" s="888"/>
      <c r="NQ9" s="888" t="s">
        <v>684</v>
      </c>
      <c r="NR9" s="888"/>
      <c r="NS9" s="227"/>
      <c r="NT9" s="227"/>
      <c r="NU9" s="227"/>
      <c r="NV9" s="227"/>
    </row>
    <row r="10" spans="1:398" ht="67" customHeight="1">
      <c r="A10" s="42" t="s">
        <v>685</v>
      </c>
      <c r="B10" s="43" t="s">
        <v>686</v>
      </c>
      <c r="C10" s="44" t="s">
        <v>687</v>
      </c>
      <c r="D10" s="35"/>
      <c r="E10" s="45" t="s">
        <v>688</v>
      </c>
      <c r="F10" s="927"/>
      <c r="G10" s="927"/>
      <c r="H10" s="927"/>
      <c r="I10" s="929"/>
      <c r="J10" s="929"/>
      <c r="K10" s="929"/>
      <c r="L10" s="90" t="s">
        <v>689</v>
      </c>
      <c r="M10" s="91" t="s">
        <v>690</v>
      </c>
      <c r="N10" s="91" t="s">
        <v>690</v>
      </c>
      <c r="O10" s="92" t="s">
        <v>690</v>
      </c>
      <c r="P10" s="93" t="s">
        <v>691</v>
      </c>
      <c r="Q10" s="120" t="s">
        <v>690</v>
      </c>
      <c r="R10" s="121" t="s">
        <v>692</v>
      </c>
      <c r="S10" s="122" t="s">
        <v>693</v>
      </c>
      <c r="T10" s="123" t="s">
        <v>690</v>
      </c>
      <c r="U10" s="124" t="s">
        <v>694</v>
      </c>
      <c r="V10" s="125" t="s">
        <v>691</v>
      </c>
      <c r="W10" s="931"/>
      <c r="X10" s="92" t="s">
        <v>635</v>
      </c>
      <c r="Y10" s="93" t="s">
        <v>694</v>
      </c>
      <c r="Z10" s="93" t="s">
        <v>691</v>
      </c>
      <c r="AA10" s="162" t="s">
        <v>695</v>
      </c>
      <c r="AB10" s="162" t="s">
        <v>696</v>
      </c>
      <c r="AC10" s="162" t="s">
        <v>697</v>
      </c>
      <c r="AD10" s="163" t="s">
        <v>698</v>
      </c>
      <c r="AE10" s="163" t="s">
        <v>699</v>
      </c>
      <c r="AF10" s="164" t="s">
        <v>700</v>
      </c>
      <c r="AG10" s="164" t="s">
        <v>701</v>
      </c>
      <c r="AH10" s="164" t="s">
        <v>697</v>
      </c>
      <c r="AI10" s="182" t="s">
        <v>698</v>
      </c>
      <c r="AJ10" s="182" t="s">
        <v>699</v>
      </c>
      <c r="AK10" s="183" t="s">
        <v>702</v>
      </c>
      <c r="AL10" s="45" t="s">
        <v>703</v>
      </c>
      <c r="AM10" s="184" t="s">
        <v>704</v>
      </c>
      <c r="AN10" s="185" t="s">
        <v>705</v>
      </c>
      <c r="AO10" s="92" t="s">
        <v>706</v>
      </c>
      <c r="AP10" s="92" t="s">
        <v>707</v>
      </c>
      <c r="AQ10" s="92" t="s">
        <v>708</v>
      </c>
      <c r="AR10" s="92" t="s">
        <v>709</v>
      </c>
      <c r="AS10" s="92" t="s">
        <v>710</v>
      </c>
      <c r="AT10" s="191" t="s">
        <v>706</v>
      </c>
      <c r="AU10" s="191" t="s">
        <v>707</v>
      </c>
      <c r="AV10" s="191" t="s">
        <v>708</v>
      </c>
      <c r="AW10" s="191" t="s">
        <v>709</v>
      </c>
      <c r="AX10" s="191" t="s">
        <v>710</v>
      </c>
      <c r="AY10" s="92" t="s">
        <v>711</v>
      </c>
      <c r="AZ10" s="92" t="s">
        <v>712</v>
      </c>
      <c r="BA10" s="92" t="s">
        <v>713</v>
      </c>
      <c r="BB10" s="92" t="s">
        <v>714</v>
      </c>
      <c r="BC10" s="92" t="s">
        <v>715</v>
      </c>
      <c r="BD10" s="191" t="s">
        <v>711</v>
      </c>
      <c r="BE10" s="191" t="s">
        <v>712</v>
      </c>
      <c r="BF10" s="191" t="s">
        <v>713</v>
      </c>
      <c r="BG10" s="191" t="s">
        <v>714</v>
      </c>
      <c r="BH10" s="191" t="s">
        <v>715</v>
      </c>
      <c r="BI10" s="206" t="s">
        <v>716</v>
      </c>
      <c r="BJ10" s="206" t="s">
        <v>717</v>
      </c>
      <c r="BK10" s="933"/>
      <c r="BL10" s="92" t="s">
        <v>706</v>
      </c>
      <c r="BM10" s="92" t="s">
        <v>707</v>
      </c>
      <c r="BN10" s="92" t="s">
        <v>708</v>
      </c>
      <c r="BO10" s="92" t="s">
        <v>709</v>
      </c>
      <c r="BP10" s="92" t="s">
        <v>710</v>
      </c>
      <c r="BQ10" s="191" t="s">
        <v>706</v>
      </c>
      <c r="BR10" s="191" t="s">
        <v>707</v>
      </c>
      <c r="BS10" s="191" t="s">
        <v>708</v>
      </c>
      <c r="BT10" s="191" t="s">
        <v>709</v>
      </c>
      <c r="BU10" s="191" t="s">
        <v>710</v>
      </c>
      <c r="BV10" s="92" t="s">
        <v>711</v>
      </c>
      <c r="BW10" s="92" t="s">
        <v>712</v>
      </c>
      <c r="BX10" s="92" t="s">
        <v>713</v>
      </c>
      <c r="BY10" s="92" t="s">
        <v>718</v>
      </c>
      <c r="BZ10" s="92" t="s">
        <v>715</v>
      </c>
      <c r="CA10" s="191" t="s">
        <v>711</v>
      </c>
      <c r="CB10" s="191" t="s">
        <v>712</v>
      </c>
      <c r="CC10" s="191" t="s">
        <v>713</v>
      </c>
      <c r="CD10" s="191" t="s">
        <v>718</v>
      </c>
      <c r="CE10" s="191" t="s">
        <v>715</v>
      </c>
      <c r="CF10" s="206" t="s">
        <v>716</v>
      </c>
      <c r="CG10" s="206" t="s">
        <v>717</v>
      </c>
      <c r="CH10" s="92" t="s">
        <v>719</v>
      </c>
      <c r="CI10" s="92" t="s">
        <v>706</v>
      </c>
      <c r="CJ10" s="92" t="s">
        <v>707</v>
      </c>
      <c r="CK10" s="92" t="s">
        <v>708</v>
      </c>
      <c r="CL10" s="92" t="s">
        <v>709</v>
      </c>
      <c r="CM10" s="92" t="s">
        <v>710</v>
      </c>
      <c r="CN10" s="191" t="s">
        <v>706</v>
      </c>
      <c r="CO10" s="191" t="s">
        <v>707</v>
      </c>
      <c r="CP10" s="191" t="s">
        <v>708</v>
      </c>
      <c r="CQ10" s="191" t="s">
        <v>709</v>
      </c>
      <c r="CR10" s="191" t="s">
        <v>710</v>
      </c>
      <c r="CS10" s="92" t="s">
        <v>711</v>
      </c>
      <c r="CT10" s="92" t="s">
        <v>712</v>
      </c>
      <c r="CU10" s="92" t="s">
        <v>713</v>
      </c>
      <c r="CV10" s="92" t="s">
        <v>718</v>
      </c>
      <c r="CW10" s="92" t="s">
        <v>715</v>
      </c>
      <c r="CX10" s="191" t="s">
        <v>711</v>
      </c>
      <c r="CY10" s="191" t="s">
        <v>712</v>
      </c>
      <c r="CZ10" s="191" t="s">
        <v>713</v>
      </c>
      <c r="DA10" s="191" t="s">
        <v>718</v>
      </c>
      <c r="DB10" s="191" t="s">
        <v>715</v>
      </c>
      <c r="DC10" s="206" t="s">
        <v>716</v>
      </c>
      <c r="DD10" s="206" t="s">
        <v>717</v>
      </c>
      <c r="DE10" s="92" t="s">
        <v>720</v>
      </c>
      <c r="DF10" s="72" t="s">
        <v>632</v>
      </c>
      <c r="DG10" s="92" t="s">
        <v>706</v>
      </c>
      <c r="DH10" s="92" t="s">
        <v>707</v>
      </c>
      <c r="DI10" s="92" t="s">
        <v>708</v>
      </c>
      <c r="DJ10" s="92" t="s">
        <v>709</v>
      </c>
      <c r="DK10" s="92" t="s">
        <v>710</v>
      </c>
      <c r="DL10" s="191" t="s">
        <v>706</v>
      </c>
      <c r="DM10" s="191" t="s">
        <v>707</v>
      </c>
      <c r="DN10" s="191" t="s">
        <v>708</v>
      </c>
      <c r="DO10" s="191" t="s">
        <v>709</v>
      </c>
      <c r="DP10" s="191" t="s">
        <v>710</v>
      </c>
      <c r="DQ10" s="92" t="s">
        <v>711</v>
      </c>
      <c r="DR10" s="92" t="s">
        <v>712</v>
      </c>
      <c r="DS10" s="92" t="s">
        <v>713</v>
      </c>
      <c r="DT10" s="92" t="s">
        <v>718</v>
      </c>
      <c r="DU10" s="92" t="s">
        <v>715</v>
      </c>
      <c r="DV10" s="191" t="s">
        <v>711</v>
      </c>
      <c r="DW10" s="191" t="s">
        <v>712</v>
      </c>
      <c r="DX10" s="191" t="s">
        <v>713</v>
      </c>
      <c r="DY10" s="191" t="s">
        <v>718</v>
      </c>
      <c r="DZ10" s="191" t="s">
        <v>715</v>
      </c>
      <c r="EA10" s="206" t="s">
        <v>716</v>
      </c>
      <c r="EB10" s="206" t="s">
        <v>717</v>
      </c>
      <c r="EC10" s="233" t="s">
        <v>721</v>
      </c>
      <c r="ED10" s="233" t="s">
        <v>722</v>
      </c>
      <c r="EE10" s="184" t="s">
        <v>13</v>
      </c>
      <c r="EF10" s="184" t="s">
        <v>723</v>
      </c>
      <c r="EG10" s="184" t="s">
        <v>724</v>
      </c>
      <c r="EH10" s="184" t="s">
        <v>725</v>
      </c>
      <c r="EI10" s="184" t="s">
        <v>726</v>
      </c>
      <c r="EJ10" s="184" t="s">
        <v>727</v>
      </c>
      <c r="EK10" s="184" t="s">
        <v>728</v>
      </c>
      <c r="EL10" s="184" t="s">
        <v>15</v>
      </c>
      <c r="EM10" s="184" t="s">
        <v>729</v>
      </c>
      <c r="EN10" s="184" t="s">
        <v>730</v>
      </c>
      <c r="EO10" s="184" t="s">
        <v>731</v>
      </c>
      <c r="EP10" s="184" t="s">
        <v>732</v>
      </c>
      <c r="EQ10" s="184" t="s">
        <v>733</v>
      </c>
      <c r="ER10" s="184" t="s">
        <v>734</v>
      </c>
      <c r="ES10" s="184" t="s">
        <v>735</v>
      </c>
      <c r="ET10" s="184" t="s">
        <v>736</v>
      </c>
      <c r="EU10" s="184"/>
      <c r="EV10" s="184"/>
      <c r="EW10" s="184"/>
      <c r="EX10" s="184"/>
      <c r="EY10" s="92" t="s">
        <v>737</v>
      </c>
      <c r="EZ10" s="92" t="s">
        <v>738</v>
      </c>
      <c r="FA10" s="92" t="s">
        <v>739</v>
      </c>
      <c r="FB10" s="92" t="s">
        <v>740</v>
      </c>
      <c r="FC10" s="248"/>
      <c r="FD10" s="249" t="s">
        <v>741</v>
      </c>
      <c r="FE10" s="258" t="s">
        <v>742</v>
      </c>
      <c r="FF10" s="258" t="s">
        <v>743</v>
      </c>
      <c r="FG10" s="259" t="s">
        <v>744</v>
      </c>
      <c r="FH10" s="249" t="s">
        <v>745</v>
      </c>
      <c r="FI10" s="258" t="s">
        <v>738</v>
      </c>
      <c r="FJ10" s="258" t="s">
        <v>746</v>
      </c>
      <c r="FK10" s="259" t="s">
        <v>747</v>
      </c>
      <c r="FL10" s="260"/>
      <c r="FM10" s="274"/>
      <c r="FN10" s="274"/>
      <c r="FO10" s="274"/>
      <c r="FP10" s="935"/>
      <c r="FQ10" s="935"/>
      <c r="FR10" s="275" t="s">
        <v>748</v>
      </c>
      <c r="FS10" s="276" t="s">
        <v>749</v>
      </c>
      <c r="FT10" s="277" t="s">
        <v>750</v>
      </c>
      <c r="FU10" s="292" t="s">
        <v>751</v>
      </c>
      <c r="FV10" s="292" t="s">
        <v>738</v>
      </c>
      <c r="FW10" s="292" t="s">
        <v>752</v>
      </c>
      <c r="FX10" s="292" t="s">
        <v>753</v>
      </c>
      <c r="FY10" s="293" t="s">
        <v>745</v>
      </c>
      <c r="FZ10" s="294" t="s">
        <v>738</v>
      </c>
      <c r="GA10" s="294" t="s">
        <v>754</v>
      </c>
      <c r="GB10" s="295" t="s">
        <v>755</v>
      </c>
      <c r="GC10" s="293" t="s">
        <v>756</v>
      </c>
      <c r="GD10" s="294" t="s">
        <v>738</v>
      </c>
      <c r="GE10" s="294" t="s">
        <v>757</v>
      </c>
      <c r="GF10" s="295" t="s">
        <v>758</v>
      </c>
      <c r="GG10" s="293" t="s">
        <v>756</v>
      </c>
      <c r="GH10" s="294" t="s">
        <v>738</v>
      </c>
      <c r="GI10" s="294" t="s">
        <v>759</v>
      </c>
      <c r="GJ10" s="295" t="s">
        <v>760</v>
      </c>
      <c r="GK10" s="293" t="s">
        <v>756</v>
      </c>
      <c r="GL10" s="294" t="s">
        <v>738</v>
      </c>
      <c r="GM10" s="294" t="s">
        <v>761</v>
      </c>
      <c r="GN10" s="295" t="s">
        <v>762</v>
      </c>
      <c r="GO10" s="937"/>
      <c r="GP10" s="939"/>
      <c r="GQ10" s="292" t="s">
        <v>756</v>
      </c>
      <c r="GR10" s="292" t="s">
        <v>738</v>
      </c>
      <c r="GS10" s="292" t="s">
        <v>763</v>
      </c>
      <c r="GT10" s="292" t="s">
        <v>764</v>
      </c>
      <c r="GU10" s="292" t="s">
        <v>765</v>
      </c>
      <c r="GV10" s="292" t="s">
        <v>756</v>
      </c>
      <c r="GW10" s="292" t="s">
        <v>738</v>
      </c>
      <c r="GX10" s="292" t="s">
        <v>766</v>
      </c>
      <c r="GY10" s="292" t="s">
        <v>767</v>
      </c>
      <c r="GZ10" s="318" t="s">
        <v>768</v>
      </c>
      <c r="HA10" s="318" t="s">
        <v>738</v>
      </c>
      <c r="HB10" s="318" t="s">
        <v>769</v>
      </c>
      <c r="HC10" s="318" t="s">
        <v>770</v>
      </c>
      <c r="HD10" s="318" t="s">
        <v>756</v>
      </c>
      <c r="HE10" s="318" t="s">
        <v>738</v>
      </c>
      <c r="HF10" s="318" t="s">
        <v>769</v>
      </c>
      <c r="HG10" s="318" t="s">
        <v>770</v>
      </c>
      <c r="HH10" s="318" t="s">
        <v>768</v>
      </c>
      <c r="HI10" s="318" t="s">
        <v>738</v>
      </c>
      <c r="HJ10" s="318" t="s">
        <v>769</v>
      </c>
      <c r="HK10" s="318" t="s">
        <v>770</v>
      </c>
      <c r="HL10" s="321" t="s">
        <v>771</v>
      </c>
      <c r="HM10" s="318" t="s">
        <v>738</v>
      </c>
      <c r="HN10" s="318" t="s">
        <v>769</v>
      </c>
      <c r="HO10" s="318" t="s">
        <v>770</v>
      </c>
      <c r="HP10" s="292" t="s">
        <v>768</v>
      </c>
      <c r="HQ10" s="292" t="s">
        <v>738</v>
      </c>
      <c r="HR10" s="292" t="s">
        <v>769</v>
      </c>
      <c r="HS10" s="292" t="s">
        <v>770</v>
      </c>
      <c r="HT10" s="292" t="s">
        <v>756</v>
      </c>
      <c r="HU10" s="292" t="s">
        <v>738</v>
      </c>
      <c r="HV10" s="292" t="s">
        <v>769</v>
      </c>
      <c r="HW10" s="292" t="s">
        <v>770</v>
      </c>
      <c r="HX10" s="323" t="s">
        <v>768</v>
      </c>
      <c r="HY10" s="323" t="s">
        <v>738</v>
      </c>
      <c r="HZ10" s="323" t="s">
        <v>769</v>
      </c>
      <c r="IA10" s="323" t="s">
        <v>770</v>
      </c>
      <c r="IB10" s="326" t="s">
        <v>771</v>
      </c>
      <c r="IC10" s="323" t="s">
        <v>738</v>
      </c>
      <c r="ID10" s="323" t="s">
        <v>769</v>
      </c>
      <c r="IE10" s="323" t="s">
        <v>770</v>
      </c>
      <c r="IF10" s="327"/>
      <c r="IG10" s="293" t="s">
        <v>756</v>
      </c>
      <c r="IH10" s="294" t="s">
        <v>738</v>
      </c>
      <c r="II10" s="294" t="s">
        <v>772</v>
      </c>
      <c r="IJ10" s="294" t="s">
        <v>773</v>
      </c>
      <c r="IK10" s="333" t="s">
        <v>774</v>
      </c>
      <c r="IL10" s="333" t="s">
        <v>775</v>
      </c>
      <c r="IM10" s="333" t="s">
        <v>776</v>
      </c>
      <c r="IN10" s="333" t="s">
        <v>777</v>
      </c>
      <c r="IO10" s="292" t="s">
        <v>745</v>
      </c>
      <c r="IP10" s="292" t="s">
        <v>738</v>
      </c>
      <c r="IQ10" s="292" t="s">
        <v>746</v>
      </c>
      <c r="IR10" s="292" t="s">
        <v>747</v>
      </c>
      <c r="IS10" s="292"/>
      <c r="IT10" s="292"/>
      <c r="IU10" s="292"/>
      <c r="IV10" s="292"/>
      <c r="IW10" s="941"/>
      <c r="IX10" s="941"/>
      <c r="IY10" s="333" t="s">
        <v>778</v>
      </c>
      <c r="IZ10" s="276" t="s">
        <v>749</v>
      </c>
      <c r="JA10" s="943"/>
      <c r="JB10" s="335" t="s">
        <v>751</v>
      </c>
      <c r="JC10" s="336" t="s">
        <v>738</v>
      </c>
      <c r="JD10" s="336" t="s">
        <v>779</v>
      </c>
      <c r="JE10" s="342" t="s">
        <v>780</v>
      </c>
      <c r="JF10" s="335" t="s">
        <v>751</v>
      </c>
      <c r="JG10" s="336" t="s">
        <v>738</v>
      </c>
      <c r="JH10" s="336" t="s">
        <v>781</v>
      </c>
      <c r="JI10" s="343" t="s">
        <v>782</v>
      </c>
      <c r="JJ10" s="945"/>
      <c r="JK10" s="947"/>
      <c r="JL10" s="335" t="s">
        <v>745</v>
      </c>
      <c r="JM10" s="336" t="s">
        <v>738</v>
      </c>
      <c r="JN10" s="336" t="s">
        <v>783</v>
      </c>
      <c r="JO10" s="342" t="s">
        <v>784</v>
      </c>
      <c r="JP10" s="335" t="s">
        <v>745</v>
      </c>
      <c r="JQ10" s="336" t="s">
        <v>738</v>
      </c>
      <c r="JR10" s="336" t="s">
        <v>754</v>
      </c>
      <c r="JS10" s="342" t="s">
        <v>755</v>
      </c>
      <c r="JT10" s="335" t="s">
        <v>756</v>
      </c>
      <c r="JU10" s="336" t="s">
        <v>738</v>
      </c>
      <c r="JV10" s="336" t="s">
        <v>757</v>
      </c>
      <c r="JW10" s="342" t="s">
        <v>758</v>
      </c>
      <c r="JX10" s="335" t="s">
        <v>756</v>
      </c>
      <c r="JY10" s="336" t="s">
        <v>738</v>
      </c>
      <c r="JZ10" s="336" t="s">
        <v>759</v>
      </c>
      <c r="KA10" s="342" t="s">
        <v>760</v>
      </c>
      <c r="KB10" s="335" t="s">
        <v>756</v>
      </c>
      <c r="KC10" s="336" t="s">
        <v>738</v>
      </c>
      <c r="KD10" s="336" t="s">
        <v>761</v>
      </c>
      <c r="KE10" s="342" t="s">
        <v>762</v>
      </c>
      <c r="KF10" s="949"/>
      <c r="KG10" s="947"/>
      <c r="KH10" s="92" t="s">
        <v>756</v>
      </c>
      <c r="KI10" s="92" t="s">
        <v>738</v>
      </c>
      <c r="KJ10" s="92" t="s">
        <v>763</v>
      </c>
      <c r="KK10" s="92" t="s">
        <v>765</v>
      </c>
      <c r="KL10" s="92" t="s">
        <v>756</v>
      </c>
      <c r="KM10" s="92" t="s">
        <v>738</v>
      </c>
      <c r="KN10" s="92" t="s">
        <v>766</v>
      </c>
      <c r="KO10" s="92" t="s">
        <v>767</v>
      </c>
      <c r="KP10" s="349" t="s">
        <v>785</v>
      </c>
      <c r="KQ10" s="349" t="s">
        <v>738</v>
      </c>
      <c r="KR10" s="349" t="s">
        <v>769</v>
      </c>
      <c r="KS10" s="349" t="s">
        <v>770</v>
      </c>
      <c r="KT10" s="351" t="s">
        <v>756</v>
      </c>
      <c r="KU10" s="351" t="s">
        <v>738</v>
      </c>
      <c r="KV10" s="351" t="s">
        <v>769</v>
      </c>
      <c r="KW10" s="351" t="s">
        <v>770</v>
      </c>
      <c r="KX10" s="352" t="s">
        <v>786</v>
      </c>
      <c r="KY10" s="352" t="s">
        <v>738</v>
      </c>
      <c r="KZ10" s="352" t="s">
        <v>769</v>
      </c>
      <c r="LA10" s="352" t="s">
        <v>770</v>
      </c>
      <c r="LB10" s="358" t="s">
        <v>787</v>
      </c>
      <c r="LC10" s="358" t="s">
        <v>738</v>
      </c>
      <c r="LD10" s="358" t="s">
        <v>769</v>
      </c>
      <c r="LE10" s="358" t="s">
        <v>770</v>
      </c>
      <c r="LF10" s="92" t="s">
        <v>785</v>
      </c>
      <c r="LG10" s="92" t="s">
        <v>738</v>
      </c>
      <c r="LH10" s="92" t="s">
        <v>769</v>
      </c>
      <c r="LI10" s="92" t="s">
        <v>770</v>
      </c>
      <c r="LJ10" s="359" t="s">
        <v>756</v>
      </c>
      <c r="LK10" s="359" t="s">
        <v>738</v>
      </c>
      <c r="LL10" s="359" t="s">
        <v>769</v>
      </c>
      <c r="LM10" s="359" t="s">
        <v>770</v>
      </c>
      <c r="LN10" s="360" t="s">
        <v>786</v>
      </c>
      <c r="LO10" s="360" t="s">
        <v>738</v>
      </c>
      <c r="LP10" s="360" t="s">
        <v>769</v>
      </c>
      <c r="LQ10" s="360" t="s">
        <v>770</v>
      </c>
      <c r="LR10" s="363" t="s">
        <v>787</v>
      </c>
      <c r="LS10" s="363" t="s">
        <v>738</v>
      </c>
      <c r="LT10" s="363" t="s">
        <v>769</v>
      </c>
      <c r="LU10" s="363" t="s">
        <v>770</v>
      </c>
      <c r="LV10" s="364" t="s">
        <v>788</v>
      </c>
      <c r="LW10" s="364" t="s">
        <v>789</v>
      </c>
      <c r="LX10" s="364" t="s">
        <v>790</v>
      </c>
      <c r="LY10" s="364" t="s">
        <v>791</v>
      </c>
      <c r="LZ10" s="369" t="s">
        <v>792</v>
      </c>
      <c r="MA10" s="370" t="s">
        <v>793</v>
      </c>
      <c r="MB10" s="370" t="s">
        <v>794</v>
      </c>
      <c r="MC10" s="371" t="s">
        <v>795</v>
      </c>
      <c r="MD10" s="371" t="s">
        <v>796</v>
      </c>
      <c r="ME10" s="371" t="s">
        <v>797</v>
      </c>
      <c r="MF10" s="371" t="s">
        <v>798</v>
      </c>
      <c r="MG10" s="369" t="s">
        <v>792</v>
      </c>
      <c r="MH10" s="370" t="s">
        <v>793</v>
      </c>
      <c r="MI10" s="370" t="s">
        <v>794</v>
      </c>
      <c r="MJ10" s="952"/>
      <c r="MK10" s="952"/>
      <c r="ML10" s="954"/>
      <c r="MM10" s="954"/>
      <c r="MN10" s="949"/>
      <c r="MO10" s="949"/>
      <c r="MP10" s="949"/>
      <c r="MQ10" s="949"/>
      <c r="MR10" s="956"/>
      <c r="MS10" s="949"/>
      <c r="MT10" s="947"/>
      <c r="MU10" s="949"/>
      <c r="MV10" s="949"/>
      <c r="MW10" s="947"/>
      <c r="MX10" s="949"/>
      <c r="MY10" s="949"/>
      <c r="MZ10" s="947"/>
      <c r="NA10" s="947"/>
      <c r="NB10" s="949"/>
      <c r="NC10" s="949"/>
      <c r="ND10" s="956"/>
      <c r="NE10" s="949"/>
      <c r="NF10" s="947"/>
      <c r="NG10" s="949"/>
      <c r="NH10" s="949"/>
      <c r="NI10" s="947"/>
      <c r="NK10" s="120" t="s">
        <v>799</v>
      </c>
      <c r="NL10" s="384" t="s">
        <v>800</v>
      </c>
      <c r="NM10" s="120" t="s">
        <v>799</v>
      </c>
      <c r="NN10" s="384" t="s">
        <v>800</v>
      </c>
      <c r="NO10" s="120" t="s">
        <v>799</v>
      </c>
      <c r="NP10" s="384" t="s">
        <v>800</v>
      </c>
      <c r="NQ10" s="120" t="s">
        <v>799</v>
      </c>
      <c r="NR10" s="384" t="s">
        <v>800</v>
      </c>
      <c r="NS10" s="120" t="s">
        <v>799</v>
      </c>
      <c r="NT10" s="120" t="s">
        <v>799</v>
      </c>
      <c r="NU10" s="120" t="s">
        <v>799</v>
      </c>
      <c r="NV10" s="120" t="s">
        <v>799</v>
      </c>
      <c r="NW10" s="392" t="s">
        <v>801</v>
      </c>
      <c r="NX10" t="s">
        <v>802</v>
      </c>
      <c r="NZ10" t="s">
        <v>803</v>
      </c>
      <c r="OB10" s="393" t="s">
        <v>804</v>
      </c>
      <c r="OC10" s="393" t="s">
        <v>805</v>
      </c>
      <c r="OD10" s="393" t="s">
        <v>806</v>
      </c>
      <c r="OE10" s="393" t="s">
        <v>807</v>
      </c>
      <c r="OF10" s="393" t="s">
        <v>808</v>
      </c>
      <c r="OG10" s="393" t="s">
        <v>809</v>
      </c>
      <c r="OH10" s="393" t="s">
        <v>810</v>
      </c>
    </row>
    <row r="11" spans="1:398" ht="45" customHeight="1">
      <c r="A11" s="46"/>
      <c r="B11" s="47"/>
      <c r="C11" s="46"/>
      <c r="D11" s="48"/>
      <c r="E11" s="49"/>
      <c r="F11" s="49"/>
      <c r="G11" s="49"/>
      <c r="H11" s="49"/>
      <c r="I11" s="49"/>
      <c r="J11" s="49"/>
      <c r="K11" s="49"/>
      <c r="L11" s="94"/>
      <c r="M11" s="95"/>
      <c r="N11" s="95"/>
      <c r="O11" s="49"/>
      <c r="P11" s="96"/>
      <c r="Q11" s="126"/>
      <c r="R11" s="127"/>
      <c r="S11" s="128"/>
      <c r="T11" s="126"/>
      <c r="U11" s="49"/>
      <c r="V11" s="127"/>
      <c r="W11" s="49"/>
      <c r="X11" s="129"/>
      <c r="Y11" s="129"/>
      <c r="Z11" s="165"/>
      <c r="AA11" s="166"/>
      <c r="AB11" s="166"/>
      <c r="AC11" s="166"/>
      <c r="AD11" s="166"/>
      <c r="AE11" s="166"/>
      <c r="AF11" s="49"/>
      <c r="AG11" s="49"/>
      <c r="AH11" s="49"/>
      <c r="AI11" s="49"/>
      <c r="AJ11" s="49"/>
      <c r="AK11" s="49"/>
      <c r="AL11" s="49"/>
      <c r="AM11" s="186"/>
      <c r="AN11" s="187"/>
      <c r="AO11" s="192" t="s">
        <v>811</v>
      </c>
      <c r="AP11" s="193" t="s">
        <v>812</v>
      </c>
      <c r="AQ11" s="192" t="s">
        <v>813</v>
      </c>
      <c r="AR11" s="193" t="s">
        <v>814</v>
      </c>
      <c r="AS11" s="193" t="s">
        <v>815</v>
      </c>
      <c r="AT11" s="194" t="s">
        <v>816</v>
      </c>
      <c r="AU11" s="195" t="s">
        <v>817</v>
      </c>
      <c r="AV11" s="194" t="s">
        <v>818</v>
      </c>
      <c r="AW11" s="195" t="s">
        <v>819</v>
      </c>
      <c r="AX11" s="195" t="s">
        <v>820</v>
      </c>
      <c r="AY11" s="192" t="s">
        <v>821</v>
      </c>
      <c r="AZ11" s="193" t="s">
        <v>822</v>
      </c>
      <c r="BA11" s="192" t="s">
        <v>823</v>
      </c>
      <c r="BB11" s="193" t="s">
        <v>824</v>
      </c>
      <c r="BC11" s="193" t="s">
        <v>825</v>
      </c>
      <c r="BD11" s="194" t="s">
        <v>826</v>
      </c>
      <c r="BE11" s="195" t="s">
        <v>827</v>
      </c>
      <c r="BF11" s="194" t="s">
        <v>828</v>
      </c>
      <c r="BG11" s="195" t="s">
        <v>829</v>
      </c>
      <c r="BH11" s="195" t="s">
        <v>830</v>
      </c>
      <c r="BI11" s="207"/>
      <c r="BJ11" s="207"/>
      <c r="BK11" s="48"/>
      <c r="BL11" s="49" t="s">
        <v>831</v>
      </c>
      <c r="BM11" s="216" t="s">
        <v>832</v>
      </c>
      <c r="BN11" s="49" t="s">
        <v>833</v>
      </c>
      <c r="BO11" s="216" t="s">
        <v>834</v>
      </c>
      <c r="BP11" s="216" t="s">
        <v>835</v>
      </c>
      <c r="BQ11" s="194" t="s">
        <v>836</v>
      </c>
      <c r="BR11" s="195" t="s">
        <v>837</v>
      </c>
      <c r="BS11" s="194" t="s">
        <v>838</v>
      </c>
      <c r="BT11" s="195" t="s">
        <v>839</v>
      </c>
      <c r="BU11" s="195" t="s">
        <v>840</v>
      </c>
      <c r="BV11" s="217" t="s">
        <v>841</v>
      </c>
      <c r="BW11" s="217" t="s">
        <v>842</v>
      </c>
      <c r="BX11" s="217" t="s">
        <v>843</v>
      </c>
      <c r="BY11" s="217" t="s">
        <v>844</v>
      </c>
      <c r="BZ11" s="217" t="s">
        <v>845</v>
      </c>
      <c r="CA11" s="194" t="s">
        <v>846</v>
      </c>
      <c r="CB11" s="195" t="s">
        <v>847</v>
      </c>
      <c r="CC11" s="194" t="s">
        <v>848</v>
      </c>
      <c r="CD11" s="195" t="s">
        <v>849</v>
      </c>
      <c r="CE11" s="195" t="s">
        <v>850</v>
      </c>
      <c r="CF11" s="207"/>
      <c r="CG11" s="207"/>
      <c r="CH11" s="49"/>
      <c r="CI11" s="49" t="s">
        <v>851</v>
      </c>
      <c r="CJ11" s="49" t="s">
        <v>852</v>
      </c>
      <c r="CK11" s="49" t="s">
        <v>853</v>
      </c>
      <c r="CL11" s="49" t="s">
        <v>854</v>
      </c>
      <c r="CM11" s="49" t="s">
        <v>855</v>
      </c>
      <c r="CN11" s="194" t="s">
        <v>856</v>
      </c>
      <c r="CO11" s="195" t="s">
        <v>857</v>
      </c>
      <c r="CP11" s="194" t="s">
        <v>858</v>
      </c>
      <c r="CQ11" s="195" t="s">
        <v>859</v>
      </c>
      <c r="CR11" s="195" t="s">
        <v>860</v>
      </c>
      <c r="CS11" s="217" t="s">
        <v>861</v>
      </c>
      <c r="CT11" s="217" t="s">
        <v>862</v>
      </c>
      <c r="CU11" s="217" t="s">
        <v>863</v>
      </c>
      <c r="CV11" s="217" t="s">
        <v>864</v>
      </c>
      <c r="CW11" s="217" t="s">
        <v>865</v>
      </c>
      <c r="CX11" s="194" t="s">
        <v>866</v>
      </c>
      <c r="CY11" s="195" t="s">
        <v>867</v>
      </c>
      <c r="CZ11" s="194" t="s">
        <v>868</v>
      </c>
      <c r="DA11" s="195" t="s">
        <v>869</v>
      </c>
      <c r="DB11" s="195" t="s">
        <v>870</v>
      </c>
      <c r="DC11" s="207"/>
      <c r="DD11" s="207"/>
      <c r="DE11" s="49"/>
      <c r="DF11" s="224"/>
      <c r="DG11" s="49" t="s">
        <v>871</v>
      </c>
      <c r="DH11" s="49" t="s">
        <v>872</v>
      </c>
      <c r="DI11" s="49" t="s">
        <v>873</v>
      </c>
      <c r="DJ11" s="49" t="s">
        <v>874</v>
      </c>
      <c r="DK11" s="49" t="s">
        <v>875</v>
      </c>
      <c r="DL11" s="225" t="s">
        <v>876</v>
      </c>
      <c r="DM11" s="225" t="s">
        <v>877</v>
      </c>
      <c r="DN11" s="225" t="s">
        <v>878</v>
      </c>
      <c r="DO11" s="225" t="s">
        <v>879</v>
      </c>
      <c r="DP11" s="225" t="s">
        <v>880</v>
      </c>
      <c r="DQ11" s="217" t="s">
        <v>881</v>
      </c>
      <c r="DR11" s="217" t="s">
        <v>882</v>
      </c>
      <c r="DS11" s="217" t="s">
        <v>883</v>
      </c>
      <c r="DT11" s="217" t="s">
        <v>884</v>
      </c>
      <c r="DU11" s="217" t="s">
        <v>885</v>
      </c>
      <c r="DV11" s="226" t="s">
        <v>886</v>
      </c>
      <c r="DW11" s="226" t="s">
        <v>887</v>
      </c>
      <c r="DX11" s="226" t="s">
        <v>888</v>
      </c>
      <c r="DY11" s="226" t="s">
        <v>889</v>
      </c>
      <c r="DZ11" s="226" t="s">
        <v>890</v>
      </c>
      <c r="EA11" s="207"/>
      <c r="EB11" s="207"/>
      <c r="EC11" s="234"/>
      <c r="ED11" s="234"/>
      <c r="EE11" s="186"/>
      <c r="EF11" s="186"/>
      <c r="EG11" s="186"/>
      <c r="EH11" s="186"/>
      <c r="EI11" s="186"/>
      <c r="EJ11" s="186"/>
      <c r="EK11" s="186"/>
      <c r="EL11" s="186"/>
      <c r="EM11" s="186"/>
      <c r="EN11" s="186"/>
      <c r="EO11" s="186"/>
      <c r="EP11" s="186"/>
      <c r="EQ11" s="186"/>
      <c r="ER11" s="241"/>
      <c r="ES11" s="234"/>
      <c r="ET11" s="186"/>
      <c r="EU11" s="242" t="s">
        <v>891</v>
      </c>
      <c r="EV11" s="242" t="s">
        <v>892</v>
      </c>
      <c r="EW11" s="242" t="s">
        <v>893</v>
      </c>
      <c r="EX11" s="242" t="s">
        <v>894</v>
      </c>
      <c r="EY11" s="49"/>
      <c r="EZ11" s="49"/>
      <c r="FA11" s="49"/>
      <c r="FB11" s="129"/>
      <c r="FC11" s="250"/>
      <c r="FD11" s="251"/>
      <c r="FE11" s="48"/>
      <c r="FF11" s="48"/>
      <c r="FG11" s="261"/>
      <c r="FH11" s="251"/>
      <c r="FI11" s="48"/>
      <c r="FJ11" s="48"/>
      <c r="FK11" s="261"/>
      <c r="FL11" s="251"/>
      <c r="FM11" s="48"/>
      <c r="FN11" s="48"/>
      <c r="FO11" s="261"/>
      <c r="FP11" s="278"/>
      <c r="FQ11" s="279"/>
      <c r="FR11" s="280"/>
      <c r="FS11" s="281"/>
      <c r="FU11" s="296"/>
      <c r="FV11" s="297"/>
      <c r="FW11" s="297"/>
      <c r="FX11" s="298"/>
      <c r="FY11" s="299"/>
      <c r="FZ11" s="300"/>
      <c r="GA11" s="300"/>
      <c r="GB11" s="301"/>
      <c r="GC11" s="299"/>
      <c r="GD11" s="300"/>
      <c r="GE11" s="300"/>
      <c r="GF11" s="301"/>
      <c r="GG11" s="299"/>
      <c r="GH11" s="300"/>
      <c r="GI11" s="300"/>
      <c r="GJ11" s="301"/>
      <c r="GK11" s="299"/>
      <c r="GL11" s="300"/>
      <c r="GM11" s="300"/>
      <c r="GN11" s="301"/>
      <c r="GO11" s="314"/>
      <c r="GP11" s="314"/>
      <c r="GQ11" s="296"/>
      <c r="GR11" s="297"/>
      <c r="GS11" s="297" t="s">
        <v>895</v>
      </c>
      <c r="GT11" s="297"/>
      <c r="GU11" s="297" t="s">
        <v>896</v>
      </c>
      <c r="GV11" s="296"/>
      <c r="GW11" s="297"/>
      <c r="GX11" s="297"/>
      <c r="GY11" s="297"/>
      <c r="GZ11" s="296"/>
      <c r="HA11" s="297"/>
      <c r="HB11" s="297"/>
      <c r="HC11" s="297"/>
      <c r="HD11" s="296"/>
      <c r="HE11" s="297"/>
      <c r="HF11" s="297"/>
      <c r="HG11" s="297"/>
      <c r="HH11" s="296"/>
      <c r="HI11" s="296"/>
      <c r="HJ11" s="297"/>
      <c r="HK11" s="297"/>
      <c r="HL11" s="296"/>
      <c r="HM11" s="297"/>
      <c r="HN11" s="297"/>
      <c r="HO11" s="297"/>
      <c r="HP11" s="296"/>
      <c r="HQ11" s="297"/>
      <c r="HR11" s="297"/>
      <c r="HS11" s="297"/>
      <c r="HT11" s="296"/>
      <c r="HU11" s="297"/>
      <c r="HV11" s="297"/>
      <c r="HW11" s="297"/>
      <c r="HX11" s="296"/>
      <c r="HY11" s="296"/>
      <c r="HZ11" s="297"/>
      <c r="IA11" s="297"/>
      <c r="IB11" s="296"/>
      <c r="IC11" s="297"/>
      <c r="ID11" s="297"/>
      <c r="IE11" s="297"/>
      <c r="IF11" s="299"/>
      <c r="IG11" s="299"/>
      <c r="IH11" s="300"/>
      <c r="II11" s="300"/>
      <c r="IJ11" s="300"/>
      <c r="IK11" s="296"/>
      <c r="IL11" s="297"/>
      <c r="IM11" s="297"/>
      <c r="IN11" s="298"/>
      <c r="IO11" s="296"/>
      <c r="IP11" s="297"/>
      <c r="IQ11" s="297"/>
      <c r="IR11" s="298"/>
      <c r="IS11" s="296"/>
      <c r="IT11" s="297"/>
      <c r="IU11" s="297"/>
      <c r="IV11" s="298"/>
      <c r="IW11" s="337"/>
      <c r="IX11" s="337"/>
      <c r="IY11" s="338"/>
      <c r="IZ11" s="338"/>
      <c r="JA11" s="281"/>
      <c r="JB11" s="234"/>
      <c r="JC11" s="186"/>
      <c r="JD11" s="186"/>
      <c r="JE11" s="344"/>
      <c r="JF11" s="234"/>
      <c r="JG11" s="186"/>
      <c r="JH11" s="186"/>
      <c r="JI11" s="344"/>
      <c r="JJ11" s="345"/>
      <c r="JK11" s="346"/>
      <c r="JL11" s="234"/>
      <c r="JM11" s="186"/>
      <c r="JN11" s="186"/>
      <c r="JO11" s="344"/>
      <c r="JP11" s="234"/>
      <c r="JQ11" s="186"/>
      <c r="JR11" s="186"/>
      <c r="JS11" s="344"/>
      <c r="JT11" s="234"/>
      <c r="JU11" s="186"/>
      <c r="JV11" s="186"/>
      <c r="JW11" s="344"/>
      <c r="JX11" s="234"/>
      <c r="JY11" s="186"/>
      <c r="JZ11" s="186"/>
      <c r="KA11" s="344"/>
      <c r="KB11" s="234"/>
      <c r="KC11" s="186"/>
      <c r="KD11" s="186"/>
      <c r="KE11" s="344"/>
      <c r="KF11" s="347"/>
      <c r="KG11" s="346"/>
      <c r="KH11" s="348"/>
      <c r="KI11" s="49"/>
      <c r="KJ11" s="49"/>
      <c r="KK11" s="49" t="s">
        <v>897</v>
      </c>
      <c r="KL11" s="348"/>
      <c r="KM11" s="49"/>
      <c r="KN11" s="49"/>
      <c r="KO11" s="49"/>
      <c r="KP11" s="348"/>
      <c r="KQ11" s="49"/>
      <c r="KR11" s="49"/>
      <c r="KS11" s="49"/>
      <c r="KT11" s="348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348"/>
      <c r="LG11" s="49"/>
      <c r="LH11" s="49"/>
      <c r="LI11" s="49"/>
      <c r="LJ11" s="348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365"/>
      <c r="LW11" s="365"/>
      <c r="LX11" s="365"/>
      <c r="LY11" s="365"/>
      <c r="LZ11" s="372"/>
      <c r="MA11" s="373"/>
      <c r="MB11" s="373"/>
      <c r="MC11" s="365"/>
      <c r="MD11" s="365"/>
      <c r="ME11" s="365"/>
      <c r="MF11" s="365"/>
      <c r="MG11" s="372"/>
      <c r="MH11" s="373"/>
      <c r="MI11" s="373"/>
      <c r="MJ11" s="186" t="s">
        <v>898</v>
      </c>
      <c r="MK11" s="234"/>
      <c r="ML11" s="234"/>
      <c r="MM11" s="234"/>
      <c r="MN11" s="345" t="s">
        <v>899</v>
      </c>
      <c r="MO11" s="345" t="s">
        <v>899</v>
      </c>
      <c r="MP11" s="345"/>
      <c r="MQ11" s="345"/>
      <c r="MR11" s="347"/>
      <c r="MS11" s="347"/>
      <c r="MT11" s="347"/>
      <c r="MU11" s="347"/>
      <c r="MV11" s="347" t="s">
        <v>900</v>
      </c>
      <c r="MW11" s="347"/>
      <c r="MX11" s="347"/>
      <c r="MY11" s="347"/>
      <c r="MZ11" s="346"/>
      <c r="NA11" s="345"/>
      <c r="NB11" s="345"/>
      <c r="NC11" s="347"/>
      <c r="ND11" s="383"/>
      <c r="NE11" s="347"/>
      <c r="NF11" s="347"/>
      <c r="NG11" s="347"/>
      <c r="NH11" s="347"/>
      <c r="NI11" s="347"/>
      <c r="NK11" s="385" t="s">
        <v>901</v>
      </c>
      <c r="NL11" s="385"/>
      <c r="NM11" s="385" t="s">
        <v>902</v>
      </c>
      <c r="NN11" s="385"/>
      <c r="NO11" s="385" t="s">
        <v>903</v>
      </c>
      <c r="NP11" s="385"/>
      <c r="NQ11" s="385" t="s">
        <v>904</v>
      </c>
      <c r="NR11" s="385"/>
      <c r="NS11" s="391" t="s">
        <v>905</v>
      </c>
      <c r="NT11" s="391" t="s">
        <v>906</v>
      </c>
      <c r="NU11" s="391" t="s">
        <v>907</v>
      </c>
      <c r="NV11" s="391" t="s">
        <v>908</v>
      </c>
      <c r="NY11" s="394" t="str">
        <f>AY11&amp;"重量"</f>
        <v>HY-A-KVVP重量</v>
      </c>
      <c r="OD11" s="393" t="s">
        <v>909</v>
      </c>
      <c r="OG11" s="393"/>
      <c r="OH11" s="393"/>
    </row>
    <row r="12" spans="1:398" ht="15" hidden="1" customHeight="1">
      <c r="A12" s="50">
        <v>0.3</v>
      </c>
      <c r="B12" s="51">
        <v>0.14000000000000001</v>
      </c>
      <c r="C12" s="52">
        <v>0.6</v>
      </c>
      <c r="D12" s="53" t="s">
        <v>910</v>
      </c>
      <c r="E12" s="54">
        <f t="shared" ref="E12:E19" si="1">MV12</f>
        <v>4.5641889199999994</v>
      </c>
      <c r="F12" s="55">
        <v>56.418892388857998</v>
      </c>
      <c r="G12" s="56"/>
      <c r="H12" s="56"/>
      <c r="I12" s="56"/>
      <c r="J12" s="56"/>
      <c r="K12" s="56"/>
      <c r="L12" s="97" t="s">
        <v>467</v>
      </c>
      <c r="M12" s="98">
        <f t="shared" ref="M12:M75" si="2">VLOOKUP(EE12,$A$12:$C$46,3,0)</f>
        <v>0.6</v>
      </c>
      <c r="N12" s="98">
        <f t="shared" ref="N12:N43" si="3">IF(EM12=0,0,VLOOKUP(EM12,$A$12:$C$46,3,0))</f>
        <v>0</v>
      </c>
      <c r="O12" s="53"/>
      <c r="P12" s="99">
        <v>0.1</v>
      </c>
      <c r="Q12" s="130">
        <v>0.1</v>
      </c>
      <c r="R12" s="131">
        <v>0.8</v>
      </c>
      <c r="S12" s="132" t="s">
        <v>521</v>
      </c>
      <c r="T12" s="133">
        <v>0.2</v>
      </c>
      <c r="U12" s="53">
        <v>2</v>
      </c>
      <c r="V12" s="131"/>
      <c r="W12" s="103">
        <v>1.4</v>
      </c>
      <c r="X12" s="134">
        <v>0.2</v>
      </c>
      <c r="Y12" s="134">
        <v>2</v>
      </c>
      <c r="Z12" s="167">
        <v>0.2</v>
      </c>
      <c r="AA12" s="153">
        <v>1</v>
      </c>
      <c r="AB12" s="153">
        <f>PI()*EJ12*EJ12/4*EH12*(1-H12)*AA12*各项系数!$F$5*各项系数!$J$4*10^-7</f>
        <v>2.2113823288261729E-3</v>
      </c>
      <c r="AC12" s="153">
        <f t="shared" ref="AC12:AC19" si="4">EJ12</f>
        <v>56.418892388857998</v>
      </c>
      <c r="AD12" s="153">
        <f t="shared" ref="AD12:AD75" si="5">PI()*AE12*AE12*10^-4/4*EH12</f>
        <v>0.24999941539261811</v>
      </c>
      <c r="AE12" s="153">
        <f>POWER(4*EU12/PI()/EG12/10^-7/EH12/(1-H12)/各项系数!$F$5/各项系数!$J$4,0.5)</f>
        <v>56.418892388857998</v>
      </c>
      <c r="AF12" s="69">
        <v>1</v>
      </c>
      <c r="AG12" s="69">
        <f>IF(EM12=0,0,PI()*ER12*ER12/4*EP12*(1-K12)*(1+AF12)*各项系数!$F$5*各项系数!$J$4*10^-7)</f>
        <v>0</v>
      </c>
      <c r="AH12" s="69">
        <f t="shared" ref="AH12:AH19" si="6">ER12</f>
        <v>0</v>
      </c>
      <c r="AI12" s="69">
        <f t="shared" ref="AI12" si="7">PI()*AJ12*AJ12*10^-4/4*EP12</f>
        <v>0</v>
      </c>
      <c r="AJ12" s="69">
        <f>IF(OR(EP12="",EP12=0),0,POWER(4*EW12/PI()/EO12/10^-7/EP12/(1-K12)/各项系数!$F$5/各项系数!$J$4,0.5))</f>
        <v>0</v>
      </c>
      <c r="AK12" s="69" t="str">
        <f t="shared" ref="AK12:AK75" si="8">IF((EG12*AB12+EO12*AG12)-EY12&lt;0.000001,"√",EY12)</f>
        <v>√</v>
      </c>
      <c r="AL12" s="69">
        <f t="shared" ref="AL12:AL19" si="9">AO12*(1+0.02)</f>
        <v>0.44960933309326062</v>
      </c>
      <c r="AM12" s="188">
        <f t="shared" ref="AM12:AM19" si="10">EE12*1</f>
        <v>0.3</v>
      </c>
      <c r="AN12" s="97" t="s">
        <v>486</v>
      </c>
      <c r="AO12" s="196">
        <f>AP12+各项系数!$M$9*$NK12</f>
        <v>0.44079346381692219</v>
      </c>
      <c r="AP12" s="196">
        <f>AQ12*(1+$BI12+(VLOOKUP($AM12,$A$12:$B$323,2,0))+各项系数!$J$6+各项系数!$M$5)*(1+$E$2)</f>
        <v>0.43330286799237494</v>
      </c>
      <c r="AQ12" s="197">
        <f>AR12+各项系数!$L$9*$NK12</f>
        <v>0.38784717865411289</v>
      </c>
      <c r="AR12" s="197">
        <f>AS12*(1+$BJ12+各项系数!$J$5+各项系数!$L$5)</f>
        <v>0.38035658282956564</v>
      </c>
      <c r="AS12" s="197">
        <f>SUM($FB12,$FQ12,$FX12,$GP12,$HS12)</f>
        <v>0.37289861061722118</v>
      </c>
      <c r="AT12" s="196">
        <f>AU12+各项系数!$M$9*$NM12</f>
        <v>0.59779994274494896</v>
      </c>
      <c r="AU12" s="196">
        <f>AV12*(1+$BI12+(VLOOKUP($AM12,$A$12:$B$323,2,0))+各项系数!$J$6+各项系数!$M$5)*(1+$E$2)</f>
        <v>0.59030934692040171</v>
      </c>
      <c r="AV12" s="197">
        <f>AW12+各项系数!$L$9*$NM12</f>
        <v>0.52838287407841178</v>
      </c>
      <c r="AW12" s="197">
        <f>AX12*(1+$BJ12+各项系数!$J$5+各项系数!$L$5)</f>
        <v>0.52089227825386453</v>
      </c>
      <c r="AX12" s="197">
        <f>SUM($FB12,$FQ12,$FX12,$GP12,$HC12)</f>
        <v>0.51067870417045536</v>
      </c>
      <c r="AY12" s="196">
        <f>AZ12+各项系数!$M$9*$NS12</f>
        <v>0.65230466909422236</v>
      </c>
      <c r="AZ12" s="196">
        <f>BA12*(1+$BI12+(VLOOKUP($AM12,$A$12:$B$214,2,0))+各项系数!$J$6+各项系数!$M$5)*(1+$E$2)</f>
        <v>0.64404126593924882</v>
      </c>
      <c r="BA12" s="197">
        <f>BB12+各项系数!$L$9*$NS12</f>
        <v>0.57647803968783462</v>
      </c>
      <c r="BB12" s="197">
        <f>BC12*(1+$BJ12+各项系数!$J$5+各项系数!$L$5)</f>
        <v>0.56821463653286108</v>
      </c>
      <c r="BC12" s="199">
        <f>SUM($FB12,$FQ12,$FX12,$GP12,$GY12,$HW12)</f>
        <v>0.55707317307143245</v>
      </c>
      <c r="BD12" s="196">
        <f>BE12+各项系数!$M$9*$NS12</f>
        <v>0.81725031893258915</v>
      </c>
      <c r="BE12" s="196">
        <f>BF12*(1+$BI12+(VLOOKUP($AM12,$A$12:$B$214,2,0))+各项系数!$J$6+各项系数!$M$5)*(1+$E$2)</f>
        <v>0.80898691577761561</v>
      </c>
      <c r="BF12" s="197">
        <f>BG12+各项系数!$L$9*$NS12</f>
        <v>0.72412004634587857</v>
      </c>
      <c r="BG12" s="197">
        <f>BH12*(1+$BJ12+各项系数!$J$5+各项系数!$L$5)</f>
        <v>0.71585664319090503</v>
      </c>
      <c r="BH12" s="199">
        <f>SUM($FB12,$FQ12,$FX12,$GP12,$GY12,$HO12)</f>
        <v>0.70182023842245589</v>
      </c>
      <c r="BI12" s="51"/>
      <c r="BJ12" s="208"/>
      <c r="BK12" s="102"/>
      <c r="BL12" s="196">
        <f>BM12+各项系数!$M$9*$NM12</f>
        <v>0.46838283025612559</v>
      </c>
      <c r="BM12" s="196">
        <f>BN12*(1+$CF12+(VLOOKUP($AM12,$A$12:$B$323,2,0))+各项系数!$J$6+各项系数!$M$5)*(1+$E$2)</f>
        <v>0.46089223443157834</v>
      </c>
      <c r="BN12" s="197">
        <f>BO12+各项系数!$L$9*$NM12</f>
        <v>0.41254227929786819</v>
      </c>
      <c r="BO12" s="197">
        <f>BP12*(1+$CG12+各项系数!$J$5+各项系数!$L$5)</f>
        <v>0.40505168347332093</v>
      </c>
      <c r="BP12" s="197">
        <f>SUM(FB12,FQ12,FX12,GP12,IA12)</f>
        <v>0.39325406162458343</v>
      </c>
      <c r="BQ12" s="196">
        <f>BR12+各项系数!$M$9*$NM12</f>
        <v>0.60350524522794124</v>
      </c>
      <c r="BR12" s="196">
        <f>BS12*(1+$CF12+(VLOOKUP($AM12,$A$12:$B$323,2,0))+各项系数!$J$6+各项系数!$M$5)*(1+$E$2)</f>
        <v>0.59601464940339399</v>
      </c>
      <c r="BS12" s="197">
        <f>BT12+各项系数!$L$9*$NM12</f>
        <v>0.53348966112011631</v>
      </c>
      <c r="BT12" s="197">
        <f>BU12*(1+$CG12+各项系数!$J$5+各项系数!$L$5)</f>
        <v>0.52599906529556906</v>
      </c>
      <c r="BU12" s="197">
        <f>SUM(FB12,FQ12,FX12,GP12,HK12)</f>
        <v>0.51067870417045536</v>
      </c>
      <c r="BV12" s="196">
        <f>BW12+各项系数!$M$9*$NT12</f>
        <v>0.68313605572519653</v>
      </c>
      <c r="BW12" s="196">
        <f>BX12*(1+$CF12+(VLOOKUP($AM12,$A$12:$B$214,2,0))+各项系数!$J$6+各项系数!$M$5)*(1+$E$2)</f>
        <v>0.674872652570223</v>
      </c>
      <c r="BX12" s="197">
        <f>BY12+各项系数!$L$9*$NT$12</f>
        <v>0.60407505600628619</v>
      </c>
      <c r="BY12" s="197">
        <f>BZ12*(1+$CG12+各项系数!$J$5+各项系数!$L$5)</f>
        <v>0.59581165285131266</v>
      </c>
      <c r="BZ12" s="199">
        <f t="shared" ref="BZ12:BZ75" si="11">SUM($FB12,$FQ12,$FX12,$GP12,$GY12,$IE12)</f>
        <v>0.57845791538962388</v>
      </c>
      <c r="CA12" s="196">
        <f>CB12+各项系数!$M$9*$NT12</f>
        <v>0.82509105463624477</v>
      </c>
      <c r="CB12" s="196">
        <f>CC12*(1+$CF12+(VLOOKUP($AM12,$A$12:$B$214,2,0))+各项系数!$J$6+各项系数!$M$5)*(1+$E$2)</f>
        <v>0.81682765148127123</v>
      </c>
      <c r="CC12" s="197">
        <f>CD12+各项系数!$L$9*$NT$12</f>
        <v>0.73113824873010314</v>
      </c>
      <c r="CD12" s="197">
        <f>CE12*(1+$CG12+各项系数!$J$5+各项系数!$L$5)</f>
        <v>0.7228748455751296</v>
      </c>
      <c r="CE12" s="199">
        <f>SUM($FB12,$FQ12,$FX12,$GP12,$GY12,$HO12)</f>
        <v>0.70182023842245589</v>
      </c>
      <c r="CF12" s="213">
        <f>BI12+$CF$2</f>
        <v>0</v>
      </c>
      <c r="CG12" s="213">
        <f t="shared" ref="CG12:CG75" si="12">BJ12+$E$4</f>
        <v>0.01</v>
      </c>
      <c r="CH12" s="102"/>
      <c r="CI12" s="196">
        <f>CJ12+各项系数!$M$9*$NO12</f>
        <v>0.52392848523610169</v>
      </c>
      <c r="CJ12" s="196">
        <f>CK12*(1+$DC12+(VLOOKUP($AM12,$A$12:$B$323,2,0))+各项系数!$J$6+各项系数!$M$5)*(1+$E$2)+各项系数!$M$9*$NK12</f>
        <v>0.51494295255285927</v>
      </c>
      <c r="CK12" s="197">
        <f>CL12+各项系数!$L$9*$NO12</f>
        <v>0.45421800638051557</v>
      </c>
      <c r="CL12" s="197">
        <f>CM12*(1+$DD12+各项系数!$J$5+各项系数!$L$5)</f>
        <v>0.4452324736972732</v>
      </c>
      <c r="CM12" s="197">
        <f t="shared" ref="CM12:CM75" si="13">SUM($FB12,$IJ12,$IX12,$JK12,$KG12,$LI12)</f>
        <v>0.4365024251934051</v>
      </c>
      <c r="CN12" s="196">
        <f>CO12+各项系数!$M$9*$NO12</f>
        <v>0.64574728203890264</v>
      </c>
      <c r="CO12" s="196">
        <f>CP12*(1+$DC12+(VLOOKUP($AM12,$A$12:$B$323,2,0))+各项系数!$J$6+各项系数!$M$5)*(1+$E$2)+各项系数!$M$9*$NK12</f>
        <v>0.63676174935566021</v>
      </c>
      <c r="CP12" s="197">
        <f>CQ12+各项系数!$L$9*$NO12</f>
        <v>0.56325738769344158</v>
      </c>
      <c r="CQ12" s="197">
        <f>CR12*(1+$DD12+各项系数!$J$5+各项系数!$L$5)</f>
        <v>0.55427185501019915</v>
      </c>
      <c r="CR12" s="197">
        <f t="shared" ref="CR12:CR75" si="14">SUM($FB12,$IJ12,$IX12,$JK12,$KG12,$HC12)</f>
        <v>0.54340377942176388</v>
      </c>
      <c r="CS12" s="196">
        <f>CT12+各项系数!$M$9*$NU12</f>
        <v>0.77994775293535812</v>
      </c>
      <c r="CT12" s="196">
        <f t="shared" ref="CT12:CT75" si="15">CU12*(1+$DC12+(VLOOKUP($AM12,$A$12:$B$323,2,0)))*(1+$E$2)+$E$3*$OM12</f>
        <v>0.76998826893118943</v>
      </c>
      <c r="CU12" s="197">
        <f>CV12+各项系数!$L$9*$NU12</f>
        <v>0.68921255722448027</v>
      </c>
      <c r="CV12" s="197">
        <f>CW12*(1+$DD12+各项系数!$J$5+各项系数!$L$5)</f>
        <v>0.67925307322031159</v>
      </c>
      <c r="CW12" s="199">
        <f t="shared" ref="CW12:CW75" si="16">SUM($FB12,$IJ12,$IX12,$JK12,$KG12,$KO12,$LM12)</f>
        <v>0.66593438551010942</v>
      </c>
      <c r="CX12" s="196">
        <f>CY12+各项系数!$M$9*$NU12</f>
        <v>0.96871091550474486</v>
      </c>
      <c r="CY12" s="196">
        <f t="shared" ref="CY12:CY75" si="17">CZ12*(1+$DC12+(VLOOKUP($AM12,$A$12:$B$323,2,0)))*(1+$E$2)+$E$3*$OM12</f>
        <v>0.95875143150057618</v>
      </c>
      <c r="CZ12" s="197">
        <f>DA12+各项系数!$L$9*$NU12</f>
        <v>0.85817349758375949</v>
      </c>
      <c r="DA12" s="197">
        <f>DB12*(1+$DD12+各项系数!$J$5+各项系数!$L$5)</f>
        <v>0.84821401357959081</v>
      </c>
      <c r="DB12" s="199">
        <f t="shared" ref="DB12:DB75" si="18">SUM($FB12,$IJ12,$IX12,$JK12,$KG12,$KO12,$KW12)</f>
        <v>0.83158236625450077</v>
      </c>
      <c r="DC12" s="213">
        <f>BI12+$DC$2</f>
        <v>0</v>
      </c>
      <c r="DD12" s="213">
        <f t="shared" ref="DD12:DD75" si="19">BJ12+$E$5</f>
        <v>0</v>
      </c>
      <c r="DE12" s="53"/>
      <c r="DF12" s="53"/>
      <c r="DG12" s="196">
        <f>DH12+各项系数!$M$9*$NQ12</f>
        <v>0.55578169943184663</v>
      </c>
      <c r="DH12" s="196">
        <f>DI12*(1+$EA12+(VLOOKUP($AM12,$A$12:$B$323,2,0))+各项系数!$J$6+各项系数!$M$5)*(1+$E$2)+各项系数!$M$9*$NK12</f>
        <v>0.54679616674860421</v>
      </c>
      <c r="DI12" s="197">
        <f>DJ12+各项系数!$L$9*$NQ12</f>
        <v>0.48272965532049489</v>
      </c>
      <c r="DJ12" s="197">
        <f>DK12*(1+$EB12+各项系数!$J$5+各项系数!$L$5)</f>
        <v>0.47374412263725252</v>
      </c>
      <c r="DK12" s="197">
        <f t="shared" ref="DK12:DK75" si="20">SUM($FB12,$IJ12,$IX12,$JK12,$KG12,$LQ12)</f>
        <v>0.45994575013325484</v>
      </c>
      <c r="DL12" s="196">
        <f>DM12+各项系数!$M$9*$NQ12</f>
        <v>0.71140186622136081</v>
      </c>
      <c r="DM12" s="196">
        <f>DN12*(1+$EA12+(VLOOKUP($AM12,$A$12:$B$323,2,0))+各项系数!$J$6+各项系数!$M$5)*(1+$E$2)+各项系数!$M$9*$NK12</f>
        <v>0.70241633353811839</v>
      </c>
      <c r="DN12" s="197">
        <f>DO12+各项系数!$L$9*$NQ12</f>
        <v>0.62202446984744997</v>
      </c>
      <c r="DO12" s="197">
        <f>DP12*(1+$EB12+各项系数!$J$5+各项系数!$L$5)</f>
        <v>0.61303893716420754</v>
      </c>
      <c r="DP12" s="197">
        <f t="shared" ref="DP12:DP75" si="21">SUM($FB12,$IJ12,$IX12,$JK12,$KG12,$LA12)</f>
        <v>0.59518343414000729</v>
      </c>
      <c r="DQ12" s="196">
        <f>DR12+各项系数!$M$9*$NV12</f>
        <v>0.81554860297179332</v>
      </c>
      <c r="DR12" s="196">
        <f t="shared" ref="DR12:DR75" si="22">DS12*(1+$EA12+(VLOOKUP($AM12,$A$12:$B$323,2,0)))*(1+$E$2)+$E$3*$NV12</f>
        <v>0.80558911896762464</v>
      </c>
      <c r="DS12" s="197">
        <f>DT12+各项系数!$L$9*$NV12</f>
        <v>0.72107869581778061</v>
      </c>
      <c r="DT12" s="197">
        <f>DU12*(1+$EB12+各项系数!$J$5+各项系数!$L$5)</f>
        <v>0.71111921181361193</v>
      </c>
      <c r="DU12" s="199">
        <f t="shared" ref="DU12:DU75" si="23">SUM($FB12,IX12,$IJ12,$JK12,$KG12,$LU12,$KO12)</f>
        <v>0.69040700176078829</v>
      </c>
      <c r="DV12" s="196">
        <f>DW12+各项系数!$M$9*$NV12</f>
        <v>0.93818725124597757</v>
      </c>
      <c r="DW12" s="196">
        <f t="shared" ref="DW12:DW75" si="24">DX12*(1+$EA12+(VLOOKUP($AM12,$A$12:$B$323,2,0)))*(1+$E$2)+$E$3*$NV12</f>
        <v>0.92822776724180889</v>
      </c>
      <c r="DX12" s="197">
        <f>DY12+各项系数!$L$9*$NV12</f>
        <v>0.83085192198514934</v>
      </c>
      <c r="DY12" s="197">
        <f>DZ12*(1+$EB12+各项系数!$J$5+各项系数!$L$5)</f>
        <v>0.82089243798098066</v>
      </c>
      <c r="DZ12" s="199">
        <f t="shared" ref="DZ12:DZ75" si="25">SUM($FB12,JE12,$IJ12,$JK12,$KG12,$LE12,$KO12)</f>
        <v>0.79698294949609771</v>
      </c>
      <c r="EA12" s="213">
        <f t="shared" ref="EA12:EA21" si="26">BI12+$EA$2</f>
        <v>0</v>
      </c>
      <c r="EB12" s="213">
        <f t="shared" ref="EB12:EB75" si="27">BJ12+$E$6</f>
        <v>0.01</v>
      </c>
      <c r="EC12" s="235">
        <f>IF(EO12=0,EG12,EG12&amp;"+"&amp;EO12)</f>
        <v>1</v>
      </c>
      <c r="ED12" s="235" t="str">
        <f>IF(COUNTIF($D12,"*+*")&gt;0,MID($D12,1,FIND("+",$D12)-1),MID($D12,1,LEN($D12)))</f>
        <v>1*0.3</v>
      </c>
      <c r="EE12" s="189">
        <f t="shared" ref="EE12:EE20" si="28">IF($D12="",0,IF(COUNTIF($D12,"*+*")&gt;0,MID($D12,FIND("*",$D12)+1,FIND("+",$D12)-FIND("*",$D12)-1),RIGHT($D12,(LEN($D12)-FIND("*",$D12)))))*1</f>
        <v>0.3</v>
      </c>
      <c r="EF12" s="189">
        <f>LOOKUP(EH12,{1,7,10,14,19,24,30,37,48,61},{1,"1+6","2+8","4+10","1+6+12","2+8+14","4+10+16","1+6+12+18","3+9+15+21","1+6+12+18+24"})</f>
        <v>1</v>
      </c>
      <c r="EG12" s="188">
        <f t="shared" ref="EG12:EG75" si="29">IF(D12="",0,MID(D12,1,FIND("*",D12)-1))*1</f>
        <v>1</v>
      </c>
      <c r="EH12" s="197">
        <f>IF(AM12&lt;10,1,IF(AND(AM12&gt;=10,AM12&lt;=35),7,LOOKUP(AM12,{50,70,95,120,150,185,240,300,400,500,630},{10,14,19,24,30,37,48,61,61,61,61})*1))</f>
        <v>1</v>
      </c>
      <c r="EI12" s="188">
        <f>IF(EH12=0,0,VLOOKUP(EH12,各项系数!$D$142:$E$195,2,0))*1</f>
        <v>1</v>
      </c>
      <c r="EJ12" s="238">
        <f>$F12-$G12</f>
        <v>56.418892388857998</v>
      </c>
      <c r="EK12" s="189">
        <f t="shared" ref="EK12:EK19" si="30">IF(COUNTIF($D12,"*+*")&gt;0,MID($D12,FIND("+",$D12)+1,LEN($D12)),0)</f>
        <v>0</v>
      </c>
      <c r="EL12" s="189">
        <f t="shared" ref="EL12:EL75" si="31">IF(COUNTIF(D12,"*+*")&gt;0,(MID(D12,FIND("#",SUBSTITUTE(D12,"*","#",2))+1,FIND("#",SUBSTITUTE(D12,"*","#",2))-1)),0)</f>
        <v>0</v>
      </c>
      <c r="EM12" s="189">
        <f t="shared" ref="EM12:EM19" si="32">EL12/1</f>
        <v>0</v>
      </c>
      <c r="EN12" s="189">
        <f>IF(EP12=0,0,LOOKUP(EP12,{1,7,10,14,19,24,30,37,48,61},{1,"1+6","2+8","4+10","1+6+12","2+8+14","4+10+16","1+6+12+18","3+9+15+21","1+6+12+18+24"}))</f>
        <v>0</v>
      </c>
      <c r="EO12" s="189">
        <f t="shared" ref="EO12:EO19" si="33">IF(EK12=0,0,MID(EK12,1,1))</f>
        <v>0</v>
      </c>
      <c r="EP12" s="189">
        <f>IF(EM12=0,0,IF(EM12&lt;10,1,IF(AND(EM12&gt;=10,EM12&lt;=35),7,LOOKUP(EM12,{50,70,95,120,150,185,240,300},{10,14,19,24,30,37,48,61})*1)))</f>
        <v>0</v>
      </c>
      <c r="EQ12" s="189">
        <f>IF(EP12=0,0,VLOOKUP(EP12,各项系数!$D$142:$E$195,2,0))*1</f>
        <v>0</v>
      </c>
      <c r="ER12" s="189">
        <f t="shared" ref="ER12:ER19" si="34">$I12-$J12</f>
        <v>0</v>
      </c>
      <c r="ES12" s="235">
        <f t="shared" ref="ES12:ES19" si="35">EO12+EG12</f>
        <v>1</v>
      </c>
      <c r="ET12" s="189">
        <f>VLOOKUP(ES12,各项系数!$D$142:$E$195,2,0)*1</f>
        <v>1</v>
      </c>
      <c r="EU12" s="243">
        <f>((各项系数!$F$76/4*$EJ12^2*$EG12*$EH12*1*10^-7)*(1-$H12)*AA12)*(VLOOKUP($EY$9,各项系数!$D$4:$F$143,3,0))*各项系数!$J$4</f>
        <v>2.2113823288261729E-3</v>
      </c>
      <c r="EV12" s="244">
        <f>EU12*(VLOOKUP($EY$9,各项系数!$D$4:$F$143,2,0))</f>
        <v>0.14484554253811432</v>
      </c>
      <c r="EW12" s="252">
        <f>(IF($EO12=0,0,(各项系数!$F$76/4*$ER12^2*$EO12*$EP12*1*10^-7))*(1-$K12)*$AF12)*(VLOOKUP($EY$9,各项系数!$D$4:$F$143,3,0))*各项系数!$J$4</f>
        <v>0</v>
      </c>
      <c r="EX12" s="253">
        <f>EW12*(VLOOKUP($EY$9,各项系数!$D$4:$F$143,2,0))</f>
        <v>0</v>
      </c>
      <c r="EY12" s="189">
        <f>((各项系数!$F$76/4*$EJ12^2*$EG12*$EH12*1*10^-7)*(1-$H12)*AA12+IF($EO12=0,0,(各项系数!$F$76/4*$ER12^2*$EO12*$EP12*1*10^-7))*(1-$K12)*$AF12)*(VLOOKUP($EY$9,各项系数!$D$4:$F$143,3,0))*各项系数!$J$4</f>
        <v>2.2113823288261729E-3</v>
      </c>
      <c r="EZ12" s="102">
        <v>1</v>
      </c>
      <c r="FA12" s="189">
        <f t="shared" ref="FA12:FA20" si="36">EZ12*EY12</f>
        <v>2.2113823288261729E-3</v>
      </c>
      <c r="FB12" s="254">
        <f>FA12*(VLOOKUP($EY$9,各项系数!$D$4:$F$143,2,0))</f>
        <v>0.14484554253811432</v>
      </c>
      <c r="FC12" s="255"/>
      <c r="FD12" s="235">
        <f>各项系数!$F$76/4*($MN12^2-MK12^2)*10^-2*(VLOOKUP(L12,各项系数!$D$1:$F$143,3,0))*10^-3*10^2*$EG12*各项系数!$J$4</f>
        <v>2.4018194123024126E-3</v>
      </c>
      <c r="FE12" s="262">
        <f>FD12*VLOOKUP(L12,各项系数!$D$1:$F$143,2,0)</f>
        <v>2.4498558005484606E-2</v>
      </c>
      <c r="FF12" s="188">
        <f>各项系数!$F$76/4*($MO12^2-ML12^2)*10^-2*(VLOOKUP(L12,各项系数!$D$1:$F$143,3,0))*10^-3*10^2*$EO12*各项系数!$J$4</f>
        <v>0</v>
      </c>
      <c r="FG12" s="262">
        <f>FF12*VLOOKUP(L12,各项系数!$D$1:$F$143,2,0)</f>
        <v>0</v>
      </c>
      <c r="FH12" s="235">
        <f>FF12+FD12</f>
        <v>2.4018194123024126E-3</v>
      </c>
      <c r="FI12" s="102">
        <v>1</v>
      </c>
      <c r="FJ12" s="189">
        <f t="shared" ref="FJ12:FJ20" si="37">FI12*FH12</f>
        <v>2.4018194123024126E-3</v>
      </c>
      <c r="FK12" s="262">
        <f>FJ12*VLOOKUP(L12,各项系数!$D$1:$F$143,2,0)</f>
        <v>2.4498558005484606E-2</v>
      </c>
      <c r="FL12" s="235"/>
      <c r="FM12" s="102"/>
      <c r="FN12" s="189"/>
      <c r="FO12" s="262"/>
      <c r="FP12" s="282">
        <f t="shared" ref="FP12:FP20" si="38">FJ12</f>
        <v>2.4018194123024126E-3</v>
      </c>
      <c r="FQ12" s="282">
        <f t="shared" ref="FQ12:FQ20" si="39">FK12</f>
        <v>2.4498558005484606E-2</v>
      </c>
      <c r="FR12" s="283">
        <f>各项系数!$F$76/4*($MQ12^2-$MN12^2*$EG12-$MO12^2*$EO12)*10^-2</f>
        <v>0</v>
      </c>
      <c r="FS12" s="284">
        <f>VLOOKUP(EC12,$A$38:$B$65,2,0)</f>
        <v>1</v>
      </c>
      <c r="FT12" s="285">
        <f t="shared" ref="FT12:FT75" si="40">FR12*$FS12</f>
        <v>0</v>
      </c>
      <c r="FU12" s="302">
        <f>$FT12*(VLOOKUP($FT$9,各项系数!$D$1:$F$143,3,0))*10^-3*10^2*各项系数!$J$55</f>
        <v>0</v>
      </c>
      <c r="FV12" s="303">
        <v>1</v>
      </c>
      <c r="FW12" s="304">
        <f t="shared" ref="FW12:FW20" si="41">FV12*FU12</f>
        <v>0</v>
      </c>
      <c r="FX12" s="285">
        <f>FW12*(VLOOKUP($FT$9,各项系数!$D$1:$F$143,2,0))</f>
        <v>0</v>
      </c>
      <c r="FY12" s="302">
        <f>IF($BK12&lt;&gt;$FY$9,0,各项系数!$F$76/4*($MS12^2-$MQ12^2)*10^-2*(VLOOKUP($FY$9,各项系数!$D$1:$F$143,3,0))*10^-3*10^2)*各项系数!$J$4</f>
        <v>0</v>
      </c>
      <c r="FZ12" s="303">
        <v>1</v>
      </c>
      <c r="GA12" s="304">
        <f t="shared" ref="GA12:GA20" si="42">FZ12*FY12</f>
        <v>0</v>
      </c>
      <c r="GB12" s="285">
        <f>GA12*(VLOOKUP($FY$9,各项系数!$D$1:$F$143,2,0))</f>
        <v>0</v>
      </c>
      <c r="GC12" s="302">
        <f>IF($BK12&lt;&gt;$GC$9,0,各项系数!$F$76/4*($MS12^2-$MQ12^2)*10^-2*(VLOOKUP($GC$9,各项系数!$D$1:$F$143,3,0))*10^-3*10^2)*各项系数!$J$4</f>
        <v>0</v>
      </c>
      <c r="GD12" s="303">
        <v>1</v>
      </c>
      <c r="GE12" s="304">
        <f t="shared" ref="GE12:GE20" si="43">GD12*GC12</f>
        <v>0</v>
      </c>
      <c r="GF12" s="285">
        <f>GE12*(VLOOKUP($GC$9,各项系数!$D$1:$F$143,2,0))</f>
        <v>0</v>
      </c>
      <c r="GG12" s="302">
        <f>IF($BK12&lt;&gt;$GG$9,0,各项系数!$F$76/4*($MS12^2-$MQ12^2)*10^-2*(VLOOKUP($GG$9,各项系数!$D$1:$F$143,3,0))*10^-3*10^2)*各项系数!$J$4</f>
        <v>0</v>
      </c>
      <c r="GH12" s="303">
        <v>1</v>
      </c>
      <c r="GI12" s="304">
        <f t="shared" ref="GI12:GI20" si="44">GH12*GG12</f>
        <v>0</v>
      </c>
      <c r="GJ12" s="285">
        <f>GI12*(VLOOKUP($GG$9,各项系数!$D$1:$F$143,2,0))</f>
        <v>0</v>
      </c>
      <c r="GK12" s="302">
        <f>IF($BK12&lt;&gt;$GK$9,0,各项系数!$F$76/4*($MS12^2-$MQ12^2)*10^-2*(VLOOKUP($GK$9,各项系数!$D$1:$F$143,3,0))*10^-3*10^2)*各项系数!$J$4</f>
        <v>0</v>
      </c>
      <c r="GL12" s="303">
        <v>1</v>
      </c>
      <c r="GM12" s="304">
        <f t="shared" ref="GM12:GM20" si="45">GL12*GK12</f>
        <v>0</v>
      </c>
      <c r="GN12" s="285">
        <f>GM12*(VLOOKUP($GK$9,各项系数!$D$1:$F$143,2,0))</f>
        <v>0</v>
      </c>
      <c r="GO12" s="304">
        <f t="shared" ref="GO12:GO20" si="46">GM12+GI12+GE12+GA12</f>
        <v>0</v>
      </c>
      <c r="GP12" s="304">
        <f t="shared" ref="GP12:GP20" si="47">GN12+GJ12+GF12+GB12</f>
        <v>0</v>
      </c>
      <c r="GQ12" s="315">
        <f>各项系数!$F$76/4*($MU12^2-$MS12^2)*10^-2*(VLOOKUP($S12,各项系数!$D$1:$F$143,3,0))*10^-3*10^2*各项系数!$J$4</f>
        <v>9.6026911076230754E-3</v>
      </c>
      <c r="GR12" s="303">
        <v>1</v>
      </c>
      <c r="GS12" s="304">
        <f t="shared" ref="GS12:GS20" si="48">$GR12*$GQ12</f>
        <v>9.6026911076230754E-3</v>
      </c>
      <c r="GT12" s="304">
        <f t="shared" ref="GT12:GT20" si="49">IF(OR(AND(EG12=$AC$3,EE12&lt;$AC$4),AND(EE12&lt;($AB$4+1),EG12&lt;$AB$3)),$AB$5,0)</f>
        <v>1</v>
      </c>
      <c r="GU12" s="304">
        <f>ROUND($GS12*(VLOOKUP($S12,各项系数!$D$1:$F$143,2,0))+$E$3*GS12,GT12)</f>
        <v>0.1</v>
      </c>
      <c r="GV12" s="315">
        <f>各项系数!$F$76/4*($MT12^2-$MS12^2)*10^-2*(VLOOKUP($GV$9,各项系数!$D$1:$F$143,3,0))*10^-3*10^2*各项系数!$J$4*PI()/4*R12</f>
        <v>2.5760244347543637E-3</v>
      </c>
      <c r="GW12" s="303">
        <v>1</v>
      </c>
      <c r="GX12" s="304">
        <f t="shared" ref="GX12:GX20" si="50">$GW12*$GV12</f>
        <v>2.5760244347543637E-3</v>
      </c>
      <c r="GY12" s="304">
        <f>$GX12*(VLOOKUP($GV$9,各项系数!$D$1:$F$143,2,0))</f>
        <v>0.17388164934591954</v>
      </c>
      <c r="GZ12" s="315">
        <f>各项系数!$F$76/4*($MV12^2-$MS12^2)*10^-2*(VLOOKUP($GZ$9,各项系数!$D$1:$F$143,3,0))*10^-3*10^2*各项系数!$J$4</f>
        <v>2.0078506095697436E-2</v>
      </c>
      <c r="HA12" s="303">
        <v>1</v>
      </c>
      <c r="HB12" s="304">
        <f t="shared" ref="HB12" si="51">HA12*GZ12</f>
        <v>2.0078506095697436E-2</v>
      </c>
      <c r="HC12" s="304">
        <f>HB12*(VLOOKUP($GZ$9,各项系数!$D$1:$F$143,2,0))</f>
        <v>0.34133460362685641</v>
      </c>
      <c r="HD12" s="315">
        <f>各项系数!$F$76/4*($MW12^2-$MT12^2)*10^-2*(VLOOKUP($HD$9,各项系数!$D$1:$F$143,3,0))*10^-3*10^2*各项系数!$J$4</f>
        <v>2.1093793443113969E-2</v>
      </c>
      <c r="HE12" s="303">
        <v>1</v>
      </c>
      <c r="HF12" s="304">
        <f t="shared" ref="HF12" si="52">HE12*HD12</f>
        <v>2.1093793443113969E-2</v>
      </c>
      <c r="HG12" s="304">
        <f>HF12*(VLOOKUP($HD$9,各项系数!$D$1:$F$143,2,0))</f>
        <v>0.35859448853293746</v>
      </c>
      <c r="HH12" s="315">
        <f>各项系数!$F$76/4*($MV12^2-$MS12^2)*10^-2*(VLOOKUP($HH$9,各项系数!$D$1:$F$143,3,0))*10^-3*10^2*各项系数!$J$4</f>
        <v>2.0078506095697436E-2</v>
      </c>
      <c r="HI12" s="322">
        <v>1</v>
      </c>
      <c r="HJ12" s="304">
        <f t="shared" ref="HJ12" si="53">HI12*HH12</f>
        <v>2.0078506095697436E-2</v>
      </c>
      <c r="HK12" s="304">
        <f>HJ12*(VLOOKUP($HH$9,各项系数!$D$1:$F$143,2,0))</f>
        <v>0.34133460362685641</v>
      </c>
      <c r="HL12" s="315">
        <f>各项系数!$F$76/4*($MW12^2-$MT12^2)*10^-2*(VLOOKUP($HL$9,各项系数!$D$1:$F$143,3,0))*10^-3*10^2*各项系数!$J$4</f>
        <v>2.1093793443113969E-2</v>
      </c>
      <c r="HM12" s="322">
        <v>1</v>
      </c>
      <c r="HN12" s="304">
        <f t="shared" ref="HN12" si="54">HM12*HL12</f>
        <v>2.1093793443113969E-2</v>
      </c>
      <c r="HO12" s="304">
        <f>HN12*(VLOOKUP($HL$9,各项系数!$D$1:$F$143,2,0))</f>
        <v>0.35859448853293746</v>
      </c>
      <c r="HP12" s="315">
        <f>各项系数!$F$76/4*($MV12^2-$MS12^2)*10^-2*(VLOOKUP(AN12,各项系数!$D$1:$F$143,3,0))*10^-3*10^2*各项系数!$J$4</f>
        <v>2.0355451007362226E-2</v>
      </c>
      <c r="HQ12" s="303">
        <v>1</v>
      </c>
      <c r="HR12" s="304">
        <f t="shared" ref="HR12:HR16" si="55">HQ12*HP12</f>
        <v>2.0355451007362226E-2</v>
      </c>
      <c r="HS12" s="304">
        <f>HR12*(VLOOKUP(AN12,各项系数!$D$1:$F$143,2,0))</f>
        <v>0.20355451007362224</v>
      </c>
      <c r="HT12" s="315">
        <f>各项系数!$F$76/4*($MW12^2-$MT12^2)*10^-2*(VLOOKUP(AN12,各项系数!$D$1:$F$143,3,0))*10^-3*10^2*各项系数!$J$4</f>
        <v>2.1384742318191402E-2</v>
      </c>
      <c r="HU12" s="303">
        <v>1</v>
      </c>
      <c r="HV12" s="304">
        <f t="shared" ref="HV12:HV16" si="56">HU12*HT12</f>
        <v>2.1384742318191402E-2</v>
      </c>
      <c r="HW12" s="304">
        <f>HV12*(VLOOKUP(AN12,各项系数!$D$1:$F$143,2,0))</f>
        <v>0.21384742318191402</v>
      </c>
      <c r="HX12" s="315">
        <f>各项系数!$F$76/4*($MV12^2-$MS12^2)*10^-2*(VLOOKUP($HX$9,各项系数!$D$1:$F$143,3,0))*10^-3*10^2*各项系数!$J$4</f>
        <v>2.0355451007362226E-2</v>
      </c>
      <c r="HY12" s="322">
        <v>1</v>
      </c>
      <c r="HZ12" s="304">
        <f t="shared" ref="HZ12:HZ16" si="57">HY12*HX12</f>
        <v>2.0355451007362226E-2</v>
      </c>
      <c r="IA12" s="304">
        <f>HZ12*(VLOOKUP($HX$9,各项系数!$D$1:$F$143,2,0))</f>
        <v>0.22390996108098449</v>
      </c>
      <c r="IB12" s="315">
        <f>各项系数!$F$76/4*($MW12^2-$MT12^2)*10^-2*(VLOOKUP($IB$9,各项系数!$D$1:$F$143,3,0))*10^-3*10^2*各项系数!$J$4</f>
        <v>2.1384742318191402E-2</v>
      </c>
      <c r="IC12" s="322">
        <v>1</v>
      </c>
      <c r="ID12" s="304">
        <f t="shared" ref="ID12:ID20" si="58">IC12*IB12</f>
        <v>2.1384742318191402E-2</v>
      </c>
      <c r="IE12" s="304">
        <f>ID12*(VLOOKUP($IB$9,各项系数!$D$1:$F$143,2,0))</f>
        <v>0.23523216550010542</v>
      </c>
      <c r="IF12" s="328"/>
      <c r="IG12" s="315">
        <f>IK12+IM12</f>
        <v>9.0496865993560478E-4</v>
      </c>
      <c r="IH12" s="303">
        <v>1</v>
      </c>
      <c r="II12" s="304">
        <f t="shared" ref="II12:II20" si="59">IH12*IG12</f>
        <v>9.0496865993560478E-4</v>
      </c>
      <c r="IJ12" s="304">
        <f>II12*(VLOOKUP($IG$8,各项系数!$D$1:$F$143,2,0))</f>
        <v>2.262421649839012E-2</v>
      </c>
      <c r="IK12" s="315">
        <f>(各项系数!$F$76/4*($MX12^2-$MK12^2)*$EG12)*10^-2*(VLOOKUP($IG$8,各项系数!$D$1:$F$143,3,0))*10^-3*10^2*各项系数!$J$4</f>
        <v>9.0496865993560478E-4</v>
      </c>
      <c r="IL12" s="303">
        <f>IK12*(VLOOKUP($IG$8,各项系数!$D$1:$F$143,2,0))</f>
        <v>2.262421649839012E-2</v>
      </c>
      <c r="IM12" s="304">
        <f>(各项系数!$F$76/4*(($MM12+3*$X12)^2-MM12^2)*$EO12)*10^-2*(VLOOKUP($IG$8,各项系数!$D$1:$F$143,3,0))*10^-3*10^2*各项系数!$J$4</f>
        <v>0</v>
      </c>
      <c r="IN12" s="303">
        <f>IM12*(VLOOKUP($IG$8,各项系数!$D$1:$F$143,2,0))</f>
        <v>0</v>
      </c>
      <c r="IO12" s="315">
        <f>各项系数!$F$76/4*($MZ12^2-$MX12^2)*10^-2*(VLOOKUP(L12,各项系数!$D$1:$F$143,3,0))*10^-3*10^2*$ES12*各项系数!$J$4</f>
        <v>3.3920996821963745E-3</v>
      </c>
      <c r="IP12" s="303">
        <v>1</v>
      </c>
      <c r="IQ12" s="304">
        <f t="shared" ref="IQ12:IQ20" si="60">IP12*IO12</f>
        <v>3.3920996821963745E-3</v>
      </c>
      <c r="IR12" s="285">
        <f>IQ12*(VLOOKUP(L12,各项系数!$D$1:$F$143,2,0))</f>
        <v>3.4599416758403015E-2</v>
      </c>
      <c r="IS12" s="315">
        <f>IF($L12&lt;&gt;$IS$9,0,各项系数!$F$76/4*($MZ12^2-$MX12^2)*10^-2*各项系数!$F$12*10^-3*10^2)*$ES12*各项系数!$J$4</f>
        <v>0</v>
      </c>
      <c r="IT12" s="303">
        <v>1</v>
      </c>
      <c r="IU12" s="304">
        <f t="shared" ref="IU12:IU20" si="61">IT12*IS12</f>
        <v>0</v>
      </c>
      <c r="IV12" s="285">
        <f>IU12*各项系数!$E$12</f>
        <v>0</v>
      </c>
      <c r="IW12" s="302">
        <f t="shared" ref="IW12:IW20" si="62">IQ12</f>
        <v>3.3920996821963745E-3</v>
      </c>
      <c r="IX12" s="302">
        <f t="shared" ref="IX12:IX20" si="63">IR12</f>
        <v>3.4599416758403015E-2</v>
      </c>
      <c r="IY12" s="339">
        <f>各项系数!$F$76/4*($NB12^2-$MZ12^2*$EG12-$NA12^2*$EO12)*10^-2</f>
        <v>0</v>
      </c>
      <c r="IZ12" s="284">
        <f>VLOOKUP(EC12,$A$38:$B$65,2,0)</f>
        <v>1</v>
      </c>
      <c r="JA12" s="285">
        <f t="shared" ref="JA12:JA75" si="64">IY12*$IZ12</f>
        <v>0</v>
      </c>
      <c r="JB12" s="282">
        <f>IF($DE12&lt;&gt;$JB$9,0,$JA12*各项系数!$F$32*10^-3*10^2)*各项系数!$J$4</f>
        <v>0</v>
      </c>
      <c r="JC12" s="102">
        <v>1</v>
      </c>
      <c r="JD12" s="189">
        <f t="shared" ref="JD12:JD20" si="65">JC12*JB12</f>
        <v>0</v>
      </c>
      <c r="JE12" s="262">
        <f>JD12*各项系数!$E$32</f>
        <v>0</v>
      </c>
      <c r="JF12" s="282">
        <f>IF($DE12&lt;&gt;$JF$9,0,$JA12*VLOOKUP($JF$9,各项系数!$D$4:$F$540,2,0)*10^-3*10^2)*各项系数!$J$4</f>
        <v>0</v>
      </c>
      <c r="JG12" s="102">
        <v>1</v>
      </c>
      <c r="JH12" s="189">
        <f t="shared" ref="JH12:JH75" si="66">JG12*JF12</f>
        <v>0</v>
      </c>
      <c r="JI12" s="262">
        <f>JH12*VLOOKUP($JF$9,各项系数!$D$4:$F$540,3,0)</f>
        <v>0</v>
      </c>
      <c r="JJ12" s="282">
        <f t="shared" ref="JJ12:JJ20" si="67">JH12+JD12</f>
        <v>0</v>
      </c>
      <c r="JK12" s="189">
        <f t="shared" ref="JK12:JK20" si="68">JI12+JE12</f>
        <v>0</v>
      </c>
      <c r="JL12" s="282">
        <f>IF($DF12&lt;&gt;$JL$9,0,各项系数!$F$76/4*($NE12^2-$NC12^2)*10^-2*各项系数!$F$39*10^-3*10^2)*各项系数!$J$4</f>
        <v>0</v>
      </c>
      <c r="JM12" s="102">
        <v>1</v>
      </c>
      <c r="JN12" s="189">
        <f t="shared" ref="JN12:JN20" si="69">JM12*JL12</f>
        <v>0</v>
      </c>
      <c r="JO12" s="262">
        <f>JN12*各项系数!$E$39</f>
        <v>0</v>
      </c>
      <c r="JP12" s="282">
        <f>IF($DF12&lt;&gt;$JP$9,0,各项系数!$F$76/4*($NE12^2-$NC12^2)*10^-2*各项系数!$F$36*10^-3*10^2)*各项系数!$J$4</f>
        <v>0</v>
      </c>
      <c r="JQ12" s="102">
        <v>1</v>
      </c>
      <c r="JR12" s="189">
        <f t="shared" ref="JR12:JR20" si="70">JQ12*JP12</f>
        <v>0</v>
      </c>
      <c r="JS12" s="262">
        <f>JR12*各项系数!$E$36</f>
        <v>0</v>
      </c>
      <c r="JT12" s="282">
        <f>IF($DF12&lt;&gt;$JT$9,0,各项系数!$F$76/4*($NE12^2-$NC12^2)*10^-2*各项系数!$F$40*10^-3*10^2)*各项系数!$J$4</f>
        <v>0</v>
      </c>
      <c r="JU12" s="102">
        <v>1</v>
      </c>
      <c r="JV12" s="189">
        <f t="shared" ref="JV12:JV20" si="71">JU12*JT12</f>
        <v>0</v>
      </c>
      <c r="JW12" s="262">
        <f>JV12*各项系数!$E$40</f>
        <v>0</v>
      </c>
      <c r="JX12" s="282">
        <f>IF($DF12&lt;&gt;$JX$9,0,各项系数!$F$76/4*($NE12^2-$NC12^2)*10^-2*各项系数!$F$38*10^-3*10^2)*各项系数!$J$4</f>
        <v>0</v>
      </c>
      <c r="JY12" s="102">
        <v>1</v>
      </c>
      <c r="JZ12" s="189">
        <f t="shared" ref="JZ12:JZ20" si="72">JY12*JX12</f>
        <v>0</v>
      </c>
      <c r="KA12" s="262">
        <f>JZ12*各项系数!$E$38</f>
        <v>0</v>
      </c>
      <c r="KB12" s="282">
        <f>IF($DF12&lt;&gt;$KB$9,0,各项系数!$F$76/4*($NE12^2-$NC12^2)*10^-2*各项系数!$F$41*10^-3*10^2)*各项系数!$J$4</f>
        <v>0</v>
      </c>
      <c r="KC12" s="102">
        <v>1</v>
      </c>
      <c r="KD12" s="189">
        <f t="shared" ref="KD12:KD20" si="73">KC12*KB12</f>
        <v>0</v>
      </c>
      <c r="KE12" s="262">
        <f>KD12*各项系数!$E$41</f>
        <v>0</v>
      </c>
      <c r="KF12" s="189">
        <f t="shared" ref="KF12:KF20" si="74">KD12+JZ12+JV12+JR12+JN12</f>
        <v>0</v>
      </c>
      <c r="KG12" s="189">
        <f t="shared" ref="KG12:KG20" si="75">KE12+KA12+JW12+JS12+JO12</f>
        <v>0</v>
      </c>
      <c r="KH12" s="235">
        <f>各项系数!$F$76/4*($NG12^2-$NE12^2)*10^-2*各项系数!$F$44*10^-3*10^2*各项系数!$J$4*0.75*$U12</f>
        <v>1.7924032893512229E-2</v>
      </c>
      <c r="KI12" s="102">
        <v>1</v>
      </c>
      <c r="KJ12" s="189">
        <f t="shared" ref="KJ12:KJ20" si="76">KI12*KH12</f>
        <v>1.7924032893512229E-2</v>
      </c>
      <c r="KK12" s="189">
        <f>ROUND(KJ12*各项系数!$E$44,GT12)</f>
        <v>0.2</v>
      </c>
      <c r="KL12" s="235">
        <f>各项系数!$F$76/4*($NF12^2-$NE12^2)*10^-2*各项系数!$F$46*10^-3*10^2*各项系数!$J$4*PI()/4*R12</f>
        <v>3.2465044030875918E-3</v>
      </c>
      <c r="KM12" s="102">
        <v>1</v>
      </c>
      <c r="KN12" s="189">
        <f t="shared" ref="KN12:KN20" si="77">$KL12*$KM12</f>
        <v>3.2465044030875918E-3</v>
      </c>
      <c r="KO12" s="189">
        <f>KN12*各项系数!$E$46</f>
        <v>0.21913904720841246</v>
      </c>
      <c r="KP12" s="235">
        <f>各项系数!$F$76/4*($NH12^2-$NE12^2)*10^-2*(VLOOKUP($KP$9,各项系数!$D$1:$F$143,3,0))*10^-3*10^2*各项系数!$J$4</f>
        <v>2.3124368137947049E-2</v>
      </c>
      <c r="KQ12" s="102">
        <v>1</v>
      </c>
      <c r="KR12" s="189">
        <f t="shared" ref="KR12" si="78">KQ12*KP12</f>
        <v>2.3124368137947049E-2</v>
      </c>
      <c r="KS12" s="189">
        <f>KR12*(VLOOKUP($KP$9,各项系数!$D$1:$F$143,2,0))</f>
        <v>0.39311425834509983</v>
      </c>
      <c r="KT12" s="235">
        <f>各项系数!$F$76/4*($NI12^2-$NF12^2)*10^-2*(VLOOKUP($KT$9,各项系数!$D$1:$F$143,3,0))*10^-3*10^2*各项系数!$J$4</f>
        <v>2.4139655485363579E-2</v>
      </c>
      <c r="KU12" s="102">
        <v>1</v>
      </c>
      <c r="KV12" s="189">
        <f t="shared" ref="KV12" si="79">KU12*KT12</f>
        <v>2.4139655485363579E-2</v>
      </c>
      <c r="KW12" s="189">
        <f>KV12*(VLOOKUP($KT$9,各项系数!$D$1:$F$143,2,0))</f>
        <v>0.41037414325118082</v>
      </c>
      <c r="KX12" s="189">
        <f>各项系数!$F$76/4*($NH12^2-$NE12^2)*10^-2*(VLOOKUP($KX$9,各项系数!$D$1:$F$143,3,0))*10^-3*10^2*各项系数!$J$4</f>
        <v>2.3124368137947049E-2</v>
      </c>
      <c r="KY12" s="353">
        <v>1</v>
      </c>
      <c r="KZ12" s="189">
        <f t="shared" ref="KZ12" si="80">KY12*KX12</f>
        <v>2.3124368137947049E-2</v>
      </c>
      <c r="LA12" s="189">
        <f>KZ12*(VLOOKUP($KX$9,各项系数!$D$1:$F$143,2,0))</f>
        <v>0.39311425834509983</v>
      </c>
      <c r="LB12" s="189">
        <f>各项系数!$F$76/4*($NI12^2-$NF12^2)*10^-2*(VLOOKUP($LB$9,各项系数!$D$1:$F$143,3,0))*10^-3*10^2*各项系数!$J$4</f>
        <v>2.4139655485363579E-2</v>
      </c>
      <c r="LC12" s="353">
        <v>1</v>
      </c>
      <c r="LD12" s="189">
        <f t="shared" ref="LD12" si="81">LC12*LB12</f>
        <v>2.4139655485363579E-2</v>
      </c>
      <c r="LE12" s="189">
        <f>LD12*(VLOOKUP($LB$9,各项系数!$D$1:$F$143,2,0))</f>
        <v>0.41037414325118082</v>
      </c>
      <c r="LF12" s="235">
        <f>各项系数!$F$76/4*($NH12^2-$NE12^2)*10^-2*(VLOOKUP(AN12,各项系数!$D$1:$F$143,3,0))*10^-3*10^2*各项系数!$J$4</f>
        <v>2.3443324939849762E-2</v>
      </c>
      <c r="LG12" s="102">
        <v>1</v>
      </c>
      <c r="LH12" s="189">
        <f t="shared" ref="LH12:LH20" si="82">LG12*LF12</f>
        <v>2.3443324939849762E-2</v>
      </c>
      <c r="LI12" s="189">
        <f>LH12*(VLOOKUP(AN12,各项系数!$D$1:$F$143,2,0))</f>
        <v>0.23443324939849763</v>
      </c>
      <c r="LJ12" s="235">
        <f>各项系数!$F$76/4*($NI12^2-$NF12^2)*10^-2*(VLOOKUP(AN12,各项系数!$D$1:$F$143,3,0))*10^-3*10^2*各项系数!$J$4</f>
        <v>2.4472616250678942E-2</v>
      </c>
      <c r="LK12" s="102">
        <v>1</v>
      </c>
      <c r="LL12" s="189">
        <f t="shared" ref="LL12:LL20" si="83">LK12*LJ12</f>
        <v>2.4472616250678942E-2</v>
      </c>
      <c r="LM12" s="189">
        <f>LL12*(VLOOKUP(AN12,各项系数!$D$1:$F$143,2,0))</f>
        <v>0.24472616250678941</v>
      </c>
      <c r="LN12" s="189">
        <f>各项系数!$F$76/4*($NH12^2-$NE12^2)*10^-2*(VLOOKUP($LN$9,各项系数!$D$1:$F$143,3,0))*10^-3*10^2*各项系数!$J$4</f>
        <v>2.3443324939849762E-2</v>
      </c>
      <c r="LO12" s="353">
        <v>1</v>
      </c>
      <c r="LP12" s="189">
        <f t="shared" ref="LP12:LP20" si="84">LO12*LN12</f>
        <v>2.3443324939849762E-2</v>
      </c>
      <c r="LQ12" s="189">
        <f>LP12*(VLOOKUP($LN$9,各项系数!$D$1:$F$143,2,0))</f>
        <v>0.25787657433834738</v>
      </c>
      <c r="LR12" s="189">
        <f>各项系数!$F$76/4*($NI12^2-$NF12^2)*10^-2*(VLOOKUP($LR$9,各项系数!$D$1:$F$143,3,0))*10^-3*10^2*各项系数!$J$4</f>
        <v>2.4472616250678942E-2</v>
      </c>
      <c r="LS12" s="353">
        <v>1</v>
      </c>
      <c r="LT12" s="189">
        <f t="shared" ref="LT12:LT20" si="85">LS12*LR12</f>
        <v>2.4472616250678942E-2</v>
      </c>
      <c r="LU12" s="189">
        <f>LT12*(VLOOKUP($LR$9,各项系数!$D$1:$F$143,2,0))</f>
        <v>0.26919877875746834</v>
      </c>
      <c r="LV12" s="227">
        <f>ROUND(PI()*MJ12*MJ12/4*EG12,8)</f>
        <v>0.24999941000000001</v>
      </c>
      <c r="LW12" s="227">
        <f>ROUND(PI()*ROUND($EJ12*10^-2,8)^2/4*$EG12*$EH12,8)</f>
        <v>0.24999941000000001</v>
      </c>
      <c r="LX12" s="227">
        <f>SQRT(LW12/PI()*4)</f>
        <v>0.56418891780365488</v>
      </c>
      <c r="LY12" s="227">
        <f>LV12-LW12</f>
        <v>0</v>
      </c>
      <c r="LZ12" s="374">
        <f t="shared" ref="LZ12:LZ75" si="86">$LZ$8</f>
        <v>1</v>
      </c>
      <c r="MA12" s="375">
        <f t="shared" ref="MA12:MA75" si="87">LV12-LY12*(1-LZ12)</f>
        <v>0.24999941000000001</v>
      </c>
      <c r="MB12" s="375">
        <f>ROUND(SQRT(MA12/EG12/PI()*4),8)</f>
        <v>0.56418891999999998</v>
      </c>
      <c r="MC12" s="227">
        <f>ROUND(PI()*ML12*ML12/4*EO12,8)</f>
        <v>0</v>
      </c>
      <c r="MD12" s="227">
        <f>ROUND(PI()*ROUND($ER12*10^-2,8)^2/4*$EO12*$EP12,8)</f>
        <v>0</v>
      </c>
      <c r="ME12" s="227">
        <f>SQRT(MD12/PI()*4)</f>
        <v>0</v>
      </c>
      <c r="MF12" s="227">
        <f>MC12-MD12</f>
        <v>0</v>
      </c>
      <c r="MG12" s="374">
        <f>$MG$8</f>
        <v>1</v>
      </c>
      <c r="MH12" s="375">
        <f t="shared" ref="MH12:MH75" si="88">MC12-MF12*(1-MG12)</f>
        <v>0</v>
      </c>
      <c r="MI12" s="375">
        <f>IF(EK12=0,0,SQRT(MH12/EO12/PI()*4))</f>
        <v>0</v>
      </c>
      <c r="MJ12" s="189">
        <f t="shared" ref="MJ12:MJ75" si="89">ROUND(ROUND($EJ12*10^-2,8)*$EI12,8)</f>
        <v>0.56418891999999998</v>
      </c>
      <c r="MK12" s="189">
        <f>ROUND((1-$H12)^(1/2)*$MB12,8)</f>
        <v>0.56418891999999998</v>
      </c>
      <c r="ML12" s="189">
        <f t="shared" ref="ML12:ML20" si="90">$ER12*$EQ12*10^-2</f>
        <v>0</v>
      </c>
      <c r="MM12" s="189">
        <f t="shared" ref="MM12:MM75" si="91">(1-$K12)^(1/2)*$MI12</f>
        <v>0</v>
      </c>
      <c r="MN12" s="189">
        <f t="shared" ref="MN12:MN75" si="92">MK12+M12*2</f>
        <v>1.76418892</v>
      </c>
      <c r="MO12" s="189">
        <f>IF(MM12=0,0,MM12+N12*2)</f>
        <v>0</v>
      </c>
      <c r="MP12" s="189">
        <f>ROUND($ET12*($EG12*MN12+$EO12*MO12)/$ES12,8)</f>
        <v>1.76418892</v>
      </c>
      <c r="MQ12" s="189">
        <f t="shared" ref="MQ12:MQ20" si="93">MP12</f>
        <v>1.76418892</v>
      </c>
      <c r="MR12" s="246">
        <f>IF(FR12=0,MQ12,ROUND(SQRT((PI()*MQ12*MQ12/4-(FR12-FT12))*4/PI()),8))</f>
        <v>1.76418892</v>
      </c>
      <c r="MS12" s="380">
        <f t="shared" ref="MS12:MS75" si="94">MR12+2*O12*(1+P12)</f>
        <v>1.76418892</v>
      </c>
      <c r="MT12" s="380">
        <f t="shared" ref="MT12:MT75" si="95">MS12+(Q12*R12*2)</f>
        <v>1.9241889200000002</v>
      </c>
      <c r="MU12" s="380">
        <f t="shared" ref="MU12:MU21" si="96">MS12+(T12*U12*(1+V12))</f>
        <v>2.16418892</v>
      </c>
      <c r="MV12" s="380">
        <f t="shared" ref="MV12:MV75" si="97">MS12+W12*2</f>
        <v>4.5641889199999994</v>
      </c>
      <c r="MW12" s="380">
        <f t="shared" ref="MW12:MW75" si="98">MT12+W12*2</f>
        <v>4.7241889199999996</v>
      </c>
      <c r="MX12" s="254">
        <f t="shared" ref="MX12:MX21" si="99">MK12+2*Y12/2*X12*(1+Z12)</f>
        <v>1.0441889199999999</v>
      </c>
      <c r="MY12" s="254">
        <f t="shared" ref="MY12:MY75" si="100">IF(MM12=0,0,MM12+3*X12)</f>
        <v>0</v>
      </c>
      <c r="MZ12" s="189">
        <f t="shared" ref="MZ12:MZ75" si="101">MX12+M12*2</f>
        <v>2.24418892</v>
      </c>
      <c r="NA12" s="189">
        <f t="shared" ref="NA12:NA75" si="102">IF(MM12=0,0,MY12+M12*2)</f>
        <v>0</v>
      </c>
      <c r="NB12" s="189">
        <f>ROUND($ET12*($EG12*MZ12+$EO12*NA12)/$ES12,8)</f>
        <v>2.24418892</v>
      </c>
      <c r="NC12" s="254">
        <f t="shared" ref="NC12:NC20" si="103">NB12</f>
        <v>2.24418892</v>
      </c>
      <c r="ND12" s="246">
        <f t="shared" ref="ND12:ND21" si="104">IF(IY12=0,NC12,ROUND(SQRT((PI()*NC12*NC12/4-(IY12-JA12))*4/PI()),8))</f>
        <v>2.24418892</v>
      </c>
      <c r="NE12" s="386">
        <f t="shared" ref="NE12:NE21" si="105">ND12+2*O12*(1+P12)</f>
        <v>2.24418892</v>
      </c>
      <c r="NF12" s="380">
        <f t="shared" ref="NF12:NF75" si="106">NE12++(Q12*R12*2)</f>
        <v>2.4041889200000002</v>
      </c>
      <c r="NG12" s="387">
        <f t="shared" ref="NG12:NG21" si="107">NE12+(T12*U12*(1+V12))</f>
        <v>2.6441889199999999</v>
      </c>
      <c r="NH12" s="254">
        <f t="shared" ref="NH12:NH75" si="108">NE12+W12*2</f>
        <v>5.0441889199999999</v>
      </c>
      <c r="NI12" s="380">
        <f t="shared" ref="NI12:NI75" si="109">NF12+W12*2</f>
        <v>5.20418892</v>
      </c>
      <c r="NK12" s="388">
        <f t="shared" ref="NK12:NK75" si="110">SUM(HR12,GM12,GI12,GE12,GA12,FW12,FN12,FJ12,FF12,FA12)</f>
        <v>2.4968652748490812E-2</v>
      </c>
      <c r="NL12" s="388">
        <f t="shared" ref="NL12:NL75" si="111">SUM(FB12,FG12,FK12,FO12,FX12,GB12,GF12,GJ12,GN12,HS12)</f>
        <v>0.37289861061722118</v>
      </c>
      <c r="NM12" s="388">
        <f t="shared" ref="NM12:NM75" si="112">SUM(HZ12,GM12,GI12,GE12,GA12,FW12,FN12,FJ12,FF12,FA12)</f>
        <v>2.4968652748490812E-2</v>
      </c>
      <c r="NN12" s="388">
        <f t="shared" ref="NN12:NN75" si="113">SUM(FB12,FG12,FK12,FO12,FX12,GB12,GF12,GJ12,GN12,IA12)</f>
        <v>0.39325406162458343</v>
      </c>
      <c r="NO12" s="388">
        <f t="shared" ref="NO12:NO75" si="114">SUM(LH12,KD12,JZ12,JV12,JR12,JN12,JH12,JD12,IU12,IQ12,IM12,II12,FA12)</f>
        <v>2.9951775610807915E-2</v>
      </c>
      <c r="NP12" s="388">
        <f t="shared" ref="NP12:NP75" si="115">SUM(LI12,KE12,KA12,JW12,JS12,JO12,JI12,JE12,IV12,IR12,IN12,IJ12,FB12)</f>
        <v>0.4365024251934051</v>
      </c>
      <c r="NQ12" s="388">
        <f t="shared" ref="NQ12:NQ75" si="116">SUM(LN12,KD12,JZ12,JV12,JR12,JN12,JH12,JD12,IU12,IQ12,IM12,II12,FA12)</f>
        <v>2.9951775610807915E-2</v>
      </c>
      <c r="NR12" s="388">
        <f t="shared" ref="NR12:NR75" si="117">SUM(FB12,IJ12,IN12,IR12,IV12,JE12,JI12,JO12,JS12,JW12,KA12,KE12,LQ12)</f>
        <v>0.45994575013325484</v>
      </c>
      <c r="NS12" s="388">
        <f t="shared" ref="NS12:NS75" si="118">SUM(HR12,GM12,GI12,GE12,GA12,FW12,FN12,FJ12,FF12,FA12,GV12)</f>
        <v>2.7544677183245176E-2</v>
      </c>
      <c r="NT12" s="388">
        <f t="shared" ref="NT12:NT75" si="119">SUM(HZ12,GM12,GI12,GE12,GA12,FW12,FN12,FJ12,FF12,FA12,GV12)</f>
        <v>2.7544677183245176E-2</v>
      </c>
      <c r="NU12" s="388">
        <f t="shared" ref="NU12:NU75" si="120">SUM(LH12,KD12,JZ12,JV12,JR12,JN12,JH12,JD12,IU12,IQ12,IM12,II12,FA12,KL12)</f>
        <v>3.3198280013895506E-2</v>
      </c>
      <c r="NV12" s="388">
        <f t="shared" ref="NV12:NV75" si="121">SUM(LN12,KD12,JZ12,JV12,JR12,JN12,JH12,JD12,IU12,IQ12,IM12,II12,FA12,KL12)</f>
        <v>3.3198280013895506E-2</v>
      </c>
      <c r="NW12">
        <f t="shared" ref="NW12:NW75" si="122">NK12+GS12</f>
        <v>3.4571343856113886E-2</v>
      </c>
      <c r="NX12">
        <f>各项系数!$M$9*NK12</f>
        <v>7.490595824547243E-3</v>
      </c>
      <c r="NY12">
        <f t="shared" ref="NY12:NY75" si="123">SUM(HR12,GX12,GM12,GI12,GE12,GA12,FW12,FN12,FJ12,FF12,FA12)</f>
        <v>2.7544677183245176E-2</v>
      </c>
      <c r="OB12" s="66" t="str">
        <f t="shared" ref="OB12:OB35" si="124">D12</f>
        <v>1*0.3</v>
      </c>
      <c r="OC12" s="395">
        <f t="shared" ref="OC12:OC35" si="125">F12</f>
        <v>56.418892388857998</v>
      </c>
      <c r="OD12" s="395">
        <f>SQRT(4*EY12/PI()/EH12/各项系数!$J$4/各项系数!$F$5*10000000)</f>
        <v>56.418892388857991</v>
      </c>
      <c r="OE12" s="396">
        <f t="shared" ref="OE12:OE35" si="126">OC12*OC12*10^-4*PI()/4*EH12</f>
        <v>0.24999941539261811</v>
      </c>
      <c r="OF12" s="396">
        <f t="shared" ref="OF12:OF35" si="127">OD12*OD12*PI()/4*EH12*10^-4</f>
        <v>0.249999415392618</v>
      </c>
      <c r="OG12" s="66"/>
      <c r="OH12" s="397"/>
    </row>
    <row r="13" spans="1:398" ht="15" hidden="1" customHeight="1">
      <c r="A13" s="50">
        <v>0.5</v>
      </c>
      <c r="B13" s="51">
        <v>0.08</v>
      </c>
      <c r="C13" s="52">
        <v>0.6</v>
      </c>
      <c r="D13" s="53" t="s">
        <v>911</v>
      </c>
      <c r="E13" s="54">
        <f t="shared" si="1"/>
        <v>4.7822153800000002</v>
      </c>
      <c r="F13" s="57">
        <v>78.221538336864299</v>
      </c>
      <c r="G13" s="56"/>
      <c r="H13" s="56"/>
      <c r="I13" s="56"/>
      <c r="J13" s="56"/>
      <c r="K13" s="56"/>
      <c r="L13" s="97" t="s">
        <v>467</v>
      </c>
      <c r="M13" s="98">
        <f t="shared" si="2"/>
        <v>0.6</v>
      </c>
      <c r="N13" s="98">
        <f t="shared" si="3"/>
        <v>0</v>
      </c>
      <c r="O13" s="53"/>
      <c r="P13" s="99">
        <v>0.1</v>
      </c>
      <c r="Q13" s="133">
        <f>$Q$12</f>
        <v>0.1</v>
      </c>
      <c r="R13" s="131">
        <v>0.8</v>
      </c>
      <c r="S13" s="132" t="s">
        <v>521</v>
      </c>
      <c r="T13" s="133">
        <v>0.2</v>
      </c>
      <c r="U13" s="53">
        <v>2</v>
      </c>
      <c r="V13" s="131"/>
      <c r="W13" s="103">
        <v>1.4</v>
      </c>
      <c r="X13" s="135">
        <f>$X$12</f>
        <v>0.2</v>
      </c>
      <c r="Y13" s="135">
        <v>2</v>
      </c>
      <c r="Z13" s="168">
        <v>0.2</v>
      </c>
      <c r="AA13" s="153">
        <v>1</v>
      </c>
      <c r="AB13" s="153">
        <f>PI()*EJ13*EJ13/4*EH13*(1-H13)*AA13*各项系数!$F$5*各项系数!$J$4*10^-7</f>
        <v>4.2507682542991957E-3</v>
      </c>
      <c r="AC13" s="153">
        <f t="shared" si="4"/>
        <v>78.221538336864299</v>
      </c>
      <c r="AD13" s="153">
        <f t="shared" si="5"/>
        <v>0.48055443181025442</v>
      </c>
      <c r="AE13" s="153">
        <f>POWER(4*EU13/PI()/EG13/10^-7/EH13/(1-H13)/各项系数!$F$5/各项系数!$J$4,0.5)</f>
        <v>78.221538336864299</v>
      </c>
      <c r="AF13" s="69">
        <v>1</v>
      </c>
      <c r="AG13" s="69">
        <f>IF(EM13=0,0,PI()*ER13*ER13/4*EP13*(1-K13)*(1+AF13)*各项系数!$F$5*各项系数!$J$4*10^-7)</f>
        <v>0</v>
      </c>
      <c r="AH13" s="69">
        <f t="shared" si="6"/>
        <v>0</v>
      </c>
      <c r="AI13" s="69">
        <f t="shared" ref="AI13:AI76" si="128">PI()*AJ13*AJ13*10^-4/4*EP13</f>
        <v>0</v>
      </c>
      <c r="AJ13" s="69">
        <f>IF(OR(EP13="",EP13=0),0,POWER(4*EW13/PI()/EO13/10^-7/EP13/(1-K13)/各项系数!$F$5/各项系数!$J$4,0.5))</f>
        <v>0</v>
      </c>
      <c r="AK13" s="69" t="str">
        <f t="shared" si="8"/>
        <v>√</v>
      </c>
      <c r="AL13" s="69">
        <f t="shared" si="9"/>
        <v>0.59638853518047541</v>
      </c>
      <c r="AM13" s="188">
        <f t="shared" si="10"/>
        <v>0.5</v>
      </c>
      <c r="AN13" s="97" t="s">
        <v>486</v>
      </c>
      <c r="AO13" s="196">
        <f>AP13+各项系数!$M$9*$NK13</f>
        <v>0.58469464233379942</v>
      </c>
      <c r="AP13" s="196">
        <f>AQ13*(1+$BI13+(VLOOKUP($AM13,$A$12:$B$323,2,0))+各项系数!$J$6+各项系数!$M$5)*(1+$E$2)</f>
        <v>0.5760365147790607</v>
      </c>
      <c r="AQ13" s="197">
        <f>AR13+各项系数!$L$9*$NK13</f>
        <v>0.54425218705504597</v>
      </c>
      <c r="AR13" s="197">
        <f>AS13*(1+$BJ13+各项系数!$J$5+各项系数!$L$5)</f>
        <v>0.53559405950030725</v>
      </c>
      <c r="AS13" s="197">
        <f t="shared" ref="AS13:AS76" si="129">SUM($FB13,$FQ13,$FX13,$GP13,$HS13)</f>
        <v>0.52509221519637961</v>
      </c>
      <c r="AT13" s="196">
        <f>AU13+各项系数!$M$9*$NM13</f>
        <v>0.74368666444998766</v>
      </c>
      <c r="AU13" s="196">
        <f>AV13*(1+$BI13+(VLOOKUP($AM13,$A$12:$B$323,2,0))+各项系数!$J$6+各项系数!$M$5)*(1+$E$2)</f>
        <v>0.73502853689524894</v>
      </c>
      <c r="AV13" s="197">
        <f>AW13+各项系数!$L$9*$NM13</f>
        <v>0.69447140674154273</v>
      </c>
      <c r="AW13" s="197">
        <f>AX13*(1+$BJ13+各项系数!$J$5+各项系数!$L$5)</f>
        <v>0.68581327918680401</v>
      </c>
      <c r="AX13" s="197">
        <f t="shared" ref="AX13:AX76" si="130">SUM($FB13,$FQ13,$FX13,$GP13,$HC13)</f>
        <v>0.67236595998706272</v>
      </c>
      <c r="AY13" s="196">
        <f>AZ13+各项系数!$M$9*$NS13</f>
        <v>0.80749498407797804</v>
      </c>
      <c r="AZ13" s="196">
        <f>BA13*(1+$BI13+(VLOOKUP($AM13,$A$12:$B$214,2,0))+各项系数!$J$6+各项系数!$M$5)*(1+$E$2)</f>
        <v>0.79797268520906506</v>
      </c>
      <c r="BA13" s="197">
        <f>BB13+各项系数!$L$9*$NS13</f>
        <v>0.75394244634265395</v>
      </c>
      <c r="BB13" s="197">
        <f>BC13*(1+$BJ13+各项系数!$J$5+各项系数!$L$5)</f>
        <v>0.74442014747374097</v>
      </c>
      <c r="BC13" s="199">
        <f t="shared" ref="BC13:BC76" si="131">SUM($FB13,$FQ13,$FX13,$GP13,$GY13,$HW13)</f>
        <v>0.72982367399386372</v>
      </c>
      <c r="BD13" s="196">
        <f>BE13+各项系数!$M$9*$NS13</f>
        <v>0.97400832600396214</v>
      </c>
      <c r="BE13" s="196">
        <f>BF13*(1+$BI13+(VLOOKUP($AM13,$A$12:$B$214,2,0))+各项系数!$J$6+各项系数!$M$5)*(1+$E$2)</f>
        <v>0.96448602713504916</v>
      </c>
      <c r="BF13" s="197">
        <f>BG13+各项系数!$L$9*$NS13</f>
        <v>0.91126797726289599</v>
      </c>
      <c r="BG13" s="197">
        <f>BH13*(1+$BJ13+各项系数!$J$5+各项系数!$L$5)</f>
        <v>0.90174567839398301</v>
      </c>
      <c r="BH13" s="199">
        <f t="shared" ref="BH13:BH76" si="132">SUM($FB13,$FQ13,$FX13,$GP13,$GY13,$HO13)</f>
        <v>0.88406439058233621</v>
      </c>
      <c r="BI13" s="51"/>
      <c r="BJ13" s="208"/>
      <c r="BK13" s="102"/>
      <c r="BL13" s="196">
        <f>BM13+各项系数!$M$9*$NM13</f>
        <v>0.61397177895487975</v>
      </c>
      <c r="BM13" s="196">
        <f>BN13*(1+$CF13+(VLOOKUP($AM13,$A$12:$B$323,2,0))+各项系数!$J$6+各项系数!$M$5)*(1+$E$2)</f>
        <v>0.60531365140014104</v>
      </c>
      <c r="BN13" s="197">
        <f>BO13+各项系数!$L$9*$NM13</f>
        <v>0.57191388076354976</v>
      </c>
      <c r="BO13" s="197">
        <f>BP13*(1+$CG13+各项系数!$J$5+各项系数!$L$5)</f>
        <v>0.56325575320881105</v>
      </c>
      <c r="BP13" s="197">
        <f t="shared" ref="BP13:BP76" si="133">SUM(FB13,FQ13,FX13,GP13,IA13)</f>
        <v>0.54685024583379716</v>
      </c>
      <c r="BQ13" s="196">
        <f>BR13+各项系数!$M$9*$NM13</f>
        <v>0.75080298577049076</v>
      </c>
      <c r="BR13" s="196">
        <f>BS13*(1+$CF13+(VLOOKUP($AM13,$A$12:$B$323,2,0))+各项系数!$J$6+各项系数!$M$5)*(1+$E$2)</f>
        <v>0.74214485821575205</v>
      </c>
      <c r="BS13" s="197">
        <f>BT13+各项系数!$L$9*$NM13</f>
        <v>0.70119506634141338</v>
      </c>
      <c r="BT13" s="197">
        <f>BU13*(1+$CG13+各项系数!$J$5+各项系数!$L$5)</f>
        <v>0.69253693878667466</v>
      </c>
      <c r="BU13" s="197">
        <f t="shared" ref="BU13:BU76" si="134">SUM(FB13,FQ13,FX13,GP13,HK13)</f>
        <v>0.67236595998706272</v>
      </c>
      <c r="BV13" s="196">
        <f>BW13+各项系数!$M$9*$NT13</f>
        <v>0.83872866721642059</v>
      </c>
      <c r="BW13" s="196">
        <f>BX13*(1+$CF13+(VLOOKUP($AM13,$A$12:$B$214,2,0))+各项系数!$J$6+各项系数!$M$5)*(1+$E$2)</f>
        <v>0.82920636834750761</v>
      </c>
      <c r="BX13" s="197">
        <f>BY13+各项系数!$L$9*$NT$12</f>
        <v>0.78345272897534723</v>
      </c>
      <c r="BY13" s="197">
        <f>BZ13*(1+$CG13+各项系数!$J$5+各项系数!$L$5)</f>
        <v>0.7751893258203737</v>
      </c>
      <c r="BZ13" s="199">
        <f t="shared" si="11"/>
        <v>0.75261099594211034</v>
      </c>
      <c r="CA13" s="196">
        <f>CB13+各项系数!$M$9*$NT13</f>
        <v>0.98203284829025195</v>
      </c>
      <c r="CB13" s="196">
        <f>CC13*(1+$CF13+(VLOOKUP($AM13,$A$12:$B$214,2,0))+各项系数!$J$6+各项系数!$M$5)*(1+$E$2)</f>
        <v>0.97251054942133897</v>
      </c>
      <c r="CC13" s="197">
        <f>CD13+各项系数!$L$9*$NT$12</f>
        <v>0.91884972545477983</v>
      </c>
      <c r="CD13" s="197">
        <f>CE13*(1+$CG13+各项系数!$J$5+各项系数!$L$5)</f>
        <v>0.91058632229980629</v>
      </c>
      <c r="CE13" s="199">
        <f t="shared" ref="CE13:CE76" si="135">SUM($FB13,$FQ13,$FX13,$GP13,$GY13,$HO13)</f>
        <v>0.88406439058233621</v>
      </c>
      <c r="CF13" s="213">
        <f t="shared" ref="CF13:CF76" si="136">BI13+$CF$2</f>
        <v>0</v>
      </c>
      <c r="CG13" s="213">
        <f t="shared" si="12"/>
        <v>0.01</v>
      </c>
      <c r="CH13" s="102"/>
      <c r="CI13" s="196">
        <f>CJ13+各项系数!$M$9*$NO13</f>
        <v>0.67186787765681799</v>
      </c>
      <c r="CJ13" s="196">
        <f>CK13*(1+$DC13+(VLOOKUP($AM13,$A$12:$B$323,2,0))+各项系数!$J$6+各项系数!$M$5)*(1+$E$2)+各项系数!$M$9*$NK13</f>
        <v>0.66164120848145702</v>
      </c>
      <c r="CK13" s="197">
        <f>CL13+各项系数!$L$9*$NO13</f>
        <v>0.61695302430717902</v>
      </c>
      <c r="CL13" s="197">
        <f>CM13*(1+$DD13+各项系数!$J$5+各项系数!$L$5)</f>
        <v>0.60672635513181805</v>
      </c>
      <c r="CM13" s="197">
        <f t="shared" si="13"/>
        <v>0.5948297599331549</v>
      </c>
      <c r="CN13" s="196">
        <f>CO13+各项系数!$M$9*$NO13</f>
        <v>0.7975242009175294</v>
      </c>
      <c r="CO13" s="196">
        <f>CP13*(1+$DC13+(VLOOKUP($AM13,$A$12:$B$323,2,0))+各项系数!$J$6+各项系数!$M$5)*(1+$E$2)+各项系数!$M$9*$NK13</f>
        <v>0.78729753174216843</v>
      </c>
      <c r="CP13" s="197">
        <f>CQ13+各项系数!$L$9*$NO13</f>
        <v>0.73567592988230313</v>
      </c>
      <c r="CQ13" s="197">
        <f>CR13*(1+$DD13+各项系数!$J$5+各项系数!$L$5)</f>
        <v>0.72544926070694216</v>
      </c>
      <c r="CR13" s="197">
        <f t="shared" si="14"/>
        <v>0.71122476539896284</v>
      </c>
      <c r="CS13" s="196">
        <f>CT13+各项系数!$M$9*$NU13</f>
        <v>0.93528256513191887</v>
      </c>
      <c r="CT13" s="196">
        <f t="shared" si="15"/>
        <v>0.92399058065188377</v>
      </c>
      <c r="CU13" s="197">
        <f>CV13+各项系数!$L$9*$NU13</f>
        <v>0.87300697340502997</v>
      </c>
      <c r="CV13" s="197">
        <f>CW13*(1+$DD13+各项系数!$J$5+各项系数!$L$5)</f>
        <v>0.86171498892499487</v>
      </c>
      <c r="CW13" s="199">
        <f t="shared" si="16"/>
        <v>0.84481861659313218</v>
      </c>
      <c r="CX13" s="196">
        <f>CY13+各项系数!$M$9*$NU13</f>
        <v>1.1243598664872907</v>
      </c>
      <c r="CY13" s="196">
        <f t="shared" si="17"/>
        <v>1.1130678820072555</v>
      </c>
      <c r="CZ13" s="197">
        <f>DA13+各项系数!$L$9*$NU13</f>
        <v>1.0516514380265074</v>
      </c>
      <c r="DA13" s="197">
        <f>DB13*(1+$DD13+各项系数!$J$5+各项系数!$L$5)</f>
        <v>1.0403594535464722</v>
      </c>
      <c r="DB13" s="199">
        <f t="shared" si="18"/>
        <v>1.0199602485749728</v>
      </c>
      <c r="DC13" s="213">
        <f t="shared" ref="DC13:DC76" si="137">BI13+$DC$2</f>
        <v>0</v>
      </c>
      <c r="DD13" s="213">
        <f t="shared" si="19"/>
        <v>0</v>
      </c>
      <c r="DE13" s="53"/>
      <c r="DF13" s="53"/>
      <c r="DG13" s="196">
        <f>DH13+各项系数!$M$9*$NQ13</f>
        <v>0.70524936839464158</v>
      </c>
      <c r="DH13" s="196">
        <f>DI13*(1+$EA13+(VLOOKUP($AM13,$A$12:$B$323,2,0))+各项系数!$J$6+各项系数!$M$5)*(1+$E$2)+各项系数!$M$9*$NK13</f>
        <v>0.69502269921928062</v>
      </c>
      <c r="DI13" s="197">
        <f>DJ13+各项系数!$L$9*$NQ13</f>
        <v>0.64849260361351269</v>
      </c>
      <c r="DJ13" s="197">
        <f>DK13*(1+$EB13+各项系数!$J$5+各项系数!$L$5)</f>
        <v>0.63826593443815172</v>
      </c>
      <c r="DK13" s="197">
        <f t="shared" si="20"/>
        <v>0.61967566450305989</v>
      </c>
      <c r="DL13" s="196">
        <f>DM13+各项系数!$M$9*$NQ13</f>
        <v>0.86149949798491432</v>
      </c>
      <c r="DM13" s="196">
        <f>DN13*(1+$EA13+(VLOOKUP($AM13,$A$12:$B$323,2,0))+各项系数!$J$6+各项系数!$M$5)*(1+$E$2)+各项系数!$M$9*$NK13</f>
        <v>0.85127282880955335</v>
      </c>
      <c r="DN13" s="197">
        <f>DO13+各项系数!$L$9*$NQ13</f>
        <v>0.79612122189608325</v>
      </c>
      <c r="DO13" s="197">
        <f>DP13*(1+$EB13+各项系数!$J$5+各项系数!$L$5)</f>
        <v>0.78589455272072228</v>
      </c>
      <c r="DP13" s="197">
        <f t="shared" si="21"/>
        <v>0.76300442011720604</v>
      </c>
      <c r="DQ13" s="196">
        <f>DR13+各项系数!$M$9*$NV13</f>
        <v>0.97243202190971478</v>
      </c>
      <c r="DR13" s="196">
        <f t="shared" si="22"/>
        <v>0.96114003742967968</v>
      </c>
      <c r="DS13" s="197">
        <f>DT13+各项系数!$L$9*$NV13</f>
        <v>0.90810661132811754</v>
      </c>
      <c r="DT13" s="197">
        <f>DU13*(1+$EB13+各项系数!$J$5+各项系数!$L$5)</f>
        <v>0.89681462684808244</v>
      </c>
      <c r="DU13" s="199">
        <f t="shared" si="23"/>
        <v>0.87069381247386646</v>
      </c>
      <c r="DV13" s="196">
        <f>DW13+各项系数!$M$9*$NV13</f>
        <v>1.092434852125084</v>
      </c>
      <c r="DW13" s="196">
        <f t="shared" si="24"/>
        <v>1.0811428676450487</v>
      </c>
      <c r="DX13" s="197">
        <f>DY13+各项系数!$L$9*$NV13</f>
        <v>1.0214879701861759</v>
      </c>
      <c r="DY13" s="197">
        <f>DZ13*(1+$EB13+各项系数!$J$5+各项系数!$L$5)</f>
        <v>1.0101959857061407</v>
      </c>
      <c r="DZ13" s="199">
        <f t="shared" si="25"/>
        <v>0.98077280165644731</v>
      </c>
      <c r="EA13" s="213">
        <f t="shared" si="26"/>
        <v>0</v>
      </c>
      <c r="EB13" s="213">
        <f t="shared" si="27"/>
        <v>0.01</v>
      </c>
      <c r="EC13" s="235">
        <f t="shared" ref="EC13:EC76" si="138">IF(EO13=0,EG13,EG13&amp;"+"&amp;EO13)</f>
        <v>1</v>
      </c>
      <c r="ED13" s="235" t="str">
        <f t="shared" ref="ED13:ED19" si="139">IF(COUNTIF($D13,"*+*")&gt;0,MID($D13,1,FIND("+",$D13)-1),MID($D13,1,LEN($D13)))</f>
        <v>1*0.5</v>
      </c>
      <c r="EE13" s="189">
        <f t="shared" si="28"/>
        <v>0.5</v>
      </c>
      <c r="EF13" s="189">
        <f>LOOKUP(EH13,{1,7,10,14,19,24,30,37,48,61},{1,"1+6","2+8","4+10","1+6+12","2+8+14","4+10+16","1+6+12+18","3+9+15+21","1+6+12+18+24"})</f>
        <v>1</v>
      </c>
      <c r="EG13" s="188">
        <f t="shared" ref="EG13" si="140">IF(D13="",0,MID(D13,1,FIND("*",D13)-1))*1</f>
        <v>1</v>
      </c>
      <c r="EH13" s="197">
        <f>IF(AM13&lt;10,1,IF(AND(AM13&gt;=10,AM13&lt;=35),7,LOOKUP(AM13,{50,70,95,120,150,185,240,300,400,500,630},{10,14,19,24,30,37,48,61,61,61,61})*1))</f>
        <v>1</v>
      </c>
      <c r="EI13" s="188">
        <f>IF(EH13=0,0,VLOOKUP(EH13,各项系数!$D$142:$E$195,2,0))*1</f>
        <v>1</v>
      </c>
      <c r="EJ13" s="238">
        <f t="shared" ref="EJ13:EJ76" si="141">$F13-$G13</f>
        <v>78.221538336864299</v>
      </c>
      <c r="EK13" s="189">
        <f t="shared" si="30"/>
        <v>0</v>
      </c>
      <c r="EL13" s="189">
        <f t="shared" si="31"/>
        <v>0</v>
      </c>
      <c r="EM13" s="189">
        <f t="shared" si="32"/>
        <v>0</v>
      </c>
      <c r="EN13" s="189">
        <f>IF(EP13=0,0,LOOKUP(EP13,{1,7,10,14,19,24,30,37,48,61},{1,"1+6","2+8","4+10","1+6+12","2+8+14","4+10+16","1+6+12+18","3+9+15+21","1+6+12+18+24"}))</f>
        <v>0</v>
      </c>
      <c r="EO13" s="189">
        <f t="shared" si="33"/>
        <v>0</v>
      </c>
      <c r="EP13" s="189">
        <f>IF(EM13=0,0,IF(EM13&lt;10,1,IF(AND(EM13&gt;=10,EM13&lt;=35),7,LOOKUP(EM13,{50,70,95,120,150,185,240,300},{10,14,19,24,30,37,48,61})*1)))</f>
        <v>0</v>
      </c>
      <c r="EQ13" s="189">
        <f>IF(EP13=0,0,VLOOKUP(EP13,各项系数!$D$142:$E$195,2,0))*1</f>
        <v>0</v>
      </c>
      <c r="ER13" s="189">
        <f t="shared" si="34"/>
        <v>0</v>
      </c>
      <c r="ES13" s="235">
        <f t="shared" si="35"/>
        <v>1</v>
      </c>
      <c r="ET13" s="189">
        <f>VLOOKUP(ES13,各项系数!$D$142:$E$195,2,0)*1</f>
        <v>1</v>
      </c>
      <c r="EU13" s="243">
        <f>((各项系数!$F$76/4*$EJ13^2*$EG13*$EH13*1*10^-7)*(1-$H13)*AA13)*(VLOOKUP($EY$9,各项系数!$D$4:$F$143,3,0))*各项系数!$J$4</f>
        <v>4.2507682542991957E-3</v>
      </c>
      <c r="EV13" s="244">
        <f>EU13*(VLOOKUP($EY$9,各项系数!$D$4:$F$143,2,0))</f>
        <v>0.27842532065659731</v>
      </c>
      <c r="EW13" s="252">
        <f>(IF($EO13=0,0,(各项系数!$F$76/4*$ER13^2*$EO13*$EP13*1*10^-7))*(1-$K13)*$AF13)*(VLOOKUP($EY$9,各项系数!$D$4:$F$143,3,0))*各项系数!$J$4</f>
        <v>0</v>
      </c>
      <c r="EX13" s="253">
        <f>EW13*(VLOOKUP($EY$9,各项系数!$D$4:$F$143,2,0))</f>
        <v>0</v>
      </c>
      <c r="EY13" s="189">
        <f>((各项系数!$F$76/4*$EJ13^2*$EG13*$EH13*1*10^-7)*(1-$H13)*AA13+IF($EO13=0,0,(各项系数!$F$76/4*$ER13^2*$EO13*$EP13*1*10^-7))*(1-$K13)*$AF13)*(VLOOKUP($EY$9,各项系数!$D$4:$F$143,3,0))*各项系数!$J$4</f>
        <v>4.2507682542991957E-3</v>
      </c>
      <c r="EZ13" s="102">
        <v>1</v>
      </c>
      <c r="FA13" s="189">
        <f t="shared" si="36"/>
        <v>4.2507682542991957E-3</v>
      </c>
      <c r="FB13" s="254">
        <f>FA13*(VLOOKUP($EY$9,各项系数!$D$4:$F$143,2,0))</f>
        <v>0.27842532065659731</v>
      </c>
      <c r="FC13" s="255"/>
      <c r="FD13" s="235">
        <f>各项系数!$F$76/4*($MN13^2-MK13^2)*10^-2*(VLOOKUP(L13,各项系数!$D$1:$F$143,3,0))*10^-3*10^2*$EG13*各项系数!$J$4</f>
        <v>2.8516262907457976E-3</v>
      </c>
      <c r="FE13" s="262">
        <f>FD13*VLOOKUP(L13,各项系数!$D$1:$F$143,2,0)</f>
        <v>2.9086588165607132E-2</v>
      </c>
      <c r="FF13" s="188">
        <f>各项系数!$F$76/4*($MO13^2-ML13^2)*10^-2*(VLOOKUP(L13,各项系数!$D$1:$F$143,3,0))*10^-3*10^2*$EO13*各项系数!$J$4</f>
        <v>0</v>
      </c>
      <c r="FG13" s="262">
        <f>FF13*VLOOKUP(L13,各项系数!$D$1:$F$143,2,0)</f>
        <v>0</v>
      </c>
      <c r="FH13" s="235">
        <f t="shared" ref="FH13:FH76" si="142">FF13+FD13</f>
        <v>2.8516262907457976E-3</v>
      </c>
      <c r="FI13" s="102">
        <v>1</v>
      </c>
      <c r="FJ13" s="189">
        <f t="shared" si="37"/>
        <v>2.8516262907457976E-3</v>
      </c>
      <c r="FK13" s="262">
        <f>FJ13*VLOOKUP(L13,各项系数!$D$1:$F$143,2,0)</f>
        <v>2.9086588165607132E-2</v>
      </c>
      <c r="FL13" s="235"/>
      <c r="FM13" s="102"/>
      <c r="FN13" s="189"/>
      <c r="FO13" s="262"/>
      <c r="FP13" s="282">
        <f t="shared" si="38"/>
        <v>2.8516262907457976E-3</v>
      </c>
      <c r="FQ13" s="282">
        <f t="shared" si="39"/>
        <v>2.9086588165607132E-2</v>
      </c>
      <c r="FR13" s="283">
        <f>各项系数!$F$76/4*($MQ13^2-$MN13^2*$EG13-$MO13^2*$EO13)*10^-2</f>
        <v>0</v>
      </c>
      <c r="FS13" s="284">
        <f t="shared" ref="FS13:FS76" si="143">VLOOKUP(EC13,$A$38:$B$65,2,0)</f>
        <v>1</v>
      </c>
      <c r="FT13" s="285">
        <f t="shared" si="40"/>
        <v>0</v>
      </c>
      <c r="FU13" s="302">
        <f>$FT13*(VLOOKUP($FT$9,各项系数!$D$1:$F$143,3,0))*10^-3*10^2*各项系数!$J$55</f>
        <v>0</v>
      </c>
      <c r="FV13" s="303">
        <v>1</v>
      </c>
      <c r="FW13" s="304">
        <f t="shared" si="41"/>
        <v>0</v>
      </c>
      <c r="FX13" s="285">
        <f>FW13*(VLOOKUP($FT$9,各项系数!$D$1:$F$143,2,0))</f>
        <v>0</v>
      </c>
      <c r="FY13" s="302">
        <f>IF($BK13&lt;&gt;$FY$9,0,各项系数!$F$76/4*($MS13^2-$MQ13^2)*10^-2*(VLOOKUP($FY$9,各项系数!$D$1:$F$143,3,0))*10^-3*10^2)*各项系数!$J$4</f>
        <v>0</v>
      </c>
      <c r="FZ13" s="303">
        <v>1</v>
      </c>
      <c r="GA13" s="304">
        <f t="shared" si="42"/>
        <v>0</v>
      </c>
      <c r="GB13" s="285">
        <f>GA13*(VLOOKUP($FY$9,各项系数!$D$1:$F$143,2,0))</f>
        <v>0</v>
      </c>
      <c r="GC13" s="302">
        <f>IF($BK13&lt;&gt;$GC$9,0,各项系数!$F$76/4*($MS13^2-$MQ13^2)*10^-2*(VLOOKUP($GC$9,各项系数!$D$1:$F$143,3,0))*10^-3*10^2)*各项系数!$J$4</f>
        <v>0</v>
      </c>
      <c r="GD13" s="303">
        <v>1</v>
      </c>
      <c r="GE13" s="304">
        <f t="shared" si="43"/>
        <v>0</v>
      </c>
      <c r="GF13" s="285">
        <f>GE13*(VLOOKUP($GC$9,各项系数!$D$1:$F$143,2,0))</f>
        <v>0</v>
      </c>
      <c r="GG13" s="302">
        <f>IF($BK13&lt;&gt;$GG$9,0,各项系数!$F$76/4*($MS13^2-$MQ13^2)*10^-2*(VLOOKUP($GG$9,各项系数!$D$1:$F$143,3,0))*10^-3*10^2)*各项系数!$J$4</f>
        <v>0</v>
      </c>
      <c r="GH13" s="303">
        <v>1</v>
      </c>
      <c r="GI13" s="304">
        <f t="shared" si="44"/>
        <v>0</v>
      </c>
      <c r="GJ13" s="285">
        <f>GI13*(VLOOKUP($GG$9,各项系数!$D$1:$F$143,2,0))</f>
        <v>0</v>
      </c>
      <c r="GK13" s="302">
        <f>IF($BK13&lt;&gt;$GK$9,0,各项系数!$F$76/4*($MS13^2-$MQ13^2)*10^-2*(VLOOKUP($GK$9,各项系数!$D$1:$F$143,3,0))*10^-3*10^2)*各项系数!$J$4</f>
        <v>0</v>
      </c>
      <c r="GL13" s="303">
        <v>1</v>
      </c>
      <c r="GM13" s="304">
        <f t="shared" si="45"/>
        <v>0</v>
      </c>
      <c r="GN13" s="285">
        <f>GM13*(VLOOKUP($GK$9,各项系数!$D$1:$F$143,2,0))</f>
        <v>0</v>
      </c>
      <c r="GO13" s="304">
        <f t="shared" si="46"/>
        <v>0</v>
      </c>
      <c r="GP13" s="304">
        <f t="shared" si="47"/>
        <v>0</v>
      </c>
      <c r="GQ13" s="315">
        <f>各项系数!$F$76/4*($MU13^2-$MS13^2)*10^-2*(VLOOKUP($S13,各项系数!$D$1:$F$143,3,0))*10^-3*10^2*各项系数!$J$4</f>
        <v>1.0668597104419218E-2</v>
      </c>
      <c r="GR13" s="303">
        <v>1</v>
      </c>
      <c r="GS13" s="304">
        <f t="shared" si="48"/>
        <v>1.0668597104419218E-2</v>
      </c>
      <c r="GT13" s="304">
        <f t="shared" si="49"/>
        <v>1</v>
      </c>
      <c r="GU13" s="304">
        <f>ROUND($GS13*(VLOOKUP($S13,各项系数!$D$1:$F$143,2,0))+$E$3*GS13,GT13)</f>
        <v>0.1</v>
      </c>
      <c r="GV13" s="315">
        <f>各项系数!$F$76/4*($MT13^2-$MS13^2)*10^-2*(VLOOKUP($GV$9,各项系数!$D$1:$F$143,3,0))*10^-3*10^2*各项系数!$J$4*PI()/4*R13</f>
        <v>2.8805710472472935E-3</v>
      </c>
      <c r="GW13" s="303">
        <v>1</v>
      </c>
      <c r="GX13" s="304">
        <f t="shared" si="50"/>
        <v>2.8805710472472935E-3</v>
      </c>
      <c r="GY13" s="304">
        <f>$GX13*(VLOOKUP($GV$9,各项系数!$D$1:$F$143,2,0))</f>
        <v>0.1944385456891923</v>
      </c>
      <c r="GZ13" s="315">
        <f>各项系数!$F$76/4*($MV13^2-$MS13^2)*10^-2*(VLOOKUP($GZ$9,各项系数!$D$1:$F$143,3,0))*10^-3*10^2*各项系数!$J$4</f>
        <v>2.1462003009697549E-2</v>
      </c>
      <c r="HA13" s="303">
        <v>1</v>
      </c>
      <c r="HB13" s="304">
        <f t="shared" ref="HB13:HB76" si="144">HA13*GZ13</f>
        <v>2.1462003009697549E-2</v>
      </c>
      <c r="HC13" s="304">
        <f>HB13*(VLOOKUP($GZ$9,各项系数!$D$1:$F$143,2,0))</f>
        <v>0.36485405116485831</v>
      </c>
      <c r="HD13" s="315">
        <f>各项系数!$F$76/4*($MW13^2-$MT13^2)*10^-2*(VLOOKUP($HD$9,各项系数!$D$1:$F$143,3,0))*10^-3*10^2*各项系数!$J$4</f>
        <v>2.2477290357114085E-2</v>
      </c>
      <c r="HE13" s="303">
        <v>1</v>
      </c>
      <c r="HF13" s="304">
        <f t="shared" ref="HF13:HF76" si="145">HE13*HD13</f>
        <v>2.2477290357114085E-2</v>
      </c>
      <c r="HG13" s="304">
        <f>HF13*(VLOOKUP($HD$9,各项系数!$D$1:$F$143,2,0))</f>
        <v>0.38211393607093946</v>
      </c>
      <c r="HH13" s="315">
        <f>各项系数!$F$76/4*($MV13^2-$MS13^2)*10^-2*(VLOOKUP($HH$9,各项系数!$D$1:$F$143,3,0))*10^-3*10^2*各项系数!$J$4</f>
        <v>2.1462003009697549E-2</v>
      </c>
      <c r="HI13" s="322">
        <v>1</v>
      </c>
      <c r="HJ13" s="304">
        <f t="shared" ref="HJ13:HJ76" si="146">HI13*HH13</f>
        <v>2.1462003009697549E-2</v>
      </c>
      <c r="HK13" s="304">
        <f>HJ13*(VLOOKUP($HH$9,各项系数!$D$1:$F$143,2,0))</f>
        <v>0.36485405116485831</v>
      </c>
      <c r="HL13" s="315">
        <f>各项系数!$F$76/4*($MW13^2-$MT13^2)*10^-2*(VLOOKUP($HL$9,各项系数!$D$1:$F$143,3,0))*10^-3*10^2*各项系数!$J$4</f>
        <v>2.2477290357114085E-2</v>
      </c>
      <c r="HM13" s="322">
        <v>1</v>
      </c>
      <c r="HN13" s="304">
        <f t="shared" ref="HN13:HN75" si="147">HM13*HL13</f>
        <v>2.2477290357114085E-2</v>
      </c>
      <c r="HO13" s="304">
        <f>HN13*(VLOOKUP($HL$9,各项系数!$D$1:$F$143,2,0))</f>
        <v>0.38211393607093946</v>
      </c>
      <c r="HP13" s="315">
        <f>各项系数!$F$76/4*($MV13^2-$MS13^2)*10^-2*(VLOOKUP(AN13,各项系数!$D$1:$F$143,3,0))*10^-3*10^2*各项系数!$J$4</f>
        <v>2.1758030637417519E-2</v>
      </c>
      <c r="HQ13" s="303">
        <v>1</v>
      </c>
      <c r="HR13" s="304">
        <f t="shared" si="55"/>
        <v>2.1758030637417519E-2</v>
      </c>
      <c r="HS13" s="304">
        <f>HR13*(VLOOKUP(AN13,各项系数!$D$1:$F$143,2,0))</f>
        <v>0.21758030637417519</v>
      </c>
      <c r="HT13" s="315">
        <f>各项系数!$F$76/4*($MW13^2-$MT13^2)*10^-2*(VLOOKUP(AN13,各项系数!$D$1:$F$143,3,0))*10^-3*10^2*各项系数!$J$4</f>
        <v>2.2787321948246696E-2</v>
      </c>
      <c r="HU13" s="303">
        <v>1</v>
      </c>
      <c r="HV13" s="304">
        <f t="shared" si="56"/>
        <v>2.2787321948246696E-2</v>
      </c>
      <c r="HW13" s="304">
        <f>HV13*(VLOOKUP(AN13,各项系数!$D$1:$F$143,2,0))</f>
        <v>0.22787321948246697</v>
      </c>
      <c r="HX13" s="315">
        <f>各项系数!$F$76/4*($MV13^2-$MS13^2)*10^-2*(VLOOKUP($HX$9,各项系数!$D$1:$F$143,3,0))*10^-3*10^2*各项系数!$J$4</f>
        <v>2.1758030637417519E-2</v>
      </c>
      <c r="HY13" s="322">
        <v>1</v>
      </c>
      <c r="HZ13" s="304">
        <f t="shared" si="57"/>
        <v>2.1758030637417519E-2</v>
      </c>
      <c r="IA13" s="304">
        <f>HZ13*(VLOOKUP($HX$9,各项系数!$D$1:$F$143,2,0))</f>
        <v>0.23933833701159271</v>
      </c>
      <c r="IB13" s="315">
        <f>各项系数!$F$76/4*($MW13^2-$MT13^2)*10^-2*(VLOOKUP($IB$9,各项系数!$D$1:$F$143,3,0))*10^-3*10^2*各项系数!$J$4</f>
        <v>2.2787321948246696E-2</v>
      </c>
      <c r="IC13" s="322">
        <v>1</v>
      </c>
      <c r="ID13" s="304">
        <f t="shared" si="58"/>
        <v>2.2787321948246696E-2</v>
      </c>
      <c r="IE13" s="304">
        <f>ID13*(VLOOKUP($IB$9,各项系数!$D$1:$F$143,2,0))</f>
        <v>0.25066054143071365</v>
      </c>
      <c r="IF13" s="328"/>
      <c r="IG13" s="315">
        <f t="shared" ref="IG13:IG76" si="148">IK13+IM13</f>
        <v>1.1503178663592696E-3</v>
      </c>
      <c r="IH13" s="303">
        <v>1</v>
      </c>
      <c r="II13" s="304">
        <f t="shared" si="59"/>
        <v>1.1503178663592696E-3</v>
      </c>
      <c r="IJ13" s="304">
        <f>II13*(VLOOKUP($IG$8,各项系数!$D$1:$F$143,2,0))</f>
        <v>2.875794665898174E-2</v>
      </c>
      <c r="IK13" s="315">
        <f>(各项系数!$F$76/4*($MX13^2-$MK13^2)*$EG13)*10^-2*(VLOOKUP($IG$8,各项系数!$D$1:$F$143,3,0))*10^-3*10^2*各项系数!$J$4</f>
        <v>1.1503178663592696E-3</v>
      </c>
      <c r="IL13" s="303">
        <f>IK13*(VLOOKUP($IG$8,各项系数!$D$1:$F$143,2,0))</f>
        <v>2.875794665898174E-2</v>
      </c>
      <c r="IM13" s="304">
        <f>(各项系数!$F$76/4*(($MM13+3*$X13)^2-MM13^2)*$EO13)*10^-2*(VLOOKUP($IG$8,各项系数!$D$1:$F$143,3,0))*10^-3*10^2*各项系数!$J$4</f>
        <v>0</v>
      </c>
      <c r="IN13" s="303">
        <f>IM13*(VLOOKUP($IG$8,各项系数!$D$1:$F$143,2,0))</f>
        <v>0</v>
      </c>
      <c r="IO13" s="315">
        <f>各项系数!$F$76/4*($MZ13^2-$MX13^2)*10^-2*(VLOOKUP(L13,各项系数!$D$1:$F$143,3,0))*10^-3*10^2*$ES13*各项系数!$J$4</f>
        <v>3.8419065606397568E-3</v>
      </c>
      <c r="IP13" s="303">
        <v>1</v>
      </c>
      <c r="IQ13" s="304">
        <f t="shared" si="60"/>
        <v>3.8419065606397568E-3</v>
      </c>
      <c r="IR13" s="285">
        <f>IQ13*(VLOOKUP(L13,各项系数!$D$1:$F$143,2,0))</f>
        <v>3.9187446918525513E-2</v>
      </c>
      <c r="IS13" s="315">
        <f>IF($L13&lt;&gt;$IS$9,0,各项系数!$F$76/4*($MZ13^2-$MX13^2)*10^-2*各项系数!$F$12*10^-3*10^2)*$ES13*各项系数!$J$4</f>
        <v>0</v>
      </c>
      <c r="IT13" s="303">
        <v>1</v>
      </c>
      <c r="IU13" s="304">
        <f t="shared" si="61"/>
        <v>0</v>
      </c>
      <c r="IV13" s="285">
        <f>IU13*各项系数!$E$12</f>
        <v>0</v>
      </c>
      <c r="IW13" s="302">
        <f t="shared" si="62"/>
        <v>3.8419065606397568E-3</v>
      </c>
      <c r="IX13" s="302">
        <f t="shared" si="63"/>
        <v>3.9187446918525513E-2</v>
      </c>
      <c r="IY13" s="339">
        <f>各项系数!$F$76/4*($NB13^2-$MZ13^2*$EG13-$NA13^2*$EO13)*10^-2</f>
        <v>0</v>
      </c>
      <c r="IZ13" s="284">
        <f t="shared" ref="IZ13:IZ21" si="149">VLOOKUP(EC13,$A$38:$B$65,2,0)</f>
        <v>1</v>
      </c>
      <c r="JA13" s="285">
        <f t="shared" si="64"/>
        <v>0</v>
      </c>
      <c r="JB13" s="282">
        <f>IF($DE13&lt;&gt;$JB$9,0,$JA13*各项系数!$F$32*10^-3*10^2)*各项系数!$J$4</f>
        <v>0</v>
      </c>
      <c r="JC13" s="102">
        <v>1</v>
      </c>
      <c r="JD13" s="189">
        <f t="shared" si="65"/>
        <v>0</v>
      </c>
      <c r="JE13" s="262">
        <f>JD13*各项系数!$E$32</f>
        <v>0</v>
      </c>
      <c r="JF13" s="282">
        <f>IF($DE13&lt;&gt;$JF$9,0,$JA13*VLOOKUP($JF$9,各项系数!$D$4:$F$540,2,0)*10^-3*10^2)*各项系数!$J$4</f>
        <v>0</v>
      </c>
      <c r="JG13" s="102">
        <v>1</v>
      </c>
      <c r="JH13" s="189">
        <f t="shared" si="66"/>
        <v>0</v>
      </c>
      <c r="JI13" s="262">
        <f>JH13*VLOOKUP($JF$9,各项系数!$D$4:$F$540,3,0)</f>
        <v>0</v>
      </c>
      <c r="JJ13" s="282">
        <f t="shared" si="67"/>
        <v>0</v>
      </c>
      <c r="JK13" s="189">
        <f t="shared" si="68"/>
        <v>0</v>
      </c>
      <c r="JL13" s="282">
        <f>IF($DF13&lt;&gt;$JL$9,0,各项系数!$F$76/4*($NE13^2-$NC13^2)*10^-2*各项系数!$F$39*10^-3*10^2)*各项系数!$J$4</f>
        <v>0</v>
      </c>
      <c r="JM13" s="102">
        <v>1</v>
      </c>
      <c r="JN13" s="189">
        <f t="shared" si="69"/>
        <v>0</v>
      </c>
      <c r="JO13" s="262">
        <f>JN13*各项系数!$E$39</f>
        <v>0</v>
      </c>
      <c r="JP13" s="282">
        <f>IF($DF13&lt;&gt;$JP$9,0,各项系数!$F$76/4*($NE13^2-$NC13^2)*10^-2*各项系数!$F$36*10^-3*10^2)*各项系数!$J$4</f>
        <v>0</v>
      </c>
      <c r="JQ13" s="102">
        <v>1</v>
      </c>
      <c r="JR13" s="189">
        <f t="shared" si="70"/>
        <v>0</v>
      </c>
      <c r="JS13" s="262">
        <f>JR13*各项系数!$E$36</f>
        <v>0</v>
      </c>
      <c r="JT13" s="282">
        <f>IF($DF13&lt;&gt;$JT$9,0,各项系数!$F$76/4*($NE13^2-$NC13^2)*10^-2*各项系数!$F$40*10^-3*10^2)*各项系数!$J$4</f>
        <v>0</v>
      </c>
      <c r="JU13" s="102">
        <v>1</v>
      </c>
      <c r="JV13" s="189">
        <f t="shared" si="71"/>
        <v>0</v>
      </c>
      <c r="JW13" s="262">
        <f>JV13*各项系数!$E$40</f>
        <v>0</v>
      </c>
      <c r="JX13" s="282">
        <f>IF($DF13&lt;&gt;$JX$9,0,各项系数!$F$76/4*($NE13^2-$NC13^2)*10^-2*各项系数!$F$38*10^-3*10^2)*各项系数!$J$4</f>
        <v>0</v>
      </c>
      <c r="JY13" s="102">
        <v>1</v>
      </c>
      <c r="JZ13" s="189">
        <f t="shared" si="72"/>
        <v>0</v>
      </c>
      <c r="KA13" s="262">
        <f>JZ13*各项系数!$E$38</f>
        <v>0</v>
      </c>
      <c r="KB13" s="282">
        <f>IF($DF13&lt;&gt;$KB$9,0,各项系数!$F$76/4*($NE13^2-$NC13^2)*10^-2*各项系数!$F$41*10^-3*10^2)*各项系数!$J$4</f>
        <v>0</v>
      </c>
      <c r="KC13" s="102">
        <v>1</v>
      </c>
      <c r="KD13" s="189">
        <f t="shared" si="73"/>
        <v>0</v>
      </c>
      <c r="KE13" s="262">
        <f>KD13*各项系数!$E$41</f>
        <v>0</v>
      </c>
      <c r="KF13" s="189">
        <f t="shared" si="74"/>
        <v>0</v>
      </c>
      <c r="KG13" s="189">
        <f t="shared" si="75"/>
        <v>0</v>
      </c>
      <c r="KH13" s="235">
        <f>各项系数!$F$76/4*($NG13^2-$NE13^2)*10^-2*各项系数!$F$44*10^-3*10^2*各项系数!$J$4*0.75*$U13</f>
        <v>1.9522891888706453E-2</v>
      </c>
      <c r="KI13" s="102">
        <v>1</v>
      </c>
      <c r="KJ13" s="189">
        <f t="shared" si="76"/>
        <v>1.9522891888706453E-2</v>
      </c>
      <c r="KK13" s="189">
        <f>ROUND(KJ13*各项系数!$E$44,GT13)</f>
        <v>0.2</v>
      </c>
      <c r="KL13" s="235">
        <f>各项系数!$F$76/4*($NF13^2-$NE13^2)*10^-2*各项系数!$F$46*10^-3*10^2*各项系数!$J$4*PI()/4*R13</f>
        <v>3.5510510155805268E-3</v>
      </c>
      <c r="KM13" s="102">
        <v>1</v>
      </c>
      <c r="KN13" s="189">
        <f t="shared" si="77"/>
        <v>3.5510510155805268E-3</v>
      </c>
      <c r="KO13" s="189">
        <f>KN13*各项系数!$E$46</f>
        <v>0.23969594355168555</v>
      </c>
      <c r="KP13" s="235">
        <f>各项系数!$F$76/4*($NH13^2-$NE13^2)*10^-2*(VLOOKUP($KP$9,各项系数!$D$1:$F$143,3,0))*10^-3*10^2*各项系数!$J$4</f>
        <v>2.4507865051947148E-2</v>
      </c>
      <c r="KQ13" s="102">
        <v>1</v>
      </c>
      <c r="KR13" s="189">
        <f t="shared" ref="KR13:KR76" si="150">KQ13*KP13</f>
        <v>2.4507865051947148E-2</v>
      </c>
      <c r="KS13" s="189">
        <f>KR13*(VLOOKUP($KP$9,各项系数!$D$1:$F$143,2,0))</f>
        <v>0.4166337058831015</v>
      </c>
      <c r="KT13" s="235">
        <f>各项系数!$F$76/4*($NI13^2-$NF13^2)*10^-2*(VLOOKUP($KT$9,各项系数!$D$1:$F$143,3,0))*10^-3*10^2*各项系数!$J$4</f>
        <v>2.5523152399363688E-2</v>
      </c>
      <c r="KU13" s="102">
        <v>1</v>
      </c>
      <c r="KV13" s="189">
        <f t="shared" ref="KV13:KV76" si="151">KU13*KT13</f>
        <v>2.5523152399363688E-2</v>
      </c>
      <c r="KW13" s="189">
        <f>KV13*(VLOOKUP($KT$9,各项系数!$D$1:$F$143,2,0))</f>
        <v>0.43389359078918271</v>
      </c>
      <c r="KX13" s="189">
        <f>各项系数!$F$76/4*($NH13^2-$NE13^2)*10^-2*(VLOOKUP($KX$9,各项系数!$D$1:$F$143,3,0))*10^-3*10^2*各项系数!$J$4</f>
        <v>2.4507865051947148E-2</v>
      </c>
      <c r="KY13" s="353">
        <v>1</v>
      </c>
      <c r="KZ13" s="189">
        <f t="shared" ref="KZ13:KZ76" si="152">KY13*KX13</f>
        <v>2.4507865051947148E-2</v>
      </c>
      <c r="LA13" s="189">
        <f>KZ13*(VLOOKUP($KX$9,各项系数!$D$1:$F$143,2,0))</f>
        <v>0.4166337058831015</v>
      </c>
      <c r="LB13" s="189">
        <f>各项系数!$F$76/4*($NI13^2-$NF13^2)*10^-2*(VLOOKUP($LB$9,各项系数!$D$1:$F$143,3,0))*10^-3*10^2*各项系数!$J$4</f>
        <v>2.5523152399363688E-2</v>
      </c>
      <c r="LC13" s="353">
        <v>1</v>
      </c>
      <c r="LD13" s="189">
        <f t="shared" ref="LD13:LD76" si="153">LC13*LB13</f>
        <v>2.5523152399363688E-2</v>
      </c>
      <c r="LE13" s="189">
        <f>LD13*(VLOOKUP($LB$9,各项系数!$D$1:$F$143,2,0))</f>
        <v>0.43389359078918271</v>
      </c>
      <c r="LF13" s="235">
        <f>各项系数!$F$76/4*($NH13^2-$NE13^2)*10^-2*(VLOOKUP(AN13,各项系数!$D$1:$F$143,3,0))*10^-3*10^2*各项系数!$J$4</f>
        <v>2.4845904569905038E-2</v>
      </c>
      <c r="LG13" s="102">
        <v>1</v>
      </c>
      <c r="LH13" s="189">
        <f t="shared" si="82"/>
        <v>2.4845904569905038E-2</v>
      </c>
      <c r="LI13" s="189">
        <f>LH13*(VLOOKUP(AN13,各项系数!$D$1:$F$143,2,0))</f>
        <v>0.24845904569905039</v>
      </c>
      <c r="LJ13" s="235">
        <f>各项系数!$F$76/4*($NI13^2-$NF13^2)*10^-2*(VLOOKUP(AN13,各项系数!$D$1:$F$143,3,0))*10^-3*10^2*各项系数!$J$4</f>
        <v>2.5875195880734222E-2</v>
      </c>
      <c r="LK13" s="102">
        <v>1</v>
      </c>
      <c r="LL13" s="189">
        <f t="shared" si="83"/>
        <v>2.5875195880734222E-2</v>
      </c>
      <c r="LM13" s="189">
        <f>LL13*(VLOOKUP(AN13,各项系数!$D$1:$F$143,2,0))</f>
        <v>0.2587519588073422</v>
      </c>
      <c r="LN13" s="189">
        <f>各项系数!$F$76/4*($NH13^2-$NE13^2)*10^-2*(VLOOKUP($LN$9,各项系数!$D$1:$F$143,3,0))*10^-3*10^2*各项系数!$J$4</f>
        <v>2.4845904569905038E-2</v>
      </c>
      <c r="LO13" s="353">
        <v>1</v>
      </c>
      <c r="LP13" s="189">
        <f t="shared" si="84"/>
        <v>2.4845904569905038E-2</v>
      </c>
      <c r="LQ13" s="189">
        <f>LP13*(VLOOKUP($LN$9,各项系数!$D$1:$F$143,2,0))</f>
        <v>0.2733049502689554</v>
      </c>
      <c r="LR13" s="189">
        <f>各项系数!$F$76/4*($NI13^2-$NF13^2)*10^-2*(VLOOKUP($LR$9,各项系数!$D$1:$F$143,3,0))*10^-3*10^2*各项系数!$J$4</f>
        <v>2.5875195880734222E-2</v>
      </c>
      <c r="LS13" s="353">
        <v>1</v>
      </c>
      <c r="LT13" s="189">
        <f t="shared" si="85"/>
        <v>2.5875195880734222E-2</v>
      </c>
      <c r="LU13" s="189">
        <f>LT13*(VLOOKUP($LR$9,各项系数!$D$1:$F$143,2,0))</f>
        <v>0.28462715468807642</v>
      </c>
      <c r="LV13" s="227">
        <f t="shared" ref="LV13:LV76" si="154">ROUND(PI()*MJ13*MJ13/4*EG13,8)</f>
        <v>0.48055442999999998</v>
      </c>
      <c r="LW13" s="227">
        <f t="shared" ref="LW13:LW76" si="155">ROUND(PI()*ROUND($EJ13*10^-2,8)^2/4*$EG13*$EH13,8)</f>
        <v>0.48055442999999998</v>
      </c>
      <c r="LX13" s="227">
        <f t="shared" ref="LX13:LX76" si="156">SQRT(LW13/PI()*4)</f>
        <v>0.78221538189533557</v>
      </c>
      <c r="LY13" s="227">
        <f t="shared" ref="LY13:LY76" si="157">LV13-LW13</f>
        <v>0</v>
      </c>
      <c r="LZ13" s="374">
        <f t="shared" si="86"/>
        <v>1</v>
      </c>
      <c r="MA13" s="375">
        <f t="shared" si="87"/>
        <v>0.48055442999999998</v>
      </c>
      <c r="MB13" s="375">
        <f t="shared" ref="MB13:MB76" si="158">ROUND(SQRT(MA13/EG13/PI()*4),8)</f>
        <v>0.78221538000000002</v>
      </c>
      <c r="MC13" s="227">
        <f t="shared" ref="MC13:MC76" si="159">ROUND(PI()*ML13*ML13/4*EO13,8)</f>
        <v>0</v>
      </c>
      <c r="MD13" s="227">
        <f t="shared" ref="MD13:MD76" si="160">ROUND(PI()*ROUND($ER13*10^-2,8)^2/4*$EO13*$EP13,8)</f>
        <v>0</v>
      </c>
      <c r="ME13" s="227">
        <f t="shared" ref="ME13:ME76" si="161">SQRT(MD13/PI()*4)</f>
        <v>0</v>
      </c>
      <c r="MF13" s="227">
        <f t="shared" ref="MF13:MF76" si="162">MC13-MD13</f>
        <v>0</v>
      </c>
      <c r="MG13" s="374">
        <f t="shared" ref="MG13:MG76" si="163">$MG$8</f>
        <v>1</v>
      </c>
      <c r="MH13" s="375">
        <f t="shared" si="88"/>
        <v>0</v>
      </c>
      <c r="MI13" s="375">
        <f t="shared" ref="MI13:MI76" si="164">IF(EK13=0,0,SQRT(MH13/EO13/PI()*4))</f>
        <v>0</v>
      </c>
      <c r="MJ13" s="189">
        <f t="shared" si="89"/>
        <v>0.78221538000000002</v>
      </c>
      <c r="MK13" s="189">
        <f t="shared" ref="MK13:MK76" si="165">ROUND((1-$H13)^(1/2)*$MB13,8)</f>
        <v>0.78221538000000002</v>
      </c>
      <c r="ML13" s="189">
        <f t="shared" si="90"/>
        <v>0</v>
      </c>
      <c r="MM13" s="189">
        <f t="shared" si="91"/>
        <v>0</v>
      </c>
      <c r="MN13" s="189">
        <f t="shared" si="92"/>
        <v>1.98221538</v>
      </c>
      <c r="MO13" s="189">
        <f t="shared" ref="MO13:MO76" si="166">IF(MM13=0,0,MM13+N13*2)</f>
        <v>0</v>
      </c>
      <c r="MP13" s="189">
        <f t="shared" ref="MP13:MP76" si="167">ROUND($ET13*($EG13*MN13+$EO13*MO13)/$ES13,8)</f>
        <v>1.98221538</v>
      </c>
      <c r="MQ13" s="189">
        <f t="shared" si="93"/>
        <v>1.98221538</v>
      </c>
      <c r="MR13" s="246">
        <f t="shared" ref="MR13:MR76" si="168">IF(FR13=0,MQ13,ROUND(SQRT((PI()*MQ13*MQ13/4-(FR13-FT13))*4/PI()),8))</f>
        <v>1.98221538</v>
      </c>
      <c r="MS13" s="380">
        <f t="shared" si="94"/>
        <v>1.98221538</v>
      </c>
      <c r="MT13" s="380">
        <f t="shared" si="95"/>
        <v>2.1422153800000001</v>
      </c>
      <c r="MU13" s="380">
        <f t="shared" si="96"/>
        <v>2.3822153799999999</v>
      </c>
      <c r="MV13" s="380">
        <f t="shared" si="97"/>
        <v>4.7822153800000002</v>
      </c>
      <c r="MW13" s="380">
        <f t="shared" si="98"/>
        <v>4.9422153800000004</v>
      </c>
      <c r="MX13" s="254">
        <f t="shared" si="99"/>
        <v>1.26221538</v>
      </c>
      <c r="MY13" s="254">
        <f t="shared" si="100"/>
        <v>0</v>
      </c>
      <c r="MZ13" s="189">
        <f t="shared" si="101"/>
        <v>2.46221538</v>
      </c>
      <c r="NA13" s="189">
        <f t="shared" si="102"/>
        <v>0</v>
      </c>
      <c r="NB13" s="189">
        <f t="shared" ref="NB13:NB76" si="169">ROUND($ET13*($EG13*MZ13+$EO13*NA13)/$ES13,8)</f>
        <v>2.46221538</v>
      </c>
      <c r="NC13" s="254">
        <f t="shared" si="103"/>
        <v>2.46221538</v>
      </c>
      <c r="ND13" s="246">
        <f t="shared" si="104"/>
        <v>2.46221538</v>
      </c>
      <c r="NE13" s="386">
        <f t="shared" si="105"/>
        <v>2.46221538</v>
      </c>
      <c r="NF13" s="380">
        <f t="shared" si="106"/>
        <v>2.6222153800000001</v>
      </c>
      <c r="NG13" s="387">
        <f t="shared" si="107"/>
        <v>2.8622153799999999</v>
      </c>
      <c r="NH13" s="254">
        <f t="shared" si="108"/>
        <v>5.2622153799999998</v>
      </c>
      <c r="NI13" s="380">
        <f t="shared" si="109"/>
        <v>5.4222153799999999</v>
      </c>
      <c r="NK13" s="388">
        <f t="shared" si="110"/>
        <v>2.8860425182462512E-2</v>
      </c>
      <c r="NL13" s="388">
        <f t="shared" si="111"/>
        <v>0.52509221519637961</v>
      </c>
      <c r="NM13" s="388">
        <f t="shared" si="112"/>
        <v>2.8860425182462512E-2</v>
      </c>
      <c r="NN13" s="388">
        <f t="shared" si="113"/>
        <v>0.54685024583379716</v>
      </c>
      <c r="NO13" s="388">
        <f t="shared" si="114"/>
        <v>3.408889725120326E-2</v>
      </c>
      <c r="NP13" s="388">
        <f t="shared" si="115"/>
        <v>0.5948297599331549</v>
      </c>
      <c r="NQ13" s="388">
        <f t="shared" si="116"/>
        <v>3.408889725120326E-2</v>
      </c>
      <c r="NR13" s="388">
        <f t="shared" si="117"/>
        <v>0.61967566450305989</v>
      </c>
      <c r="NS13" s="388">
        <f t="shared" si="118"/>
        <v>3.1740996229709807E-2</v>
      </c>
      <c r="NT13" s="388">
        <f t="shared" si="119"/>
        <v>3.1740996229709807E-2</v>
      </c>
      <c r="NU13" s="388">
        <f t="shared" si="120"/>
        <v>3.7639948266783789E-2</v>
      </c>
      <c r="NV13" s="388">
        <f t="shared" si="121"/>
        <v>3.7639948266783789E-2</v>
      </c>
      <c r="NW13">
        <f t="shared" si="122"/>
        <v>3.9529022286881731E-2</v>
      </c>
      <c r="NX13">
        <f>各项系数!$M$9*NK13</f>
        <v>8.658127554738753E-3</v>
      </c>
      <c r="NY13">
        <f t="shared" si="123"/>
        <v>3.1740996229709807E-2</v>
      </c>
      <c r="OB13" s="66" t="str">
        <f t="shared" si="124"/>
        <v>1*0.5</v>
      </c>
      <c r="OC13" s="395">
        <f t="shared" si="125"/>
        <v>78.221538336864299</v>
      </c>
      <c r="OD13" s="395">
        <f>SQRT(4*EY13/PI()/EH13/各项系数!$J$4/各项系数!$F$5*10000000)</f>
        <v>78.221538336864299</v>
      </c>
      <c r="OE13" s="396">
        <f t="shared" si="126"/>
        <v>0.48055443181025442</v>
      </c>
      <c r="OF13" s="396">
        <f t="shared" si="127"/>
        <v>0.48055443181025442</v>
      </c>
      <c r="OG13" s="66"/>
      <c r="OH13" s="397"/>
    </row>
    <row r="14" spans="1:398" s="10" customFormat="1" ht="15" hidden="1" customHeight="1">
      <c r="A14" s="50">
        <v>0.75</v>
      </c>
      <c r="B14" s="51">
        <v>0.05</v>
      </c>
      <c r="C14" s="52">
        <v>0.6</v>
      </c>
      <c r="D14" s="58" t="s">
        <v>145</v>
      </c>
      <c r="E14" s="54">
        <f t="shared" si="1"/>
        <v>4.9481882299999995</v>
      </c>
      <c r="F14" s="59">
        <v>94.818823187726096</v>
      </c>
      <c r="G14" s="60"/>
      <c r="H14" s="60"/>
      <c r="I14" s="60"/>
      <c r="J14" s="60"/>
      <c r="K14" s="60"/>
      <c r="L14" s="100" t="s">
        <v>467</v>
      </c>
      <c r="M14" s="98">
        <f t="shared" si="2"/>
        <v>0.6</v>
      </c>
      <c r="N14" s="98">
        <f t="shared" si="3"/>
        <v>0</v>
      </c>
      <c r="O14" s="58"/>
      <c r="P14" s="101">
        <v>0.1</v>
      </c>
      <c r="Q14" s="136">
        <f t="shared" ref="Q14:Q23" si="170">$Q$12</f>
        <v>0.1</v>
      </c>
      <c r="R14" s="137">
        <v>0.8</v>
      </c>
      <c r="S14" s="138" t="s">
        <v>521</v>
      </c>
      <c r="T14" s="136">
        <v>0.2</v>
      </c>
      <c r="U14" s="58">
        <v>2</v>
      </c>
      <c r="V14" s="137"/>
      <c r="W14" s="98">
        <v>1.4</v>
      </c>
      <c r="X14" s="139">
        <f t="shared" ref="X14:X23" si="171">$X$12</f>
        <v>0.2</v>
      </c>
      <c r="Y14" s="139">
        <v>2</v>
      </c>
      <c r="Z14" s="169">
        <v>0.2</v>
      </c>
      <c r="AA14" s="170">
        <v>1</v>
      </c>
      <c r="AB14" s="153">
        <f>PI()*EJ14*EJ14/4*EH14*(1-H14)*AA14*各项系数!$F$5*各项系数!$J$4*10^-7</f>
        <v>6.2460268226437118E-3</v>
      </c>
      <c r="AC14" s="170">
        <f t="shared" si="4"/>
        <v>94.818823187726096</v>
      </c>
      <c r="AD14" s="153">
        <f t="shared" si="5"/>
        <v>0.70612079776200598</v>
      </c>
      <c r="AE14" s="153">
        <f>POWER(4*EU14/PI()/EG14/10^-7/EH14/(1-H14)/各项系数!$F$5/各项系数!$J$4,0.5)</f>
        <v>94.818823187726096</v>
      </c>
      <c r="AF14" s="16">
        <v>1</v>
      </c>
      <c r="AG14" s="16">
        <f>IF(EM14=0,0,PI()*ER14*ER14/4*EP14*(1-K14)*(1+AF14)*各项系数!$F$5*各项系数!$J$4*10^-7)</f>
        <v>0</v>
      </c>
      <c r="AH14" s="16">
        <f t="shared" si="6"/>
        <v>0</v>
      </c>
      <c r="AI14" s="69">
        <f t="shared" si="128"/>
        <v>0</v>
      </c>
      <c r="AJ14" s="69">
        <f>IF(OR(EP14="",EP14=0),0,POWER(4*EW14/PI()/EO14/10^-7/EP14/(1-K14)/各项系数!$F$5/各项系数!$J$4,0.5))</f>
        <v>0</v>
      </c>
      <c r="AK14" s="16" t="str">
        <f t="shared" si="8"/>
        <v>√</v>
      </c>
      <c r="AL14" s="16">
        <f t="shared" si="9"/>
        <v>0.73726399534020337</v>
      </c>
      <c r="AM14" s="62">
        <f t="shared" si="10"/>
        <v>0.75</v>
      </c>
      <c r="AN14" s="100" t="s">
        <v>486</v>
      </c>
      <c r="AO14" s="136">
        <f>AP14+各项系数!$M$9*$NK14</f>
        <v>0.7228078385688268</v>
      </c>
      <c r="AP14" s="136">
        <f>AQ14*(1+$BI14+(VLOOKUP($AM14,$A$12:$B$323,2,0))+各项系数!$J$6+各项系数!$M$5)*(1+$E$2)</f>
        <v>0.71312809414626677</v>
      </c>
      <c r="AQ14" s="198">
        <f>AR14+各项系数!$L$9*$NK14</f>
        <v>0.69303021782921936</v>
      </c>
      <c r="AR14" s="198">
        <f>AS14*(1+$BJ14+各项系数!$J$5+各项系数!$L$5)</f>
        <v>0.68335047340665933</v>
      </c>
      <c r="AS14" s="198">
        <f t="shared" si="129"/>
        <v>0.66995144451633271</v>
      </c>
      <c r="AT14" s="136">
        <f>AU14+各项系数!$M$9*$NM14</f>
        <v>0.88496878384858702</v>
      </c>
      <c r="AU14" s="136">
        <f>AV14*(1+$BI14+(VLOOKUP($AM14,$A$12:$B$323,2,0))+各项系数!$J$6+各项系数!$M$5)*(1+$E$2)</f>
        <v>0.87528903942602698</v>
      </c>
      <c r="AV14" s="198">
        <f>AW14+各项系数!$L$9*$NM14</f>
        <v>0.85062102956853936</v>
      </c>
      <c r="AW14" s="198">
        <f>AX14*(1+$BJ14+各项系数!$J$5+各项系数!$L$5)</f>
        <v>0.84094128514597932</v>
      </c>
      <c r="AX14" s="198">
        <f t="shared" si="130"/>
        <v>0.8244522403391954</v>
      </c>
      <c r="AY14" s="136">
        <f>AZ14+各项系数!$M$9*$NS14</f>
        <v>0.95600923767740997</v>
      </c>
      <c r="AZ14" s="136">
        <f>BA14*(1+$BI14+(VLOOKUP($AM14,$A$12:$B$214,2,0))+各项系数!$J$6+各项系数!$M$5)*(1+$E$2)</f>
        <v>0.94539577102116812</v>
      </c>
      <c r="BA14" s="198">
        <f>BB14+各项系数!$L$9*$NS14</f>
        <v>0.91875196406333148</v>
      </c>
      <c r="BB14" s="198">
        <f>BC14*(1+$BJ14+各项系数!$J$5+各项系数!$L$5)</f>
        <v>0.90813849740708963</v>
      </c>
      <c r="BC14" s="198">
        <f t="shared" si="131"/>
        <v>0.89033186020302901</v>
      </c>
      <c r="BD14" s="136">
        <f>BE14+各项系数!$M$9*$NS14</f>
        <v>1.1254825772166939</v>
      </c>
      <c r="BE14" s="136">
        <f>BF14*(1+$BI14+(VLOOKUP($AM14,$A$12:$B$214,2,0))+各项系数!$J$6+各项系数!$M$5)*(1+$E$2)</f>
        <v>1.114869110560452</v>
      </c>
      <c r="BF14" s="198">
        <f>BG14+各项系数!$L$9*$NS14</f>
        <v>1.0834490870363964</v>
      </c>
      <c r="BG14" s="198">
        <f>BH14*(1+$BJ14+各项系数!$J$5+各项系数!$L$5)</f>
        <v>1.0728356203801546</v>
      </c>
      <c r="BH14" s="198">
        <f t="shared" si="132"/>
        <v>1.051799627823681</v>
      </c>
      <c r="BI14" s="151"/>
      <c r="BJ14" s="209"/>
      <c r="BK14" s="62"/>
      <c r="BL14" s="136">
        <f>BM14+各项系数!$M$9*$NM14</f>
        <v>0.75389396204336245</v>
      </c>
      <c r="BM14" s="136">
        <f>BN14*(1+$CF14+(VLOOKUP($AM14,$A$12:$B$323,2,0))+各项系数!$J$6+各项系数!$M$5)*(1+$E$2)</f>
        <v>0.74421421762080242</v>
      </c>
      <c r="BN14" s="198">
        <f>BO14+各项系数!$L$9*$NM14</f>
        <v>0.72324025036035222</v>
      </c>
      <c r="BO14" s="198">
        <f>BP14*(1+$CG14+各项系数!$J$5+各项系数!$L$5)</f>
        <v>0.71356050593779219</v>
      </c>
      <c r="BP14" s="198">
        <f t="shared" si="133"/>
        <v>0.69277719023086615</v>
      </c>
      <c r="BQ14" s="136">
        <f>BR14+各项系数!$M$9*$NM14</f>
        <v>0.89345239740167737</v>
      </c>
      <c r="BR14" s="136">
        <f>BS14*(1+$CF14+(VLOOKUP($AM14,$A$12:$B$323,2,0))+各项系数!$J$6+各项系数!$M$5)*(1+$E$2)</f>
        <v>0.88377265297911733</v>
      </c>
      <c r="BS14" s="198">
        <f>BT14+各项系数!$L$9*$NM14</f>
        <v>0.85886555197193126</v>
      </c>
      <c r="BT14" s="198">
        <f>BU14*(1+$CG14+各项系数!$J$5+各项系数!$L$5)</f>
        <v>0.84918580754937123</v>
      </c>
      <c r="BU14" s="198">
        <f t="shared" si="134"/>
        <v>0.8244522403391954</v>
      </c>
      <c r="BV14" s="136">
        <f>BW14+各项系数!$M$9*$NT14</f>
        <v>0.98803577526816522</v>
      </c>
      <c r="BW14" s="136">
        <f>BX14*(1+$CF14+(VLOOKUP($AM14,$A$12:$B$214,2,0))+各项系数!$J$6+各项系数!$M$5)*(1+$E$2)</f>
        <v>0.97742230861192336</v>
      </c>
      <c r="BX14" s="198">
        <f>BY14+各项系数!$L$9*$NT$12</f>
        <v>0.94987590730021709</v>
      </c>
      <c r="BY14" s="198">
        <f>BZ14*(1+$CG14+各项系数!$J$5+各项系数!$L$5)</f>
        <v>0.94161250414524356</v>
      </c>
      <c r="BZ14" s="198">
        <f t="shared" si="11"/>
        <v>0.91418689722839175</v>
      </c>
      <c r="CA14" s="136">
        <f>CB14+各项系数!$M$9*$NT14</f>
        <v>1.1338873800441944</v>
      </c>
      <c r="CB14" s="136">
        <f>CC14*(1+$CF14+(VLOOKUP($AM14,$A$12:$B$214,2,0))+各项系数!$J$6+各项系数!$M$5)*(1+$E$2)</f>
        <v>1.1232739133879526</v>
      </c>
      <c r="CC14" s="198">
        <f>CD14+各项系数!$L$9*$NT$12</f>
        <v>1.091617019813365</v>
      </c>
      <c r="CD14" s="198">
        <f>CE14*(1+$CG14+各项系数!$J$5+各项系数!$L$5)</f>
        <v>1.0833536166583915</v>
      </c>
      <c r="CE14" s="198">
        <f t="shared" si="135"/>
        <v>1.051799627823681</v>
      </c>
      <c r="CF14" s="223">
        <f t="shared" si="136"/>
        <v>0</v>
      </c>
      <c r="CG14" s="223">
        <f t="shared" si="12"/>
        <v>0.01</v>
      </c>
      <c r="CH14" s="62"/>
      <c r="CI14" s="136">
        <f>CJ14+各项系数!$M$9*$NO14</f>
        <v>0.81387978665758987</v>
      </c>
      <c r="CJ14" s="136">
        <f>CK14*(1+$DC14+(VLOOKUP($AM14,$A$12:$B$323,2,0))+各项系数!$J$6+各项系数!$M$5)*(1+$E$2)+各项系数!$M$9*$NK14</f>
        <v>0.80257546891939857</v>
      </c>
      <c r="CK14" s="198">
        <f>CL14+各项系数!$L$9*$NO14</f>
        <v>0.77054978085212678</v>
      </c>
      <c r="CL14" s="198">
        <f>CM14*(1+$DD14+各项系数!$J$5+各项系数!$L$5)</f>
        <v>0.75924546311393548</v>
      </c>
      <c r="CM14" s="198">
        <f t="shared" si="13"/>
        <v>0.74435829717052493</v>
      </c>
      <c r="CN14" s="136">
        <f>CO14+各项系数!$M$9*$NO14</f>
        <v>0.9436310247167472</v>
      </c>
      <c r="CO14" s="136">
        <f>CP14*(1+$DC14+(VLOOKUP($AM14,$A$12:$B$323,2,0))+各项系数!$J$6+各项系数!$M$5)*(1+$E$2)+各项系数!$M$9*$NK14</f>
        <v>0.93232670697855591</v>
      </c>
      <c r="CP14" s="198">
        <f>CQ14+各项系数!$L$9*$NO14</f>
        <v>0.89664427848007378</v>
      </c>
      <c r="CQ14" s="198">
        <f>CR14*(1+$DD14+各项系数!$J$5+各项系数!$L$5)</f>
        <v>0.88533996074188248</v>
      </c>
      <c r="CR14" s="198">
        <f t="shared" si="14"/>
        <v>0.86798035366851223</v>
      </c>
      <c r="CS14" s="136">
        <f>CT14+各项系数!$M$9*$NU14</f>
        <v>1.0853108221488528</v>
      </c>
      <c r="CT14" s="136">
        <f t="shared" si="15"/>
        <v>1.0728716381864798</v>
      </c>
      <c r="CU14" s="198">
        <f>CV14+各项系数!$L$9*$NU14</f>
        <v>1.0426352168964816</v>
      </c>
      <c r="CV14" s="198">
        <f>CW14*(1+$DD14+各项系数!$J$5+各项系数!$L$5)</f>
        <v>1.0301960329341087</v>
      </c>
      <c r="CW14" s="198">
        <f t="shared" si="16"/>
        <v>1.0099961107197144</v>
      </c>
      <c r="CX14" s="136">
        <f>CY14+各项系数!$M$9*$NU14</f>
        <v>1.2767213444667078</v>
      </c>
      <c r="CY14" s="136">
        <f t="shared" si="17"/>
        <v>1.2642821605043348</v>
      </c>
      <c r="CZ14" s="198">
        <f>DA14+各项系数!$L$9*$NU14</f>
        <v>1.2286512735707822</v>
      </c>
      <c r="DA14" s="198">
        <f>DB14*(1+$DD14+各项系数!$J$5+各项系数!$L$5)</f>
        <v>1.2162120896084092</v>
      </c>
      <c r="DB14" s="198">
        <f t="shared" si="18"/>
        <v>1.1923647937337345</v>
      </c>
      <c r="DC14" s="223">
        <f t="shared" si="137"/>
        <v>0</v>
      </c>
      <c r="DD14" s="223">
        <f t="shared" si="19"/>
        <v>0</v>
      </c>
      <c r="DE14" s="58"/>
      <c r="DF14" s="58"/>
      <c r="DG14" s="136">
        <f>DH14+各项系数!$M$9*$NQ14</f>
        <v>0.84900430159076279</v>
      </c>
      <c r="DH14" s="136">
        <f>DI14*(1+$EA14+(VLOOKUP($AM14,$A$12:$B$323,2,0))+各项系数!$J$6+各项系数!$M$5)*(1+$E$2)+各项系数!$M$9*$NK14</f>
        <v>0.83769998385257149</v>
      </c>
      <c r="DI14" s="198">
        <f>DJ14+各项系数!$L$9*$NQ14</f>
        <v>0.80468439206026376</v>
      </c>
      <c r="DJ14" s="198">
        <f>DK14*(1+$EB14+各项系数!$J$5+各项系数!$L$5)</f>
        <v>0.79338007432207247</v>
      </c>
      <c r="DK14" s="198">
        <f t="shared" si="20"/>
        <v>0.77027191681754603</v>
      </c>
      <c r="DL14" s="136">
        <f>DM14+各项系数!$M$9*$NQ14</f>
        <v>1.0074422452022209</v>
      </c>
      <c r="DM14" s="136">
        <f>DN14*(1+$EA14+(VLOOKUP($AM14,$A$12:$B$323,2,0))+各项系数!$J$6+各项系数!$M$5)*(1+$E$2)+各项系数!$M$9*$NK14</f>
        <v>0.99613792746402974</v>
      </c>
      <c r="DN14" s="198">
        <f>DO14+各项系数!$L$9*$NQ14</f>
        <v>0.95865712637654965</v>
      </c>
      <c r="DO14" s="198">
        <f>DP14*(1+$EB14+各项系数!$J$5+各项系数!$L$5)</f>
        <v>0.94735280863835836</v>
      </c>
      <c r="DP14" s="198">
        <f t="shared" si="21"/>
        <v>0.91976000838675565</v>
      </c>
      <c r="DQ14" s="136">
        <f>DR14+各项系数!$M$9*$NV14</f>
        <v>1.1242596651650554</v>
      </c>
      <c r="DR14" s="136">
        <f t="shared" si="22"/>
        <v>1.1118204812026824</v>
      </c>
      <c r="DS14" s="198">
        <f>DT14+各项系数!$L$9*$NV14</f>
        <v>1.0804863762902646</v>
      </c>
      <c r="DT14" s="198">
        <f>DU14*(1+$EB14+各项系数!$J$5+各项系数!$L$5)</f>
        <v>1.0680471923278916</v>
      </c>
      <c r="DU14" s="198">
        <f t="shared" si="23"/>
        <v>1.0369390216775647</v>
      </c>
      <c r="DV14" s="136">
        <f>DW14+各项系数!$M$9*$NV14</f>
        <v>1.243755432010631</v>
      </c>
      <c r="DW14" s="136">
        <f t="shared" si="24"/>
        <v>1.231316248048258</v>
      </c>
      <c r="DX14" s="198">
        <f>DY14+各项系数!$L$9*$NV14</f>
        <v>1.1966144295901437</v>
      </c>
      <c r="DY14" s="198">
        <f>DZ14*(1+$EB14+各项系数!$J$5+各项系数!$L$5)</f>
        <v>1.1841752456277708</v>
      </c>
      <c r="DZ14" s="198">
        <f t="shared" si="25"/>
        <v>1.1496847044929812</v>
      </c>
      <c r="EA14" s="223">
        <f t="shared" si="26"/>
        <v>0</v>
      </c>
      <c r="EB14" s="223">
        <f t="shared" si="27"/>
        <v>0.01</v>
      </c>
      <c r="EC14" s="236">
        <f t="shared" si="138"/>
        <v>1</v>
      </c>
      <c r="ED14" s="236" t="str">
        <f t="shared" si="139"/>
        <v>1*0.75</v>
      </c>
      <c r="EE14" s="58">
        <f t="shared" si="28"/>
        <v>0.75</v>
      </c>
      <c r="EF14" s="58">
        <f>LOOKUP(EH14,{1,7,10,14,19,24,30,37,48,61},{1,"1+6","2+8","4+10","1+6+12","2+8+14","4+10+16","1+6+12+18","3+9+15+21","1+6+12+18+24"})</f>
        <v>1</v>
      </c>
      <c r="EG14" s="62">
        <f t="shared" si="29"/>
        <v>1</v>
      </c>
      <c r="EH14" s="198">
        <f>IF(AM14&lt;10,1,IF(AND(AM14&gt;=10,AM14&lt;=35),7,LOOKUP(AM14,{50,70,95,120,150,185,240,300,400,500,630},{10,14,19,24,30,37,48,61,61,61,61})*1))</f>
        <v>1</v>
      </c>
      <c r="EI14" s="62">
        <f>IF(EH14=0,0,VLOOKUP(EH14,各项系数!$D$142:$E$195,2,0))*1</f>
        <v>1</v>
      </c>
      <c r="EJ14" s="239">
        <f t="shared" si="141"/>
        <v>94.818823187726096</v>
      </c>
      <c r="EK14" s="58">
        <f t="shared" si="30"/>
        <v>0</v>
      </c>
      <c r="EL14" s="58">
        <f t="shared" si="31"/>
        <v>0</v>
      </c>
      <c r="EM14" s="58">
        <f t="shared" si="32"/>
        <v>0</v>
      </c>
      <c r="EN14" s="58">
        <f>IF(EP14=0,0,LOOKUP(EP14,{1,7,10,14,19,24,30,37,48,61},{1,"1+6","2+8","4+10","1+6+12","2+8+14","4+10+16","1+6+12+18","3+9+15+21","1+6+12+18+24"}))</f>
        <v>0</v>
      </c>
      <c r="EO14" s="58">
        <f t="shared" si="33"/>
        <v>0</v>
      </c>
      <c r="EP14" s="58">
        <f>IF(EM14=0,0,IF(EM14&lt;10,1,IF(AND(EM14&gt;=10,EM14&lt;=35),7,LOOKUP(EM14,{50,70,95,120,150,185,240,300},{10,14,19,24,30,37,48,61})*1)))</f>
        <v>0</v>
      </c>
      <c r="EQ14" s="58">
        <f>IF(EP14=0,0,VLOOKUP(EP14,各项系数!$D$142:$E$195,2,0))*1</f>
        <v>0</v>
      </c>
      <c r="ER14" s="58">
        <f t="shared" si="34"/>
        <v>0</v>
      </c>
      <c r="ES14" s="236">
        <f t="shared" si="35"/>
        <v>1</v>
      </c>
      <c r="ET14" s="58">
        <f>VLOOKUP(ES14,各项系数!$D$142:$E$195,2,0)*1</f>
        <v>1</v>
      </c>
      <c r="EU14" s="243">
        <f>((各项系数!$F$76/4*$EJ14^2*$EG14*$EH14*1*10^-7)*(1-$H14)*AA14)*(VLOOKUP($EY$9,各项系数!$D$4:$F$143,3,0))*各项系数!$J$4</f>
        <v>6.2460268226437118E-3</v>
      </c>
      <c r="EV14" s="245">
        <f>EU14*(VLOOKUP($EY$9,各项系数!$D$4:$F$143,2,0))</f>
        <v>0.40911475688316312</v>
      </c>
      <c r="EW14" s="252">
        <f>(IF($EO14=0,0,(各项系数!$F$76/4*$ER14^2*$EO14*$EP14*1*10^-7))*(1-$K14)*$AF14)*(VLOOKUP($EY$9,各项系数!$D$4:$F$143,3,0))*各项系数!$J$4</f>
        <v>0</v>
      </c>
      <c r="EX14" s="245">
        <f>EW14*(VLOOKUP($EY$9,各项系数!$D$4:$F$143,2,0))</f>
        <v>0</v>
      </c>
      <c r="EY14" s="189">
        <f>((各项系数!$F$76/4*$EJ14^2*$EG14*$EH14*1*10^-7)*(1-$H14)*AA14+IF($EO14=0,0,(各项系数!$F$76/4*$ER14^2*$EO14*$EP14*1*10^-7))*(1-$K14)*$AF14)*(VLOOKUP($EY$9,各项系数!$D$4:$F$143,3,0))*各项系数!$J$4</f>
        <v>6.2460268226437118E-3</v>
      </c>
      <c r="EZ14" s="62">
        <v>1</v>
      </c>
      <c r="FA14" s="58">
        <f t="shared" si="36"/>
        <v>6.2460268226437118E-3</v>
      </c>
      <c r="FB14" s="245">
        <f>FA14*(VLOOKUP($EY$9,各项系数!$D$4:$F$143,2,0))</f>
        <v>0.40911475688316312</v>
      </c>
      <c r="FC14" s="256"/>
      <c r="FD14" s="236">
        <f>各项系数!$F$76/4*($MN14^2-MK14^2)*10^-2*(VLOOKUP(L14,各项系数!$D$1:$F$143,3,0))*10^-3*10^2*$EG14*各项系数!$J$4</f>
        <v>3.1940422046896916E-3</v>
      </c>
      <c r="FE14" s="263">
        <f>FD14*VLOOKUP(L14,各项系数!$D$1:$F$143,2,0)</f>
        <v>3.257923048783485E-2</v>
      </c>
      <c r="FF14" s="62">
        <f>各项系数!$F$76/4*($MO14^2-ML14^2)*10^-2*(VLOOKUP(L14,各项系数!$D$1:$F$143,3,0))*10^-3*10^2*$EO14*各项系数!$J$4</f>
        <v>0</v>
      </c>
      <c r="FG14" s="263">
        <f>FF14*VLOOKUP(L14,各项系数!$D$1:$F$143,2,0)</f>
        <v>0</v>
      </c>
      <c r="FH14" s="236">
        <f t="shared" si="142"/>
        <v>3.1940422046896916E-3</v>
      </c>
      <c r="FI14" s="62">
        <v>1</v>
      </c>
      <c r="FJ14" s="58">
        <f t="shared" si="37"/>
        <v>3.1940422046896916E-3</v>
      </c>
      <c r="FK14" s="263">
        <f>FJ14*VLOOKUP(L14,各项系数!$D$1:$F$143,2,0)</f>
        <v>3.257923048783485E-2</v>
      </c>
      <c r="FL14" s="236"/>
      <c r="FM14" s="62"/>
      <c r="FN14" s="58"/>
      <c r="FO14" s="263"/>
      <c r="FP14" s="286">
        <f t="shared" si="38"/>
        <v>3.1940422046896916E-3</v>
      </c>
      <c r="FQ14" s="286">
        <f t="shared" si="39"/>
        <v>3.257923048783485E-2</v>
      </c>
      <c r="FR14" s="287">
        <f>各项系数!$F$76/4*($MQ14^2-$MN14^2*$EG14-$MO14^2*$EO14)*10^-2</f>
        <v>1.3951473992034528E-17</v>
      </c>
      <c r="FS14" s="288">
        <f t="shared" si="143"/>
        <v>1</v>
      </c>
      <c r="FT14" s="285">
        <f t="shared" si="40"/>
        <v>1.3951473992034528E-17</v>
      </c>
      <c r="FU14" s="305">
        <f>$FT14*(VLOOKUP($FT$9,各项系数!$D$1:$F$143,3,0))*10^-3*10^2*各项系数!$J$55</f>
        <v>1.6658059946489225E-18</v>
      </c>
      <c r="FV14" s="306">
        <v>1</v>
      </c>
      <c r="FW14" s="307">
        <f t="shared" si="41"/>
        <v>1.6658059946489225E-18</v>
      </c>
      <c r="FX14" s="308">
        <f>FW14*(VLOOKUP($FT$9,各项系数!$D$1:$F$143,2,0))</f>
        <v>4.9974179839467674E-18</v>
      </c>
      <c r="FY14" s="305">
        <f>IF($BK14&lt;&gt;$FY$9,0,各项系数!$F$76/4*($MS14^2-$MQ14^2)*10^-2*(VLOOKUP($FY$9,各项系数!$D$1:$F$143,3,0))*10^-3*10^2)*各项系数!$J$4</f>
        <v>0</v>
      </c>
      <c r="FZ14" s="306">
        <v>1</v>
      </c>
      <c r="GA14" s="307">
        <f t="shared" si="42"/>
        <v>0</v>
      </c>
      <c r="GB14" s="308">
        <f>GA14*(VLOOKUP($FY$9,各项系数!$D$1:$F$143,2,0))</f>
        <v>0</v>
      </c>
      <c r="GC14" s="305">
        <f>IF($BK14&lt;&gt;$GC$9,0,各项系数!$F$76/4*($MS14^2-$MQ14^2)*10^-2*(VLOOKUP($GC$9,各项系数!$D$1:$F$143,3,0))*10^-3*10^2)*各项系数!$J$4</f>
        <v>0</v>
      </c>
      <c r="GD14" s="306">
        <v>1</v>
      </c>
      <c r="GE14" s="307">
        <f t="shared" si="43"/>
        <v>0</v>
      </c>
      <c r="GF14" s="308">
        <f>GE14*(VLOOKUP($GC$9,各项系数!$D$1:$F$143,2,0))</f>
        <v>0</v>
      </c>
      <c r="GG14" s="305">
        <f>IF($BK14&lt;&gt;$GG$9,0,各项系数!$F$76/4*($MS14^2-$MQ14^2)*10^-2*(VLOOKUP($GG$9,各项系数!$D$1:$F$143,3,0))*10^-3*10^2)*各项系数!$J$4</f>
        <v>0</v>
      </c>
      <c r="GH14" s="306">
        <v>1</v>
      </c>
      <c r="GI14" s="307">
        <f t="shared" si="44"/>
        <v>0</v>
      </c>
      <c r="GJ14" s="308">
        <f>GI14*(VLOOKUP($GG$9,各项系数!$D$1:$F$143,2,0))</f>
        <v>0</v>
      </c>
      <c r="GK14" s="305">
        <f>IF($BK14&lt;&gt;$GK$9,0,各项系数!$F$76/4*($MS14^2-$MQ14^2)*10^-2*(VLOOKUP($GK$9,各项系数!$D$1:$F$143,3,0))*10^-3*10^2)*各项系数!$J$4</f>
        <v>0</v>
      </c>
      <c r="GL14" s="306">
        <v>1</v>
      </c>
      <c r="GM14" s="307">
        <f t="shared" si="45"/>
        <v>0</v>
      </c>
      <c r="GN14" s="308">
        <f>GM14*(VLOOKUP($GK$9,各项系数!$D$1:$F$143,2,0))</f>
        <v>0</v>
      </c>
      <c r="GO14" s="307">
        <f t="shared" si="46"/>
        <v>0</v>
      </c>
      <c r="GP14" s="307">
        <f t="shared" si="47"/>
        <v>0</v>
      </c>
      <c r="GQ14" s="316">
        <f>各项系数!$F$76/4*($MU14^2-$MS14^2)*10^-2*(VLOOKUP($S14,各项系数!$D$1:$F$143,3,0))*10^-3*10^2*各项系数!$J$4</f>
        <v>1.1480019058068086E-2</v>
      </c>
      <c r="GR14" s="306">
        <v>1</v>
      </c>
      <c r="GS14" s="307">
        <f t="shared" si="48"/>
        <v>1.1480019058068086E-2</v>
      </c>
      <c r="GT14" s="307">
        <f t="shared" si="49"/>
        <v>1</v>
      </c>
      <c r="GU14" s="307">
        <f>ROUND($GS14*(VLOOKUP($S14,各项系数!$D$1:$F$143,2,0))+$E$3*GS14,GT14)</f>
        <v>0.1</v>
      </c>
      <c r="GV14" s="315">
        <f>各项系数!$F$76/4*($MT14^2-$MS14^2)*10^-2*(VLOOKUP($GV$9,各项系数!$D$1:$F$143,3,0))*10^-3*10^2*各项系数!$J$4*PI()/4*R14</f>
        <v>3.1124074456059941E-3</v>
      </c>
      <c r="GW14" s="306">
        <v>1</v>
      </c>
      <c r="GX14" s="307">
        <f t="shared" si="50"/>
        <v>3.1124074456059941E-3</v>
      </c>
      <c r="GY14" s="307">
        <f>$GX14*(VLOOKUP($GV$9,各项系数!$D$1:$F$143,2,0))</f>
        <v>0.21008750257840461</v>
      </c>
      <c r="GZ14" s="316">
        <f>各项系数!$F$76/4*($MV14^2-$MS14^2)*10^-2*(VLOOKUP($GZ$9,各项系数!$D$1:$F$143,3,0))*10^-3*10^2*各项系数!$J$4</f>
        <v>2.2515191351070434E-2</v>
      </c>
      <c r="HA14" s="306">
        <v>1</v>
      </c>
      <c r="HB14" s="307">
        <f t="shared" si="144"/>
        <v>2.2515191351070434E-2</v>
      </c>
      <c r="HC14" s="307">
        <f>HB14*(VLOOKUP($GZ$9,各项系数!$D$1:$F$143,2,0))</f>
        <v>0.38275825296819738</v>
      </c>
      <c r="HD14" s="316">
        <f>各项系数!$F$76/4*($MW14^2-$MT14^2)*10^-2*(VLOOKUP($HD$9,各项系数!$D$1:$F$143,3,0))*10^-3*10^2*各项系数!$J$4</f>
        <v>2.353047869848697E-2</v>
      </c>
      <c r="HE14" s="306">
        <v>1</v>
      </c>
      <c r="HF14" s="307">
        <f t="shared" si="145"/>
        <v>2.353047869848697E-2</v>
      </c>
      <c r="HG14" s="307">
        <f>HF14*(VLOOKUP($HD$9,各项系数!$D$1:$F$143,2,0))</f>
        <v>0.40001813787427848</v>
      </c>
      <c r="HH14" s="316">
        <f>各项系数!$F$76/4*($MV14^2-$MS14^2)*10^-2*(VLOOKUP($HH$9,各项系数!$D$1:$F$143,3,0))*10^-3*10^2*各项系数!$J$4</f>
        <v>2.2515191351070434E-2</v>
      </c>
      <c r="HI14" s="307">
        <v>1</v>
      </c>
      <c r="HJ14" s="307">
        <f t="shared" si="146"/>
        <v>2.2515191351070434E-2</v>
      </c>
      <c r="HK14" s="307">
        <f>HJ14*(VLOOKUP($HH$9,各项系数!$D$1:$F$143,2,0))</f>
        <v>0.38275825296819738</v>
      </c>
      <c r="HL14" s="316">
        <f>各项系数!$F$76/4*($MW14^2-$MT14^2)*10^-2*(VLOOKUP($HL$9,各项系数!$D$1:$F$143,3,0))*10^-3*10^2*各项系数!$J$4</f>
        <v>2.353047869848697E-2</v>
      </c>
      <c r="HM14" s="307">
        <v>1</v>
      </c>
      <c r="HN14" s="307">
        <f t="shared" si="147"/>
        <v>2.353047869848697E-2</v>
      </c>
      <c r="HO14" s="307">
        <f>HN14*(VLOOKUP($HL$9,各项系数!$D$1:$F$143,2,0))</f>
        <v>0.40001813787427848</v>
      </c>
      <c r="HP14" s="316">
        <f>各项系数!$F$76/4*($MV14^2-$MS14^2)*10^-2*(VLOOKUP(AN14,各项系数!$D$1:$F$143,3,0))*10^-3*10^2*各项系数!$J$4</f>
        <v>2.2825745714533472E-2</v>
      </c>
      <c r="HQ14" s="306">
        <v>1</v>
      </c>
      <c r="HR14" s="307">
        <f t="shared" si="55"/>
        <v>2.2825745714533472E-2</v>
      </c>
      <c r="HS14" s="307">
        <f>HR14*(VLOOKUP(AN14,各项系数!$D$1:$F$143,2,0))</f>
        <v>0.22825745714533471</v>
      </c>
      <c r="HT14" s="316">
        <f>各项系数!$F$76/4*($MW14^2-$MT14^2)*10^-2*(VLOOKUP(AN14,各项系数!$D$1:$F$143,3,0))*10^-3*10^2*各项系数!$J$4</f>
        <v>2.3855037025362652E-2</v>
      </c>
      <c r="HU14" s="306">
        <v>1</v>
      </c>
      <c r="HV14" s="307">
        <f t="shared" si="56"/>
        <v>2.3855037025362652E-2</v>
      </c>
      <c r="HW14" s="307">
        <f>HV14*(VLOOKUP(AN14,各项系数!$D$1:$F$143,2,0))</f>
        <v>0.23855037025362652</v>
      </c>
      <c r="HX14" s="316">
        <f>各项系数!$F$76/4*($MV14^2-$MS14^2)*10^-2*(VLOOKUP($HX$9,各项系数!$D$1:$F$143,3,0))*10^-3*10^2*各项系数!$J$4</f>
        <v>2.2825745714533472E-2</v>
      </c>
      <c r="HY14" s="307">
        <v>1</v>
      </c>
      <c r="HZ14" s="307">
        <f t="shared" si="57"/>
        <v>2.2825745714533472E-2</v>
      </c>
      <c r="IA14" s="307">
        <f>HZ14*(VLOOKUP($HX$9,各项系数!$D$1:$F$143,2,0))</f>
        <v>0.25108320285986818</v>
      </c>
      <c r="IB14" s="316">
        <f>各项系数!$F$76/4*($MW14^2-$MT14^2)*10^-2*(VLOOKUP($IB$9,各项系数!$D$1:$F$143,3,0))*10^-3*10^2*各项系数!$J$4</f>
        <v>2.3855037025362652E-2</v>
      </c>
      <c r="IC14" s="307">
        <v>1</v>
      </c>
      <c r="ID14" s="307">
        <f t="shared" si="58"/>
        <v>2.3855037025362652E-2</v>
      </c>
      <c r="IE14" s="307">
        <f>ID14*(VLOOKUP($IB$9,各项系数!$D$1:$F$143,2,0))</f>
        <v>0.2624054072789892</v>
      </c>
      <c r="IF14" s="305"/>
      <c r="IG14" s="316">
        <f t="shared" si="148"/>
        <v>1.3370901830559397E-3</v>
      </c>
      <c r="IH14" s="306">
        <v>1</v>
      </c>
      <c r="II14" s="307">
        <f t="shared" si="59"/>
        <v>1.3370901830559397E-3</v>
      </c>
      <c r="IJ14" s="307">
        <f>II14*(VLOOKUP($IG$8,各项系数!$D$1:$F$143,2,0))</f>
        <v>3.3427254576398495E-2</v>
      </c>
      <c r="IK14" s="316">
        <f>(各项系数!$F$76/4*($MX14^2-$MK14^2)*$EG14)*10^-2*(VLOOKUP($IG$8,各项系数!$D$1:$F$143,3,0))*10^-3*10^2*各项系数!$J$4</f>
        <v>1.3370901830559397E-3</v>
      </c>
      <c r="IL14" s="306">
        <f>IK14*(VLOOKUP($IG$8,各项系数!$D$1:$F$143,2,0))</f>
        <v>3.3427254576398495E-2</v>
      </c>
      <c r="IM14" s="307">
        <f>(各项系数!$F$76/4*(($MM14+3*$X14)^2-MM14^2)*$EO14)*10^-2*(VLOOKUP($IG$8,各项系数!$D$1:$F$143,3,0))*10^-3*10^2*各项系数!$J$4</f>
        <v>0</v>
      </c>
      <c r="IN14" s="306">
        <f>IM14*(VLOOKUP($IG$8,各项系数!$D$1:$F$143,2,0))</f>
        <v>0</v>
      </c>
      <c r="IO14" s="316">
        <f>各项系数!$F$76/4*($MZ14^2-$MX14^2)*10^-2*(VLOOKUP(L14,各项系数!$D$1:$F$143,3,0))*10^-3*10^2*$ES14*各项系数!$J$4</f>
        <v>4.1843224745836544E-3</v>
      </c>
      <c r="IP14" s="306">
        <v>1</v>
      </c>
      <c r="IQ14" s="307">
        <f t="shared" si="60"/>
        <v>4.1843224745836544E-3</v>
      </c>
      <c r="IR14" s="308">
        <f>IQ14*(VLOOKUP(L14,各项系数!$D$1:$F$143,2,0))</f>
        <v>4.2680089240753269E-2</v>
      </c>
      <c r="IS14" s="316">
        <f>IF($L14&lt;&gt;$IS$9,0,各项系数!$F$76/4*($MZ14^2-$MX14^2)*10^-2*各项系数!$F$12*10^-3*10^2)*$ES14*各项系数!$J$4</f>
        <v>0</v>
      </c>
      <c r="IT14" s="306">
        <v>1</v>
      </c>
      <c r="IU14" s="307">
        <f t="shared" si="61"/>
        <v>0</v>
      </c>
      <c r="IV14" s="308">
        <f>IU14*各项系数!$E$12</f>
        <v>0</v>
      </c>
      <c r="IW14" s="305">
        <f t="shared" si="62"/>
        <v>4.1843224745836544E-3</v>
      </c>
      <c r="IX14" s="305">
        <f t="shared" si="63"/>
        <v>4.2680089240753269E-2</v>
      </c>
      <c r="IY14" s="340">
        <f>各项系数!$F$76/4*($NB14^2-$MZ14^2*$EG14-$NA14^2*$EO14)*10^-2</f>
        <v>0</v>
      </c>
      <c r="IZ14" s="288">
        <f t="shared" si="149"/>
        <v>1</v>
      </c>
      <c r="JA14" s="285">
        <f t="shared" si="64"/>
        <v>0</v>
      </c>
      <c r="JB14" s="286">
        <f>IF($DE14&lt;&gt;$JB$9,0,$JA14*各项系数!$F$32*10^-3*10^2)*各项系数!$J$4</f>
        <v>0</v>
      </c>
      <c r="JC14" s="62">
        <v>1</v>
      </c>
      <c r="JD14" s="58">
        <f t="shared" si="65"/>
        <v>0</v>
      </c>
      <c r="JE14" s="263">
        <f>JD14*各项系数!$E$32</f>
        <v>0</v>
      </c>
      <c r="JF14" s="282">
        <f>IF($DE14&lt;&gt;$JF$9,0,$JA14*VLOOKUP($JF$9,各项系数!$D$4:$F$540,2,0)*10^-3*10^2)*各项系数!$J$4</f>
        <v>0</v>
      </c>
      <c r="JG14" s="102">
        <v>1</v>
      </c>
      <c r="JH14" s="189">
        <f t="shared" si="66"/>
        <v>0</v>
      </c>
      <c r="JI14" s="262">
        <f>JH14*VLOOKUP($JF$9,各项系数!$D$4:$F$540,3,0)</f>
        <v>0</v>
      </c>
      <c r="JJ14" s="286">
        <f t="shared" si="67"/>
        <v>0</v>
      </c>
      <c r="JK14" s="58">
        <f t="shared" si="68"/>
        <v>0</v>
      </c>
      <c r="JL14" s="286">
        <f>IF($DF14&lt;&gt;$JL$9,0,各项系数!$F$76/4*($NE14^2-$NC14^2)*10^-2*各项系数!$F$39*10^-3*10^2)*各项系数!$J$4</f>
        <v>0</v>
      </c>
      <c r="JM14" s="62">
        <v>1</v>
      </c>
      <c r="JN14" s="58">
        <f t="shared" si="69"/>
        <v>0</v>
      </c>
      <c r="JO14" s="263">
        <f>JN14*各项系数!$E$39</f>
        <v>0</v>
      </c>
      <c r="JP14" s="286">
        <f>IF($DF14&lt;&gt;$JP$9,0,各项系数!$F$76/4*($NE14^2-$NC14^2)*10^-2*各项系数!$F$36*10^-3*10^2)*各项系数!$J$4</f>
        <v>0</v>
      </c>
      <c r="JQ14" s="62">
        <v>1</v>
      </c>
      <c r="JR14" s="58">
        <f t="shared" si="70"/>
        <v>0</v>
      </c>
      <c r="JS14" s="263">
        <f>JR14*各项系数!$E$36</f>
        <v>0</v>
      </c>
      <c r="JT14" s="286">
        <f>IF($DF14&lt;&gt;$JT$9,0,各项系数!$F$76/4*($NE14^2-$NC14^2)*10^-2*各项系数!$F$40*10^-3*10^2)*各项系数!$J$4</f>
        <v>0</v>
      </c>
      <c r="JU14" s="62">
        <v>1</v>
      </c>
      <c r="JV14" s="58">
        <f t="shared" si="71"/>
        <v>0</v>
      </c>
      <c r="JW14" s="263">
        <f>JV14*各项系数!$E$40</f>
        <v>0</v>
      </c>
      <c r="JX14" s="286">
        <f>IF($DF14&lt;&gt;$JX$9,0,各项系数!$F$76/4*($NE14^2-$NC14^2)*10^-2*各项系数!$F$38*10^-3*10^2)*各项系数!$J$4</f>
        <v>0</v>
      </c>
      <c r="JY14" s="62">
        <v>1</v>
      </c>
      <c r="JZ14" s="58">
        <f t="shared" si="72"/>
        <v>0</v>
      </c>
      <c r="KA14" s="263">
        <f>JZ14*各项系数!$E$38</f>
        <v>0</v>
      </c>
      <c r="KB14" s="286">
        <f>IF($DF14&lt;&gt;$KB$9,0,各项系数!$F$76/4*($NE14^2-$NC14^2)*10^-2*各项系数!$F$41*10^-3*10^2)*各项系数!$J$4</f>
        <v>0</v>
      </c>
      <c r="KC14" s="62">
        <v>1</v>
      </c>
      <c r="KD14" s="58">
        <f t="shared" si="73"/>
        <v>0</v>
      </c>
      <c r="KE14" s="263">
        <f>KD14*各项系数!$E$41</f>
        <v>0</v>
      </c>
      <c r="KF14" s="58">
        <f t="shared" si="74"/>
        <v>0</v>
      </c>
      <c r="KG14" s="58">
        <f t="shared" si="75"/>
        <v>0</v>
      </c>
      <c r="KH14" s="236">
        <f>各项系数!$F$76/4*($NG14^2-$NE14^2)*10^-2*各项系数!$F$44*10^-3*10^2*各项系数!$J$4*0.75*$U14</f>
        <v>2.0740024819179755E-2</v>
      </c>
      <c r="KI14" s="62">
        <v>1</v>
      </c>
      <c r="KJ14" s="58">
        <f t="shared" si="76"/>
        <v>2.0740024819179755E-2</v>
      </c>
      <c r="KK14" s="58">
        <f>ROUND(KJ14*各项系数!$E$44,GT14)</f>
        <v>0.2</v>
      </c>
      <c r="KL14" s="235">
        <f>各项系数!$F$76/4*($NF14^2-$NE14^2)*10^-2*各项系数!$F$46*10^-3*10^2*各项系数!$J$4*PI()/4*R14</f>
        <v>3.7828874139392249E-3</v>
      </c>
      <c r="KM14" s="62">
        <v>1</v>
      </c>
      <c r="KN14" s="58">
        <f t="shared" si="77"/>
        <v>3.7828874139392249E-3</v>
      </c>
      <c r="KO14" s="58">
        <f>KN14*各项系数!$E$46</f>
        <v>0.25534490044089769</v>
      </c>
      <c r="KP14" s="236">
        <f>各项系数!$F$76/4*($NH14^2-$NE14^2)*10^-2*(VLOOKUP($KP$9,各项系数!$D$1:$F$143,3,0))*10^-3*10^2*各项系数!$J$4</f>
        <v>2.5561053393320043E-2</v>
      </c>
      <c r="KQ14" s="62">
        <v>1</v>
      </c>
      <c r="KR14" s="58">
        <f t="shared" si="150"/>
        <v>2.5561053393320043E-2</v>
      </c>
      <c r="KS14" s="58">
        <f>KR14*(VLOOKUP($KP$9,各项系数!$D$1:$F$143,2,0))</f>
        <v>0.43453790768644074</v>
      </c>
      <c r="KT14" s="236">
        <f>各项系数!$F$76/4*($NI14^2-$NF14^2)*10^-2*(VLOOKUP($KT$9,各项系数!$D$1:$F$143,3,0))*10^-3*10^2*各项系数!$J$4</f>
        <v>2.6576340740736584E-2</v>
      </c>
      <c r="KU14" s="62">
        <v>1</v>
      </c>
      <c r="KV14" s="58">
        <f t="shared" si="151"/>
        <v>2.6576340740736584E-2</v>
      </c>
      <c r="KW14" s="58">
        <f>KV14*(VLOOKUP($KT$9,各项系数!$D$1:$F$143,2,0))</f>
        <v>0.4517977925925219</v>
      </c>
      <c r="KX14" s="58">
        <f>各项系数!$F$76/4*($NH14^2-$NE14^2)*10^-2*(VLOOKUP($KX$9,各项系数!$D$1:$F$143,3,0))*10^-3*10^2*各项系数!$J$4</f>
        <v>2.5561053393320043E-2</v>
      </c>
      <c r="KY14" s="354">
        <v>1</v>
      </c>
      <c r="KZ14" s="58">
        <f t="shared" si="152"/>
        <v>2.5561053393320043E-2</v>
      </c>
      <c r="LA14" s="58">
        <f>KZ14*(VLOOKUP($KX$9,各项系数!$D$1:$F$143,2,0))</f>
        <v>0.43453790768644074</v>
      </c>
      <c r="LB14" s="58">
        <f>各项系数!$F$76/4*($NI14^2-$NF14^2)*10^-2*(VLOOKUP($LB$9,各项系数!$D$1:$F$143,3,0))*10^-3*10^2*各项系数!$J$4</f>
        <v>2.6576340740736584E-2</v>
      </c>
      <c r="LC14" s="354">
        <v>1</v>
      </c>
      <c r="LD14" s="58">
        <f t="shared" si="153"/>
        <v>2.6576340740736584E-2</v>
      </c>
      <c r="LE14" s="58">
        <f>LD14*(VLOOKUP($LB$9,各项系数!$D$1:$F$143,2,0))</f>
        <v>0.4517977925925219</v>
      </c>
      <c r="LF14" s="236">
        <f>各项系数!$F$76/4*($NH14^2-$NE14^2)*10^-2*(VLOOKUP(AN14,各项系数!$D$1:$F$143,3,0))*10^-3*10^2*各项系数!$J$4</f>
        <v>2.5913619647021005E-2</v>
      </c>
      <c r="LG14" s="62">
        <v>1</v>
      </c>
      <c r="LH14" s="58">
        <f t="shared" si="82"/>
        <v>2.5913619647021005E-2</v>
      </c>
      <c r="LI14" s="58">
        <f>LH14*(VLOOKUP(AN14,各项系数!$D$1:$F$143,2,0))</f>
        <v>0.25913619647021002</v>
      </c>
      <c r="LJ14" s="236">
        <f>各项系数!$F$76/4*($NI14^2-$NF14^2)*10^-2*(VLOOKUP(AN14,各项系数!$D$1:$F$143,3,0))*10^-3*10^2*各项系数!$J$4</f>
        <v>2.6942910957850189E-2</v>
      </c>
      <c r="LK14" s="62">
        <v>1</v>
      </c>
      <c r="LL14" s="58">
        <f t="shared" si="83"/>
        <v>2.6942910957850189E-2</v>
      </c>
      <c r="LM14" s="58">
        <f>LL14*(VLOOKUP(AN14,各项系数!$D$1:$F$143,2,0))</f>
        <v>0.26942910957850186</v>
      </c>
      <c r="LN14" s="58">
        <f>各项系数!$F$76/4*($NH14^2-$NE14^2)*10^-2*(VLOOKUP($LN$9,各项系数!$D$1:$F$143,3,0))*10^-3*10^2*各项系数!$J$4</f>
        <v>2.5913619647021005E-2</v>
      </c>
      <c r="LO14" s="354">
        <v>1</v>
      </c>
      <c r="LP14" s="58">
        <f t="shared" si="84"/>
        <v>2.5913619647021005E-2</v>
      </c>
      <c r="LQ14" s="58">
        <f>LP14*(VLOOKUP($LN$9,各项系数!$D$1:$F$143,2,0))</f>
        <v>0.28504981611723107</v>
      </c>
      <c r="LR14" s="58">
        <f>各项系数!$F$76/4*($NI14^2-$NF14^2)*10^-2*(VLOOKUP($LR$9,各项系数!$D$1:$F$143,3,0))*10^-3*10^2*各项系数!$J$4</f>
        <v>2.6942910957850189E-2</v>
      </c>
      <c r="LS14" s="354">
        <v>1</v>
      </c>
      <c r="LT14" s="58">
        <f t="shared" si="85"/>
        <v>2.6942910957850189E-2</v>
      </c>
      <c r="LU14" s="58">
        <f>LT14*(VLOOKUP($LR$9,各项系数!$D$1:$F$143,2,0))</f>
        <v>0.29637202053635209</v>
      </c>
      <c r="LV14" s="366">
        <f t="shared" si="154"/>
        <v>0.70612079000000005</v>
      </c>
      <c r="LW14" s="366">
        <f t="shared" si="155"/>
        <v>0.70612079000000005</v>
      </c>
      <c r="LX14" s="366">
        <f t="shared" si="156"/>
        <v>0.94818822666579949</v>
      </c>
      <c r="LY14" s="366">
        <f t="shared" si="157"/>
        <v>0</v>
      </c>
      <c r="LZ14" s="374">
        <f t="shared" si="86"/>
        <v>1</v>
      </c>
      <c r="MA14" s="375">
        <f t="shared" si="87"/>
        <v>0.70612079000000005</v>
      </c>
      <c r="MB14" s="366">
        <f t="shared" si="158"/>
        <v>0.94818822999999997</v>
      </c>
      <c r="MC14" s="366">
        <f t="shared" si="159"/>
        <v>0</v>
      </c>
      <c r="MD14" s="366">
        <f t="shared" si="160"/>
        <v>0</v>
      </c>
      <c r="ME14" s="366">
        <f t="shared" si="161"/>
        <v>0</v>
      </c>
      <c r="MF14" s="366">
        <f t="shared" si="162"/>
        <v>0</v>
      </c>
      <c r="MG14" s="378">
        <f t="shared" si="163"/>
        <v>1</v>
      </c>
      <c r="MH14" s="375">
        <f t="shared" si="88"/>
        <v>0</v>
      </c>
      <c r="MI14" s="366">
        <f t="shared" si="164"/>
        <v>0</v>
      </c>
      <c r="MJ14" s="58">
        <f t="shared" si="89"/>
        <v>0.94818822999999997</v>
      </c>
      <c r="MK14" s="58">
        <f t="shared" si="165"/>
        <v>0.94818822999999997</v>
      </c>
      <c r="ML14" s="58">
        <f t="shared" si="90"/>
        <v>0</v>
      </c>
      <c r="MM14" s="58">
        <f t="shared" si="91"/>
        <v>0</v>
      </c>
      <c r="MN14" s="58">
        <f t="shared" si="92"/>
        <v>2.1481882299999997</v>
      </c>
      <c r="MO14" s="58">
        <f t="shared" si="166"/>
        <v>0</v>
      </c>
      <c r="MP14" s="58">
        <f t="shared" si="167"/>
        <v>2.1481882300000001</v>
      </c>
      <c r="MQ14" s="58">
        <f t="shared" si="93"/>
        <v>2.1481882300000001</v>
      </c>
      <c r="MR14" s="245">
        <f t="shared" si="168"/>
        <v>2.1481882300000001</v>
      </c>
      <c r="MS14" s="380">
        <f t="shared" si="94"/>
        <v>2.1481882300000001</v>
      </c>
      <c r="MT14" s="381">
        <f t="shared" si="95"/>
        <v>2.3081882300000003</v>
      </c>
      <c r="MU14" s="380">
        <f t="shared" si="96"/>
        <v>2.5481882300000001</v>
      </c>
      <c r="MV14" s="381">
        <f t="shared" si="97"/>
        <v>4.9481882299999995</v>
      </c>
      <c r="MW14" s="381">
        <f t="shared" si="98"/>
        <v>5.1081882299999997</v>
      </c>
      <c r="MX14" s="254">
        <f t="shared" si="99"/>
        <v>1.4281882299999999</v>
      </c>
      <c r="MY14" s="245">
        <f t="shared" si="100"/>
        <v>0</v>
      </c>
      <c r="MZ14" s="58">
        <f t="shared" si="101"/>
        <v>2.6281882300000001</v>
      </c>
      <c r="NA14" s="58">
        <f t="shared" si="102"/>
        <v>0</v>
      </c>
      <c r="NB14" s="58">
        <f t="shared" si="169"/>
        <v>2.6281882300000001</v>
      </c>
      <c r="NC14" s="245">
        <f t="shared" si="103"/>
        <v>2.6281882300000001</v>
      </c>
      <c r="ND14" s="246">
        <f t="shared" si="104"/>
        <v>2.6281882300000001</v>
      </c>
      <c r="NE14" s="386">
        <f t="shared" si="105"/>
        <v>2.6281882300000001</v>
      </c>
      <c r="NF14" s="381">
        <f t="shared" si="106"/>
        <v>2.7881882300000003</v>
      </c>
      <c r="NG14" s="387">
        <f t="shared" si="107"/>
        <v>3.02818823</v>
      </c>
      <c r="NH14" s="245">
        <f t="shared" si="108"/>
        <v>5.4281882299999999</v>
      </c>
      <c r="NI14" s="381">
        <f t="shared" si="109"/>
        <v>5.5881882300000001</v>
      </c>
      <c r="NK14" s="20">
        <f t="shared" si="110"/>
        <v>3.2265814741866877E-2</v>
      </c>
      <c r="NL14" s="20">
        <f t="shared" si="111"/>
        <v>0.66995144451633271</v>
      </c>
      <c r="NM14" s="20">
        <f t="shared" si="112"/>
        <v>3.2265814741866877E-2</v>
      </c>
      <c r="NN14" s="20">
        <f t="shared" si="113"/>
        <v>0.69277719023086615</v>
      </c>
      <c r="NO14" s="20">
        <f t="shared" si="114"/>
        <v>3.7681059127304309E-2</v>
      </c>
      <c r="NP14" s="20">
        <f t="shared" si="115"/>
        <v>0.74435829717052493</v>
      </c>
      <c r="NQ14" s="20">
        <f t="shared" si="116"/>
        <v>3.7681059127304309E-2</v>
      </c>
      <c r="NR14" s="20">
        <f t="shared" si="117"/>
        <v>0.77027191681754603</v>
      </c>
      <c r="NS14" s="20">
        <f t="shared" si="118"/>
        <v>3.5378222187472871E-2</v>
      </c>
      <c r="NT14" s="20">
        <f t="shared" si="119"/>
        <v>3.5378222187472871E-2</v>
      </c>
      <c r="NU14" s="20">
        <f t="shared" si="120"/>
        <v>4.1463946541243531E-2</v>
      </c>
      <c r="NV14" s="20">
        <f t="shared" si="121"/>
        <v>4.1463946541243531E-2</v>
      </c>
      <c r="NW14" s="10">
        <f t="shared" si="122"/>
        <v>4.3745833799934963E-2</v>
      </c>
      <c r="NX14" s="10">
        <f>各项系数!$M$9*NK14</f>
        <v>9.6797444225600621E-3</v>
      </c>
      <c r="NY14" s="10">
        <f t="shared" si="123"/>
        <v>3.5378222187472871E-2</v>
      </c>
      <c r="OB14" s="66" t="str">
        <f t="shared" si="124"/>
        <v>1*0.75</v>
      </c>
      <c r="OC14" s="395">
        <f t="shared" si="125"/>
        <v>94.818823187726096</v>
      </c>
      <c r="OD14" s="395">
        <f>SQRT(4*EY14/PI()/EH14/各项系数!$J$4/各项系数!$F$5*10000000)</f>
        <v>94.818823187726096</v>
      </c>
      <c r="OE14" s="396">
        <f t="shared" si="126"/>
        <v>0.70612079776200598</v>
      </c>
      <c r="OF14" s="396">
        <f t="shared" si="127"/>
        <v>0.70612079776200598</v>
      </c>
      <c r="OG14" s="398"/>
      <c r="OH14" s="397"/>
    </row>
    <row r="15" spans="1:398" ht="15" hidden="1" customHeight="1">
      <c r="A15" s="50">
        <v>1</v>
      </c>
      <c r="B15" s="51">
        <v>0.04</v>
      </c>
      <c r="C15" s="52">
        <v>0.6</v>
      </c>
      <c r="D15" s="53" t="s">
        <v>161</v>
      </c>
      <c r="E15" s="54">
        <f t="shared" si="1"/>
        <v>5.1031595200000002</v>
      </c>
      <c r="F15" s="57">
        <v>110.31595161029</v>
      </c>
      <c r="G15" s="56"/>
      <c r="H15" s="56"/>
      <c r="I15" s="56"/>
      <c r="J15" s="56"/>
      <c r="K15" s="56"/>
      <c r="L15" s="97" t="s">
        <v>467</v>
      </c>
      <c r="M15" s="98">
        <f t="shared" si="2"/>
        <v>0.6</v>
      </c>
      <c r="N15" s="98">
        <f t="shared" si="3"/>
        <v>0</v>
      </c>
      <c r="O15" s="53"/>
      <c r="P15" s="99">
        <v>0.1</v>
      </c>
      <c r="Q15" s="133">
        <f t="shared" si="170"/>
        <v>0.1</v>
      </c>
      <c r="R15" s="131">
        <v>0.8</v>
      </c>
      <c r="S15" s="132" t="s">
        <v>521</v>
      </c>
      <c r="T15" s="133">
        <v>0.2</v>
      </c>
      <c r="U15" s="53">
        <v>2</v>
      </c>
      <c r="V15" s="131"/>
      <c r="W15" s="103">
        <v>1.4</v>
      </c>
      <c r="X15" s="135">
        <f t="shared" si="171"/>
        <v>0.2</v>
      </c>
      <c r="Y15" s="135">
        <v>2</v>
      </c>
      <c r="Z15" s="168">
        <v>0.2</v>
      </c>
      <c r="AA15" s="153">
        <v>1</v>
      </c>
      <c r="AB15" s="153">
        <f>PI()*EJ15*EJ15/4*EH15*(1-H15)*AA15*各项系数!$F$5*各项系数!$J$4*10^-7</f>
        <v>8.4545666936336993E-3</v>
      </c>
      <c r="AC15" s="153">
        <f t="shared" si="4"/>
        <v>110.31595161029</v>
      </c>
      <c r="AD15" s="153">
        <f t="shared" si="5"/>
        <v>0.95579886989884189</v>
      </c>
      <c r="AE15" s="153">
        <f>POWER(4*EU15/PI()/EG15/10^-7/EH15/(1-H15)/各项系数!$F$5/各项系数!$J$4,0.5)</f>
        <v>110.31595161029</v>
      </c>
      <c r="AF15" s="69">
        <v>1</v>
      </c>
      <c r="AG15" s="69">
        <f>IF(EM15=0,0,PI()*ER15*ER15/4*EP15*(1-K15)*(1+AF15)*各项系数!$F$5*各项系数!$J$4*10^-7)</f>
        <v>0</v>
      </c>
      <c r="AH15" s="69">
        <f t="shared" si="6"/>
        <v>0</v>
      </c>
      <c r="AI15" s="69">
        <f t="shared" si="128"/>
        <v>0</v>
      </c>
      <c r="AJ15" s="69">
        <f>IF(OR(EP15="",EP15=0),0,POWER(4*EW15/PI()/EO15/10^-7/EP15/(1-K15)/各项系数!$F$5/各项系数!$J$4,0.5))</f>
        <v>0</v>
      </c>
      <c r="AK15" s="69" t="str">
        <f t="shared" si="8"/>
        <v>√</v>
      </c>
      <c r="AL15" s="69">
        <f t="shared" si="9"/>
        <v>0.89993721497094981</v>
      </c>
      <c r="AM15" s="188">
        <f t="shared" si="10"/>
        <v>1</v>
      </c>
      <c r="AN15" s="97" t="s">
        <v>486</v>
      </c>
      <c r="AO15" s="196">
        <f>AP15+各项系数!$M$9*$NK15</f>
        <v>0.88229138722642131</v>
      </c>
      <c r="AP15" s="196">
        <f>AQ15*(1+$BI15+(VLOOKUP($AM15,$A$12:$B$323,2,0))+各项系数!$J$6+各项系数!$M$5)*(1+$E$2)</f>
        <v>0.87155408283158797</v>
      </c>
      <c r="AQ15" s="197">
        <f>AR15+各项系数!$L$9*$NK15</f>
        <v>0.85513548158515307</v>
      </c>
      <c r="AR15" s="197">
        <f>AS15*(1+$BJ15+各项系数!$J$5+各项系数!$L$5)</f>
        <v>0.84439817719031973</v>
      </c>
      <c r="AS15" s="197">
        <f t="shared" si="129"/>
        <v>0.827841350186588</v>
      </c>
      <c r="AT15" s="196">
        <f>AU15+各项系数!$M$9*$NM15</f>
        <v>1.0499230593263891</v>
      </c>
      <c r="AU15" s="196">
        <f>AV15*(1+$BI15+(VLOOKUP($AM15,$A$12:$B$323,2,0))+各项系数!$J$6+各项系数!$M$5)*(1+$E$2)</f>
        <v>1.0391857549315557</v>
      </c>
      <c r="AV15" s="197">
        <f>AW15+各项系数!$L$9*$NM15</f>
        <v>1.0196092571934416</v>
      </c>
      <c r="AW15" s="197">
        <f>AX15*(1+$BJ15+各项系数!$J$5+各项系数!$L$5)</f>
        <v>1.0088719527986083</v>
      </c>
      <c r="AX15" s="197">
        <f t="shared" si="130"/>
        <v>0.98909014980255705</v>
      </c>
      <c r="AY15" s="196">
        <f>AZ15+各项系数!$M$9*$NS15</f>
        <v>1.1286018906103741</v>
      </c>
      <c r="AZ15" s="196">
        <f>BA15*(1+$BI15+(VLOOKUP($AM15,$A$12:$B$214,2,0))+各项系数!$J$6+各项系数!$M$5)*(1+$E$2)</f>
        <v>1.1168659232658515</v>
      </c>
      <c r="BA15" s="197">
        <f>BB15+各项系数!$L$9*$NS15</f>
        <v>1.0958260628589593</v>
      </c>
      <c r="BB15" s="197">
        <f>BC15*(1+$BJ15+各项系数!$J$5+各项系数!$L$5)</f>
        <v>1.0840900955144368</v>
      </c>
      <c r="BC15" s="199">
        <f t="shared" si="131"/>
        <v>1.062833426974938</v>
      </c>
      <c r="BD15" s="196">
        <f>BE15+各项系数!$M$9*$NS15</f>
        <v>1.3034763151197746</v>
      </c>
      <c r="BE15" s="196">
        <f>BF15*(1+$BI15+(VLOOKUP($AM15,$A$12:$B$214,2,0))+各项系数!$J$6+各项系数!$M$5)*(1+$E$2)</f>
        <v>1.291740347775252</v>
      </c>
      <c r="BF15" s="197">
        <f>BG15+各项系数!$L$9*$NS15</f>
        <v>1.267406149700993</v>
      </c>
      <c r="BG15" s="197">
        <f>BH15*(1+$BJ15+各项系数!$J$5+各项系数!$L$5)</f>
        <v>1.2556701823564704</v>
      </c>
      <c r="BH15" s="199">
        <f t="shared" si="132"/>
        <v>1.2310491983886964</v>
      </c>
      <c r="BI15" s="51"/>
      <c r="BJ15" s="208"/>
      <c r="BK15" s="102"/>
      <c r="BL15" s="196">
        <f>BM15+各项系数!$M$9*$NM15</f>
        <v>0.91573723131300155</v>
      </c>
      <c r="BM15" s="196">
        <f>BN15*(1+$CF15+(VLOOKUP($AM15,$A$12:$B$323,2,0))+各项系数!$J$6+各项系数!$M$5)*(1+$E$2)</f>
        <v>0.90499992691816822</v>
      </c>
      <c r="BN15" s="197">
        <f>BO15+各项系数!$L$9*$NM15</f>
        <v>0.88795126267481184</v>
      </c>
      <c r="BO15" s="197">
        <f>BP15*(1+$CG15+各项系数!$J$5+各项系数!$L$5)</f>
        <v>0.8772139582799785</v>
      </c>
      <c r="BP15" s="197">
        <f t="shared" si="133"/>
        <v>0.8516640371650277</v>
      </c>
      <c r="BQ15" s="196">
        <f>BR15+各项系数!$M$9*$NM15</f>
        <v>1.0600038661331765</v>
      </c>
      <c r="BR15" s="196">
        <f>BS15*(1+$CF15+(VLOOKUP($AM15,$A$12:$B$323,2,0))+各项系数!$J$6+各项系数!$M$5)*(1+$E$2)</f>
        <v>1.0492665617383432</v>
      </c>
      <c r="BS15" s="197">
        <f>BT15+各项系数!$L$9*$NM15</f>
        <v>1.0295001586914672</v>
      </c>
      <c r="BT15" s="197">
        <f>BU15*(1+$CG15+各项系数!$J$5+各项系数!$L$5)</f>
        <v>1.0187628542966338</v>
      </c>
      <c r="BU15" s="197">
        <f t="shared" si="134"/>
        <v>0.98909014980255705</v>
      </c>
      <c r="BV15" s="196">
        <f>BW15+各项系数!$M$9*$NT15</f>
        <v>1.1619840618367097</v>
      </c>
      <c r="BW15" s="196">
        <f>BX15*(1+$CF15+(VLOOKUP($AM15,$A$12:$B$214,2,0))+各项系数!$J$6+各项系数!$M$5)*(1+$E$2)</f>
        <v>1.1502480944921871</v>
      </c>
      <c r="BX15" s="197">
        <f>BY15+各项系数!$L$9*$NT$12</f>
        <v>1.1285793705771066</v>
      </c>
      <c r="BY15" s="197">
        <f>BZ15*(1+$CG15+各项系数!$J$5+各项系数!$L$5)</f>
        <v>1.120315967422133</v>
      </c>
      <c r="BZ15" s="199">
        <f t="shared" si="11"/>
        <v>1.0876854052642069</v>
      </c>
      <c r="CA15" s="196">
        <f>CB15+各项系数!$M$9*$NT15</f>
        <v>1.3124839311277638</v>
      </c>
      <c r="CB15" s="196">
        <f>CC15*(1+$CF15+(VLOOKUP($AM15,$A$12:$B$214,2,0))+各项系数!$J$6+各项系数!$M$5)*(1+$E$2)</f>
        <v>1.3007479637832413</v>
      </c>
      <c r="CC15" s="197">
        <f>CD15+各项系数!$L$9*$NT$12</f>
        <v>1.276244077495331</v>
      </c>
      <c r="CD15" s="197">
        <f>CE15*(1+$CG15+各项系数!$J$5+各项系数!$L$5)</f>
        <v>1.2679806743403574</v>
      </c>
      <c r="CE15" s="199">
        <f t="shared" si="135"/>
        <v>1.2310491983886964</v>
      </c>
      <c r="CF15" s="213">
        <f t="shared" si="136"/>
        <v>0</v>
      </c>
      <c r="CG15" s="213">
        <f t="shared" si="12"/>
        <v>0.01</v>
      </c>
      <c r="CH15" s="102"/>
      <c r="CI15" s="196">
        <f>CJ15+各项系数!$M$9*$NO15</f>
        <v>0.97829922312886042</v>
      </c>
      <c r="CJ15" s="196">
        <f>CK15*(1+$DC15+(VLOOKUP($AM15,$A$12:$B$323,2,0))+各项系数!$J$6+各项系数!$M$5)*(1+$E$2)+各项系数!$M$9*$NK15</f>
        <v>0.96588502780104801</v>
      </c>
      <c r="CK15" s="197">
        <f>CL15+各项系数!$L$9*$NO15</f>
        <v>0.93715435969997507</v>
      </c>
      <c r="CL15" s="197">
        <f>CM15*(1+$DD15+各项系数!$J$5+各项系数!$L$5)</f>
        <v>0.92474016437216267</v>
      </c>
      <c r="CM15" s="197">
        <f t="shared" si="13"/>
        <v>0.90660800428643395</v>
      </c>
      <c r="CN15" s="196">
        <f>CO15+各项系数!$M$9*$NO15</f>
        <v>1.1138298518865168</v>
      </c>
      <c r="CO15" s="196">
        <f>CP15*(1+$DC15+(VLOOKUP($AM15,$A$12:$B$323,2,0))+各项系数!$J$6+各项系数!$M$5)*(1+$E$2)+各项系数!$M$9*$NK15</f>
        <v>1.1014156565587045</v>
      </c>
      <c r="CP15" s="197">
        <f>CQ15+各项系数!$L$9*$NO15</f>
        <v>1.0701318211968909</v>
      </c>
      <c r="CQ15" s="197">
        <f>CR15*(1+$DD15+各项系数!$J$5+各项系数!$L$5)</f>
        <v>1.0577176258690786</v>
      </c>
      <c r="CR15" s="197">
        <f t="shared" si="14"/>
        <v>1.0369780645775279</v>
      </c>
      <c r="CS15" s="196">
        <f>CT15+各项系数!$M$9*$NU15</f>
        <v>1.2613274387630786</v>
      </c>
      <c r="CT15" s="196">
        <f t="shared" si="15"/>
        <v>1.247713436495077</v>
      </c>
      <c r="CU15" s="197">
        <f>CV15+各项系数!$L$9*$NU15</f>
        <v>1.2242086307840239</v>
      </c>
      <c r="CV15" s="197">
        <f>CW15*(1+$DD15+各项系数!$J$5+各项系数!$L$5)</f>
        <v>1.2105946285160223</v>
      </c>
      <c r="CW15" s="199">
        <f t="shared" si="16"/>
        <v>1.1868574789372768</v>
      </c>
      <c r="CX15" s="196">
        <f>CY15+各项系数!$M$9*$NU15</f>
        <v>1.4579301205007786</v>
      </c>
      <c r="CY15" s="196">
        <f t="shared" si="17"/>
        <v>1.4443161182327771</v>
      </c>
      <c r="CZ15" s="197">
        <f>DA15+各项系数!$L$9*$NU15</f>
        <v>1.4171076513272931</v>
      </c>
      <c r="DA15" s="197">
        <f>DB15*(1+$DD15+各项系数!$J$5+各项系数!$L$5)</f>
        <v>1.4034936490592915</v>
      </c>
      <c r="DB15" s="199">
        <f t="shared" si="18"/>
        <v>1.3759741657444033</v>
      </c>
      <c r="DC15" s="213">
        <f t="shared" si="137"/>
        <v>0</v>
      </c>
      <c r="DD15" s="213">
        <f t="shared" si="19"/>
        <v>0</v>
      </c>
      <c r="DE15" s="53"/>
      <c r="DF15" s="53"/>
      <c r="DG15" s="196">
        <f>DH15+各项系数!$M$9*$NQ15</f>
        <v>1.0157894328993771</v>
      </c>
      <c r="DH15" s="196">
        <f>DI15*(1+$EA15+(VLOOKUP($AM15,$A$12:$B$323,2,0))+各项系数!$J$6+各项系数!$M$5)*(1+$E$2)+各项系数!$M$9*$NK15</f>
        <v>1.0033752375715648</v>
      </c>
      <c r="DI15" s="197">
        <f>DJ15+各项系数!$L$9*$NQ15</f>
        <v>0.9739383174810945</v>
      </c>
      <c r="DJ15" s="197">
        <f>DK15*(1+$EB15+各项系数!$J$5+各项系数!$L$5)</f>
        <v>0.96152412215328209</v>
      </c>
      <c r="DK15" s="197">
        <f t="shared" si="20"/>
        <v>0.93351856519736121</v>
      </c>
      <c r="DL15" s="196">
        <f>DM15+各项系数!$M$9*$NQ15</f>
        <v>1.1787557711321894</v>
      </c>
      <c r="DM15" s="196">
        <f>DN15*(1+$EA15+(VLOOKUP($AM15,$A$12:$B$323,2,0))+各项系数!$J$6+各项系数!$M$5)*(1+$E$2)+各项系数!$M$9*$NK15</f>
        <v>1.1663415758043771</v>
      </c>
      <c r="DN15" s="197">
        <f>DO15+各项系数!$L$9*$NQ15</f>
        <v>1.1338346462024567</v>
      </c>
      <c r="DO15" s="197">
        <f>DP15*(1+$EB15+各项系数!$J$5+各项系数!$L$5)</f>
        <v>1.1214204508746444</v>
      </c>
      <c r="DP15" s="197">
        <f t="shared" si="21"/>
        <v>1.0887577192957711</v>
      </c>
      <c r="DQ15" s="196">
        <f>DR15+各项系数!$M$9*$NV15</f>
        <v>1.3027544764943542</v>
      </c>
      <c r="DR15" s="196">
        <f t="shared" si="22"/>
        <v>1.2891404742263526</v>
      </c>
      <c r="DS15" s="197">
        <f>DT15+各项系数!$L$9*$NV15</f>
        <v>1.2648552533618058</v>
      </c>
      <c r="DT15" s="197">
        <f>DU15*(1+$EB15+各项系数!$J$5+各项系数!$L$5)</f>
        <v>1.2512412510938042</v>
      </c>
      <c r="DU15" s="199">
        <f t="shared" si="23"/>
        <v>1.2147973311590332</v>
      </c>
      <c r="DV15" s="196">
        <f>DW15+各项系数!$M$9*$NV15</f>
        <v>1.4237260582732798</v>
      </c>
      <c r="DW15" s="196">
        <f t="shared" si="24"/>
        <v>1.4101120560052782</v>
      </c>
      <c r="DX15" s="197">
        <f>DY15+各项系数!$L$9*$NV15</f>
        <v>1.3835479356409717</v>
      </c>
      <c r="DY15" s="197">
        <f>DZ15*(1+$EB15+各项系数!$J$5+各项系数!$L$5)</f>
        <v>1.3699339333729701</v>
      </c>
      <c r="DZ15" s="199">
        <f t="shared" si="25"/>
        <v>1.330032945022301</v>
      </c>
      <c r="EA15" s="213">
        <f t="shared" si="26"/>
        <v>0</v>
      </c>
      <c r="EB15" s="213">
        <f t="shared" si="27"/>
        <v>0.01</v>
      </c>
      <c r="EC15" s="235">
        <f t="shared" si="138"/>
        <v>1</v>
      </c>
      <c r="ED15" s="235" t="str">
        <f t="shared" si="139"/>
        <v>1*1</v>
      </c>
      <c r="EE15" s="189">
        <f t="shared" si="28"/>
        <v>1</v>
      </c>
      <c r="EF15" s="189">
        <f>LOOKUP(EH15,{1,7,10,14,19,24,30,37,48,61},{1,"1+6","2+8","4+10","1+6+12","2+8+14","4+10+16","1+6+12+18","3+9+15+21","1+6+12+18+24"})</f>
        <v>1</v>
      </c>
      <c r="EG15" s="188">
        <f t="shared" si="29"/>
        <v>1</v>
      </c>
      <c r="EH15" s="197">
        <f>IF(AM15&lt;10,1,IF(AND(AM15&gt;=10,AM15&lt;=35),7,LOOKUP(AM15,{50,70,95,120,150,185,240,300,400,500,630},{10,14,19,24,30,37,48,61,61,61,61})*1))</f>
        <v>1</v>
      </c>
      <c r="EI15" s="188">
        <f>IF(EH15=0,0,VLOOKUP(EH15,各项系数!$D$142:$E$195,2,0))*1</f>
        <v>1</v>
      </c>
      <c r="EJ15" s="238">
        <f t="shared" si="141"/>
        <v>110.31595161029</v>
      </c>
      <c r="EK15" s="189">
        <f t="shared" si="30"/>
        <v>0</v>
      </c>
      <c r="EL15" s="189">
        <f t="shared" si="31"/>
        <v>0</v>
      </c>
      <c r="EM15" s="189">
        <f t="shared" si="32"/>
        <v>0</v>
      </c>
      <c r="EN15" s="189">
        <f>IF(EP15=0,0,LOOKUP(EP15,{1,7,10,14,19,24,30,37,48,61},{1,"1+6","2+8","4+10","1+6+12","2+8+14","4+10+16","1+6+12+18","3+9+15+21","1+6+12+18+24"}))</f>
        <v>0</v>
      </c>
      <c r="EO15" s="189">
        <f t="shared" si="33"/>
        <v>0</v>
      </c>
      <c r="EP15" s="189">
        <f>IF(EM15=0,0,IF(EM15&lt;10,1,IF(AND(EM15&gt;=10,EM15&lt;=35),7,LOOKUP(EM15,{50,70,95,120,150,185,240,300},{10,14,19,24,30,37,48,61})*1)))</f>
        <v>0</v>
      </c>
      <c r="EQ15" s="189">
        <f>IF(EP15=0,0,VLOOKUP(EP15,各项系数!$D$142:$E$195,2,0))*1</f>
        <v>0</v>
      </c>
      <c r="ER15" s="189">
        <f t="shared" si="34"/>
        <v>0</v>
      </c>
      <c r="ES15" s="235">
        <f t="shared" si="35"/>
        <v>1</v>
      </c>
      <c r="ET15" s="189">
        <f>VLOOKUP(ES15,各项系数!$D$142:$E$195,2,0)*1</f>
        <v>1</v>
      </c>
      <c r="EU15" s="243">
        <f>((各项系数!$F$76/4*$EJ15^2*$EG15*$EH15*1*10^-7)*(1-$H15)*AA15)*(VLOOKUP($EY$9,各项系数!$D$4:$F$143,3,0))*各项系数!$J$4</f>
        <v>8.454566693633701E-3</v>
      </c>
      <c r="EV15" s="244">
        <f>EU15*(VLOOKUP($EY$9,各项系数!$D$4:$F$143,2,0))</f>
        <v>0.55377411843300739</v>
      </c>
      <c r="EW15" s="252">
        <f>(IF($EO15=0,0,(各项系数!$F$76/4*$ER15^2*$EO15*$EP15*1*10^-7))*(1-$K15)*$AF15)*(VLOOKUP($EY$9,各项系数!$D$4:$F$143,3,0))*各项系数!$J$4</f>
        <v>0</v>
      </c>
      <c r="EX15" s="253">
        <f>EW15*(VLOOKUP($EY$9,各项系数!$D$4:$F$143,2,0))</f>
        <v>0</v>
      </c>
      <c r="EY15" s="189">
        <f>((各项系数!$F$76/4*$EJ15^2*$EG15*$EH15*1*10^-7)*(1-$H15)*AA15+IF($EO15=0,0,(各项系数!$F$76/4*$ER15^2*$EO15*$EP15*1*10^-7))*(1-$K15)*$AF15)*(VLOOKUP($EY$9,各项系数!$D$4:$F$143,3,0))*各项系数!$J$4</f>
        <v>8.454566693633701E-3</v>
      </c>
      <c r="EZ15" s="102">
        <v>1</v>
      </c>
      <c r="FA15" s="189">
        <f t="shared" si="36"/>
        <v>8.454566693633701E-3</v>
      </c>
      <c r="FB15" s="254">
        <f>FA15*(VLOOKUP($EY$9,各项系数!$D$4:$F$143,2,0))</f>
        <v>0.55377411843300739</v>
      </c>
      <c r="FC15" s="255"/>
      <c r="FD15" s="235">
        <f>各项系数!$F$76/4*($MN15^2-MK15^2)*10^-2*(VLOOKUP(L15,各项系数!$D$1:$F$143,3,0))*10^-3*10^2*$EG15*各项系数!$J$4</f>
        <v>3.5137609773709748E-3</v>
      </c>
      <c r="FE15" s="262">
        <f>FD15*VLOOKUP(L15,各项系数!$D$1:$F$143,2,0)</f>
        <v>3.5840361969183943E-2</v>
      </c>
      <c r="FF15" s="188">
        <f>各项系数!$F$76/4*($MO15^2-ML15^2)*10^-2*(VLOOKUP(L15,各项系数!$D$1:$F$143,3,0))*10^-3*10^2*$EO15*各项系数!$J$4</f>
        <v>0</v>
      </c>
      <c r="FG15" s="262">
        <f>FF15*VLOOKUP(L15,各项系数!$D$1:$F$143,2,0)</f>
        <v>0</v>
      </c>
      <c r="FH15" s="235">
        <f t="shared" si="142"/>
        <v>3.5137609773709748E-3</v>
      </c>
      <c r="FI15" s="102">
        <v>1</v>
      </c>
      <c r="FJ15" s="189">
        <f t="shared" si="37"/>
        <v>3.5137609773709748E-3</v>
      </c>
      <c r="FK15" s="262">
        <f>FJ15*VLOOKUP(L15,各项系数!$D$1:$F$143,2,0)</f>
        <v>3.5840361969183943E-2</v>
      </c>
      <c r="FL15" s="235"/>
      <c r="FM15" s="102"/>
      <c r="FN15" s="189"/>
      <c r="FO15" s="262"/>
      <c r="FP15" s="282">
        <f t="shared" si="38"/>
        <v>3.5137609773709748E-3</v>
      </c>
      <c r="FQ15" s="282">
        <f t="shared" si="39"/>
        <v>3.5840361969183943E-2</v>
      </c>
      <c r="FR15" s="283">
        <f>各项系数!$F$76/4*($MQ15^2-$MN15^2*$EG15-$MO15^2*$EO15)*10^-2</f>
        <v>0</v>
      </c>
      <c r="FS15" s="284">
        <f t="shared" si="143"/>
        <v>1</v>
      </c>
      <c r="FT15" s="285">
        <f t="shared" si="40"/>
        <v>0</v>
      </c>
      <c r="FU15" s="302">
        <f>$FT15*(VLOOKUP($FT$9,各项系数!$D$1:$F$143,3,0))*10^-3*10^2*各项系数!$J$55</f>
        <v>0</v>
      </c>
      <c r="FV15" s="303">
        <v>1</v>
      </c>
      <c r="FW15" s="304">
        <f t="shared" si="41"/>
        <v>0</v>
      </c>
      <c r="FX15" s="285">
        <f>FW15*(VLOOKUP($FT$9,各项系数!$D$1:$F$143,2,0))</f>
        <v>0</v>
      </c>
      <c r="FY15" s="302">
        <f>IF($BK15&lt;&gt;$FY$9,0,各项系数!$F$76/4*($MS15^2-$MQ15^2)*10^-2*(VLOOKUP($FY$9,各项系数!$D$1:$F$143,3,0))*10^-3*10^2)*各项系数!$J$4</f>
        <v>0</v>
      </c>
      <c r="FZ15" s="303">
        <v>1</v>
      </c>
      <c r="GA15" s="304">
        <f t="shared" si="42"/>
        <v>0</v>
      </c>
      <c r="GB15" s="285">
        <f>GA15*(VLOOKUP($FY$9,各项系数!$D$1:$F$143,2,0))</f>
        <v>0</v>
      </c>
      <c r="GC15" s="302">
        <f>IF($BK15&lt;&gt;$GC$9,0,各项系数!$F$76/4*($MS15^2-$MQ15^2)*10^-2*(VLOOKUP($GC$9,各项系数!$D$1:$F$143,3,0))*10^-3*10^2)*各项系数!$J$4</f>
        <v>0</v>
      </c>
      <c r="GD15" s="303">
        <v>1</v>
      </c>
      <c r="GE15" s="304">
        <f t="shared" si="43"/>
        <v>0</v>
      </c>
      <c r="GF15" s="285">
        <f>GE15*(VLOOKUP($GC$9,各项系数!$D$1:$F$143,2,0))</f>
        <v>0</v>
      </c>
      <c r="GG15" s="302">
        <f>IF($BK15&lt;&gt;$GG$9,0,各项系数!$F$76/4*($MS15^2-$MQ15^2)*10^-2*(VLOOKUP($GG$9,各项系数!$D$1:$F$143,3,0))*10^-3*10^2)*各项系数!$J$4</f>
        <v>0</v>
      </c>
      <c r="GH15" s="303">
        <v>1</v>
      </c>
      <c r="GI15" s="304">
        <f t="shared" si="44"/>
        <v>0</v>
      </c>
      <c r="GJ15" s="285">
        <f>GI15*(VLOOKUP($GG$9,各项系数!$D$1:$F$143,2,0))</f>
        <v>0</v>
      </c>
      <c r="GK15" s="302">
        <f>IF($BK15&lt;&gt;$GK$9,0,各项系数!$F$76/4*($MS15^2-$MQ15^2)*10^-2*(VLOOKUP($GK$9,各项系数!$D$1:$F$143,3,0))*10^-3*10^2)*各项系数!$J$4</f>
        <v>0</v>
      </c>
      <c r="GL15" s="303">
        <v>1</v>
      </c>
      <c r="GM15" s="304">
        <f t="shared" si="45"/>
        <v>0</v>
      </c>
      <c r="GN15" s="285">
        <f>GM15*(VLOOKUP($GK$9,各项系数!$D$1:$F$143,2,0))</f>
        <v>0</v>
      </c>
      <c r="GO15" s="304">
        <f t="shared" si="46"/>
        <v>0</v>
      </c>
      <c r="GP15" s="304">
        <f t="shared" si="47"/>
        <v>0</v>
      </c>
      <c r="GQ15" s="315">
        <f>各项系数!$F$76/4*($MU15^2-$MS15^2)*10^-2*(VLOOKUP($S15,各项系数!$D$1:$F$143,3,0))*10^-3*10^2*各项系数!$J$4</f>
        <v>1.223765566484615E-2</v>
      </c>
      <c r="GR15" s="303">
        <v>1</v>
      </c>
      <c r="GS15" s="304">
        <f t="shared" si="48"/>
        <v>1.223765566484615E-2</v>
      </c>
      <c r="GT15" s="304">
        <f t="shared" si="49"/>
        <v>1</v>
      </c>
      <c r="GU15" s="304">
        <f>ROUND($GS15*(VLOOKUP($S15,各项系数!$D$1:$F$143,2,0))+$E$3*GS15,GT15)</f>
        <v>0.1</v>
      </c>
      <c r="GV15" s="315">
        <f>各项系数!$F$76/4*($MT15^2-$MS15^2)*10^-2*(VLOOKUP($GV$9,各项系数!$D$1:$F$143,3,0))*10^-3*10^2*各项系数!$J$4*PI()/4*R15</f>
        <v>3.3288764989638283E-3</v>
      </c>
      <c r="GW15" s="303">
        <v>1</v>
      </c>
      <c r="GX15" s="304">
        <f t="shared" si="50"/>
        <v>3.3288764989638283E-3</v>
      </c>
      <c r="GY15" s="304">
        <f>$GX15*(VLOOKUP($GV$9,各项系数!$D$1:$F$143,2,0))</f>
        <v>0.22469916368005841</v>
      </c>
      <c r="GZ15" s="315">
        <f>各项系数!$F$76/4*($MV15^2-$MS15^2)*10^-2*(VLOOKUP($GZ$9,各项系数!$D$1:$F$143,3,0))*10^-3*10^2*各项系数!$J$4</f>
        <v>2.3498568788256811E-2</v>
      </c>
      <c r="HA15" s="303">
        <v>1</v>
      </c>
      <c r="HB15" s="304">
        <f t="shared" si="144"/>
        <v>2.3498568788256811E-2</v>
      </c>
      <c r="HC15" s="304">
        <f>HB15*(VLOOKUP($GZ$9,各项系数!$D$1:$F$143,2,0))</f>
        <v>0.39947566940036577</v>
      </c>
      <c r="HD15" s="315">
        <f>各项系数!$F$76/4*($MW15^2-$MT15^2)*10^-2*(VLOOKUP($HD$9,各项系数!$D$1:$F$143,3,0))*10^-3*10^2*各项系数!$J$4</f>
        <v>2.4513856135673338E-2</v>
      </c>
      <c r="HE15" s="303">
        <v>1</v>
      </c>
      <c r="HF15" s="304">
        <f t="shared" si="145"/>
        <v>2.4513856135673338E-2</v>
      </c>
      <c r="HG15" s="304">
        <f>HF15*(VLOOKUP($HD$9,各项系数!$D$1:$F$143,2,0))</f>
        <v>0.41673555430644676</v>
      </c>
      <c r="HH15" s="315">
        <f>各项系数!$F$76/4*($MV15^2-$MS15^2)*10^-2*(VLOOKUP($HH$9,各项系数!$D$1:$F$143,3,0))*10^-3*10^2*各项系数!$J$4</f>
        <v>2.3498568788256811E-2</v>
      </c>
      <c r="HI15" s="322">
        <v>1</v>
      </c>
      <c r="HJ15" s="304">
        <f t="shared" si="146"/>
        <v>2.3498568788256811E-2</v>
      </c>
      <c r="HK15" s="304">
        <f>HJ15*(VLOOKUP($HH$9,各项系数!$D$1:$F$143,2,0))</f>
        <v>0.39947566940036577</v>
      </c>
      <c r="HL15" s="315">
        <f>各项系数!$F$76/4*($MW15^2-$MT15^2)*10^-2*(VLOOKUP($HL$9,各项系数!$D$1:$F$143,3,0))*10^-3*10^2*各项系数!$J$4</f>
        <v>2.4513856135673338E-2</v>
      </c>
      <c r="HM15" s="322">
        <v>1</v>
      </c>
      <c r="HN15" s="304">
        <f t="shared" si="147"/>
        <v>2.4513856135673338E-2</v>
      </c>
      <c r="HO15" s="304">
        <f>HN15*(VLOOKUP($HL$9,各项系数!$D$1:$F$143,2,0))</f>
        <v>0.41673555430644676</v>
      </c>
      <c r="HP15" s="315">
        <f>各项系数!$F$76/4*($MV15^2-$MS15^2)*10^-2*(VLOOKUP(AN15,各项系数!$D$1:$F$143,3,0))*10^-3*10^2*各项系数!$J$4</f>
        <v>2.3822686978439665E-2</v>
      </c>
      <c r="HQ15" s="303">
        <v>1</v>
      </c>
      <c r="HR15" s="304">
        <f t="shared" si="55"/>
        <v>2.3822686978439665E-2</v>
      </c>
      <c r="HS15" s="304">
        <f>HR15*(VLOOKUP(AN15,各项系数!$D$1:$F$143,2,0))</f>
        <v>0.23822686978439667</v>
      </c>
      <c r="HT15" s="315">
        <f>各项系数!$F$76/4*($MW15^2-$MT15^2)*10^-2*(VLOOKUP(AN15,各项系数!$D$1:$F$143,3,0))*10^-3*10^2*各项系数!$J$4</f>
        <v>2.4851978289268838E-2</v>
      </c>
      <c r="HU15" s="303">
        <v>1</v>
      </c>
      <c r="HV15" s="304">
        <f t="shared" si="56"/>
        <v>2.4851978289268838E-2</v>
      </c>
      <c r="HW15" s="304">
        <f>HV15*(VLOOKUP(AN15,各项系数!$D$1:$F$143,2,0))</f>
        <v>0.24851978289268839</v>
      </c>
      <c r="HX15" s="315">
        <f>各项系数!$F$76/4*($MV15^2-$MS15^2)*10^-2*(VLOOKUP($HX$9,各项系数!$D$1:$F$143,3,0))*10^-3*10^2*各项系数!$J$4</f>
        <v>2.3822686978439665E-2</v>
      </c>
      <c r="HY15" s="322">
        <v>1</v>
      </c>
      <c r="HZ15" s="304">
        <f t="shared" si="57"/>
        <v>2.3822686978439665E-2</v>
      </c>
      <c r="IA15" s="304">
        <f>HZ15*(VLOOKUP($HX$9,各项系数!$D$1:$F$143,2,0))</f>
        <v>0.26204955676283631</v>
      </c>
      <c r="IB15" s="315">
        <f>各项系数!$F$76/4*($MW15^2-$MT15^2)*10^-2*(VLOOKUP($IB$9,各项系数!$D$1:$F$143,3,0))*10^-3*10^2*各项系数!$J$4</f>
        <v>2.4851978289268838E-2</v>
      </c>
      <c r="IC15" s="322">
        <v>1</v>
      </c>
      <c r="ID15" s="304">
        <f t="shared" si="58"/>
        <v>2.4851978289268838E-2</v>
      </c>
      <c r="IE15" s="304">
        <f>ID15*(VLOOKUP($IB$9,各项系数!$D$1:$F$143,2,0))</f>
        <v>0.27337176118195722</v>
      </c>
      <c r="IF15" s="328"/>
      <c r="IG15" s="315">
        <f t="shared" si="148"/>
        <v>1.5114822408820933E-3</v>
      </c>
      <c r="IH15" s="303">
        <v>1</v>
      </c>
      <c r="II15" s="304">
        <f t="shared" si="59"/>
        <v>1.5114822408820933E-3</v>
      </c>
      <c r="IJ15" s="304">
        <f>II15*(VLOOKUP($IG$8,各项系数!$D$1:$F$143,2,0))</f>
        <v>3.7787056022052332E-2</v>
      </c>
      <c r="IK15" s="315">
        <f>(各项系数!$F$76/4*($MX15^2-$MK15^2)*$EG15)*10^-2*(VLOOKUP($IG$8,各项系数!$D$1:$F$143,3,0))*10^-3*10^2*各项系数!$J$4</f>
        <v>1.5114822408820933E-3</v>
      </c>
      <c r="IL15" s="303">
        <f>IK15*(VLOOKUP($IG$8,各项系数!$D$1:$F$143,2,0))</f>
        <v>3.7787056022052332E-2</v>
      </c>
      <c r="IM15" s="304">
        <f>(各项系数!$F$76/4*(($MM15+3*$X15)^2-MM15^2)*$EO15)*10^-2*(VLOOKUP($IG$8,各项系数!$D$1:$F$143,3,0))*10^-3*10^2*各项系数!$J$4</f>
        <v>0</v>
      </c>
      <c r="IN15" s="303">
        <f>IM15*(VLOOKUP($IG$8,各项系数!$D$1:$F$143,2,0))</f>
        <v>0</v>
      </c>
      <c r="IO15" s="315">
        <f>各项系数!$F$76/4*($MZ15^2-$MX15^2)*10^-2*(VLOOKUP(L15,各项系数!$D$1:$F$143,3,0))*10^-3*10^2*$ES15*各项系数!$J$4</f>
        <v>4.5040412472649354E-3</v>
      </c>
      <c r="IP15" s="303">
        <v>1</v>
      </c>
      <c r="IQ15" s="304">
        <f t="shared" si="60"/>
        <v>4.5040412472649354E-3</v>
      </c>
      <c r="IR15" s="285">
        <f>IQ15*(VLOOKUP(L15,各项系数!$D$1:$F$143,2,0))</f>
        <v>4.5941220722102341E-2</v>
      </c>
      <c r="IS15" s="315">
        <f>IF($L15&lt;&gt;$IS$9,0,各项系数!$F$76/4*($MZ15^2-$MX15^2)*10^-2*各项系数!$F$12*10^-3*10^2)*$ES15*各项系数!$J$4</f>
        <v>0</v>
      </c>
      <c r="IT15" s="303">
        <v>1</v>
      </c>
      <c r="IU15" s="304">
        <f t="shared" si="61"/>
        <v>0</v>
      </c>
      <c r="IV15" s="285">
        <f>IU15*各项系数!$E$12</f>
        <v>0</v>
      </c>
      <c r="IW15" s="302">
        <f t="shared" si="62"/>
        <v>4.5040412472649354E-3</v>
      </c>
      <c r="IX15" s="302">
        <f t="shared" si="63"/>
        <v>4.5941220722102341E-2</v>
      </c>
      <c r="IY15" s="339">
        <f>各项系数!$F$76/4*($NB15^2-$MZ15^2*$EG15-$NA15^2*$EO15)*10^-2</f>
        <v>0</v>
      </c>
      <c r="IZ15" s="284">
        <f t="shared" si="149"/>
        <v>1</v>
      </c>
      <c r="JA15" s="285">
        <f t="shared" si="64"/>
        <v>0</v>
      </c>
      <c r="JB15" s="282">
        <f>IF($DE15&lt;&gt;$JB$9,0,$JA15*各项系数!$F$32*10^-3*10^2)*各项系数!$J$4</f>
        <v>0</v>
      </c>
      <c r="JC15" s="102">
        <v>1</v>
      </c>
      <c r="JD15" s="189">
        <f t="shared" si="65"/>
        <v>0</v>
      </c>
      <c r="JE15" s="262">
        <f>JD15*各项系数!$E$32</f>
        <v>0</v>
      </c>
      <c r="JF15" s="282">
        <f>IF($DE15&lt;&gt;$JF$9,0,$JA15*VLOOKUP($JF$9,各项系数!$D$4:$F$540,2,0)*10^-3*10^2)*各项系数!$J$4</f>
        <v>0</v>
      </c>
      <c r="JG15" s="102">
        <v>1</v>
      </c>
      <c r="JH15" s="189">
        <f t="shared" si="66"/>
        <v>0</v>
      </c>
      <c r="JI15" s="262">
        <f>JH15*VLOOKUP($JF$9,各项系数!$D$4:$F$540,3,0)</f>
        <v>0</v>
      </c>
      <c r="JJ15" s="282">
        <f t="shared" si="67"/>
        <v>0</v>
      </c>
      <c r="JK15" s="189">
        <f t="shared" si="68"/>
        <v>0</v>
      </c>
      <c r="JL15" s="282">
        <f>IF($DF15&lt;&gt;$JL$9,0,各项系数!$F$76/4*($NE15^2-$NC15^2)*10^-2*各项系数!$F$39*10^-3*10^2)*各项系数!$J$4</f>
        <v>0</v>
      </c>
      <c r="JM15" s="102">
        <v>1</v>
      </c>
      <c r="JN15" s="189">
        <f t="shared" si="69"/>
        <v>0</v>
      </c>
      <c r="JO15" s="262">
        <f>JN15*各项系数!$E$39</f>
        <v>0</v>
      </c>
      <c r="JP15" s="282">
        <f>IF($DF15&lt;&gt;$JP$9,0,各项系数!$F$76/4*($NE15^2-$NC15^2)*10^-2*各项系数!$F$36*10^-3*10^2)*各项系数!$J$4</f>
        <v>0</v>
      </c>
      <c r="JQ15" s="102">
        <v>1</v>
      </c>
      <c r="JR15" s="189">
        <f t="shared" si="70"/>
        <v>0</v>
      </c>
      <c r="JS15" s="262">
        <f>JR15*各项系数!$E$36</f>
        <v>0</v>
      </c>
      <c r="JT15" s="282">
        <f>IF($DF15&lt;&gt;$JT$9,0,各项系数!$F$76/4*($NE15^2-$NC15^2)*10^-2*各项系数!$F$40*10^-3*10^2)*各项系数!$J$4</f>
        <v>0</v>
      </c>
      <c r="JU15" s="102">
        <v>1</v>
      </c>
      <c r="JV15" s="189">
        <f t="shared" si="71"/>
        <v>0</v>
      </c>
      <c r="JW15" s="262">
        <f>JV15*各项系数!$E$40</f>
        <v>0</v>
      </c>
      <c r="JX15" s="282">
        <f>IF($DF15&lt;&gt;$JX$9,0,各项系数!$F$76/4*($NE15^2-$NC15^2)*10^-2*各项系数!$F$38*10^-3*10^2)*各项系数!$J$4</f>
        <v>0</v>
      </c>
      <c r="JY15" s="102">
        <v>1</v>
      </c>
      <c r="JZ15" s="189">
        <f t="shared" si="72"/>
        <v>0</v>
      </c>
      <c r="KA15" s="262">
        <f>JZ15*各项系数!$E$38</f>
        <v>0</v>
      </c>
      <c r="KB15" s="282">
        <f>IF($DF15&lt;&gt;$KB$9,0,各项系数!$F$76/4*($NE15^2-$NC15^2)*10^-2*各项系数!$F$41*10^-3*10^2)*各项系数!$J$4</f>
        <v>0</v>
      </c>
      <c r="KC15" s="102">
        <v>1</v>
      </c>
      <c r="KD15" s="189">
        <f t="shared" si="73"/>
        <v>0</v>
      </c>
      <c r="KE15" s="262">
        <f>KD15*各项系数!$E$41</f>
        <v>0</v>
      </c>
      <c r="KF15" s="189">
        <f t="shared" si="74"/>
        <v>0</v>
      </c>
      <c r="KG15" s="189">
        <f t="shared" si="75"/>
        <v>0</v>
      </c>
      <c r="KH15" s="235">
        <f>各项系数!$F$76/4*($NG15^2-$NE15^2)*10^-2*各项系数!$F$44*10^-3*10^2*各项系数!$J$4*0.75*$U15</f>
        <v>2.1876479729346844E-2</v>
      </c>
      <c r="KI15" s="102">
        <v>1</v>
      </c>
      <c r="KJ15" s="189">
        <f t="shared" si="76"/>
        <v>2.1876479729346844E-2</v>
      </c>
      <c r="KK15" s="189">
        <f>ROUND(KJ15*各项系数!$E$44,GT15)</f>
        <v>0.2</v>
      </c>
      <c r="KL15" s="235">
        <f>各项系数!$F$76/4*($NF15^2-$NE15^2)*10^-2*各项系数!$F$46*10^-3*10^2*各项系数!$J$4*PI()/4*R15</f>
        <v>3.9993564672970534E-3</v>
      </c>
      <c r="KM15" s="102">
        <v>1</v>
      </c>
      <c r="KN15" s="189">
        <f t="shared" si="77"/>
        <v>3.9993564672970534E-3</v>
      </c>
      <c r="KO15" s="189">
        <f>KN15*各项系数!$E$46</f>
        <v>0.2699565615425511</v>
      </c>
      <c r="KP15" s="235">
        <f>各项系数!$F$76/4*($NH15^2-$NE15^2)*10^-2*(VLOOKUP($KP$9,各项系数!$D$1:$F$143,3,0))*10^-3*10^2*各项系数!$J$4</f>
        <v>2.6544430830506411E-2</v>
      </c>
      <c r="KQ15" s="102">
        <v>1</v>
      </c>
      <c r="KR15" s="189">
        <f t="shared" si="150"/>
        <v>2.6544430830506411E-2</v>
      </c>
      <c r="KS15" s="189">
        <f>KR15*(VLOOKUP($KP$9,各项系数!$D$1:$F$143,2,0))</f>
        <v>0.45125532411860897</v>
      </c>
      <c r="KT15" s="235">
        <f>各项系数!$F$76/4*($NI15^2-$NF15^2)*10^-2*(VLOOKUP($KT$9,各项系数!$D$1:$F$143,3,0))*10^-3*10^2*各项系数!$J$4</f>
        <v>2.7559718177922944E-2</v>
      </c>
      <c r="KU15" s="102">
        <v>1</v>
      </c>
      <c r="KV15" s="189">
        <f t="shared" si="151"/>
        <v>2.7559718177922944E-2</v>
      </c>
      <c r="KW15" s="189">
        <f>KV15*(VLOOKUP($KT$9,各项系数!$D$1:$F$143,2,0))</f>
        <v>0.46851520902469007</v>
      </c>
      <c r="KX15" s="189">
        <f>各项系数!$F$76/4*($NH15^2-$NE15^2)*10^-2*(VLOOKUP($KX$9,各项系数!$D$1:$F$143,3,0))*10^-3*10^2*各项系数!$J$4</f>
        <v>2.6544430830506411E-2</v>
      </c>
      <c r="KY15" s="353">
        <v>1</v>
      </c>
      <c r="KZ15" s="189">
        <f t="shared" si="152"/>
        <v>2.6544430830506411E-2</v>
      </c>
      <c r="LA15" s="189">
        <f>KZ15*(VLOOKUP($KX$9,各项系数!$D$1:$F$143,2,0))</f>
        <v>0.45125532411860897</v>
      </c>
      <c r="LB15" s="189">
        <f>各项系数!$F$76/4*($NI15^2-$NF15^2)*10^-2*(VLOOKUP($LB$9,各项系数!$D$1:$F$143,3,0))*10^-3*10^2*各项系数!$J$4</f>
        <v>2.7559718177922944E-2</v>
      </c>
      <c r="LC15" s="353">
        <v>1</v>
      </c>
      <c r="LD15" s="189">
        <f t="shared" si="153"/>
        <v>2.7559718177922944E-2</v>
      </c>
      <c r="LE15" s="189">
        <f>LD15*(VLOOKUP($LB$9,各项系数!$D$1:$F$143,2,0))</f>
        <v>0.46851520902469007</v>
      </c>
      <c r="LF15" s="235">
        <f>各项系数!$F$76/4*($NH15^2-$NE15^2)*10^-2*(VLOOKUP(AN15,各项系数!$D$1:$F$143,3,0))*10^-3*10^2*各项系数!$J$4</f>
        <v>2.6910560910927184E-2</v>
      </c>
      <c r="LG15" s="102">
        <v>1</v>
      </c>
      <c r="LH15" s="189">
        <f t="shared" si="82"/>
        <v>2.6910560910927184E-2</v>
      </c>
      <c r="LI15" s="189">
        <f>LH15*(VLOOKUP(AN15,各项系数!$D$1:$F$143,2,0))</f>
        <v>0.26910560910927184</v>
      </c>
      <c r="LJ15" s="235">
        <f>各项系数!$F$76/4*($NI15^2-$NF15^2)*10^-2*(VLOOKUP(AN15,各项系数!$D$1:$F$143,3,0))*10^-3*10^2*各项系数!$J$4</f>
        <v>2.7939852221756361E-2</v>
      </c>
      <c r="LK15" s="102">
        <v>1</v>
      </c>
      <c r="LL15" s="189">
        <f t="shared" si="83"/>
        <v>2.7939852221756361E-2</v>
      </c>
      <c r="LM15" s="189">
        <f>LL15*(VLOOKUP(AN15,各项系数!$D$1:$F$143,2,0))</f>
        <v>0.27939852221756362</v>
      </c>
      <c r="LN15" s="189">
        <f>各项系数!$F$76/4*($NH15^2-$NE15^2)*10^-2*(VLOOKUP($LN$9,各项系数!$D$1:$F$143,3,0))*10^-3*10^2*各项系数!$J$4</f>
        <v>2.6910560910927184E-2</v>
      </c>
      <c r="LO15" s="353">
        <v>1</v>
      </c>
      <c r="LP15" s="189">
        <f t="shared" si="84"/>
        <v>2.6910560910927184E-2</v>
      </c>
      <c r="LQ15" s="189">
        <f>LP15*(VLOOKUP($LN$9,各项系数!$D$1:$F$143,2,0))</f>
        <v>0.29601617002019903</v>
      </c>
      <c r="LR15" s="189">
        <f>各项系数!$F$76/4*($NI15^2-$NF15^2)*10^-2*(VLOOKUP($LR$9,各项系数!$D$1:$F$143,3,0))*10^-3*10^2*各项系数!$J$4</f>
        <v>2.7939852221756361E-2</v>
      </c>
      <c r="LS15" s="353">
        <v>1</v>
      </c>
      <c r="LT15" s="189">
        <f t="shared" si="85"/>
        <v>2.7939852221756361E-2</v>
      </c>
      <c r="LU15" s="189">
        <f>LT15*(VLOOKUP($LR$9,各项系数!$D$1:$F$143,2,0))</f>
        <v>0.30733837443931999</v>
      </c>
      <c r="LV15" s="227">
        <f t="shared" si="154"/>
        <v>0.95579888000000002</v>
      </c>
      <c r="LW15" s="227">
        <f t="shared" si="155"/>
        <v>0.95579888000000002</v>
      </c>
      <c r="LX15" s="227">
        <f t="shared" si="156"/>
        <v>1.1031595219321539</v>
      </c>
      <c r="LY15" s="227">
        <f t="shared" si="157"/>
        <v>0</v>
      </c>
      <c r="LZ15" s="374">
        <f t="shared" si="86"/>
        <v>1</v>
      </c>
      <c r="MA15" s="375">
        <f t="shared" si="87"/>
        <v>0.95579888000000002</v>
      </c>
      <c r="MB15" s="375">
        <f t="shared" si="158"/>
        <v>1.1031595199999999</v>
      </c>
      <c r="MC15" s="227">
        <f t="shared" si="159"/>
        <v>0</v>
      </c>
      <c r="MD15" s="227">
        <f t="shared" si="160"/>
        <v>0</v>
      </c>
      <c r="ME15" s="227">
        <f t="shared" si="161"/>
        <v>0</v>
      </c>
      <c r="MF15" s="227">
        <f t="shared" si="162"/>
        <v>0</v>
      </c>
      <c r="MG15" s="374">
        <f t="shared" si="163"/>
        <v>1</v>
      </c>
      <c r="MH15" s="375">
        <f t="shared" si="88"/>
        <v>0</v>
      </c>
      <c r="MI15" s="375">
        <f t="shared" si="164"/>
        <v>0</v>
      </c>
      <c r="MJ15" s="189">
        <f t="shared" si="89"/>
        <v>1.1031595199999999</v>
      </c>
      <c r="MK15" s="189">
        <f t="shared" si="165"/>
        <v>1.1031595199999999</v>
      </c>
      <c r="ML15" s="189">
        <f t="shared" si="90"/>
        <v>0</v>
      </c>
      <c r="MM15" s="189">
        <f t="shared" si="91"/>
        <v>0</v>
      </c>
      <c r="MN15" s="189">
        <f t="shared" si="92"/>
        <v>2.3031595199999999</v>
      </c>
      <c r="MO15" s="189">
        <f t="shared" si="166"/>
        <v>0</v>
      </c>
      <c r="MP15" s="189">
        <f t="shared" si="167"/>
        <v>2.3031595199999999</v>
      </c>
      <c r="MQ15" s="189">
        <f t="shared" si="93"/>
        <v>2.3031595199999999</v>
      </c>
      <c r="MR15" s="246">
        <f t="shared" si="168"/>
        <v>2.3031595199999999</v>
      </c>
      <c r="MS15" s="380">
        <f t="shared" si="94"/>
        <v>2.3031595199999999</v>
      </c>
      <c r="MT15" s="380">
        <f t="shared" si="95"/>
        <v>2.46315952</v>
      </c>
      <c r="MU15" s="380">
        <f t="shared" si="96"/>
        <v>2.7031595199999998</v>
      </c>
      <c r="MV15" s="380">
        <f t="shared" si="97"/>
        <v>5.1031595200000002</v>
      </c>
      <c r="MW15" s="380">
        <f t="shared" si="98"/>
        <v>5.2631595200000003</v>
      </c>
      <c r="MX15" s="254">
        <f t="shared" si="99"/>
        <v>1.5831595199999999</v>
      </c>
      <c r="MY15" s="254">
        <f t="shared" si="100"/>
        <v>0</v>
      </c>
      <c r="MZ15" s="189">
        <f t="shared" si="101"/>
        <v>2.7831595199999999</v>
      </c>
      <c r="NA15" s="189">
        <f t="shared" si="102"/>
        <v>0</v>
      </c>
      <c r="NB15" s="189">
        <f t="shared" si="169"/>
        <v>2.7831595199999999</v>
      </c>
      <c r="NC15" s="254">
        <f t="shared" si="103"/>
        <v>2.7831595199999999</v>
      </c>
      <c r="ND15" s="246">
        <f t="shared" si="104"/>
        <v>2.7831595199999999</v>
      </c>
      <c r="NE15" s="386">
        <f t="shared" si="105"/>
        <v>2.7831595199999999</v>
      </c>
      <c r="NF15" s="380">
        <f t="shared" si="106"/>
        <v>2.94315952</v>
      </c>
      <c r="NG15" s="387">
        <f t="shared" si="107"/>
        <v>3.1831595199999998</v>
      </c>
      <c r="NH15" s="254">
        <f t="shared" si="108"/>
        <v>5.5831595199999997</v>
      </c>
      <c r="NI15" s="380">
        <f t="shared" si="109"/>
        <v>5.7431595199999999</v>
      </c>
      <c r="NK15" s="388">
        <f t="shared" si="110"/>
        <v>3.5791014649444342E-2</v>
      </c>
      <c r="NL15" s="388">
        <f t="shared" si="111"/>
        <v>0.827841350186588</v>
      </c>
      <c r="NM15" s="388">
        <f t="shared" si="112"/>
        <v>3.5791014649444342E-2</v>
      </c>
      <c r="NN15" s="388">
        <f t="shared" si="113"/>
        <v>0.8516640371650277</v>
      </c>
      <c r="NO15" s="388">
        <f t="shared" si="114"/>
        <v>4.1380651092707915E-2</v>
      </c>
      <c r="NP15" s="388">
        <f t="shared" si="115"/>
        <v>0.90660800428643395</v>
      </c>
      <c r="NQ15" s="388">
        <f t="shared" si="116"/>
        <v>4.1380651092707915E-2</v>
      </c>
      <c r="NR15" s="388">
        <f t="shared" si="117"/>
        <v>0.93351856519736121</v>
      </c>
      <c r="NS15" s="388">
        <f t="shared" si="118"/>
        <v>3.9119891148408172E-2</v>
      </c>
      <c r="NT15" s="388">
        <f t="shared" si="119"/>
        <v>3.9119891148408172E-2</v>
      </c>
      <c r="NU15" s="388">
        <f t="shared" si="120"/>
        <v>4.5380007560004966E-2</v>
      </c>
      <c r="NV15" s="388">
        <f t="shared" si="121"/>
        <v>4.5380007560004966E-2</v>
      </c>
      <c r="NW15">
        <f t="shared" si="122"/>
        <v>4.8028670314290492E-2</v>
      </c>
      <c r="NX15">
        <f>各项系数!$M$9*NK15</f>
        <v>1.0737304394833303E-2</v>
      </c>
      <c r="NY15">
        <f t="shared" si="123"/>
        <v>3.9119891148408172E-2</v>
      </c>
      <c r="OB15" s="66" t="str">
        <f t="shared" si="124"/>
        <v>1*1</v>
      </c>
      <c r="OC15" s="395">
        <f t="shared" si="125"/>
        <v>110.31595161029</v>
      </c>
      <c r="OD15" s="395">
        <f>SQRT(4*EY15/PI()/EH15/各项系数!$J$4/各项系数!$F$5*10000000)</f>
        <v>110.31595161029</v>
      </c>
      <c r="OE15" s="396">
        <f t="shared" si="126"/>
        <v>0.95579886989884189</v>
      </c>
      <c r="OF15" s="396">
        <f t="shared" si="127"/>
        <v>0.95579886989884189</v>
      </c>
      <c r="OG15" s="66"/>
      <c r="OH15" s="397"/>
    </row>
    <row r="16" spans="1:398" ht="15" hidden="1" customHeight="1">
      <c r="A16" s="50">
        <v>1.5</v>
      </c>
      <c r="B16" s="51">
        <v>0.01</v>
      </c>
      <c r="C16" s="52">
        <v>0.7</v>
      </c>
      <c r="D16" s="53" t="s">
        <v>176</v>
      </c>
      <c r="E16" s="54">
        <f t="shared" si="1"/>
        <v>5.5492266699999995</v>
      </c>
      <c r="F16" s="57">
        <v>134.922667214547</v>
      </c>
      <c r="G16" s="56"/>
      <c r="H16" s="56"/>
      <c r="I16" s="56"/>
      <c r="J16" s="56"/>
      <c r="K16" s="56"/>
      <c r="L16" s="97" t="s">
        <v>467</v>
      </c>
      <c r="M16" s="98">
        <f t="shared" si="2"/>
        <v>0.7</v>
      </c>
      <c r="N16" s="98">
        <f t="shared" si="3"/>
        <v>0</v>
      </c>
      <c r="O16" s="53"/>
      <c r="P16" s="99">
        <v>0.1</v>
      </c>
      <c r="Q16" s="133">
        <f t="shared" si="170"/>
        <v>0.1</v>
      </c>
      <c r="R16" s="131">
        <v>0.8</v>
      </c>
      <c r="S16" s="132" t="s">
        <v>521</v>
      </c>
      <c r="T16" s="133">
        <v>0.2</v>
      </c>
      <c r="U16" s="53">
        <v>2</v>
      </c>
      <c r="V16" s="131"/>
      <c r="W16" s="103">
        <v>1.4</v>
      </c>
      <c r="X16" s="135">
        <f t="shared" si="171"/>
        <v>0.2</v>
      </c>
      <c r="Y16" s="135">
        <v>2</v>
      </c>
      <c r="Z16" s="168">
        <v>0.2</v>
      </c>
      <c r="AA16" s="153">
        <v>1</v>
      </c>
      <c r="AB16" s="153">
        <f>PI()*EJ16*EJ16/4*EH16*(1-H16)*AA16*各项系数!$F$5*各项系数!$J$4*10^-7</f>
        <v>1.2646913814443796E-2</v>
      </c>
      <c r="AC16" s="153">
        <f t="shared" si="4"/>
        <v>134.922667214547</v>
      </c>
      <c r="AD16" s="153">
        <f t="shared" si="5"/>
        <v>1.4297487227412424</v>
      </c>
      <c r="AE16" s="153">
        <f>POWER(4*EU16/PI()/EG16/10^-7/EH16/(1-H16)/各项系数!$F$5/各项系数!$J$4,0.5)</f>
        <v>134.922667214547</v>
      </c>
      <c r="AF16" s="69">
        <v>1</v>
      </c>
      <c r="AG16" s="69">
        <f>IF(EM16=0,0,PI()*ER16*ER16/4*EP16*(1-K16)*(1+AF16)*各项系数!$F$5*各项系数!$J$4*10^-7)</f>
        <v>0</v>
      </c>
      <c r="AH16" s="69">
        <f t="shared" si="6"/>
        <v>0</v>
      </c>
      <c r="AI16" s="69">
        <f t="shared" si="128"/>
        <v>0</v>
      </c>
      <c r="AJ16" s="69">
        <f>IF(OR(EP16="",EP16=0),0,POWER(4*EW16/PI()/EO16/10^-7/EP16/(1-K16)/各项系数!$F$5/各项系数!$J$4,0.5))</f>
        <v>0</v>
      </c>
      <c r="AK16" s="69" t="str">
        <f t="shared" si="8"/>
        <v>√</v>
      </c>
      <c r="AL16" s="69">
        <f t="shared" si="9"/>
        <v>1.2066866861448087</v>
      </c>
      <c r="AM16" s="188">
        <f t="shared" si="10"/>
        <v>1.5</v>
      </c>
      <c r="AN16" s="97" t="s">
        <v>486</v>
      </c>
      <c r="AO16" s="196">
        <f>AP16+各项系数!$M$9*$NK16</f>
        <v>1.1830261628870673</v>
      </c>
      <c r="AP16" s="196">
        <f>AQ16*(1+$BI16+(VLOOKUP($AM16,$A$12:$B$323,2,0))+各项系数!$J$6+各项系数!$M$5)*(1+$E$2)</f>
        <v>1.1697447039068445</v>
      </c>
      <c r="AQ16" s="197">
        <f>AR16+各项系数!$L$9*$NK16</f>
        <v>1.1817990542602996</v>
      </c>
      <c r="AR16" s="197">
        <f>AS16*(1+$BJ16+各项系数!$J$5+各项系数!$L$5)</f>
        <v>1.1685175952800768</v>
      </c>
      <c r="AS16" s="197">
        <f t="shared" si="129"/>
        <v>1.1456054855687028</v>
      </c>
      <c r="AT16" s="196">
        <f>AU16+各项系数!$M$9*$NM16</f>
        <v>1.3654320503632724</v>
      </c>
      <c r="AU16" s="196">
        <f>AV16*(1+$BI16+(VLOOKUP($AM16,$A$12:$B$323,2,0))+各项系数!$J$6+各项系数!$M$5)*(1+$E$2)</f>
        <v>1.3521505913830496</v>
      </c>
      <c r="AV16" s="197">
        <f>AW16+各项系数!$L$9*$NM16</f>
        <v>1.3660846548626486</v>
      </c>
      <c r="AW16" s="197">
        <f>AX16*(1+$BJ16+各项系数!$J$5+各项系数!$L$5)</f>
        <v>1.3528031958824258</v>
      </c>
      <c r="AX16" s="197">
        <f t="shared" si="130"/>
        <v>1.326277643021986</v>
      </c>
      <c r="AY16" s="196">
        <f>AZ16+各项系数!$M$9*$NS16</f>
        <v>1.4650938907860578</v>
      </c>
      <c r="AZ16" s="196">
        <f>BA16*(1+$BI16+(VLOOKUP($AM16,$A$12:$B$214,2,0))+各项系数!$J$6+各项系数!$M$5)*(1+$E$2)</f>
        <v>1.4506268444257668</v>
      </c>
      <c r="BA16" s="197">
        <f>BB16+各项系数!$L$9*$NS16</f>
        <v>1.4655757167364789</v>
      </c>
      <c r="BB16" s="197">
        <f>BC16*(1+$BJ16+各项系数!$J$5+各项系数!$L$5)</f>
        <v>1.451108670376188</v>
      </c>
      <c r="BC16" s="199">
        <f t="shared" si="131"/>
        <v>1.4226555591923411</v>
      </c>
      <c r="BD16" s="196">
        <f>BE16+各项系数!$M$9*$NS16</f>
        <v>1.6545336051214234</v>
      </c>
      <c r="BE16" s="196">
        <f>BF16*(1+$BI16+(VLOOKUP($AM16,$A$12:$B$214,2,0))+各项系数!$J$6+各项系数!$M$5)*(1+$E$2)</f>
        <v>1.6400665587611325</v>
      </c>
      <c r="BF16" s="197">
        <f>BG16+各项系数!$L$9*$NS16</f>
        <v>1.6569676285725727</v>
      </c>
      <c r="BG16" s="197">
        <f>BH16*(1+$BJ16+各项系数!$J$5+各项系数!$L$5)</f>
        <v>1.6425005822122818</v>
      </c>
      <c r="BH16" s="199">
        <f t="shared" si="132"/>
        <v>1.6102946884434135</v>
      </c>
      <c r="BI16" s="51"/>
      <c r="BJ16" s="208"/>
      <c r="BK16" s="102"/>
      <c r="BL16" s="196">
        <f>BM16+各项系数!$M$9*$NM16</f>
        <v>1.2215779735532057</v>
      </c>
      <c r="BM16" s="196">
        <f>BN16*(1+$CF16+(VLOOKUP($AM16,$A$12:$B$323,2,0))+各项系数!$J$6+各项系数!$M$5)*(1+$E$2)</f>
        <v>1.2082965145729829</v>
      </c>
      <c r="BN16" s="197">
        <f>BO16+各项系数!$L$9*$NM16</f>
        <v>1.2207481456587017</v>
      </c>
      <c r="BO16" s="197">
        <f>BP16*(1+$CG16+各项系数!$J$5+各项系数!$L$5)</f>
        <v>1.2074666866784789</v>
      </c>
      <c r="BP16" s="197">
        <f t="shared" si="133"/>
        <v>1.1722977540567756</v>
      </c>
      <c r="BQ16" s="196">
        <f>BR16+各项系数!$M$9*$NM16</f>
        <v>1.378559546473904</v>
      </c>
      <c r="BR16" s="196">
        <f>BS16*(1+$CF16+(VLOOKUP($AM16,$A$12:$B$323,2,0))+各项系数!$J$6+各项系数!$M$5)*(1+$E$2)</f>
        <v>1.3652780874936812</v>
      </c>
      <c r="BS16" s="197">
        <f>BT16+各项系数!$L$9*$NM16</f>
        <v>1.3793474312928684</v>
      </c>
      <c r="BT16" s="197">
        <f>BU16*(1+$CG16+各项系数!$J$5+各项系数!$L$5)</f>
        <v>1.3660659723126456</v>
      </c>
      <c r="BU16" s="197">
        <f t="shared" si="134"/>
        <v>1.326277643021986</v>
      </c>
      <c r="BV16" s="196">
        <f>BW16+各项系数!$M$9*$NT16</f>
        <v>1.5012969333519421</v>
      </c>
      <c r="BW16" s="196">
        <f>BX16*(1+$CF16+(VLOOKUP($AM16,$A$12:$B$214,2,0))+各项系数!$J$6+各项系数!$M$5)*(1+$E$2)</f>
        <v>1.4868298869916512</v>
      </c>
      <c r="BX16" s="197">
        <f>BY16+各项系数!$L$9*$NT$12</f>
        <v>1.502151835715954</v>
      </c>
      <c r="BY16" s="197">
        <f>BZ16*(1+$CG16+各项系数!$J$5+各项系数!$L$5)</f>
        <v>1.4938884325609805</v>
      </c>
      <c r="BZ16" s="199">
        <f t="shared" si="11"/>
        <v>1.4503771189912431</v>
      </c>
      <c r="CA16" s="196">
        <f>CB16+各项系数!$M$9*$NT16</f>
        <v>1.6643319359030133</v>
      </c>
      <c r="CB16" s="196">
        <f>CC16*(1+$CF16+(VLOOKUP($AM16,$A$12:$B$214,2,0))+各项系数!$J$6+各项系数!$M$5)*(1+$E$2)</f>
        <v>1.6498648895427224</v>
      </c>
      <c r="CC16" s="197">
        <f>CD16+各项系数!$L$9*$NT$12</f>
        <v>1.6668669322516896</v>
      </c>
      <c r="CD16" s="197">
        <f>CE16*(1+$CG16+各项系数!$J$5+各项系数!$L$5)</f>
        <v>1.658603529096716</v>
      </c>
      <c r="CE16" s="199">
        <f t="shared" si="135"/>
        <v>1.6102946884434135</v>
      </c>
      <c r="CF16" s="213">
        <f t="shared" si="136"/>
        <v>0</v>
      </c>
      <c r="CG16" s="213">
        <f t="shared" si="12"/>
        <v>0.01</v>
      </c>
      <c r="CH16" s="102"/>
      <c r="CI16" s="196">
        <f>CJ16+各项系数!$M$9*$NO16</f>
        <v>1.2881192745448913</v>
      </c>
      <c r="CJ16" s="196">
        <f>CK16*(1+$DC16+(VLOOKUP($AM16,$A$12:$B$323,2,0))+各项系数!$J$6+各项系数!$M$5)*(1+$E$2)+各项系数!$M$9*$NK16</f>
        <v>1.2730283394442012</v>
      </c>
      <c r="CK16" s="197">
        <f>CL16+各项系数!$L$9*$NO16</f>
        <v>1.2727287133400469</v>
      </c>
      <c r="CL16" s="197">
        <f>CM16*(1+$DD16+各项系数!$J$5+各项系数!$L$5)</f>
        <v>1.2576377782393569</v>
      </c>
      <c r="CM16" s="197">
        <f t="shared" si="13"/>
        <v>1.2329782139601537</v>
      </c>
      <c r="CN16" s="196">
        <f>CO16+各项系数!$M$9*$NO16</f>
        <v>1.4393501103136592</v>
      </c>
      <c r="CO16" s="196">
        <f>CP16*(1+$DC16+(VLOOKUP($AM16,$A$12:$B$323,2,0))+各项系数!$J$6+各项系数!$M$5)*(1+$E$2)+各项系数!$M$9*$NK16</f>
        <v>1.4242591752129692</v>
      </c>
      <c r="CP16" s="197">
        <f>CQ16+各项系数!$L$9*$NO16</f>
        <v>1.4255179998310228</v>
      </c>
      <c r="CQ16" s="197">
        <f>CR16*(1+$DD16+各项系数!$J$5+各项系数!$L$5)</f>
        <v>1.4104270647303327</v>
      </c>
      <c r="CR16" s="197">
        <f t="shared" si="14"/>
        <v>1.3827716320885615</v>
      </c>
      <c r="CS16" s="196">
        <f>CT16+各项系数!$M$9*$NU16</f>
        <v>1.6029974676283376</v>
      </c>
      <c r="CT16" s="196">
        <f t="shared" si="15"/>
        <v>1.5865198011570794</v>
      </c>
      <c r="CU16" s="197">
        <f>CV16+各项系数!$L$9*$NU16</f>
        <v>1.6028690656264692</v>
      </c>
      <c r="CV16" s="197">
        <f>CW16*(1+$DD16+各项系数!$J$5+各项系数!$L$5)</f>
        <v>1.586391399155211</v>
      </c>
      <c r="CW16" s="199">
        <f t="shared" si="16"/>
        <v>1.5552856854462853</v>
      </c>
      <c r="CX16" s="196">
        <f>CY16+各项系数!$M$9*$NU16</f>
        <v>1.813538662541186</v>
      </c>
      <c r="CY16" s="196">
        <f t="shared" si="17"/>
        <v>1.7970609960699278</v>
      </c>
      <c r="CZ16" s="197">
        <f>DA16+各项系数!$L$9*$NU16</f>
        <v>1.8155799111637987</v>
      </c>
      <c r="DA16" s="197">
        <f>DB16*(1+$DD16+各项系数!$J$5+各项系数!$L$5)</f>
        <v>1.7991022446925404</v>
      </c>
      <c r="DB16" s="199">
        <f t="shared" si="18"/>
        <v>1.7638257300907259</v>
      </c>
      <c r="DC16" s="213">
        <f t="shared" si="137"/>
        <v>0</v>
      </c>
      <c r="DD16" s="213">
        <f t="shared" si="19"/>
        <v>0</v>
      </c>
      <c r="DE16" s="53"/>
      <c r="DF16" s="53"/>
      <c r="DG16" s="196">
        <f>DH16+各项系数!$M$9*$NQ16</f>
        <v>1.3306839694235757</v>
      </c>
      <c r="DH16" s="196">
        <f>DI16*(1+$EA16+(VLOOKUP($AM16,$A$12:$B$323,2,0))+各项系数!$J$6+各项系数!$M$5)*(1+$E$2)+各项系数!$M$9*$NK16</f>
        <v>1.3155930343228857</v>
      </c>
      <c r="DI16" s="197">
        <f>DJ16+各项系数!$L$9*$NQ16</f>
        <v>1.3157320421728256</v>
      </c>
      <c r="DJ16" s="197">
        <f>DK16*(1+$EB16+各项系数!$J$5+各项系数!$L$5)</f>
        <v>1.3006411070721355</v>
      </c>
      <c r="DK16" s="197">
        <f t="shared" si="20"/>
        <v>1.2627583563807141</v>
      </c>
      <c r="DL16" s="196">
        <f>DM16+各项系数!$M$9*$NQ16</f>
        <v>1.5058258312353925</v>
      </c>
      <c r="DM16" s="196">
        <f>DN16*(1+$EA16+(VLOOKUP($AM16,$A$12:$B$323,2,0))+各项系数!$J$6+各项系数!$M$5)*(1+$E$2)+各项系数!$M$9*$NK16</f>
        <v>1.4907348961347024</v>
      </c>
      <c r="DN16" s="197">
        <f>DO16+各项系数!$L$9*$NQ16</f>
        <v>1.4926787605116991</v>
      </c>
      <c r="DO16" s="197">
        <f>DP16*(1+$EB16+各项系数!$J$5+各项系数!$L$5)</f>
        <v>1.4775878254110091</v>
      </c>
      <c r="DP16" s="197">
        <f t="shared" si="21"/>
        <v>1.4345512868068049</v>
      </c>
      <c r="DQ16" s="196">
        <f>DR16+各项系数!$M$9*$NV16</f>
        <v>1.6498017181754341</v>
      </c>
      <c r="DR16" s="196">
        <f t="shared" si="22"/>
        <v>1.6333240517041758</v>
      </c>
      <c r="DS16" s="197">
        <f>DT16+各项系数!$L$9*$NV16</f>
        <v>1.6501556392242633</v>
      </c>
      <c r="DT16" s="197">
        <f>DU16*(1+$EB16+各项系数!$J$5+各项系数!$L$5)</f>
        <v>1.6336779727530051</v>
      </c>
      <c r="DU16" s="199">
        <f t="shared" si="23"/>
        <v>1.5860951191776749</v>
      </c>
      <c r="DV16" s="196">
        <f>DW16+各项系数!$M$9*$NV16</f>
        <v>1.7676922626491225</v>
      </c>
      <c r="DW16" s="196">
        <f t="shared" si="24"/>
        <v>1.7512145961778642</v>
      </c>
      <c r="DX16" s="197">
        <f>DY16+各项系数!$L$9*$NV16</f>
        <v>1.7692610589794546</v>
      </c>
      <c r="DY16" s="197">
        <f>DZ16*(1+$EB16+各项系数!$J$5+各项系数!$L$5)</f>
        <v>1.7527833925081964</v>
      </c>
      <c r="DZ16" s="199">
        <f t="shared" si="25"/>
        <v>1.7017314490370838</v>
      </c>
      <c r="EA16" s="213">
        <f t="shared" si="26"/>
        <v>0</v>
      </c>
      <c r="EB16" s="213">
        <f t="shared" si="27"/>
        <v>0.01</v>
      </c>
      <c r="EC16" s="235">
        <f t="shared" si="138"/>
        <v>1</v>
      </c>
      <c r="ED16" s="235" t="str">
        <f t="shared" si="139"/>
        <v>1*1.5</v>
      </c>
      <c r="EE16" s="189">
        <f t="shared" si="28"/>
        <v>1.5</v>
      </c>
      <c r="EF16" s="189">
        <f>LOOKUP(EH16,{1,7,10,14,19,24,30,37,48,61},{1,"1+6","2+8","4+10","1+6+12","2+8+14","4+10+16","1+6+12+18","3+9+15+21","1+6+12+18+24"})</f>
        <v>1</v>
      </c>
      <c r="EG16" s="188">
        <f t="shared" si="29"/>
        <v>1</v>
      </c>
      <c r="EH16" s="197">
        <f>IF(AM16&lt;10,1,IF(AND(AM16&gt;=10,AM16&lt;=35),7,LOOKUP(AM16,{50,70,95,120,150,185,240,300,400,500,630},{10,14,19,24,30,37,48,61,61,61,61})*1))</f>
        <v>1</v>
      </c>
      <c r="EI16" s="188">
        <f>IF(EH16=0,0,VLOOKUP(EH16,各项系数!$D$142:$E$195,2,0))*1</f>
        <v>1</v>
      </c>
      <c r="EJ16" s="238">
        <f t="shared" si="141"/>
        <v>134.922667214547</v>
      </c>
      <c r="EK16" s="189">
        <f t="shared" si="30"/>
        <v>0</v>
      </c>
      <c r="EL16" s="189">
        <f t="shared" si="31"/>
        <v>0</v>
      </c>
      <c r="EM16" s="189">
        <f t="shared" si="32"/>
        <v>0</v>
      </c>
      <c r="EN16" s="189">
        <f>IF(EP16=0,0,LOOKUP(EP16,{1,7,10,14,19,24,30,37,48,61},{1,"1+6","2+8","4+10","1+6+12","2+8+14","4+10+16","1+6+12+18","3+9+15+21","1+6+12+18+24"}))</f>
        <v>0</v>
      </c>
      <c r="EO16" s="189">
        <f t="shared" si="33"/>
        <v>0</v>
      </c>
      <c r="EP16" s="189">
        <f>IF(EM16=0,0,IF(EM16&lt;10,1,IF(AND(EM16&gt;=10,EM16&lt;=35),7,LOOKUP(EM16,{50,70,95,120,150,185,240,300},{10,14,19,24,30,37,48,61})*1)))</f>
        <v>0</v>
      </c>
      <c r="EQ16" s="189">
        <f>IF(EP16=0,0,VLOOKUP(EP16,各项系数!$D$142:$E$195,2,0))*1</f>
        <v>0</v>
      </c>
      <c r="ER16" s="189">
        <f t="shared" si="34"/>
        <v>0</v>
      </c>
      <c r="ES16" s="235">
        <f t="shared" si="35"/>
        <v>1</v>
      </c>
      <c r="ET16" s="189">
        <f>VLOOKUP(ES16,各项系数!$D$142:$E$195,2,0)*1</f>
        <v>1</v>
      </c>
      <c r="EU16" s="243">
        <f>((各项系数!$F$76/4*$EJ16^2*$EG16*$EH16*1*10^-7)*(1-$H16)*AA16)*(VLOOKUP($EY$9,各项系数!$D$4:$F$143,3,0))*各项系数!$J$4</f>
        <v>1.2646913814443798E-2</v>
      </c>
      <c r="EV16" s="244">
        <f>EU16*(VLOOKUP($EY$9,各项系数!$D$4:$F$143,2,0))</f>
        <v>0.82837285484606882</v>
      </c>
      <c r="EW16" s="252">
        <f>(IF($EO16=0,0,(各项系数!$F$76/4*$ER16^2*$EO16*$EP16*1*10^-7))*(1-$K16)*$AF16)*(VLOOKUP($EY$9,各项系数!$D$4:$F$143,3,0))*各项系数!$J$4</f>
        <v>0</v>
      </c>
      <c r="EX16" s="253">
        <f>EW16*(VLOOKUP($EY$9,各项系数!$D$4:$F$143,2,0))</f>
        <v>0</v>
      </c>
      <c r="EY16" s="189">
        <f>((各项系数!$F$76/4*$EJ16^2*$EG16*$EH16*1*10^-7)*(1-$H16)*AA16+IF($EO16=0,0,(各项系数!$F$76/4*$ER16^2*$EO16*$EP16*1*10^-7))*(1-$K16)*$AF16)*(VLOOKUP($EY$9,各项系数!$D$4:$F$143,3,0))*各项系数!$J$4</f>
        <v>1.2646913814443798E-2</v>
      </c>
      <c r="EZ16" s="102">
        <v>1</v>
      </c>
      <c r="FA16" s="189">
        <f t="shared" si="36"/>
        <v>1.2646913814443798E-2</v>
      </c>
      <c r="FB16" s="254">
        <f>FA16*(VLOOKUP($EY$9,各项系数!$D$4:$F$143,2,0))</f>
        <v>0.82837285484606882</v>
      </c>
      <c r="FC16" s="255"/>
      <c r="FD16" s="235">
        <f>各项系数!$F$76/4*($MN16^2-MK16^2)*10^-2*(VLOOKUP(L16,各项系数!$D$1:$F$143,3,0))*10^-3*10^2*$EG16*各项系数!$J$4</f>
        <v>4.9323476315592044E-3</v>
      </c>
      <c r="FE16" s="262">
        <f>FD16*VLOOKUP(L16,各项系数!$D$1:$F$143,2,0)</f>
        <v>5.0309945841903882E-2</v>
      </c>
      <c r="FF16" s="188">
        <f>各项系数!$F$76/4*($MO16^2-ML16^2)*10^-2*(VLOOKUP(L16,各项系数!$D$1:$F$143,3,0))*10^-3*10^2*$EO16*各项系数!$J$4</f>
        <v>0</v>
      </c>
      <c r="FG16" s="262">
        <f>FF16*VLOOKUP(L16,各项系数!$D$1:$F$143,2,0)</f>
        <v>0</v>
      </c>
      <c r="FH16" s="235">
        <f t="shared" si="142"/>
        <v>4.9323476315592044E-3</v>
      </c>
      <c r="FI16" s="102">
        <v>1</v>
      </c>
      <c r="FJ16" s="189">
        <f t="shared" si="37"/>
        <v>4.9323476315592044E-3</v>
      </c>
      <c r="FK16" s="262">
        <f>FJ16*VLOOKUP(L16,各项系数!$D$1:$F$143,2,0)</f>
        <v>5.0309945841903882E-2</v>
      </c>
      <c r="FL16" s="235"/>
      <c r="FM16" s="102"/>
      <c r="FN16" s="189"/>
      <c r="FO16" s="262"/>
      <c r="FP16" s="282">
        <f t="shared" si="38"/>
        <v>4.9323476315592044E-3</v>
      </c>
      <c r="FQ16" s="282">
        <f t="shared" si="39"/>
        <v>5.0309945841903882E-2</v>
      </c>
      <c r="FR16" s="283">
        <f>各项系数!$F$76/4*($MQ16^2-$MN16^2*$EG16-$MO16^2*$EO16)*10^-2</f>
        <v>2.0927210988051792E-17</v>
      </c>
      <c r="FS16" s="284">
        <f t="shared" si="143"/>
        <v>1</v>
      </c>
      <c r="FT16" s="285">
        <f t="shared" si="40"/>
        <v>2.0927210988051792E-17</v>
      </c>
      <c r="FU16" s="302">
        <f>$FT16*(VLOOKUP($FT$9,各项系数!$D$1:$F$143,3,0))*10^-3*10^2*各项系数!$J$55</f>
        <v>2.4987089919733837E-18</v>
      </c>
      <c r="FV16" s="303">
        <v>1</v>
      </c>
      <c r="FW16" s="304">
        <f t="shared" si="41"/>
        <v>2.4987089919733837E-18</v>
      </c>
      <c r="FX16" s="285">
        <f>FW16*(VLOOKUP($FT$9,各项系数!$D$1:$F$143,2,0))</f>
        <v>7.4961269759201507E-18</v>
      </c>
      <c r="FY16" s="302">
        <f>IF($BK16&lt;&gt;$FY$9,0,各项系数!$F$76/4*($MS16^2-$MQ16^2)*10^-2*(VLOOKUP($FY$9,各项系数!$D$1:$F$143,3,0))*10^-3*10^2)*各项系数!$J$4</f>
        <v>0</v>
      </c>
      <c r="FZ16" s="303">
        <v>1</v>
      </c>
      <c r="GA16" s="304">
        <f t="shared" si="42"/>
        <v>0</v>
      </c>
      <c r="GB16" s="285">
        <f>GA16*(VLOOKUP($FY$9,各项系数!$D$1:$F$143,2,0))</f>
        <v>0</v>
      </c>
      <c r="GC16" s="302">
        <f>IF($BK16&lt;&gt;$GC$9,0,各项系数!$F$76/4*($MS16^2-$MQ16^2)*10^-2*(VLOOKUP($GC$9,各项系数!$D$1:$F$143,3,0))*10^-3*10^2)*各项系数!$J$4</f>
        <v>0</v>
      </c>
      <c r="GD16" s="303">
        <v>1</v>
      </c>
      <c r="GE16" s="304">
        <f t="shared" si="43"/>
        <v>0</v>
      </c>
      <c r="GF16" s="285">
        <f>GE16*(VLOOKUP($GC$9,各项系数!$D$1:$F$143,2,0))</f>
        <v>0</v>
      </c>
      <c r="GG16" s="302">
        <f>IF($BK16&lt;&gt;$GG$9,0,各项系数!$F$76/4*($MS16^2-$MQ16^2)*10^-2*(VLOOKUP($GG$9,各项系数!$D$1:$F$143,3,0))*10^-3*10^2)*各项系数!$J$4</f>
        <v>0</v>
      </c>
      <c r="GH16" s="303">
        <v>1</v>
      </c>
      <c r="GI16" s="304">
        <f t="shared" si="44"/>
        <v>0</v>
      </c>
      <c r="GJ16" s="285">
        <f>GI16*(VLOOKUP($GG$9,各项系数!$D$1:$F$143,2,0))</f>
        <v>0</v>
      </c>
      <c r="GK16" s="302">
        <f>IF($BK16&lt;&gt;$GK$9,0,各项系数!$F$76/4*($MS16^2-$MQ16^2)*10^-2*(VLOOKUP($GK$9,各项系数!$D$1:$F$143,3,0))*10^-3*10^2)*各项系数!$J$4</f>
        <v>0</v>
      </c>
      <c r="GL16" s="303">
        <v>1</v>
      </c>
      <c r="GM16" s="304">
        <f t="shared" si="45"/>
        <v>0</v>
      </c>
      <c r="GN16" s="285">
        <f>GM16*(VLOOKUP($GK$9,各项系数!$D$1:$F$143,2,0))</f>
        <v>0</v>
      </c>
      <c r="GO16" s="304">
        <f t="shared" si="46"/>
        <v>0</v>
      </c>
      <c r="GP16" s="304">
        <f t="shared" si="47"/>
        <v>0</v>
      </c>
      <c r="GQ16" s="315">
        <f>各项系数!$F$76/4*($MU16^2-$MS16^2)*10^-2*(VLOOKUP($S16,各项系数!$D$1:$F$143,3,0))*10^-3*10^2*各项系数!$J$4</f>
        <v>1.4418426063809494E-2</v>
      </c>
      <c r="GR16" s="303">
        <v>1</v>
      </c>
      <c r="GS16" s="304">
        <f t="shared" si="48"/>
        <v>1.4418426063809494E-2</v>
      </c>
      <c r="GT16" s="304">
        <f t="shared" si="49"/>
        <v>1</v>
      </c>
      <c r="GU16" s="304">
        <f>ROUND($GS16*(VLOOKUP($S16,各项系数!$D$1:$F$143,2,0))+$E$3*GS16,GT16)</f>
        <v>0.2</v>
      </c>
      <c r="GV16" s="315">
        <f>各项系数!$F$76/4*($MT16^2-$MS16^2)*10^-2*(VLOOKUP($GV$9,各项系数!$D$1:$F$143,3,0))*10^-3*10^2*各项系数!$J$4*PI()/4*R16</f>
        <v>3.9519579335606887E-3</v>
      </c>
      <c r="GW16" s="303">
        <v>1</v>
      </c>
      <c r="GX16" s="304">
        <f t="shared" si="50"/>
        <v>3.9519579335606887E-3</v>
      </c>
      <c r="GY16" s="304">
        <f>$GX16*(VLOOKUP($GV$9,各项系数!$D$1:$F$143,2,0))</f>
        <v>0.26675716051534648</v>
      </c>
      <c r="GZ16" s="315">
        <f>各项系数!$F$76/4*($MV16^2-$MS16^2)*10^-2*(VLOOKUP($GZ$9,各项系数!$D$1:$F$143,3,0))*10^-3*10^2*各项系数!$J$4</f>
        <v>2.6329108372589016E-2</v>
      </c>
      <c r="HA16" s="303">
        <v>1</v>
      </c>
      <c r="HB16" s="304">
        <f t="shared" si="144"/>
        <v>2.6329108372589016E-2</v>
      </c>
      <c r="HC16" s="304">
        <f>HB16*(VLOOKUP($GZ$9,各项系数!$D$1:$F$143,2,0))</f>
        <v>0.44759484233401325</v>
      </c>
      <c r="HD16" s="315">
        <f>各项系数!$F$76/4*($MW16^2-$MT16^2)*10^-2*(VLOOKUP($HD$9,各项系数!$D$1:$F$143,3,0))*10^-3*10^2*各项系数!$J$4</f>
        <v>2.7344395720005542E-2</v>
      </c>
      <c r="HE16" s="303">
        <v>1</v>
      </c>
      <c r="HF16" s="304">
        <f t="shared" si="145"/>
        <v>2.7344395720005542E-2</v>
      </c>
      <c r="HG16" s="304">
        <f>HF16*(VLOOKUP($HD$9,各项系数!$D$1:$F$143,2,0))</f>
        <v>0.46485472724009419</v>
      </c>
      <c r="HH16" s="315">
        <f>各项系数!$F$76/4*($MV16^2-$MS16^2)*10^-2*(VLOOKUP($HH$9,各项系数!$D$1:$F$143,3,0))*10^-3*10^2*各项系数!$J$4</f>
        <v>2.6329108372589016E-2</v>
      </c>
      <c r="HI16" s="322">
        <v>1</v>
      </c>
      <c r="HJ16" s="304">
        <f t="shared" si="146"/>
        <v>2.6329108372589016E-2</v>
      </c>
      <c r="HK16" s="304">
        <f>HJ16*(VLOOKUP($HH$9,各项系数!$D$1:$F$143,2,0))</f>
        <v>0.44759484233401325</v>
      </c>
      <c r="HL16" s="315">
        <f>各项系数!$F$76/4*($MW16^2-$MT16^2)*10^-2*(VLOOKUP($HL$9,各项系数!$D$1:$F$143,3,0))*10^-3*10^2*各项系数!$J$4</f>
        <v>2.7344395720005542E-2</v>
      </c>
      <c r="HM16" s="322">
        <v>1</v>
      </c>
      <c r="HN16" s="304">
        <f t="shared" si="147"/>
        <v>2.7344395720005542E-2</v>
      </c>
      <c r="HO16" s="304">
        <f>HN16*(VLOOKUP($HL$9,各项系数!$D$1:$F$143,2,0))</f>
        <v>0.46485472724009419</v>
      </c>
      <c r="HP16" s="315">
        <f>各项系数!$F$76/4*($MV16^2-$MS16^2)*10^-2*(VLOOKUP(AN16,各项系数!$D$1:$F$143,3,0))*10^-3*10^2*各项系数!$J$4</f>
        <v>2.6692268488073E-2</v>
      </c>
      <c r="HQ16" s="303">
        <v>1</v>
      </c>
      <c r="HR16" s="304">
        <f t="shared" si="55"/>
        <v>2.6692268488073E-2</v>
      </c>
      <c r="HS16" s="304">
        <f>HR16*(VLOOKUP(AN16,各项系数!$D$1:$F$143,2,0))</f>
        <v>0.26692268488073001</v>
      </c>
      <c r="HT16" s="315">
        <f>各项系数!$F$76/4*($MW16^2-$MT16^2)*10^-2*(VLOOKUP(AN16,各项系数!$D$1:$F$143,3,0))*10^-3*10^2*各项系数!$J$4</f>
        <v>2.7721559798902173E-2</v>
      </c>
      <c r="HU16" s="303">
        <v>1</v>
      </c>
      <c r="HV16" s="304">
        <f t="shared" si="56"/>
        <v>2.7721559798902173E-2</v>
      </c>
      <c r="HW16" s="304">
        <f>HV16*(VLOOKUP(AN16,各项系数!$D$1:$F$143,2,0))</f>
        <v>0.27721559798902173</v>
      </c>
      <c r="HX16" s="315">
        <f>各项系数!$F$76/4*($MV16^2-$MS16^2)*10^-2*(VLOOKUP($HX$9,各项系数!$D$1:$F$143,3,0))*10^-3*10^2*各项系数!$J$4</f>
        <v>2.6692268488073E-2</v>
      </c>
      <c r="HY16" s="322">
        <v>1</v>
      </c>
      <c r="HZ16" s="304">
        <f t="shared" si="57"/>
        <v>2.6692268488073E-2</v>
      </c>
      <c r="IA16" s="304">
        <f>HZ16*(VLOOKUP($HX$9,各项系数!$D$1:$F$143,2,0))</f>
        <v>0.293614953368803</v>
      </c>
      <c r="IB16" s="315">
        <f>各项系数!$F$76/4*($MW16^2-$MT16^2)*10^-2*(VLOOKUP($IB$9,各项系数!$D$1:$F$143,3,0))*10^-3*10^2*各项系数!$J$4</f>
        <v>2.7721559798902173E-2</v>
      </c>
      <c r="IC16" s="322">
        <v>1</v>
      </c>
      <c r="ID16" s="304">
        <f t="shared" si="58"/>
        <v>2.7721559798902173E-2</v>
      </c>
      <c r="IE16" s="304">
        <f>ID16*(VLOOKUP($IB$9,各项系数!$D$1:$F$143,2,0))</f>
        <v>0.30493715778792391</v>
      </c>
      <c r="IF16" s="328"/>
      <c r="IG16" s="315">
        <f t="shared" si="148"/>
        <v>1.7883861541934999E-3</v>
      </c>
      <c r="IH16" s="303">
        <v>1</v>
      </c>
      <c r="II16" s="304">
        <f t="shared" si="59"/>
        <v>1.7883861541934999E-3</v>
      </c>
      <c r="IJ16" s="304">
        <f>II16*(VLOOKUP($IG$8,各项系数!$D$1:$F$143,2,0))</f>
        <v>4.4709653854837494E-2</v>
      </c>
      <c r="IK16" s="315">
        <f>(各项系数!$F$76/4*($MX16^2-$MK16^2)*$EG16)*10^-2*(VLOOKUP($IG$8,各项系数!$D$1:$F$143,3,0))*10^-3*10^2*各项系数!$J$4</f>
        <v>1.7883861541934999E-3</v>
      </c>
      <c r="IL16" s="303">
        <f>IK16*(VLOOKUP($IG$8,各项系数!$D$1:$F$143,2,0))</f>
        <v>4.4709653854837494E-2</v>
      </c>
      <c r="IM16" s="304">
        <f>(各项系数!$F$76/4*(($MM16+3*$X16)^2-MM16^2)*$EO16)*10^-2*(VLOOKUP($IG$8,各项系数!$D$1:$F$143,3,0))*10^-3*10^2*各项系数!$J$4</f>
        <v>0</v>
      </c>
      <c r="IN16" s="303">
        <f>IM16*(VLOOKUP($IG$8,各项系数!$D$1:$F$143,2,0))</f>
        <v>0</v>
      </c>
      <c r="IO16" s="315">
        <f>各项系数!$F$76/4*($MZ16^2-$MX16^2)*10^-2*(VLOOKUP(L16,各项系数!$D$1:$F$143,3,0))*10^-3*10^2*$ES16*各项系数!$J$4</f>
        <v>6.0876746131021606E-3</v>
      </c>
      <c r="IP16" s="303">
        <v>1</v>
      </c>
      <c r="IQ16" s="304">
        <f t="shared" si="60"/>
        <v>6.0876746131021606E-3</v>
      </c>
      <c r="IR16" s="285">
        <f>IQ16*(VLOOKUP(L16,各项系数!$D$1:$F$143,2,0))</f>
        <v>6.2094281053642036E-2</v>
      </c>
      <c r="IS16" s="315">
        <f>IF($L16&lt;&gt;$IS$9,0,各项系数!$F$76/4*($MZ16^2-$MX16^2)*10^-2*各项系数!$F$12*10^-3*10^2)*$ES16*各项系数!$J$4</f>
        <v>0</v>
      </c>
      <c r="IT16" s="303">
        <v>1</v>
      </c>
      <c r="IU16" s="304">
        <f t="shared" si="61"/>
        <v>0</v>
      </c>
      <c r="IV16" s="285">
        <f>IU16*各项系数!$E$12</f>
        <v>0</v>
      </c>
      <c r="IW16" s="302">
        <f t="shared" si="62"/>
        <v>6.0876746131021606E-3</v>
      </c>
      <c r="IX16" s="302">
        <f t="shared" si="63"/>
        <v>6.2094281053642036E-2</v>
      </c>
      <c r="IY16" s="339">
        <f>各项系数!$F$76/4*($NB16^2-$MZ16^2*$EG16-$NA16^2*$EO16)*10^-2</f>
        <v>0</v>
      </c>
      <c r="IZ16" s="284">
        <f t="shared" si="149"/>
        <v>1</v>
      </c>
      <c r="JA16" s="285">
        <f t="shared" si="64"/>
        <v>0</v>
      </c>
      <c r="JB16" s="282">
        <f>IF($DE16&lt;&gt;$JB$9,0,$JA16*各项系数!$F$32*10^-3*10^2)*各项系数!$J$4</f>
        <v>0</v>
      </c>
      <c r="JC16" s="102">
        <v>1</v>
      </c>
      <c r="JD16" s="189">
        <f t="shared" si="65"/>
        <v>0</v>
      </c>
      <c r="JE16" s="262">
        <f>JD16*各项系数!$E$32</f>
        <v>0</v>
      </c>
      <c r="JF16" s="282">
        <f>IF($DE16&lt;&gt;$JF$9,0,$JA16*VLOOKUP($JF$9,各项系数!$D$4:$F$540,2,0)*10^-3*10^2)*各项系数!$J$4</f>
        <v>0</v>
      </c>
      <c r="JG16" s="102">
        <v>1</v>
      </c>
      <c r="JH16" s="189">
        <f t="shared" si="66"/>
        <v>0</v>
      </c>
      <c r="JI16" s="262">
        <f>JH16*VLOOKUP($JF$9,各项系数!$D$4:$F$540,3,0)</f>
        <v>0</v>
      </c>
      <c r="JJ16" s="282">
        <f t="shared" si="67"/>
        <v>0</v>
      </c>
      <c r="JK16" s="189">
        <f t="shared" si="68"/>
        <v>0</v>
      </c>
      <c r="JL16" s="282">
        <f>IF($DF16&lt;&gt;$JL$9,0,各项系数!$F$76/4*($NE16^2-$NC16^2)*10^-2*各项系数!$F$39*10^-3*10^2)*各项系数!$J$4</f>
        <v>0</v>
      </c>
      <c r="JM16" s="102">
        <v>1</v>
      </c>
      <c r="JN16" s="189">
        <f t="shared" si="69"/>
        <v>0</v>
      </c>
      <c r="JO16" s="262">
        <f>JN16*各项系数!$E$39</f>
        <v>0</v>
      </c>
      <c r="JP16" s="282">
        <f>IF($DF16&lt;&gt;$JP$9,0,各项系数!$F$76/4*($NE16^2-$NC16^2)*10^-2*各项系数!$F$36*10^-3*10^2)*各项系数!$J$4</f>
        <v>0</v>
      </c>
      <c r="JQ16" s="102">
        <v>1</v>
      </c>
      <c r="JR16" s="189">
        <f t="shared" si="70"/>
        <v>0</v>
      </c>
      <c r="JS16" s="262">
        <f>JR16*各项系数!$E$36</f>
        <v>0</v>
      </c>
      <c r="JT16" s="282">
        <f>IF($DF16&lt;&gt;$JT$9,0,各项系数!$F$76/4*($NE16^2-$NC16^2)*10^-2*各项系数!$F$40*10^-3*10^2)*各项系数!$J$4</f>
        <v>0</v>
      </c>
      <c r="JU16" s="102">
        <v>1</v>
      </c>
      <c r="JV16" s="189">
        <f t="shared" si="71"/>
        <v>0</v>
      </c>
      <c r="JW16" s="262">
        <f>JV16*各项系数!$E$40</f>
        <v>0</v>
      </c>
      <c r="JX16" s="282">
        <f>IF($DF16&lt;&gt;$JX$9,0,各项系数!$F$76/4*($NE16^2-$NC16^2)*10^-2*各项系数!$F$38*10^-3*10^2)*各项系数!$J$4</f>
        <v>0</v>
      </c>
      <c r="JY16" s="102">
        <v>1</v>
      </c>
      <c r="JZ16" s="189">
        <f t="shared" si="72"/>
        <v>0</v>
      </c>
      <c r="KA16" s="262">
        <f>JZ16*各项系数!$E$38</f>
        <v>0</v>
      </c>
      <c r="KB16" s="282">
        <f>IF($DF16&lt;&gt;$KB$9,0,各项系数!$F$76/4*($NE16^2-$NC16^2)*10^-2*各项系数!$F$41*10^-3*10^2)*各项系数!$J$4</f>
        <v>0</v>
      </c>
      <c r="KC16" s="102">
        <v>1</v>
      </c>
      <c r="KD16" s="189">
        <f t="shared" si="73"/>
        <v>0</v>
      </c>
      <c r="KE16" s="262">
        <f>KD16*各项系数!$E$41</f>
        <v>0</v>
      </c>
      <c r="KF16" s="189">
        <f t="shared" si="74"/>
        <v>0</v>
      </c>
      <c r="KG16" s="189">
        <f t="shared" si="75"/>
        <v>0</v>
      </c>
      <c r="KH16" s="235">
        <f>各项系数!$F$76/4*($NG16^2-$NE16^2)*10^-2*各项系数!$F$44*10^-3*10^2*各项系数!$J$4*0.75*$U16</f>
        <v>2.5147635327791844E-2</v>
      </c>
      <c r="KI16" s="102">
        <v>1</v>
      </c>
      <c r="KJ16" s="189">
        <f t="shared" si="76"/>
        <v>2.5147635327791844E-2</v>
      </c>
      <c r="KK16" s="189">
        <f>ROUND(KJ16*各项系数!$E$44,GT16)</f>
        <v>0.3</v>
      </c>
      <c r="KL16" s="235">
        <f>各项系数!$F$76/4*($NF16^2-$NE16^2)*10^-2*各项系数!$F$46*10^-3*10^2*各项系数!$J$4*PI()/4*R16</f>
        <v>4.6224379018939225E-3</v>
      </c>
      <c r="KM16" s="102">
        <v>1</v>
      </c>
      <c r="KN16" s="189">
        <f t="shared" si="77"/>
        <v>4.6224379018939225E-3</v>
      </c>
      <c r="KO16" s="189">
        <f>KN16*各项系数!$E$46</f>
        <v>0.31201455837783976</v>
      </c>
      <c r="KP16" s="235">
        <f>各项系数!$F$76/4*($NH16^2-$NE16^2)*10^-2*(VLOOKUP($KP$9,各项系数!$D$1:$F$143,3,0))*10^-3*10^2*各项系数!$J$4</f>
        <v>2.9374970414838622E-2</v>
      </c>
      <c r="KQ16" s="102">
        <v>1</v>
      </c>
      <c r="KR16" s="189">
        <f t="shared" si="150"/>
        <v>2.9374970414838622E-2</v>
      </c>
      <c r="KS16" s="189">
        <f>KR16*(VLOOKUP($KP$9,各项系数!$D$1:$F$143,2,0))</f>
        <v>0.49937449705225656</v>
      </c>
      <c r="KT16" s="235">
        <f>各项系数!$F$76/4*($NI16^2-$NF16^2)*10^-2*(VLOOKUP($KT$9,各项系数!$D$1:$F$143,3,0))*10^-3*10^2*各项系数!$J$4</f>
        <v>3.0390257762255155E-2</v>
      </c>
      <c r="KU16" s="102">
        <v>1</v>
      </c>
      <c r="KV16" s="189">
        <f t="shared" si="151"/>
        <v>3.0390257762255155E-2</v>
      </c>
      <c r="KW16" s="189">
        <f>KV16*(VLOOKUP($KT$9,各项系数!$D$1:$F$143,2,0))</f>
        <v>0.51663438195833766</v>
      </c>
      <c r="KX16" s="189">
        <f>各项系数!$F$76/4*($NH16^2-$NE16^2)*10^-2*(VLOOKUP($KX$9,各项系数!$D$1:$F$143,3,0))*10^-3*10^2*各项系数!$J$4</f>
        <v>2.9374970414838622E-2</v>
      </c>
      <c r="KY16" s="353">
        <v>1</v>
      </c>
      <c r="KZ16" s="189">
        <f t="shared" si="152"/>
        <v>2.9374970414838622E-2</v>
      </c>
      <c r="LA16" s="189">
        <f>KZ16*(VLOOKUP($KX$9,各项系数!$D$1:$F$143,2,0))</f>
        <v>0.49937449705225656</v>
      </c>
      <c r="LB16" s="189">
        <f>各项系数!$F$76/4*($NI16^2-$NF16^2)*10^-2*(VLOOKUP($LB$9,各项系数!$D$1:$F$143,3,0))*10^-3*10^2*各项系数!$J$4</f>
        <v>3.0390257762255155E-2</v>
      </c>
      <c r="LC16" s="353">
        <v>1</v>
      </c>
      <c r="LD16" s="189">
        <f t="shared" si="153"/>
        <v>3.0390257762255155E-2</v>
      </c>
      <c r="LE16" s="189">
        <f>LD16*(VLOOKUP($LB$9,各项系数!$D$1:$F$143,2,0))</f>
        <v>0.51663438195833766</v>
      </c>
      <c r="LF16" s="235">
        <f>各项系数!$F$76/4*($NH16^2-$NE16^2)*10^-2*(VLOOKUP(AN16,各项系数!$D$1:$F$143,3,0))*10^-3*10^2*各项系数!$J$4</f>
        <v>2.9780142420560533E-2</v>
      </c>
      <c r="LG16" s="102">
        <v>1</v>
      </c>
      <c r="LH16" s="189">
        <f t="shared" si="82"/>
        <v>2.9780142420560533E-2</v>
      </c>
      <c r="LI16" s="189">
        <f>LH16*(VLOOKUP(AN16,各项系数!$D$1:$F$143,2,0))</f>
        <v>0.29780142420560535</v>
      </c>
      <c r="LJ16" s="235">
        <f>各项系数!$F$76/4*($NI16^2-$NF16^2)*10^-2*(VLOOKUP(AN16,各项系数!$D$1:$F$143,3,0))*10^-3*10^2*各项系数!$J$4</f>
        <v>3.080943373138971E-2</v>
      </c>
      <c r="LK16" s="102">
        <v>1</v>
      </c>
      <c r="LL16" s="189">
        <f t="shared" si="83"/>
        <v>3.080943373138971E-2</v>
      </c>
      <c r="LM16" s="189">
        <f>LL16*(VLOOKUP(AN16,各项系数!$D$1:$F$143,2,0))</f>
        <v>0.30809433731389713</v>
      </c>
      <c r="LN16" s="189">
        <f>各项系数!$F$76/4*($NH16^2-$NE16^2)*10^-2*(VLOOKUP($LN$9,各项系数!$D$1:$F$143,3,0))*10^-3*10^2*各项系数!$J$4</f>
        <v>2.9780142420560533E-2</v>
      </c>
      <c r="LO16" s="353">
        <v>1</v>
      </c>
      <c r="LP16" s="189">
        <f t="shared" si="84"/>
        <v>2.9780142420560533E-2</v>
      </c>
      <c r="LQ16" s="189">
        <f>LP16*(VLOOKUP($LN$9,各项系数!$D$1:$F$143,2,0))</f>
        <v>0.32758156662616589</v>
      </c>
      <c r="LR16" s="189">
        <f>各项系数!$F$76/4*($NI16^2-$NF16^2)*10^-2*(VLOOKUP($LR$9,各项系数!$D$1:$F$143,3,0))*10^-3*10^2*各项系数!$J$4</f>
        <v>3.080943373138971E-2</v>
      </c>
      <c r="LS16" s="353">
        <v>1</v>
      </c>
      <c r="LT16" s="189">
        <f t="shared" si="85"/>
        <v>3.080943373138971E-2</v>
      </c>
      <c r="LU16" s="189">
        <f>LT16*(VLOOKUP($LR$9,各项系数!$D$1:$F$143,2,0))</f>
        <v>0.33890377104528679</v>
      </c>
      <c r="LV16" s="227">
        <f t="shared" si="154"/>
        <v>1.4297487200000001</v>
      </c>
      <c r="LW16" s="227">
        <f t="shared" si="155"/>
        <v>1.4297487200000001</v>
      </c>
      <c r="LX16" s="227">
        <f t="shared" si="156"/>
        <v>1.3492266708520411</v>
      </c>
      <c r="LY16" s="227">
        <f t="shared" si="157"/>
        <v>0</v>
      </c>
      <c r="LZ16" s="374">
        <f t="shared" si="86"/>
        <v>1</v>
      </c>
      <c r="MA16" s="375">
        <f t="shared" si="87"/>
        <v>1.4297487200000001</v>
      </c>
      <c r="MB16" s="375">
        <f t="shared" si="158"/>
        <v>1.34922667</v>
      </c>
      <c r="MC16" s="227">
        <f t="shared" si="159"/>
        <v>0</v>
      </c>
      <c r="MD16" s="227">
        <f t="shared" si="160"/>
        <v>0</v>
      </c>
      <c r="ME16" s="227">
        <f t="shared" si="161"/>
        <v>0</v>
      </c>
      <c r="MF16" s="227">
        <f t="shared" si="162"/>
        <v>0</v>
      </c>
      <c r="MG16" s="374">
        <f t="shared" si="163"/>
        <v>1</v>
      </c>
      <c r="MH16" s="375">
        <f t="shared" si="88"/>
        <v>0</v>
      </c>
      <c r="MI16" s="375">
        <f t="shared" si="164"/>
        <v>0</v>
      </c>
      <c r="MJ16" s="189">
        <f t="shared" si="89"/>
        <v>1.34922667</v>
      </c>
      <c r="MK16" s="189">
        <f t="shared" si="165"/>
        <v>1.34922667</v>
      </c>
      <c r="ML16" s="189">
        <f t="shared" si="90"/>
        <v>0</v>
      </c>
      <c r="MM16" s="189">
        <f t="shared" si="91"/>
        <v>0</v>
      </c>
      <c r="MN16" s="189">
        <f t="shared" si="92"/>
        <v>2.7492266699999997</v>
      </c>
      <c r="MO16" s="189">
        <f t="shared" si="166"/>
        <v>0</v>
      </c>
      <c r="MP16" s="189">
        <f t="shared" si="167"/>
        <v>2.7492266700000001</v>
      </c>
      <c r="MQ16" s="189">
        <f t="shared" si="93"/>
        <v>2.7492266700000001</v>
      </c>
      <c r="MR16" s="246">
        <f t="shared" si="168"/>
        <v>2.7492266700000001</v>
      </c>
      <c r="MS16" s="380">
        <f t="shared" si="94"/>
        <v>2.7492266700000001</v>
      </c>
      <c r="MT16" s="380">
        <f t="shared" si="95"/>
        <v>2.9092266700000002</v>
      </c>
      <c r="MU16" s="380">
        <f t="shared" si="96"/>
        <v>3.14922667</v>
      </c>
      <c r="MV16" s="380">
        <f t="shared" si="97"/>
        <v>5.5492266699999995</v>
      </c>
      <c r="MW16" s="380">
        <f t="shared" si="98"/>
        <v>5.7092266699999996</v>
      </c>
      <c r="MX16" s="254">
        <f t="shared" si="99"/>
        <v>1.8292266699999999</v>
      </c>
      <c r="MY16" s="254">
        <f t="shared" si="100"/>
        <v>0</v>
      </c>
      <c r="MZ16" s="189">
        <f t="shared" si="101"/>
        <v>3.2292266700000001</v>
      </c>
      <c r="NA16" s="189">
        <f t="shared" si="102"/>
        <v>0</v>
      </c>
      <c r="NB16" s="189">
        <f t="shared" si="169"/>
        <v>3.2292266700000001</v>
      </c>
      <c r="NC16" s="254">
        <f t="shared" si="103"/>
        <v>3.2292266700000001</v>
      </c>
      <c r="ND16" s="246">
        <f t="shared" si="104"/>
        <v>3.2292266700000001</v>
      </c>
      <c r="NE16" s="386">
        <f t="shared" si="105"/>
        <v>3.2292266700000001</v>
      </c>
      <c r="NF16" s="380">
        <f t="shared" si="106"/>
        <v>3.3892266700000002</v>
      </c>
      <c r="NG16" s="387">
        <f t="shared" si="107"/>
        <v>3.62922667</v>
      </c>
      <c r="NH16" s="254">
        <f t="shared" si="108"/>
        <v>6.0292266699999999</v>
      </c>
      <c r="NI16" s="380">
        <f t="shared" si="109"/>
        <v>6.18922667</v>
      </c>
      <c r="NK16" s="388">
        <f t="shared" si="110"/>
        <v>4.4271529934076008E-2</v>
      </c>
      <c r="NL16" s="388">
        <f t="shared" si="111"/>
        <v>1.1456054855687028</v>
      </c>
      <c r="NM16" s="388">
        <f t="shared" si="112"/>
        <v>4.4271529934076008E-2</v>
      </c>
      <c r="NN16" s="388">
        <f t="shared" si="113"/>
        <v>1.1722977540567756</v>
      </c>
      <c r="NO16" s="388">
        <f t="shared" si="114"/>
        <v>5.0303117002299995E-2</v>
      </c>
      <c r="NP16" s="388">
        <f t="shared" si="115"/>
        <v>1.2329782139601537</v>
      </c>
      <c r="NQ16" s="388">
        <f t="shared" si="116"/>
        <v>5.0303117002299995E-2</v>
      </c>
      <c r="NR16" s="388">
        <f t="shared" si="117"/>
        <v>1.2627583563807141</v>
      </c>
      <c r="NS16" s="388">
        <f t="shared" si="118"/>
        <v>4.8223487867636694E-2</v>
      </c>
      <c r="NT16" s="388">
        <f t="shared" si="119"/>
        <v>4.8223487867636694E-2</v>
      </c>
      <c r="NU16" s="388">
        <f t="shared" si="120"/>
        <v>5.4925554904193916E-2</v>
      </c>
      <c r="NV16" s="388">
        <f t="shared" si="121"/>
        <v>5.4925554904193916E-2</v>
      </c>
      <c r="NW16">
        <f t="shared" si="122"/>
        <v>5.8689955997885498E-2</v>
      </c>
      <c r="NX16">
        <f>各项系数!$M$9*NK16</f>
        <v>1.3281458980222802E-2</v>
      </c>
      <c r="NY16">
        <f t="shared" si="123"/>
        <v>4.8223487867636694E-2</v>
      </c>
      <c r="OB16" s="66" t="str">
        <f t="shared" si="124"/>
        <v>1*1.5</v>
      </c>
      <c r="OC16" s="395">
        <f t="shared" si="125"/>
        <v>134.922667214547</v>
      </c>
      <c r="OD16" s="395">
        <f>SQRT(4*EY16/PI()/EH16/各项系数!$J$4/各项系数!$F$5*10000000)</f>
        <v>134.922667214547</v>
      </c>
      <c r="OE16" s="396">
        <f t="shared" si="126"/>
        <v>1.4297487227412422</v>
      </c>
      <c r="OF16" s="396">
        <f t="shared" si="127"/>
        <v>1.4297487227412424</v>
      </c>
      <c r="OG16" s="66"/>
      <c r="OH16" s="397"/>
    </row>
    <row r="17" spans="1:398" ht="15" hidden="1" customHeight="1">
      <c r="A17" s="50">
        <v>2.5</v>
      </c>
      <c r="B17" s="51">
        <v>0</v>
      </c>
      <c r="C17" s="52">
        <v>0.7</v>
      </c>
      <c r="D17" s="53" t="s">
        <v>189</v>
      </c>
      <c r="E17" s="61">
        <f t="shared" si="1"/>
        <v>5.9241240099999999</v>
      </c>
      <c r="F17" s="57">
        <v>172.412400708262</v>
      </c>
      <c r="G17" s="56"/>
      <c r="H17" s="56"/>
      <c r="I17" s="56"/>
      <c r="J17" s="56"/>
      <c r="K17" s="56"/>
      <c r="L17" s="97" t="s">
        <v>467</v>
      </c>
      <c r="M17" s="98">
        <f t="shared" si="2"/>
        <v>0.7</v>
      </c>
      <c r="N17" s="98">
        <f t="shared" si="3"/>
        <v>0</v>
      </c>
      <c r="O17" s="53"/>
      <c r="P17" s="99">
        <v>0.1</v>
      </c>
      <c r="Q17" s="133">
        <f t="shared" si="170"/>
        <v>0.1</v>
      </c>
      <c r="R17" s="131">
        <v>0.8</v>
      </c>
      <c r="S17" s="132" t="s">
        <v>521</v>
      </c>
      <c r="T17" s="133">
        <v>0.2</v>
      </c>
      <c r="U17" s="53">
        <v>2</v>
      </c>
      <c r="V17" s="131"/>
      <c r="W17" s="103">
        <v>1.4</v>
      </c>
      <c r="X17" s="135">
        <f t="shared" si="171"/>
        <v>0.2</v>
      </c>
      <c r="Y17" s="135">
        <v>2</v>
      </c>
      <c r="Z17" s="168">
        <v>0.2</v>
      </c>
      <c r="AA17" s="153">
        <v>1</v>
      </c>
      <c r="AB17" s="153">
        <f>PI()*EJ17*EJ17/4*EH17*(1-H17)*AA17*各项系数!$F$5*各项系数!$J$4*10^-7</f>
        <v>2.0651505688902914E-2</v>
      </c>
      <c r="AC17" s="153">
        <f t="shared" si="4"/>
        <v>172.412400708262</v>
      </c>
      <c r="AD17" s="153">
        <f t="shared" si="5"/>
        <v>2.3346774015073013</v>
      </c>
      <c r="AE17" s="153">
        <f>POWER(4*EU17/PI()/EG17/10^-7/EH17/(1-H17)/各项系数!$F$5/各项系数!$J$4,0.5)</f>
        <v>172.41240070826197</v>
      </c>
      <c r="AF17" s="69">
        <v>1</v>
      </c>
      <c r="AG17" s="69">
        <f>IF(EM17=0,0,PI()*ER17*ER17/4*EP17*(1-K17)*(1+AF17)*各项系数!$F$5*各项系数!$J$4*10^-7)</f>
        <v>0</v>
      </c>
      <c r="AH17" s="69">
        <f t="shared" si="6"/>
        <v>0</v>
      </c>
      <c r="AI17" s="69">
        <f t="shared" si="128"/>
        <v>0</v>
      </c>
      <c r="AJ17" s="69">
        <f>IF(OR(EP17="",EP17=0),0,POWER(4*EW17/PI()/EO17/10^-7/EP17/(1-K17)/各项系数!$F$5/各项系数!$J$4,0.5))</f>
        <v>0</v>
      </c>
      <c r="AK17" s="69" t="str">
        <f t="shared" si="8"/>
        <v>√</v>
      </c>
      <c r="AL17" s="69">
        <f t="shared" si="9"/>
        <v>1.7702782914631978</v>
      </c>
      <c r="AM17" s="188">
        <f t="shared" si="10"/>
        <v>2.5</v>
      </c>
      <c r="AN17" s="97" t="s">
        <v>486</v>
      </c>
      <c r="AO17" s="196">
        <f>AP17+各项系数!$M$9*$NK17</f>
        <v>1.7355669524148998</v>
      </c>
      <c r="AP17" s="196">
        <f>AQ17*(1+$BI17+(VLOOKUP($AM17,$A$12:$B$323,2,0))+各项系数!$J$6+各项系数!$M$5)*(1+$E$2)</f>
        <v>1.7188898879124921</v>
      </c>
      <c r="AQ17" s="197">
        <f>AR17+各项系数!$L$9*$NK17</f>
        <v>1.753969273380094</v>
      </c>
      <c r="AR17" s="197">
        <f>AS17*(1+$BJ17+各项系数!$J$5+各项系数!$L$5)</f>
        <v>1.7372922088776863</v>
      </c>
      <c r="AS17" s="197">
        <f t="shared" si="129"/>
        <v>1.7032276557624375</v>
      </c>
      <c r="AT17" s="196">
        <f>AU17+各项系数!$M$9*$NM17</f>
        <v>1.9324846812250036</v>
      </c>
      <c r="AU17" s="196">
        <f>AV17*(1+$BI17+(VLOOKUP($AM17,$A$12:$B$323,2,0))+各项系数!$J$6+各项系数!$M$5)*(1+$E$2)</f>
        <v>1.9158076167225959</v>
      </c>
      <c r="AV17" s="197">
        <f>AW17+各项系数!$L$9*$NM17</f>
        <v>1.9549057313495877</v>
      </c>
      <c r="AW17" s="197">
        <f>AX17*(1+$BJ17+各项系数!$J$5+各项系数!$L$5)</f>
        <v>1.93822866684718</v>
      </c>
      <c r="AX17" s="197">
        <f t="shared" si="130"/>
        <v>1.9002241831835098</v>
      </c>
      <c r="AY17" s="196">
        <f>AZ17+各项系数!$M$9*$NS17</f>
        <v>2.0504982520420234</v>
      </c>
      <c r="AZ17" s="196">
        <f>BA17*(1+$BI17+(VLOOKUP($AM17,$A$12:$B$214,2,0))+各项系数!$J$6+各项系数!$M$5)*(1+$E$2)</f>
        <v>2.0324784994366403</v>
      </c>
      <c r="BA17" s="197">
        <f>BB17+各项系数!$L$9*$NS17</f>
        <v>2.0739576524863677</v>
      </c>
      <c r="BB17" s="197">
        <f>BC17*(1+$BJ17+各项系数!$J$5+各项系数!$L$5)</f>
        <v>2.0559378998809845</v>
      </c>
      <c r="BC17" s="199">
        <f t="shared" si="131"/>
        <v>2.0156253920401808</v>
      </c>
      <c r="BD17" s="196">
        <f>BE17+各项系数!$M$9*$NS17</f>
        <v>2.2543801658611975</v>
      </c>
      <c r="BE17" s="196">
        <f>BF17*(1+$BI17+(VLOOKUP($AM17,$A$12:$B$214,2,0))+各项系数!$J$6+各项系数!$M$5)*(1+$E$2)</f>
        <v>2.2363604132558144</v>
      </c>
      <c r="BF17" s="197">
        <f>BG17+各项系数!$L$9*$NS17</f>
        <v>2.2820004216896064</v>
      </c>
      <c r="BG17" s="197">
        <f>BH17*(1+$BJ17+各项系数!$J$5+各项系数!$L$5)</f>
        <v>2.2639806690842232</v>
      </c>
      <c r="BH17" s="199">
        <f t="shared" si="132"/>
        <v>2.2195888912590425</v>
      </c>
      <c r="BI17" s="51"/>
      <c r="BJ17" s="208"/>
      <c r="BK17" s="102"/>
      <c r="BL17" s="196">
        <f>BM17+各项系数!$M$9*$NM17</f>
        <v>1.7816361707102037</v>
      </c>
      <c r="BM17" s="196">
        <f>BN17*(1+$CF17+(VLOOKUP($AM17,$A$12:$B$323,2,0))+各项系数!$J$6+各项系数!$M$5)*(1+$E$2)</f>
        <v>1.7649591062077961</v>
      </c>
      <c r="BN17" s="197">
        <f>BO17+各项系数!$L$9*$NM17</f>
        <v>1.8009786798038736</v>
      </c>
      <c r="BO17" s="197">
        <f>BP17*(1+$CG17+各项系数!$J$5+各项系数!$L$5)</f>
        <v>1.7843016153014659</v>
      </c>
      <c r="BP17" s="197">
        <f t="shared" si="133"/>
        <v>1.7323316653412291</v>
      </c>
      <c r="BQ17" s="196">
        <f>BR17+各项系数!$M$9*$NM17</f>
        <v>1.9511068782202021</v>
      </c>
      <c r="BR17" s="196">
        <f>BS17*(1+$CF17+(VLOOKUP($AM17,$A$12:$B$323,2,0))+各项系数!$J$6+各项系数!$M$5)*(1+$E$2)</f>
        <v>1.9344298137177944</v>
      </c>
      <c r="BS17" s="197">
        <f>BT17+各项系数!$L$9*$NM17</f>
        <v>1.9739079731814229</v>
      </c>
      <c r="BT17" s="197">
        <f>BU17*(1+$CG17+各项系数!$J$5+各项系数!$L$5)</f>
        <v>1.9572309086790152</v>
      </c>
      <c r="BU17" s="197">
        <f t="shared" si="134"/>
        <v>1.9002241831835098</v>
      </c>
      <c r="BV17" s="196">
        <f>BW17+各项系数!$M$9*$NT17</f>
        <v>2.0911067123405989</v>
      </c>
      <c r="BW17" s="196">
        <f>BX17*(1+$CF17+(VLOOKUP($AM17,$A$12:$B$214,2,0))+各项系数!$J$6+各项系数!$M$5)*(1+$E$2)</f>
        <v>2.0730869597352157</v>
      </c>
      <c r="BX17" s="197">
        <f>BY17+各项系数!$L$9*$NT$12</f>
        <v>2.115394856872669</v>
      </c>
      <c r="BY17" s="197">
        <f>BZ17*(1+$CG17+各项系数!$J$5+各项系数!$L$5)</f>
        <v>2.1071314537176953</v>
      </c>
      <c r="BZ17" s="199">
        <f t="shared" si="11"/>
        <v>2.0457586929298013</v>
      </c>
      <c r="CA17" s="196">
        <f>CB17+各项系数!$M$9*$NT17</f>
        <v>2.2665709145341348</v>
      </c>
      <c r="CB17" s="196">
        <f>CC17*(1+$CF17+(VLOOKUP($AM17,$A$12:$B$214,2,0))+各项系数!$J$6+各项系数!$M$5)*(1+$E$2)</f>
        <v>2.2485511619287517</v>
      </c>
      <c r="CC17" s="197">
        <f>CD17+各项系数!$L$9*$NT$12</f>
        <v>2.2944399611517876</v>
      </c>
      <c r="CD17" s="197">
        <f>CE17*(1+$CG17+各项系数!$J$5+各项系数!$L$5)</f>
        <v>2.2861765579968139</v>
      </c>
      <c r="CE17" s="199">
        <f t="shared" si="135"/>
        <v>2.2195888912590425</v>
      </c>
      <c r="CF17" s="213">
        <f t="shared" si="136"/>
        <v>0</v>
      </c>
      <c r="CG17" s="213">
        <f t="shared" si="12"/>
        <v>0.01</v>
      </c>
      <c r="CH17" s="102"/>
      <c r="CI17" s="196">
        <f>CJ17+各项系数!$M$9*$NO17</f>
        <v>1.8539579089181331</v>
      </c>
      <c r="CJ17" s="196">
        <f>CK17*(1+$DC17+(VLOOKUP($AM17,$A$12:$B$323,2,0))+各项系数!$J$6+各项系数!$M$5)*(1+$E$2)+各项系数!$M$9*$NK17</f>
        <v>1.8353448046228589</v>
      </c>
      <c r="CK17" s="197">
        <f>CL17+各项系数!$L$9*$NO17</f>
        <v>1.8557834082861746</v>
      </c>
      <c r="CL17" s="197">
        <f>CM17*(1+$DD17+各项系数!$J$5+各项系数!$L$5)</f>
        <v>1.8371703039909004</v>
      </c>
      <c r="CM17" s="197">
        <f t="shared" si="13"/>
        <v>1.8011473568538239</v>
      </c>
      <c r="CN17" s="196">
        <f>CO17+各项系数!$M$9*$NO17</f>
        <v>2.020009249899092</v>
      </c>
      <c r="CO17" s="196">
        <f>CP17*(1+$DC17+(VLOOKUP($AM17,$A$12:$B$323,2,0))+各项系数!$J$6+各项系数!$M$5)*(1+$E$2)+各项系数!$M$9*$NK17</f>
        <v>2.0013961456038176</v>
      </c>
      <c r="CP17" s="197">
        <f>CQ17+各项系数!$L$9*$NO17</f>
        <v>2.0252235521442956</v>
      </c>
      <c r="CQ17" s="197">
        <f>CR17*(1+$DD17+各项系数!$J$5+各项系数!$L$5)</f>
        <v>2.0066104478490212</v>
      </c>
      <c r="CR17" s="197">
        <f t="shared" si="14"/>
        <v>1.9672651449500207</v>
      </c>
      <c r="CS17" s="196">
        <f>CT17+各项系数!$M$9*$NU17</f>
        <v>2.1978497040473868</v>
      </c>
      <c r="CT17" s="196">
        <f t="shared" si="15"/>
        <v>2.1776927676586371</v>
      </c>
      <c r="CU17" s="197">
        <f>CV17+各项系数!$L$9*$NU17</f>
        <v>2.2221354772026909</v>
      </c>
      <c r="CV17" s="197">
        <f>CW17*(1+$DD17+各项系数!$J$5+各项系数!$L$5)</f>
        <v>2.2019785408139412</v>
      </c>
      <c r="CW17" s="199">
        <f t="shared" si="16"/>
        <v>2.1588024909940597</v>
      </c>
      <c r="CX17" s="196">
        <f>CY17+各项系数!$M$9*$NU17</f>
        <v>2.4226241728937712</v>
      </c>
      <c r="CY17" s="196">
        <f t="shared" si="17"/>
        <v>2.4024672365050215</v>
      </c>
      <c r="CZ17" s="197">
        <f>DA17+各项系数!$L$9*$NU17</f>
        <v>2.451497180107165</v>
      </c>
      <c r="DA17" s="197">
        <f>DB17*(1+$DD17+各项系数!$J$5+各项系数!$L$5)</f>
        <v>2.4313402437184153</v>
      </c>
      <c r="DB17" s="199">
        <f t="shared" si="18"/>
        <v>2.3836669056062894</v>
      </c>
      <c r="DC17" s="213">
        <f t="shared" si="137"/>
        <v>0</v>
      </c>
      <c r="DD17" s="213">
        <f t="shared" si="19"/>
        <v>0</v>
      </c>
      <c r="DE17" s="53"/>
      <c r="DF17" s="53"/>
      <c r="DG17" s="196">
        <f>DH17+各项系数!$M$9*$NQ17</f>
        <v>1.9041036402315856</v>
      </c>
      <c r="DH17" s="196">
        <f>DI17*(1+$EA17+(VLOOKUP($AM17,$A$12:$B$323,2,0))+各项系数!$J$6+各项系数!$M$5)*(1+$E$2)+各项系数!$M$9*$NK17</f>
        <v>1.8854905359363114</v>
      </c>
      <c r="DI17" s="197">
        <f>DJ17+各项系数!$L$9*$NQ17</f>
        <v>1.9069525218713304</v>
      </c>
      <c r="DJ17" s="197">
        <f>DK17*(1+$EB17+各项系数!$J$5+各项系数!$L$5)</f>
        <v>1.8883394175760562</v>
      </c>
      <c r="DK17" s="197">
        <f t="shared" si="20"/>
        <v>1.833339240365103</v>
      </c>
      <c r="DL17" s="196">
        <f>DM17+各项系数!$M$9*$NQ17</f>
        <v>2.0915548317921968</v>
      </c>
      <c r="DM17" s="196">
        <f>DN17*(1+$EA17+(VLOOKUP($AM17,$A$12:$B$323,2,0))+各项系数!$J$6+各项系数!$M$5)*(1+$E$2)+各项系数!$M$9*$NK17</f>
        <v>2.0729417274969224</v>
      </c>
      <c r="DN17" s="197">
        <f>DO17+各项系数!$L$9*$NQ17</f>
        <v>2.0982292479535865</v>
      </c>
      <c r="DO17" s="197">
        <f>DP17*(1+$EB17+各项系数!$J$5+各项系数!$L$5)</f>
        <v>2.079616143658312</v>
      </c>
      <c r="DP17" s="197">
        <f t="shared" si="21"/>
        <v>2.0190447996682641</v>
      </c>
      <c r="DQ17" s="196">
        <f>DR17+各项系数!$M$9*$NV17</f>
        <v>2.2525394223245647</v>
      </c>
      <c r="DR17" s="196">
        <f t="shared" si="22"/>
        <v>2.232382485935815</v>
      </c>
      <c r="DS17" s="197">
        <f>DT17+各项系数!$L$9*$NV17</f>
        <v>2.277941312179403</v>
      </c>
      <c r="DT17" s="197">
        <f>DU17*(1+$EB17+各项系数!$J$5+各项系数!$L$5)</f>
        <v>2.2577843757906533</v>
      </c>
      <c r="DU17" s="199">
        <f t="shared" si="23"/>
        <v>2.1920236658161683</v>
      </c>
      <c r="DV17" s="196">
        <f>DW17+各项系数!$M$9*$NV17</f>
        <v>2.3740156322435007</v>
      </c>
      <c r="DW17" s="196">
        <f t="shared" si="24"/>
        <v>2.3538586958547509</v>
      </c>
      <c r="DX17" s="197">
        <f>DY17+各项系数!$L$9*$NV17</f>
        <v>2.4018966284232155</v>
      </c>
      <c r="DY17" s="197">
        <f>DZ17*(1+$EB17+各项系数!$J$5+各项系数!$L$5)</f>
        <v>2.3817396920344658</v>
      </c>
      <c r="DZ17" s="199">
        <f t="shared" si="25"/>
        <v>2.3123686330431705</v>
      </c>
      <c r="EA17" s="213">
        <f t="shared" si="26"/>
        <v>0</v>
      </c>
      <c r="EB17" s="213">
        <f t="shared" si="27"/>
        <v>0.01</v>
      </c>
      <c r="EC17" s="235">
        <f t="shared" si="138"/>
        <v>1</v>
      </c>
      <c r="ED17" s="235" t="str">
        <f t="shared" si="139"/>
        <v>1*2.5</v>
      </c>
      <c r="EE17" s="189">
        <f t="shared" si="28"/>
        <v>2.5</v>
      </c>
      <c r="EF17" s="189">
        <f>LOOKUP(EH17,{1,7,10,14,19,24,30,37,48,61},{1,"1+6","2+8","4+10","1+6+12","2+8+14","4+10+16","1+6+12+18","3+9+15+21","1+6+12+18+24"})</f>
        <v>1</v>
      </c>
      <c r="EG17" s="188">
        <f t="shared" si="29"/>
        <v>1</v>
      </c>
      <c r="EH17" s="197">
        <f>IF(AM17&lt;10,1,IF(AND(AM17&gt;=10,AM17&lt;=35),7,LOOKUP(AM17,{50,70,95,120,150,185,240,300,400,500,630},{10,14,19,24,30,37,48,61,61,61,61})*1))</f>
        <v>1</v>
      </c>
      <c r="EI17" s="188">
        <f>IF(EH17=0,0,VLOOKUP(EH17,各项系数!$D$142:$E$195,2,0))*1</f>
        <v>1</v>
      </c>
      <c r="EJ17" s="238">
        <f t="shared" si="141"/>
        <v>172.412400708262</v>
      </c>
      <c r="EK17" s="189">
        <f t="shared" si="30"/>
        <v>0</v>
      </c>
      <c r="EL17" s="189">
        <f t="shared" si="31"/>
        <v>0</v>
      </c>
      <c r="EM17" s="189">
        <f t="shared" si="32"/>
        <v>0</v>
      </c>
      <c r="EN17" s="189">
        <f>IF(EP17=0,0,LOOKUP(EP17,{1,7,10,14,19,24,30,37,48,61},{1,"1+6","2+8","4+10","1+6+12","2+8+14","4+10+16","1+6+12+18","3+9+15+21","1+6+12+18+24"}))</f>
        <v>0</v>
      </c>
      <c r="EO17" s="189">
        <f t="shared" si="33"/>
        <v>0</v>
      </c>
      <c r="EP17" s="189">
        <f>IF(EM17=0,0,IF(EM17&lt;10,1,IF(AND(EM17&gt;=10,EM17&lt;=35),7,LOOKUP(EM17,{50,70,95,120,150,185,240,300},{10,14,19,24,30,37,48,61})*1)))</f>
        <v>0</v>
      </c>
      <c r="EQ17" s="189">
        <f>IF(EP17=0,0,VLOOKUP(EP17,各项系数!$D$142:$E$195,2,0))*1</f>
        <v>0</v>
      </c>
      <c r="ER17" s="189">
        <f t="shared" si="34"/>
        <v>0</v>
      </c>
      <c r="ES17" s="235">
        <f t="shared" si="35"/>
        <v>1</v>
      </c>
      <c r="ET17" s="189">
        <f>VLOOKUP(ES17,各项系数!$D$142:$E$195,2,0)*1</f>
        <v>1</v>
      </c>
      <c r="EU17" s="243">
        <f>((各项系数!$F$76/4*$EJ17^2*$EG17*$EH17*1*10^-7)*(1-$H17)*AA17)*(VLOOKUP($EY$9,各项系数!$D$4:$F$143,3,0))*各项系数!$J$4</f>
        <v>2.0651505688902914E-2</v>
      </c>
      <c r="EV17" s="244">
        <f>EU17*(VLOOKUP($EY$9,各项系数!$D$4:$F$143,2,0))</f>
        <v>1.3526736226231408</v>
      </c>
      <c r="EW17" s="252">
        <f>(IF($EO17=0,0,(各项系数!$F$76/4*$ER17^2*$EO17*$EP17*1*10^-7))*(1-$K17)*$AF17)*(VLOOKUP($EY$9,各项系数!$D$4:$F$143,3,0))*各项系数!$J$4</f>
        <v>0</v>
      </c>
      <c r="EX17" s="253">
        <f>EW17*(VLOOKUP($EY$9,各项系数!$D$4:$F$143,2,0))</f>
        <v>0</v>
      </c>
      <c r="EY17" s="189">
        <f>((各项系数!$F$76/4*$EJ17^2*$EG17*$EH17*1*10^-7)*(1-$H17)*AA17+IF($EO17=0,0,(各项系数!$F$76/4*$ER17^2*$EO17*$EP17*1*10^-7))*(1-$K17)*$AF17)*(VLOOKUP($EY$9,各项系数!$D$4:$F$143,3,0))*各项系数!$J$4</f>
        <v>2.0651505688902914E-2</v>
      </c>
      <c r="EZ17" s="102">
        <v>1</v>
      </c>
      <c r="FA17" s="189">
        <f t="shared" si="36"/>
        <v>2.0651505688902914E-2</v>
      </c>
      <c r="FB17" s="254">
        <f>FA17*(VLOOKUP($EY$9,各项系数!$D$4:$F$143,2,0))</f>
        <v>1.3526736226231408</v>
      </c>
      <c r="FC17" s="255"/>
      <c r="FD17" s="235">
        <f>各项系数!$F$76/4*($MN17^2-MK17^2)*10^-2*(VLOOKUP(L17,各项系数!$D$1:$F$143,3,0))*10^-3*10^2*$EG17*各项系数!$J$4</f>
        <v>5.8346997403314598E-3</v>
      </c>
      <c r="FE17" s="262">
        <f>FD17*VLOOKUP(L17,各项系数!$D$1:$F$143,2,0)</f>
        <v>5.9513937351380886E-2</v>
      </c>
      <c r="FF17" s="188">
        <f>各项系数!$F$76/4*($MO17^2-ML17^2)*10^-2*(VLOOKUP(L17,各项系数!$D$1:$F$143,3,0))*10^-3*10^2*$EO17*各项系数!$J$4</f>
        <v>0</v>
      </c>
      <c r="FG17" s="262">
        <f>FF17*VLOOKUP(L17,各项系数!$D$1:$F$143,2,0)</f>
        <v>0</v>
      </c>
      <c r="FH17" s="235">
        <f t="shared" si="142"/>
        <v>5.8346997403314598E-3</v>
      </c>
      <c r="FI17" s="102">
        <v>1</v>
      </c>
      <c r="FJ17" s="189">
        <f t="shared" si="37"/>
        <v>5.8346997403314598E-3</v>
      </c>
      <c r="FK17" s="262">
        <f>FJ17*VLOOKUP(L17,各项系数!$D$1:$F$143,2,0)</f>
        <v>5.9513937351380886E-2</v>
      </c>
      <c r="FL17" s="235"/>
      <c r="FM17" s="102"/>
      <c r="FN17" s="189"/>
      <c r="FO17" s="262"/>
      <c r="FP17" s="282">
        <f t="shared" si="38"/>
        <v>5.8346997403314598E-3</v>
      </c>
      <c r="FQ17" s="282">
        <f t="shared" si="39"/>
        <v>5.9513937351380886E-2</v>
      </c>
      <c r="FR17" s="283">
        <f>各项系数!$F$76/4*($MQ17^2-$MN17^2*$EG17-$MO17^2*$EO17)*10^-2</f>
        <v>0</v>
      </c>
      <c r="FS17" s="284">
        <f t="shared" si="143"/>
        <v>1</v>
      </c>
      <c r="FT17" s="285">
        <f t="shared" si="40"/>
        <v>0</v>
      </c>
      <c r="FU17" s="302">
        <f>$FT17*(VLOOKUP($FT$9,各项系数!$D$1:$F$143,3,0))*10^-3*10^2*各项系数!$J$55</f>
        <v>0</v>
      </c>
      <c r="FV17" s="303">
        <v>1</v>
      </c>
      <c r="FW17" s="304">
        <f t="shared" si="41"/>
        <v>0</v>
      </c>
      <c r="FX17" s="285">
        <f>FW17*(VLOOKUP($FT$9,各项系数!$D$1:$F$143,2,0))</f>
        <v>0</v>
      </c>
      <c r="FY17" s="302">
        <f>IF($BK17&lt;&gt;$FY$9,0,各项系数!$F$76/4*($MS17^2-$MQ17^2)*10^-2*(VLOOKUP($FY$9,各项系数!$D$1:$F$143,3,0))*10^-3*10^2)*各项系数!$J$4</f>
        <v>0</v>
      </c>
      <c r="FZ17" s="303">
        <v>1</v>
      </c>
      <c r="GA17" s="304">
        <f t="shared" si="42"/>
        <v>0</v>
      </c>
      <c r="GB17" s="285">
        <f>GA17*(VLOOKUP($FY$9,各项系数!$D$1:$F$143,2,0))</f>
        <v>0</v>
      </c>
      <c r="GC17" s="302">
        <f>IF($BK17&lt;&gt;$GC$9,0,各项系数!$F$76/4*($MS17^2-$MQ17^2)*10^-2*(VLOOKUP($GC$9,各项系数!$D$1:$F$143,3,0))*10^-3*10^2)*各项系数!$J$4</f>
        <v>0</v>
      </c>
      <c r="GD17" s="303">
        <v>1</v>
      </c>
      <c r="GE17" s="304">
        <f t="shared" si="43"/>
        <v>0</v>
      </c>
      <c r="GF17" s="285">
        <f>GE17*(VLOOKUP($GC$9,各项系数!$D$1:$F$143,2,0))</f>
        <v>0</v>
      </c>
      <c r="GG17" s="302">
        <f>IF($BK17&lt;&gt;$GG$9,0,各项系数!$F$76/4*($MS17^2-$MQ17^2)*10^-2*(VLOOKUP($GG$9,各项系数!$D$1:$F$143,3,0))*10^-3*10^2)*各项系数!$J$4</f>
        <v>0</v>
      </c>
      <c r="GH17" s="303">
        <v>1</v>
      </c>
      <c r="GI17" s="304">
        <f t="shared" si="44"/>
        <v>0</v>
      </c>
      <c r="GJ17" s="285">
        <f>GI17*(VLOOKUP($GG$9,各项系数!$D$1:$F$143,2,0))</f>
        <v>0</v>
      </c>
      <c r="GK17" s="302">
        <f>IF($BK17&lt;&gt;$GK$9,0,各项系数!$F$76/4*($MS17^2-$MQ17^2)*10^-2*(VLOOKUP($GK$9,各项系数!$D$1:$F$143,3,0))*10^-3*10^2)*各项系数!$J$4</f>
        <v>0</v>
      </c>
      <c r="GL17" s="303">
        <v>1</v>
      </c>
      <c r="GM17" s="304">
        <f t="shared" si="45"/>
        <v>0</v>
      </c>
      <c r="GN17" s="285">
        <f>GM17*(VLOOKUP($GK$9,各项系数!$D$1:$F$143,2,0))</f>
        <v>0</v>
      </c>
      <c r="GO17" s="304">
        <f t="shared" si="46"/>
        <v>0</v>
      </c>
      <c r="GP17" s="304">
        <f t="shared" si="47"/>
        <v>0</v>
      </c>
      <c r="GQ17" s="315">
        <f>各项系数!$F$76/4*($MU17^2-$MS17^2)*10^-2*(VLOOKUP($S17,各项系数!$D$1:$F$143,3,0))*10^-3*10^2*各项系数!$J$4</f>
        <v>1.6251255541887163E-2</v>
      </c>
      <c r="GR17" s="303">
        <v>1</v>
      </c>
      <c r="GS17" s="304">
        <f t="shared" si="48"/>
        <v>1.6251255541887163E-2</v>
      </c>
      <c r="GT17" s="304">
        <f t="shared" si="49"/>
        <v>1</v>
      </c>
      <c r="GU17" s="304">
        <f>ROUND($GS17*(VLOOKUP($S17,各项系数!$D$1:$F$143,2,0))+$E$3*GS17,GT17)</f>
        <v>0.2</v>
      </c>
      <c r="GV17" s="315">
        <f>各项系数!$F$76/4*($MT17^2-$MS17^2)*10^-2*(VLOOKUP($GV$9,各项系数!$D$1:$F$143,3,0))*10^-3*10^2*各项系数!$J$4*PI()/4*R17</f>
        <v>4.4756270099177995E-3</v>
      </c>
      <c r="GW17" s="303">
        <v>1</v>
      </c>
      <c r="GX17" s="304">
        <f t="shared" si="50"/>
        <v>4.4756270099177995E-3</v>
      </c>
      <c r="GY17" s="304">
        <f>$GX17*(VLOOKUP($GV$9,各项系数!$D$1:$F$143,2,0))</f>
        <v>0.30210482316945148</v>
      </c>
      <c r="GZ17" s="315">
        <f>各项系数!$F$76/4*($MV17^2-$MS17^2)*10^-2*(VLOOKUP($GZ$9,各项系数!$D$1:$F$143,3,0))*10^-3*10^2*各项系数!$J$4</f>
        <v>2.8708036659352235E-2</v>
      </c>
      <c r="HA17" s="303">
        <v>1</v>
      </c>
      <c r="HB17" s="304">
        <f t="shared" si="144"/>
        <v>2.8708036659352235E-2</v>
      </c>
      <c r="HC17" s="304">
        <f>HB17*(VLOOKUP($GZ$9,各项系数!$D$1:$F$143,2,0))</f>
        <v>0.488036623208988</v>
      </c>
      <c r="HD17" s="315">
        <f>各项系数!$F$76/4*($MW17^2-$MT17^2)*10^-2*(VLOOKUP($HD$9,各项系数!$D$1:$F$143,3,0))*10^-3*10^2*各项系数!$J$4</f>
        <v>2.9723324006768768E-2</v>
      </c>
      <c r="HE17" s="303">
        <v>1</v>
      </c>
      <c r="HF17" s="304">
        <f t="shared" si="145"/>
        <v>2.9723324006768768E-2</v>
      </c>
      <c r="HG17" s="304">
        <f>HF17*(VLOOKUP($HD$9,各项系数!$D$1:$F$143,2,0))</f>
        <v>0.5052965081150691</v>
      </c>
      <c r="HH17" s="315">
        <f>各项系数!$F$76/4*($MV17^2-$MS17^2)*10^-2*(VLOOKUP($HH$9,各项系数!$D$1:$F$143,3,0))*10^-3*10^2*各项系数!$J$4</f>
        <v>2.8708036659352235E-2</v>
      </c>
      <c r="HI17" s="322">
        <v>1</v>
      </c>
      <c r="HJ17" s="304">
        <f t="shared" si="146"/>
        <v>2.8708036659352235E-2</v>
      </c>
      <c r="HK17" s="304">
        <f>HJ17*(VLOOKUP($HH$9,各项系数!$D$1:$F$143,2,0))</f>
        <v>0.488036623208988</v>
      </c>
      <c r="HL17" s="315">
        <f>各项系数!$F$76/4*($MW17^2-$MT17^2)*10^-2*(VLOOKUP($HL$9,各项系数!$D$1:$F$143,3,0))*10^-3*10^2*各项系数!$J$4</f>
        <v>2.9723324006768768E-2</v>
      </c>
      <c r="HM17" s="322">
        <v>1</v>
      </c>
      <c r="HN17" s="304">
        <f t="shared" si="147"/>
        <v>2.9723324006768768E-2</v>
      </c>
      <c r="HO17" s="304">
        <f>HN17*(VLOOKUP($HL$9,各项系数!$D$1:$F$143,2,0))</f>
        <v>0.5052965081150691</v>
      </c>
      <c r="HP17" s="315">
        <f>各项系数!$F$76/4*($MV17^2-$MS17^2)*10^-2*(VLOOKUP(AN17,各项系数!$D$1:$F$143,3,0))*10^-3*10^2*各项系数!$J$4</f>
        <v>2.9104009578791577E-2</v>
      </c>
      <c r="HQ17" s="303">
        <v>1</v>
      </c>
      <c r="HR17" s="304">
        <f t="shared" ref="HR17:HR20" si="172">HQ17*HP17</f>
        <v>2.9104009578791577E-2</v>
      </c>
      <c r="HS17" s="304">
        <f>HR17*(VLOOKUP(AN17,各项系数!$D$1:$F$143,2,0))</f>
        <v>0.29104009578791579</v>
      </c>
      <c r="HT17" s="315">
        <f>各项系数!$F$76/4*($MW17^2-$MT17^2)*10^-2*(VLOOKUP(AN17,各项系数!$D$1:$F$143,3,0))*10^-3*10^2*各项系数!$J$4</f>
        <v>3.0133300889620747E-2</v>
      </c>
      <c r="HU17" s="303">
        <v>1</v>
      </c>
      <c r="HV17" s="304">
        <f t="shared" ref="HV17:HV20" si="173">HU17*HT17</f>
        <v>3.0133300889620747E-2</v>
      </c>
      <c r="HW17" s="304">
        <f>HV17*(VLOOKUP(AN17,各项系数!$D$1:$F$143,2,0))</f>
        <v>0.30133300889620745</v>
      </c>
      <c r="HX17" s="315">
        <f>各项系数!$F$76/4*($MV17^2-$MS17^2)*10^-2*(VLOOKUP($HX$9,各项系数!$D$1:$F$143,3,0))*10^-3*10^2*各项系数!$J$4</f>
        <v>2.9104009578791577E-2</v>
      </c>
      <c r="HY17" s="322">
        <v>1</v>
      </c>
      <c r="HZ17" s="304">
        <f t="shared" ref="HZ17:HZ20" si="174">HY17*HX17</f>
        <v>2.9104009578791577E-2</v>
      </c>
      <c r="IA17" s="304">
        <f>HZ17*(VLOOKUP($HX$9,各项系数!$D$1:$F$143,2,0))</f>
        <v>0.32014410536670734</v>
      </c>
      <c r="IB17" s="315">
        <f>各项系数!$F$76/4*($MW17^2-$MT17^2)*10^-2*(VLOOKUP($IB$9,各项系数!$D$1:$F$143,3,0))*10^-3*10^2*各项系数!$J$4</f>
        <v>3.0133300889620747E-2</v>
      </c>
      <c r="IC17" s="322">
        <v>1</v>
      </c>
      <c r="ID17" s="304">
        <f t="shared" si="58"/>
        <v>3.0133300889620747E-2</v>
      </c>
      <c r="IE17" s="304">
        <f>ID17*(VLOOKUP($IB$9,各项系数!$D$1:$F$143,2,0))</f>
        <v>0.33146630978582819</v>
      </c>
      <c r="IF17" s="328"/>
      <c r="IG17" s="315">
        <f t="shared" si="148"/>
        <v>2.2102650621909185E-3</v>
      </c>
      <c r="IH17" s="303">
        <v>1</v>
      </c>
      <c r="II17" s="304">
        <f t="shared" si="59"/>
        <v>2.2102650621909185E-3</v>
      </c>
      <c r="IJ17" s="304">
        <f>II17*(VLOOKUP($IG$8,各项系数!$D$1:$F$143,2,0))</f>
        <v>5.5256626554772967E-2</v>
      </c>
      <c r="IK17" s="315">
        <f>(各项系数!$F$76/4*($MX17^2-$MK17^2)*$EG17)*10^-2*(VLOOKUP($IG$8,各项系数!$D$1:$F$143,3,0))*10^-3*10^2*各项系数!$J$4</f>
        <v>2.2102650621909185E-3</v>
      </c>
      <c r="IL17" s="303">
        <f>IK17*(VLOOKUP($IG$8,各项系数!$D$1:$F$143,2,0))</f>
        <v>5.5256626554772967E-2</v>
      </c>
      <c r="IM17" s="304">
        <f>(各项系数!$F$76/4*(($MM17+3*$X17)^2-MM17^2)*$EO17)*10^-2*(VLOOKUP($IG$8,各项系数!$D$1:$F$143,3,0))*10^-3*10^2*各项系数!$J$4</f>
        <v>0</v>
      </c>
      <c r="IN17" s="303">
        <f>IM17*(VLOOKUP($IG$8,各项系数!$D$1:$F$143,2,0))</f>
        <v>0</v>
      </c>
      <c r="IO17" s="315">
        <f>各项系数!$F$76/4*($MZ17^2-$MX17^2)*10^-2*(VLOOKUP(L17,各项系数!$D$1:$F$143,3,0))*10^-3*10^2*$ES17*各项系数!$J$4</f>
        <v>6.9900267218744117E-3</v>
      </c>
      <c r="IP17" s="303">
        <v>1</v>
      </c>
      <c r="IQ17" s="304">
        <f t="shared" si="60"/>
        <v>6.9900267218744117E-3</v>
      </c>
      <c r="IR17" s="285">
        <f>IQ17*(VLOOKUP(L17,各项系数!$D$1:$F$143,2,0))</f>
        <v>7.1298272563118992E-2</v>
      </c>
      <c r="IS17" s="315">
        <f>IF($L17&lt;&gt;$IS$9,0,各项系数!$F$76/4*($MZ17^2-$MX17^2)*10^-2*各项系数!$F$12*10^-3*10^2)*$ES17*各项系数!$J$4</f>
        <v>0</v>
      </c>
      <c r="IT17" s="303">
        <v>1</v>
      </c>
      <c r="IU17" s="304">
        <f t="shared" si="61"/>
        <v>0</v>
      </c>
      <c r="IV17" s="285">
        <f>IU17*各项系数!$E$12</f>
        <v>0</v>
      </c>
      <c r="IW17" s="302">
        <f t="shared" si="62"/>
        <v>6.9900267218744117E-3</v>
      </c>
      <c r="IX17" s="302">
        <f t="shared" si="63"/>
        <v>7.1298272563118992E-2</v>
      </c>
      <c r="IY17" s="339">
        <f>各项系数!$F$76/4*($NB17^2-$MZ17^2*$EG17-$NA17^2*$EO17)*10^-2</f>
        <v>0</v>
      </c>
      <c r="IZ17" s="284">
        <f t="shared" si="149"/>
        <v>1</v>
      </c>
      <c r="JA17" s="285">
        <f t="shared" si="64"/>
        <v>0</v>
      </c>
      <c r="JB17" s="282">
        <f>IF($DE17&lt;&gt;$JB$9,0,$JA17*各项系数!$F$32*10^-3*10^2)*各项系数!$J$4</f>
        <v>0</v>
      </c>
      <c r="JC17" s="102">
        <v>1</v>
      </c>
      <c r="JD17" s="189">
        <f t="shared" si="65"/>
        <v>0</v>
      </c>
      <c r="JE17" s="262">
        <f>JD17*各项系数!$E$32</f>
        <v>0</v>
      </c>
      <c r="JF17" s="282">
        <f>IF($DE17&lt;&gt;$JF$9,0,$JA17*VLOOKUP($JF$9,各项系数!$D$4:$F$540,2,0)*10^-3*10^2)*各项系数!$J$4</f>
        <v>0</v>
      </c>
      <c r="JG17" s="102">
        <v>1</v>
      </c>
      <c r="JH17" s="189">
        <f t="shared" si="66"/>
        <v>0</v>
      </c>
      <c r="JI17" s="262">
        <f>JH17*VLOOKUP($JF$9,各项系数!$D$4:$F$540,3,0)</f>
        <v>0</v>
      </c>
      <c r="JJ17" s="282">
        <f t="shared" si="67"/>
        <v>0</v>
      </c>
      <c r="JK17" s="189">
        <f t="shared" si="68"/>
        <v>0</v>
      </c>
      <c r="JL17" s="282">
        <f>IF($DF17&lt;&gt;$JL$9,0,各项系数!$F$76/4*($NE17^2-$NC17^2)*10^-2*各项系数!$F$39*10^-3*10^2)*各项系数!$J$4</f>
        <v>0</v>
      </c>
      <c r="JM17" s="102">
        <v>1</v>
      </c>
      <c r="JN17" s="189">
        <f t="shared" si="69"/>
        <v>0</v>
      </c>
      <c r="JO17" s="262">
        <f>JN17*各项系数!$E$39</f>
        <v>0</v>
      </c>
      <c r="JP17" s="282">
        <f>IF($DF17&lt;&gt;$JP$9,0,各项系数!$F$76/4*($NE17^2-$NC17^2)*10^-2*各项系数!$F$36*10^-3*10^2)*各项系数!$J$4</f>
        <v>0</v>
      </c>
      <c r="JQ17" s="102">
        <v>1</v>
      </c>
      <c r="JR17" s="189">
        <f t="shared" si="70"/>
        <v>0</v>
      </c>
      <c r="JS17" s="262">
        <f>JR17*各项系数!$E$36</f>
        <v>0</v>
      </c>
      <c r="JT17" s="282">
        <f>IF($DF17&lt;&gt;$JT$9,0,各项系数!$F$76/4*($NE17^2-$NC17^2)*10^-2*各项系数!$F$40*10^-3*10^2)*各项系数!$J$4</f>
        <v>0</v>
      </c>
      <c r="JU17" s="102">
        <v>1</v>
      </c>
      <c r="JV17" s="189">
        <f t="shared" si="71"/>
        <v>0</v>
      </c>
      <c r="JW17" s="262">
        <f>JV17*各项系数!$E$40</f>
        <v>0</v>
      </c>
      <c r="JX17" s="282">
        <f>IF($DF17&lt;&gt;$JX$9,0,各项系数!$F$76/4*($NE17^2-$NC17^2)*10^-2*各项系数!$F$38*10^-3*10^2)*各项系数!$J$4</f>
        <v>0</v>
      </c>
      <c r="JY17" s="102">
        <v>1</v>
      </c>
      <c r="JZ17" s="189">
        <f t="shared" si="72"/>
        <v>0</v>
      </c>
      <c r="KA17" s="262">
        <f>JZ17*各项系数!$E$38</f>
        <v>0</v>
      </c>
      <c r="KB17" s="282">
        <f>IF($DF17&lt;&gt;$KB$9,0,各项系数!$F$76/4*($NE17^2-$NC17^2)*10^-2*各项系数!$F$41*10^-3*10^2)*各项系数!$J$4</f>
        <v>0</v>
      </c>
      <c r="KC17" s="102">
        <v>1</v>
      </c>
      <c r="KD17" s="189">
        <f t="shared" si="73"/>
        <v>0</v>
      </c>
      <c r="KE17" s="262">
        <f>KD17*各项系数!$E$41</f>
        <v>0</v>
      </c>
      <c r="KF17" s="189">
        <f t="shared" si="74"/>
        <v>0</v>
      </c>
      <c r="KG17" s="189">
        <f t="shared" si="75"/>
        <v>0</v>
      </c>
      <c r="KH17" s="235">
        <f>各项系数!$F$76/4*($NG17^2-$NE17^2)*10^-2*各项系数!$F$44*10^-3*10^2*各项系数!$J$4*0.75*$U17</f>
        <v>2.7896879544908375E-2</v>
      </c>
      <c r="KI17" s="102">
        <v>1</v>
      </c>
      <c r="KJ17" s="189">
        <f t="shared" si="76"/>
        <v>2.7896879544908375E-2</v>
      </c>
      <c r="KK17" s="189">
        <f>ROUND(KJ17*各项系数!$E$44,GT17)</f>
        <v>0.3</v>
      </c>
      <c r="KL17" s="235">
        <f>各项系数!$F$76/4*($NF17^2-$NE17^2)*10^-2*各项系数!$F$46*10^-3*10^2*各项系数!$J$4*PI()/4*R17</f>
        <v>5.1461069782510246E-3</v>
      </c>
      <c r="KM17" s="102">
        <v>1</v>
      </c>
      <c r="KN17" s="189">
        <f t="shared" si="77"/>
        <v>5.1461069782510246E-3</v>
      </c>
      <c r="KO17" s="189">
        <f>KN17*各项系数!$E$46</f>
        <v>0.34736222103194414</v>
      </c>
      <c r="KP17" s="235">
        <f>各项系数!$F$76/4*($NH17^2-$NE17^2)*10^-2*(VLOOKUP($KP$9,各项系数!$D$1:$F$143,3,0))*10^-3*10^2*各项系数!$J$4</f>
        <v>3.1753898701601842E-2</v>
      </c>
      <c r="KQ17" s="102">
        <v>1</v>
      </c>
      <c r="KR17" s="189">
        <f t="shared" si="150"/>
        <v>3.1753898701601842E-2</v>
      </c>
      <c r="KS17" s="189">
        <f>KR17*(VLOOKUP($KP$9,各项系数!$D$1:$F$143,2,0))</f>
        <v>0.5398162779272313</v>
      </c>
      <c r="KT17" s="235">
        <f>各项系数!$F$76/4*($NI17^2-$NF17^2)*10^-2*(VLOOKUP($KT$9,各项系数!$D$1:$F$143,3,0))*10^-3*10^2*各项系数!$J$4</f>
        <v>3.2769186049018378E-2</v>
      </c>
      <c r="KU17" s="102">
        <v>1</v>
      </c>
      <c r="KV17" s="189">
        <f t="shared" si="151"/>
        <v>3.2769186049018378E-2</v>
      </c>
      <c r="KW17" s="189">
        <f>KV17*(VLOOKUP($KT$9,各项系数!$D$1:$F$143,2,0))</f>
        <v>0.5570761628333124</v>
      </c>
      <c r="KX17" s="189">
        <f>各项系数!$F$76/4*($NH17^2-$NE17^2)*10^-2*(VLOOKUP($KX$9,各项系数!$D$1:$F$143,3,0))*10^-3*10^2*各项系数!$J$4</f>
        <v>3.1753898701601842E-2</v>
      </c>
      <c r="KY17" s="353">
        <v>1</v>
      </c>
      <c r="KZ17" s="189">
        <f t="shared" si="152"/>
        <v>3.1753898701601842E-2</v>
      </c>
      <c r="LA17" s="189">
        <f>KZ17*(VLOOKUP($KX$9,各项系数!$D$1:$F$143,2,0))</f>
        <v>0.5398162779272313</v>
      </c>
      <c r="LB17" s="189">
        <f>各项系数!$F$76/4*($NI17^2-$NF17^2)*10^-2*(VLOOKUP($LB$9,各项系数!$D$1:$F$143,3,0))*10^-3*10^2*各项系数!$J$4</f>
        <v>3.2769186049018378E-2</v>
      </c>
      <c r="LC17" s="353">
        <v>1</v>
      </c>
      <c r="LD17" s="189">
        <f t="shared" si="153"/>
        <v>3.2769186049018378E-2</v>
      </c>
      <c r="LE17" s="189">
        <f>LD17*(VLOOKUP($LB$9,各项系数!$D$1:$F$143,2,0))</f>
        <v>0.5570761628333124</v>
      </c>
      <c r="LF17" s="235">
        <f>各项系数!$F$76/4*($NH17^2-$NE17^2)*10^-2*(VLOOKUP(AN17,各项系数!$D$1:$F$143,3,0))*10^-3*10^2*各项系数!$J$4</f>
        <v>3.2191883511279114E-2</v>
      </c>
      <c r="LG17" s="102">
        <v>1</v>
      </c>
      <c r="LH17" s="189">
        <f t="shared" si="82"/>
        <v>3.2191883511279114E-2</v>
      </c>
      <c r="LI17" s="189">
        <f>LH17*(VLOOKUP(AN17,各项系数!$D$1:$F$143,2,0))</f>
        <v>0.32191883511279112</v>
      </c>
      <c r="LJ17" s="235">
        <f>各项系数!$F$76/4*($NI17^2-$NF17^2)*10^-2*(VLOOKUP(AN17,各项系数!$D$1:$F$143,3,0))*10^-3*10^2*各项系数!$J$4</f>
        <v>3.322117482210829E-2</v>
      </c>
      <c r="LK17" s="102">
        <v>1</v>
      </c>
      <c r="LL17" s="189">
        <f t="shared" si="83"/>
        <v>3.322117482210829E-2</v>
      </c>
      <c r="LM17" s="189">
        <f>LL17*(VLOOKUP(AN17,各项系数!$D$1:$F$143,2,0))</f>
        <v>0.3322117482210829</v>
      </c>
      <c r="LN17" s="189">
        <f>各项系数!$F$76/4*($NH17^2-$NE17^2)*10^-2*(VLOOKUP($LN$9,各项系数!$D$1:$F$143,3,0))*10^-3*10^2*各项系数!$J$4</f>
        <v>3.2191883511279114E-2</v>
      </c>
      <c r="LO17" s="353">
        <v>1</v>
      </c>
      <c r="LP17" s="189">
        <f t="shared" si="84"/>
        <v>3.2191883511279114E-2</v>
      </c>
      <c r="LQ17" s="189">
        <f>LP17*(VLOOKUP($LN$9,各项系数!$D$1:$F$143,2,0))</f>
        <v>0.35411071862407023</v>
      </c>
      <c r="LR17" s="189">
        <f>各项系数!$F$76/4*($NI17^2-$NF17^2)*10^-2*(VLOOKUP($LR$9,各项系数!$D$1:$F$143,3,0))*10^-3*10^2*各项系数!$J$4</f>
        <v>3.322117482210829E-2</v>
      </c>
      <c r="LS17" s="353">
        <v>1</v>
      </c>
      <c r="LT17" s="189">
        <f t="shared" si="85"/>
        <v>3.322117482210829E-2</v>
      </c>
      <c r="LU17" s="189">
        <f>LT17*(VLOOKUP($LR$9,各项系数!$D$1:$F$143,2,0))</f>
        <v>0.36543292304319119</v>
      </c>
      <c r="LV17" s="227">
        <f t="shared" si="154"/>
        <v>2.3346774099999998</v>
      </c>
      <c r="LW17" s="227">
        <f t="shared" si="155"/>
        <v>2.3346774099999998</v>
      </c>
      <c r="LX17" s="227">
        <f t="shared" si="156"/>
        <v>1.7241240102184845</v>
      </c>
      <c r="LY17" s="227">
        <f t="shared" si="157"/>
        <v>0</v>
      </c>
      <c r="LZ17" s="374">
        <f t="shared" si="86"/>
        <v>1</v>
      </c>
      <c r="MA17" s="375">
        <f t="shared" si="87"/>
        <v>2.3346774099999998</v>
      </c>
      <c r="MB17" s="375">
        <f t="shared" si="158"/>
        <v>1.7241240099999999</v>
      </c>
      <c r="MC17" s="227">
        <f t="shared" si="159"/>
        <v>0</v>
      </c>
      <c r="MD17" s="227">
        <f t="shared" si="160"/>
        <v>0</v>
      </c>
      <c r="ME17" s="227">
        <f t="shared" si="161"/>
        <v>0</v>
      </c>
      <c r="MF17" s="227">
        <f t="shared" si="162"/>
        <v>0</v>
      </c>
      <c r="MG17" s="374">
        <f t="shared" si="163"/>
        <v>1</v>
      </c>
      <c r="MH17" s="375">
        <f t="shared" si="88"/>
        <v>0</v>
      </c>
      <c r="MI17" s="375">
        <f t="shared" si="164"/>
        <v>0</v>
      </c>
      <c r="MJ17" s="189">
        <f t="shared" si="89"/>
        <v>1.7241240099999999</v>
      </c>
      <c r="MK17" s="189">
        <f t="shared" si="165"/>
        <v>1.7241240099999999</v>
      </c>
      <c r="ML17" s="189">
        <f t="shared" si="90"/>
        <v>0</v>
      </c>
      <c r="MM17" s="189">
        <f t="shared" si="91"/>
        <v>0</v>
      </c>
      <c r="MN17" s="189">
        <f t="shared" si="92"/>
        <v>3.1241240100000001</v>
      </c>
      <c r="MO17" s="189">
        <f t="shared" si="166"/>
        <v>0</v>
      </c>
      <c r="MP17" s="189">
        <f t="shared" si="167"/>
        <v>3.1241240100000001</v>
      </c>
      <c r="MQ17" s="189">
        <f t="shared" si="93"/>
        <v>3.1241240100000001</v>
      </c>
      <c r="MR17" s="246">
        <f t="shared" si="168"/>
        <v>3.1241240100000001</v>
      </c>
      <c r="MS17" s="380">
        <f t="shared" si="94"/>
        <v>3.1241240100000001</v>
      </c>
      <c r="MT17" s="380">
        <f t="shared" si="95"/>
        <v>3.2841240100000002</v>
      </c>
      <c r="MU17" s="380">
        <f t="shared" si="96"/>
        <v>3.52412401</v>
      </c>
      <c r="MV17" s="380">
        <f t="shared" si="97"/>
        <v>5.9241240099999999</v>
      </c>
      <c r="MW17" s="380">
        <f t="shared" si="98"/>
        <v>6.08412401</v>
      </c>
      <c r="MX17" s="254">
        <f t="shared" si="99"/>
        <v>2.2041240100000001</v>
      </c>
      <c r="MY17" s="254">
        <f t="shared" si="100"/>
        <v>0</v>
      </c>
      <c r="MZ17" s="189">
        <f t="shared" si="101"/>
        <v>3.60412401</v>
      </c>
      <c r="NA17" s="189">
        <f t="shared" si="102"/>
        <v>0</v>
      </c>
      <c r="NB17" s="189">
        <f t="shared" si="169"/>
        <v>3.60412401</v>
      </c>
      <c r="NC17" s="254">
        <f t="shared" si="103"/>
        <v>3.60412401</v>
      </c>
      <c r="ND17" s="246">
        <f t="shared" si="104"/>
        <v>3.60412401</v>
      </c>
      <c r="NE17" s="386">
        <f t="shared" si="105"/>
        <v>3.60412401</v>
      </c>
      <c r="NF17" s="380">
        <f t="shared" si="106"/>
        <v>3.7641240100000002</v>
      </c>
      <c r="NG17" s="387">
        <f t="shared" si="107"/>
        <v>4.00412401</v>
      </c>
      <c r="NH17" s="254">
        <f t="shared" si="108"/>
        <v>6.4041240100000003</v>
      </c>
      <c r="NI17" s="380">
        <f t="shared" si="109"/>
        <v>6.5641240100000005</v>
      </c>
      <c r="NK17" s="388">
        <f t="shared" si="110"/>
        <v>5.5590215008025953E-2</v>
      </c>
      <c r="NL17" s="388">
        <f t="shared" si="111"/>
        <v>1.7032276557624375</v>
      </c>
      <c r="NM17" s="388">
        <f t="shared" si="112"/>
        <v>5.5590215008025953E-2</v>
      </c>
      <c r="NN17" s="388">
        <f t="shared" si="113"/>
        <v>1.7323316653412291</v>
      </c>
      <c r="NO17" s="388">
        <f t="shared" si="114"/>
        <v>6.2043680984247361E-2</v>
      </c>
      <c r="NP17" s="388">
        <f t="shared" si="115"/>
        <v>1.8011473568538239</v>
      </c>
      <c r="NQ17" s="388">
        <f t="shared" si="116"/>
        <v>6.2043680984247361E-2</v>
      </c>
      <c r="NR17" s="388">
        <f t="shared" si="117"/>
        <v>1.833339240365103</v>
      </c>
      <c r="NS17" s="388">
        <f t="shared" si="118"/>
        <v>6.0065842017943752E-2</v>
      </c>
      <c r="NT17" s="388">
        <f t="shared" si="119"/>
        <v>6.0065842017943752E-2</v>
      </c>
      <c r="NU17" s="388">
        <f t="shared" si="120"/>
        <v>6.7189787962498387E-2</v>
      </c>
      <c r="NV17" s="388">
        <f t="shared" si="121"/>
        <v>6.7189787962498387E-2</v>
      </c>
      <c r="NW17">
        <f t="shared" si="122"/>
        <v>7.184147054991312E-2</v>
      </c>
      <c r="NX17">
        <f>各项系数!$M$9*NK17</f>
        <v>1.6677064502407784E-2</v>
      </c>
      <c r="NY17">
        <f t="shared" si="123"/>
        <v>6.0065842017943752E-2</v>
      </c>
      <c r="OB17" s="66" t="str">
        <f t="shared" si="124"/>
        <v>1*2.5</v>
      </c>
      <c r="OC17" s="395">
        <f t="shared" si="125"/>
        <v>172.412400708262</v>
      </c>
      <c r="OD17" s="395">
        <f>SQRT(4*EY17/PI()/EH17/各项系数!$J$4/各项系数!$F$5*10000000)</f>
        <v>172.41240070826197</v>
      </c>
      <c r="OE17" s="396">
        <f t="shared" si="126"/>
        <v>2.3346774015073022</v>
      </c>
      <c r="OF17" s="396">
        <f t="shared" si="127"/>
        <v>2.3346774015073017</v>
      </c>
      <c r="OG17" s="66"/>
      <c r="OH17" s="397"/>
    </row>
    <row r="18" spans="1:398" ht="15" hidden="1" customHeight="1">
      <c r="A18" s="50">
        <v>4</v>
      </c>
      <c r="B18" s="51">
        <v>0</v>
      </c>
      <c r="C18" s="52">
        <v>0.7</v>
      </c>
      <c r="D18" s="53" t="s">
        <v>199</v>
      </c>
      <c r="E18" s="61">
        <f t="shared" si="1"/>
        <v>6.3858841499999999</v>
      </c>
      <c r="F18" s="57">
        <v>218.58841470644899</v>
      </c>
      <c r="G18" s="56"/>
      <c r="H18" s="56"/>
      <c r="I18" s="56"/>
      <c r="J18" s="56"/>
      <c r="K18" s="56"/>
      <c r="L18" s="97" t="s">
        <v>467</v>
      </c>
      <c r="M18" s="98">
        <f t="shared" si="2"/>
        <v>0.7</v>
      </c>
      <c r="N18" s="98">
        <f t="shared" si="3"/>
        <v>0</v>
      </c>
      <c r="O18" s="53"/>
      <c r="P18" s="99">
        <v>0.1</v>
      </c>
      <c r="Q18" s="133">
        <f t="shared" si="170"/>
        <v>0.1</v>
      </c>
      <c r="R18" s="131">
        <v>0.8</v>
      </c>
      <c r="S18" s="132" t="s">
        <v>521</v>
      </c>
      <c r="T18" s="133">
        <v>0.2</v>
      </c>
      <c r="U18" s="53">
        <v>2</v>
      </c>
      <c r="V18" s="131"/>
      <c r="W18" s="103">
        <v>1.4</v>
      </c>
      <c r="X18" s="135">
        <f t="shared" si="171"/>
        <v>0.2</v>
      </c>
      <c r="Y18" s="135">
        <v>2</v>
      </c>
      <c r="Z18" s="168">
        <v>0.2</v>
      </c>
      <c r="AA18" s="153">
        <v>1</v>
      </c>
      <c r="AB18" s="153">
        <f>PI()*EJ18*EJ18/4*EH18*(1-H18)*AA18*各项系数!$F$5*各项系数!$J$4*10^-7</f>
        <v>3.3194719556349603E-2</v>
      </c>
      <c r="AC18" s="153">
        <f t="shared" si="4"/>
        <v>218.58841470644899</v>
      </c>
      <c r="AD18" s="153">
        <f t="shared" si="5"/>
        <v>3.7527027212948432</v>
      </c>
      <c r="AE18" s="153">
        <f>POWER(4*EU18/PI()/EG18/10^-7/EH18/(1-H18)/各项系数!$F$5/各项系数!$J$4,0.5)</f>
        <v>218.58841470644899</v>
      </c>
      <c r="AF18" s="69">
        <v>1</v>
      </c>
      <c r="AG18" s="69">
        <f>IF(EM18=0,0,PI()*ER18*ER18/4*EP18*(1-K18)*(1+AF18)*各项系数!$F$5*各项系数!$J$4*10^-7)</f>
        <v>0</v>
      </c>
      <c r="AH18" s="69">
        <f t="shared" si="6"/>
        <v>0</v>
      </c>
      <c r="AI18" s="69">
        <f t="shared" si="128"/>
        <v>0</v>
      </c>
      <c r="AJ18" s="69">
        <f>IF(OR(EP18="",EP18=0),0,POWER(4*EW18/PI()/EO18/10^-7/EP18/(1-K18)/各项系数!$F$5/各项系数!$J$4,0.5))</f>
        <v>0</v>
      </c>
      <c r="AK18" s="69" t="str">
        <f t="shared" si="8"/>
        <v>√</v>
      </c>
      <c r="AL18" s="69">
        <f t="shared" si="9"/>
        <v>2.6598740486152948</v>
      </c>
      <c r="AM18" s="188">
        <f t="shared" si="10"/>
        <v>4</v>
      </c>
      <c r="AN18" s="97" t="s">
        <v>486</v>
      </c>
      <c r="AO18" s="196">
        <f>AP18+各项系数!$M$9*$NK18</f>
        <v>2.6077196555051909</v>
      </c>
      <c r="AP18" s="196">
        <f>AQ18*(1+$BI18+(VLOOKUP($AM18,$A$12:$B$323,2,0))+各项系数!$J$6+各项系数!$M$5)*(1+$E$2)</f>
        <v>2.5860550386874799</v>
      </c>
      <c r="AQ18" s="197">
        <f>AR18+各项系数!$L$9*$NK18</f>
        <v>2.6388316721300815</v>
      </c>
      <c r="AR18" s="197">
        <f>AS18*(1+$BJ18+各项系数!$J$5+各项系数!$L$5)</f>
        <v>2.6171670553123705</v>
      </c>
      <c r="AS18" s="197">
        <f t="shared" si="129"/>
        <v>2.565850054227814</v>
      </c>
      <c r="AT18" s="196">
        <f>AU18+各项系数!$M$9*$NM18</f>
        <v>2.824736028345133</v>
      </c>
      <c r="AU18" s="196">
        <f>AV18*(1+$BI18+(VLOOKUP($AM18,$A$12:$B$323,2,0))+各项系数!$J$6+各项系数!$M$5)*(1+$E$2)</f>
        <v>2.803071411527422</v>
      </c>
      <c r="AV18" s="197">
        <f>AW18+各项系数!$L$9*$NM18</f>
        <v>2.8602769505381858</v>
      </c>
      <c r="AW18" s="197">
        <f>AX18*(1+$BJ18+各项系数!$J$5+各项系数!$L$5)</f>
        <v>2.8386123337204747</v>
      </c>
      <c r="AX18" s="197">
        <f t="shared" si="130"/>
        <v>2.7829532683534066</v>
      </c>
      <c r="AY18" s="196">
        <f>AZ18+各项系数!$M$9*$NS18</f>
        <v>2.9665543011676347</v>
      </c>
      <c r="AZ18" s="196">
        <f>BA18*(1+$BI18+(VLOOKUP($AM18,$A$12:$B$214,2,0))+各项系数!$J$6+各项系数!$M$5)*(1+$E$2)</f>
        <v>2.9433534956694203</v>
      </c>
      <c r="BA18" s="197">
        <f>BB18+各项系数!$L$9*$NS18</f>
        <v>3.0034219343565516</v>
      </c>
      <c r="BB18" s="197">
        <f>BC18*(1+$BJ18+各项系数!$J$5+各项系数!$L$5)</f>
        <v>2.9802211288583371</v>
      </c>
      <c r="BC18" s="199">
        <f t="shared" si="131"/>
        <v>2.9217854204493499</v>
      </c>
      <c r="BD18" s="196">
        <f>BE18+各项系数!$M$9*$NS18</f>
        <v>3.1905348590166471</v>
      </c>
      <c r="BE18" s="196">
        <f>BF18*(1+$BI18+(VLOOKUP($AM18,$A$12:$B$214,2,0))+各项系数!$J$6+各项系数!$M$5)*(1+$E$2)</f>
        <v>3.1673340535184327</v>
      </c>
      <c r="BF18" s="197">
        <f>BG18+各项系数!$L$9*$NS18</f>
        <v>3.2319735239984007</v>
      </c>
      <c r="BG18" s="197">
        <f>BH18*(1+$BJ18+各项系数!$J$5+各项系数!$L$5)</f>
        <v>3.2087727185001862</v>
      </c>
      <c r="BH18" s="199">
        <f t="shared" si="132"/>
        <v>3.1458556063727316</v>
      </c>
      <c r="BI18" s="51"/>
      <c r="BJ18" s="208"/>
      <c r="BK18" s="102"/>
      <c r="BL18" s="196">
        <f>BM18+各项系数!$M$9*$NM18</f>
        <v>2.6652410319640012</v>
      </c>
      <c r="BM18" s="196">
        <f>BN18*(1+$CF18+(VLOOKUP($AM18,$A$12:$B$323,2,0))+各项系数!$J$6+各项系数!$M$5)*(1+$E$2)</f>
        <v>2.6435764151462902</v>
      </c>
      <c r="BN18" s="197">
        <f>BO18+各项系数!$L$9*$NM18</f>
        <v>2.6975269542309084</v>
      </c>
      <c r="BO18" s="197">
        <f>BP18*(1+$CG18+各项系数!$J$5+各项系数!$L$5)</f>
        <v>2.6758623374131973</v>
      </c>
      <c r="BP18" s="197">
        <f t="shared" si="133"/>
        <v>2.5979245994302884</v>
      </c>
      <c r="BQ18" s="196">
        <f>BR18+各项系数!$M$9*$NM18</f>
        <v>2.8520089703749965</v>
      </c>
      <c r="BR18" s="196">
        <f>BS18*(1+$CF18+(VLOOKUP($AM18,$A$12:$B$323,2,0))+各项系数!$J$6+各项系数!$M$5)*(1+$E$2)</f>
        <v>2.8303443535572854</v>
      </c>
      <c r="BS18" s="197">
        <f>BT18+各项系数!$L$9*$NM18</f>
        <v>2.88810648322172</v>
      </c>
      <c r="BT18" s="197">
        <f>BU18*(1+$CG18+各项系数!$J$5+各项系数!$L$5)</f>
        <v>2.866441866404009</v>
      </c>
      <c r="BU18" s="197">
        <f t="shared" si="134"/>
        <v>2.7829532683534066</v>
      </c>
      <c r="BV18" s="196">
        <f>BW18+各项系数!$M$9*$NT18</f>
        <v>3.0139641565681909</v>
      </c>
      <c r="BW18" s="196">
        <f>BX18*(1+$CF18+(VLOOKUP($AM18,$A$12:$B$214,2,0))+各项系数!$J$6+各项系数!$M$5)*(1+$E$2)</f>
        <v>2.9907633510699765</v>
      </c>
      <c r="BX18" s="197">
        <f>BY18+各项系数!$L$9*$NT$12</f>
        <v>3.0517993378265067</v>
      </c>
      <c r="BY18" s="197">
        <f>BZ18*(1+$CG18+各项系数!$J$5+各项系数!$L$5)</f>
        <v>3.0435359346715329</v>
      </c>
      <c r="BZ18" s="199">
        <f t="shared" si="11"/>
        <v>2.9548892569626535</v>
      </c>
      <c r="CA18" s="196">
        <f>CB18+各项系数!$M$9*$NT18</f>
        <v>3.206725589662724</v>
      </c>
      <c r="CB18" s="196">
        <f>CC18*(1+$CF18+(VLOOKUP($AM18,$A$12:$B$214,2,0))+各项系数!$J$6+各项系数!$M$5)*(1+$E$2)</f>
        <v>3.1835247841645096</v>
      </c>
      <c r="CC18" s="197">
        <f>CD18+各项系数!$L$9*$NT$12</f>
        <v>3.2484946777188872</v>
      </c>
      <c r="CD18" s="197">
        <f>CE18*(1+$CG18+各项系数!$J$5+各项系数!$L$5)</f>
        <v>3.2402312745639135</v>
      </c>
      <c r="CE18" s="199">
        <f t="shared" si="135"/>
        <v>3.1458556063727316</v>
      </c>
      <c r="CF18" s="213">
        <f t="shared" si="136"/>
        <v>0</v>
      </c>
      <c r="CG18" s="213">
        <f t="shared" si="12"/>
        <v>0.01</v>
      </c>
      <c r="CH18" s="102"/>
      <c r="CI18" s="196">
        <f>CJ18+各项系数!$M$9*$NO18</f>
        <v>2.7443923071918852</v>
      </c>
      <c r="CJ18" s="196">
        <f>CK18*(1+$DC18+(VLOOKUP($AM18,$A$12:$B$323,2,0))+各项系数!$J$6+各项系数!$M$5)*(1+$E$2)+各项系数!$M$9*$NK18</f>
        <v>2.7206357624144673</v>
      </c>
      <c r="CK18" s="197">
        <f>CL18+各项系数!$L$9*$NO18</f>
        <v>2.7540521893844452</v>
      </c>
      <c r="CL18" s="197">
        <f>CM18*(1+$DD18+各项系数!$J$5+各项系数!$L$5)</f>
        <v>2.7302956446070272</v>
      </c>
      <c r="CM18" s="197">
        <f t="shared" si="13"/>
        <v>2.6767604358892423</v>
      </c>
      <c r="CN18" s="196">
        <f>CO18+各项系数!$M$9*$NO18</f>
        <v>2.9305422922026825</v>
      </c>
      <c r="CO18" s="196">
        <f>CP18*(1+$DC18+(VLOOKUP($AM18,$A$12:$B$323,2,0))+各项系数!$J$6+各项系数!$M$5)*(1+$E$2)+各项系数!$M$9*$NK18</f>
        <v>2.9067857474252645</v>
      </c>
      <c r="CP18" s="197">
        <f>CQ18+各项系数!$L$9*$NO18</f>
        <v>2.9440011536811772</v>
      </c>
      <c r="CQ18" s="197">
        <f>CR18*(1+$DD18+各项系数!$J$5+各项系数!$L$5)</f>
        <v>2.9202446089037593</v>
      </c>
      <c r="CR18" s="197">
        <f t="shared" si="14"/>
        <v>2.8629849106899599</v>
      </c>
      <c r="CS18" s="196">
        <f>CT18+各项系数!$M$9*$NU18</f>
        <v>3.1271998960411564</v>
      </c>
      <c r="CT18" s="196">
        <f t="shared" si="15"/>
        <v>3.101706018592735</v>
      </c>
      <c r="CU18" s="197">
        <f>CV18+各项系数!$L$9*$NU18</f>
        <v>3.1650061414211583</v>
      </c>
      <c r="CV18" s="197">
        <f>CW18*(1+$DD18+各项系数!$J$5+各项系数!$L$5)</f>
        <v>3.1395122639727369</v>
      </c>
      <c r="CW18" s="199">
        <f t="shared" si="16"/>
        <v>3.0779531999732712</v>
      </c>
      <c r="CX18" s="196">
        <f>CY18+各项系数!$M$9*$NU18</f>
        <v>3.3720730089173792</v>
      </c>
      <c r="CY18" s="196">
        <f t="shared" si="17"/>
        <v>3.3465791314689577</v>
      </c>
      <c r="CZ18" s="197">
        <f>DA18+各项系数!$L$9*$NU18</f>
        <v>3.4148766647642428</v>
      </c>
      <c r="DA18" s="197">
        <f>DB18*(1+$DD18+各项系数!$J$5+各项系数!$L$5)</f>
        <v>3.3893827873158213</v>
      </c>
      <c r="DB18" s="199">
        <f t="shared" si="18"/>
        <v>3.3229243012900209</v>
      </c>
      <c r="DC18" s="213">
        <f t="shared" si="137"/>
        <v>0</v>
      </c>
      <c r="DD18" s="213">
        <f t="shared" si="19"/>
        <v>0</v>
      </c>
      <c r="DE18" s="53"/>
      <c r="DF18" s="53"/>
      <c r="DG18" s="196">
        <f>DH18+各项系数!$M$9*$NQ18</f>
        <v>2.8061175053384302</v>
      </c>
      <c r="DH18" s="196">
        <f>DI18*(1+$EA18+(VLOOKUP($AM18,$A$12:$B$323,2,0))+各项系数!$J$6+各项系数!$M$5)*(1+$E$2)+各项系数!$M$9*$NK18</f>
        <v>2.7823609605610122</v>
      </c>
      <c r="DI18" s="197">
        <f>DJ18+各项系数!$L$9*$NQ18</f>
        <v>2.8170370854523483</v>
      </c>
      <c r="DJ18" s="197">
        <f>DK18*(1+$EB18+各项系数!$J$5+各项系数!$L$5)</f>
        <v>2.7932805406749304</v>
      </c>
      <c r="DK18" s="197">
        <f t="shared" si="20"/>
        <v>2.7119228550242043</v>
      </c>
      <c r="DL18" s="196">
        <f>DM18+各项系数!$M$9*$NQ18</f>
        <v>3.0108659278000385</v>
      </c>
      <c r="DM18" s="196">
        <f>DN18*(1+$EA18+(VLOOKUP($AM18,$A$12:$B$323,2,0))+各项系数!$J$6+各项系数!$M$5)*(1+$E$2)+各项系数!$M$9*$NK18</f>
        <v>2.9871093830226205</v>
      </c>
      <c r="DN18" s="197">
        <f>DO18+各项系数!$L$9*$NQ18</f>
        <v>3.025964047147867</v>
      </c>
      <c r="DO18" s="197">
        <f>DP18*(1+$EB18+各项系数!$J$5+各项系数!$L$5)</f>
        <v>3.0022075023704491</v>
      </c>
      <c r="DP18" s="197">
        <f t="shared" si="21"/>
        <v>2.9147645654082028</v>
      </c>
      <c r="DQ18" s="196">
        <f>DR18+各项系数!$M$9*$NV18</f>
        <v>3.1938957499248759</v>
      </c>
      <c r="DR18" s="196">
        <f t="shared" si="22"/>
        <v>3.1684018724764544</v>
      </c>
      <c r="DS18" s="197">
        <f>DT18+各项系数!$L$9*$NV18</f>
        <v>3.2330631351800556</v>
      </c>
      <c r="DT18" s="197">
        <f>DU18*(1+$EB18+各项系数!$J$5+各项系数!$L$5)</f>
        <v>3.2075692577316341</v>
      </c>
      <c r="DU18" s="199">
        <f t="shared" si="23"/>
        <v>3.1141449104190624</v>
      </c>
      <c r="DV18" s="196">
        <f>DW18+各项系数!$M$9*$NV18</f>
        <v>3.321226093415258</v>
      </c>
      <c r="DW18" s="196">
        <f t="shared" si="24"/>
        <v>3.2957322159668365</v>
      </c>
      <c r="DX18" s="197">
        <f>DY18+各项系数!$L$9*$NV18</f>
        <v>3.3629920571090168</v>
      </c>
      <c r="DY18" s="197">
        <f>DZ18*(1+$EB18+各项系数!$J$5+各项系数!$L$5)</f>
        <v>3.3374981796605954</v>
      </c>
      <c r="DZ18" s="199">
        <f t="shared" si="25"/>
        <v>3.2402894948161118</v>
      </c>
      <c r="EA18" s="213">
        <f t="shared" si="26"/>
        <v>0</v>
      </c>
      <c r="EB18" s="213">
        <f t="shared" si="27"/>
        <v>0.01</v>
      </c>
      <c r="EC18" s="235">
        <f t="shared" si="138"/>
        <v>1</v>
      </c>
      <c r="ED18" s="235" t="str">
        <f t="shared" si="139"/>
        <v>1*4</v>
      </c>
      <c r="EE18" s="189">
        <f t="shared" si="28"/>
        <v>4</v>
      </c>
      <c r="EF18" s="189">
        <f>LOOKUP(EH18,{1,7,10,14,19,24,30,37,48,61},{1,"1+6","2+8","4+10","1+6+12","2+8+14","4+10+16","1+6+12+18","3+9+15+21","1+6+12+18+24"})</f>
        <v>1</v>
      </c>
      <c r="EG18" s="188">
        <f t="shared" si="29"/>
        <v>1</v>
      </c>
      <c r="EH18" s="197">
        <f>IF(AM18&lt;10,1,IF(AND(AM18&gt;=10,AM18&lt;=35),7,LOOKUP(AM18,{50,70,95,120,150,185,240,300,400,500,630},{10,14,19,24,30,37,48,61,61,61,61})*1))</f>
        <v>1</v>
      </c>
      <c r="EI18" s="188">
        <f>IF(EH18=0,0,VLOOKUP(EH18,各项系数!$D$142:$E$195,2,0))*1</f>
        <v>1</v>
      </c>
      <c r="EJ18" s="238">
        <f t="shared" si="141"/>
        <v>218.58841470644899</v>
      </c>
      <c r="EK18" s="189">
        <f t="shared" si="30"/>
        <v>0</v>
      </c>
      <c r="EL18" s="189">
        <f t="shared" si="31"/>
        <v>0</v>
      </c>
      <c r="EM18" s="189">
        <f t="shared" si="32"/>
        <v>0</v>
      </c>
      <c r="EN18" s="189">
        <f>IF(EP18=0,0,LOOKUP(EP18,{1,7,10,14,19,24,30,37,48,61},{1,"1+6","2+8","4+10","1+6+12","2+8+14","4+10+16","1+6+12+18","3+9+15+21","1+6+12+18+24"}))</f>
        <v>0</v>
      </c>
      <c r="EO18" s="189">
        <f t="shared" si="33"/>
        <v>0</v>
      </c>
      <c r="EP18" s="189">
        <f>IF(EM18=0,0,IF(EM18&lt;10,1,IF(AND(EM18&gt;=10,EM18&lt;=35),7,LOOKUP(EM18,{50,70,95,120,150,185,240,300},{10,14,19,24,30,37,48,61})*1)))</f>
        <v>0</v>
      </c>
      <c r="EQ18" s="189">
        <f>IF(EP18=0,0,VLOOKUP(EP18,各项系数!$D$142:$E$195,2,0))*1</f>
        <v>0</v>
      </c>
      <c r="ER18" s="189">
        <f t="shared" si="34"/>
        <v>0</v>
      </c>
      <c r="ES18" s="235">
        <f t="shared" si="35"/>
        <v>1</v>
      </c>
      <c r="ET18" s="189">
        <f>VLOOKUP(ES18,各项系数!$D$142:$E$195,2,0)*1</f>
        <v>1</v>
      </c>
      <c r="EU18" s="243">
        <f>((各项系数!$F$76/4*$EJ18^2*$EG18*$EH18*1*10^-7)*(1-$H18)*AA18)*(VLOOKUP($EY$9,各项系数!$D$4:$F$143,3,0))*各项系数!$J$4</f>
        <v>3.3194719556349596E-2</v>
      </c>
      <c r="EV18" s="244">
        <f>EU18*(VLOOKUP($EY$9,各项系数!$D$4:$F$143,2,0))</f>
        <v>2.1742541309408985</v>
      </c>
      <c r="EW18" s="252">
        <f>(IF($EO18=0,0,(各项系数!$F$76/4*$ER18^2*$EO18*$EP18*1*10^-7))*(1-$K18)*$AF18)*(VLOOKUP($EY$9,各项系数!$D$4:$F$143,3,0))*各项系数!$J$4</f>
        <v>0</v>
      </c>
      <c r="EX18" s="253">
        <f>EW18*(VLOOKUP($EY$9,各项系数!$D$4:$F$143,2,0))</f>
        <v>0</v>
      </c>
      <c r="EY18" s="189">
        <f>((各项系数!$F$76/4*$EJ18^2*$EG18*$EH18*1*10^-7)*(1-$H18)*AA18+IF($EO18=0,0,(各项系数!$F$76/4*$ER18^2*$EO18*$EP18*1*10^-7))*(1-$K18)*$AF18)*(VLOOKUP($EY$9,各项系数!$D$4:$F$143,3,0))*各项系数!$J$4</f>
        <v>3.3194719556349596E-2</v>
      </c>
      <c r="EZ18" s="102">
        <v>1</v>
      </c>
      <c r="FA18" s="189">
        <f t="shared" si="36"/>
        <v>3.3194719556349596E-2</v>
      </c>
      <c r="FB18" s="254">
        <f>FA18*(VLOOKUP($EY$9,各项系数!$D$4:$F$143,2,0))</f>
        <v>2.1742541309408985</v>
      </c>
      <c r="FC18" s="255"/>
      <c r="FD18" s="235">
        <f>各项系数!$F$76/4*($MN18^2-MK18^2)*10^-2*(VLOOKUP(L18,各项系数!$D$1:$F$143,3,0))*10^-3*10^2*$EG18*各项系数!$J$4</f>
        <v>6.9461246335461527E-3</v>
      </c>
      <c r="FE18" s="262">
        <f>FD18*VLOOKUP(L18,各项系数!$D$1:$F$143,2,0)</f>
        <v>7.0850471262170756E-2</v>
      </c>
      <c r="FF18" s="188">
        <f>各项系数!$F$76/4*($MO18^2-ML18^2)*10^-2*(VLOOKUP(L18,各项系数!$D$1:$F$143,3,0))*10^-3*10^2*$EO18*各项系数!$J$4</f>
        <v>0</v>
      </c>
      <c r="FG18" s="262">
        <f>FF18*VLOOKUP(L18,各项系数!$D$1:$F$143,2,0)</f>
        <v>0</v>
      </c>
      <c r="FH18" s="235">
        <f t="shared" si="142"/>
        <v>6.9461246335461527E-3</v>
      </c>
      <c r="FI18" s="102">
        <v>1</v>
      </c>
      <c r="FJ18" s="189">
        <f t="shared" si="37"/>
        <v>6.9461246335461527E-3</v>
      </c>
      <c r="FK18" s="262">
        <f>FJ18*VLOOKUP(L18,各项系数!$D$1:$F$143,2,0)</f>
        <v>7.0850471262170756E-2</v>
      </c>
      <c r="FL18" s="235"/>
      <c r="FM18" s="102"/>
      <c r="FN18" s="189"/>
      <c r="FO18" s="262"/>
      <c r="FP18" s="282">
        <f t="shared" si="38"/>
        <v>6.9461246335461527E-3</v>
      </c>
      <c r="FQ18" s="282">
        <f t="shared" si="39"/>
        <v>7.0850471262170756E-2</v>
      </c>
      <c r="FR18" s="283">
        <f>各项系数!$F$76/4*($MQ18^2-$MN18^2*$EG18-$MO18^2*$EO18)*10^-2</f>
        <v>0</v>
      </c>
      <c r="FS18" s="284">
        <f t="shared" si="143"/>
        <v>1</v>
      </c>
      <c r="FT18" s="285">
        <f t="shared" si="40"/>
        <v>0</v>
      </c>
      <c r="FU18" s="302">
        <f>$FT18*(VLOOKUP($FT$9,各项系数!$D$1:$F$143,3,0))*10^-3*10^2*各项系数!$J$55</f>
        <v>0</v>
      </c>
      <c r="FV18" s="303">
        <v>1</v>
      </c>
      <c r="FW18" s="304">
        <f t="shared" si="41"/>
        <v>0</v>
      </c>
      <c r="FX18" s="285">
        <f>FW18*(VLOOKUP($FT$9,各项系数!$D$1:$F$143,2,0))</f>
        <v>0</v>
      </c>
      <c r="FY18" s="302">
        <f>IF($BK18&lt;&gt;$FY$9,0,各项系数!$F$76/4*($MS18^2-$MQ18^2)*10^-2*(VLOOKUP($FY$9,各项系数!$D$1:$F$143,3,0))*10^-3*10^2)*各项系数!$J$4</f>
        <v>0</v>
      </c>
      <c r="FZ18" s="303">
        <v>1</v>
      </c>
      <c r="GA18" s="304">
        <f t="shared" si="42"/>
        <v>0</v>
      </c>
      <c r="GB18" s="285">
        <f>GA18*(VLOOKUP($FY$9,各项系数!$D$1:$F$143,2,0))</f>
        <v>0</v>
      </c>
      <c r="GC18" s="302">
        <f>IF($BK18&lt;&gt;$GC$9,0,各项系数!$F$76/4*($MS18^2-$MQ18^2)*10^-2*(VLOOKUP($GC$9,各项系数!$D$1:$F$143,3,0))*10^-3*10^2)*各项系数!$J$4</f>
        <v>0</v>
      </c>
      <c r="GD18" s="303">
        <v>1</v>
      </c>
      <c r="GE18" s="304">
        <f t="shared" si="43"/>
        <v>0</v>
      </c>
      <c r="GF18" s="285">
        <f>GE18*(VLOOKUP($GC$9,各项系数!$D$1:$F$143,2,0))</f>
        <v>0</v>
      </c>
      <c r="GG18" s="302">
        <f>IF($BK18&lt;&gt;$GG$9,0,各项系数!$F$76/4*($MS18^2-$MQ18^2)*10^-2*(VLOOKUP($GG$9,各项系数!$D$1:$F$143,3,0))*10^-3*10^2)*各项系数!$J$4</f>
        <v>0</v>
      </c>
      <c r="GH18" s="303">
        <v>1</v>
      </c>
      <c r="GI18" s="304">
        <f t="shared" si="44"/>
        <v>0</v>
      </c>
      <c r="GJ18" s="285">
        <f>GI18*(VLOOKUP($GG$9,各项系数!$D$1:$F$143,2,0))</f>
        <v>0</v>
      </c>
      <c r="GK18" s="302">
        <f>IF($BK18&lt;&gt;$GK$9,0,各项系数!$F$76/4*($MS18^2-$MQ18^2)*10^-2*(VLOOKUP($GK$9,各项系数!$D$1:$F$143,3,0))*10^-3*10^2)*各项系数!$J$4</f>
        <v>0</v>
      </c>
      <c r="GL18" s="303">
        <v>1</v>
      </c>
      <c r="GM18" s="304">
        <f t="shared" si="45"/>
        <v>0</v>
      </c>
      <c r="GN18" s="285">
        <f>GM18*(VLOOKUP($GK$9,各项系数!$D$1:$F$143,2,0))</f>
        <v>0</v>
      </c>
      <c r="GO18" s="304">
        <f t="shared" si="46"/>
        <v>0</v>
      </c>
      <c r="GP18" s="304">
        <f t="shared" si="47"/>
        <v>0</v>
      </c>
      <c r="GQ18" s="315">
        <f>各项系数!$F$76/4*($MU18^2-$MS18^2)*10^-2*(VLOOKUP($S18,各项系数!$D$1:$F$143,3,0))*10^-3*10^2*各项系数!$J$4</f>
        <v>1.8508747143169978E-2</v>
      </c>
      <c r="GR18" s="303">
        <v>1</v>
      </c>
      <c r="GS18" s="304">
        <f t="shared" si="48"/>
        <v>1.8508747143169978E-2</v>
      </c>
      <c r="GT18" s="304">
        <f t="shared" si="49"/>
        <v>1</v>
      </c>
      <c r="GU18" s="304">
        <f>ROUND($GS18*(VLOOKUP($S18,各项系数!$D$1:$F$143,2,0))+$E$3*GS18,GT18)</f>
        <v>0.2</v>
      </c>
      <c r="GV18" s="315">
        <f>各项系数!$F$76/4*($MT18^2-$MS18^2)*10^-2*(VLOOKUP($GV$9,各项系数!$D$1:$F$143,3,0))*10^-3*10^2*各项系数!$J$4*PI()/4*R18</f>
        <v>5.1206289350110247E-3</v>
      </c>
      <c r="GW18" s="303">
        <v>1</v>
      </c>
      <c r="GX18" s="304">
        <f t="shared" si="50"/>
        <v>5.1206289350110247E-3</v>
      </c>
      <c r="GY18" s="304">
        <f>$GX18*(VLOOKUP($GV$9,各项系数!$D$1:$F$143,2,0))</f>
        <v>0.34564245311324415</v>
      </c>
      <c r="GZ18" s="315">
        <f>各项系数!$F$76/4*($MV18^2-$MS18^2)*10^-2*(VLOOKUP($GZ$9,各项系数!$D$1:$F$143,3,0))*10^-3*10^2*各项系数!$J$4</f>
        <v>3.1638156832372782E-2</v>
      </c>
      <c r="HA18" s="303">
        <v>1</v>
      </c>
      <c r="HB18" s="304">
        <f t="shared" si="144"/>
        <v>3.1638156832372782E-2</v>
      </c>
      <c r="HC18" s="304">
        <f>HB18*(VLOOKUP($GZ$9,各项系数!$D$1:$F$143,2,0))</f>
        <v>0.53784866615033733</v>
      </c>
      <c r="HD18" s="315">
        <f>各项系数!$F$76/4*($MW18^2-$MT18^2)*10^-2*(VLOOKUP($HD$9,各项系数!$D$1:$F$143,3,0))*10^-3*10^2*各项系数!$J$4</f>
        <v>3.2653444179789312E-2</v>
      </c>
      <c r="HE18" s="303">
        <v>1</v>
      </c>
      <c r="HF18" s="304">
        <f t="shared" si="145"/>
        <v>3.2653444179789312E-2</v>
      </c>
      <c r="HG18" s="304">
        <f>HF18*(VLOOKUP($HD$9,各项系数!$D$1:$F$143,2,0))</f>
        <v>0.55510855105641832</v>
      </c>
      <c r="HH18" s="315">
        <f>各项系数!$F$76/4*($MV18^2-$MS18^2)*10^-2*(VLOOKUP($HH$9,各项系数!$D$1:$F$143,3,0))*10^-3*10^2*各项系数!$J$4</f>
        <v>3.1638156832372782E-2</v>
      </c>
      <c r="HI18" s="322">
        <v>1</v>
      </c>
      <c r="HJ18" s="304">
        <f t="shared" si="146"/>
        <v>3.1638156832372782E-2</v>
      </c>
      <c r="HK18" s="304">
        <f>HJ18*(VLOOKUP($HH$9,各项系数!$D$1:$F$143,2,0))</f>
        <v>0.53784866615033733</v>
      </c>
      <c r="HL18" s="315">
        <f>各项系数!$F$76/4*($MW18^2-$MT18^2)*10^-2*(VLOOKUP($HL$9,各项系数!$D$1:$F$143,3,0))*10^-3*10^2*各项系数!$J$4</f>
        <v>3.2653444179789312E-2</v>
      </c>
      <c r="HM18" s="322">
        <v>1</v>
      </c>
      <c r="HN18" s="304">
        <f t="shared" si="147"/>
        <v>3.2653444179789312E-2</v>
      </c>
      <c r="HO18" s="304">
        <f>HN18*(VLOOKUP($HL$9,各项系数!$D$1:$F$143,2,0))</f>
        <v>0.55510855105641832</v>
      </c>
      <c r="HP18" s="315">
        <f>各项系数!$F$76/4*($MV18^2-$MS18^2)*10^-2*(VLOOKUP(AN18,各项系数!$D$1:$F$143,3,0))*10^-3*10^2*各项系数!$J$4</f>
        <v>3.2074545202474478E-2</v>
      </c>
      <c r="HQ18" s="303">
        <v>1</v>
      </c>
      <c r="HR18" s="304">
        <f t="shared" si="172"/>
        <v>3.2074545202474478E-2</v>
      </c>
      <c r="HS18" s="304">
        <f>HR18*(VLOOKUP(AN18,各项系数!$D$1:$F$143,2,0))</f>
        <v>0.3207454520247448</v>
      </c>
      <c r="HT18" s="315">
        <f>各项系数!$F$76/4*($MW18^2-$MT18^2)*10^-2*(VLOOKUP(AN18,各项系数!$D$1:$F$143,3,0))*10^-3*10^2*各项系数!$J$4</f>
        <v>3.3103836513303647E-2</v>
      </c>
      <c r="HU18" s="303">
        <v>1</v>
      </c>
      <c r="HV18" s="304">
        <f t="shared" si="173"/>
        <v>3.3103836513303647E-2</v>
      </c>
      <c r="HW18" s="304">
        <f>HV18*(VLOOKUP(AN18,各项系数!$D$1:$F$143,2,0))</f>
        <v>0.33103836513303647</v>
      </c>
      <c r="HX18" s="315">
        <f>各项系数!$F$76/4*($MV18^2-$MS18^2)*10^-2*(VLOOKUP($HX$9,各项系数!$D$1:$F$143,3,0))*10^-3*10^2*各项系数!$J$4</f>
        <v>3.2074545202474478E-2</v>
      </c>
      <c r="HY18" s="322">
        <v>1</v>
      </c>
      <c r="HZ18" s="304">
        <f t="shared" si="174"/>
        <v>3.2074545202474478E-2</v>
      </c>
      <c r="IA18" s="304">
        <f>HZ18*(VLOOKUP($HX$9,各项系数!$D$1:$F$143,2,0))</f>
        <v>0.35281999722721924</v>
      </c>
      <c r="IB18" s="315">
        <f>各项系数!$F$76/4*($MW18^2-$MT18^2)*10^-2*(VLOOKUP($IB$9,各项系数!$D$1:$F$143,3,0))*10^-3*10^2*各项系数!$J$4</f>
        <v>3.3103836513303647E-2</v>
      </c>
      <c r="IC18" s="322">
        <v>1</v>
      </c>
      <c r="ID18" s="304">
        <f t="shared" si="58"/>
        <v>3.3103836513303647E-2</v>
      </c>
      <c r="IE18" s="304">
        <f>ID18*(VLOOKUP($IB$9,各项系数!$D$1:$F$143,2,0))</f>
        <v>0.36414220164634015</v>
      </c>
      <c r="IF18" s="328"/>
      <c r="IG18" s="315">
        <f t="shared" si="148"/>
        <v>2.7298922849925923E-3</v>
      </c>
      <c r="IH18" s="303">
        <v>1</v>
      </c>
      <c r="II18" s="304">
        <f t="shared" si="59"/>
        <v>2.7298922849925923E-3</v>
      </c>
      <c r="IJ18" s="304">
        <f>II18*(VLOOKUP($IG$8,各项系数!$D$1:$F$143,2,0))</f>
        <v>6.8247307124814804E-2</v>
      </c>
      <c r="IK18" s="315">
        <f>(各项系数!$F$76/4*($MX18^2-$MK18^2)*$EG18)*10^-2*(VLOOKUP($IG$8,各项系数!$D$1:$F$143,3,0))*10^-3*10^2*各项系数!$J$4</f>
        <v>2.7298922849925923E-3</v>
      </c>
      <c r="IL18" s="303">
        <f>IK18*(VLOOKUP($IG$8,各项系数!$D$1:$F$143,2,0))</f>
        <v>6.8247307124814804E-2</v>
      </c>
      <c r="IM18" s="304">
        <f>(各项系数!$F$76/4*(($MM18+3*$X18)^2-MM18^2)*$EO18)*10^-2*(VLOOKUP($IG$8,各项系数!$D$1:$F$143,3,0))*10^-3*10^2*各项系数!$J$4</f>
        <v>0</v>
      </c>
      <c r="IN18" s="303">
        <f>IM18*(VLOOKUP($IG$8,各项系数!$D$1:$F$143,2,0))</f>
        <v>0</v>
      </c>
      <c r="IO18" s="315">
        <f>各项系数!$F$76/4*($MZ18^2-$MX18^2)*10^-2*(VLOOKUP(L18,各项系数!$D$1:$F$143,3,0))*10^-3*10^2*$ES18*各项系数!$J$4</f>
        <v>8.1014516150891072E-3</v>
      </c>
      <c r="IP18" s="303">
        <v>1</v>
      </c>
      <c r="IQ18" s="304">
        <f t="shared" si="60"/>
        <v>8.1014516150891072E-3</v>
      </c>
      <c r="IR18" s="285">
        <f>IQ18*(VLOOKUP(L18,各项系数!$D$1:$F$143,2,0))</f>
        <v>8.2634806473908889E-2</v>
      </c>
      <c r="IS18" s="315">
        <f>IF($L18&lt;&gt;$IS$9,0,各项系数!$F$76/4*($MZ18^2-$MX18^2)*10^-2*各项系数!$F$12*10^-3*10^2)*$ES18*各项系数!$J$4</f>
        <v>0</v>
      </c>
      <c r="IT18" s="303">
        <v>1</v>
      </c>
      <c r="IU18" s="304">
        <f t="shared" si="61"/>
        <v>0</v>
      </c>
      <c r="IV18" s="285">
        <f>IU18*各项系数!$E$12</f>
        <v>0</v>
      </c>
      <c r="IW18" s="302">
        <f t="shared" si="62"/>
        <v>8.1014516150891072E-3</v>
      </c>
      <c r="IX18" s="302">
        <f t="shared" si="63"/>
        <v>8.2634806473908889E-2</v>
      </c>
      <c r="IY18" s="339">
        <f>各项系数!$F$76/4*($NB18^2-$MZ18^2*$EG18-$NA18^2*$EO18)*10^-2</f>
        <v>-5.5805895968138113E-17</v>
      </c>
      <c r="IZ18" s="284">
        <f t="shared" si="149"/>
        <v>1</v>
      </c>
      <c r="JA18" s="285">
        <f t="shared" si="64"/>
        <v>-5.5805895968138113E-17</v>
      </c>
      <c r="JB18" s="282">
        <f>IF($DE18&lt;&gt;$JB$9,0,$JA18*各项系数!$F$32*10^-3*10^2)*各项系数!$J$4</f>
        <v>0</v>
      </c>
      <c r="JC18" s="102">
        <v>1</v>
      </c>
      <c r="JD18" s="189">
        <f t="shared" si="65"/>
        <v>0</v>
      </c>
      <c r="JE18" s="262">
        <f>JD18*各项系数!$E$32</f>
        <v>0</v>
      </c>
      <c r="JF18" s="282">
        <f>IF($DE18&lt;&gt;$JF$9,0,$JA18*VLOOKUP($JF$9,各项系数!$D$4:$F$540,2,0)*10^-3*10^2)*各项系数!$J$4</f>
        <v>0</v>
      </c>
      <c r="JG18" s="102">
        <v>1</v>
      </c>
      <c r="JH18" s="189">
        <f t="shared" si="66"/>
        <v>0</v>
      </c>
      <c r="JI18" s="262">
        <f>JH18*VLOOKUP($JF$9,各项系数!$D$4:$F$540,3,0)</f>
        <v>0</v>
      </c>
      <c r="JJ18" s="282">
        <f t="shared" si="67"/>
        <v>0</v>
      </c>
      <c r="JK18" s="189">
        <f t="shared" si="68"/>
        <v>0</v>
      </c>
      <c r="JL18" s="282">
        <f>IF($DF18&lt;&gt;$JL$9,0,各项系数!$F$76/4*($NE18^2-$NC18^2)*10^-2*各项系数!$F$39*10^-3*10^2)*各项系数!$J$4</f>
        <v>0</v>
      </c>
      <c r="JM18" s="102">
        <v>1</v>
      </c>
      <c r="JN18" s="189">
        <f t="shared" si="69"/>
        <v>0</v>
      </c>
      <c r="JO18" s="262">
        <f>JN18*各项系数!$E$39</f>
        <v>0</v>
      </c>
      <c r="JP18" s="282">
        <f>IF($DF18&lt;&gt;$JP$9,0,各项系数!$F$76/4*($NE18^2-$NC18^2)*10^-2*各项系数!$F$36*10^-3*10^2)*各项系数!$J$4</f>
        <v>0</v>
      </c>
      <c r="JQ18" s="102">
        <v>1</v>
      </c>
      <c r="JR18" s="189">
        <f t="shared" si="70"/>
        <v>0</v>
      </c>
      <c r="JS18" s="262">
        <f>JR18*各项系数!$E$36</f>
        <v>0</v>
      </c>
      <c r="JT18" s="282">
        <f>IF($DF18&lt;&gt;$JT$9,0,各项系数!$F$76/4*($NE18^2-$NC18^2)*10^-2*各项系数!$F$40*10^-3*10^2)*各项系数!$J$4</f>
        <v>0</v>
      </c>
      <c r="JU18" s="102">
        <v>1</v>
      </c>
      <c r="JV18" s="189">
        <f t="shared" si="71"/>
        <v>0</v>
      </c>
      <c r="JW18" s="262">
        <f>JV18*各项系数!$E$40</f>
        <v>0</v>
      </c>
      <c r="JX18" s="282">
        <f>IF($DF18&lt;&gt;$JX$9,0,各项系数!$F$76/4*($NE18^2-$NC18^2)*10^-2*各项系数!$F$38*10^-3*10^2)*各项系数!$J$4</f>
        <v>0</v>
      </c>
      <c r="JY18" s="102">
        <v>1</v>
      </c>
      <c r="JZ18" s="189">
        <f t="shared" si="72"/>
        <v>0</v>
      </c>
      <c r="KA18" s="262">
        <f>JZ18*各项系数!$E$38</f>
        <v>0</v>
      </c>
      <c r="KB18" s="282">
        <f>IF($DF18&lt;&gt;$KB$9,0,各项系数!$F$76/4*($NE18^2-$NC18^2)*10^-2*各项系数!$F$41*10^-3*10^2)*各项系数!$J$4</f>
        <v>0</v>
      </c>
      <c r="KC18" s="102">
        <v>1</v>
      </c>
      <c r="KD18" s="189">
        <f t="shared" si="73"/>
        <v>0</v>
      </c>
      <c r="KE18" s="262">
        <f>KD18*各项系数!$E$41</f>
        <v>0</v>
      </c>
      <c r="KF18" s="189">
        <f t="shared" si="74"/>
        <v>0</v>
      </c>
      <c r="KG18" s="189">
        <f t="shared" si="75"/>
        <v>0</v>
      </c>
      <c r="KH18" s="235">
        <f>各项系数!$F$76/4*($NG18^2-$NE18^2)*10^-2*各项系数!$F$44*10^-3*10^2*各项系数!$J$4*0.75*$U18</f>
        <v>3.1283116946832626E-2</v>
      </c>
      <c r="KI18" s="102">
        <v>1</v>
      </c>
      <c r="KJ18" s="189">
        <f t="shared" si="76"/>
        <v>3.1283116946832626E-2</v>
      </c>
      <c r="KK18" s="189">
        <f>ROUND(KJ18*各项系数!$E$44,GT18)</f>
        <v>0.3</v>
      </c>
      <c r="KL18" s="235">
        <f>各项系数!$F$76/4*($NF18^2-$NE18^2)*10^-2*各项系数!$F$46*10^-3*10^2*各项系数!$J$4*PI()/4*R18</f>
        <v>5.7911089033442506E-3</v>
      </c>
      <c r="KM18" s="102">
        <v>1</v>
      </c>
      <c r="KN18" s="189">
        <f t="shared" si="77"/>
        <v>5.7911089033442506E-3</v>
      </c>
      <c r="KO18" s="189">
        <f>KN18*各项系数!$E$46</f>
        <v>0.39089985097573693</v>
      </c>
      <c r="KP18" s="235">
        <f>各项系数!$F$76/4*($NH18^2-$NE18^2)*10^-2*(VLOOKUP($KP$9,各项系数!$D$1:$F$143,3,0))*10^-3*10^2*各项系数!$J$4</f>
        <v>3.4684018874622372E-2</v>
      </c>
      <c r="KQ18" s="102">
        <v>1</v>
      </c>
      <c r="KR18" s="189">
        <f t="shared" si="150"/>
        <v>3.4684018874622372E-2</v>
      </c>
      <c r="KS18" s="189">
        <f>KR18*(VLOOKUP($KP$9,各项系数!$D$1:$F$143,2,0))</f>
        <v>0.5896283208685803</v>
      </c>
      <c r="KT18" s="235">
        <f>各项系数!$F$76/4*($NI18^2-$NF18^2)*10^-2*(VLOOKUP($KT$9,各项系数!$D$1:$F$143,3,0))*10^-3*10^2*各项系数!$J$4</f>
        <v>3.5699306222038915E-2</v>
      </c>
      <c r="KU18" s="102">
        <v>1</v>
      </c>
      <c r="KV18" s="189">
        <f t="shared" si="151"/>
        <v>3.5699306222038915E-2</v>
      </c>
      <c r="KW18" s="189">
        <f>KV18*(VLOOKUP($KT$9,各项系数!$D$1:$F$143,2,0))</f>
        <v>0.60688820577466152</v>
      </c>
      <c r="KX18" s="189">
        <f>各项系数!$F$76/4*($NH18^2-$NE18^2)*10^-2*(VLOOKUP($KX$9,各项系数!$D$1:$F$143,3,0))*10^-3*10^2*各项系数!$J$4</f>
        <v>3.4684018874622372E-2</v>
      </c>
      <c r="KY18" s="353">
        <v>1</v>
      </c>
      <c r="KZ18" s="189">
        <f t="shared" si="152"/>
        <v>3.4684018874622372E-2</v>
      </c>
      <c r="LA18" s="189">
        <f>KZ18*(VLOOKUP($KX$9,各项系数!$D$1:$F$143,2,0))</f>
        <v>0.5896283208685803</v>
      </c>
      <c r="LB18" s="189">
        <f>各项系数!$F$76/4*($NI18^2-$NF18^2)*10^-2*(VLOOKUP($LB$9,各项系数!$D$1:$F$143,3,0))*10^-3*10^2*各项系数!$J$4</f>
        <v>3.5699306222038915E-2</v>
      </c>
      <c r="LC18" s="353">
        <v>1</v>
      </c>
      <c r="LD18" s="189">
        <f t="shared" si="153"/>
        <v>3.5699306222038915E-2</v>
      </c>
      <c r="LE18" s="189">
        <f>LD18*(VLOOKUP($LB$9,各项系数!$D$1:$F$143,2,0))</f>
        <v>0.60688820577466152</v>
      </c>
      <c r="LF18" s="235">
        <f>各项系数!$F$76/4*($NH18^2-$NE18^2)*10^-2*(VLOOKUP(AN18,各项系数!$D$1:$F$143,3,0))*10^-3*10^2*各项系数!$J$4</f>
        <v>3.5162419134961993E-2</v>
      </c>
      <c r="LG18" s="102">
        <v>1</v>
      </c>
      <c r="LH18" s="189">
        <f t="shared" si="82"/>
        <v>3.5162419134961993E-2</v>
      </c>
      <c r="LI18" s="189">
        <f>LH18*(VLOOKUP(AN18,各项系数!$D$1:$F$143,2,0))</f>
        <v>0.35162419134961992</v>
      </c>
      <c r="LJ18" s="235">
        <f>各项系数!$F$76/4*($NI18^2-$NF18^2)*10^-2*(VLOOKUP(AN18,各项系数!$D$1:$F$143,3,0))*10^-3*10^2*各项系数!$J$4</f>
        <v>3.6191710445791184E-2</v>
      </c>
      <c r="LK18" s="102">
        <v>1</v>
      </c>
      <c r="LL18" s="189">
        <f t="shared" si="83"/>
        <v>3.6191710445791184E-2</v>
      </c>
      <c r="LM18" s="189">
        <f>LL18*(VLOOKUP(AN18,各项系数!$D$1:$F$143,2,0))</f>
        <v>0.36191710445791181</v>
      </c>
      <c r="LN18" s="189">
        <f>各项系数!$F$76/4*($NH18^2-$NE18^2)*10^-2*(VLOOKUP($LN$9,各项系数!$D$1:$F$143,3,0))*10^-3*10^2*各项系数!$J$4</f>
        <v>3.5162419134961993E-2</v>
      </c>
      <c r="LO18" s="353">
        <v>1</v>
      </c>
      <c r="LP18" s="189">
        <f t="shared" si="84"/>
        <v>3.5162419134961993E-2</v>
      </c>
      <c r="LQ18" s="189">
        <f>LP18*(VLOOKUP($LN$9,各项系数!$D$1:$F$143,2,0))</f>
        <v>0.38678661048458191</v>
      </c>
      <c r="LR18" s="189">
        <f>各项系数!$F$76/4*($NI18^2-$NF18^2)*10^-2*(VLOOKUP($LR$9,各项系数!$D$1:$F$143,3,0))*10^-3*10^2*各项系数!$J$4</f>
        <v>3.6191710445791184E-2</v>
      </c>
      <c r="LS18" s="353">
        <v>1</v>
      </c>
      <c r="LT18" s="189">
        <f t="shared" si="85"/>
        <v>3.6191710445791184E-2</v>
      </c>
      <c r="LU18" s="189">
        <f>LT18*(VLOOKUP($LR$9,各项系数!$D$1:$F$143,2,0))</f>
        <v>0.39810881490370303</v>
      </c>
      <c r="LV18" s="227">
        <f t="shared" si="154"/>
        <v>3.7527027300000002</v>
      </c>
      <c r="LW18" s="227">
        <f t="shared" si="155"/>
        <v>3.7527027300000002</v>
      </c>
      <c r="LX18" s="227">
        <f t="shared" si="156"/>
        <v>2.1858841495997914</v>
      </c>
      <c r="LY18" s="227">
        <f t="shared" si="157"/>
        <v>0</v>
      </c>
      <c r="LZ18" s="374">
        <f t="shared" si="86"/>
        <v>1</v>
      </c>
      <c r="MA18" s="375">
        <f t="shared" si="87"/>
        <v>3.7527027300000002</v>
      </c>
      <c r="MB18" s="375">
        <f t="shared" si="158"/>
        <v>2.1858841500000001</v>
      </c>
      <c r="MC18" s="227">
        <f t="shared" si="159"/>
        <v>0</v>
      </c>
      <c r="MD18" s="227">
        <f t="shared" si="160"/>
        <v>0</v>
      </c>
      <c r="ME18" s="227">
        <f t="shared" si="161"/>
        <v>0</v>
      </c>
      <c r="MF18" s="227">
        <f t="shared" si="162"/>
        <v>0</v>
      </c>
      <c r="MG18" s="374">
        <f t="shared" si="163"/>
        <v>1</v>
      </c>
      <c r="MH18" s="375">
        <f t="shared" si="88"/>
        <v>0</v>
      </c>
      <c r="MI18" s="375">
        <f t="shared" si="164"/>
        <v>0</v>
      </c>
      <c r="MJ18" s="189">
        <f t="shared" si="89"/>
        <v>2.1858841500000001</v>
      </c>
      <c r="MK18" s="189">
        <f t="shared" si="165"/>
        <v>2.1858841500000001</v>
      </c>
      <c r="ML18" s="189">
        <f t="shared" si="90"/>
        <v>0</v>
      </c>
      <c r="MM18" s="189">
        <f t="shared" si="91"/>
        <v>0</v>
      </c>
      <c r="MN18" s="189">
        <f t="shared" si="92"/>
        <v>3.58588415</v>
      </c>
      <c r="MO18" s="189">
        <f t="shared" si="166"/>
        <v>0</v>
      </c>
      <c r="MP18" s="189">
        <f t="shared" si="167"/>
        <v>3.58588415</v>
      </c>
      <c r="MQ18" s="189">
        <f t="shared" si="93"/>
        <v>3.58588415</v>
      </c>
      <c r="MR18" s="246">
        <f t="shared" si="168"/>
        <v>3.58588415</v>
      </c>
      <c r="MS18" s="380">
        <f t="shared" si="94"/>
        <v>3.58588415</v>
      </c>
      <c r="MT18" s="380">
        <f t="shared" si="95"/>
        <v>3.7458841500000002</v>
      </c>
      <c r="MU18" s="380">
        <f t="shared" si="96"/>
        <v>3.98588415</v>
      </c>
      <c r="MV18" s="380">
        <f t="shared" si="97"/>
        <v>6.3858841499999999</v>
      </c>
      <c r="MW18" s="380">
        <f t="shared" si="98"/>
        <v>6.54588415</v>
      </c>
      <c r="MX18" s="254">
        <f t="shared" si="99"/>
        <v>2.6658841500000001</v>
      </c>
      <c r="MY18" s="254">
        <f t="shared" si="100"/>
        <v>0</v>
      </c>
      <c r="MZ18" s="189">
        <f t="shared" si="101"/>
        <v>4.0658841500000005</v>
      </c>
      <c r="NA18" s="189">
        <f t="shared" si="102"/>
        <v>0</v>
      </c>
      <c r="NB18" s="189">
        <f t="shared" si="169"/>
        <v>4.0658841499999996</v>
      </c>
      <c r="NC18" s="254">
        <f t="shared" si="103"/>
        <v>4.0658841499999996</v>
      </c>
      <c r="ND18" s="246">
        <f t="shared" si="104"/>
        <v>4.0658841499999996</v>
      </c>
      <c r="NE18" s="386">
        <f t="shared" si="105"/>
        <v>4.0658841499999996</v>
      </c>
      <c r="NF18" s="380">
        <f t="shared" si="106"/>
        <v>4.2258841499999997</v>
      </c>
      <c r="NG18" s="387">
        <f t="shared" si="107"/>
        <v>4.4658841499999999</v>
      </c>
      <c r="NH18" s="254">
        <f t="shared" si="108"/>
        <v>6.8658841499999994</v>
      </c>
      <c r="NI18" s="380">
        <f t="shared" si="109"/>
        <v>7.0258841499999996</v>
      </c>
      <c r="NK18" s="388">
        <f t="shared" si="110"/>
        <v>7.2215389392370224E-2</v>
      </c>
      <c r="NL18" s="388">
        <f t="shared" si="111"/>
        <v>2.565850054227814</v>
      </c>
      <c r="NM18" s="388">
        <f t="shared" si="112"/>
        <v>7.2215389392370224E-2</v>
      </c>
      <c r="NN18" s="388">
        <f t="shared" si="113"/>
        <v>2.5979245994302884</v>
      </c>
      <c r="NO18" s="388">
        <f t="shared" si="114"/>
        <v>7.9188482591393286E-2</v>
      </c>
      <c r="NP18" s="388">
        <f t="shared" si="115"/>
        <v>2.6767604358892418</v>
      </c>
      <c r="NQ18" s="388">
        <f t="shared" si="116"/>
        <v>7.9188482591393286E-2</v>
      </c>
      <c r="NR18" s="388">
        <f t="shared" si="117"/>
        <v>2.7119228550242043</v>
      </c>
      <c r="NS18" s="388">
        <f t="shared" si="118"/>
        <v>7.7336018327381253E-2</v>
      </c>
      <c r="NT18" s="388">
        <f t="shared" si="119"/>
        <v>7.7336018327381253E-2</v>
      </c>
      <c r="NU18" s="388">
        <f t="shared" si="120"/>
        <v>8.4979591494737536E-2</v>
      </c>
      <c r="NV18" s="388">
        <f t="shared" si="121"/>
        <v>8.4979591494737536E-2</v>
      </c>
      <c r="NW18">
        <f t="shared" si="122"/>
        <v>9.0724136535540206E-2</v>
      </c>
      <c r="NX18">
        <f>各项系数!$M$9*NK18</f>
        <v>2.1664616817711067E-2</v>
      </c>
      <c r="NY18">
        <f t="shared" si="123"/>
        <v>7.733601832738124E-2</v>
      </c>
      <c r="OB18" s="66" t="str">
        <f t="shared" si="124"/>
        <v>1*4</v>
      </c>
      <c r="OC18" s="395">
        <f t="shared" si="125"/>
        <v>218.58841470644899</v>
      </c>
      <c r="OD18" s="395">
        <f>SQRT(4*EY18/PI()/EH18/各项系数!$J$4/各项系数!$F$5*10000000)</f>
        <v>218.58841470644899</v>
      </c>
      <c r="OE18" s="396">
        <f t="shared" si="126"/>
        <v>3.7527027212948436</v>
      </c>
      <c r="OF18" s="396">
        <f t="shared" si="127"/>
        <v>3.7527027212948432</v>
      </c>
      <c r="OG18" s="66"/>
      <c r="OH18" s="397"/>
    </row>
    <row r="19" spans="1:398" ht="15" hidden="1" customHeight="1">
      <c r="A19" s="50">
        <v>6</v>
      </c>
      <c r="B19" s="51">
        <v>0.01</v>
      </c>
      <c r="C19" s="52">
        <v>0.7</v>
      </c>
      <c r="D19" s="53" t="s">
        <v>212</v>
      </c>
      <c r="E19" s="61">
        <f t="shared" si="1"/>
        <v>6.8742514799999999</v>
      </c>
      <c r="F19" s="59">
        <v>267.425148012862</v>
      </c>
      <c r="G19" s="60"/>
      <c r="H19" s="60"/>
      <c r="I19" s="60"/>
      <c r="J19" s="60"/>
      <c r="K19" s="60"/>
      <c r="L19" s="97" t="s">
        <v>467</v>
      </c>
      <c r="M19" s="98">
        <f t="shared" si="2"/>
        <v>0.7</v>
      </c>
      <c r="N19" s="98">
        <f t="shared" si="3"/>
        <v>0</v>
      </c>
      <c r="O19" s="53"/>
      <c r="P19" s="99">
        <v>0.1</v>
      </c>
      <c r="Q19" s="133">
        <f t="shared" si="170"/>
        <v>0.1</v>
      </c>
      <c r="R19" s="131">
        <v>0.8</v>
      </c>
      <c r="S19" s="132" t="s">
        <v>521</v>
      </c>
      <c r="T19" s="133">
        <v>0.2</v>
      </c>
      <c r="U19" s="53">
        <v>2</v>
      </c>
      <c r="V19" s="131"/>
      <c r="W19" s="103">
        <v>1.4</v>
      </c>
      <c r="X19" s="135">
        <f t="shared" si="171"/>
        <v>0.2</v>
      </c>
      <c r="Y19" s="135">
        <v>2</v>
      </c>
      <c r="Z19" s="168">
        <v>0.2</v>
      </c>
      <c r="AA19" s="153">
        <v>1</v>
      </c>
      <c r="AB19" s="153">
        <f>PI()*EJ19*EJ19/4*EH19*(1-H19)*AA19*各项系数!$F$5*各项系数!$J$4*10^-7</f>
        <v>4.9684304271029656E-2</v>
      </c>
      <c r="AC19" s="153">
        <f t="shared" si="4"/>
        <v>267.425148012862</v>
      </c>
      <c r="AD19" s="153">
        <f t="shared" si="5"/>
        <v>5.6168699821977874</v>
      </c>
      <c r="AE19" s="153">
        <f>POWER(4*EU19/PI()/EG19/10^-7/EH19/(1-H19)/各项系数!$F$5/各项系数!$J$4,0.5)</f>
        <v>267.42514801286194</v>
      </c>
      <c r="AF19" s="69">
        <v>1</v>
      </c>
      <c r="AG19" s="69">
        <f>IF(EM19=0,0,PI()*ER19*ER19/4*EP19*(1-K19)*(1+AF19)*各项系数!$F$5*各项系数!$J$4*10^-7)</f>
        <v>0</v>
      </c>
      <c r="AH19" s="69">
        <f t="shared" si="6"/>
        <v>0</v>
      </c>
      <c r="AI19" s="69">
        <f t="shared" si="128"/>
        <v>0</v>
      </c>
      <c r="AJ19" s="69">
        <f>IF(OR(EP19="",EP19=0),0,POWER(4*EW19/PI()/EO19/10^-7/EP19/(1-K19)/各项系数!$F$5/各项系数!$J$4,0.5))</f>
        <v>0</v>
      </c>
      <c r="AK19" s="69" t="str">
        <f t="shared" si="8"/>
        <v>√</v>
      </c>
      <c r="AL19" s="69">
        <f t="shared" si="9"/>
        <v>3.8558611448235673</v>
      </c>
      <c r="AM19" s="188">
        <f t="shared" si="10"/>
        <v>6</v>
      </c>
      <c r="AN19" s="97" t="s">
        <v>486</v>
      </c>
      <c r="AO19" s="196">
        <f>AP19+各项系数!$M$9*$NK19</f>
        <v>3.7802560243368308</v>
      </c>
      <c r="AP19" s="196">
        <f>AQ19*(1+$BI19+(VLOOKUP($AM19,$A$12:$B$323,2,0))+各项系数!$J$6+各项系数!$M$5)*(1+$E$2)</f>
        <v>3.7523493816665665</v>
      </c>
      <c r="AQ19" s="197">
        <f>AR19+各项系数!$L$9*$NK19</f>
        <v>3.7910177628476123</v>
      </c>
      <c r="AR19" s="197">
        <f>AS19*(1+$BJ19+各项系数!$J$5+各项系数!$L$5)</f>
        <v>3.7631111201773479</v>
      </c>
      <c r="AS19" s="197">
        <f t="shared" si="129"/>
        <v>3.6893246276248508</v>
      </c>
      <c r="AT19" s="196">
        <f>AU19+各项系数!$M$9*$NM19</f>
        <v>4.0209118811732401</v>
      </c>
      <c r="AU19" s="196">
        <f>AV19*(1+$BI19+(VLOOKUP($AM19,$A$12:$B$323,2,0))+各项系数!$J$6+各项系数!$M$5)*(1+$E$2)</f>
        <v>3.9930052385029757</v>
      </c>
      <c r="AV19" s="197">
        <f>AW19+各项系数!$L$9*$NM19</f>
        <v>4.0341536052767992</v>
      </c>
      <c r="AW19" s="197">
        <f>AX19*(1+$BJ19+各项系数!$J$5+各项系数!$L$5)</f>
        <v>4.0062469626065349</v>
      </c>
      <c r="AX19" s="197">
        <f t="shared" si="130"/>
        <v>3.9276931005946416</v>
      </c>
      <c r="AY19" s="196">
        <f>AZ19+各项系数!$M$9*$NS19</f>
        <v>4.1895590502750668</v>
      </c>
      <c r="AZ19" s="196">
        <f>BA19*(1+$BI19+(VLOOKUP($AM19,$A$12:$B$214,2,0))+各项系数!$J$6+各项系数!$M$5)*(1+$E$2)</f>
        <v>4.1599115686043282</v>
      </c>
      <c r="BA19" s="197">
        <f>BB19+各项系数!$L$9*$NS19</f>
        <v>4.2027799238273671</v>
      </c>
      <c r="BB19" s="197">
        <f>BC19*(1+$BJ19+各项系数!$J$5+各项系数!$L$5)</f>
        <v>4.1731324421566285</v>
      </c>
      <c r="BC19" s="199">
        <f t="shared" si="131"/>
        <v>4.091306315839832</v>
      </c>
      <c r="BD19" s="196">
        <f>BE19+各项系数!$M$9*$NS19</f>
        <v>4.4372487339706366</v>
      </c>
      <c r="BE19" s="196">
        <f>BF19*(1+$BI19+(VLOOKUP($AM19,$A$12:$B$214,2,0))+各项系数!$J$6+各项系数!$M$5)*(1+$E$2)</f>
        <v>4.407601252299898</v>
      </c>
      <c r="BF19" s="210">
        <f>BG19+各项系数!$L$9*$NS19</f>
        <v>4.4530220774902984</v>
      </c>
      <c r="BG19" s="197">
        <f>BH19*(1+$BJ19+各项系数!$J$5+各项系数!$L$5)</f>
        <v>4.4233745958195598</v>
      </c>
      <c r="BH19" s="199">
        <f t="shared" si="132"/>
        <v>4.3366417606074119</v>
      </c>
      <c r="BI19" s="51"/>
      <c r="BJ19" s="208"/>
      <c r="BK19" s="102"/>
      <c r="BL19" s="196">
        <f>BM19+各项系数!$M$9*$NM19</f>
        <v>3.8526757117757695</v>
      </c>
      <c r="BM19" s="196">
        <f>BN19*(1+$CF19+(VLOOKUP($AM19,$A$12:$B$323,2,0))+各项系数!$J$6+各项系数!$M$5)*(1+$E$2)</f>
        <v>3.8247690691055052</v>
      </c>
      <c r="BN19" s="197">
        <f>BO19+各项系数!$L$9*$NM19</f>
        <v>3.864183743287033</v>
      </c>
      <c r="BO19" s="197">
        <f>BP19*(1+$CG19+各项系数!$J$5+各项系数!$L$5)</f>
        <v>3.8362771006167686</v>
      </c>
      <c r="BP19" s="197">
        <f t="shared" si="133"/>
        <v>3.724540874385212</v>
      </c>
      <c r="BQ19" s="196">
        <f>BR19+各项系数!$M$9*$NM19</f>
        <v>4.0597881874829254</v>
      </c>
      <c r="BR19" s="196">
        <f>BS19*(1+$CF19+(VLOOKUP($AM19,$A$12:$B$323,2,0))+各项系数!$J$6+各项系数!$M$5)*(1+$E$2)</f>
        <v>4.031881544812661</v>
      </c>
      <c r="BS19" s="197">
        <f>BT19+各项系数!$L$9*$NM19</f>
        <v>4.0734305362827454</v>
      </c>
      <c r="BT19" s="197">
        <f>BU19*(1+$CG19+各项系数!$J$5+各项系数!$L$5)</f>
        <v>4.0455238936124811</v>
      </c>
      <c r="BU19" s="197">
        <f t="shared" si="134"/>
        <v>3.9276931005946416</v>
      </c>
      <c r="BV19" s="196">
        <f>BW19+各项系数!$M$9*$NT19</f>
        <v>4.2458409478646955</v>
      </c>
      <c r="BW19" s="196">
        <f>BX19*(1+$CF19+(VLOOKUP($AM19,$A$12:$B$214,2,0))+各项系数!$J$6+各项系数!$M$5)*(1+$E$2)</f>
        <v>4.2161934661939569</v>
      </c>
      <c r="BX19" s="197">
        <f>BY19+各项系数!$L$9*$NT$12</f>
        <v>4.2596418126833271</v>
      </c>
      <c r="BY19" s="197">
        <f>BZ19*(1+$CG19+各项系数!$J$5+各项系数!$L$5)</f>
        <v>4.2513784095283533</v>
      </c>
      <c r="BZ19" s="199">
        <f t="shared" si="11"/>
        <v>4.1275518539110223</v>
      </c>
      <c r="CA19" s="196">
        <f>CB19+各项系数!$M$9*$NT19</f>
        <v>4.459006853202224</v>
      </c>
      <c r="CB19" s="196">
        <f>CC19*(1+$CF19+(VLOOKUP($AM19,$A$12:$B$214,2,0))+各项系数!$J$6+各项系数!$M$5)*(1+$E$2)</f>
        <v>4.4293593715314854</v>
      </c>
      <c r="CC19" s="197">
        <f>CD19+各项系数!$L$9*$NT$12</f>
        <v>4.4750044165806084</v>
      </c>
      <c r="CD19" s="197">
        <f>CE19*(1+$CG19+各项系数!$J$5+各项系数!$L$5)</f>
        <v>4.4667410134256347</v>
      </c>
      <c r="CE19" s="199">
        <f t="shared" si="135"/>
        <v>4.3366417606074119</v>
      </c>
      <c r="CF19" s="213">
        <f t="shared" si="136"/>
        <v>0</v>
      </c>
      <c r="CG19" s="213">
        <f t="shared" si="12"/>
        <v>0.01</v>
      </c>
      <c r="CH19" s="102"/>
      <c r="CI19" s="196">
        <f>CJ19+各项系数!$M$9*$NO19</f>
        <v>3.9384989837286466</v>
      </c>
      <c r="CJ19" s="196">
        <f>CK19*(1+$DC19+(VLOOKUP($AM19,$A$12:$B$323,2,0))+各项系数!$J$6+各项系数!$M$5)*(1+$E$2)+各项系数!$M$9*$NK19</f>
        <v>3.9083355424629844</v>
      </c>
      <c r="CK19" s="197">
        <f>CL19+各项系数!$L$9*$NO19</f>
        <v>3.9204171547713882</v>
      </c>
      <c r="CL19" s="197">
        <f>CM19*(1+$DD19+各项系数!$J$5+各项系数!$L$5)</f>
        <v>3.890253713505726</v>
      </c>
      <c r="CM19" s="197">
        <f t="shared" si="13"/>
        <v>3.8139742289271825</v>
      </c>
      <c r="CN19" s="196">
        <f>CO19+各项系数!$M$9*$NO19</f>
        <v>4.1479797888576186</v>
      </c>
      <c r="CO19" s="196">
        <f>CP19*(1+$DC19+(VLOOKUP($AM19,$A$12:$B$323,2,0))+各项系数!$J$6+各项系数!$M$5)*(1+$E$2)+各项系数!$M$9*$NK19</f>
        <v>4.1178163475919565</v>
      </c>
      <c r="CP19" s="197">
        <f>CQ19+各项系数!$L$9*$NO19</f>
        <v>4.1320566830892016</v>
      </c>
      <c r="CQ19" s="197">
        <f>CR19*(1+$DD19+各项系数!$J$5+各项系数!$L$5)</f>
        <v>4.1018932418235394</v>
      </c>
      <c r="CR19" s="197">
        <f t="shared" si="14"/>
        <v>4.0214639625720974</v>
      </c>
      <c r="CS19" s="196">
        <f>CT19+各项系数!$M$9*$NU19</f>
        <v>4.3659872911612974</v>
      </c>
      <c r="CT19" s="196">
        <f t="shared" si="15"/>
        <v>4.3338818669046608</v>
      </c>
      <c r="CU19" s="197">
        <f>CV19+各项系数!$L$9*$NU19</f>
        <v>4.3785430055613865</v>
      </c>
      <c r="CV19" s="197">
        <f>CW19*(1+$DD19+各项系数!$J$5+各项系数!$L$5)</f>
        <v>4.34643758130475</v>
      </c>
      <c r="CW19" s="199">
        <f t="shared" si="16"/>
        <v>4.2612133150046567</v>
      </c>
      <c r="CX19" s="196">
        <f>CY19+各项系数!$M$9*$NU19</f>
        <v>4.6347784554343496</v>
      </c>
      <c r="CY19" s="196">
        <f t="shared" si="17"/>
        <v>4.6026730311777131</v>
      </c>
      <c r="CZ19" s="197">
        <f>DA19+各项系数!$L$9*$NU19</f>
        <v>4.6501040929255533</v>
      </c>
      <c r="DA19" s="197">
        <f>DB19*(1+$DD19+各项系数!$J$5+各项系数!$L$5)</f>
        <v>4.6179986686689167</v>
      </c>
      <c r="DB19" s="199">
        <f t="shared" si="18"/>
        <v>4.5274496751656041</v>
      </c>
      <c r="DC19" s="213">
        <f t="shared" si="137"/>
        <v>0</v>
      </c>
      <c r="DD19" s="213">
        <f t="shared" si="19"/>
        <v>0</v>
      </c>
      <c r="DE19" s="53"/>
      <c r="DF19" s="53"/>
      <c r="DG19" s="196">
        <f>DH19+各项系数!$M$9*$NQ19</f>
        <v>4.0153005218682019</v>
      </c>
      <c r="DH19" s="196">
        <f>DI19*(1+$EA19+(VLOOKUP($AM19,$A$12:$B$323,2,0))+各项系数!$J$6+各项系数!$M$5)*(1+$E$2)+各项系数!$M$9*$NK19</f>
        <v>3.9851370806025401</v>
      </c>
      <c r="DI19" s="197">
        <f>DJ19+各项系数!$L$9*$NQ19</f>
        <v>3.9980101413742939</v>
      </c>
      <c r="DJ19" s="197">
        <f>DK19*(1+$EB19+各项系数!$J$5+各项系数!$L$5)</f>
        <v>3.9678467001086317</v>
      </c>
      <c r="DK19" s="197">
        <f t="shared" si="20"/>
        <v>3.8522783496200308</v>
      </c>
      <c r="DL19" s="196">
        <f>DM19+各项系数!$M$9*$NQ19</f>
        <v>4.2405732864664776</v>
      </c>
      <c r="DM19" s="196">
        <f>DN19*(1+$EA19+(VLOOKUP($AM19,$A$12:$B$323,2,0))+各项系数!$J$6+各项系数!$M$5)*(1+$E$2)+各项系数!$M$9*$NK19</f>
        <v>4.2104098452008154</v>
      </c>
      <c r="DN19" s="197">
        <f>DO19+各项系数!$L$9*$NQ19</f>
        <v>4.2256043670747134</v>
      </c>
      <c r="DO19" s="197">
        <f>DP19*(1+$EB19+各项系数!$J$5+各项系数!$L$5)</f>
        <v>4.1954409258090513</v>
      </c>
      <c r="DP19" s="197">
        <f t="shared" si="21"/>
        <v>4.0732436172903412</v>
      </c>
      <c r="DQ19" s="196">
        <f>DR19+各项系数!$M$9*$NV19</f>
        <v>4.4482649580904905</v>
      </c>
      <c r="DR19" s="196">
        <f t="shared" si="22"/>
        <v>4.416159533833854</v>
      </c>
      <c r="DS19" s="197">
        <f>DT19+各项系数!$L$9*$NV19</f>
        <v>4.4616685530752207</v>
      </c>
      <c r="DT19" s="197">
        <f>DU19*(1+$EB19+各项系数!$J$5+各项系数!$L$5)</f>
        <v>4.4295631288185842</v>
      </c>
      <c r="DU19" s="199">
        <f t="shared" si="23"/>
        <v>4.3005467270083342</v>
      </c>
      <c r="DV19" s="196">
        <f>DW19+各项系数!$M$9*$NV19</f>
        <v>4.5831219755591226</v>
      </c>
      <c r="DW19" s="196">
        <f t="shared" si="24"/>
        <v>4.5510165513024861</v>
      </c>
      <c r="DX19" s="197">
        <f>DY19+各项系数!$L$9*$NV19</f>
        <v>4.5979152872322553</v>
      </c>
      <c r="DY19" s="197">
        <f>DZ19*(1+$EB19+各项系数!$J$5+各项系数!$L$5)</f>
        <v>4.5658098629756187</v>
      </c>
      <c r="DZ19" s="199">
        <f t="shared" si="25"/>
        <v>4.4328251096850666</v>
      </c>
      <c r="EA19" s="213">
        <f t="shared" si="26"/>
        <v>0</v>
      </c>
      <c r="EB19" s="213">
        <f t="shared" si="27"/>
        <v>0.01</v>
      </c>
      <c r="EC19" s="235">
        <f t="shared" si="138"/>
        <v>1</v>
      </c>
      <c r="ED19" s="235" t="str">
        <f t="shared" si="139"/>
        <v>1*6</v>
      </c>
      <c r="EE19" s="189">
        <f t="shared" si="28"/>
        <v>6</v>
      </c>
      <c r="EF19" s="189">
        <f>LOOKUP(EH19,{1,7,10,14,19,24,30,37,48,61},{1,"1+6","2+8","4+10","1+6+12","2+8+14","4+10+16","1+6+12+18","3+9+15+21","1+6+12+18+24"})</f>
        <v>1</v>
      </c>
      <c r="EG19" s="188">
        <f t="shared" si="29"/>
        <v>1</v>
      </c>
      <c r="EH19" s="197">
        <f>VLOOKUP(EE19,各项系数!$B$87:$C$110,2,0)</f>
        <v>1</v>
      </c>
      <c r="EI19" s="188">
        <f>IF(EH19=0,0,VLOOKUP(EH19,各项系数!$D$142:$E$195,2,0))*1</f>
        <v>1</v>
      </c>
      <c r="EJ19" s="238">
        <f t="shared" si="141"/>
        <v>267.425148012862</v>
      </c>
      <c r="EK19" s="189">
        <f t="shared" si="30"/>
        <v>0</v>
      </c>
      <c r="EL19" s="189">
        <f t="shared" si="31"/>
        <v>0</v>
      </c>
      <c r="EM19" s="189">
        <f t="shared" si="32"/>
        <v>0</v>
      </c>
      <c r="EN19" s="189">
        <f>IF(EP19=0,0,LOOKUP(EP19,{1,7,10,14,19,24,30,37,48,61},{1,"1+6","2+8","4+10","1+6+12","2+8+14","4+10+16","1+6+12+18","3+9+15+21","1+6+12+18+24"}))</f>
        <v>0</v>
      </c>
      <c r="EO19" s="189">
        <f t="shared" si="33"/>
        <v>0</v>
      </c>
      <c r="EP19" s="189">
        <f>IF(EM19=0,0,IF(EM19&lt;10,1,IF(AND(EM19&gt;=10,EM19&lt;=35),7,LOOKUP(EM19,{50,70,95,120,150,185,240,300},{10,14,19,24,30,37,48,61})*1)))</f>
        <v>0</v>
      </c>
      <c r="EQ19" s="189">
        <f>IF(EP19=0,0,VLOOKUP(EP19,各项系数!$D$142:$E$195,2,0))*1</f>
        <v>0</v>
      </c>
      <c r="ER19" s="189">
        <f t="shared" si="34"/>
        <v>0</v>
      </c>
      <c r="ES19" s="235">
        <f t="shared" si="35"/>
        <v>1</v>
      </c>
      <c r="ET19" s="189">
        <f>VLOOKUP(ES19,各项系数!$D$142:$E$195,2,0)*1</f>
        <v>1</v>
      </c>
      <c r="EU19" s="243">
        <f>((各项系数!$F$76/4*$EJ19^2*$EG19*$EH19*1*10^-7)*(1-$H19)*AA19)*(VLOOKUP($EY$9,各项系数!$D$4:$F$143,3,0))*各项系数!$J$4</f>
        <v>4.9684304271029649E-2</v>
      </c>
      <c r="EV19" s="244">
        <f>EU19*(VLOOKUP($EY$9,各项系数!$D$4:$F$143,2,0))</f>
        <v>3.2543219297524422</v>
      </c>
      <c r="EW19" s="252">
        <f>(IF($EO19=0,0,(各项系数!$F$76/4*$ER19^2*$EO19*$EP19*1*10^-7))*(1-$K19)*$AF19)*(VLOOKUP($EY$9,各项系数!$D$4:$F$143,3,0))*各项系数!$J$4</f>
        <v>0</v>
      </c>
      <c r="EX19" s="253">
        <f>EW19*(VLOOKUP($EY$9,各项系数!$D$4:$F$143,2,0))</f>
        <v>0</v>
      </c>
      <c r="EY19" s="189">
        <f>((各项系数!$F$76/4*$EJ19^2*$EG19*$EH19*1*10^-7)*(1-$H19)*AA19+IF($EO19=0,0,(各项系数!$F$76/4*$ER19^2*$EO19*$EP19*1*10^-7))*(1-$K19)*$AF19)*(VLOOKUP($EY$9,各项系数!$D$4:$F$143,3,0))*各项系数!$J$4</f>
        <v>4.9684304271029649E-2</v>
      </c>
      <c r="EZ19" s="102">
        <v>1</v>
      </c>
      <c r="FA19" s="189">
        <f t="shared" si="36"/>
        <v>4.9684304271029649E-2</v>
      </c>
      <c r="FB19" s="254">
        <f>FA19*(VLOOKUP($EY$9,各项系数!$D$4:$F$143,2,0))</f>
        <v>3.2543219297524422</v>
      </c>
      <c r="FC19" s="255"/>
      <c r="FD19" s="235">
        <f>各项系数!$F$76/4*($MN19^2-MK19^2)*10^-2*(VLOOKUP(L19,各项系数!$D$1:$F$143,3,0))*10^-3*10^2*$EG19*各项系数!$J$4</f>
        <v>8.1215912028234256E-3</v>
      </c>
      <c r="FE19" s="262">
        <f>FD19*VLOOKUP(L19,各项系数!$D$1:$F$143,2,0)</f>
        <v>8.2840230268798942E-2</v>
      </c>
      <c r="FF19" s="188">
        <f>各项系数!$F$76/4*($MO19^2-ML19^2)*10^-2*(VLOOKUP(L19,各项系数!$D$1:$F$143,3,0))*10^-3*10^2*$EO19*各项系数!$J$4</f>
        <v>0</v>
      </c>
      <c r="FG19" s="262">
        <f>FF19*VLOOKUP(L19,各项系数!$D$1:$F$143,2,0)</f>
        <v>0</v>
      </c>
      <c r="FH19" s="235">
        <f t="shared" si="142"/>
        <v>8.1215912028234256E-3</v>
      </c>
      <c r="FI19" s="102">
        <v>1</v>
      </c>
      <c r="FJ19" s="189">
        <f t="shared" si="37"/>
        <v>8.1215912028234256E-3</v>
      </c>
      <c r="FK19" s="262">
        <f>FJ19*VLOOKUP(L19,各项系数!$D$1:$F$143,2,0)</f>
        <v>8.2840230268798942E-2</v>
      </c>
      <c r="FL19" s="235"/>
      <c r="FM19" s="102"/>
      <c r="FN19" s="189"/>
      <c r="FO19" s="262"/>
      <c r="FP19" s="282">
        <f t="shared" si="38"/>
        <v>8.1215912028234256E-3</v>
      </c>
      <c r="FQ19" s="282">
        <f t="shared" si="39"/>
        <v>8.2840230268798942E-2</v>
      </c>
      <c r="FR19" s="283">
        <f>各项系数!$F$76/4*($MQ19^2-$MN19^2*$EG19-$MO19^2*$EO19)*10^-2</f>
        <v>0</v>
      </c>
      <c r="FS19" s="284">
        <f t="shared" si="143"/>
        <v>1</v>
      </c>
      <c r="FT19" s="285">
        <f t="shared" si="40"/>
        <v>0</v>
      </c>
      <c r="FU19" s="302">
        <f>$FT19*(VLOOKUP($FT$9,各项系数!$D$1:$F$143,3,0))*10^-3*10^2*各项系数!$J$55</f>
        <v>0</v>
      </c>
      <c r="FV19" s="303">
        <v>1</v>
      </c>
      <c r="FW19" s="304">
        <f t="shared" si="41"/>
        <v>0</v>
      </c>
      <c r="FX19" s="285">
        <f>FW19*(VLOOKUP($FT$9,各项系数!$D$1:$F$143,2,0))</f>
        <v>0</v>
      </c>
      <c r="FY19" s="302">
        <f>IF($BK19&lt;&gt;$FY$9,0,各项系数!$F$76/4*($MS19^2-$MQ19^2)*10^-2*(VLOOKUP($FY$9,各项系数!$D$1:$F$143,3,0))*10^-3*10^2)*各项系数!$J$4</f>
        <v>0</v>
      </c>
      <c r="FZ19" s="303">
        <v>1</v>
      </c>
      <c r="GA19" s="304">
        <f t="shared" si="42"/>
        <v>0</v>
      </c>
      <c r="GB19" s="285">
        <f>GA19*(VLOOKUP($FY$9,各项系数!$D$1:$F$143,2,0))</f>
        <v>0</v>
      </c>
      <c r="GC19" s="302">
        <f>IF($BK19&lt;&gt;$GC$9,0,各项系数!$F$76/4*($MS19^2-$MQ19^2)*10^-2*(VLOOKUP($GC$9,各项系数!$D$1:$F$143,3,0))*10^-3*10^2)*各项系数!$J$4</f>
        <v>0</v>
      </c>
      <c r="GD19" s="303">
        <v>1</v>
      </c>
      <c r="GE19" s="304">
        <f t="shared" si="43"/>
        <v>0</v>
      </c>
      <c r="GF19" s="285">
        <f>GE19*(VLOOKUP($GC$9,各项系数!$D$1:$F$143,2,0))</f>
        <v>0</v>
      </c>
      <c r="GG19" s="302">
        <f>IF($BK19&lt;&gt;$GG$9,0,各项系数!$F$76/4*($MS19^2-$MQ19^2)*10^-2*(VLOOKUP($GG$9,各项系数!$D$1:$F$143,3,0))*10^-3*10^2)*各项系数!$J$4</f>
        <v>0</v>
      </c>
      <c r="GH19" s="303">
        <v>1</v>
      </c>
      <c r="GI19" s="304">
        <f t="shared" si="44"/>
        <v>0</v>
      </c>
      <c r="GJ19" s="285">
        <f>GI19*(VLOOKUP($GG$9,各项系数!$D$1:$F$143,2,0))</f>
        <v>0</v>
      </c>
      <c r="GK19" s="302">
        <f>IF($BK19&lt;&gt;$GK$9,0,各项系数!$F$76/4*($MS19^2-$MQ19^2)*10^-2*(VLOOKUP($GK$9,各项系数!$D$1:$F$143,3,0))*10^-3*10^2)*各项系数!$J$4</f>
        <v>0</v>
      </c>
      <c r="GL19" s="303">
        <v>1</v>
      </c>
      <c r="GM19" s="304">
        <f t="shared" si="45"/>
        <v>0</v>
      </c>
      <c r="GN19" s="285">
        <f>GM19*(VLOOKUP($GK$9,各项系数!$D$1:$F$143,2,0))</f>
        <v>0</v>
      </c>
      <c r="GO19" s="304">
        <f t="shared" si="46"/>
        <v>0</v>
      </c>
      <c r="GP19" s="304">
        <f t="shared" si="47"/>
        <v>0</v>
      </c>
      <c r="GQ19" s="315">
        <f>各项系数!$F$76/4*($MU19^2-$MS19^2)*10^-2*(VLOOKUP($S19,各项系数!$D$1:$F$143,3,0))*10^-3*10^2*各项系数!$J$4</f>
        <v>2.0896318200766956E-2</v>
      </c>
      <c r="GR19" s="303">
        <v>1</v>
      </c>
      <c r="GS19" s="304">
        <f t="shared" si="48"/>
        <v>2.0896318200766956E-2</v>
      </c>
      <c r="GT19" s="304">
        <f t="shared" si="49"/>
        <v>1</v>
      </c>
      <c r="GU19" s="304">
        <f>ROUND($GS19*(VLOOKUP($S19,各项系数!$D$1:$F$143,2,0))+$E$3*GS19,GT19)</f>
        <v>0.2</v>
      </c>
      <c r="GV19" s="315">
        <f>各项系数!$F$76/4*($MT19^2-$MS19^2)*10^-2*(VLOOKUP($GV$9,各项系数!$D$1:$F$143,3,0))*10^-3*10^2*各项系数!$J$4*PI()/4*R19</f>
        <v>5.802796668247243E-3</v>
      </c>
      <c r="GW19" s="303">
        <v>1</v>
      </c>
      <c r="GX19" s="304">
        <f t="shared" si="50"/>
        <v>5.802796668247243E-3</v>
      </c>
      <c r="GY19" s="304">
        <f>$GX19*(VLOOKUP($GV$9,各项系数!$D$1:$F$143,2,0))</f>
        <v>0.39168877510668892</v>
      </c>
      <c r="GZ19" s="315">
        <f>各项系数!$F$76/4*($MV19^2-$MS19^2)*10^-2*(VLOOKUP($GZ$9,各项系数!$D$1:$F$143,3,0))*10^-3*10^2*各项系数!$J$4</f>
        <v>3.4737114151376508E-2</v>
      </c>
      <c r="HA19" s="303">
        <v>1</v>
      </c>
      <c r="HB19" s="304">
        <f t="shared" si="144"/>
        <v>3.4737114151376508E-2</v>
      </c>
      <c r="HC19" s="304">
        <f>HB19*(VLOOKUP($GZ$9,各项系数!$D$1:$F$143,2,0))</f>
        <v>0.59053094057340061</v>
      </c>
      <c r="HD19" s="315">
        <f>各项系数!$F$76/4*($MW19^2-$MT19^2)*10^-2*(VLOOKUP($HD$9,各项系数!$D$1:$F$143,3,0))*10^-3*10^2*各项系数!$J$4</f>
        <v>3.5752401498793045E-2</v>
      </c>
      <c r="HE19" s="303">
        <v>1</v>
      </c>
      <c r="HF19" s="304">
        <f t="shared" si="145"/>
        <v>3.5752401498793045E-2</v>
      </c>
      <c r="HG19" s="304">
        <f>HF19*(VLOOKUP($HD$9,各项系数!$D$1:$F$143,2,0))</f>
        <v>0.60779082547948171</v>
      </c>
      <c r="HH19" s="315">
        <f>各项系数!$F$76/4*($MV19^2-$MS19^2)*10^-2*(VLOOKUP($HH$9,各项系数!$D$1:$F$143,3,0))*10^-3*10^2*各项系数!$J$4</f>
        <v>3.4737114151376508E-2</v>
      </c>
      <c r="HI19" s="322">
        <v>1</v>
      </c>
      <c r="HJ19" s="304">
        <f t="shared" si="146"/>
        <v>3.4737114151376508E-2</v>
      </c>
      <c r="HK19" s="304">
        <f>HJ19*(VLOOKUP($HH$9,各项系数!$D$1:$F$143,2,0))</f>
        <v>0.59053094057340061</v>
      </c>
      <c r="HL19" s="315">
        <f>各项系数!$F$76/4*($MW19^2-$MT19^2)*10^-2*(VLOOKUP($HL$9,各项系数!$D$1:$F$143,3,0))*10^-3*10^2*各项系数!$J$4</f>
        <v>3.5752401498793045E-2</v>
      </c>
      <c r="HM19" s="322">
        <v>1</v>
      </c>
      <c r="HN19" s="304">
        <f t="shared" si="147"/>
        <v>3.5752401498793045E-2</v>
      </c>
      <c r="HO19" s="304">
        <f>HN19*(VLOOKUP($HL$9,各项系数!$D$1:$F$143,2,0))</f>
        <v>0.60779082547948171</v>
      </c>
      <c r="HP19" s="315">
        <f>各项系数!$F$76/4*($MV19^2-$MS19^2)*10^-2*(VLOOKUP(AN19,各项系数!$D$1:$F$143,3,0))*10^-3*10^2*各项系数!$J$4</f>
        <v>3.521624676036101E-2</v>
      </c>
      <c r="HQ19" s="303">
        <v>1</v>
      </c>
      <c r="HR19" s="304">
        <f t="shared" si="172"/>
        <v>3.521624676036101E-2</v>
      </c>
      <c r="HS19" s="304">
        <f>HR19*(VLOOKUP(AN19,各项系数!$D$1:$F$143,2,0))</f>
        <v>0.35216246760361009</v>
      </c>
      <c r="HT19" s="315">
        <f>各项系数!$F$76/4*($MW19^2-$MT19^2)*10^-2*(VLOOKUP(AN19,各项系数!$D$1:$F$143,3,0))*10^-3*10^2*各项系数!$J$4</f>
        <v>3.6245538071190193E-2</v>
      </c>
      <c r="HU19" s="303">
        <v>1</v>
      </c>
      <c r="HV19" s="304">
        <f t="shared" si="173"/>
        <v>3.6245538071190193E-2</v>
      </c>
      <c r="HW19" s="304">
        <f>HV19*(VLOOKUP(AN19,各项系数!$D$1:$F$143,2,0))</f>
        <v>0.36245538071190192</v>
      </c>
      <c r="HX19" s="315">
        <f>各项系数!$F$76/4*($MV19^2-$MS19^2)*10^-2*(VLOOKUP($HX$9,各项系数!$D$1:$F$143,3,0))*10^-3*10^2*各项系数!$J$4</f>
        <v>3.521624676036101E-2</v>
      </c>
      <c r="HY19" s="322">
        <v>1</v>
      </c>
      <c r="HZ19" s="304">
        <f t="shared" si="174"/>
        <v>3.521624676036101E-2</v>
      </c>
      <c r="IA19" s="304">
        <f>HZ19*(VLOOKUP($HX$9,各项系数!$D$1:$F$143,2,0))</f>
        <v>0.38737871436397109</v>
      </c>
      <c r="IB19" s="315">
        <f>各项系数!$F$76/4*($MW19^2-$MT19^2)*10^-2*(VLOOKUP($IB$9,各项系数!$D$1:$F$143,3,0))*10^-3*10^2*各项系数!$J$4</f>
        <v>3.6245538071190193E-2</v>
      </c>
      <c r="IC19" s="322">
        <v>1</v>
      </c>
      <c r="ID19" s="304">
        <f t="shared" si="58"/>
        <v>3.6245538071190193E-2</v>
      </c>
      <c r="IE19" s="304">
        <f>ID19*(VLOOKUP($IB$9,各项系数!$D$1:$F$143,2,0))</f>
        <v>0.39870091878309211</v>
      </c>
      <c r="IF19" s="328"/>
      <c r="IG19" s="315">
        <f t="shared" si="148"/>
        <v>3.2794610706287195E-3</v>
      </c>
      <c r="IH19" s="303">
        <v>1</v>
      </c>
      <c r="II19" s="304">
        <f t="shared" si="59"/>
        <v>3.2794610706287195E-3</v>
      </c>
      <c r="IJ19" s="304">
        <f>II19*(VLOOKUP($IG$8,各项系数!$D$1:$F$143,2,0))</f>
        <v>8.1986526765717993E-2</v>
      </c>
      <c r="IK19" s="315">
        <f>(各项系数!$F$76/4*($MX19^2-$MK19^2)*$EG19)*10^-2*(VLOOKUP($IG$8,各项系数!$D$1:$F$143,3,0))*10^-3*10^2*各项系数!$J$4</f>
        <v>3.2794610706287195E-3</v>
      </c>
      <c r="IL19" s="303">
        <f>IK19*(VLOOKUP($IG$8,各项系数!$D$1:$F$143,2,0))</f>
        <v>8.1986526765717993E-2</v>
      </c>
      <c r="IM19" s="304">
        <f>(各项系数!$F$76/4*(($MM19+3*$X19)^2-MM19^2)*$EO19)*10^-2*(VLOOKUP($IG$8,各项系数!$D$1:$F$143,3,0))*10^-3*10^2*各项系数!$J$4</f>
        <v>0</v>
      </c>
      <c r="IN19" s="303">
        <f>IM19*(VLOOKUP($IG$8,各项系数!$D$1:$F$143,2,0))</f>
        <v>0</v>
      </c>
      <c r="IO19" s="315">
        <f>各项系数!$F$76/4*($MZ19^2-$MX19^2)*10^-2*(VLOOKUP(L19,各项系数!$D$1:$F$143,3,0))*10^-3*10^2*$ES19*各项系数!$J$4</f>
        <v>9.2769181843663749E-3</v>
      </c>
      <c r="IP19" s="303">
        <v>1</v>
      </c>
      <c r="IQ19" s="304">
        <f t="shared" si="60"/>
        <v>9.2769181843663749E-3</v>
      </c>
      <c r="IR19" s="285">
        <f>IQ19*(VLOOKUP(L19,各项系数!$D$1:$F$143,2,0))</f>
        <v>9.4624565480537021E-2</v>
      </c>
      <c r="IS19" s="315">
        <f>IF($L19&lt;&gt;$IS$9,0,各项系数!$F$76/4*($MZ19^2-$MX19^2)*10^-2*各项系数!$F$12*10^-3*10^2)*$ES19*各项系数!$J$4</f>
        <v>0</v>
      </c>
      <c r="IT19" s="303">
        <v>1</v>
      </c>
      <c r="IU19" s="304">
        <f t="shared" si="61"/>
        <v>0</v>
      </c>
      <c r="IV19" s="285">
        <f>IU19*各项系数!$E$12</f>
        <v>0</v>
      </c>
      <c r="IW19" s="302">
        <f t="shared" si="62"/>
        <v>9.2769181843663749E-3</v>
      </c>
      <c r="IX19" s="302">
        <f t="shared" si="63"/>
        <v>9.4624565480537021E-2</v>
      </c>
      <c r="IY19" s="339">
        <f>各项系数!$F$76/4*($NB19^2-$MZ19^2*$EG19-$NA19^2*$EO19)*10^-2</f>
        <v>0</v>
      </c>
      <c r="IZ19" s="284">
        <f t="shared" si="149"/>
        <v>1</v>
      </c>
      <c r="JA19" s="285">
        <f t="shared" si="64"/>
        <v>0</v>
      </c>
      <c r="JB19" s="282">
        <f>IF($DE19&lt;&gt;$JB$9,0,$JA19*各项系数!$F$32*10^-3*10^2)*各项系数!$J$4</f>
        <v>0</v>
      </c>
      <c r="JC19" s="102">
        <v>1</v>
      </c>
      <c r="JD19" s="189">
        <f t="shared" si="65"/>
        <v>0</v>
      </c>
      <c r="JE19" s="262">
        <f>JD19*各项系数!$E$32</f>
        <v>0</v>
      </c>
      <c r="JF19" s="282">
        <f>IF($DE19&lt;&gt;$JF$9,0,$JA19*VLOOKUP($JF$9,各项系数!$D$4:$F$540,2,0)*10^-3*10^2)*各项系数!$J$4</f>
        <v>0</v>
      </c>
      <c r="JG19" s="102">
        <v>1</v>
      </c>
      <c r="JH19" s="189">
        <f t="shared" si="66"/>
        <v>0</v>
      </c>
      <c r="JI19" s="262">
        <f>JH19*VLOOKUP($JF$9,各项系数!$D$4:$F$540,3,0)</f>
        <v>0</v>
      </c>
      <c r="JJ19" s="282">
        <f t="shared" si="67"/>
        <v>0</v>
      </c>
      <c r="JK19" s="189">
        <f t="shared" si="68"/>
        <v>0</v>
      </c>
      <c r="JL19" s="282">
        <f>IF($DF19&lt;&gt;$JL$9,0,各项系数!$F$76/4*($NE19^2-$NC19^2)*10^-2*各项系数!$F$39*10^-3*10^2)*各项系数!$J$4</f>
        <v>0</v>
      </c>
      <c r="JM19" s="102">
        <v>1</v>
      </c>
      <c r="JN19" s="189">
        <f t="shared" si="69"/>
        <v>0</v>
      </c>
      <c r="JO19" s="262">
        <f>JN19*各项系数!$E$39</f>
        <v>0</v>
      </c>
      <c r="JP19" s="282">
        <f>IF($DF19&lt;&gt;$JP$9,0,各项系数!$F$76/4*($NE19^2-$NC19^2)*10^-2*各项系数!$F$36*10^-3*10^2)*各项系数!$J$4</f>
        <v>0</v>
      </c>
      <c r="JQ19" s="102">
        <v>1</v>
      </c>
      <c r="JR19" s="189">
        <f t="shared" si="70"/>
        <v>0</v>
      </c>
      <c r="JS19" s="262">
        <f>JR19*各项系数!$E$36</f>
        <v>0</v>
      </c>
      <c r="JT19" s="282">
        <f>IF($DF19&lt;&gt;$JT$9,0,各项系数!$F$76/4*($NE19^2-$NC19^2)*10^-2*各项系数!$F$40*10^-3*10^2)*各项系数!$J$4</f>
        <v>0</v>
      </c>
      <c r="JU19" s="102">
        <v>1</v>
      </c>
      <c r="JV19" s="189">
        <f t="shared" si="71"/>
        <v>0</v>
      </c>
      <c r="JW19" s="262">
        <f>JV19*各项系数!$E$40</f>
        <v>0</v>
      </c>
      <c r="JX19" s="282">
        <f>IF($DF19&lt;&gt;$JX$9,0,各项系数!$F$76/4*($NE19^2-$NC19^2)*10^-2*各项系数!$F$38*10^-3*10^2)*各项系数!$J$4</f>
        <v>0</v>
      </c>
      <c r="JY19" s="102">
        <v>1</v>
      </c>
      <c r="JZ19" s="189">
        <f t="shared" si="72"/>
        <v>0</v>
      </c>
      <c r="KA19" s="262">
        <f>JZ19*各项系数!$E$38</f>
        <v>0</v>
      </c>
      <c r="KB19" s="282">
        <f>IF($DF19&lt;&gt;$KB$9,0,各项系数!$F$76/4*($NE19^2-$NC19^2)*10^-2*各项系数!$F$41*10^-3*10^2)*各项系数!$J$4</f>
        <v>0</v>
      </c>
      <c r="KC19" s="102">
        <v>1</v>
      </c>
      <c r="KD19" s="189">
        <f t="shared" si="73"/>
        <v>0</v>
      </c>
      <c r="KE19" s="262">
        <f>KD19*各项系数!$E$41</f>
        <v>0</v>
      </c>
      <c r="KF19" s="189">
        <f t="shared" si="74"/>
        <v>0</v>
      </c>
      <c r="KG19" s="189">
        <f t="shared" si="75"/>
        <v>0</v>
      </c>
      <c r="KH19" s="235">
        <f>各项系数!$F$76/4*($NG19^2-$NE19^2)*10^-2*各项系数!$F$44*10^-3*10^2*各项系数!$J$4*0.75*$U19</f>
        <v>3.4864473533228087E-2</v>
      </c>
      <c r="KI19" s="102">
        <v>1</v>
      </c>
      <c r="KJ19" s="189">
        <f t="shared" si="76"/>
        <v>3.4864473533228087E-2</v>
      </c>
      <c r="KK19" s="189">
        <f>ROUND(KJ19*各项系数!$E$44,GT19)</f>
        <v>0.4</v>
      </c>
      <c r="KL19" s="235">
        <f>各项系数!$F$76/4*($NF19^2-$NE19^2)*10^-2*各项系数!$F$46*10^-3*10^2*各项系数!$J$4*PI()/4*R19</f>
        <v>6.4732766365804759E-3</v>
      </c>
      <c r="KM19" s="102">
        <v>1</v>
      </c>
      <c r="KN19" s="189">
        <f t="shared" si="77"/>
        <v>6.4732766365804759E-3</v>
      </c>
      <c r="KO19" s="189">
        <f>KN19*各项系数!$E$46</f>
        <v>0.43694617296918214</v>
      </c>
      <c r="KP19" s="235">
        <f>各项系数!$F$76/4*($NH19^2-$NE19^2)*10^-2*(VLOOKUP($KP$9,各项系数!$D$1:$F$143,3,0))*10^-3*10^2*各项系数!$J$4</f>
        <v>3.7782976193626111E-2</v>
      </c>
      <c r="KQ19" s="102">
        <v>1</v>
      </c>
      <c r="KR19" s="189">
        <f t="shared" si="150"/>
        <v>3.7782976193626111E-2</v>
      </c>
      <c r="KS19" s="189">
        <f>KR19*(VLOOKUP($KP$9,各项系数!$D$1:$F$143,2,0))</f>
        <v>0.64231059529164392</v>
      </c>
      <c r="KT19" s="235">
        <f>各项系数!$F$76/4*($NI19^2-$NF19^2)*10^-2*(VLOOKUP($KT$9,各项系数!$D$1:$F$143,3,0))*10^-3*10^2*各项系数!$J$4</f>
        <v>3.8798263541042634E-2</v>
      </c>
      <c r="KU19" s="102">
        <v>1</v>
      </c>
      <c r="KV19" s="189">
        <f t="shared" si="151"/>
        <v>3.8798263541042634E-2</v>
      </c>
      <c r="KW19" s="189">
        <f>KV19*(VLOOKUP($KT$9,各项系数!$D$1:$F$143,2,0))</f>
        <v>0.6595704801977248</v>
      </c>
      <c r="KX19" s="189">
        <f>各项系数!$F$76/4*($NH19^2-$NE19^2)*10^-2*(VLOOKUP($KX$9,各项系数!$D$1:$F$143,3,0))*10^-3*10^2*各项系数!$J$4</f>
        <v>3.7782976193626111E-2</v>
      </c>
      <c r="KY19" s="353">
        <v>1</v>
      </c>
      <c r="KZ19" s="189">
        <f t="shared" si="152"/>
        <v>3.7782976193626111E-2</v>
      </c>
      <c r="LA19" s="189">
        <f>KZ19*(VLOOKUP($KX$9,各项系数!$D$1:$F$143,2,0))</f>
        <v>0.64231059529164392</v>
      </c>
      <c r="LB19" s="189">
        <f>各项系数!$F$76/4*($NI19^2-$NF19^2)*10^-2*(VLOOKUP($LB$9,各项系数!$D$1:$F$143,3,0))*10^-3*10^2*各项系数!$J$4</f>
        <v>3.8798263541042634E-2</v>
      </c>
      <c r="LC19" s="353">
        <v>1</v>
      </c>
      <c r="LD19" s="189">
        <f t="shared" si="153"/>
        <v>3.8798263541042634E-2</v>
      </c>
      <c r="LE19" s="189">
        <f>LD19*(VLOOKUP($LB$9,各项系数!$D$1:$F$143,2,0))</f>
        <v>0.6595704801977248</v>
      </c>
      <c r="LF19" s="235">
        <f>各项系数!$F$76/4*($NH19^2-$NE19^2)*10^-2*(VLOOKUP(AN19,各项系数!$D$1:$F$143,3,0))*10^-3*10^2*各项系数!$J$4</f>
        <v>3.8304120692848539E-2</v>
      </c>
      <c r="LG19" s="102">
        <v>1</v>
      </c>
      <c r="LH19" s="189">
        <f t="shared" si="82"/>
        <v>3.8304120692848539E-2</v>
      </c>
      <c r="LI19" s="189">
        <f>LH19*(VLOOKUP(AN19,各项系数!$D$1:$F$143,2,0))</f>
        <v>0.38304120692848542</v>
      </c>
      <c r="LJ19" s="235">
        <f>各项系数!$F$76/4*($NI19^2-$NF19^2)*10^-2*(VLOOKUP(AN19,各项系数!$D$1:$F$143,3,0))*10^-3*10^2*各项系数!$J$4</f>
        <v>3.9333412003677709E-2</v>
      </c>
      <c r="LK19" s="102">
        <v>1</v>
      </c>
      <c r="LL19" s="189">
        <f t="shared" si="83"/>
        <v>3.9333412003677709E-2</v>
      </c>
      <c r="LM19" s="189">
        <f>LL19*(VLOOKUP(AN19,各项系数!$D$1:$F$143,2,0))</f>
        <v>0.39333412003677709</v>
      </c>
      <c r="LN19" s="189">
        <f>各项系数!$F$76/4*($NH19^2-$NE19^2)*10^-2*(VLOOKUP($LN$9,各项系数!$D$1:$F$143,3,0))*10^-3*10^2*各项系数!$J$4</f>
        <v>3.8304120692848539E-2</v>
      </c>
      <c r="LO19" s="353">
        <v>1</v>
      </c>
      <c r="LP19" s="189">
        <f t="shared" si="84"/>
        <v>3.8304120692848539E-2</v>
      </c>
      <c r="LQ19" s="189">
        <f>LP19*(VLOOKUP($LN$9,各项系数!$D$1:$F$143,2,0))</f>
        <v>0.42134532762133392</v>
      </c>
      <c r="LR19" s="189">
        <f>各项系数!$F$76/4*($NI19^2-$NF19^2)*10^-2*(VLOOKUP($LR$9,各项系数!$D$1:$F$143,3,0))*10^-3*10^2*各项系数!$J$4</f>
        <v>3.9333412003677709E-2</v>
      </c>
      <c r="LS19" s="353">
        <v>1</v>
      </c>
      <c r="LT19" s="189">
        <f t="shared" si="85"/>
        <v>3.9333412003677709E-2</v>
      </c>
      <c r="LU19" s="189">
        <f>LT19*(VLOOKUP($LR$9,各项系数!$D$1:$F$143,2,0))</f>
        <v>0.43266753204045483</v>
      </c>
      <c r="LV19" s="227">
        <f t="shared" si="154"/>
        <v>5.6168699799999997</v>
      </c>
      <c r="LW19" s="227">
        <f t="shared" si="155"/>
        <v>5.6168699799999997</v>
      </c>
      <c r="LX19" s="227">
        <f t="shared" si="156"/>
        <v>2.6742514796054246</v>
      </c>
      <c r="LY19" s="227">
        <f t="shared" si="157"/>
        <v>0</v>
      </c>
      <c r="LZ19" s="374">
        <f t="shared" si="86"/>
        <v>1</v>
      </c>
      <c r="MA19" s="375">
        <f t="shared" si="87"/>
        <v>5.6168699799999997</v>
      </c>
      <c r="MB19" s="375">
        <f t="shared" si="158"/>
        <v>2.6742514800000001</v>
      </c>
      <c r="MC19" s="227">
        <f t="shared" si="159"/>
        <v>0</v>
      </c>
      <c r="MD19" s="227">
        <f t="shared" si="160"/>
        <v>0</v>
      </c>
      <c r="ME19" s="227">
        <f t="shared" si="161"/>
        <v>0</v>
      </c>
      <c r="MF19" s="227">
        <f t="shared" si="162"/>
        <v>0</v>
      </c>
      <c r="MG19" s="374">
        <f t="shared" si="163"/>
        <v>1</v>
      </c>
      <c r="MH19" s="375">
        <f t="shared" si="88"/>
        <v>0</v>
      </c>
      <c r="MI19" s="375">
        <f t="shared" si="164"/>
        <v>0</v>
      </c>
      <c r="MJ19" s="189">
        <f t="shared" si="89"/>
        <v>2.6742514800000001</v>
      </c>
      <c r="MK19" s="189">
        <f t="shared" si="165"/>
        <v>2.6742514800000001</v>
      </c>
      <c r="ML19" s="189">
        <f t="shared" si="90"/>
        <v>0</v>
      </c>
      <c r="MM19" s="189">
        <f t="shared" si="91"/>
        <v>0</v>
      </c>
      <c r="MN19" s="189">
        <f t="shared" si="92"/>
        <v>4.07425148</v>
      </c>
      <c r="MO19" s="189">
        <f t="shared" si="166"/>
        <v>0</v>
      </c>
      <c r="MP19" s="189">
        <f t="shared" si="167"/>
        <v>4.07425148</v>
      </c>
      <c r="MQ19" s="189">
        <f t="shared" si="93"/>
        <v>4.07425148</v>
      </c>
      <c r="MR19" s="246">
        <f t="shared" si="168"/>
        <v>4.07425148</v>
      </c>
      <c r="MS19" s="380">
        <f t="shared" si="94"/>
        <v>4.07425148</v>
      </c>
      <c r="MT19" s="380">
        <f t="shared" si="95"/>
        <v>4.2342514800000002</v>
      </c>
      <c r="MU19" s="380">
        <f t="shared" si="96"/>
        <v>4.4742514800000004</v>
      </c>
      <c r="MV19" s="380">
        <f t="shared" si="97"/>
        <v>6.8742514799999999</v>
      </c>
      <c r="MW19" s="380">
        <f t="shared" si="98"/>
        <v>7.03425148</v>
      </c>
      <c r="MX19" s="254">
        <f t="shared" si="99"/>
        <v>3.1542514800000001</v>
      </c>
      <c r="MY19" s="254">
        <f t="shared" si="100"/>
        <v>0</v>
      </c>
      <c r="MZ19" s="189">
        <f t="shared" si="101"/>
        <v>4.5542514799999996</v>
      </c>
      <c r="NA19" s="189">
        <f t="shared" si="102"/>
        <v>0</v>
      </c>
      <c r="NB19" s="189">
        <f t="shared" si="169"/>
        <v>4.5542514799999996</v>
      </c>
      <c r="NC19" s="254">
        <f t="shared" si="103"/>
        <v>4.5542514799999996</v>
      </c>
      <c r="ND19" s="246">
        <f t="shared" si="104"/>
        <v>4.5542514799999996</v>
      </c>
      <c r="NE19" s="386">
        <f t="shared" si="105"/>
        <v>4.5542514799999996</v>
      </c>
      <c r="NF19" s="380">
        <f t="shared" si="106"/>
        <v>4.7142514799999997</v>
      </c>
      <c r="NG19" s="387">
        <f t="shared" si="107"/>
        <v>4.9542514799999999</v>
      </c>
      <c r="NH19" s="254">
        <f t="shared" si="108"/>
        <v>7.3542514799999994</v>
      </c>
      <c r="NI19" s="380">
        <f t="shared" si="109"/>
        <v>7.5142514799999995</v>
      </c>
      <c r="NK19" s="388">
        <f t="shared" si="110"/>
        <v>9.3022142234214095E-2</v>
      </c>
      <c r="NL19" s="388">
        <f t="shared" si="111"/>
        <v>3.6893246276248508</v>
      </c>
      <c r="NM19" s="388">
        <f t="shared" si="112"/>
        <v>9.3022142234214095E-2</v>
      </c>
      <c r="NN19" s="388">
        <f t="shared" si="113"/>
        <v>3.724540874385212</v>
      </c>
      <c r="NO19" s="388">
        <f t="shared" si="114"/>
        <v>0.1005448042188733</v>
      </c>
      <c r="NP19" s="388">
        <f t="shared" si="115"/>
        <v>3.8139742289271825</v>
      </c>
      <c r="NQ19" s="388">
        <f t="shared" si="116"/>
        <v>0.1005448042188733</v>
      </c>
      <c r="NR19" s="388">
        <f t="shared" si="117"/>
        <v>3.8522783496200308</v>
      </c>
      <c r="NS19" s="388">
        <f t="shared" si="118"/>
        <v>9.8824938902461343E-2</v>
      </c>
      <c r="NT19" s="388">
        <f t="shared" si="119"/>
        <v>9.8824938902461343E-2</v>
      </c>
      <c r="NU19" s="388">
        <f t="shared" si="120"/>
        <v>0.10701808085545378</v>
      </c>
      <c r="NV19" s="388">
        <f t="shared" si="121"/>
        <v>0.10701808085545378</v>
      </c>
      <c r="NW19">
        <f t="shared" si="122"/>
        <v>0.11391846043498105</v>
      </c>
      <c r="NX19">
        <f>各项系数!$M$9*NK19</f>
        <v>2.7906642670264228E-2</v>
      </c>
      <c r="NY19">
        <f t="shared" si="123"/>
        <v>9.8824938902461329E-2</v>
      </c>
      <c r="OB19" s="66" t="str">
        <f t="shared" si="124"/>
        <v>1*6</v>
      </c>
      <c r="OC19" s="395">
        <f t="shared" si="125"/>
        <v>267.425148012862</v>
      </c>
      <c r="OD19" s="395">
        <f>SQRT(4*EY19/PI()/EH19/各项系数!$J$4/各项系数!$F$5*10000000)</f>
        <v>267.42514801286194</v>
      </c>
      <c r="OE19" s="396">
        <f t="shared" si="126"/>
        <v>5.6168699821977883</v>
      </c>
      <c r="OF19" s="396">
        <f t="shared" si="127"/>
        <v>5.6168699821977865</v>
      </c>
      <c r="OG19" s="66"/>
      <c r="OH19" s="397"/>
    </row>
    <row r="20" spans="1:398" ht="15" hidden="1" customHeight="1">
      <c r="A20" s="50">
        <v>10</v>
      </c>
      <c r="B20" s="51">
        <v>0</v>
      </c>
      <c r="C20" s="52">
        <v>0.7</v>
      </c>
      <c r="D20" s="53" t="s">
        <v>129</v>
      </c>
      <c r="E20" s="61">
        <f t="shared" ref="E20:E29" si="175">MV20</f>
        <v>8.133908850000001</v>
      </c>
      <c r="F20" s="59">
        <v>131.13029499843299</v>
      </c>
      <c r="G20" s="58"/>
      <c r="H20" s="16"/>
      <c r="I20" s="62"/>
      <c r="J20" s="16"/>
      <c r="K20" s="16"/>
      <c r="L20" s="97" t="s">
        <v>467</v>
      </c>
      <c r="M20" s="98">
        <f t="shared" si="2"/>
        <v>0.7</v>
      </c>
      <c r="N20" s="98">
        <f t="shared" si="3"/>
        <v>0</v>
      </c>
      <c r="O20" s="102"/>
      <c r="P20" s="99">
        <v>0.1</v>
      </c>
      <c r="Q20" s="133">
        <f t="shared" si="170"/>
        <v>0.1</v>
      </c>
      <c r="R20" s="140">
        <v>0.8</v>
      </c>
      <c r="S20" s="132" t="s">
        <v>521</v>
      </c>
      <c r="T20" s="102">
        <v>0.2</v>
      </c>
      <c r="U20" s="102">
        <v>2</v>
      </c>
      <c r="V20" s="140"/>
      <c r="W20" s="141">
        <v>1.4</v>
      </c>
      <c r="X20" s="135">
        <f t="shared" si="171"/>
        <v>0.2</v>
      </c>
      <c r="Y20" s="135">
        <v>2</v>
      </c>
      <c r="Z20" s="168">
        <v>0.2</v>
      </c>
      <c r="AA20" s="153">
        <v>1.0109999999999999</v>
      </c>
      <c r="AB20" s="153">
        <f>PI()*EJ20*EJ20/4*EH20*(1-H20)*AA20*各项系数!$F$5*各项系数!$J$4*10^-7</f>
        <v>8.4541508952717087E-2</v>
      </c>
      <c r="AC20" s="153">
        <f t="shared" ref="AC20:AC29" si="176">EJ20</f>
        <v>131.13029499843299</v>
      </c>
      <c r="AD20" s="153">
        <f t="shared" si="5"/>
        <v>9.5575186339704263</v>
      </c>
      <c r="AE20" s="153">
        <f>POWER(4*EU20/PI()/EG20/10^-7/EH20/(1-H20)/各项系数!$F$5/各项系数!$J$4,0.5)</f>
        <v>131.84953910919143</v>
      </c>
      <c r="AF20" s="69">
        <v>1</v>
      </c>
      <c r="AG20" s="69">
        <f>IF(EM20=0,0,PI()*ER20*ER20/4*EP20*(1-K20)*(1+AF20)*各项系数!$F$5*各项系数!$J$4*10^-7)</f>
        <v>0</v>
      </c>
      <c r="AH20" s="69">
        <f t="shared" ref="AH20:AH29" si="177">ER20</f>
        <v>0</v>
      </c>
      <c r="AI20" s="69">
        <f t="shared" si="128"/>
        <v>0</v>
      </c>
      <c r="AJ20" s="69">
        <f>IF(OR(EP20="",EP20=0),0,POWER(4*EW20/PI()/EO20/10^-7/EP20/(1-K20)/各项系数!$F$5/各项系数!$J$4,0.5))</f>
        <v>0</v>
      </c>
      <c r="AK20" s="69" t="str">
        <f t="shared" si="8"/>
        <v>√</v>
      </c>
      <c r="AL20" s="69">
        <f t="shared" ref="AL20:AL29" si="178">AO20*(1+0.02)</f>
        <v>6.2878640752498107</v>
      </c>
      <c r="AM20" s="188">
        <f t="shared" ref="AM20:AM29" si="179">EE20*1</f>
        <v>10</v>
      </c>
      <c r="AN20" s="97" t="s">
        <v>486</v>
      </c>
      <c r="AO20" s="196">
        <f>AP20+各项系数!$M$9*$NK20</f>
        <v>6.1645726227939317</v>
      </c>
      <c r="AP20" s="196">
        <f>AQ20*(1+$BI20+(VLOOKUP($AM20,$A$12:$B$323,2,0))+各项系数!$J$6+各项系数!$M$5)*(1+$E$2)</f>
        <v>6.1228682066543181</v>
      </c>
      <c r="AQ20" s="197">
        <f>AR20+各项系数!$L$9*$NK20</f>
        <v>6.2478247006676719</v>
      </c>
      <c r="AR20" s="197">
        <f>AS20*(1+$BJ20+各项系数!$J$5+各项系数!$L$5)</f>
        <v>6.2061202845280583</v>
      </c>
      <c r="AS20" s="197">
        <f t="shared" si="129"/>
        <v>6.0844316514980958</v>
      </c>
      <c r="AT20" s="196">
        <f>AU20+各项系数!$M$9*$NM20</f>
        <v>6.4576737919540266</v>
      </c>
      <c r="AU20" s="196">
        <f>AV20*(1+$BI20+(VLOOKUP($AM20,$A$12:$B$323,2,0))+各项系数!$J$6+各项系数!$M$5)*(1+$E$2)</f>
        <v>6.415969375814413</v>
      </c>
      <c r="AV20" s="197">
        <f>AW20+各项系数!$L$9*$NM20</f>
        <v>6.5469075263412382</v>
      </c>
      <c r="AW20" s="197">
        <f>AX20*(1+$BJ20+各项系数!$J$5+各项系数!$L$5)</f>
        <v>6.5052031102016246</v>
      </c>
      <c r="AX20" s="197">
        <f t="shared" si="130"/>
        <v>6.3776501080408083</v>
      </c>
      <c r="AY20" s="196">
        <f>AZ20+各项系数!$M$9*$NS20</f>
        <v>6.6896063979056768</v>
      </c>
      <c r="AZ20" s="196">
        <f>BA20*(1+$BI20+(VLOOKUP($AM20,$A$12:$B$214,2,0))+各项系数!$J$6+各项系数!$M$5)*(1+$E$2)</f>
        <v>6.6456332833696212</v>
      </c>
      <c r="BA20" s="197">
        <f>BB20+各项系数!$L$9*$NS20</f>
        <v>6.7812584524179806</v>
      </c>
      <c r="BB20" s="197">
        <f>BC20*(1+$BJ20+各项系数!$J$5+各项系数!$L$5)</f>
        <v>6.7372853378819251</v>
      </c>
      <c r="BC20" s="199">
        <f t="shared" si="131"/>
        <v>6.6051817038058092</v>
      </c>
      <c r="BD20" s="196">
        <f>BE20+各项系数!$M$9*$NS20</f>
        <v>6.989671752074841</v>
      </c>
      <c r="BE20" s="196">
        <f>BF20*(1+$BI20+(VLOOKUP($AM20,$A$12:$B$214,2,0))+各项系数!$J$6+各项系数!$M$5)*(1+$E$2)</f>
        <v>6.9456986375387855</v>
      </c>
      <c r="BF20" s="197">
        <f>BG20+各项系数!$L$9*$NS20</f>
        <v>7.0874475893252917</v>
      </c>
      <c r="BG20" s="197">
        <f>BH20*(1+$BJ20+各项系数!$J$5+各项系数!$L$5)</f>
        <v>7.0434744747892362</v>
      </c>
      <c r="BH20" s="199">
        <f t="shared" si="132"/>
        <v>6.9053671321463099</v>
      </c>
      <c r="BI20" s="51"/>
      <c r="BJ20" s="208"/>
      <c r="BK20" s="102"/>
      <c r="BL20" s="196">
        <f>BM20+各项系数!$M$9*$NM20</f>
        <v>6.2679269699384417</v>
      </c>
      <c r="BM20" s="196">
        <f>BN20*(1+$CF20+(VLOOKUP($AM20,$A$12:$B$323,2,0))+各项系数!$J$6+各项系数!$M$5)*(1+$E$2)</f>
        <v>6.2262225537988281</v>
      </c>
      <c r="BN20" s="197">
        <f>BO20+各项系数!$L$9*$NM20</f>
        <v>6.3532883202028856</v>
      </c>
      <c r="BO20" s="197">
        <f>BP20*(1+$CG20+各项系数!$J$5+各项系数!$L$5)</f>
        <v>6.311583904063272</v>
      </c>
      <c r="BP20" s="197">
        <f t="shared" si="133"/>
        <v>6.1277513631682252</v>
      </c>
      <c r="BQ20" s="196">
        <f>BR20+各项系数!$M$9*$NM20</f>
        <v>6.5201747630128271</v>
      </c>
      <c r="BR20" s="196">
        <f>BS20*(1+$CF20+(VLOOKUP($AM20,$A$12:$B$323,2,0))+各项系数!$J$6+各项系数!$M$5)*(1+$E$2)</f>
        <v>6.4784703468732134</v>
      </c>
      <c r="BS20" s="197">
        <f>BT20+各项系数!$L$9*$NM20</f>
        <v>6.6106840274216463</v>
      </c>
      <c r="BT20" s="197">
        <f>BU20*(1+$CG20+各项系数!$J$5+各项系数!$L$5)</f>
        <v>6.5689796112820327</v>
      </c>
      <c r="BU20" s="197">
        <f t="shared" si="134"/>
        <v>6.3776501080408083</v>
      </c>
      <c r="BV20" s="196">
        <f>BW20+各项系数!$M$9*$NT20</f>
        <v>6.7641075450584927</v>
      </c>
      <c r="BW20" s="196">
        <f>BX20*(1+$CF20+(VLOOKUP($AM20,$A$12:$B$214,2,0))+各项系数!$J$6+各项系数!$M$5)*(1+$E$2)</f>
        <v>6.7201344305224371</v>
      </c>
      <c r="BX20" s="197">
        <f>BY20+各项系数!$L$9*$NT$12</f>
        <v>6.8572800311453443</v>
      </c>
      <c r="BY20" s="197">
        <f>BZ20*(1+$CG20+各项系数!$J$5+各项系数!$L$5)</f>
        <v>6.8490166279903706</v>
      </c>
      <c r="BZ20" s="199">
        <f t="shared" si="11"/>
        <v>6.6495307067867673</v>
      </c>
      <c r="CA20" s="196">
        <f>CB20+各项系数!$M$9*$NT20</f>
        <v>7.0223488328164159</v>
      </c>
      <c r="CB20" s="196">
        <f>CC20*(1+$CF20+(VLOOKUP($AM20,$A$12:$B$214,2,0))+各项系数!$J$6+各项系数!$M$5)*(1+$E$2)</f>
        <v>6.9783757182803603</v>
      </c>
      <c r="CC20" s="197">
        <f>CD20+各项系数!$L$9*$NT$12</f>
        <v>7.1207915492656735</v>
      </c>
      <c r="CD20" s="197">
        <f>CE20*(1+$CG20+各项系数!$J$5+各项系数!$L$5)</f>
        <v>7.1125281461106997</v>
      </c>
      <c r="CE20" s="199">
        <f t="shared" si="135"/>
        <v>6.9053671321463099</v>
      </c>
      <c r="CF20" s="213">
        <f t="shared" si="136"/>
        <v>0</v>
      </c>
      <c r="CG20" s="213">
        <f t="shared" si="12"/>
        <v>0.01</v>
      </c>
      <c r="CH20" s="102"/>
      <c r="CI20" s="196">
        <f>CJ20+各项系数!$M$9*$NO20</f>
        <v>6.3716109639906007</v>
      </c>
      <c r="CJ20" s="196">
        <f>CK20*(1+$DC20+(VLOOKUP($AM20,$A$12:$B$323,2,0))+各项系数!$J$6+各项系数!$M$5)*(1+$E$2)+各项系数!$M$9*$NK20</f>
        <v>6.3272244945372922</v>
      </c>
      <c r="CK20" s="197">
        <f>CL20+各项系数!$L$9*$NO20</f>
        <v>6.4137959983649786</v>
      </c>
      <c r="CL20" s="197">
        <f>CM20*(1+$DD20+各项系数!$J$5+各项系数!$L$5)</f>
        <v>6.3694095289116701</v>
      </c>
      <c r="CM20" s="197">
        <f t="shared" si="13"/>
        <v>6.2445191459918332</v>
      </c>
      <c r="CN20" s="196">
        <f>CO20+各项系数!$M$9*$NO20</f>
        <v>6.633845745321552</v>
      </c>
      <c r="CO20" s="196">
        <f>CP20*(1+$DC20+(VLOOKUP($AM20,$A$12:$B$323,2,0))+各项系数!$J$6+各项系数!$M$5)*(1+$E$2)+各项系数!$M$9*$NK20</f>
        <v>6.5894592758682435</v>
      </c>
      <c r="CP20" s="197">
        <f>CQ20+各项系数!$L$9*$NO20</f>
        <v>6.6813825099271735</v>
      </c>
      <c r="CQ20" s="197">
        <f>CR20*(1+$DD20+各项系数!$J$5+各项系数!$L$5)</f>
        <v>6.636996040473865</v>
      </c>
      <c r="CR20" s="197">
        <f t="shared" si="14"/>
        <v>6.5068588632096711</v>
      </c>
      <c r="CS20" s="196">
        <f>CT20+各项系数!$M$9*$NU20</f>
        <v>6.9005778829672684</v>
      </c>
      <c r="CT20" s="196">
        <f t="shared" si="15"/>
        <v>6.8537215711270179</v>
      </c>
      <c r="CU20" s="197">
        <f>CV20+各项系数!$L$9*$NU20</f>
        <v>6.9935934399255286</v>
      </c>
      <c r="CV20" s="197">
        <f>CW20*(1+$DD20+各项系数!$J$5+各项系数!$L$5)</f>
        <v>6.9467371280852781</v>
      </c>
      <c r="CW20" s="199">
        <f t="shared" si="16"/>
        <v>6.8105265961620374</v>
      </c>
      <c r="CX20" s="196">
        <f>CY20+各项系数!$M$9*$NU20</f>
        <v>7.2215357921636452</v>
      </c>
      <c r="CY20" s="196">
        <f t="shared" si="17"/>
        <v>7.1746794803233946</v>
      </c>
      <c r="CZ20" s="197">
        <f>DA20+各项系数!$L$9*$NU20</f>
        <v>7.321101510534076</v>
      </c>
      <c r="DA20" s="197">
        <f>DB20*(1+$DD20+各项系数!$J$5+各项系数!$L$5)</f>
        <v>7.2742451986938255</v>
      </c>
      <c r="DB20" s="199">
        <f t="shared" si="18"/>
        <v>7.1316129398959074</v>
      </c>
      <c r="DC20" s="213">
        <f t="shared" si="137"/>
        <v>0</v>
      </c>
      <c r="DD20" s="213">
        <f t="shared" si="19"/>
        <v>0</v>
      </c>
      <c r="DE20" s="53"/>
      <c r="DF20" s="53"/>
      <c r="DG20" s="196">
        <f>DH20+各项系数!$M$9*$NQ20</f>
        <v>6.4796510685286028</v>
      </c>
      <c r="DH20" s="196">
        <f>DI20*(1+$EA20+(VLOOKUP($AM20,$A$12:$B$323,2,0))+各项系数!$J$6+各项系数!$M$5)*(1+$E$2)+各项系数!$M$9*$NK20</f>
        <v>6.4352645990752944</v>
      </c>
      <c r="DI20" s="197">
        <f>DJ20+各项系数!$L$9*$NQ20</f>
        <v>6.5240410029955926</v>
      </c>
      <c r="DJ20" s="197">
        <f>DK20*(1+$EB20+各项系数!$J$5+各项系数!$L$5)</f>
        <v>6.4796545335422842</v>
      </c>
      <c r="DK20" s="197">
        <f t="shared" si="20"/>
        <v>6.2909267315944506</v>
      </c>
      <c r="DL20" s="196">
        <f>DM20+各项系数!$M$9*$NQ20</f>
        <v>6.7498793456536008</v>
      </c>
      <c r="DM20" s="196">
        <f>DN20*(1+$EA20+(VLOOKUP($AM20,$A$12:$B$323,2,0))+各项系数!$J$6+各项系数!$M$5)*(1+$E$2)+各项系数!$M$9*$NK20</f>
        <v>6.7054928762002923</v>
      </c>
      <c r="DN20" s="197">
        <f>DO20+各项系数!$L$9*$NQ20</f>
        <v>6.7997841429190604</v>
      </c>
      <c r="DO20" s="197">
        <f>DP20*(1+$EB20+各项系数!$J$5+各项系数!$L$5)</f>
        <v>6.7553976734657519</v>
      </c>
      <c r="DP20" s="197">
        <f t="shared" si="21"/>
        <v>6.5586385179279141</v>
      </c>
      <c r="DQ20" s="196">
        <f>DR20+各项系数!$M$9*$NV20</f>
        <v>7.015203827166089</v>
      </c>
      <c r="DR20" s="196">
        <f t="shared" si="22"/>
        <v>6.9683475153258385</v>
      </c>
      <c r="DS20" s="197">
        <f>DT20+各项系数!$L$9*$NV20</f>
        <v>7.1105586891079984</v>
      </c>
      <c r="DT20" s="197">
        <f>DU20*(1+$EB20+各项系数!$J$5+各项系数!$L$5)</f>
        <v>7.0637023772677479</v>
      </c>
      <c r="DU20" s="199">
        <f t="shared" si="23"/>
        <v>6.8579634730754835</v>
      </c>
      <c r="DV20" s="196">
        <f>DW20+各项系数!$M$9*$NV20</f>
        <v>7.1646953950531618</v>
      </c>
      <c r="DW20" s="196">
        <f t="shared" si="24"/>
        <v>7.1178390832129113</v>
      </c>
      <c r="DX20" s="197">
        <f>DY20+各项系数!$L$9*$NV20</f>
        <v>7.2631011053192971</v>
      </c>
      <c r="DY20" s="197">
        <f>DZ20*(1+$EB20+各项系数!$J$5+各项系数!$L$5)</f>
        <v>7.2162447934790466</v>
      </c>
      <c r="DZ20" s="199">
        <f t="shared" si="25"/>
        <v>7.0060629062903361</v>
      </c>
      <c r="EA20" s="213">
        <f t="shared" si="26"/>
        <v>0</v>
      </c>
      <c r="EB20" s="213">
        <f t="shared" si="27"/>
        <v>0.01</v>
      </c>
      <c r="EC20" s="235">
        <f t="shared" si="138"/>
        <v>1</v>
      </c>
      <c r="ED20" s="235" t="str">
        <f t="shared" ref="ED20:ED45" si="180">IF(COUNTIF($D20,"*+*")&gt;0,MID($D20,1,FIND("+",$D20)-1),MID($D20,1,LEN($D20)))</f>
        <v>1*10</v>
      </c>
      <c r="EE20" s="189">
        <f t="shared" si="28"/>
        <v>10</v>
      </c>
      <c r="EF20" s="189" t="str">
        <f>LOOKUP(EH20,{1,7,10,14,19,24,30,37,48,61},{1,"1+6","2+8","4+10","1+6+12","2+8+14","4+10+16","1+6+12+18","3+9+15+21","1+6+12+18+24"})</f>
        <v>1+6</v>
      </c>
      <c r="EG20" s="188">
        <f t="shared" si="29"/>
        <v>1</v>
      </c>
      <c r="EH20" s="197">
        <f>IF(AM20&lt;10,1,IF(AND(AM20&gt;=10,AM20&lt;=35),7,LOOKUP(AM20,{50,70,95,120,150,185,240,300,400,500,630},{10,14,19,24,30,37,48,61,61,61,61})*1))</f>
        <v>7</v>
      </c>
      <c r="EI20" s="188">
        <f>IF(EH20=0,0,VLOOKUP(EH20,各项系数!$D$142:$E$195,2,0))*1</f>
        <v>3</v>
      </c>
      <c r="EJ20" s="238">
        <f t="shared" si="141"/>
        <v>131.13029499843299</v>
      </c>
      <c r="EK20" s="189">
        <f t="shared" ref="EK20:EK29" si="181">IF(COUNTIF($D20,"*+*")&gt;0,MID($D20,FIND("+",$D20)+1,LEN($D20)),0)</f>
        <v>0</v>
      </c>
      <c r="EL20" s="189">
        <f t="shared" si="31"/>
        <v>0</v>
      </c>
      <c r="EM20" s="189">
        <f t="shared" ref="EM20:EM45" si="182">EL20/1</f>
        <v>0</v>
      </c>
      <c r="EN20" s="189">
        <f>IF(EP20=0,0,LOOKUP(EP20,{1,7,10,14,19,24,30,37,48,61},{1,"1+6","2+8","4+10","1+6+12","2+8+14","4+10+16","1+6+12+18","3+9+15+21","1+6+12+18+24"}))</f>
        <v>0</v>
      </c>
      <c r="EO20" s="189">
        <f t="shared" ref="EO20:EO29" si="183">IF(EK20=0,0,MID(EK20,1,1))</f>
        <v>0</v>
      </c>
      <c r="EP20" s="189">
        <f>IF(EM20=0,0,IF(EM20&lt;10,1,IF(AND(EM20&gt;=10,EM20&lt;=35),7,LOOKUP(EM20,{50,70,95,120,150,185,240,300},{10,14,19,24,30,37,48,61})*1)))</f>
        <v>0</v>
      </c>
      <c r="EQ20" s="189">
        <f>IF(EP20=0,0,VLOOKUP(EP20,各项系数!$D$142:$E$195,2,0))*1</f>
        <v>0</v>
      </c>
      <c r="ER20" s="189">
        <f t="shared" ref="ER20:ER29" si="184">$I20-$J20</f>
        <v>0</v>
      </c>
      <c r="ES20" s="235">
        <f t="shared" ref="ES20:ES35" si="185">EO20+EG20</f>
        <v>1</v>
      </c>
      <c r="ET20" s="189">
        <f>VLOOKUP(ES20,各项系数!$D$142:$E$195,2,0)*1</f>
        <v>1</v>
      </c>
      <c r="EU20" s="243">
        <f>((各项系数!$F$76/4*$EJ20^2*$EG20*$EH20*1*10^-7)*(1-$H20)*AA20)*(VLOOKUP($EY$9,各项系数!$D$4:$F$143,3,0))*各项系数!$J$4</f>
        <v>8.4541508952717073E-2</v>
      </c>
      <c r="EV20" s="244">
        <f>EU20*(VLOOKUP($EY$9,各项系数!$D$4:$F$143,2,0))</f>
        <v>5.5374688364029687</v>
      </c>
      <c r="EW20" s="252">
        <f>(IF($EO20=0,0,(各项系数!$F$76/4*$ER20^2*$EO20*$EP20*1*10^-7))*(1-$K20)*$AF20)*(VLOOKUP($EY$9,各项系数!$D$4:$F$143,3,0))*各项系数!$J$4</f>
        <v>0</v>
      </c>
      <c r="EX20" s="253">
        <f>EW20*(VLOOKUP($EY$9,各项系数!$D$4:$F$143,2,0))</f>
        <v>0</v>
      </c>
      <c r="EY20" s="189">
        <f>((各项系数!$F$76/4*$EJ20^2*$EG20*$EH20*1*10^-7)*(1-$H20)*AA20+IF($EO20=0,0,(各项系数!$F$76/4*$ER20^2*$EO20*$EP20*1*10^-7))*(1-$K20)*$AF20)*(VLOOKUP($EY$9,各项系数!$D$4:$F$143,3,0))*各项系数!$J$4</f>
        <v>8.4541508952717073E-2</v>
      </c>
      <c r="EZ20" s="102">
        <v>1</v>
      </c>
      <c r="FA20" s="189">
        <f t="shared" si="36"/>
        <v>8.4541508952717073E-2</v>
      </c>
      <c r="FB20" s="254">
        <f>FA20*(VLOOKUP($EY$9,各项系数!$D$4:$F$143,2,0))</f>
        <v>5.5374688364029687</v>
      </c>
      <c r="FC20" s="255"/>
      <c r="FD20" s="235">
        <f>各项系数!$F$76/4*($MN20^2-MK20^2)*10^-2*(VLOOKUP(L20,各项系数!$D$1:$F$143,3,0))*10^-3*10^2*$EG20*各项系数!$J$4</f>
        <v>1.1153499842532671E-2</v>
      </c>
      <c r="FE20" s="262">
        <f>FD20*VLOOKUP(L20,各项系数!$D$1:$F$143,2,0)</f>
        <v>0.11376569839383324</v>
      </c>
      <c r="FF20" s="188">
        <f>各项系数!$F$76/4*($MO20^2-ML20^2)*10^-2*(VLOOKUP(L20,各项系数!$D$1:$F$143,3,0))*10^-3*10^2*$EO20*各项系数!$J$4</f>
        <v>0</v>
      </c>
      <c r="FG20" s="262">
        <f>FF20*VLOOKUP(L20,各项系数!$D$1:$F$143,2,0)</f>
        <v>0</v>
      </c>
      <c r="FH20" s="235">
        <f t="shared" si="142"/>
        <v>1.1153499842532671E-2</v>
      </c>
      <c r="FI20" s="102">
        <v>1</v>
      </c>
      <c r="FJ20" s="189">
        <f t="shared" si="37"/>
        <v>1.1153499842532671E-2</v>
      </c>
      <c r="FK20" s="262">
        <f>FJ20*VLOOKUP(L20,各项系数!$D$1:$F$143,2,0)</f>
        <v>0.11376569839383324</v>
      </c>
      <c r="FL20" s="235"/>
      <c r="FM20" s="102"/>
      <c r="FN20" s="189"/>
      <c r="FO20" s="262"/>
      <c r="FP20" s="282">
        <f t="shared" si="38"/>
        <v>1.1153499842532671E-2</v>
      </c>
      <c r="FQ20" s="282">
        <f t="shared" si="39"/>
        <v>0.11376569839383324</v>
      </c>
      <c r="FR20" s="283">
        <f>各项系数!$F$76/4*($MQ20^2-$MN20^2*$EG20-$MO20^2*$EO20)*10^-2</f>
        <v>0</v>
      </c>
      <c r="FS20" s="284">
        <f t="shared" si="143"/>
        <v>1</v>
      </c>
      <c r="FT20" s="285">
        <f t="shared" si="40"/>
        <v>0</v>
      </c>
      <c r="FU20" s="302">
        <f>$FT20*(VLOOKUP($FT$9,各项系数!$D$1:$F$143,3,0))*10^-3*10^2*各项系数!$J$55</f>
        <v>0</v>
      </c>
      <c r="FV20" s="303">
        <v>1</v>
      </c>
      <c r="FW20" s="304">
        <f t="shared" si="41"/>
        <v>0</v>
      </c>
      <c r="FX20" s="285">
        <f>FW20*(VLOOKUP($FT$9,各项系数!$D$1:$F$143,2,0))</f>
        <v>0</v>
      </c>
      <c r="FY20" s="302">
        <f>IF($BK20&lt;&gt;$FY$9,0,各项系数!$F$76/4*($MS20^2-$MQ20^2)*10^-2*(VLOOKUP($FY$9,各项系数!$D$1:$F$143,3,0))*10^-3*10^2)*各项系数!$J$4</f>
        <v>0</v>
      </c>
      <c r="FZ20" s="303">
        <v>1</v>
      </c>
      <c r="GA20" s="304">
        <f t="shared" si="42"/>
        <v>0</v>
      </c>
      <c r="GB20" s="285">
        <f>GA20*(VLOOKUP($FY$9,各项系数!$D$1:$F$143,2,0))</f>
        <v>0</v>
      </c>
      <c r="GC20" s="302">
        <f>IF($BK20&lt;&gt;$GC$9,0,各项系数!$F$76/4*($MS20^2-$MQ20^2)*10^-2*(VLOOKUP($GC$9,各项系数!$D$1:$F$143,3,0))*10^-3*10^2)*各项系数!$J$4</f>
        <v>0</v>
      </c>
      <c r="GD20" s="303">
        <v>1</v>
      </c>
      <c r="GE20" s="304">
        <f t="shared" si="43"/>
        <v>0</v>
      </c>
      <c r="GF20" s="285">
        <f>GE20*(VLOOKUP($GC$9,各项系数!$D$1:$F$143,2,0))</f>
        <v>0</v>
      </c>
      <c r="GG20" s="302">
        <f>IF($BK20&lt;&gt;$GG$9,0,各项系数!$F$76/4*($MS20^2-$MQ20^2)*10^-2*(VLOOKUP($GG$9,各项系数!$D$1:$F$143,3,0))*10^-3*10^2)*各项系数!$J$4</f>
        <v>0</v>
      </c>
      <c r="GH20" s="303">
        <v>1</v>
      </c>
      <c r="GI20" s="304">
        <f t="shared" si="44"/>
        <v>0</v>
      </c>
      <c r="GJ20" s="285">
        <f>GI20*(VLOOKUP($GG$9,各项系数!$D$1:$F$143,2,0))</f>
        <v>0</v>
      </c>
      <c r="GK20" s="302">
        <f>IF($BK20&lt;&gt;$GK$9,0,各项系数!$F$76/4*($MS20^2-$MQ20^2)*10^-2*(VLOOKUP($GK$9,各项系数!$D$1:$F$143,3,0))*10^-3*10^2)*各项系数!$J$4</f>
        <v>0</v>
      </c>
      <c r="GL20" s="303">
        <v>1</v>
      </c>
      <c r="GM20" s="304">
        <f t="shared" si="45"/>
        <v>0</v>
      </c>
      <c r="GN20" s="285">
        <f>GM20*(VLOOKUP($GK$9,各项系数!$D$1:$F$143,2,0))</f>
        <v>0</v>
      </c>
      <c r="GO20" s="304">
        <f t="shared" si="46"/>
        <v>0</v>
      </c>
      <c r="GP20" s="304">
        <f t="shared" si="47"/>
        <v>0</v>
      </c>
      <c r="GQ20" s="315">
        <f>各项系数!$F$76/4*($MU20^2-$MS20^2)*10^-2*(VLOOKUP($S20,各项系数!$D$1:$F$143,3,0))*10^-3*10^2*各项系数!$J$4</f>
        <v>2.7054636528695882E-2</v>
      </c>
      <c r="GR20" s="303">
        <v>1</v>
      </c>
      <c r="GS20" s="304">
        <f t="shared" si="48"/>
        <v>2.7054636528695882E-2</v>
      </c>
      <c r="GT20" s="304">
        <f t="shared" si="49"/>
        <v>1</v>
      </c>
      <c r="GU20" s="304">
        <f>ROUND($GS20*(VLOOKUP($S20,各项系数!$D$1:$F$143,2,0))+$E$3*GS20,GT20)</f>
        <v>0.3</v>
      </c>
      <c r="GV20" s="315">
        <f>各项系数!$F$76/4*($MT20^2-$MS20^2)*10^-2*(VLOOKUP($GV$9,各项系数!$D$1:$F$143,3,0))*10^-3*10^2*各项系数!$J$4*PI()/4*R20</f>
        <v>7.5623279881395751E-3</v>
      </c>
      <c r="GW20" s="303">
        <v>1</v>
      </c>
      <c r="GX20" s="304">
        <f t="shared" si="50"/>
        <v>7.5623279881395751E-3</v>
      </c>
      <c r="GY20" s="304">
        <f>$GX20*(VLOOKUP($GV$9,各项系数!$D$1:$F$143,2,0))</f>
        <v>0.51045713919942137</v>
      </c>
      <c r="GZ20" s="315">
        <f>各项系数!$F$76/4*($MV20^2-$MS20^2)*10^-2*(VLOOKUP($GZ$9,各项系数!$D$1:$F$143,3,0))*10^-3*10^2*各项系数!$J$4</f>
        <v>4.2730327837882706E-2</v>
      </c>
      <c r="HA20" s="303">
        <v>1</v>
      </c>
      <c r="HB20" s="304">
        <f t="shared" si="144"/>
        <v>4.2730327837882706E-2</v>
      </c>
      <c r="HC20" s="304">
        <f>HB20*(VLOOKUP($GZ$9,各项系数!$D$1:$F$143,2,0))</f>
        <v>0.72641557324400596</v>
      </c>
      <c r="HD20" s="315">
        <f>各项系数!$F$76/4*($MW20^2-$MT20^2)*10^-2*(VLOOKUP($HD$9,各项系数!$D$1:$F$143,3,0))*10^-3*10^2*各项系数!$J$4</f>
        <v>4.3745615185299229E-2</v>
      </c>
      <c r="HE20" s="303">
        <v>1</v>
      </c>
      <c r="HF20" s="304">
        <f t="shared" si="145"/>
        <v>4.3745615185299229E-2</v>
      </c>
      <c r="HG20" s="304">
        <f>HF20*(VLOOKUP($HD$9,各项系数!$D$1:$F$143,2,0))</f>
        <v>0.74367545815008684</v>
      </c>
      <c r="HH20" s="315">
        <f>各项系数!$F$76/4*($MV20^2-$MS20^2)*10^-2*(VLOOKUP($HH$9,各项系数!$D$1:$F$143,3,0))*10^-3*10^2*各项系数!$J$4</f>
        <v>4.2730327837882706E-2</v>
      </c>
      <c r="HI20" s="322">
        <v>1</v>
      </c>
      <c r="HJ20" s="304">
        <f t="shared" si="146"/>
        <v>4.2730327837882706E-2</v>
      </c>
      <c r="HK20" s="304">
        <f>HJ20*(VLOOKUP($HH$9,各项系数!$D$1:$F$143,2,0))</f>
        <v>0.72641557324400596</v>
      </c>
      <c r="HL20" s="315">
        <f>各项系数!$F$76/4*($MW20^2-$MT20^2)*10^-2*(VLOOKUP($HL$9,各项系数!$D$1:$F$143,3,0))*10^-3*10^2*各项系数!$J$4</f>
        <v>4.3745615185299229E-2</v>
      </c>
      <c r="HM20" s="322">
        <v>1</v>
      </c>
      <c r="HN20" s="304">
        <f t="shared" si="147"/>
        <v>4.3745615185299229E-2</v>
      </c>
      <c r="HO20" s="304">
        <f>HN20*(VLOOKUP($HL$9,各项系数!$D$1:$F$143,2,0))</f>
        <v>0.74367545815008684</v>
      </c>
      <c r="HP20" s="315">
        <f>各项系数!$F$76/4*($MV20^2-$MS20^2)*10^-2*(VLOOKUP(AN20,各项系数!$D$1:$F$143,3,0))*10^-3*10^2*各项系数!$J$4</f>
        <v>4.3319711670129359E-2</v>
      </c>
      <c r="HQ20" s="303">
        <v>1</v>
      </c>
      <c r="HR20" s="304">
        <f t="shared" si="172"/>
        <v>4.3319711670129359E-2</v>
      </c>
      <c r="HS20" s="304">
        <f>HR20*(VLOOKUP(AN20,各项系数!$D$1:$F$143,2,0))</f>
        <v>0.43319711670129357</v>
      </c>
      <c r="HT20" s="315">
        <f>各项系数!$F$76/4*($MW20^2-$MT20^2)*10^-2*(VLOOKUP(AN20,各项系数!$D$1:$F$143,3,0))*10^-3*10^2*各项系数!$J$4</f>
        <v>4.4349002980958528E-2</v>
      </c>
      <c r="HU20" s="303">
        <v>1</v>
      </c>
      <c r="HV20" s="304">
        <f t="shared" si="173"/>
        <v>4.4349002980958528E-2</v>
      </c>
      <c r="HW20" s="304">
        <f>HV20*(VLOOKUP(AN20,各项系数!$D$1:$F$143,2,0))</f>
        <v>0.4434900298095853</v>
      </c>
      <c r="HX20" s="315">
        <f>各项系数!$F$76/4*($MV20^2-$MS20^2)*10^-2*(VLOOKUP($HX$9,各项系数!$D$1:$F$143,3,0))*10^-3*10^2*各项系数!$J$4</f>
        <v>4.3319711670129359E-2</v>
      </c>
      <c r="HY20" s="322">
        <v>1</v>
      </c>
      <c r="HZ20" s="304">
        <f t="shared" si="174"/>
        <v>4.3319711670129359E-2</v>
      </c>
      <c r="IA20" s="304">
        <f>HZ20*(VLOOKUP($HX$9,各项系数!$D$1:$F$143,2,0))</f>
        <v>0.47651682837142295</v>
      </c>
      <c r="IB20" s="315">
        <f>各项系数!$F$76/4*($MW20^2-$MT20^2)*10^-2*(VLOOKUP($IB$9,各项系数!$D$1:$F$143,3,0))*10^-3*10^2*各项系数!$J$4</f>
        <v>4.4349002980958528E-2</v>
      </c>
      <c r="IC20" s="322">
        <v>1</v>
      </c>
      <c r="ID20" s="304">
        <f t="shared" si="58"/>
        <v>4.4349002980958528E-2</v>
      </c>
      <c r="IE20" s="304">
        <f>ID20*(VLOOKUP($IB$9,各项系数!$D$1:$F$143,2,0))</f>
        <v>0.4878390327905438</v>
      </c>
      <c r="IF20" s="328"/>
      <c r="IG20" s="315">
        <f t="shared" si="148"/>
        <v>4.6969767982849905E-3</v>
      </c>
      <c r="IH20" s="303">
        <v>1</v>
      </c>
      <c r="II20" s="304">
        <f t="shared" si="59"/>
        <v>4.6969767982849905E-3</v>
      </c>
      <c r="IJ20" s="304">
        <f>II20*(VLOOKUP($IG$8,各项系数!$D$1:$F$143,2,0))</f>
        <v>0.11742441995712476</v>
      </c>
      <c r="IK20" s="315">
        <f>(各项系数!$F$76/4*($MX20^2-$MK20^2)*$EG20)*10^-2*(VLOOKUP($IG$8,各项系数!$D$1:$F$143,3,0))*10^-3*10^2*各项系数!$J$4</f>
        <v>4.6969767982849905E-3</v>
      </c>
      <c r="IL20" s="303">
        <f>IK20*(VLOOKUP($IG$8,各项系数!$D$1:$F$143,2,0))</f>
        <v>0.11742441995712476</v>
      </c>
      <c r="IM20" s="304">
        <f>(各项系数!$F$76/4*(($MM20+3*$X20)^2-MM20^2)*$EO20)*10^-2*(VLOOKUP($IG$8,各项系数!$D$1:$F$143,3,0))*10^-3*10^2*各项系数!$J$4</f>
        <v>0</v>
      </c>
      <c r="IN20" s="303">
        <f>IM20*(VLOOKUP($IG$8,各项系数!$D$1:$F$143,2,0))</f>
        <v>0</v>
      </c>
      <c r="IO20" s="315">
        <f>各项系数!$F$76/4*($MZ20^2-$MX20^2)*10^-2*(VLOOKUP(L20,各项系数!$D$1:$F$143,3,0))*10^-3*10^2*$ES20*各项系数!$J$4</f>
        <v>1.2308826824075627E-2</v>
      </c>
      <c r="IP20" s="303">
        <v>1</v>
      </c>
      <c r="IQ20" s="304">
        <f t="shared" si="60"/>
        <v>1.2308826824075627E-2</v>
      </c>
      <c r="IR20" s="285">
        <f>IQ20*(VLOOKUP(L20,各项系数!$D$1:$F$143,2,0))</f>
        <v>0.12555003360557138</v>
      </c>
      <c r="IS20" s="315">
        <f>IF($L20&lt;&gt;$IS$9,0,各项系数!$F$76/4*($MZ20^2-$MX20^2)*10^-2*各项系数!$F$12*10^-3*10^2)*$ES20*各项系数!$J$4</f>
        <v>0</v>
      </c>
      <c r="IT20" s="303">
        <v>1</v>
      </c>
      <c r="IU20" s="304">
        <f t="shared" si="61"/>
        <v>0</v>
      </c>
      <c r="IV20" s="285">
        <f>IU20*各项系数!$E$12</f>
        <v>0</v>
      </c>
      <c r="IW20" s="302">
        <f t="shared" si="62"/>
        <v>1.2308826824075627E-2</v>
      </c>
      <c r="IX20" s="302">
        <f t="shared" si="63"/>
        <v>0.12555003360557138</v>
      </c>
      <c r="IY20" s="339">
        <f>各项系数!$F$76/4*($NB20^2-$MZ20^2*$EG20-$NA20^2*$EO20)*10^-2</f>
        <v>-5.5805895968138113E-17</v>
      </c>
      <c r="IZ20" s="284">
        <f t="shared" si="149"/>
        <v>1</v>
      </c>
      <c r="JA20" s="285">
        <f t="shared" si="64"/>
        <v>-5.5805895968138113E-17</v>
      </c>
      <c r="JB20" s="282">
        <f>IF($DE20&lt;&gt;$JB$9,0,$JA20*各项系数!$F$32*10^-3*10^2)*各项系数!$J$4</f>
        <v>0</v>
      </c>
      <c r="JC20" s="102">
        <v>1</v>
      </c>
      <c r="JD20" s="189">
        <f t="shared" si="65"/>
        <v>0</v>
      </c>
      <c r="JE20" s="262">
        <f>JD20*各项系数!$E$32</f>
        <v>0</v>
      </c>
      <c r="JF20" s="282">
        <f>IF($DE20&lt;&gt;$JF$9,0,$JA20*VLOOKUP($JF$9,各项系数!$D$4:$F$540,2,0)*10^-3*10^2)*各项系数!$J$4</f>
        <v>0</v>
      </c>
      <c r="JG20" s="102">
        <v>1</v>
      </c>
      <c r="JH20" s="189">
        <f t="shared" si="66"/>
        <v>0</v>
      </c>
      <c r="JI20" s="262">
        <f>JH20*VLOOKUP($JF$9,各项系数!$D$4:$F$540,3,0)</f>
        <v>0</v>
      </c>
      <c r="JJ20" s="282">
        <f t="shared" si="67"/>
        <v>0</v>
      </c>
      <c r="JK20" s="189">
        <f t="shared" si="68"/>
        <v>0</v>
      </c>
      <c r="JL20" s="282">
        <f>IF($DF20&lt;&gt;$JL$9,0,各项系数!$F$76/4*($NE20^2-$NC20^2)*10^-2*各项系数!$F$39*10^-3*10^2)*各项系数!$J$4</f>
        <v>0</v>
      </c>
      <c r="JM20" s="102">
        <v>1</v>
      </c>
      <c r="JN20" s="189">
        <f t="shared" si="69"/>
        <v>0</v>
      </c>
      <c r="JO20" s="262">
        <f>JN20*各项系数!$E$39</f>
        <v>0</v>
      </c>
      <c r="JP20" s="282">
        <f>IF($DF20&lt;&gt;$JP$9,0,各项系数!$F$76/4*($NE20^2-$NC20^2)*10^-2*各项系数!$F$36*10^-3*10^2)*各项系数!$J$4</f>
        <v>0</v>
      </c>
      <c r="JQ20" s="102">
        <v>1</v>
      </c>
      <c r="JR20" s="189">
        <f t="shared" si="70"/>
        <v>0</v>
      </c>
      <c r="JS20" s="262">
        <f>JR20*各项系数!$E$36</f>
        <v>0</v>
      </c>
      <c r="JT20" s="282">
        <f>IF($DF20&lt;&gt;$JT$9,0,各项系数!$F$76/4*($NE20^2-$NC20^2)*10^-2*各项系数!$F$40*10^-3*10^2)*各项系数!$J$4</f>
        <v>0</v>
      </c>
      <c r="JU20" s="102">
        <v>1</v>
      </c>
      <c r="JV20" s="189">
        <f t="shared" si="71"/>
        <v>0</v>
      </c>
      <c r="JW20" s="262">
        <f>JV20*各项系数!$E$40</f>
        <v>0</v>
      </c>
      <c r="JX20" s="282">
        <f>IF($DF20&lt;&gt;$JX$9,0,各项系数!$F$76/4*($NE20^2-$NC20^2)*10^-2*各项系数!$F$38*10^-3*10^2)*各项系数!$J$4</f>
        <v>0</v>
      </c>
      <c r="JY20" s="102">
        <v>1</v>
      </c>
      <c r="JZ20" s="189">
        <f t="shared" si="72"/>
        <v>0</v>
      </c>
      <c r="KA20" s="262">
        <f>JZ20*各项系数!$E$38</f>
        <v>0</v>
      </c>
      <c r="KB20" s="282">
        <f>IF($DF20&lt;&gt;$KB$9,0,各项系数!$F$76/4*($NE20^2-$NC20^2)*10^-2*各项系数!$F$41*10^-3*10^2)*各项系数!$J$4</f>
        <v>0</v>
      </c>
      <c r="KC20" s="102">
        <v>1</v>
      </c>
      <c r="KD20" s="189">
        <f t="shared" si="73"/>
        <v>0</v>
      </c>
      <c r="KE20" s="262">
        <f>KD20*各项系数!$E$41</f>
        <v>0</v>
      </c>
      <c r="KF20" s="189">
        <f t="shared" si="74"/>
        <v>0</v>
      </c>
      <c r="KG20" s="189">
        <f t="shared" si="75"/>
        <v>0</v>
      </c>
      <c r="KH20" s="235">
        <f>各项系数!$F$76/4*($NG20^2-$NE20^2)*10^-2*各项系数!$F$44*10^-3*10^2*各项系数!$J$4*0.75*$U20</f>
        <v>4.4101951025121378E-2</v>
      </c>
      <c r="KI20" s="102">
        <v>1</v>
      </c>
      <c r="KJ20" s="189">
        <f t="shared" si="76"/>
        <v>4.4101951025121378E-2</v>
      </c>
      <c r="KK20" s="189">
        <f>ROUND(KJ20*各项系数!$E$44,GT20)</f>
        <v>0.5</v>
      </c>
      <c r="KL20" s="235">
        <f>各项系数!$F$76/4*($NF20^2-$NE20^2)*10^-2*各项系数!$F$46*10^-3*10^2*各项系数!$J$4*PI()/4*R20</f>
        <v>8.2328079564727777E-3</v>
      </c>
      <c r="KM20" s="102">
        <v>1</v>
      </c>
      <c r="KN20" s="189">
        <f t="shared" si="77"/>
        <v>8.2328079564727777E-3</v>
      </c>
      <c r="KO20" s="189">
        <f>KN20*各项系数!$E$46</f>
        <v>0.55571453706191254</v>
      </c>
      <c r="KP20" s="235">
        <f>各项系数!$F$76/4*($NH20^2-$NE20^2)*10^-2*(VLOOKUP($KP$9,各项系数!$D$1:$F$143,3,0))*10^-3*10^2*各项系数!$J$4</f>
        <v>4.5776189880132281E-2</v>
      </c>
      <c r="KQ20" s="102">
        <v>1</v>
      </c>
      <c r="KR20" s="189">
        <f t="shared" si="150"/>
        <v>4.5776189880132281E-2</v>
      </c>
      <c r="KS20" s="189">
        <f>KR20*(VLOOKUP($KP$9,各项系数!$D$1:$F$143,2,0))</f>
        <v>0.77819522796224883</v>
      </c>
      <c r="KT20" s="235">
        <f>各项系数!$F$76/4*($NI20^2-$NF20^2)*10^-2*(VLOOKUP($KT$9,各项系数!$D$1:$F$143,3,0))*10^-3*10^2*各项系数!$J$4</f>
        <v>4.6791477227548818E-2</v>
      </c>
      <c r="KU20" s="102">
        <v>1</v>
      </c>
      <c r="KV20" s="189">
        <f t="shared" si="151"/>
        <v>4.6791477227548818E-2</v>
      </c>
      <c r="KW20" s="189">
        <f>KV20*(VLOOKUP($KT$9,各项系数!$D$1:$F$143,2,0))</f>
        <v>0.79545511286832993</v>
      </c>
      <c r="KX20" s="189">
        <f>各项系数!$F$76/4*($NH20^2-$NE20^2)*10^-2*(VLOOKUP($KX$9,各项系数!$D$1:$F$143,3,0))*10^-3*10^2*各项系数!$J$4</f>
        <v>4.5776189880132281E-2</v>
      </c>
      <c r="KY20" s="353">
        <v>1</v>
      </c>
      <c r="KZ20" s="189">
        <f t="shared" si="152"/>
        <v>4.5776189880132281E-2</v>
      </c>
      <c r="LA20" s="189">
        <f>KZ20*(VLOOKUP($KX$9,各项系数!$D$1:$F$143,2,0))</f>
        <v>0.77819522796224883</v>
      </c>
      <c r="LB20" s="189">
        <f>各项系数!$F$76/4*($NI20^2-$NF20^2)*10^-2*(VLOOKUP($LB$9,各项系数!$D$1:$F$143,3,0))*10^-3*10^2*各项系数!$J$4</f>
        <v>4.6791477227548818E-2</v>
      </c>
      <c r="LC20" s="353">
        <v>1</v>
      </c>
      <c r="LD20" s="189">
        <f t="shared" si="153"/>
        <v>4.6791477227548818E-2</v>
      </c>
      <c r="LE20" s="189">
        <f>LD20*(VLOOKUP($LB$9,各项系数!$D$1:$F$143,2,0))</f>
        <v>0.79545511286832993</v>
      </c>
      <c r="LF20" s="235">
        <f>各项系数!$F$76/4*($NH20^2-$NE20^2)*10^-2*(VLOOKUP(AN20,各项系数!$D$1:$F$143,3,0))*10^-3*10^2*各项系数!$J$4</f>
        <v>4.6407585602616867E-2</v>
      </c>
      <c r="LG20" s="102">
        <v>1</v>
      </c>
      <c r="LH20" s="189">
        <f t="shared" si="82"/>
        <v>4.6407585602616867E-2</v>
      </c>
      <c r="LI20" s="189">
        <f>LH20*(VLOOKUP(AN20,各项系数!$D$1:$F$143,2,0))</f>
        <v>0.46407585602616869</v>
      </c>
      <c r="LJ20" s="235">
        <f>各项系数!$F$76/4*($NI20^2-$NF20^2)*10^-2*(VLOOKUP(AN20,各项系数!$D$1:$F$143,3,0))*10^-3*10^2*各项系数!$J$4</f>
        <v>4.7436876913446044E-2</v>
      </c>
      <c r="LK20" s="102">
        <v>1</v>
      </c>
      <c r="LL20" s="189">
        <f t="shared" si="83"/>
        <v>4.7436876913446044E-2</v>
      </c>
      <c r="LM20" s="189">
        <f>LL20*(VLOOKUP(AN20,各项系数!$D$1:$F$143,2,0))</f>
        <v>0.47436876913446047</v>
      </c>
      <c r="LN20" s="189">
        <f>各项系数!$F$76/4*($NH20^2-$NE20^2)*10^-2*(VLOOKUP($LN$9,各项系数!$D$1:$F$143,3,0))*10^-3*10^2*各项系数!$J$4</f>
        <v>4.6407585602616867E-2</v>
      </c>
      <c r="LO20" s="353">
        <v>1</v>
      </c>
      <c r="LP20" s="189">
        <f t="shared" si="84"/>
        <v>4.6407585602616867E-2</v>
      </c>
      <c r="LQ20" s="189">
        <f>LP20*(VLOOKUP($LN$9,各项系数!$D$1:$F$143,2,0))</f>
        <v>0.51048344162878556</v>
      </c>
      <c r="LR20" s="189">
        <f>各项系数!$F$76/4*($NI20^2-$NF20^2)*10^-2*(VLOOKUP($LR$9,各项系数!$D$1:$F$143,3,0))*10^-3*10^2*各项系数!$J$4</f>
        <v>4.7436876913446044E-2</v>
      </c>
      <c r="LS20" s="353">
        <v>1</v>
      </c>
      <c r="LT20" s="189">
        <f t="shared" si="85"/>
        <v>4.7436876913446044E-2</v>
      </c>
      <c r="LU20" s="189">
        <f>LT20*(VLOOKUP($LR$9,各项系数!$D$1:$F$143,2,0))</f>
        <v>0.52180564604790647</v>
      </c>
      <c r="LV20" s="227">
        <f t="shared" si="154"/>
        <v>12.15453832</v>
      </c>
      <c r="LW20" s="227">
        <f t="shared" si="155"/>
        <v>9.4535298099999991</v>
      </c>
      <c r="LX20" s="227">
        <f t="shared" si="156"/>
        <v>3.4693814998389394</v>
      </c>
      <c r="LY20" s="227">
        <f t="shared" si="157"/>
        <v>2.7010085100000012</v>
      </c>
      <c r="LZ20" s="374">
        <f t="shared" si="86"/>
        <v>1</v>
      </c>
      <c r="MA20" s="375">
        <f t="shared" si="87"/>
        <v>12.15453832</v>
      </c>
      <c r="MB20" s="375">
        <f t="shared" si="158"/>
        <v>3.9339088499999999</v>
      </c>
      <c r="MC20" s="227">
        <f t="shared" si="159"/>
        <v>0</v>
      </c>
      <c r="MD20" s="227">
        <f t="shared" si="160"/>
        <v>0</v>
      </c>
      <c r="ME20" s="227">
        <f t="shared" si="161"/>
        <v>0</v>
      </c>
      <c r="MF20" s="227">
        <f t="shared" si="162"/>
        <v>0</v>
      </c>
      <c r="MG20" s="374">
        <f t="shared" si="163"/>
        <v>1</v>
      </c>
      <c r="MH20" s="375">
        <f t="shared" si="88"/>
        <v>0</v>
      </c>
      <c r="MI20" s="375">
        <f t="shared" si="164"/>
        <v>0</v>
      </c>
      <c r="MJ20" s="189">
        <f t="shared" si="89"/>
        <v>3.9339088499999999</v>
      </c>
      <c r="MK20" s="189">
        <f t="shared" si="165"/>
        <v>3.9339088499999999</v>
      </c>
      <c r="ML20" s="189">
        <f t="shared" si="90"/>
        <v>0</v>
      </c>
      <c r="MM20" s="189">
        <f t="shared" si="91"/>
        <v>0</v>
      </c>
      <c r="MN20" s="189">
        <f t="shared" si="92"/>
        <v>5.3339088500000003</v>
      </c>
      <c r="MO20" s="189">
        <f t="shared" si="166"/>
        <v>0</v>
      </c>
      <c r="MP20" s="189">
        <f t="shared" si="167"/>
        <v>5.3339088500000003</v>
      </c>
      <c r="MQ20" s="189">
        <f t="shared" si="93"/>
        <v>5.3339088500000003</v>
      </c>
      <c r="MR20" s="246">
        <f t="shared" si="168"/>
        <v>5.3339088500000003</v>
      </c>
      <c r="MS20" s="380">
        <f t="shared" si="94"/>
        <v>5.3339088500000003</v>
      </c>
      <c r="MT20" s="380">
        <f t="shared" si="95"/>
        <v>5.4939088500000004</v>
      </c>
      <c r="MU20" s="380">
        <f t="shared" si="96"/>
        <v>5.7339088500000006</v>
      </c>
      <c r="MV20" s="380">
        <f t="shared" si="97"/>
        <v>8.133908850000001</v>
      </c>
      <c r="MW20" s="380">
        <f t="shared" si="98"/>
        <v>8.2939088500000011</v>
      </c>
      <c r="MX20" s="254">
        <f t="shared" si="99"/>
        <v>4.4139088500000003</v>
      </c>
      <c r="MY20" s="254">
        <f t="shared" si="100"/>
        <v>0</v>
      </c>
      <c r="MZ20" s="189">
        <f t="shared" si="101"/>
        <v>5.8139088500000007</v>
      </c>
      <c r="NA20" s="189">
        <f t="shared" si="102"/>
        <v>0</v>
      </c>
      <c r="NB20" s="189">
        <f t="shared" si="169"/>
        <v>5.8139088499999998</v>
      </c>
      <c r="NC20" s="254">
        <f t="shared" si="103"/>
        <v>5.8139088499999998</v>
      </c>
      <c r="ND20" s="246">
        <f t="shared" si="104"/>
        <v>5.8139088499999998</v>
      </c>
      <c r="NE20" s="386">
        <f t="shared" si="105"/>
        <v>5.8139088499999998</v>
      </c>
      <c r="NF20" s="380">
        <f t="shared" si="106"/>
        <v>5.9739088499999999</v>
      </c>
      <c r="NG20" s="387">
        <f t="shared" si="107"/>
        <v>6.2139088500000002</v>
      </c>
      <c r="NH20" s="254">
        <f t="shared" si="108"/>
        <v>8.6139088499999996</v>
      </c>
      <c r="NI20" s="380">
        <f t="shared" si="109"/>
        <v>8.7739088499999998</v>
      </c>
      <c r="NK20" s="388">
        <f t="shared" si="110"/>
        <v>0.1390147204653791</v>
      </c>
      <c r="NL20" s="388">
        <f t="shared" si="111"/>
        <v>6.0844316514980958</v>
      </c>
      <c r="NM20" s="388">
        <f t="shared" si="112"/>
        <v>0.1390147204653791</v>
      </c>
      <c r="NN20" s="388">
        <f t="shared" si="113"/>
        <v>6.1277513631682252</v>
      </c>
      <c r="NO20" s="388">
        <f t="shared" si="114"/>
        <v>0.14795489817769455</v>
      </c>
      <c r="NP20" s="388">
        <f t="shared" si="115"/>
        <v>6.2445191459918332</v>
      </c>
      <c r="NQ20" s="388">
        <f t="shared" si="116"/>
        <v>0.14795489817769455</v>
      </c>
      <c r="NR20" s="388">
        <f t="shared" si="117"/>
        <v>6.2909267315944506</v>
      </c>
      <c r="NS20" s="388">
        <f t="shared" si="118"/>
        <v>0.14657704845351868</v>
      </c>
      <c r="NT20" s="388">
        <f t="shared" si="119"/>
        <v>0.14657704845351868</v>
      </c>
      <c r="NU20" s="388">
        <f t="shared" si="120"/>
        <v>0.15618770613416733</v>
      </c>
      <c r="NV20" s="388">
        <f t="shared" si="121"/>
        <v>0.15618770613416733</v>
      </c>
      <c r="NW20">
        <f t="shared" si="122"/>
        <v>0.16606935699407499</v>
      </c>
      <c r="NX20">
        <f>各项系数!$M$9*NK20</f>
        <v>4.1704416139613731E-2</v>
      </c>
      <c r="NY20">
        <f t="shared" si="123"/>
        <v>0.14657704845351868</v>
      </c>
      <c r="OB20" s="66" t="str">
        <f t="shared" si="124"/>
        <v>1*10</v>
      </c>
      <c r="OC20" s="395">
        <f t="shared" si="125"/>
        <v>131.13029499843299</v>
      </c>
      <c r="OD20" s="395">
        <f>SQRT(4*EY20/PI()/EH20/各项系数!$J$4/各项系数!$F$5*10000000)</f>
        <v>131.8495391091914</v>
      </c>
      <c r="OE20" s="396">
        <f t="shared" si="126"/>
        <v>9.4535298061032886</v>
      </c>
      <c r="OF20" s="396">
        <f t="shared" si="127"/>
        <v>9.5575186339704228</v>
      </c>
      <c r="OG20" s="66">
        <v>9.7100000000000009</v>
      </c>
      <c r="OH20" s="397">
        <f t="shared" ref="OH20:OH35" si="186">OF20-OG20</f>
        <v>-0.15248136602957807</v>
      </c>
    </row>
    <row r="21" spans="1:398" ht="15" hidden="1" customHeight="1">
      <c r="A21" s="50">
        <v>16</v>
      </c>
      <c r="B21" s="51"/>
      <c r="C21" s="52">
        <v>0.7</v>
      </c>
      <c r="D21" s="53" t="s">
        <v>139</v>
      </c>
      <c r="E21" s="61">
        <f t="shared" si="175"/>
        <v>9.1625045400000005</v>
      </c>
      <c r="F21" s="59">
        <v>165.41681820668899</v>
      </c>
      <c r="G21" s="58"/>
      <c r="H21" s="16"/>
      <c r="I21" s="62"/>
      <c r="J21" s="16"/>
      <c r="K21" s="16"/>
      <c r="L21" s="97" t="s">
        <v>467</v>
      </c>
      <c r="M21" s="98">
        <f t="shared" si="2"/>
        <v>0.7</v>
      </c>
      <c r="N21" s="98">
        <f t="shared" si="3"/>
        <v>0</v>
      </c>
      <c r="O21" s="102"/>
      <c r="P21" s="99">
        <v>0.1</v>
      </c>
      <c r="Q21" s="133">
        <f t="shared" si="170"/>
        <v>0.1</v>
      </c>
      <c r="R21" s="140">
        <v>0.8</v>
      </c>
      <c r="S21" s="142" t="str">
        <f>各项系数!$D$44</f>
        <v>磁性钢带</v>
      </c>
      <c r="T21" s="102">
        <v>0.2</v>
      </c>
      <c r="U21" s="102">
        <v>2</v>
      </c>
      <c r="V21" s="140"/>
      <c r="W21" s="141">
        <v>1.4</v>
      </c>
      <c r="X21" s="135">
        <f t="shared" si="171"/>
        <v>0.2</v>
      </c>
      <c r="Y21" s="135">
        <v>2</v>
      </c>
      <c r="Z21" s="168">
        <v>0.2</v>
      </c>
      <c r="AA21" s="153">
        <v>1.0109999999999999</v>
      </c>
      <c r="AB21" s="153">
        <f>PI()*EJ21*EJ21/4*EH21*(1-H21)*AA21*各项系数!$F$5*各项系数!$J$4*10^-7</f>
        <v>0.13453127076823812</v>
      </c>
      <c r="AC21" s="153">
        <f t="shared" si="176"/>
        <v>165.41681820668899</v>
      </c>
      <c r="AD21" s="153">
        <f t="shared" si="5"/>
        <v>15.208920956666134</v>
      </c>
      <c r="AE21" s="153">
        <f>POWER(4*EU21/PI()/EG21/10^-7/EH21/(1-H21)/各项系数!$F$5/各项系数!$J$4,0.5)</f>
        <v>166.32412244418023</v>
      </c>
      <c r="AF21" s="69">
        <v>1</v>
      </c>
      <c r="AG21" s="69">
        <f>IF(EM21=0,0,PI()*ER21*ER21/4*EP21*(1-K21)*(1+AF21)*各项系数!$F$5*各项系数!$J$4*10^-7)</f>
        <v>0</v>
      </c>
      <c r="AH21" s="69">
        <f t="shared" si="177"/>
        <v>0</v>
      </c>
      <c r="AI21" s="69">
        <f t="shared" si="128"/>
        <v>0</v>
      </c>
      <c r="AJ21" s="69">
        <f>IF(OR(EP21="",EP21=0),0,POWER(4*EW21/PI()/EO21/10^-7/EP21/(1-K21)/各项系数!$F$5/各项系数!$J$4,0.5))</f>
        <v>0</v>
      </c>
      <c r="AK21" s="69" t="str">
        <f t="shared" si="8"/>
        <v>√</v>
      </c>
      <c r="AL21" s="69">
        <f t="shared" si="178"/>
        <v>9.7553552613548096</v>
      </c>
      <c r="AM21" s="188">
        <f t="shared" si="179"/>
        <v>16</v>
      </c>
      <c r="AN21" s="97" t="s">
        <v>486</v>
      </c>
      <c r="AO21" s="196">
        <f>AP21+各项系数!$M$9*$NK21</f>
        <v>9.5640737856419697</v>
      </c>
      <c r="AP21" s="196">
        <f>AQ21*(1+$BI21+(VLOOKUP($AM21,$A$12:$B$323,2,0))+各项系数!$J$6+各项系数!$M$5)*(1+$E$2)</f>
        <v>9.5046446046002142</v>
      </c>
      <c r="AQ21" s="197">
        <f>AR21+各项系数!$L$9*$NK21</f>
        <v>9.6986169434696059</v>
      </c>
      <c r="AR21" s="197">
        <f>AS21*(1+$BJ21+各项系数!$J$5+各项系数!$L$5)</f>
        <v>9.6391877624278504</v>
      </c>
      <c r="AS21" s="197">
        <f t="shared" si="129"/>
        <v>9.4501840808116171</v>
      </c>
      <c r="AT21" s="196">
        <f>AU21+各项系数!$M$9*$NM21</f>
        <v>9.9019457715813903</v>
      </c>
      <c r="AU21" s="196">
        <f>AV21*(1+$BI21+(VLOOKUP($AM21,$A$12:$B$323,2,0))+各项系数!$J$6+各项系数!$M$5)*(1+$E$2)</f>
        <v>9.8425165905396348</v>
      </c>
      <c r="AV21" s="197">
        <f>AW21+各项系数!$L$9*$NM21</f>
        <v>10.043384276060852</v>
      </c>
      <c r="AW21" s="197">
        <f>AX21*(1+$BJ21+各项系数!$J$5+各项系数!$L$5)</f>
        <v>9.9839550950190965</v>
      </c>
      <c r="AX21" s="197">
        <f t="shared" si="130"/>
        <v>9.7881912696265658</v>
      </c>
      <c r="AY21" s="196">
        <f>AZ21+各项系数!$M$9*$NS21</f>
        <v>10.186904638926183</v>
      </c>
      <c r="AZ21" s="196">
        <f>BA21*(1+$BI21+(VLOOKUP($AM21,$A$12:$B$214,2,0))+各项系数!$J$6+各项系数!$M$5)*(1+$E$2)</f>
        <v>10.124775726484449</v>
      </c>
      <c r="BA21" s="197">
        <f>BB21+各项系数!$L$9*$NS21</f>
        <v>10.331403802535153</v>
      </c>
      <c r="BB21" s="197">
        <f>BC21*(1+$BJ21+各项系数!$J$5+各项系数!$L$5)</f>
        <v>10.269274890093419</v>
      </c>
      <c r="BC21" s="199">
        <f t="shared" si="131"/>
        <v>10.067916558915115</v>
      </c>
      <c r="BD21" s="196">
        <f>BE21+各项系数!$M$9*$NS21</f>
        <v>10.531740809874673</v>
      </c>
      <c r="BE21" s="196">
        <f>BF21*(1+$BI21+(VLOOKUP($AM21,$A$12:$B$214,2,0))+各项系数!$J$6+各项系数!$M$5)*(1+$E$2)</f>
        <v>10.469611897432939</v>
      </c>
      <c r="BF21" s="197">
        <f>BG21+各项系数!$L$9*$NS21</f>
        <v>10.683277446360142</v>
      </c>
      <c r="BG21" s="197">
        <f>BH21*(1+$BJ21+各项系数!$J$5+各项系数!$L$5)</f>
        <v>10.621148533918408</v>
      </c>
      <c r="BH21" s="199">
        <f t="shared" si="132"/>
        <v>10.412890719527852</v>
      </c>
      <c r="BI21" s="51"/>
      <c r="BJ21" s="208"/>
      <c r="BK21" s="102"/>
      <c r="BL21" s="196">
        <f>BM21+各项系数!$M$9*$NM21</f>
        <v>9.7070917354523178</v>
      </c>
      <c r="BM21" s="196">
        <f>BN21*(1+$CF21+(VLOOKUP($AM21,$A$12:$B$323,2,0))+各项系数!$J$6+各项系数!$M$5)*(1+$E$2)</f>
        <v>9.6476625544105623</v>
      </c>
      <c r="BN21" s="197">
        <f>BO21+各项系数!$L$9*$NM21</f>
        <v>9.844553626949553</v>
      </c>
      <c r="BO21" s="197">
        <f>BP21*(1+$CG21+各项系数!$J$5+各项系数!$L$5)</f>
        <v>9.7851244459077975</v>
      </c>
      <c r="BP21" s="197">
        <f t="shared" si="133"/>
        <v>9.5001208212697055</v>
      </c>
      <c r="BQ21" s="196">
        <f>BR21+各项系数!$M$9*$NM21</f>
        <v>9.9978700460237313</v>
      </c>
      <c r="BR21" s="196">
        <f>BS21*(1+$CF21+(VLOOKUP($AM21,$A$12:$B$323,2,0))+各项系数!$J$6+各项系数!$M$5)*(1+$E$2)</f>
        <v>9.9384408649819758</v>
      </c>
      <c r="BS21" s="197">
        <f>BT21+各项系数!$L$9*$NM21</f>
        <v>10.141266188757118</v>
      </c>
      <c r="BT21" s="197">
        <f>BU21*(1+$CG21+各项系数!$J$5+各项系数!$L$5)</f>
        <v>10.081837007715363</v>
      </c>
      <c r="BU21" s="197">
        <f t="shared" si="134"/>
        <v>9.7881912696265658</v>
      </c>
      <c r="BV21" s="196">
        <f>BW21+各项系数!$M$9*$NT21</f>
        <v>10.28422713457007</v>
      </c>
      <c r="BW21" s="196">
        <f>BX21*(1+$CF21+(VLOOKUP($AM21,$A$12:$B$214,2,0))+各项系数!$J$6+各项系数!$M$5)*(1+$E$2)</f>
        <v>10.222098222128336</v>
      </c>
      <c r="BX21" s="197">
        <f>BY21+各项系数!$L$9*$NT$12</f>
        <v>10.430712471559527</v>
      </c>
      <c r="BY21" s="197">
        <f>BZ21*(1+$CG21+各项系数!$J$5+各项系数!$L$5)</f>
        <v>10.422449068404553</v>
      </c>
      <c r="BZ21" s="199">
        <f t="shared" si="11"/>
        <v>10.118882590684033</v>
      </c>
      <c r="CA21" s="196">
        <f>CB21+各项系数!$M$9*$NT21</f>
        <v>10.580998939825022</v>
      </c>
      <c r="CB21" s="196">
        <f>CC21*(1+$CF21+(VLOOKUP($AM21,$A$12:$B$214,2,0))+各项系数!$J$6+各项系数!$M$5)*(1+$E$2)</f>
        <v>10.518870027383288</v>
      </c>
      <c r="CC21" s="197">
        <f>CD21+各项系数!$L$9*$NT$12</f>
        <v>10.733540844268662</v>
      </c>
      <c r="CD21" s="197">
        <f>CE21*(1+$CG21+各项系数!$J$5+各项系数!$L$5)</f>
        <v>10.725277441113688</v>
      </c>
      <c r="CE21" s="199">
        <f t="shared" si="135"/>
        <v>10.412890719527852</v>
      </c>
      <c r="CF21" s="213">
        <f t="shared" si="136"/>
        <v>0</v>
      </c>
      <c r="CG21" s="213">
        <f t="shared" si="12"/>
        <v>0.01</v>
      </c>
      <c r="CH21" s="102"/>
      <c r="CI21" s="196">
        <f>CJ21+各项系数!$M$9*$NO21</f>
        <v>9.8184503141042416</v>
      </c>
      <c r="CJ21" s="196">
        <f>CK21*(1+$DC21+(VLOOKUP($AM21,$A$12:$B$323,2,0))+各项系数!$J$6+各项系数!$M$5)*(1+$E$2)+各项系数!$M$9*$NK21</f>
        <v>9.7559918304246427</v>
      </c>
      <c r="CK21" s="197">
        <f>CL21+各项系数!$L$9*$NO21</f>
        <v>9.8944516830437621</v>
      </c>
      <c r="CL21" s="197">
        <f>CM21*(1+$DD21+各项系数!$J$5+各项系数!$L$5)</f>
        <v>9.8319931993641632</v>
      </c>
      <c r="CM21" s="197">
        <f t="shared" si="13"/>
        <v>9.6392090189844737</v>
      </c>
      <c r="CN21" s="196">
        <f>CO21+各项系数!$M$9*$NO21</f>
        <v>10.125455912214518</v>
      </c>
      <c r="CO21" s="196">
        <f>CP21*(1+$DC21+(VLOOKUP($AM21,$A$12:$B$323,2,0))+各项系数!$J$6+各项系数!$M$5)*(1+$E$2)+各项系数!$M$9*$NK21</f>
        <v>10.062997428534919</v>
      </c>
      <c r="CP21" s="197">
        <f>CQ21+各项系数!$L$9*$NO21</f>
        <v>10.207722701523636</v>
      </c>
      <c r="CQ21" s="197">
        <f>CR21*(1+$DD21+各项系数!$J$5+各项系数!$L$5)</f>
        <v>10.145264217844037</v>
      </c>
      <c r="CR21" s="197">
        <f t="shared" si="14"/>
        <v>9.946337468474546</v>
      </c>
      <c r="CS21" s="196">
        <f>CT21+各项系数!$M$9*$NU21</f>
        <v>10.427489546351234</v>
      </c>
      <c r="CT21" s="196">
        <f t="shared" si="15"/>
        <v>10.362130187281156</v>
      </c>
      <c r="CU21" s="197">
        <f>CV21+各项系数!$L$9*$NU21</f>
        <v>10.573602231919548</v>
      </c>
      <c r="CV21" s="197">
        <f>CW21*(1+$DD21+各项系数!$J$5+各项系数!$L$5)</f>
        <v>10.50824287284947</v>
      </c>
      <c r="CW21" s="199">
        <f t="shared" si="16"/>
        <v>10.302198894950461</v>
      </c>
      <c r="CX21" s="196">
        <f>CY21+各项系数!$M$9*$NU21</f>
        <v>10.793218272326937</v>
      </c>
      <c r="CY21" s="196">
        <f t="shared" si="17"/>
        <v>10.72785891325686</v>
      </c>
      <c r="CZ21" s="197">
        <f>DA21+各项系数!$L$9*$NU21</f>
        <v>10.946794809445775</v>
      </c>
      <c r="DA21" s="197">
        <f>DB21*(1+$DD21+各项系数!$J$5+各项系数!$L$5)</f>
        <v>10.881435450375697</v>
      </c>
      <c r="DB21" s="199">
        <f t="shared" si="18"/>
        <v>10.668073970956566</v>
      </c>
      <c r="DC21" s="213">
        <f t="shared" si="137"/>
        <v>0</v>
      </c>
      <c r="DD21" s="213">
        <f t="shared" si="19"/>
        <v>0</v>
      </c>
      <c r="DE21" s="53"/>
      <c r="DF21" s="53"/>
      <c r="DG21" s="196">
        <f>DH21+各项系数!$M$9*$NQ21</f>
        <v>9.9664376082561361</v>
      </c>
      <c r="DH21" s="196">
        <f>DI21*(1+$EA21+(VLOOKUP($AM21,$A$12:$B$323,2,0))+各项系数!$J$6+各项系数!$M$5)*(1+$E$2)+各项系数!$M$9*$NK21</f>
        <v>9.9039791245765372</v>
      </c>
      <c r="DI21" s="197">
        <f>DJ21+各项系数!$L$9*$NQ21</f>
        <v>10.045459126055899</v>
      </c>
      <c r="DJ21" s="197">
        <f>DK21*(1+$EB21+各项系数!$J$5+各项系数!$L$5)</f>
        <v>9.9830006423763002</v>
      </c>
      <c r="DK21" s="197">
        <f t="shared" si="20"/>
        <v>9.6922336333750483</v>
      </c>
      <c r="DL21" s="196">
        <f>DM21+各项系数!$M$9*$NQ21</f>
        <v>10.275196402878162</v>
      </c>
      <c r="DM21" s="196">
        <f>DN21*(1+$EA21+(VLOOKUP($AM21,$A$12:$B$323,2,0))+各项系数!$J$6+各项系数!$M$5)*(1+$E$2)+各项系数!$M$9*$NK21</f>
        <v>10.212737919198563</v>
      </c>
      <c r="DN21" s="197">
        <f>DO21+各项系数!$L$9*$NQ21</f>
        <v>10.360519120568171</v>
      </c>
      <c r="DO21" s="197">
        <f>DP21*(1+$EB21+各项系数!$J$5+各项系数!$L$5)</f>
        <v>10.298060636888572</v>
      </c>
      <c r="DP21" s="197">
        <f t="shared" si="21"/>
        <v>9.9981171231927881</v>
      </c>
      <c r="DQ21" s="196">
        <f>DR21+各项系数!$M$9*$NV21</f>
        <v>10.583013107936747</v>
      </c>
      <c r="DR21" s="196">
        <f t="shared" si="22"/>
        <v>10.517653748866669</v>
      </c>
      <c r="DS21" s="197">
        <f>DT21+各项系数!$L$9*$NV21</f>
        <v>10.7322997437415</v>
      </c>
      <c r="DT21" s="197">
        <f>DU21*(1+$EB21+各项系数!$J$5+各项系数!$L$5)</f>
        <v>10.666940384671422</v>
      </c>
      <c r="DU21" s="199">
        <f t="shared" si="23"/>
        <v>10.356252800651866</v>
      </c>
      <c r="DV21" s="196">
        <f>DW21+各项系数!$M$9*$NV21</f>
        <v>10.745545075023875</v>
      </c>
      <c r="DW21" s="196">
        <f t="shared" si="24"/>
        <v>10.680185715953797</v>
      </c>
      <c r="DX21" s="197">
        <f>DY21+各项系数!$L$9*$NV21</f>
        <v>10.898148689748773</v>
      </c>
      <c r="DY21" s="197">
        <f>DZ21*(1+$EB21+各项系数!$J$5+各项系数!$L$5)</f>
        <v>10.832789330678695</v>
      </c>
      <c r="DZ21" s="199">
        <f t="shared" si="25"/>
        <v>10.517271194833684</v>
      </c>
      <c r="EA21" s="213">
        <f t="shared" si="26"/>
        <v>0</v>
      </c>
      <c r="EB21" s="213">
        <f t="shared" si="27"/>
        <v>0.01</v>
      </c>
      <c r="EC21" s="235">
        <f t="shared" si="138"/>
        <v>1</v>
      </c>
      <c r="ED21" s="235" t="str">
        <f t="shared" si="180"/>
        <v>1*16</v>
      </c>
      <c r="EE21" s="189">
        <f t="shared" ref="EE21:EE27" si="187">IF($D21="",0,IF(COUNTIF($D21,"*+*")&gt;0,MID($D21,FIND("*",$D21)+1,FIND("+",$D21)-FIND("*",$D21)-1),RIGHT($D21,(LEN($D21)-FIND("*",$D21)))))*1</f>
        <v>16</v>
      </c>
      <c r="EF21" s="189" t="str">
        <f>LOOKUP(EH21,{1,7,10,14,19,24,30,37,48,61},{1,"1+6","2+8","4+10","1+6+12","2+8+14","4+10+16","1+6+12+18","3+9+15+21","1+6+12+18+24"})</f>
        <v>1+6</v>
      </c>
      <c r="EG21" s="188">
        <f t="shared" si="29"/>
        <v>1</v>
      </c>
      <c r="EH21" s="197">
        <f>IF(AM21&lt;10,1,IF(AND(AM21&gt;=10,AM21&lt;=35),7,LOOKUP(AM21,{50,70,95,120,150,185,240,300,400,500,630},{10,14,19,24,30,37,48,61,61,61,61})*1))</f>
        <v>7</v>
      </c>
      <c r="EI21" s="188">
        <f>IF(EH21=0,0,VLOOKUP(EH21,各项系数!$D$142:$E$195,2,0))*1</f>
        <v>3</v>
      </c>
      <c r="EJ21" s="238">
        <f t="shared" si="141"/>
        <v>165.41681820668899</v>
      </c>
      <c r="EK21" s="189">
        <f t="shared" si="181"/>
        <v>0</v>
      </c>
      <c r="EL21" s="189">
        <f t="shared" si="31"/>
        <v>0</v>
      </c>
      <c r="EM21" s="189">
        <f t="shared" si="182"/>
        <v>0</v>
      </c>
      <c r="EN21" s="189">
        <f>IF(EP21=0,0,LOOKUP(EP21,{1,7,10,14,19,24,30,37,48,61},{1,"1+6","2+8","4+10","1+6+12","2+8+14","4+10+16","1+6+12+18","3+9+15+21","1+6+12+18+24"}))</f>
        <v>0</v>
      </c>
      <c r="EO21" s="189">
        <f t="shared" si="183"/>
        <v>0</v>
      </c>
      <c r="EP21" s="189">
        <f>IF(EM21=0,0,IF(EM21&lt;10,1,IF(AND(EM21&gt;=10,EM21&lt;=35),7,LOOKUP(EM21,{50,70,95,120,150,185,240,300},{10,14,19,24,30,37,48,61})*1)))</f>
        <v>0</v>
      </c>
      <c r="EQ21" s="189">
        <f>IF(EP21=0,0,VLOOKUP(EP21,各项系数!$D$142:$E$195,2,0))*1</f>
        <v>0</v>
      </c>
      <c r="ER21" s="189">
        <f t="shared" si="184"/>
        <v>0</v>
      </c>
      <c r="ES21" s="235">
        <f t="shared" si="185"/>
        <v>1</v>
      </c>
      <c r="ET21" s="189">
        <f>VLOOKUP(ES21,各项系数!$D$142:$E$195,2,0)*1</f>
        <v>1</v>
      </c>
      <c r="EU21" s="243">
        <f>((各项系数!$F$76/4*$EJ21^2*$EG21*$EH21*1*10^-7)*(1-$H21)*AA21)*(VLOOKUP($EY$9,各项系数!$D$4:$F$143,3,0))*各项系数!$J$4</f>
        <v>0.13453127076823812</v>
      </c>
      <c r="EV21" s="244">
        <f>EU21*(VLOOKUP($EY$9,各项系数!$D$4:$F$143,2,0))</f>
        <v>8.8117982353195963</v>
      </c>
      <c r="EW21" s="252">
        <f>(IF($EO21=0,0,(各项系数!$F$76/4*$ER21^2*$EO21*$EP21*1*10^-7))*(1-$K21)*$AF21)*(VLOOKUP($EY$9,各项系数!$D$4:$F$143,3,0))*各项系数!$J$4</f>
        <v>0</v>
      </c>
      <c r="EX21" s="253">
        <f>EW21*(VLOOKUP($EY$9,各项系数!$D$4:$F$143,2,0))</f>
        <v>0</v>
      </c>
      <c r="EY21" s="189">
        <f>((各项系数!$F$76/4*$EJ21^2*$EG21*$EH21*1*10^-7)*(1-$H21)*AA21+IF($EO21=0,0,(各项系数!$F$76/4*$ER21^2*$EO21*$EP21*1*10^-7))*(1-$K21)*$AF21)*(VLOOKUP($EY$9,各项系数!$D$4:$F$143,3,0))*各项系数!$J$4</f>
        <v>0.13453127076823812</v>
      </c>
      <c r="EZ21" s="102">
        <v>1</v>
      </c>
      <c r="FA21" s="189">
        <f t="shared" ref="FA21:FA52" si="188">EZ21*EY21</f>
        <v>0.13453127076823812</v>
      </c>
      <c r="FB21" s="254">
        <f>FA21*(VLOOKUP($EY$9,各项系数!$D$4:$F$143,2,0))</f>
        <v>8.8117982353195963</v>
      </c>
      <c r="FC21" s="255"/>
      <c r="FD21" s="235">
        <f>各项系数!$F$76/4*($MN21^2-MK21^2)*10^-2*(VLOOKUP(L21,各项系数!$D$1:$F$143,3,0))*10^-3*10^2*$EG21*各项系数!$J$4</f>
        <v>1.3629258912857226E-2</v>
      </c>
      <c r="FE21" s="262">
        <f>FD21*VLOOKUP(L21,各项系数!$D$1:$F$143,2,0)</f>
        <v>0.13901844091114368</v>
      </c>
      <c r="FF21" s="188">
        <f>各项系数!$F$76/4*($MO21^2-ML21^2)*10^-2*(VLOOKUP(L21,各项系数!$D$1:$F$143,3,0))*10^-3*10^2*$EO21*各项系数!$J$4</f>
        <v>0</v>
      </c>
      <c r="FG21" s="262">
        <f>FF21*VLOOKUP(L21,各项系数!$D$1:$F$143,2,0)</f>
        <v>0</v>
      </c>
      <c r="FH21" s="235">
        <f t="shared" si="142"/>
        <v>1.3629258912857226E-2</v>
      </c>
      <c r="FI21" s="102">
        <v>1</v>
      </c>
      <c r="FJ21" s="189">
        <f t="shared" ref="FJ21:FJ52" si="189">FI21*FH21</f>
        <v>1.3629258912857226E-2</v>
      </c>
      <c r="FK21" s="262">
        <f>FJ21*VLOOKUP(L21,各项系数!$D$1:$F$143,2,0)</f>
        <v>0.13901844091114368</v>
      </c>
      <c r="FL21" s="235"/>
      <c r="FM21" s="102"/>
      <c r="FN21" s="189"/>
      <c r="FO21" s="262"/>
      <c r="FP21" s="282">
        <f t="shared" ref="FP21:FP52" si="190">FJ21</f>
        <v>1.3629258912857226E-2</v>
      </c>
      <c r="FQ21" s="282">
        <f t="shared" ref="FQ21:FQ52" si="191">FK21</f>
        <v>0.13901844091114368</v>
      </c>
      <c r="FR21" s="283">
        <f>各项系数!$F$76/4*($MQ21^2-$MN21^2*$EG21-$MO21^2*$EO21)*10^-2</f>
        <v>0</v>
      </c>
      <c r="FS21" s="284">
        <f t="shared" si="143"/>
        <v>1</v>
      </c>
      <c r="FT21" s="285">
        <f t="shared" si="40"/>
        <v>0</v>
      </c>
      <c r="FU21" s="302">
        <f>$FT21*(VLOOKUP($FT$9,各项系数!$D$1:$F$143,3,0))*10^-3*10^2*各项系数!$J$55</f>
        <v>0</v>
      </c>
      <c r="FV21" s="303">
        <v>1</v>
      </c>
      <c r="FW21" s="304">
        <f t="shared" ref="FW21:FW52" si="192">FV21*FU21</f>
        <v>0</v>
      </c>
      <c r="FX21" s="285">
        <f>FW21*(VLOOKUP($FT$9,各项系数!$D$1:$F$143,2,0))</f>
        <v>0</v>
      </c>
      <c r="FY21" s="302">
        <f>IF($BK21&lt;&gt;$FY$9,0,各项系数!$F$76/4*($MS21^2-$MQ21^2)*10^-2*(VLOOKUP($FY$9,各项系数!$D$1:$F$143,3,0))*10^-3*10^2)*各项系数!$J$4</f>
        <v>0</v>
      </c>
      <c r="FZ21" s="303">
        <v>1</v>
      </c>
      <c r="GA21" s="304">
        <f t="shared" ref="GA21:GA52" si="193">FZ21*FY21</f>
        <v>0</v>
      </c>
      <c r="GB21" s="285">
        <f>GA21*(VLOOKUP($FY$9,各项系数!$D$1:$F$143,2,0))</f>
        <v>0</v>
      </c>
      <c r="GC21" s="302">
        <f>IF($BK21&lt;&gt;$GC$9,0,各项系数!$F$76/4*($MS21^2-$MQ21^2)*10^-2*(VLOOKUP($GC$9,各项系数!$D$1:$F$143,3,0))*10^-3*10^2)*各项系数!$J$4</f>
        <v>0</v>
      </c>
      <c r="GD21" s="303">
        <v>1</v>
      </c>
      <c r="GE21" s="304">
        <f t="shared" ref="GE21:GE52" si="194">GD21*GC21</f>
        <v>0</v>
      </c>
      <c r="GF21" s="285">
        <f>GE21*(VLOOKUP($GC$9,各项系数!$D$1:$F$143,2,0))</f>
        <v>0</v>
      </c>
      <c r="GG21" s="302">
        <f>IF($BK21&lt;&gt;$GG$9,0,各项系数!$F$76/4*($MS21^2-$MQ21^2)*10^-2*(VLOOKUP($GG$9,各项系数!$D$1:$F$143,3,0))*10^-3*10^2)*各项系数!$J$4</f>
        <v>0</v>
      </c>
      <c r="GH21" s="303">
        <v>1</v>
      </c>
      <c r="GI21" s="304">
        <f t="shared" ref="GI21:GI52" si="195">GH21*GG21</f>
        <v>0</v>
      </c>
      <c r="GJ21" s="285">
        <f>GI21*(VLOOKUP($GG$9,各项系数!$D$1:$F$143,2,0))</f>
        <v>0</v>
      </c>
      <c r="GK21" s="302">
        <f>IF($BK21&lt;&gt;$GK$9,0,各项系数!$F$76/4*($MS21^2-$MQ21^2)*10^-2*(VLOOKUP($GK$9,各项系数!$D$1:$F$143,3,0))*10^-3*10^2)*各项系数!$J$4</f>
        <v>0</v>
      </c>
      <c r="GL21" s="303">
        <v>1</v>
      </c>
      <c r="GM21" s="304">
        <f t="shared" ref="GM21:GM52" si="196">GL21*GK21</f>
        <v>0</v>
      </c>
      <c r="GN21" s="285">
        <f>GM21*(VLOOKUP($GK$9,各项系数!$D$1:$F$143,2,0))</f>
        <v>0</v>
      </c>
      <c r="GO21" s="304">
        <f t="shared" ref="GO21:GO52" si="197">GM21+GI21+GE21+GA21</f>
        <v>0</v>
      </c>
      <c r="GP21" s="304">
        <f t="shared" ref="GP21:GP52" si="198">GN21+GJ21+GF21+GB21</f>
        <v>0</v>
      </c>
      <c r="GQ21" s="315">
        <f>各项系数!$F$76/4*($MU21^2-$MS21^2)*10^-2*(VLOOKUP($S21,各项系数!$D$1:$F$143,3,0))*10^-3*10^2*各项系数!$J$4</f>
        <v>3.2083321185822647E-2</v>
      </c>
      <c r="GR21" s="303">
        <v>1</v>
      </c>
      <c r="GS21" s="304">
        <f t="shared" ref="GS21:GS52" si="199">$GR21*$GQ21</f>
        <v>3.2083321185822647E-2</v>
      </c>
      <c r="GT21" s="304">
        <f t="shared" ref="GT21:GT84" si="200">IF(OR(AND(EG21=$AC$3,EE21&lt;$AC$4),AND(EE21&lt;($AB$4+1),EG21&lt;$AB$3)),$AB$5,0)</f>
        <v>1</v>
      </c>
      <c r="GU21" s="304">
        <f>ROUND($GS21*(VLOOKUP($S21,各项系数!$D$1:$F$143,2,0))+$E$3*GS21,GT21)</f>
        <v>0.3</v>
      </c>
      <c r="GV21" s="315">
        <f>各项系数!$F$76/4*($MT21^2-$MS21^2)*10^-2*(VLOOKUP($GV$9,各项系数!$D$1:$F$143,3,0))*10^-3*10^2*各项系数!$J$4*PI()/4*R21</f>
        <v>8.9991046665956267E-3</v>
      </c>
      <c r="GW21" s="303">
        <v>1</v>
      </c>
      <c r="GX21" s="304">
        <f t="shared" ref="GX21:GX52" si="201">$GW21*$GV21</f>
        <v>8.9991046665956267E-3</v>
      </c>
      <c r="GY21" s="304">
        <f>$GX21*(VLOOKUP($GV$9,各项系数!$D$1:$F$143,2,0))</f>
        <v>0.60743956499520479</v>
      </c>
      <c r="GZ21" s="315">
        <f>各项系数!$F$76/4*($MV21^2-$MS21^2)*10^-2*(VLOOKUP($GZ$9,各项系数!$D$1:$F$143,3,0))*10^-3*10^2*各项系数!$J$4</f>
        <v>4.9257329023283815E-2</v>
      </c>
      <c r="HA21" s="303">
        <v>1</v>
      </c>
      <c r="HB21" s="304">
        <f t="shared" si="144"/>
        <v>4.9257329023283815E-2</v>
      </c>
      <c r="HC21" s="304">
        <f>HB21*(VLOOKUP($GZ$9,各项系数!$D$1:$F$143,2,0))</f>
        <v>0.83737459339582487</v>
      </c>
      <c r="HD21" s="315">
        <f>各项系数!$F$76/4*($MW21^2-$MT21^2)*10^-2*(VLOOKUP($HD$9,各项系数!$D$1:$F$143,3,0))*10^-3*10^2*各项系数!$J$4</f>
        <v>5.0272616370700365E-2</v>
      </c>
      <c r="HE21" s="303">
        <v>1</v>
      </c>
      <c r="HF21" s="304">
        <f t="shared" si="145"/>
        <v>5.0272616370700365E-2</v>
      </c>
      <c r="HG21" s="304">
        <f>HF21*(VLOOKUP($HD$9,各项系数!$D$1:$F$143,2,0))</f>
        <v>0.8546344783019062</v>
      </c>
      <c r="HH21" s="315">
        <f>各项系数!$F$76/4*($MV21^2-$MS21^2)*10^-2*(VLOOKUP($HH$9,各项系数!$D$1:$F$143,3,0))*10^-3*10^2*各项系数!$J$4</f>
        <v>4.9257329023283815E-2</v>
      </c>
      <c r="HI21" s="322">
        <v>1</v>
      </c>
      <c r="HJ21" s="304">
        <f t="shared" si="146"/>
        <v>4.9257329023283815E-2</v>
      </c>
      <c r="HK21" s="304">
        <f>HJ21*(VLOOKUP($HH$9,各项系数!$D$1:$F$143,2,0))</f>
        <v>0.83737459339582487</v>
      </c>
      <c r="HL21" s="315">
        <f>各项系数!$F$76/4*($MW21^2-$MT21^2)*10^-2*(VLOOKUP($HL$9,各项系数!$D$1:$F$143,3,0))*10^-3*10^2*各项系数!$J$4</f>
        <v>5.0272616370700365E-2</v>
      </c>
      <c r="HM21" s="322">
        <v>1</v>
      </c>
      <c r="HN21" s="304">
        <f t="shared" si="147"/>
        <v>5.0272616370700365E-2</v>
      </c>
      <c r="HO21" s="304">
        <f>HN21*(VLOOKUP($HL$9,各项系数!$D$1:$F$143,2,0))</f>
        <v>0.8546344783019062</v>
      </c>
      <c r="HP21" s="315">
        <f>各项系数!$F$76/4*($MV21^2-$MS21^2)*10^-2*(VLOOKUP(AN21,各项系数!$D$1:$F$143,3,0))*10^-3*10^2*各项系数!$J$4</f>
        <v>4.9936740458087735E-2</v>
      </c>
      <c r="HQ21" s="303">
        <v>1</v>
      </c>
      <c r="HR21" s="304">
        <f t="shared" ref="HR21:HR52" si="202">HQ21*HP21</f>
        <v>4.9936740458087735E-2</v>
      </c>
      <c r="HS21" s="304">
        <f>HR21*(VLOOKUP(AN21,各项系数!$D$1:$F$143,2,0))</f>
        <v>0.49936740458087736</v>
      </c>
      <c r="HT21" s="315">
        <f>各项系数!$F$76/4*($MW21^2-$MT21^2)*10^-2*(VLOOKUP(AN21,各项系数!$D$1:$F$143,3,0))*10^-3*10^2*各项系数!$J$4</f>
        <v>5.0966031768916932E-2</v>
      </c>
      <c r="HU21" s="303">
        <v>1</v>
      </c>
      <c r="HV21" s="304">
        <f t="shared" ref="HV21:HV52" si="203">HU21*HT21</f>
        <v>5.0966031768916932E-2</v>
      </c>
      <c r="HW21" s="304">
        <f>HV21*(VLOOKUP(AN21,各项系数!$D$1:$F$143,2,0))</f>
        <v>0.50966031768916931</v>
      </c>
      <c r="HX21" s="315">
        <f>各项系数!$F$76/4*($MV21^2-$MS21^2)*10^-2*(VLOOKUP($HX$9,各项系数!$D$1:$F$143,3,0))*10^-3*10^2*各项系数!$J$4</f>
        <v>4.9936740458087735E-2</v>
      </c>
      <c r="HY21" s="322">
        <v>1</v>
      </c>
      <c r="HZ21" s="304">
        <f t="shared" ref="HZ21:HZ52" si="204">HY21*HX21</f>
        <v>4.9936740458087735E-2</v>
      </c>
      <c r="IA21" s="304">
        <f>HZ21*(VLOOKUP($HX$9,各项系数!$D$1:$F$143,2,0))</f>
        <v>0.54930414503896507</v>
      </c>
      <c r="IB21" s="315">
        <f>各项系数!$F$76/4*($MW21^2-$MT21^2)*10^-2*(VLOOKUP($IB$9,各项系数!$D$1:$F$143,3,0))*10^-3*10^2*各项系数!$J$4</f>
        <v>5.0966031768916932E-2</v>
      </c>
      <c r="IC21" s="322">
        <v>1</v>
      </c>
      <c r="ID21" s="304">
        <f t="shared" ref="ID21:ID52" si="205">IC21*IB21</f>
        <v>5.0966031768916932E-2</v>
      </c>
      <c r="IE21" s="304">
        <f>ID21*(VLOOKUP($IB$9,各项系数!$D$1:$F$143,2,0))</f>
        <v>0.5606263494580862</v>
      </c>
      <c r="IF21" s="328"/>
      <c r="IG21" s="315">
        <f t="shared" si="148"/>
        <v>5.8544745454497124E-3</v>
      </c>
      <c r="IH21" s="303">
        <v>1</v>
      </c>
      <c r="II21" s="304">
        <f t="shared" ref="II21:II52" si="206">IH21*IG21</f>
        <v>5.8544745454497124E-3</v>
      </c>
      <c r="IJ21" s="304">
        <f>II21*(VLOOKUP($IG$8,各项系数!$D$1:$F$143,2,0))</f>
        <v>0.14636186363624282</v>
      </c>
      <c r="IK21" s="315">
        <f>(各项系数!$F$76/4*($MX21^2-$MK21^2)*$EG21)*10^-2*(VLOOKUP($IG$8,各项系数!$D$1:$F$143,3,0))*10^-3*10^2*各项系数!$J$4</f>
        <v>5.8544745454497124E-3</v>
      </c>
      <c r="IL21" s="303">
        <f>IK21*(VLOOKUP($IG$8,各项系数!$D$1:$F$143,2,0))</f>
        <v>0.14636186363624282</v>
      </c>
      <c r="IM21" s="304">
        <f>(各项系数!$F$76/4*(($MM21+3*$X21)^2-MM21^2)*$EO21)*10^-2*(VLOOKUP($IG$8,各项系数!$D$1:$F$143,3,0))*10^-3*10^2*各项系数!$J$4</f>
        <v>0</v>
      </c>
      <c r="IN21" s="303">
        <f>IM21*(VLOOKUP($IG$8,各项系数!$D$1:$F$143,2,0))</f>
        <v>0</v>
      </c>
      <c r="IO21" s="315">
        <f>各项系数!$F$76/4*($MZ21^2-$MX21^2)*10^-2*(VLOOKUP(L21,各项系数!$D$1:$F$143,3,0))*10^-3*10^2*$ES21*各项系数!$J$4</f>
        <v>1.4784585894400192E-2</v>
      </c>
      <c r="IP21" s="303">
        <v>1</v>
      </c>
      <c r="IQ21" s="304">
        <f t="shared" ref="IQ21:IQ52" si="207">IP21*IO21</f>
        <v>1.4784585894400192E-2</v>
      </c>
      <c r="IR21" s="285">
        <f>IQ21*(VLOOKUP(L21,各项系数!$D$1:$F$143,2,0))</f>
        <v>0.15080277612288195</v>
      </c>
      <c r="IS21" s="315">
        <f>IF($L21&lt;&gt;$IS$9,0,各项系数!$F$76/4*($MZ21^2-$MX21^2)*10^-2*各项系数!$F$12*10^-3*10^2)*$ES21*各项系数!$J$4</f>
        <v>0</v>
      </c>
      <c r="IT21" s="303">
        <v>1</v>
      </c>
      <c r="IU21" s="304">
        <f t="shared" ref="IU21:IU52" si="208">IT21*IS21</f>
        <v>0</v>
      </c>
      <c r="IV21" s="285">
        <f>IU21*各项系数!$E$12</f>
        <v>0</v>
      </c>
      <c r="IW21" s="302">
        <f t="shared" ref="IW21:IW52" si="209">IQ21</f>
        <v>1.4784585894400192E-2</v>
      </c>
      <c r="IX21" s="302">
        <f t="shared" ref="IX21:IX52" si="210">IR21</f>
        <v>0.15080277612288195</v>
      </c>
      <c r="IY21" s="339">
        <f>各项系数!$F$76/4*($NB21^2-$MZ21^2*$EG21-$NA21^2*$EO21)*10^-2</f>
        <v>0</v>
      </c>
      <c r="IZ21" s="284">
        <f t="shared" si="149"/>
        <v>1</v>
      </c>
      <c r="JA21" s="285">
        <f t="shared" si="64"/>
        <v>0</v>
      </c>
      <c r="JB21" s="282">
        <f>IF($DE21&lt;&gt;$JB$9,0,$JA21*各项系数!$F$32*10^-3*10^2)*各项系数!$J$4</f>
        <v>0</v>
      </c>
      <c r="JC21" s="102">
        <v>1</v>
      </c>
      <c r="JD21" s="189">
        <f t="shared" ref="JD21:JD52" si="211">JC21*JB21</f>
        <v>0</v>
      </c>
      <c r="JE21" s="262">
        <f>JD21*各项系数!$E$32</f>
        <v>0</v>
      </c>
      <c r="JF21" s="282">
        <f>IF($DE21&lt;&gt;$JF$9,0,$JA21*VLOOKUP($JF$9,各项系数!$D$4:$F$540,2,0)*10^-3*10^2)*各项系数!$J$4</f>
        <v>0</v>
      </c>
      <c r="JG21" s="102">
        <v>1</v>
      </c>
      <c r="JH21" s="189">
        <f t="shared" si="66"/>
        <v>0</v>
      </c>
      <c r="JI21" s="262">
        <f>JH21*VLOOKUP($JF$9,各项系数!$D$4:$F$540,3,0)</f>
        <v>0</v>
      </c>
      <c r="JJ21" s="282">
        <f t="shared" ref="JJ21:JJ52" si="212">JH21+JD21</f>
        <v>0</v>
      </c>
      <c r="JK21" s="189">
        <f t="shared" ref="JK21:JK52" si="213">JI21+JE21</f>
        <v>0</v>
      </c>
      <c r="JL21" s="282">
        <f>IF($DF21&lt;&gt;$JL$9,0,各项系数!$F$76/4*($NE21^2-$NC21^2)*10^-2*各项系数!$F$39*10^-3*10^2)*各项系数!$J$4</f>
        <v>0</v>
      </c>
      <c r="JM21" s="102">
        <v>1</v>
      </c>
      <c r="JN21" s="189">
        <f t="shared" ref="JN21:JN52" si="214">JM21*JL21</f>
        <v>0</v>
      </c>
      <c r="JO21" s="262">
        <f>JN21*各项系数!$E$39</f>
        <v>0</v>
      </c>
      <c r="JP21" s="282">
        <f>IF($DF21&lt;&gt;$JP$9,0,各项系数!$F$76/4*($NE21^2-$NC21^2)*10^-2*各项系数!$F$36*10^-3*10^2)*各项系数!$J$4</f>
        <v>0</v>
      </c>
      <c r="JQ21" s="102">
        <v>1</v>
      </c>
      <c r="JR21" s="189">
        <f t="shared" ref="JR21:JR52" si="215">JQ21*JP21</f>
        <v>0</v>
      </c>
      <c r="JS21" s="262">
        <f>JR21*各项系数!$E$36</f>
        <v>0</v>
      </c>
      <c r="JT21" s="282">
        <f>IF($DF21&lt;&gt;$JT$9,0,各项系数!$F$76/4*($NE21^2-$NC21^2)*10^-2*各项系数!$F$40*10^-3*10^2)*各项系数!$J$4</f>
        <v>0</v>
      </c>
      <c r="JU21" s="102">
        <v>1</v>
      </c>
      <c r="JV21" s="189">
        <f t="shared" ref="JV21:JV52" si="216">JU21*JT21</f>
        <v>0</v>
      </c>
      <c r="JW21" s="262">
        <f>JV21*各项系数!$E$40</f>
        <v>0</v>
      </c>
      <c r="JX21" s="282">
        <f>IF($DF21&lt;&gt;$JX$9,0,各项系数!$F$76/4*($NE21^2-$NC21^2)*10^-2*各项系数!$F$38*10^-3*10^2)*各项系数!$J$4</f>
        <v>0</v>
      </c>
      <c r="JY21" s="102">
        <v>1</v>
      </c>
      <c r="JZ21" s="189">
        <f t="shared" ref="JZ21:JZ52" si="217">JY21*JX21</f>
        <v>0</v>
      </c>
      <c r="KA21" s="262">
        <f>JZ21*各项系数!$E$38</f>
        <v>0</v>
      </c>
      <c r="KB21" s="282">
        <f>IF($DF21&lt;&gt;$KB$9,0,各项系数!$F$76/4*($NE21^2-$NC21^2)*10^-2*各项系数!$F$41*10^-3*10^2)*各项系数!$J$4</f>
        <v>0</v>
      </c>
      <c r="KC21" s="102">
        <v>1</v>
      </c>
      <c r="KD21" s="189">
        <f t="shared" ref="KD21:KD52" si="218">KC21*KB21</f>
        <v>0</v>
      </c>
      <c r="KE21" s="262">
        <f>KD21*各项系数!$E$41</f>
        <v>0</v>
      </c>
      <c r="KF21" s="189">
        <f t="shared" ref="KF21:KF52" si="219">KD21+JZ21+JV21+JR21+JN21</f>
        <v>0</v>
      </c>
      <c r="KG21" s="189">
        <f t="shared" ref="KG21:KG52" si="220">KE21+KA21+JW21+JS21+JO21</f>
        <v>0</v>
      </c>
      <c r="KH21" s="235">
        <f>各项系数!$F$76/4*($NG21^2-$NE21^2)*10^-2*各项系数!$F$44*10^-3*10^2*各项系数!$J$4*0.75*$U21</f>
        <v>5.1644978010811582E-2</v>
      </c>
      <c r="KI21" s="102">
        <v>1</v>
      </c>
      <c r="KJ21" s="189">
        <f t="shared" ref="KJ21:KJ52" si="221">KI21*KH21</f>
        <v>5.1644978010811582E-2</v>
      </c>
      <c r="KK21" s="189">
        <f>ROUND(KJ21*各项系数!$E$44,GT21)</f>
        <v>0.6</v>
      </c>
      <c r="KL21" s="235">
        <f>各项系数!$F$76/4*($NF21^2-$NE21^2)*10^-2*各项系数!$F$46*10^-3*10^2*各项系数!$J$4*PI()/4*R21</f>
        <v>9.6695846349288458E-3</v>
      </c>
      <c r="KM21" s="102">
        <v>1</v>
      </c>
      <c r="KN21" s="189">
        <f t="shared" ref="KN21:KN52" si="222">$KL21*$KM21</f>
        <v>9.6695846349288458E-3</v>
      </c>
      <c r="KO21" s="189">
        <f>KN21*各项系数!$E$46</f>
        <v>0.65269696285769707</v>
      </c>
      <c r="KP21" s="235">
        <f>各项系数!$F$76/4*($NH21^2-$NE21^2)*10^-2*(VLOOKUP($KP$9,各项系数!$D$1:$F$143,3,0))*10^-3*10^2*各项系数!$J$4</f>
        <v>5.2303191065533418E-2</v>
      </c>
      <c r="KQ21" s="102">
        <v>1</v>
      </c>
      <c r="KR21" s="189">
        <f t="shared" si="150"/>
        <v>5.2303191065533418E-2</v>
      </c>
      <c r="KS21" s="189">
        <f>KR21*(VLOOKUP($KP$9,各项系数!$D$1:$F$143,2,0))</f>
        <v>0.88915424811406807</v>
      </c>
      <c r="KT21" s="235">
        <f>各项系数!$F$76/4*($NI21^2-$NF21^2)*10^-2*(VLOOKUP($KT$9,各项系数!$D$1:$F$143,3,0))*10^-3*10^2*各项系数!$J$4</f>
        <v>5.3318478412949961E-2</v>
      </c>
      <c r="KU21" s="102">
        <v>1</v>
      </c>
      <c r="KV21" s="189">
        <f t="shared" si="151"/>
        <v>5.3318478412949961E-2</v>
      </c>
      <c r="KW21" s="189">
        <f>KV21*(VLOOKUP($KT$9,各项系数!$D$1:$F$143,2,0))</f>
        <v>0.90641413302014939</v>
      </c>
      <c r="KX21" s="189">
        <f>各项系数!$F$76/4*($NH21^2-$NE21^2)*10^-2*(VLOOKUP($KX$9,各项系数!$D$1:$F$143,3,0))*10^-3*10^2*各项系数!$J$4</f>
        <v>5.2303191065533418E-2</v>
      </c>
      <c r="KY21" s="353">
        <v>1</v>
      </c>
      <c r="KZ21" s="189">
        <f t="shared" si="152"/>
        <v>5.2303191065533418E-2</v>
      </c>
      <c r="LA21" s="189">
        <f>KZ21*(VLOOKUP($KX$9,各项系数!$D$1:$F$143,2,0))</f>
        <v>0.88915424811406807</v>
      </c>
      <c r="LB21" s="189">
        <f>各项系数!$F$76/4*($NI21^2-$NF21^2)*10^-2*(VLOOKUP($LB$9,各项系数!$D$1:$F$143,3,0))*10^-3*10^2*各项系数!$J$4</f>
        <v>5.3318478412949961E-2</v>
      </c>
      <c r="LC21" s="353">
        <v>1</v>
      </c>
      <c r="LD21" s="189">
        <f t="shared" si="153"/>
        <v>5.3318478412949961E-2</v>
      </c>
      <c r="LE21" s="189">
        <f>LD21*(VLOOKUP($LB$9,各项系数!$D$1:$F$143,2,0))</f>
        <v>0.90641413302014939</v>
      </c>
      <c r="LF21" s="235">
        <f>各项系数!$F$76/4*($NH21^2-$NE21^2)*10^-2*(VLOOKUP(AN21,各项系数!$D$1:$F$143,3,0))*10^-3*10^2*各项系数!$J$4</f>
        <v>5.3024614390575264E-2</v>
      </c>
      <c r="LG21" s="102">
        <v>1</v>
      </c>
      <c r="LH21" s="189">
        <f t="shared" ref="LH21:LH52" si="223">LG21*LF21</f>
        <v>5.3024614390575264E-2</v>
      </c>
      <c r="LI21" s="189">
        <f>LH21*(VLOOKUP(AN21,各项系数!$D$1:$F$143,2,0))</f>
        <v>0.53024614390575264</v>
      </c>
      <c r="LJ21" s="235">
        <f>各项系数!$F$76/4*($NI21^2-$NF21^2)*10^-2*(VLOOKUP(AN21,各项系数!$D$1:$F$143,3,0))*10^-3*10^2*各项系数!$J$4</f>
        <v>5.4053905701404441E-2</v>
      </c>
      <c r="LK21" s="102">
        <v>1</v>
      </c>
      <c r="LL21" s="189">
        <f t="shared" ref="LL21:LL52" si="224">LK21*LJ21</f>
        <v>5.4053905701404441E-2</v>
      </c>
      <c r="LM21" s="189">
        <f>LL21*(VLOOKUP(AN21,各项系数!$D$1:$F$143,2,0))</f>
        <v>0.54053905701404437</v>
      </c>
      <c r="LN21" s="189">
        <f>各项系数!$F$76/4*($NH21^2-$NE21^2)*10^-2*(VLOOKUP($LN$9,各项系数!$D$1:$F$143,3,0))*10^-3*10^2*各项系数!$J$4</f>
        <v>5.3024614390575264E-2</v>
      </c>
      <c r="LO21" s="353">
        <v>1</v>
      </c>
      <c r="LP21" s="189">
        <f t="shared" ref="LP21:LP52" si="225">LO21*LN21</f>
        <v>5.3024614390575264E-2</v>
      </c>
      <c r="LQ21" s="189">
        <f>LP21*(VLOOKUP($LN$9,各项系数!$D$1:$F$143,2,0))</f>
        <v>0.58327075829632791</v>
      </c>
      <c r="LR21" s="189">
        <f>各项系数!$F$76/4*($NI21^2-$NF21^2)*10^-2*(VLOOKUP($LR$9,各项系数!$D$1:$F$143,3,0))*10^-3*10^2*各项系数!$J$4</f>
        <v>5.4053905701404441E-2</v>
      </c>
      <c r="LS21" s="353">
        <v>1</v>
      </c>
      <c r="LT21" s="189">
        <f t="shared" ref="LT21:LT52" si="226">LS21*LR21</f>
        <v>5.4053905701404441E-2</v>
      </c>
      <c r="LU21" s="189">
        <f>LT21*(VLOOKUP($LR$9,各项系数!$D$1:$F$143,2,0))</f>
        <v>0.59459296271544881</v>
      </c>
      <c r="LV21" s="227">
        <f t="shared" si="154"/>
        <v>19.341569629999999</v>
      </c>
      <c r="LW21" s="227">
        <f t="shared" si="155"/>
        <v>15.04344305</v>
      </c>
      <c r="LX21" s="227">
        <f t="shared" si="156"/>
        <v>4.3765176316600565</v>
      </c>
      <c r="LY21" s="227">
        <f t="shared" si="157"/>
        <v>4.2981265799999981</v>
      </c>
      <c r="LZ21" s="374">
        <f t="shared" si="86"/>
        <v>1</v>
      </c>
      <c r="MA21" s="375">
        <f t="shared" si="87"/>
        <v>19.341569629999999</v>
      </c>
      <c r="MB21" s="375">
        <f t="shared" si="158"/>
        <v>4.9625045400000003</v>
      </c>
      <c r="MC21" s="227">
        <f t="shared" si="159"/>
        <v>0</v>
      </c>
      <c r="MD21" s="227">
        <f t="shared" si="160"/>
        <v>0</v>
      </c>
      <c r="ME21" s="227">
        <f t="shared" si="161"/>
        <v>0</v>
      </c>
      <c r="MF21" s="227">
        <f t="shared" si="162"/>
        <v>0</v>
      </c>
      <c r="MG21" s="374">
        <f t="shared" si="163"/>
        <v>1</v>
      </c>
      <c r="MH21" s="375">
        <f t="shared" si="88"/>
        <v>0</v>
      </c>
      <c r="MI21" s="375">
        <f t="shared" si="164"/>
        <v>0</v>
      </c>
      <c r="MJ21" s="189">
        <f t="shared" si="89"/>
        <v>4.9625045400000003</v>
      </c>
      <c r="MK21" s="189">
        <f t="shared" si="165"/>
        <v>4.9625045400000003</v>
      </c>
      <c r="ML21" s="189">
        <f t="shared" ref="ML21:ML52" si="227">$ER21*$EQ21*10^-2</f>
        <v>0</v>
      </c>
      <c r="MM21" s="189">
        <f t="shared" si="91"/>
        <v>0</v>
      </c>
      <c r="MN21" s="78">
        <f t="shared" si="92"/>
        <v>6.3625045399999998</v>
      </c>
      <c r="MO21" s="189">
        <f t="shared" si="166"/>
        <v>0</v>
      </c>
      <c r="MP21" s="189">
        <f t="shared" si="167"/>
        <v>6.3625045399999998</v>
      </c>
      <c r="MQ21" s="189">
        <f t="shared" ref="MQ21:MQ52" si="228">MP21</f>
        <v>6.3625045399999998</v>
      </c>
      <c r="MR21" s="246">
        <f t="shared" si="168"/>
        <v>6.3625045399999998</v>
      </c>
      <c r="MS21" s="380">
        <f t="shared" si="94"/>
        <v>6.3625045399999998</v>
      </c>
      <c r="MT21" s="380">
        <f t="shared" si="95"/>
        <v>6.5225045399999999</v>
      </c>
      <c r="MU21" s="380">
        <f t="shared" si="96"/>
        <v>6.7625045400000001</v>
      </c>
      <c r="MV21" s="380">
        <f t="shared" si="97"/>
        <v>9.1625045400000005</v>
      </c>
      <c r="MW21" s="380">
        <f t="shared" si="98"/>
        <v>9.3225045400000006</v>
      </c>
      <c r="MX21" s="254">
        <f t="shared" si="99"/>
        <v>5.4425045399999998</v>
      </c>
      <c r="MY21" s="254">
        <f t="shared" si="100"/>
        <v>0</v>
      </c>
      <c r="MZ21" s="189">
        <f t="shared" si="101"/>
        <v>6.8425045400000002</v>
      </c>
      <c r="NA21" s="189">
        <f t="shared" si="102"/>
        <v>0</v>
      </c>
      <c r="NB21" s="189">
        <f t="shared" si="169"/>
        <v>6.8425045400000002</v>
      </c>
      <c r="NC21" s="254">
        <f t="shared" ref="NC21:NC52" si="229">NB21</f>
        <v>6.8425045400000002</v>
      </c>
      <c r="ND21" s="246">
        <f t="shared" si="104"/>
        <v>6.8425045400000002</v>
      </c>
      <c r="NE21" s="386">
        <f t="shared" si="105"/>
        <v>6.8425045400000002</v>
      </c>
      <c r="NF21" s="380">
        <f t="shared" si="106"/>
        <v>7.0025045400000003</v>
      </c>
      <c r="NG21" s="387">
        <f t="shared" si="107"/>
        <v>7.2425045400000005</v>
      </c>
      <c r="NH21" s="254">
        <f t="shared" si="108"/>
        <v>9.6425045400000009</v>
      </c>
      <c r="NI21" s="380">
        <f t="shared" si="109"/>
        <v>9.802504540000001</v>
      </c>
      <c r="NK21" s="388">
        <f t="shared" si="110"/>
        <v>0.19809727013918307</v>
      </c>
      <c r="NL21" s="388">
        <f t="shared" si="111"/>
        <v>9.4501840808116171</v>
      </c>
      <c r="NM21" s="388">
        <f t="shared" si="112"/>
        <v>0.19809727013918307</v>
      </c>
      <c r="NN21" s="388">
        <f t="shared" si="113"/>
        <v>9.5001208212697055</v>
      </c>
      <c r="NO21" s="388">
        <f t="shared" si="114"/>
        <v>0.20819494559866331</v>
      </c>
      <c r="NP21" s="388">
        <f t="shared" si="115"/>
        <v>9.6392090189844737</v>
      </c>
      <c r="NQ21" s="388">
        <f t="shared" si="116"/>
        <v>0.20819494559866331</v>
      </c>
      <c r="NR21" s="388">
        <f t="shared" si="117"/>
        <v>9.6922336333750483</v>
      </c>
      <c r="NS21" s="388">
        <f t="shared" si="118"/>
        <v>0.20709637480577869</v>
      </c>
      <c r="NT21" s="388">
        <f t="shared" si="119"/>
        <v>0.20709637480577869</v>
      </c>
      <c r="NU21" s="388">
        <f t="shared" si="120"/>
        <v>0.21786453023359215</v>
      </c>
      <c r="NV21" s="388">
        <f t="shared" si="121"/>
        <v>0.21786453023359215</v>
      </c>
      <c r="NW21">
        <f t="shared" si="122"/>
        <v>0.23018059132500573</v>
      </c>
      <c r="NX21">
        <f>各项系数!$M$9*NK21</f>
        <v>5.9429181041754917E-2</v>
      </c>
      <c r="NY21">
        <f t="shared" si="123"/>
        <v>0.20709637480577869</v>
      </c>
      <c r="OB21" s="66" t="str">
        <f t="shared" si="124"/>
        <v>1*16</v>
      </c>
      <c r="OC21" s="395">
        <f t="shared" si="125"/>
        <v>165.41681820668899</v>
      </c>
      <c r="OD21" s="395">
        <f>SQRT(4*EY21/PI()/EH21/各项系数!$J$4/各项系数!$F$5*10000000)</f>
        <v>166.32412244418023</v>
      </c>
      <c r="OE21" s="396">
        <f t="shared" si="126"/>
        <v>15.043443082755822</v>
      </c>
      <c r="OF21" s="396">
        <f t="shared" si="127"/>
        <v>15.208920956666134</v>
      </c>
      <c r="OG21" s="66">
        <v>15.3</v>
      </c>
      <c r="OH21" s="397">
        <f t="shared" si="186"/>
        <v>-9.1079043333866849E-2</v>
      </c>
    </row>
    <row r="22" spans="1:398" ht="15" hidden="1" customHeight="1">
      <c r="A22" s="50">
        <v>25</v>
      </c>
      <c r="B22" s="51"/>
      <c r="C22" s="52">
        <v>0.9</v>
      </c>
      <c r="D22" s="53" t="s">
        <v>150</v>
      </c>
      <c r="E22" s="61">
        <f t="shared" si="175"/>
        <v>10.841408860000001</v>
      </c>
      <c r="F22" s="59">
        <v>208.046961644752</v>
      </c>
      <c r="G22" s="58"/>
      <c r="H22" s="16"/>
      <c r="I22" s="62"/>
      <c r="J22" s="16"/>
      <c r="K22" s="16"/>
      <c r="L22" s="97" t="s">
        <v>467</v>
      </c>
      <c r="M22" s="103">
        <f t="shared" si="2"/>
        <v>0.9</v>
      </c>
      <c r="N22" s="103">
        <f t="shared" si="3"/>
        <v>0</v>
      </c>
      <c r="O22" s="102"/>
      <c r="P22" s="99">
        <v>0.1</v>
      </c>
      <c r="Q22" s="133">
        <f t="shared" si="170"/>
        <v>0.1</v>
      </c>
      <c r="R22" s="140">
        <v>0.8</v>
      </c>
      <c r="S22" s="142" t="str">
        <f>各项系数!$D$44</f>
        <v>磁性钢带</v>
      </c>
      <c r="T22" s="102">
        <v>0.2</v>
      </c>
      <c r="U22" s="102">
        <v>2</v>
      </c>
      <c r="V22" s="140"/>
      <c r="W22" s="141">
        <v>1.4</v>
      </c>
      <c r="X22" s="135">
        <f t="shared" si="171"/>
        <v>0.2</v>
      </c>
      <c r="Y22" s="135"/>
      <c r="Z22" s="168"/>
      <c r="AA22" s="153">
        <v>1.0109999999999999</v>
      </c>
      <c r="AB22" s="153">
        <f>PI()*EJ22*EJ22/4*EH22*(1-H22)*AA22*各项系数!$F$5*各项系数!$J$4*10^-7</f>
        <v>0.21280737466777744</v>
      </c>
      <c r="AC22" s="153">
        <f t="shared" si="176"/>
        <v>208.046961644752</v>
      </c>
      <c r="AD22" s="153">
        <f t="shared" si="5"/>
        <v>24.058128060751155</v>
      </c>
      <c r="AE22" s="153">
        <f>POWER(4*EU22/PI()/EG22/10^-7/EH22/(1-H22)/各项系数!$F$5/各项系数!$J$4,0.5)</f>
        <v>209.18809041233357</v>
      </c>
      <c r="AF22" s="69">
        <v>1</v>
      </c>
      <c r="AG22" s="69">
        <f>IF(EM22=0,0,PI()*ER22*ER22/4*EP22*(1-K22)*(1+AF22)*各项系数!$F$5*各项系数!$J$4*10^-7)</f>
        <v>0</v>
      </c>
      <c r="AH22" s="69">
        <f t="shared" si="177"/>
        <v>0</v>
      </c>
      <c r="AI22" s="69">
        <f t="shared" si="128"/>
        <v>0</v>
      </c>
      <c r="AJ22" s="69">
        <f>IF(OR(EP22="",EP22=0),0,POWER(4*EW22/PI()/EO22/10^-7/EP22/(1-K22)/各项系数!$F$5/各项系数!$J$4,0.5))</f>
        <v>0</v>
      </c>
      <c r="AK22" s="69" t="str">
        <f t="shared" si="8"/>
        <v>√</v>
      </c>
      <c r="AL22" s="69">
        <f t="shared" si="178"/>
        <v>15.240207252501422</v>
      </c>
      <c r="AM22" s="188">
        <f t="shared" si="179"/>
        <v>25</v>
      </c>
      <c r="AN22" s="97" t="s">
        <v>486</v>
      </c>
      <c r="AO22" s="196">
        <f>AP22+各项系数!$M$9*$NK22</f>
        <v>14.941379659315119</v>
      </c>
      <c r="AP22" s="196">
        <f>AQ22*(1+$BI22+(VLOOKUP($AM22,$A$12:$B$323,2,0))+各项系数!$J$6+各项系数!$M$5)*(1+$E$2)</f>
        <v>14.852686275199344</v>
      </c>
      <c r="AQ22" s="197">
        <f>AR22+各项系数!$L$9*$NK22</f>
        <v>15.155802321631985</v>
      </c>
      <c r="AR22" s="197">
        <f>AS22*(1+$BJ22+各项系数!$J$5+各项系数!$L$5)</f>
        <v>15.06710893751621</v>
      </c>
      <c r="AS22" s="197">
        <f t="shared" si="129"/>
        <v>14.77167542893746</v>
      </c>
      <c r="AT22" s="196">
        <f>AU22+各项系数!$M$9*$NM22</f>
        <v>15.352327897110838</v>
      </c>
      <c r="AU22" s="196">
        <f>AV22*(1+$BI22+(VLOOKUP($AM22,$A$12:$B$323,2,0))+各项系数!$J$6+各项系数!$M$5)*(1+$E$2)</f>
        <v>15.263634512995063</v>
      </c>
      <c r="AV22" s="197">
        <f>AW22+各项系数!$L$9*$NM22</f>
        <v>15.575137258158227</v>
      </c>
      <c r="AW22" s="197">
        <f>AX22*(1+$BJ22+各项系数!$J$5+各项系数!$L$5)</f>
        <v>15.486443874042452</v>
      </c>
      <c r="AX22" s="197">
        <f t="shared" si="130"/>
        <v>15.182788111806325</v>
      </c>
      <c r="AY22" s="196">
        <f>AZ22+各项系数!$M$9*$NS22</f>
        <v>15.723837797278248</v>
      </c>
      <c r="AZ22" s="196">
        <f>BA22*(1+$BI22+(VLOOKUP($AM22,$A$12:$B$214,2,0))+各项系数!$J$6+各项系数!$M$5)*(1+$E$2)</f>
        <v>15.631741136940427</v>
      </c>
      <c r="BA22" s="197">
        <f>BB22+各项系数!$L$9*$NS22</f>
        <v>15.950756262184109</v>
      </c>
      <c r="BB22" s="197">
        <f>BC22*(1+$BJ22+各项系数!$J$5+各项系数!$L$5)</f>
        <v>15.858659601846288</v>
      </c>
      <c r="BC22" s="199">
        <f t="shared" si="131"/>
        <v>15.547705492006164</v>
      </c>
      <c r="BD22" s="196">
        <f>BE22+各项系数!$M$9*$NS22</f>
        <v>16.141750220083029</v>
      </c>
      <c r="BE22" s="196">
        <f>BF22*(1+$BI22+(VLOOKUP($AM22,$A$12:$B$214,2,0))+各项系数!$J$6+各项系数!$M$5)*(1+$E$2)</f>
        <v>16.049653559745209</v>
      </c>
      <c r="BF22" s="197">
        <f>BG22+各项系数!$L$9*$NS22</f>
        <v>16.377197509944093</v>
      </c>
      <c r="BG22" s="197">
        <f>BH22*(1+$BJ22+各项系数!$J$5+各项系数!$L$5)</f>
        <v>16.285100849606273</v>
      </c>
      <c r="BH22" s="199">
        <f t="shared" si="132"/>
        <v>15.965785146672818</v>
      </c>
      <c r="BI22" s="51"/>
      <c r="BJ22" s="208"/>
      <c r="BK22" s="102"/>
      <c r="BL22" s="196">
        <f>BM22+各项系数!$M$9*$NM22</f>
        <v>15.14745025930957</v>
      </c>
      <c r="BM22" s="196">
        <f>BN22*(1+$CF22+(VLOOKUP($AM22,$A$12:$B$323,2,0))+各项系数!$J$6+各项系数!$M$5)*(1+$E$2)</f>
        <v>15.058756875193795</v>
      </c>
      <c r="BN22" s="197">
        <f>BO22+各项系数!$L$9*$NM22</f>
        <v>15.366078444075303</v>
      </c>
      <c r="BO22" s="197">
        <f>BP22*(1+$CG22+各项系数!$J$5+各项系数!$L$5)</f>
        <v>15.277385059959528</v>
      </c>
      <c r="BP22" s="197">
        <f t="shared" si="133"/>
        <v>14.832412679572357</v>
      </c>
      <c r="BQ22" s="196">
        <f>BR22+各项系数!$M$9*$NM22</f>
        <v>15.501119220606538</v>
      </c>
      <c r="BR22" s="196">
        <f>BS22*(1+$CF22+(VLOOKUP($AM22,$A$12:$B$323,2,0))+各项系数!$J$6+各项系数!$M$5)*(1+$E$2)</f>
        <v>15.412425836490764</v>
      </c>
      <c r="BS22" s="197">
        <f>BT22+各项系数!$L$9*$NM22</f>
        <v>15.72696513927629</v>
      </c>
      <c r="BT22" s="197">
        <f>BU22*(1+$CG22+各项系数!$J$5+各项系数!$L$5)</f>
        <v>15.638271755160515</v>
      </c>
      <c r="BU22" s="197">
        <f t="shared" si="134"/>
        <v>15.182788111806325</v>
      </c>
      <c r="BV22" s="196">
        <f>BW22+各项系数!$M$9*$NT22</f>
        <v>15.856395866500733</v>
      </c>
      <c r="BW22" s="196">
        <f>BX22*(1+$CF22+(VLOOKUP($AM22,$A$12:$B$214,2,0))+各项系数!$J$6+各项系数!$M$5)*(1+$E$2)</f>
        <v>15.764299206162912</v>
      </c>
      <c r="BX22" s="197">
        <f>BY22+各项系数!$L$9*$NT$12</f>
        <v>16.086019598125421</v>
      </c>
      <c r="BY22" s="197">
        <f>BZ22*(1+$CG22+各项系数!$J$5+各项系数!$L$5)</f>
        <v>16.077756194970448</v>
      </c>
      <c r="BZ22" s="199">
        <f t="shared" si="11"/>
        <v>15.60947203395189</v>
      </c>
      <c r="CA22" s="196">
        <f>CB22+各项系数!$M$9*$NT22</f>
        <v>16.216058322481235</v>
      </c>
      <c r="CB22" s="196">
        <f>CC22*(1+$CF22+(VLOOKUP($AM22,$A$12:$B$214,2,0))+各项系数!$J$6+各项系数!$M$5)*(1+$E$2)</f>
        <v>16.123961662143415</v>
      </c>
      <c r="CC22" s="197">
        <f>CD22+各项系数!$L$9*$NT$12</f>
        <v>16.453022104227976</v>
      </c>
      <c r="CD22" s="197">
        <f>CE22*(1+$CG22+各项系数!$J$5+各项系数!$L$5)</f>
        <v>16.444758701073003</v>
      </c>
      <c r="CE22" s="199">
        <f t="shared" si="135"/>
        <v>15.965785146672818</v>
      </c>
      <c r="CF22" s="213">
        <f t="shared" si="136"/>
        <v>0</v>
      </c>
      <c r="CG22" s="213">
        <f t="shared" si="12"/>
        <v>0.01</v>
      </c>
      <c r="CH22" s="102"/>
      <c r="CI22" s="196">
        <f>CJ22+各项系数!$M$9*$NO22</f>
        <v>15.32639339700901</v>
      </c>
      <c r="CJ22" s="196">
        <f>CK22*(1+$DC22+(VLOOKUP($AM22,$A$12:$B$323,2,0))+各项系数!$J$6+各项系数!$M$5)*(1+$E$2)+各项系数!$M$9*$NK22</f>
        <v>15.233224589392576</v>
      </c>
      <c r="CK22" s="197">
        <f>CL22+各项系数!$L$9*$NO22</f>
        <v>15.453603270690612</v>
      </c>
      <c r="CL22" s="197">
        <f>CM22*(1+$DD22+各项系数!$J$5+各项系数!$L$5)</f>
        <v>15.360434463074178</v>
      </c>
      <c r="CM22" s="197">
        <f t="shared" si="13"/>
        <v>15.059249473602135</v>
      </c>
      <c r="CN22" s="196">
        <f>CO22+各项系数!$M$9*$NO22</f>
        <v>15.698758650018297</v>
      </c>
      <c r="CO22" s="196">
        <f>CP22*(1+$DC22+(VLOOKUP($AM22,$A$12:$B$323,2,0))+各项系数!$J$6+各项系数!$M$5)*(1+$E$2)+各项系数!$M$9*$NK22</f>
        <v>15.605589842401862</v>
      </c>
      <c r="CP22" s="197">
        <f>CQ22+各项系数!$L$9*$NO22</f>
        <v>15.83356781457764</v>
      </c>
      <c r="CQ22" s="197">
        <f>CR22*(1+$DD22+各项系数!$J$5+各项系数!$L$5)</f>
        <v>15.740399006961205</v>
      </c>
      <c r="CR22" s="197">
        <f t="shared" si="14"/>
        <v>15.431763732314906</v>
      </c>
      <c r="CS22" s="196">
        <f>CT22+各项系数!$M$9*$NU22</f>
        <v>16.077205100862034</v>
      </c>
      <c r="CT22" s="196">
        <f t="shared" si="15"/>
        <v>15.980381587035428</v>
      </c>
      <c r="CU22" s="197">
        <f>CV22+各项系数!$L$9*$NU22</f>
        <v>16.306511823505538</v>
      </c>
      <c r="CV22" s="197">
        <f>CW22*(1+$DD22+各项系数!$J$5+各项系数!$L$5)</f>
        <v>16.209688309678931</v>
      </c>
      <c r="CW22" s="199">
        <f t="shared" si="16"/>
        <v>15.891851283998953</v>
      </c>
      <c r="CX22" s="196">
        <f>CY22+各项系数!$M$9*$NU22</f>
        <v>16.521233217450835</v>
      </c>
      <c r="CY22" s="196">
        <f t="shared" si="17"/>
        <v>16.424409703624228</v>
      </c>
      <c r="CZ22" s="197">
        <f>DA22+各项系数!$L$9*$NU22</f>
        <v>16.759601738392071</v>
      </c>
      <c r="DA22" s="197">
        <f>DB22*(1+$DD22+各项系数!$J$5+各项系数!$L$5)</f>
        <v>16.662778224565464</v>
      </c>
      <c r="DB22" s="199">
        <f t="shared" si="18"/>
        <v>16.336057082907317</v>
      </c>
      <c r="DC22" s="213">
        <f t="shared" si="137"/>
        <v>0</v>
      </c>
      <c r="DD22" s="213">
        <f t="shared" si="19"/>
        <v>0</v>
      </c>
      <c r="DE22" s="53"/>
      <c r="DF22" s="53"/>
      <c r="DG22" s="196">
        <f>DH22+各项系数!$M$9*$NQ22</f>
        <v>15.539178347575492</v>
      </c>
      <c r="DH22" s="196">
        <f>DI22*(1+$EA22+(VLOOKUP($AM22,$A$12:$B$323,2,0))+各项系数!$J$6+各项系数!$M$5)*(1+$E$2)+各项系数!$M$9*$NK22</f>
        <v>15.446009539959057</v>
      </c>
      <c r="DI22" s="197">
        <f>DJ22+各项系数!$L$9*$NQ22</f>
        <v>15.670730771268655</v>
      </c>
      <c r="DJ22" s="197">
        <f>DK22*(1+$EB22+各项系数!$J$5+各项系数!$L$5)</f>
        <v>15.57756196365222</v>
      </c>
      <c r="DK22" s="197">
        <f t="shared" si="20"/>
        <v>15.123846566652642</v>
      </c>
      <c r="DL22" s="196">
        <f>DM22+各项系数!$M$9*$NQ22</f>
        <v>15.915322913935725</v>
      </c>
      <c r="DM22" s="196">
        <f>DN22*(1+$EA22+(VLOOKUP($AM22,$A$12:$B$323,2,0))+各项系数!$J$6+各项系数!$M$5)*(1+$E$2)+各项系数!$M$9*$NK22</f>
        <v>15.822154106319291</v>
      </c>
      <c r="DN22" s="197">
        <f>DO22+各项系数!$L$9*$NQ22</f>
        <v>16.054551757350527</v>
      </c>
      <c r="DO22" s="197">
        <f>DP22*(1+$EB22+各项系数!$J$5+各项系数!$L$5)</f>
        <v>15.961382949734091</v>
      </c>
      <c r="DP22" s="197">
        <f t="shared" si="21"/>
        <v>15.496488300712709</v>
      </c>
      <c r="DQ22" s="196">
        <f>DR22+各项系数!$M$9*$NV22</f>
        <v>16.299188515819555</v>
      </c>
      <c r="DR22" s="196">
        <f t="shared" si="22"/>
        <v>16.202365001992948</v>
      </c>
      <c r="DS22" s="197">
        <f>DT22+各项系数!$L$9*$NV22</f>
        <v>16.533025512237703</v>
      </c>
      <c r="DT22" s="197">
        <f>DU22*(1+$EB22+各项系数!$J$5+各项系数!$L$5)</f>
        <v>16.436201998411097</v>
      </c>
      <c r="DU22" s="199">
        <f t="shared" si="23"/>
        <v>15.957477668360289</v>
      </c>
      <c r="DV22" s="196">
        <f>DW22+各项系数!$M$9*$NV22</f>
        <v>16.434670610327636</v>
      </c>
      <c r="DW22" s="196">
        <f t="shared" si="24"/>
        <v>16.337847096501029</v>
      </c>
      <c r="DX22" s="197">
        <f>DY22+各项系数!$L$9*$NV22</f>
        <v>16.67127254745003</v>
      </c>
      <c r="DY22" s="197">
        <f>DZ22*(1+$EB22+各项系数!$J$5+各项系数!$L$5)</f>
        <v>16.574449033623424</v>
      </c>
      <c r="DZ22" s="199">
        <f t="shared" si="25"/>
        <v>16.091698090896529</v>
      </c>
      <c r="EA22" s="213">
        <f t="shared" ref="EA22:EA53" si="230">BI22+$EA$2</f>
        <v>0</v>
      </c>
      <c r="EB22" s="213">
        <f t="shared" si="27"/>
        <v>0.01</v>
      </c>
      <c r="EC22" s="235">
        <f t="shared" si="138"/>
        <v>1</v>
      </c>
      <c r="ED22" s="235" t="str">
        <f t="shared" si="180"/>
        <v>1*25</v>
      </c>
      <c r="EE22" s="189">
        <f t="shared" si="187"/>
        <v>25</v>
      </c>
      <c r="EF22" s="189" t="str">
        <f>LOOKUP(EH22,{1,7,10,14,19,24,30,37,48,61},{1,"1+6","2+8","4+10","1+6+12","2+8+14","4+10+16","1+6+12+18","3+9+15+21","1+6+12+18+24"})</f>
        <v>1+6</v>
      </c>
      <c r="EG22" s="188">
        <f t="shared" si="29"/>
        <v>1</v>
      </c>
      <c r="EH22" s="197">
        <f>IF(AM22&lt;10,1,IF(AND(AM22&gt;=10,AM22&lt;=35),7,LOOKUP(AM22,{50,70,95,120,150,185,240,300,400,500,630},{10,14,19,24,30,37,48,61,61,61,61})*1))</f>
        <v>7</v>
      </c>
      <c r="EI22" s="188">
        <f>IF(EH22=0,0,VLOOKUP(EH22,各项系数!$D$142:$E$195,2,0))*1</f>
        <v>3</v>
      </c>
      <c r="EJ22" s="238">
        <f t="shared" si="141"/>
        <v>208.046961644752</v>
      </c>
      <c r="EK22" s="189">
        <f t="shared" si="181"/>
        <v>0</v>
      </c>
      <c r="EL22" s="189">
        <f t="shared" si="31"/>
        <v>0</v>
      </c>
      <c r="EM22" s="189">
        <f t="shared" si="182"/>
        <v>0</v>
      </c>
      <c r="EN22" s="189">
        <f>IF(EP22=0,0,LOOKUP(EP22,{1,7,10,14,19,24,30,37,48,61},{1,"1+6","2+8","4+10","1+6+12","2+8+14","4+10+16","1+6+12+18","3+9+15+21","1+6+12+18+24"}))</f>
        <v>0</v>
      </c>
      <c r="EO22" s="189">
        <f t="shared" si="183"/>
        <v>0</v>
      </c>
      <c r="EP22" s="189">
        <f>IF(EM22=0,0,IF(EM22&lt;10,1,IF(AND(EM22&gt;=10,EM22&lt;=35),7,LOOKUP(EM22,{50,70,95,120,150,185,240,300},{10,14,19,24,30,37,48,61})*1)))</f>
        <v>0</v>
      </c>
      <c r="EQ22" s="189">
        <f>IF(EP22=0,0,VLOOKUP(EP22,各项系数!$D$142:$E$195,2,0))*1</f>
        <v>0</v>
      </c>
      <c r="ER22" s="189">
        <f t="shared" si="184"/>
        <v>0</v>
      </c>
      <c r="ES22" s="235">
        <f t="shared" si="185"/>
        <v>1</v>
      </c>
      <c r="ET22" s="189">
        <f>VLOOKUP(ES22,各项系数!$D$142:$E$195,2,0)*1</f>
        <v>1</v>
      </c>
      <c r="EU22" s="243">
        <f>((各项系数!$F$76/4*$EJ22^2*$EG22*$EH22*1*10^-7)*(1-$H22)*AA22)*(VLOOKUP($EY$9,各项系数!$D$4:$F$143,3,0))*各项系数!$J$4</f>
        <v>0.21280737466777744</v>
      </c>
      <c r="EV22" s="244">
        <f>EU22*(VLOOKUP($EY$9,各项系数!$D$4:$F$143,2,0))</f>
        <v>13.938883040739423</v>
      </c>
      <c r="EW22" s="252">
        <f>(IF($EO22=0,0,(各项系数!$F$76/4*$ER22^2*$EO22*$EP22*1*10^-7))*(1-$K22)*$AF22)*(VLOOKUP($EY$9,各项系数!$D$4:$F$143,3,0))*各项系数!$J$4</f>
        <v>0</v>
      </c>
      <c r="EX22" s="253">
        <f>EW22*(VLOOKUP($EY$9,各项系数!$D$4:$F$143,2,0))</f>
        <v>0</v>
      </c>
      <c r="EY22" s="189">
        <f>((各项系数!$F$76/4*$EJ22^2*$EG22*$EH22*1*10^-7)*(1-$H22)*AA22+IF($EO22=0,0,(各项系数!$F$76/4*$ER22^2*$EO22*$EP22*1*10^-7))*(1-$K22)*$AF22)*(VLOOKUP($EY$9,各项系数!$D$4:$F$143,3,0))*各项系数!$J$4</f>
        <v>0.21280737466777744</v>
      </c>
      <c r="EZ22" s="102">
        <v>1</v>
      </c>
      <c r="FA22" s="189">
        <f t="shared" si="188"/>
        <v>0.21280737466777744</v>
      </c>
      <c r="FB22" s="254">
        <f>FA22*(VLOOKUP($EY$9,各项系数!$D$4:$F$143,2,0))</f>
        <v>13.938883040739423</v>
      </c>
      <c r="FC22" s="255"/>
      <c r="FD22" s="235">
        <f>各项系数!$F$76/4*($MN22^2-MK22^2)*10^-2*(VLOOKUP(L22,各项系数!$D$1:$F$143,3,0))*10^-3*10^2*$EG22*各项系数!$J$4</f>
        <v>2.2099988416574751E-2</v>
      </c>
      <c r="FE22" s="262">
        <f>FD22*VLOOKUP(L22,各项系数!$D$1:$F$143,2,0)</f>
        <v>0.22541988184906245</v>
      </c>
      <c r="FF22" s="188">
        <f>各项系数!$F$76/4*($MO22^2-ML22^2)*10^-2*(VLOOKUP(L22,各项系数!$D$1:$F$143,3,0))*10^-3*10^2*$EO22*各项系数!$J$4</f>
        <v>0</v>
      </c>
      <c r="FG22" s="262">
        <f>FF22*VLOOKUP(L22,各项系数!$D$1:$F$143,2,0)</f>
        <v>0</v>
      </c>
      <c r="FH22" s="235">
        <f t="shared" si="142"/>
        <v>2.2099988416574751E-2</v>
      </c>
      <c r="FI22" s="102">
        <v>1</v>
      </c>
      <c r="FJ22" s="189">
        <f t="shared" si="189"/>
        <v>2.2099988416574751E-2</v>
      </c>
      <c r="FK22" s="262">
        <f>FJ22*VLOOKUP(L22,各项系数!$D$1:$F$143,2,0)</f>
        <v>0.22541988184906245</v>
      </c>
      <c r="FL22" s="235"/>
      <c r="FM22" s="102"/>
      <c r="FN22" s="189"/>
      <c r="FO22" s="262"/>
      <c r="FP22" s="282">
        <f t="shared" si="190"/>
        <v>2.2099988416574751E-2</v>
      </c>
      <c r="FQ22" s="282">
        <f t="shared" si="191"/>
        <v>0.22541988184906245</v>
      </c>
      <c r="FR22" s="283">
        <f>各项系数!$F$76/4*($MQ22^2-$MN22^2*$EG22-$MO22^2*$EO22)*10^-2</f>
        <v>0</v>
      </c>
      <c r="FS22" s="284">
        <f t="shared" si="143"/>
        <v>1</v>
      </c>
      <c r="FT22" s="285">
        <f t="shared" si="40"/>
        <v>0</v>
      </c>
      <c r="FU22" s="302">
        <f>$FT22*(VLOOKUP($FT$9,各项系数!$D$1:$F$143,3,0))*10^-3*10^2*各项系数!$J$55</f>
        <v>0</v>
      </c>
      <c r="FV22" s="303">
        <v>1</v>
      </c>
      <c r="FW22" s="304">
        <f t="shared" si="192"/>
        <v>0</v>
      </c>
      <c r="FX22" s="285">
        <f>FW22*(VLOOKUP($FT$9,各项系数!$D$1:$F$143,2,0))</f>
        <v>0</v>
      </c>
      <c r="FY22" s="302">
        <f>IF($BK22&lt;&gt;$FY$9,0,各项系数!$F$76/4*($MS22^2-$MQ22^2)*10^-2*(VLOOKUP($FY$9,各项系数!$D$1:$F$143,3,0))*10^-3*10^2)*各项系数!$J$4</f>
        <v>0</v>
      </c>
      <c r="FZ22" s="303">
        <v>1</v>
      </c>
      <c r="GA22" s="304">
        <f t="shared" si="193"/>
        <v>0</v>
      </c>
      <c r="GB22" s="285">
        <f>GA22*(VLOOKUP($FY$9,各项系数!$D$1:$F$143,2,0))</f>
        <v>0</v>
      </c>
      <c r="GC22" s="302">
        <f>IF($BK22&lt;&gt;$GC$9,0,各项系数!$F$76/4*($MS22^2-$MQ22^2)*10^-2*(VLOOKUP($GC$9,各项系数!$D$1:$F$143,3,0))*10^-3*10^2)*各项系数!$J$4</f>
        <v>0</v>
      </c>
      <c r="GD22" s="303">
        <v>1</v>
      </c>
      <c r="GE22" s="304">
        <f t="shared" si="194"/>
        <v>0</v>
      </c>
      <c r="GF22" s="285">
        <f>GE22*(VLOOKUP($GC$9,各项系数!$D$1:$F$143,2,0))</f>
        <v>0</v>
      </c>
      <c r="GG22" s="302">
        <f>IF($BK22&lt;&gt;$GG$9,0,各项系数!$F$76/4*($MS22^2-$MQ22^2)*10^-2*(VLOOKUP($GG$9,各项系数!$D$1:$F$143,3,0))*10^-3*10^2)*各项系数!$J$4</f>
        <v>0</v>
      </c>
      <c r="GH22" s="303">
        <v>1</v>
      </c>
      <c r="GI22" s="304">
        <f t="shared" si="195"/>
        <v>0</v>
      </c>
      <c r="GJ22" s="285">
        <f>GI22*(VLOOKUP($GG$9,各项系数!$D$1:$F$143,2,0))</f>
        <v>0</v>
      </c>
      <c r="GK22" s="302">
        <f>IF($BK22&lt;&gt;$GK$9,0,各项系数!$F$76/4*($MS22^2-$MQ22^2)*10^-2*(VLOOKUP($GK$9,各项系数!$D$1:$F$143,3,0))*10^-3*10^2)*各项系数!$J$4</f>
        <v>0</v>
      </c>
      <c r="GL22" s="303">
        <v>1</v>
      </c>
      <c r="GM22" s="304">
        <f t="shared" si="196"/>
        <v>0</v>
      </c>
      <c r="GN22" s="285">
        <f>GM22*(VLOOKUP($GK$9,各项系数!$D$1:$F$143,2,0))</f>
        <v>0</v>
      </c>
      <c r="GO22" s="304">
        <f t="shared" si="197"/>
        <v>0</v>
      </c>
      <c r="GP22" s="304">
        <f t="shared" si="198"/>
        <v>0</v>
      </c>
      <c r="GQ22" s="315">
        <f>各项系数!$F$76/4*($MU22^2-$MS22^2)*10^-2*(VLOOKUP($S22,各项系数!$D$1:$F$143,3,0))*10^-3*10^2*各项系数!$J$4</f>
        <v>6.1170266161289379E-2</v>
      </c>
      <c r="GR22" s="303">
        <v>1</v>
      </c>
      <c r="GS22" s="304">
        <f t="shared" si="199"/>
        <v>6.1170266161289379E-2</v>
      </c>
      <c r="GT22" s="304">
        <f t="shared" si="200"/>
        <v>1</v>
      </c>
      <c r="GU22" s="304">
        <f>ROUND($GS22*(VLOOKUP($S22,各项系数!$D$1:$F$143,2,0))+$E$3*GS22,GT22)</f>
        <v>0.7</v>
      </c>
      <c r="GV22" s="315">
        <f>各项系数!$F$76/4*($MT22^2-$MS22^2)*10^-2*(VLOOKUP($GV$9,各项系数!$D$1:$F$143,3,0))*10^-3*10^2*各项系数!$J$4*PI()/4*R22</f>
        <v>1.1344254073487577E-2</v>
      </c>
      <c r="GW22" s="303">
        <v>1</v>
      </c>
      <c r="GX22" s="304">
        <f t="shared" si="201"/>
        <v>1.1344254073487577E-2</v>
      </c>
      <c r="GY22" s="304">
        <f>$GX22*(VLOOKUP($GV$9,各项系数!$D$1:$F$143,2,0))</f>
        <v>0.76573714996041142</v>
      </c>
      <c r="GZ22" s="315">
        <f>各项系数!$F$76/4*($MV22^2-$MS22^2)*10^-2*(VLOOKUP($GZ$9,各项系数!$D$1:$F$143,3,0))*10^-3*10^2*各项系数!$J$4</f>
        <v>5.9910893483402353E-2</v>
      </c>
      <c r="HA22" s="303">
        <v>1</v>
      </c>
      <c r="HB22" s="304">
        <f t="shared" si="144"/>
        <v>5.9910893483402353E-2</v>
      </c>
      <c r="HC22" s="304">
        <f>HB22*(VLOOKUP($GZ$9,各项系数!$D$1:$F$143,2,0))</f>
        <v>1.0184851892178399</v>
      </c>
      <c r="HD22" s="315">
        <f>各项系数!$F$76/4*($MW22^2-$MT22^2)*10^-2*(VLOOKUP($HD$9,各项系数!$D$1:$F$143,3,0))*10^-3*10^2*各项系数!$J$4</f>
        <v>6.0926180830818875E-2</v>
      </c>
      <c r="HE22" s="303">
        <v>1</v>
      </c>
      <c r="HF22" s="304">
        <f t="shared" si="145"/>
        <v>6.0926180830818875E-2</v>
      </c>
      <c r="HG22" s="304">
        <f>HF22*(VLOOKUP($HD$9,各项系数!$D$1:$F$143,2,0))</f>
        <v>1.0357450741239209</v>
      </c>
      <c r="HH22" s="315">
        <f>各项系数!$F$76/4*($MV22^2-$MS22^2)*10^-2*(VLOOKUP($HH$9,各项系数!$D$1:$F$143,3,0))*10^-3*10^2*各项系数!$J$4</f>
        <v>5.9910893483402353E-2</v>
      </c>
      <c r="HI22" s="322">
        <v>1</v>
      </c>
      <c r="HJ22" s="304">
        <f t="shared" si="146"/>
        <v>5.9910893483402353E-2</v>
      </c>
      <c r="HK22" s="304">
        <f>HJ22*(VLOOKUP($HH$9,各项系数!$D$1:$F$143,2,0))</f>
        <v>1.0184851892178399</v>
      </c>
      <c r="HL22" s="315">
        <f>各项系数!$F$76/4*($MW22^2-$MT22^2)*10^-2*(VLOOKUP($HL$9,各项系数!$D$1:$F$143,3,0))*10^-3*10^2*各项系数!$J$4</f>
        <v>6.0926180830818875E-2</v>
      </c>
      <c r="HM22" s="322">
        <v>1</v>
      </c>
      <c r="HN22" s="304">
        <f t="shared" si="147"/>
        <v>6.0926180830818875E-2</v>
      </c>
      <c r="HO22" s="304">
        <f>HN22*(VLOOKUP($HL$9,各项系数!$D$1:$F$143,2,0))</f>
        <v>1.0357450741239209</v>
      </c>
      <c r="HP22" s="315">
        <f>各项系数!$F$76/4*($MV22^2-$MS22^2)*10^-2*(VLOOKUP(AN22,各项系数!$D$1:$F$143,3,0))*10^-3*10^2*各项系数!$J$4</f>
        <v>6.0737250634897558E-2</v>
      </c>
      <c r="HQ22" s="303">
        <v>1</v>
      </c>
      <c r="HR22" s="304">
        <f t="shared" si="202"/>
        <v>6.0737250634897558E-2</v>
      </c>
      <c r="HS22" s="304">
        <f>HR22*(VLOOKUP(AN22,各项系数!$D$1:$F$143,2,0))</f>
        <v>0.60737250634897555</v>
      </c>
      <c r="HT22" s="315">
        <f>各项系数!$F$76/4*($MW22^2-$MT22^2)*10^-2*(VLOOKUP(AN22,各项系数!$D$1:$F$143,3,0))*10^-3*10^2*各项系数!$J$4</f>
        <v>6.176654194572672E-2</v>
      </c>
      <c r="HU22" s="303">
        <v>1</v>
      </c>
      <c r="HV22" s="304">
        <f t="shared" si="203"/>
        <v>6.176654194572672E-2</v>
      </c>
      <c r="HW22" s="304">
        <f>HV22*(VLOOKUP(AN22,各项系数!$D$1:$F$143,2,0))</f>
        <v>0.61766541945726716</v>
      </c>
      <c r="HX22" s="315">
        <f>各项系数!$F$76/4*($MV22^2-$MS22^2)*10^-2*(VLOOKUP($HX$9,各项系数!$D$1:$F$143,3,0))*10^-3*10^2*各项系数!$J$4</f>
        <v>6.0737250634897558E-2</v>
      </c>
      <c r="HY22" s="322">
        <v>1</v>
      </c>
      <c r="HZ22" s="304">
        <f t="shared" si="204"/>
        <v>6.0737250634897558E-2</v>
      </c>
      <c r="IA22" s="304">
        <f>HZ22*(VLOOKUP($HX$9,各项系数!$D$1:$F$143,2,0))</f>
        <v>0.66810975698387309</v>
      </c>
      <c r="IB22" s="315">
        <f>各项系数!$F$76/4*($MW22^2-$MT22^2)*10^-2*(VLOOKUP($IB$9,各项系数!$D$1:$F$143,3,0))*10^-3*10^2*各项系数!$J$4</f>
        <v>6.176654194572672E-2</v>
      </c>
      <c r="IC22" s="322">
        <v>1</v>
      </c>
      <c r="ID22" s="304">
        <f t="shared" si="205"/>
        <v>6.176654194572672E-2</v>
      </c>
      <c r="IE22" s="304">
        <f>ID22*(VLOOKUP($IB$9,各项系数!$D$1:$F$143,2,0))</f>
        <v>0.67943196140299389</v>
      </c>
      <c r="IF22" s="328"/>
      <c r="IG22" s="315">
        <f t="shared" si="148"/>
        <v>9.2014604138743392E-3</v>
      </c>
      <c r="IH22" s="303">
        <v>1</v>
      </c>
      <c r="II22" s="304">
        <f t="shared" si="206"/>
        <v>9.2014604138743392E-3</v>
      </c>
      <c r="IJ22" s="304">
        <f>II22*(VLOOKUP($IG$8,各项系数!$D$1:$F$143,2,0))</f>
        <v>0.23003651034685849</v>
      </c>
      <c r="IK22" s="315">
        <f>(各项系数!$F$76/4*($MX22^2-$MK22^2)*$EG22)*10^-2*(VLOOKUP($IG$8,各项系数!$D$1:$F$143,3,0))*10^-3*10^2*各项系数!$J$4</f>
        <v>9.2014604138743392E-3</v>
      </c>
      <c r="IL22" s="303">
        <f>IK22*(VLOOKUP($IG$8,各项系数!$D$1:$F$143,2,0))</f>
        <v>0.23003651034685849</v>
      </c>
      <c r="IM22" s="304">
        <f>(各项系数!$F$76/4*(($MM22+3*$X22)^2-MM22^2)*$EO22)*10^-2*(VLOOKUP($IG$8,各项系数!$D$1:$F$143,3,0))*10^-3*10^2*各项系数!$J$4</f>
        <v>0</v>
      </c>
      <c r="IN22" s="303">
        <f>IM22*(VLOOKUP($IG$8,各项系数!$D$1:$F$143,2,0))</f>
        <v>0</v>
      </c>
      <c r="IO22" s="315">
        <f>各项系数!$F$76/4*($MZ22^2-$MX22^2)*10^-2*(VLOOKUP(L22,各项系数!$D$1:$F$143,3,0))*10^-3*10^2*$ES22*各项系数!$J$4</f>
        <v>2.3956763922625936E-2</v>
      </c>
      <c r="IP22" s="303">
        <v>1</v>
      </c>
      <c r="IQ22" s="304">
        <f t="shared" si="207"/>
        <v>2.3956763922625936E-2</v>
      </c>
      <c r="IR22" s="285">
        <f>IQ22*(VLOOKUP(L22,各项系数!$D$1:$F$143,2,0))</f>
        <v>0.24435899201078454</v>
      </c>
      <c r="IS22" s="315">
        <f>IF($L22&lt;&gt;$IS$9,0,各项系数!$F$76/4*($MZ22^2-$MX22^2)*10^-2*各项系数!$F$12*10^-3*10^2)*$ES22*各项系数!$J$4</f>
        <v>0</v>
      </c>
      <c r="IT22" s="303">
        <v>1</v>
      </c>
      <c r="IU22" s="304">
        <f t="shared" si="208"/>
        <v>0</v>
      </c>
      <c r="IV22" s="285">
        <f>IU22*各项系数!$E$12</f>
        <v>0</v>
      </c>
      <c r="IW22" s="302">
        <f t="shared" si="209"/>
        <v>2.3956763922625936E-2</v>
      </c>
      <c r="IX22" s="302">
        <f t="shared" si="210"/>
        <v>0.24435899201078454</v>
      </c>
      <c r="IY22" s="339">
        <f>各项系数!$F$76/4*($NB22^2-$MZ22^2*$EG22-$NA22^2*$EO22)*10^-2</f>
        <v>0</v>
      </c>
      <c r="IZ22" s="284">
        <f t="shared" ref="IZ22:IZ85" si="231">VLOOKUP(EC22,$A$38:$B$65,2,0)</f>
        <v>1</v>
      </c>
      <c r="JA22" s="285">
        <f t="shared" si="64"/>
        <v>0</v>
      </c>
      <c r="JB22" s="282">
        <f>IF($DE22&lt;&gt;$JB$9,0,$JA22*各项系数!$F$32*10^-3*10^2)*各项系数!$J$4</f>
        <v>0</v>
      </c>
      <c r="JC22" s="102">
        <v>1</v>
      </c>
      <c r="JD22" s="189">
        <f t="shared" si="211"/>
        <v>0</v>
      </c>
      <c r="JE22" s="262">
        <f>JD22*各项系数!$E$32</f>
        <v>0</v>
      </c>
      <c r="JF22" s="282">
        <f>IF($DE22&lt;&gt;$JF$9,0,$JA22*VLOOKUP($JF$9,各项系数!$D$4:$F$540,2,0)*10^-3*10^2)*各项系数!$J$4</f>
        <v>0</v>
      </c>
      <c r="JG22" s="102">
        <v>1</v>
      </c>
      <c r="JH22" s="189">
        <f t="shared" si="66"/>
        <v>0</v>
      </c>
      <c r="JI22" s="262">
        <f>JH22*VLOOKUP($JF$9,各项系数!$D$4:$F$540,3,0)</f>
        <v>0</v>
      </c>
      <c r="JJ22" s="282">
        <f t="shared" si="212"/>
        <v>0</v>
      </c>
      <c r="JK22" s="189">
        <f t="shared" si="213"/>
        <v>0</v>
      </c>
      <c r="JL22" s="282">
        <f>IF($DF22&lt;&gt;$JL$9,0,各项系数!$F$76/4*($NE22^2-$NC22^2)*10^-2*各项系数!$F$39*10^-3*10^2)*各项系数!$J$4</f>
        <v>0</v>
      </c>
      <c r="JM22" s="102">
        <v>1</v>
      </c>
      <c r="JN22" s="189">
        <f t="shared" si="214"/>
        <v>0</v>
      </c>
      <c r="JO22" s="262">
        <f>JN22*各项系数!$E$39</f>
        <v>0</v>
      </c>
      <c r="JP22" s="282">
        <f>IF($DF22&lt;&gt;$JP$9,0,各项系数!$F$76/4*($NE22^2-$NC22^2)*10^-2*各项系数!$F$36*10^-3*10^2)*各项系数!$J$4</f>
        <v>0</v>
      </c>
      <c r="JQ22" s="102">
        <v>1</v>
      </c>
      <c r="JR22" s="189">
        <f t="shared" si="215"/>
        <v>0</v>
      </c>
      <c r="JS22" s="262">
        <f>JR22*各项系数!$E$36</f>
        <v>0</v>
      </c>
      <c r="JT22" s="282">
        <f>IF($DF22&lt;&gt;$JT$9,0,各项系数!$F$76/4*($NE22^2-$NC22^2)*10^-2*各项系数!$F$40*10^-3*10^2)*各项系数!$J$4</f>
        <v>0</v>
      </c>
      <c r="JU22" s="102">
        <v>1</v>
      </c>
      <c r="JV22" s="189">
        <f t="shared" si="216"/>
        <v>0</v>
      </c>
      <c r="JW22" s="262">
        <f>JV22*各项系数!$E$40</f>
        <v>0</v>
      </c>
      <c r="JX22" s="282">
        <f>IF($DF22&lt;&gt;$JX$9,0,各项系数!$F$76/4*($NE22^2-$NC22^2)*10^-2*各项系数!$F$38*10^-3*10^2)*各项系数!$J$4</f>
        <v>0</v>
      </c>
      <c r="JY22" s="102">
        <v>1</v>
      </c>
      <c r="JZ22" s="189">
        <f t="shared" si="217"/>
        <v>0</v>
      </c>
      <c r="KA22" s="262">
        <f>JZ22*各项系数!$E$38</f>
        <v>0</v>
      </c>
      <c r="KB22" s="282">
        <f>IF($DF22&lt;&gt;$KB$9,0,各项系数!$F$76/4*($NE22^2-$NC22^2)*10^-2*各项系数!$F$41*10^-3*10^2)*各项系数!$J$4</f>
        <v>0</v>
      </c>
      <c r="KC22" s="102">
        <v>1</v>
      </c>
      <c r="KD22" s="189">
        <f t="shared" si="218"/>
        <v>0</v>
      </c>
      <c r="KE22" s="262">
        <f>KD22*各项系数!$E$41</f>
        <v>0</v>
      </c>
      <c r="KF22" s="189">
        <f t="shared" si="219"/>
        <v>0</v>
      </c>
      <c r="KG22" s="189">
        <f t="shared" si="220"/>
        <v>0</v>
      </c>
      <c r="KH22" s="235">
        <f>各项系数!$F$76/4*($NG22^2-$NE22^2)*10^-2*各项系数!$F$44*10^-3*10^2*各项系数!$J$4*0.75*$U22</f>
        <v>9.8355392177079462E-2</v>
      </c>
      <c r="KI22" s="102">
        <v>1</v>
      </c>
      <c r="KJ22" s="189">
        <f t="shared" si="221"/>
        <v>9.8355392177079462E-2</v>
      </c>
      <c r="KK22" s="189">
        <f>ROUND(KJ22*各项系数!$E$44,GT22)</f>
        <v>1.1000000000000001</v>
      </c>
      <c r="KL22" s="235">
        <f>各项系数!$F$76/4*($NF22^2-$NE22^2)*10^-2*各项系数!$F$46*10^-3*10^2*各项系数!$J$4*PI()/4*R22</f>
        <v>1.2182354033904084E-2</v>
      </c>
      <c r="KM22" s="102">
        <v>1</v>
      </c>
      <c r="KN22" s="189">
        <f t="shared" si="222"/>
        <v>1.2182354033904084E-2</v>
      </c>
      <c r="KO22" s="189">
        <f>KN22*各项系数!$E$46</f>
        <v>0.82230889728852563</v>
      </c>
      <c r="KP22" s="235">
        <f>各项系数!$F$76/4*($NH22^2-$NE22^2)*10^-2*(VLOOKUP($KP$9,各项系数!$D$1:$F$143,3,0))*10^-3*10^2*各项系数!$J$4</f>
        <v>6.3718221036214315E-2</v>
      </c>
      <c r="KQ22" s="102">
        <v>1</v>
      </c>
      <c r="KR22" s="189">
        <f t="shared" si="150"/>
        <v>6.3718221036214315E-2</v>
      </c>
      <c r="KS22" s="189">
        <f>KR22*(VLOOKUP($KP$9,各项系数!$D$1:$F$143,2,0))</f>
        <v>1.0832097576156434</v>
      </c>
      <c r="KT22" s="235">
        <f>各项系数!$F$76/4*($NI22^2-$NF22^2)*10^-2*(VLOOKUP($KT$9,各项系数!$D$1:$F$143,3,0))*10^-3*10^2*各项系数!$J$4</f>
        <v>6.4733508383630817E-2</v>
      </c>
      <c r="KU22" s="102">
        <v>1</v>
      </c>
      <c r="KV22" s="189">
        <f t="shared" si="151"/>
        <v>6.4733508383630817E-2</v>
      </c>
      <c r="KW22" s="189">
        <f>KV22*(VLOOKUP($KT$9,各项系数!$D$1:$F$143,2,0))</f>
        <v>1.100469642521724</v>
      </c>
      <c r="KX22" s="189">
        <f>各项系数!$F$76/4*($NH22^2-$NE22^2)*10^-2*(VLOOKUP($KX$9,各项系数!$D$1:$F$143,3,0))*10^-3*10^2*各项系数!$J$4</f>
        <v>6.3718221036214315E-2</v>
      </c>
      <c r="KY22" s="353">
        <v>1</v>
      </c>
      <c r="KZ22" s="189">
        <f t="shared" si="152"/>
        <v>6.3718221036214315E-2</v>
      </c>
      <c r="LA22" s="189">
        <f>KZ22*(VLOOKUP($KX$9,各项系数!$D$1:$F$143,2,0))</f>
        <v>1.0832097576156434</v>
      </c>
      <c r="LB22" s="189">
        <f>各项系数!$F$76/4*($NI22^2-$NF22^2)*10^-2*(VLOOKUP($LB$9,各项系数!$D$1:$F$143,3,0))*10^-3*10^2*各项系数!$J$4</f>
        <v>6.4733508383630817E-2</v>
      </c>
      <c r="LC22" s="353">
        <v>1</v>
      </c>
      <c r="LD22" s="189">
        <f t="shared" si="153"/>
        <v>6.4733508383630817E-2</v>
      </c>
      <c r="LE22" s="189">
        <f>LD22*(VLOOKUP($LB$9,各项系数!$D$1:$F$143,2,0))</f>
        <v>1.100469642521724</v>
      </c>
      <c r="LF22" s="235">
        <f>各项系数!$F$76/4*($NH22^2-$NE22^2)*10^-2*(VLOOKUP(AN22,各项系数!$D$1:$F$143,3,0))*10^-3*10^2*各项系数!$J$4</f>
        <v>6.4597093050506926E-2</v>
      </c>
      <c r="LG22" s="102">
        <v>1</v>
      </c>
      <c r="LH22" s="189">
        <f t="shared" si="223"/>
        <v>6.4597093050506926E-2</v>
      </c>
      <c r="LI22" s="189">
        <f>LH22*(VLOOKUP(AN22,各项系数!$D$1:$F$143,2,0))</f>
        <v>0.64597093050506926</v>
      </c>
      <c r="LJ22" s="235">
        <f>各项系数!$F$76/4*($NI22^2-$NF22^2)*10^-2*(VLOOKUP(AN22,各项系数!$D$1:$F$143,3,0))*10^-3*10^2*各项系数!$J$4</f>
        <v>6.5626384361336068E-2</v>
      </c>
      <c r="LK22" s="102">
        <v>1</v>
      </c>
      <c r="LL22" s="189">
        <f t="shared" si="224"/>
        <v>6.5626384361336068E-2</v>
      </c>
      <c r="LM22" s="189">
        <f>LL22*(VLOOKUP(AN22,各项系数!$D$1:$F$143,2,0))</f>
        <v>0.65626384361336065</v>
      </c>
      <c r="LN22" s="189">
        <f>各项系数!$F$76/4*($NH22^2-$NE22^2)*10^-2*(VLOOKUP($LN$9,各项系数!$D$1:$F$143,3,0))*10^-3*10^2*各项系数!$J$4</f>
        <v>6.4597093050506926E-2</v>
      </c>
      <c r="LO22" s="353">
        <v>1</v>
      </c>
      <c r="LP22" s="189">
        <f t="shared" si="225"/>
        <v>6.4597093050506926E-2</v>
      </c>
      <c r="LQ22" s="189">
        <f>LP22*(VLOOKUP($LN$9,各项系数!$D$1:$F$143,2,0))</f>
        <v>0.71056802355557624</v>
      </c>
      <c r="LR22" s="189">
        <f>各项系数!$F$76/4*($NI22^2-$NF22^2)*10^-2*(VLOOKUP($LR$9,各项系数!$D$1:$F$143,3,0))*10^-3*10^2*各项系数!$J$4</f>
        <v>6.5626384361336068E-2</v>
      </c>
      <c r="LS22" s="353">
        <v>1</v>
      </c>
      <c r="LT22" s="189">
        <f t="shared" si="226"/>
        <v>6.5626384361336068E-2</v>
      </c>
      <c r="LU22" s="189">
        <f>LT22*(VLOOKUP($LR$9,各项系数!$D$1:$F$143,2,0))</f>
        <v>0.72189022797469671</v>
      </c>
      <c r="LV22" s="227">
        <f t="shared" si="154"/>
        <v>30.595330409999999</v>
      </c>
      <c r="LW22" s="227">
        <f t="shared" si="155"/>
        <v>23.796368090000001</v>
      </c>
      <c r="LX22" s="227">
        <f t="shared" si="156"/>
        <v>5.5044052242964412</v>
      </c>
      <c r="LY22" s="227">
        <f t="shared" si="157"/>
        <v>6.7989623199999976</v>
      </c>
      <c r="LZ22" s="374">
        <f t="shared" si="86"/>
        <v>1</v>
      </c>
      <c r="MA22" s="375">
        <f t="shared" si="87"/>
        <v>30.595330409999999</v>
      </c>
      <c r="MB22" s="375">
        <f t="shared" si="158"/>
        <v>6.2414088599999999</v>
      </c>
      <c r="MC22" s="227">
        <f t="shared" si="159"/>
        <v>0</v>
      </c>
      <c r="MD22" s="227">
        <f t="shared" si="160"/>
        <v>0</v>
      </c>
      <c r="ME22" s="227">
        <f t="shared" si="161"/>
        <v>0</v>
      </c>
      <c r="MF22" s="227">
        <f t="shared" si="162"/>
        <v>0</v>
      </c>
      <c r="MG22" s="374">
        <f t="shared" si="163"/>
        <v>1</v>
      </c>
      <c r="MH22" s="375">
        <f t="shared" si="88"/>
        <v>0</v>
      </c>
      <c r="MI22" s="375">
        <f t="shared" si="164"/>
        <v>0</v>
      </c>
      <c r="MJ22" s="189">
        <f t="shared" si="89"/>
        <v>6.2414088599999999</v>
      </c>
      <c r="MK22" s="189">
        <f t="shared" si="165"/>
        <v>6.2414088599999999</v>
      </c>
      <c r="ML22" s="189">
        <f t="shared" si="227"/>
        <v>0</v>
      </c>
      <c r="MM22" s="189">
        <f t="shared" si="91"/>
        <v>0</v>
      </c>
      <c r="MN22" s="189">
        <f t="shared" si="92"/>
        <v>8.0414088600000007</v>
      </c>
      <c r="MO22" s="189">
        <f t="shared" si="166"/>
        <v>0</v>
      </c>
      <c r="MP22" s="189">
        <f t="shared" si="167"/>
        <v>8.0414088600000007</v>
      </c>
      <c r="MQ22" s="189">
        <f t="shared" si="228"/>
        <v>8.0414088600000007</v>
      </c>
      <c r="MR22" s="246">
        <f t="shared" si="168"/>
        <v>8.0414088600000007</v>
      </c>
      <c r="MS22" s="380">
        <f t="shared" si="94"/>
        <v>8.0414088600000007</v>
      </c>
      <c r="MT22" s="380">
        <f t="shared" si="95"/>
        <v>8.2014088600000008</v>
      </c>
      <c r="MU22" s="380">
        <f t="shared" ref="MU22:MU75" si="232">MS22+(T22*U22*1.5)</f>
        <v>8.6414088600000003</v>
      </c>
      <c r="MV22" s="380">
        <f t="shared" si="97"/>
        <v>10.841408860000001</v>
      </c>
      <c r="MW22" s="380">
        <f t="shared" si="98"/>
        <v>11.001408860000002</v>
      </c>
      <c r="MX22" s="254">
        <f t="shared" ref="MX22:MX75" si="233">MK22+3*X22</f>
        <v>6.8414088599999996</v>
      </c>
      <c r="MY22" s="254">
        <f t="shared" si="100"/>
        <v>0</v>
      </c>
      <c r="MZ22" s="189">
        <f t="shared" si="101"/>
        <v>8.6414088600000003</v>
      </c>
      <c r="NA22" s="189">
        <f t="shared" si="102"/>
        <v>0</v>
      </c>
      <c r="NB22" s="189">
        <f t="shared" si="169"/>
        <v>8.6414088600000003</v>
      </c>
      <c r="NC22" s="254">
        <f t="shared" si="229"/>
        <v>8.6414088600000003</v>
      </c>
      <c r="ND22" s="246">
        <f t="shared" ref="ND22:ND76" si="234">IF(IY22=0,NC22,ROUND(SQRT((PI()*NC22*NC22/4-(IY22-JA22))*4/PI()),8))</f>
        <v>8.6414088600000003</v>
      </c>
      <c r="NE22" s="386">
        <f t="shared" ref="NE22:NE76" si="235">ND22+3*O22</f>
        <v>8.6414088600000003</v>
      </c>
      <c r="NF22" s="380">
        <f t="shared" si="106"/>
        <v>8.8014088600000004</v>
      </c>
      <c r="NG22" s="387">
        <f t="shared" ref="NG22:NG75" si="236">NE22+(T22*U22*1.5)</f>
        <v>9.2414088599999999</v>
      </c>
      <c r="NH22" s="254">
        <f t="shared" si="108"/>
        <v>11.441408859999999</v>
      </c>
      <c r="NI22" s="380">
        <f t="shared" si="109"/>
        <v>11.601408859999999</v>
      </c>
      <c r="NK22" s="388">
        <f t="shared" si="110"/>
        <v>0.29564461371924977</v>
      </c>
      <c r="NL22" s="388">
        <f t="shared" si="111"/>
        <v>14.77167542893746</v>
      </c>
      <c r="NM22" s="388">
        <f t="shared" si="112"/>
        <v>0.29564461371924977</v>
      </c>
      <c r="NN22" s="388">
        <f t="shared" si="113"/>
        <v>14.832412679572357</v>
      </c>
      <c r="NO22" s="388">
        <f t="shared" si="114"/>
        <v>0.31056269205478465</v>
      </c>
      <c r="NP22" s="388">
        <f t="shared" si="115"/>
        <v>15.059249473602135</v>
      </c>
      <c r="NQ22" s="388">
        <f t="shared" si="116"/>
        <v>0.31056269205478465</v>
      </c>
      <c r="NR22" s="388">
        <f t="shared" si="117"/>
        <v>15.123846566652642</v>
      </c>
      <c r="NS22" s="388">
        <f t="shared" si="118"/>
        <v>0.30698886779273737</v>
      </c>
      <c r="NT22" s="388">
        <f t="shared" si="119"/>
        <v>0.30698886779273737</v>
      </c>
      <c r="NU22" s="388">
        <f t="shared" si="120"/>
        <v>0.32274504608868876</v>
      </c>
      <c r="NV22" s="388">
        <f t="shared" si="121"/>
        <v>0.32274504608868876</v>
      </c>
      <c r="NW22">
        <f t="shared" si="122"/>
        <v>0.35681487988053917</v>
      </c>
      <c r="NX22">
        <f>各项系数!$M$9*NK22</f>
        <v>8.8693384115774931E-2</v>
      </c>
      <c r="NY22">
        <f t="shared" si="123"/>
        <v>0.30698886779273732</v>
      </c>
      <c r="OB22" s="66" t="str">
        <f t="shared" si="124"/>
        <v>1*25</v>
      </c>
      <c r="OC22" s="395">
        <f t="shared" si="125"/>
        <v>208.046961644752</v>
      </c>
      <c r="OD22" s="395">
        <f>SQRT(4*EY22/PI()/EH22/各项系数!$J$4/各项系数!$F$5*10000000)</f>
        <v>209.18809041233357</v>
      </c>
      <c r="OE22" s="396">
        <f t="shared" si="126"/>
        <v>23.79636801261243</v>
      </c>
      <c r="OF22" s="396">
        <f t="shared" si="127"/>
        <v>24.058128060751162</v>
      </c>
      <c r="OG22" s="66">
        <v>24.2</v>
      </c>
      <c r="OH22" s="397">
        <f t="shared" si="186"/>
        <v>-0.14187193924883701</v>
      </c>
    </row>
    <row r="23" spans="1:398" ht="15" hidden="1" customHeight="1">
      <c r="A23" s="50">
        <v>35</v>
      </c>
      <c r="B23" s="51"/>
      <c r="C23" s="52">
        <v>0.9</v>
      </c>
      <c r="D23" s="53" t="s">
        <v>166</v>
      </c>
      <c r="E23" s="61">
        <f t="shared" si="175"/>
        <v>11.951639350000001</v>
      </c>
      <c r="F23" s="59">
        <v>245.05464536042999</v>
      </c>
      <c r="G23" s="58"/>
      <c r="H23" s="16"/>
      <c r="I23" s="62"/>
      <c r="J23" s="16"/>
      <c r="K23" s="16"/>
      <c r="L23" s="97" t="s">
        <v>467</v>
      </c>
      <c r="M23" s="103">
        <f t="shared" si="2"/>
        <v>0.9</v>
      </c>
      <c r="N23" s="103">
        <f t="shared" si="3"/>
        <v>0</v>
      </c>
      <c r="O23" s="102"/>
      <c r="P23" s="99">
        <v>0.1</v>
      </c>
      <c r="Q23" s="133">
        <f t="shared" si="170"/>
        <v>0.1</v>
      </c>
      <c r="R23" s="140">
        <v>0.8</v>
      </c>
      <c r="S23" s="142" t="str">
        <f>各项系数!$D$44</f>
        <v>磁性钢带</v>
      </c>
      <c r="T23" s="102">
        <v>0.2</v>
      </c>
      <c r="U23" s="102">
        <v>2</v>
      </c>
      <c r="V23" s="140"/>
      <c r="W23" s="141">
        <v>1.4</v>
      </c>
      <c r="X23" s="135">
        <f t="shared" si="171"/>
        <v>0.2</v>
      </c>
      <c r="Y23" s="135"/>
      <c r="Z23" s="168"/>
      <c r="AA23" s="153">
        <v>1.0109999999999999</v>
      </c>
      <c r="AB23" s="153">
        <f>PI()*EJ23*EJ23/4*EH23*(1-H23)*AA23*各项系数!$F$5*各项系数!$J$4*10^-7</f>
        <v>0.29524992630433911</v>
      </c>
      <c r="AC23" s="153">
        <f t="shared" si="176"/>
        <v>245.05464536042999</v>
      </c>
      <c r="AD23" s="153">
        <f t="shared" si="5"/>
        <v>33.378357061385572</v>
      </c>
      <c r="AE23" s="153">
        <f>POWER(4*EU23/PI()/EG23/10^-7/EH23/(1-H23)/各项系数!$F$5/各项系数!$J$4,0.5)</f>
        <v>246.39875970480472</v>
      </c>
      <c r="AF23" s="69">
        <v>1</v>
      </c>
      <c r="AG23" s="69">
        <f>IF(EM23=0,0,PI()*ER23*ER23/4*EP23*(1-K23)*(1+AF23)*各项系数!$F$5*各项系数!$J$4*10^-7)</f>
        <v>0</v>
      </c>
      <c r="AH23" s="69">
        <f t="shared" si="177"/>
        <v>0</v>
      </c>
      <c r="AI23" s="69">
        <f t="shared" si="128"/>
        <v>0</v>
      </c>
      <c r="AJ23" s="69">
        <f>IF(OR(EP23="",EP23=0),0,POWER(4*EW23/PI()/EO23/10^-7/EP23/(1-K23)/各项系数!$F$5/各项系数!$J$4,0.5))</f>
        <v>0</v>
      </c>
      <c r="AK23" s="69" t="str">
        <f t="shared" si="8"/>
        <v>√</v>
      </c>
      <c r="AL23" s="69">
        <f t="shared" si="178"/>
        <v>20.910902621587962</v>
      </c>
      <c r="AM23" s="188">
        <f t="shared" si="179"/>
        <v>35</v>
      </c>
      <c r="AN23" s="97" t="s">
        <v>486</v>
      </c>
      <c r="AO23" s="196">
        <f>AP23+各项系数!$M$9*$NK23</f>
        <v>20.500884923125451</v>
      </c>
      <c r="AP23" s="196">
        <f>AQ23*(1+$BI23+(VLOOKUP($AM23,$A$12:$B$323,2,0))+各项系数!$J$6+各项系数!$M$5)*(1+$E$2)</f>
        <v>20.384285391760553</v>
      </c>
      <c r="AQ23" s="197">
        <f>AR23+各项系数!$L$9*$NK23</f>
        <v>20.800291216082197</v>
      </c>
      <c r="AR23" s="197">
        <f>AS23*(1+$BJ23+各项系数!$J$5+各项系数!$L$5)</f>
        <v>20.683691684717299</v>
      </c>
      <c r="AS23" s="197">
        <f t="shared" si="129"/>
        <v>20.278129102664018</v>
      </c>
      <c r="AT23" s="196">
        <f>AU23+各项系数!$M$9*$NM23</f>
        <v>20.960157226765361</v>
      </c>
      <c r="AU23" s="196">
        <f>AV23*(1+$BI23+(VLOOKUP($AM23,$A$12:$B$323,2,0))+各项系数!$J$6+各项系数!$M$5)*(1+$E$2)</f>
        <v>20.843557695400463</v>
      </c>
      <c r="AV23" s="197">
        <f>AW23+各项系数!$L$9*$NM23</f>
        <v>21.268936423878024</v>
      </c>
      <c r="AW23" s="197">
        <f>AX23*(1+$BJ23+各项系数!$J$5+各项系数!$L$5)</f>
        <v>21.152336892513127</v>
      </c>
      <c r="AX23" s="197">
        <f t="shared" si="130"/>
        <v>20.737585188738358</v>
      </c>
      <c r="AY23" s="196">
        <f>AZ23+各项系数!$M$9*$NS23</f>
        <v>21.388901833184917</v>
      </c>
      <c r="AZ23" s="196">
        <f>BA23*(1+$BI23+(VLOOKUP($AM23,$A$12:$B$214,2,0))+各项系数!$J$6+各项系数!$M$5)*(1+$E$2)</f>
        <v>21.268433783533112</v>
      </c>
      <c r="BA23" s="197">
        <f>BB23+各项系数!$L$9*$NS23</f>
        <v>21.702483452584808</v>
      </c>
      <c r="BB23" s="197">
        <f>BC23*(1+$BJ23+各项系数!$J$5+各项系数!$L$5)</f>
        <v>21.582015402933003</v>
      </c>
      <c r="BC23" s="199">
        <f t="shared" si="131"/>
        <v>21.158838630326471</v>
      </c>
      <c r="BD23" s="196">
        <f>BE23+各项系数!$M$9*$NS23</f>
        <v>21.855138321833895</v>
      </c>
      <c r="BE23" s="196">
        <f>BF23*(1+$BI23+(VLOOKUP($AM23,$A$12:$B$214,2,0))+各项系数!$J$6+各项系数!$M$5)*(1+$E$2)</f>
        <v>21.73467027218209</v>
      </c>
      <c r="BF23" s="197">
        <f>BG23+各项系数!$L$9*$NS23</f>
        <v>22.178234971614376</v>
      </c>
      <c r="BG23" s="197">
        <f>BH23*(1+$BJ23+各项系数!$J$5+各项系数!$L$5)</f>
        <v>22.057766921962571</v>
      </c>
      <c r="BH23" s="199">
        <f t="shared" si="132"/>
        <v>21.625261688198599</v>
      </c>
      <c r="BI23" s="51"/>
      <c r="BJ23" s="208"/>
      <c r="BK23" s="102"/>
      <c r="BL23" s="196">
        <f>BM23+各项系数!$M$9*$NM23</f>
        <v>20.768128096947301</v>
      </c>
      <c r="BM23" s="196">
        <f>BN23*(1+$CF23+(VLOOKUP($AM23,$A$12:$B$323,2,0))+各项系数!$J$6+各项系数!$M$5)*(1+$E$2)</f>
        <v>20.651528565582403</v>
      </c>
      <c r="BN23" s="197">
        <f>BO23+各项系数!$L$9*$NM23</f>
        <v>21.072988332226942</v>
      </c>
      <c r="BO23" s="197">
        <f>BP23*(1+$CG23+各项系数!$J$5+各项系数!$L$5)</f>
        <v>20.956388800862044</v>
      </c>
      <c r="BP23" s="197">
        <f t="shared" si="133"/>
        <v>20.346008544526256</v>
      </c>
      <c r="BQ23" s="196">
        <f>BR23+各项系数!$M$9*$NM23</f>
        <v>21.163385561614994</v>
      </c>
      <c r="BR23" s="196">
        <f>BS23*(1+$CF23+(VLOOKUP($AM23,$A$12:$B$323,2,0))+各项系数!$J$6+各项系数!$M$5)*(1+$E$2)</f>
        <v>21.046786030250097</v>
      </c>
      <c r="BS23" s="197">
        <f>BT23+各项系数!$L$9*$NM23</f>
        <v>21.476312275765405</v>
      </c>
      <c r="BT23" s="197">
        <f>BU23*(1+$CG23+各项系数!$J$5+各项系数!$L$5)</f>
        <v>21.359712744400507</v>
      </c>
      <c r="BU23" s="197">
        <f t="shared" si="134"/>
        <v>20.737585188738358</v>
      </c>
      <c r="BV23" s="196">
        <f>BW23+各项系数!$M$9*$NT23</f>
        <v>21.555854373460114</v>
      </c>
      <c r="BW23" s="196">
        <f>BX23*(1+$CF23+(VLOOKUP($AM23,$A$12:$B$214,2,0))+各项系数!$J$6+各项系数!$M$5)*(1+$E$2)</f>
        <v>21.435386323808309</v>
      </c>
      <c r="BX23" s="197">
        <f>BY23+各项系数!$L$9*$NT$12</f>
        <v>21.8728431875595</v>
      </c>
      <c r="BY23" s="197">
        <f>BZ23*(1+$CG23+各项系数!$J$5+各项系数!$L$5)</f>
        <v>21.864579784404526</v>
      </c>
      <c r="BZ23" s="199">
        <f t="shared" si="11"/>
        <v>21.227747363499539</v>
      </c>
      <c r="CA23" s="196">
        <f>CB23+各项系数!$M$9*$NT23</f>
        <v>21.957105332811345</v>
      </c>
      <c r="CB23" s="196">
        <f>CC23*(1+$CF23+(VLOOKUP($AM23,$A$12:$B$214,2,0))+各项系数!$J$6+各项系数!$M$5)*(1+$E$2)</f>
        <v>21.83663728315954</v>
      </c>
      <c r="CC23" s="197">
        <f>CD23+各项系数!$L$9*$NT$12</f>
        <v>22.282282941999529</v>
      </c>
      <c r="CD23" s="197">
        <f>CE23*(1+$CG23+各项系数!$J$5+各项系数!$L$5)</f>
        <v>22.274019538844556</v>
      </c>
      <c r="CE23" s="199">
        <f t="shared" si="135"/>
        <v>21.625261688198599</v>
      </c>
      <c r="CF23" s="213">
        <f t="shared" si="136"/>
        <v>0</v>
      </c>
      <c r="CG23" s="213">
        <f t="shared" si="12"/>
        <v>0.01</v>
      </c>
      <c r="CH23" s="102"/>
      <c r="CI23" s="196">
        <f>CJ23+各项系数!$M$9*$NO23</f>
        <v>20.953759433511674</v>
      </c>
      <c r="CJ23" s="196">
        <f>CK23*(1+$DC23+(VLOOKUP($AM23,$A$12:$B$323,2,0))+各项系数!$J$6+各项系数!$M$5)*(1+$E$2)+各项系数!$M$9*$NK23</f>
        <v>20.832215967559776</v>
      </c>
      <c r="CK23" s="197">
        <f>CL23+各项系数!$L$9*$NO23</f>
        <v>21.138384118566204</v>
      </c>
      <c r="CL23" s="197">
        <f>CM23*(1+$DD23+各项系数!$J$5+各项系数!$L$5)</f>
        <v>21.016840652614306</v>
      </c>
      <c r="CM23" s="197">
        <f t="shared" si="13"/>
        <v>20.604745737857161</v>
      </c>
      <c r="CN23" s="196">
        <f>CO23+各项系数!$M$9*$NO23</f>
        <v>21.374448752365154</v>
      </c>
      <c r="CO23" s="196">
        <f>CP23*(1+$DC23+(VLOOKUP($AM23,$A$12:$B$323,2,0))+各项系数!$J$6+各项系数!$M$5)*(1+$E$2)+各项系数!$M$9*$NK23</f>
        <v>21.252905286413256</v>
      </c>
      <c r="CP23" s="197">
        <f>CQ23+各项系数!$L$9*$NO23</f>
        <v>21.567658933722814</v>
      </c>
      <c r="CQ23" s="197">
        <f>CR23*(1+$DD23+各项系数!$J$5+各项系数!$L$5)</f>
        <v>21.446115467770916</v>
      </c>
      <c r="CR23" s="197">
        <f t="shared" si="14"/>
        <v>21.025603399775406</v>
      </c>
      <c r="CS23" s="196">
        <f>CT23+各项系数!$M$9*$NU23</f>
        <v>21.78222376221191</v>
      </c>
      <c r="CT23" s="196">
        <f t="shared" si="15"/>
        <v>21.656560347984978</v>
      </c>
      <c r="CU23" s="197">
        <f>CV23+各项系数!$L$9*$NU23</f>
        <v>22.098530967331612</v>
      </c>
      <c r="CV23" s="197">
        <f>CW23*(1+$DD23+各项系数!$J$5+各项系数!$L$5)</f>
        <v>21.972867553104681</v>
      </c>
      <c r="CW23" s="199">
        <f t="shared" si="16"/>
        <v>21.542027012847726</v>
      </c>
      <c r="CX23" s="196">
        <f>CY23+各项系数!$M$9*$NU23</f>
        <v>22.274575944644901</v>
      </c>
      <c r="CY23" s="196">
        <f t="shared" si="17"/>
        <v>22.14891253041797</v>
      </c>
      <c r="CZ23" s="197">
        <f>DA23+各项系数!$L$9*$NU23</f>
        <v>22.600931153487725</v>
      </c>
      <c r="DA23" s="197">
        <f>DB23*(1+$DD23+各项系数!$J$5+各项系数!$L$5)</f>
        <v>22.475267739260794</v>
      </c>
      <c r="DB23" s="199">
        <f t="shared" si="18"/>
        <v>22.034576214961561</v>
      </c>
      <c r="DC23" s="213">
        <f t="shared" si="137"/>
        <v>0</v>
      </c>
      <c r="DD23" s="213">
        <f t="shared" si="19"/>
        <v>0</v>
      </c>
      <c r="DE23" s="53"/>
      <c r="DF23" s="53"/>
      <c r="DG23" s="196">
        <f>DH23+各项系数!$M$9*$NQ23</f>
        <v>21.228099575292735</v>
      </c>
      <c r="DH23" s="196">
        <f>DI23*(1+$EA23+(VLOOKUP($AM23,$A$12:$B$323,2,0))+各项系数!$J$6+各项系数!$M$5)*(1+$E$2)+各项系数!$M$9*$NK23</f>
        <v>21.106556109340836</v>
      </c>
      <c r="DI23" s="197">
        <f>DJ23+各项系数!$L$9*$NQ23</f>
        <v>21.418323038750959</v>
      </c>
      <c r="DJ23" s="197">
        <f>DK23*(1+$EB23+各项系数!$J$5+各项系数!$L$5)</f>
        <v>21.296779572799061</v>
      </c>
      <c r="DK23" s="197">
        <f t="shared" si="20"/>
        <v>20.676485022135008</v>
      </c>
      <c r="DL23" s="196">
        <f>DM23+各项系数!$M$9*$NQ23</f>
        <v>21.645832645023695</v>
      </c>
      <c r="DM23" s="196">
        <f>DN23*(1+$EA23+(VLOOKUP($AM23,$A$12:$B$323,2,0))+各项系数!$J$6+各项系数!$M$5)*(1+$E$2)+各项系数!$M$9*$NK23</f>
        <v>21.524289179071797</v>
      </c>
      <c r="DN23" s="197">
        <f>DO23+各项系数!$L$9*$NQ23</f>
        <v>21.844581273170306</v>
      </c>
      <c r="DO23" s="197">
        <f>DP23*(1+$EB23+各项系数!$J$5+各项系数!$L$5)</f>
        <v>21.723037807218407</v>
      </c>
      <c r="DP23" s="197">
        <f t="shared" si="21"/>
        <v>21.090327968173209</v>
      </c>
      <c r="DQ23" s="196">
        <f>DR23+各项系数!$M$9*$NV23</f>
        <v>22.066788227137032</v>
      </c>
      <c r="DR23" s="196">
        <f t="shared" si="22"/>
        <v>21.9411248129101</v>
      </c>
      <c r="DS23" s="197">
        <f>DT23+各项系数!$L$9*$NV23</f>
        <v>22.388902870316429</v>
      </c>
      <c r="DT23" s="197">
        <f>DU23*(1+$EB23+各项系数!$J$5+各项系数!$L$5)</f>
        <v>22.263239456089497</v>
      </c>
      <c r="DU23" s="199">
        <f t="shared" si="23"/>
        <v>21.614795588436404</v>
      </c>
      <c r="DV23" s="196">
        <f>DW23+各项系数!$M$9*$NV23</f>
        <v>22.208484776242454</v>
      </c>
      <c r="DW23" s="196">
        <f t="shared" si="24"/>
        <v>22.082821362015522</v>
      </c>
      <c r="DX23" s="197">
        <f>DY23+各项系数!$L$9*$NV23</f>
        <v>22.533491185730124</v>
      </c>
      <c r="DY23" s="197">
        <f>DZ23*(1+$EB23+各项系数!$J$5+各项系数!$L$5)</f>
        <v>22.407827771503193</v>
      </c>
      <c r="DZ23" s="199">
        <f t="shared" si="25"/>
        <v>21.755172593692421</v>
      </c>
      <c r="EA23" s="213">
        <f t="shared" si="230"/>
        <v>0</v>
      </c>
      <c r="EB23" s="213">
        <f t="shared" si="27"/>
        <v>0.01</v>
      </c>
      <c r="EC23" s="235">
        <f t="shared" si="138"/>
        <v>1</v>
      </c>
      <c r="ED23" s="235" t="str">
        <f t="shared" si="180"/>
        <v>1*35</v>
      </c>
      <c r="EE23" s="189">
        <f t="shared" si="187"/>
        <v>35</v>
      </c>
      <c r="EF23" s="189" t="str">
        <f>LOOKUP(EH23,{1,7,10,14,19,24,30,37,48,61},{1,"1+6","2+8","4+10","1+6+12","2+8+14","4+10+16","1+6+12+18","3+9+15+21","1+6+12+18+24"})</f>
        <v>1+6</v>
      </c>
      <c r="EG23" s="188">
        <f t="shared" si="29"/>
        <v>1</v>
      </c>
      <c r="EH23" s="197">
        <f>IF(AM23&lt;10,1,IF(AND(AM23&gt;=10,AM23&lt;=35),7,LOOKUP(AM23,{50,70,95,120,150,185,240,300,400,500,630},{10,14,19,24,30,37,48,61,61,61,61})*1))</f>
        <v>7</v>
      </c>
      <c r="EI23" s="188">
        <f>IF(EH23=0,0,VLOOKUP(EH23,各项系数!$D$142:$E$195,2,0))*1</f>
        <v>3</v>
      </c>
      <c r="EJ23" s="238">
        <f t="shared" si="141"/>
        <v>245.05464536042999</v>
      </c>
      <c r="EK23" s="189">
        <f t="shared" si="181"/>
        <v>0</v>
      </c>
      <c r="EL23" s="189">
        <f t="shared" si="31"/>
        <v>0</v>
      </c>
      <c r="EM23" s="189">
        <f t="shared" si="182"/>
        <v>0</v>
      </c>
      <c r="EN23" s="189">
        <f>IF(EP23=0,0,LOOKUP(EP23,{1,7,10,14,19,24,30,37,48,61},{1,"1+6","2+8","4+10","1+6+12","2+8+14","4+10+16","1+6+12+18","3+9+15+21","1+6+12+18+24"}))</f>
        <v>0</v>
      </c>
      <c r="EO23" s="189">
        <f t="shared" si="183"/>
        <v>0</v>
      </c>
      <c r="EP23" s="189">
        <f>IF(EM23=0,0,IF(EM23&lt;10,1,IF(AND(EM23&gt;=10,EM23&lt;=35),7,LOOKUP(EM23,{50,70,95,120,150,185,240,300},{10,14,19,24,30,37,48,61})*1)))</f>
        <v>0</v>
      </c>
      <c r="EQ23" s="189">
        <f>IF(EP23=0,0,VLOOKUP(EP23,各项系数!$D$142:$E$195,2,0))*1</f>
        <v>0</v>
      </c>
      <c r="ER23" s="189">
        <f t="shared" si="184"/>
        <v>0</v>
      </c>
      <c r="ES23" s="235">
        <f t="shared" si="185"/>
        <v>1</v>
      </c>
      <c r="ET23" s="189">
        <f>VLOOKUP(ES23,各项系数!$D$142:$E$195,2,0)*1</f>
        <v>1</v>
      </c>
      <c r="EU23" s="243">
        <f>((各项系数!$F$76/4*$EJ23^2*$EG23*$EH23*1*10^-7)*(1-$H23)*AA23)*(VLOOKUP($EY$9,各项系数!$D$4:$F$143,3,0))*各项系数!$J$4</f>
        <v>0.29524992630433911</v>
      </c>
      <c r="EV23" s="244">
        <f>EU23*(VLOOKUP($EY$9,各项系数!$D$4:$F$143,2,0))</f>
        <v>19.338870172934211</v>
      </c>
      <c r="EW23" s="252">
        <f>(IF($EO23=0,0,(各项系数!$F$76/4*$ER23^2*$EO23*$EP23*1*10^-7))*(1-$K23)*$AF23)*(VLOOKUP($EY$9,各项系数!$D$4:$F$143,3,0))*各项系数!$J$4</f>
        <v>0</v>
      </c>
      <c r="EX23" s="253">
        <f>EW23*(VLOOKUP($EY$9,各项系数!$D$4:$F$143,2,0))</f>
        <v>0</v>
      </c>
      <c r="EY23" s="189">
        <f>((各项系数!$F$76/4*$EJ23^2*$EG23*$EH23*1*10^-7)*(1-$H23)*AA23+IF($EO23=0,0,(各项系数!$F$76/4*$ER23^2*$EO23*$EP23*1*10^-7))*(1-$K23)*$AF23)*(VLOOKUP($EY$9,各项系数!$D$4:$F$143,3,0))*各项系数!$J$4</f>
        <v>0.29524992630433911</v>
      </c>
      <c r="EZ23" s="102">
        <v>1</v>
      </c>
      <c r="FA23" s="189">
        <f t="shared" si="188"/>
        <v>0.29524992630433911</v>
      </c>
      <c r="FB23" s="254">
        <f>FA23*(VLOOKUP($EY$9,各项系数!$D$4:$F$143,2,0))</f>
        <v>19.338870172934211</v>
      </c>
      <c r="FC23" s="255"/>
      <c r="FD23" s="235">
        <f>各项系数!$F$76/4*($MN23^2-MK23^2)*10^-2*(VLOOKUP(L23,各项系数!$D$1:$F$143,3,0))*10^-3*10^2*$EG23*各项系数!$J$4</f>
        <v>2.5535736383080064E-2</v>
      </c>
      <c r="FE23" s="262">
        <f>FD23*VLOOKUP(L23,各项系数!$D$1:$F$143,2,0)</f>
        <v>0.26046451110741664</v>
      </c>
      <c r="FF23" s="188">
        <f>各项系数!$F$76/4*($MO23^2-ML23^2)*10^-2*(VLOOKUP(L23,各项系数!$D$1:$F$143,3,0))*10^-3*10^2*$EO23*各项系数!$J$4</f>
        <v>0</v>
      </c>
      <c r="FG23" s="262">
        <f>FF23*VLOOKUP(L23,各项系数!$D$1:$F$143,2,0)</f>
        <v>0</v>
      </c>
      <c r="FH23" s="235">
        <f t="shared" si="142"/>
        <v>2.5535736383080064E-2</v>
      </c>
      <c r="FI23" s="102">
        <v>1</v>
      </c>
      <c r="FJ23" s="189">
        <f t="shared" si="189"/>
        <v>2.5535736383080064E-2</v>
      </c>
      <c r="FK23" s="262">
        <f>FJ23*VLOOKUP(L23,各项系数!$D$1:$F$143,2,0)</f>
        <v>0.26046451110741664</v>
      </c>
      <c r="FL23" s="235"/>
      <c r="FM23" s="102"/>
      <c r="FN23" s="189"/>
      <c r="FO23" s="262"/>
      <c r="FP23" s="282">
        <f t="shared" si="190"/>
        <v>2.5535736383080064E-2</v>
      </c>
      <c r="FQ23" s="282">
        <f t="shared" si="191"/>
        <v>0.26046451110741664</v>
      </c>
      <c r="FR23" s="283">
        <f>各项系数!$F$76/4*($MQ23^2-$MN23^2*$EG23-$MO23^2*$EO23)*10^-2</f>
        <v>0</v>
      </c>
      <c r="FS23" s="284">
        <f t="shared" si="143"/>
        <v>1</v>
      </c>
      <c r="FT23" s="285">
        <f t="shared" si="40"/>
        <v>0</v>
      </c>
      <c r="FU23" s="302">
        <f>$FT23*(VLOOKUP($FT$9,各项系数!$D$1:$F$143,3,0))*10^-3*10^2*各项系数!$J$55</f>
        <v>0</v>
      </c>
      <c r="FV23" s="303">
        <v>1</v>
      </c>
      <c r="FW23" s="304">
        <f t="shared" si="192"/>
        <v>0</v>
      </c>
      <c r="FX23" s="285">
        <f>FW23*(VLOOKUP($FT$9,各项系数!$D$1:$F$143,2,0))</f>
        <v>0</v>
      </c>
      <c r="FY23" s="302">
        <f>IF($BK23&lt;&gt;$FY$9,0,各项系数!$F$76/4*($MS23^2-$MQ23^2)*10^-2*(VLOOKUP($FY$9,各项系数!$D$1:$F$143,3,0))*10^-3*10^2)*各项系数!$J$4</f>
        <v>0</v>
      </c>
      <c r="FZ23" s="303">
        <v>1</v>
      </c>
      <c r="GA23" s="304">
        <f t="shared" si="193"/>
        <v>0</v>
      </c>
      <c r="GB23" s="285">
        <f>GA23*(VLOOKUP($FY$9,各项系数!$D$1:$F$143,2,0))</f>
        <v>0</v>
      </c>
      <c r="GC23" s="302">
        <f>IF($BK23&lt;&gt;$GC$9,0,各项系数!$F$76/4*($MS23^2-$MQ23^2)*10^-2*(VLOOKUP($GC$9,各项系数!$D$1:$F$143,3,0))*10^-3*10^2)*各项系数!$J$4</f>
        <v>0</v>
      </c>
      <c r="GD23" s="303">
        <v>1</v>
      </c>
      <c r="GE23" s="304">
        <f t="shared" si="194"/>
        <v>0</v>
      </c>
      <c r="GF23" s="285">
        <f>GE23*(VLOOKUP($GC$9,各项系数!$D$1:$F$143,2,0))</f>
        <v>0</v>
      </c>
      <c r="GG23" s="302">
        <f>IF($BK23&lt;&gt;$GG$9,0,各项系数!$F$76/4*($MS23^2-$MQ23^2)*10^-2*(VLOOKUP($GG$9,各项系数!$D$1:$F$143,3,0))*10^-3*10^2)*各项系数!$J$4</f>
        <v>0</v>
      </c>
      <c r="GH23" s="303">
        <v>1</v>
      </c>
      <c r="GI23" s="304">
        <f t="shared" si="195"/>
        <v>0</v>
      </c>
      <c r="GJ23" s="285">
        <f>GI23*(VLOOKUP($GG$9,各项系数!$D$1:$F$143,2,0))</f>
        <v>0</v>
      </c>
      <c r="GK23" s="302">
        <f>IF($BK23&lt;&gt;$GK$9,0,各项系数!$F$76/4*($MS23^2-$MQ23^2)*10^-2*(VLOOKUP($GK$9,各项系数!$D$1:$F$143,3,0))*10^-3*10^2)*各项系数!$J$4</f>
        <v>0</v>
      </c>
      <c r="GL23" s="303">
        <v>1</v>
      </c>
      <c r="GM23" s="304">
        <f t="shared" si="196"/>
        <v>0</v>
      </c>
      <c r="GN23" s="285">
        <f>GM23*(VLOOKUP($GK$9,各项系数!$D$1:$F$143,2,0))</f>
        <v>0</v>
      </c>
      <c r="GO23" s="304">
        <f t="shared" si="197"/>
        <v>0</v>
      </c>
      <c r="GP23" s="304">
        <f t="shared" si="198"/>
        <v>0</v>
      </c>
      <c r="GQ23" s="315">
        <f>各项系数!$F$76/4*($MU23^2-$MS23^2)*10^-2*(VLOOKUP($S23,各项系数!$D$1:$F$143,3,0))*10^-3*10^2*各项系数!$J$4</f>
        <v>6.931194770615956E-2</v>
      </c>
      <c r="GR23" s="303">
        <v>1</v>
      </c>
      <c r="GS23" s="304">
        <f t="shared" si="199"/>
        <v>6.931194770615956E-2</v>
      </c>
      <c r="GT23" s="304">
        <f t="shared" si="200"/>
        <v>1</v>
      </c>
      <c r="GU23" s="304">
        <f>ROUND($GS23*(VLOOKUP($S23,各项系数!$D$1:$F$143,2,0))+$E$3*GS23,GT23)</f>
        <v>0.7</v>
      </c>
      <c r="GV23" s="315">
        <f>各项系数!$F$76/4*($MT23^2-$MS23^2)*10^-2*(VLOOKUP($GV$9,各项系数!$D$1:$F$143,3,0))*10^-3*10^2*各项系数!$J$4*PI()/4*R23</f>
        <v>1.2895060956357916E-2</v>
      </c>
      <c r="GW23" s="303">
        <v>1</v>
      </c>
      <c r="GX23" s="304">
        <f t="shared" si="201"/>
        <v>1.2895060956357916E-2</v>
      </c>
      <c r="GY23" s="304">
        <f>$GX23*(VLOOKUP($GV$9,各项系数!$D$1:$F$143,2,0))</f>
        <v>0.87041661455415931</v>
      </c>
      <c r="GZ23" s="315">
        <f>各项系数!$F$76/4*($MV23^2-$MS23^2)*10^-2*(VLOOKUP($GZ$9,各项系数!$D$1:$F$143,3,0))*10^-3*10^2*各项系数!$J$4</f>
        <v>6.6955912040983973E-2</v>
      </c>
      <c r="HA23" s="303">
        <v>1</v>
      </c>
      <c r="HB23" s="304">
        <f t="shared" si="144"/>
        <v>6.6955912040983973E-2</v>
      </c>
      <c r="HC23" s="304">
        <f>HB23*(VLOOKUP($GZ$9,各项系数!$D$1:$F$143,2,0))</f>
        <v>1.1382505046967275</v>
      </c>
      <c r="HD23" s="315">
        <f>各项系数!$F$76/4*($MW23^2-$MT23^2)*10^-2*(VLOOKUP($HD$9,各项系数!$D$1:$F$143,3,0))*10^-3*10^2*各项系数!$J$4</f>
        <v>6.7971199388400488E-2</v>
      </c>
      <c r="HE23" s="303">
        <v>1</v>
      </c>
      <c r="HF23" s="304">
        <f t="shared" si="145"/>
        <v>6.7971199388400488E-2</v>
      </c>
      <c r="HG23" s="304">
        <f>HF23*(VLOOKUP($HD$9,各项系数!$D$1:$F$143,2,0))</f>
        <v>1.1555103896028083</v>
      </c>
      <c r="HH23" s="315">
        <f>各项系数!$F$76/4*($MV23^2-$MS23^2)*10^-2*(VLOOKUP($HH$9,各项系数!$D$1:$F$143,3,0))*10^-3*10^2*各项系数!$J$4</f>
        <v>6.6955912040983973E-2</v>
      </c>
      <c r="HI23" s="322">
        <v>1</v>
      </c>
      <c r="HJ23" s="304">
        <f t="shared" si="146"/>
        <v>6.6955912040983973E-2</v>
      </c>
      <c r="HK23" s="304">
        <f>HJ23*(VLOOKUP($HH$9,各项系数!$D$1:$F$143,2,0))</f>
        <v>1.1382505046967275</v>
      </c>
      <c r="HL23" s="315">
        <f>各项系数!$F$76/4*($MW23^2-$MT23^2)*10^-2*(VLOOKUP($HL$9,各项系数!$D$1:$F$143,3,0))*10^-3*10^2*各项系数!$J$4</f>
        <v>6.7971199388400488E-2</v>
      </c>
      <c r="HM23" s="322">
        <v>1</v>
      </c>
      <c r="HN23" s="304">
        <f t="shared" si="147"/>
        <v>6.7971199388400488E-2</v>
      </c>
      <c r="HO23" s="304">
        <f>HN23*(VLOOKUP($HL$9,各项系数!$D$1:$F$143,2,0))</f>
        <v>1.1555103896028083</v>
      </c>
      <c r="HP23" s="315">
        <f>各项系数!$F$76/4*($MV23^2-$MS23^2)*10^-2*(VLOOKUP(AN23,各项系数!$D$1:$F$143,3,0))*10^-3*10^2*各项系数!$J$4</f>
        <v>6.7879441862238932E-2</v>
      </c>
      <c r="HQ23" s="303">
        <v>1</v>
      </c>
      <c r="HR23" s="304">
        <f t="shared" si="202"/>
        <v>6.7879441862238932E-2</v>
      </c>
      <c r="HS23" s="304">
        <f>HR23*(VLOOKUP(AN23,各项系数!$D$1:$F$143,2,0))</f>
        <v>0.67879441862238932</v>
      </c>
      <c r="HT23" s="315">
        <f>各项系数!$F$76/4*($MW23^2-$MT23^2)*10^-2*(VLOOKUP(AN23,各项系数!$D$1:$F$143,3,0))*10^-3*10^2*各项系数!$J$4</f>
        <v>6.8908733173068087E-2</v>
      </c>
      <c r="HU23" s="303">
        <v>1</v>
      </c>
      <c r="HV23" s="304">
        <f t="shared" si="203"/>
        <v>6.8908733173068087E-2</v>
      </c>
      <c r="HW23" s="304">
        <f>HV23*(VLOOKUP(AN23,各项系数!$D$1:$F$143,2,0))</f>
        <v>0.68908733173068093</v>
      </c>
      <c r="HX23" s="315">
        <f>各项系数!$F$76/4*($MV23^2-$MS23^2)*10^-2*(VLOOKUP($HX$9,各项系数!$D$1:$F$143,3,0))*10^-3*10^2*各项系数!$J$4</f>
        <v>6.7879441862238932E-2</v>
      </c>
      <c r="HY23" s="322">
        <v>1</v>
      </c>
      <c r="HZ23" s="304">
        <f t="shared" si="204"/>
        <v>6.7879441862238932E-2</v>
      </c>
      <c r="IA23" s="304">
        <f>HZ23*(VLOOKUP($HX$9,各项系数!$D$1:$F$143,2,0))</f>
        <v>0.74667386048462825</v>
      </c>
      <c r="IB23" s="315">
        <f>各项系数!$F$76/4*($MW23^2-$MT23^2)*10^-2*(VLOOKUP($IB$9,各项系数!$D$1:$F$143,3,0))*10^-3*10^2*各项系数!$J$4</f>
        <v>6.8908733173068087E-2</v>
      </c>
      <c r="IC23" s="322">
        <v>1</v>
      </c>
      <c r="ID23" s="304">
        <f t="shared" si="205"/>
        <v>6.8908733173068087E-2</v>
      </c>
      <c r="IE23" s="304">
        <f>ID23*(VLOOKUP($IB$9,各项系数!$D$1:$F$143,2,0))</f>
        <v>0.75799606490374893</v>
      </c>
      <c r="IF23" s="328"/>
      <c r="IG23" s="315">
        <f t="shared" si="148"/>
        <v>1.0763164035013146E-2</v>
      </c>
      <c r="IH23" s="303">
        <v>1</v>
      </c>
      <c r="II23" s="304">
        <f t="shared" si="206"/>
        <v>1.0763164035013146E-2</v>
      </c>
      <c r="IJ23" s="304">
        <f>II23*(VLOOKUP($IG$8,各项系数!$D$1:$F$143,2,0))</f>
        <v>0.26907910087532866</v>
      </c>
      <c r="IK23" s="315">
        <f>(各项系数!$F$76/4*($MX23^2-$MK23^2)*$EG23)*10^-2*(VLOOKUP($IG$8,各项系数!$D$1:$F$143,3,0))*10^-3*10^2*各项系数!$J$4</f>
        <v>1.0763164035013146E-2</v>
      </c>
      <c r="IL23" s="303">
        <f>IK23*(VLOOKUP($IG$8,各项系数!$D$1:$F$143,2,0))</f>
        <v>0.26907910087532866</v>
      </c>
      <c r="IM23" s="304">
        <f>(各项系数!$F$76/4*(($MM23+3*$X23)^2-MM23^2)*$EO23)*10^-2*(VLOOKUP($IG$8,各项系数!$D$1:$F$143,3,0))*10^-3*10^2*各项系数!$J$4</f>
        <v>0</v>
      </c>
      <c r="IN23" s="303">
        <f>IM23*(VLOOKUP($IG$8,各项系数!$D$1:$F$143,2,0))</f>
        <v>0</v>
      </c>
      <c r="IO23" s="315">
        <f>各项系数!$F$76/4*($MZ23^2-$MX23^2)*10^-2*(VLOOKUP(L23,各项系数!$D$1:$F$143,3,0))*10^-3*10^2*$ES23*各项系数!$J$4</f>
        <v>2.7392511889131263E-2</v>
      </c>
      <c r="IP23" s="303">
        <v>1</v>
      </c>
      <c r="IQ23" s="304">
        <f t="shared" si="207"/>
        <v>2.7392511889131263E-2</v>
      </c>
      <c r="IR23" s="285">
        <f>IQ23*(VLOOKUP(L23,各项系数!$D$1:$F$143,2,0))</f>
        <v>0.27940362126913887</v>
      </c>
      <c r="IS23" s="315">
        <f>IF($L23&lt;&gt;$IS$9,0,各项系数!$F$76/4*($MZ23^2-$MX23^2)*10^-2*各项系数!$F$12*10^-3*10^2)*$ES23*各项系数!$J$4</f>
        <v>0</v>
      </c>
      <c r="IT23" s="303">
        <v>1</v>
      </c>
      <c r="IU23" s="304">
        <f t="shared" si="208"/>
        <v>0</v>
      </c>
      <c r="IV23" s="285">
        <f>IU23*各项系数!$E$12</f>
        <v>0</v>
      </c>
      <c r="IW23" s="302">
        <f t="shared" si="209"/>
        <v>2.7392511889131263E-2</v>
      </c>
      <c r="IX23" s="302">
        <f t="shared" si="210"/>
        <v>0.27940362126913887</v>
      </c>
      <c r="IY23" s="339">
        <f>各项系数!$F$76/4*($NB23^2-$MZ23^2*$EG23-$NA23^2*$EO23)*10^-2</f>
        <v>-2.2322358387255245E-16</v>
      </c>
      <c r="IZ23" s="284">
        <f t="shared" si="231"/>
        <v>1</v>
      </c>
      <c r="JA23" s="285">
        <f t="shared" si="64"/>
        <v>-2.2322358387255245E-16</v>
      </c>
      <c r="JB23" s="282">
        <f>IF($DE23&lt;&gt;$JB$9,0,$JA23*各项系数!$F$32*10^-3*10^2)*各项系数!$J$4</f>
        <v>0</v>
      </c>
      <c r="JC23" s="102">
        <v>1</v>
      </c>
      <c r="JD23" s="189">
        <f t="shared" si="211"/>
        <v>0</v>
      </c>
      <c r="JE23" s="262">
        <f>JD23*各项系数!$E$32</f>
        <v>0</v>
      </c>
      <c r="JF23" s="282">
        <f>IF($DE23&lt;&gt;$JF$9,0,$JA23*VLOOKUP($JF$9,各项系数!$D$4:$F$540,2,0)*10^-3*10^2)*各项系数!$J$4</f>
        <v>0</v>
      </c>
      <c r="JG23" s="102">
        <v>1</v>
      </c>
      <c r="JH23" s="189">
        <f t="shared" si="66"/>
        <v>0</v>
      </c>
      <c r="JI23" s="262">
        <f>JH23*VLOOKUP($JF$9,各项系数!$D$4:$F$540,3,0)</f>
        <v>0</v>
      </c>
      <c r="JJ23" s="282">
        <f t="shared" si="212"/>
        <v>0</v>
      </c>
      <c r="JK23" s="189">
        <f t="shared" si="213"/>
        <v>0</v>
      </c>
      <c r="JL23" s="282">
        <f>IF($DF23&lt;&gt;$JL$9,0,各项系数!$F$76/4*($NE23^2-$NC23^2)*10^-2*各项系数!$F$39*10^-3*10^2)*各项系数!$J$4</f>
        <v>0</v>
      </c>
      <c r="JM23" s="102">
        <v>1</v>
      </c>
      <c r="JN23" s="189">
        <f t="shared" si="214"/>
        <v>0</v>
      </c>
      <c r="JO23" s="262">
        <f>JN23*各项系数!$E$39</f>
        <v>0</v>
      </c>
      <c r="JP23" s="282">
        <f>IF($DF23&lt;&gt;$JP$9,0,各项系数!$F$76/4*($NE23^2-$NC23^2)*10^-2*各项系数!$F$36*10^-3*10^2)*各项系数!$J$4</f>
        <v>0</v>
      </c>
      <c r="JQ23" s="102">
        <v>1</v>
      </c>
      <c r="JR23" s="189">
        <f t="shared" si="215"/>
        <v>0</v>
      </c>
      <c r="JS23" s="262">
        <f>JR23*各项系数!$E$36</f>
        <v>0</v>
      </c>
      <c r="JT23" s="282">
        <f>IF($DF23&lt;&gt;$JT$9,0,各项系数!$F$76/4*($NE23^2-$NC23^2)*10^-2*各项系数!$F$40*10^-3*10^2)*各项系数!$J$4</f>
        <v>0</v>
      </c>
      <c r="JU23" s="102">
        <v>1</v>
      </c>
      <c r="JV23" s="189">
        <f t="shared" si="216"/>
        <v>0</v>
      </c>
      <c r="JW23" s="262">
        <f>JV23*各项系数!$E$40</f>
        <v>0</v>
      </c>
      <c r="JX23" s="282">
        <f>IF($DF23&lt;&gt;$JX$9,0,各项系数!$F$76/4*($NE23^2-$NC23^2)*10^-2*各项系数!$F$38*10^-3*10^2)*各项系数!$J$4</f>
        <v>0</v>
      </c>
      <c r="JY23" s="102">
        <v>1</v>
      </c>
      <c r="JZ23" s="189">
        <f t="shared" si="217"/>
        <v>0</v>
      </c>
      <c r="KA23" s="262">
        <f>JZ23*各项系数!$E$38</f>
        <v>0</v>
      </c>
      <c r="KB23" s="282">
        <f>IF($DF23&lt;&gt;$KB$9,0,各项系数!$F$76/4*($NE23^2-$NC23^2)*10^-2*各项系数!$F$41*10^-3*10^2)*各项系数!$J$4</f>
        <v>0</v>
      </c>
      <c r="KC23" s="102">
        <v>1</v>
      </c>
      <c r="KD23" s="189">
        <f t="shared" si="218"/>
        <v>0</v>
      </c>
      <c r="KE23" s="262">
        <f>KD23*各项系数!$E$41</f>
        <v>0</v>
      </c>
      <c r="KF23" s="189">
        <f t="shared" si="219"/>
        <v>0</v>
      </c>
      <c r="KG23" s="189">
        <f t="shared" si="220"/>
        <v>0</v>
      </c>
      <c r="KH23" s="235">
        <f>各项系数!$F$76/4*($NG23^2-$NE23^2)*10^-2*各项系数!$F$44*10^-3*10^2*各项系数!$J$4*0.75*$U23</f>
        <v>0.11056791449438474</v>
      </c>
      <c r="KI23" s="102">
        <v>1</v>
      </c>
      <c r="KJ23" s="189">
        <f t="shared" si="221"/>
        <v>0.11056791449438474</v>
      </c>
      <c r="KK23" s="189">
        <f>ROUND(KJ23*各项系数!$E$44,GT23)</f>
        <v>1.2</v>
      </c>
      <c r="KL23" s="235">
        <f>各项系数!$F$76/4*($NF23^2-$NE23^2)*10^-2*各项系数!$F$46*10^-3*10^2*各项系数!$J$4*PI()/4*R23</f>
        <v>1.3733160916774421E-2</v>
      </c>
      <c r="KM23" s="102">
        <v>1</v>
      </c>
      <c r="KN23" s="189">
        <f t="shared" si="222"/>
        <v>1.3733160916774421E-2</v>
      </c>
      <c r="KO23" s="189">
        <f>KN23*各项系数!$E$46</f>
        <v>0.9269883618822734</v>
      </c>
      <c r="KP23" s="235">
        <f>各项系数!$F$76/4*($NH23^2-$NE23^2)*10^-2*(VLOOKUP($KP$9,各项系数!$D$1:$F$143,3,0))*10^-3*10^2*各项系数!$J$4</f>
        <v>7.0763239593795921E-2</v>
      </c>
      <c r="KQ23" s="102">
        <v>1</v>
      </c>
      <c r="KR23" s="189">
        <f t="shared" si="150"/>
        <v>7.0763239593795921E-2</v>
      </c>
      <c r="KS23" s="189">
        <f>KR23*(VLOOKUP($KP$9,各项系数!$D$1:$F$143,2,0))</f>
        <v>1.2029750730945306</v>
      </c>
      <c r="KT23" s="235">
        <f>各项系数!$F$76/4*($NI23^2-$NF23^2)*10^-2*(VLOOKUP($KT$9,各项系数!$D$1:$F$143,3,0))*10^-3*10^2*各项系数!$J$4</f>
        <v>7.177852694121245E-2</v>
      </c>
      <c r="KU23" s="102">
        <v>1</v>
      </c>
      <c r="KV23" s="189">
        <f t="shared" si="151"/>
        <v>7.177852694121245E-2</v>
      </c>
      <c r="KW23" s="189">
        <f>KV23*(VLOOKUP($KT$9,各项系数!$D$1:$F$143,2,0))</f>
        <v>1.2202349580006118</v>
      </c>
      <c r="KX23" s="189">
        <f>各项系数!$F$76/4*($NH23^2-$NE23^2)*10^-2*(VLOOKUP($KX$9,各项系数!$D$1:$F$143,3,0))*10^-3*10^2*各项系数!$J$4</f>
        <v>7.0763239593795921E-2</v>
      </c>
      <c r="KY23" s="353">
        <v>1</v>
      </c>
      <c r="KZ23" s="189">
        <f t="shared" si="152"/>
        <v>7.0763239593795921E-2</v>
      </c>
      <c r="LA23" s="189">
        <f>KZ23*(VLOOKUP($KX$9,各项系数!$D$1:$F$143,2,0))</f>
        <v>1.2029750730945306</v>
      </c>
      <c r="LB23" s="189">
        <f>各项系数!$F$76/4*($NI23^2-$NF23^2)*10^-2*(VLOOKUP($LB$9,各项系数!$D$1:$F$143,3,0))*10^-3*10^2*各项系数!$J$4</f>
        <v>7.177852694121245E-2</v>
      </c>
      <c r="LC23" s="353">
        <v>1</v>
      </c>
      <c r="LD23" s="189">
        <f t="shared" si="153"/>
        <v>7.177852694121245E-2</v>
      </c>
      <c r="LE23" s="189">
        <f>LD23*(VLOOKUP($LB$9,各项系数!$D$1:$F$143,2,0))</f>
        <v>1.2202349580006118</v>
      </c>
      <c r="LF23" s="235">
        <f>各项系数!$F$76/4*($NH23^2-$NE23^2)*10^-2*(VLOOKUP(AN23,各项系数!$D$1:$F$143,3,0))*10^-3*10^2*各项系数!$J$4</f>
        <v>7.1739284277848273E-2</v>
      </c>
      <c r="LG23" s="102">
        <v>1</v>
      </c>
      <c r="LH23" s="189">
        <f t="shared" si="223"/>
        <v>7.1739284277848273E-2</v>
      </c>
      <c r="LI23" s="189">
        <f>LH23*(VLOOKUP(AN23,各项系数!$D$1:$F$143,2,0))</f>
        <v>0.7173928427784827</v>
      </c>
      <c r="LJ23" s="235">
        <f>各项系数!$F$76/4*($NI23^2-$NF23^2)*10^-2*(VLOOKUP(AN23,各项系数!$D$1:$F$143,3,0))*10^-3*10^2*各项系数!$J$4</f>
        <v>7.2768575588677456E-2</v>
      </c>
      <c r="LK23" s="102">
        <v>1</v>
      </c>
      <c r="LL23" s="189">
        <f t="shared" si="224"/>
        <v>7.2768575588677456E-2</v>
      </c>
      <c r="LM23" s="189">
        <f>LL23*(VLOOKUP(AN23,各项系数!$D$1:$F$143,2,0))</f>
        <v>0.72768575588677453</v>
      </c>
      <c r="LN23" s="189">
        <f>各项系数!$F$76/4*($NH23^2-$NE23^2)*10^-2*(VLOOKUP($LN$9,各项系数!$D$1:$F$143,3,0))*10^-3*10^2*各项系数!$J$4</f>
        <v>7.1739284277848273E-2</v>
      </c>
      <c r="LO23" s="353">
        <v>1</v>
      </c>
      <c r="LP23" s="189">
        <f t="shared" si="225"/>
        <v>7.1739284277848273E-2</v>
      </c>
      <c r="LQ23" s="189">
        <f>LP23*(VLOOKUP($LN$9,各项系数!$D$1:$F$143,2,0))</f>
        <v>0.78913212705633096</v>
      </c>
      <c r="LR23" s="189">
        <f>各项系数!$F$76/4*($NI23^2-$NF23^2)*10^-2*(VLOOKUP($LR$9,各项系数!$D$1:$F$143,3,0))*10^-3*10^2*各项系数!$J$4</f>
        <v>7.2768575588677456E-2</v>
      </c>
      <c r="LS23" s="353">
        <v>1</v>
      </c>
      <c r="LT23" s="189">
        <f t="shared" si="226"/>
        <v>7.2768575588677456E-2</v>
      </c>
      <c r="LU23" s="189">
        <f>LT23*(VLOOKUP($LR$9,各项系数!$D$1:$F$143,2,0))</f>
        <v>0.80045433147545197</v>
      </c>
      <c r="LV23" s="227">
        <f t="shared" si="154"/>
        <v>42.448101270000002</v>
      </c>
      <c r="LW23" s="227">
        <f t="shared" si="155"/>
        <v>33.01518987</v>
      </c>
      <c r="LX23" s="227">
        <f t="shared" si="156"/>
        <v>6.4835364824626192</v>
      </c>
      <c r="LY23" s="227">
        <f t="shared" si="157"/>
        <v>9.4329114000000018</v>
      </c>
      <c r="LZ23" s="374">
        <f t="shared" si="86"/>
        <v>1</v>
      </c>
      <c r="MA23" s="375">
        <f t="shared" si="87"/>
        <v>42.448101270000002</v>
      </c>
      <c r="MB23" s="375">
        <f t="shared" si="158"/>
        <v>7.3516393500000001</v>
      </c>
      <c r="MC23" s="227">
        <f t="shared" si="159"/>
        <v>0</v>
      </c>
      <c r="MD23" s="227">
        <f t="shared" si="160"/>
        <v>0</v>
      </c>
      <c r="ME23" s="227">
        <f t="shared" si="161"/>
        <v>0</v>
      </c>
      <c r="MF23" s="227">
        <f t="shared" si="162"/>
        <v>0</v>
      </c>
      <c r="MG23" s="374">
        <f t="shared" si="163"/>
        <v>1</v>
      </c>
      <c r="MH23" s="375">
        <f t="shared" si="88"/>
        <v>0</v>
      </c>
      <c r="MI23" s="375">
        <f t="shared" si="164"/>
        <v>0</v>
      </c>
      <c r="MJ23" s="189">
        <f t="shared" si="89"/>
        <v>7.3516393500000001</v>
      </c>
      <c r="MK23" s="189">
        <f t="shared" si="165"/>
        <v>7.3516393500000001</v>
      </c>
      <c r="ML23" s="189">
        <f t="shared" si="227"/>
        <v>0</v>
      </c>
      <c r="MM23" s="189">
        <f t="shared" si="91"/>
        <v>0</v>
      </c>
      <c r="MN23" s="189">
        <f t="shared" si="92"/>
        <v>9.15163935</v>
      </c>
      <c r="MO23" s="189">
        <f t="shared" si="166"/>
        <v>0</v>
      </c>
      <c r="MP23" s="189">
        <f t="shared" si="167"/>
        <v>9.15163935</v>
      </c>
      <c r="MQ23" s="189">
        <f t="shared" si="228"/>
        <v>9.15163935</v>
      </c>
      <c r="MR23" s="246">
        <f t="shared" si="168"/>
        <v>9.15163935</v>
      </c>
      <c r="MS23" s="380">
        <f t="shared" si="94"/>
        <v>9.15163935</v>
      </c>
      <c r="MT23" s="380">
        <f t="shared" si="95"/>
        <v>9.3116393500000001</v>
      </c>
      <c r="MU23" s="380">
        <f t="shared" si="232"/>
        <v>9.7516393499999996</v>
      </c>
      <c r="MV23" s="380">
        <f t="shared" si="97"/>
        <v>11.951639350000001</v>
      </c>
      <c r="MW23" s="380">
        <f t="shared" si="98"/>
        <v>12.111639350000001</v>
      </c>
      <c r="MX23" s="254">
        <f t="shared" si="233"/>
        <v>7.9516393500000007</v>
      </c>
      <c r="MY23" s="254">
        <f t="shared" si="100"/>
        <v>0</v>
      </c>
      <c r="MZ23" s="189">
        <f t="shared" si="101"/>
        <v>9.7516393500000014</v>
      </c>
      <c r="NA23" s="189">
        <f t="shared" si="102"/>
        <v>0</v>
      </c>
      <c r="NB23" s="189">
        <f t="shared" si="169"/>
        <v>9.7516393499999996</v>
      </c>
      <c r="NC23" s="254">
        <f t="shared" si="229"/>
        <v>9.7516393499999996</v>
      </c>
      <c r="ND23" s="246">
        <f t="shared" si="234"/>
        <v>9.7516393499999996</v>
      </c>
      <c r="NE23" s="386">
        <f t="shared" si="235"/>
        <v>9.7516393499999996</v>
      </c>
      <c r="NF23" s="380">
        <f t="shared" si="106"/>
        <v>9.9116393499999997</v>
      </c>
      <c r="NG23" s="387">
        <f t="shared" si="236"/>
        <v>10.351639349999999</v>
      </c>
      <c r="NH23" s="254">
        <f t="shared" si="108"/>
        <v>12.551639349999999</v>
      </c>
      <c r="NI23" s="380">
        <f t="shared" si="109"/>
        <v>12.711639349999999</v>
      </c>
      <c r="NK23" s="388">
        <f t="shared" si="110"/>
        <v>0.38866510454965808</v>
      </c>
      <c r="NL23" s="388">
        <f t="shared" si="111"/>
        <v>20.278129102664018</v>
      </c>
      <c r="NM23" s="388">
        <f t="shared" si="112"/>
        <v>0.38866510454965808</v>
      </c>
      <c r="NN23" s="388">
        <f t="shared" si="113"/>
        <v>20.346008544526256</v>
      </c>
      <c r="NO23" s="388">
        <f t="shared" si="114"/>
        <v>0.40514488650633179</v>
      </c>
      <c r="NP23" s="388">
        <f t="shared" si="115"/>
        <v>20.604745737857161</v>
      </c>
      <c r="NQ23" s="388">
        <f t="shared" si="116"/>
        <v>0.40514488650633179</v>
      </c>
      <c r="NR23" s="388">
        <f t="shared" si="117"/>
        <v>20.676485022135008</v>
      </c>
      <c r="NS23" s="388">
        <f t="shared" si="118"/>
        <v>0.40156016550601598</v>
      </c>
      <c r="NT23" s="388">
        <f t="shared" si="119"/>
        <v>0.40156016550601598</v>
      </c>
      <c r="NU23" s="388">
        <f t="shared" si="120"/>
        <v>0.41887804742310619</v>
      </c>
      <c r="NV23" s="388">
        <f t="shared" si="121"/>
        <v>0.41887804742310619</v>
      </c>
      <c r="NW23">
        <f t="shared" si="122"/>
        <v>0.45797705225581764</v>
      </c>
      <c r="NX23">
        <f>各项系数!$M$9*NK23</f>
        <v>0.11659953136489742</v>
      </c>
      <c r="NY23">
        <f t="shared" si="123"/>
        <v>0.40156016550601603</v>
      </c>
      <c r="OB23" s="66" t="str">
        <f t="shared" si="124"/>
        <v>1*35</v>
      </c>
      <c r="OC23" s="395">
        <f t="shared" si="125"/>
        <v>245.05464536042999</v>
      </c>
      <c r="OD23" s="395">
        <f>SQRT(4*EY23/PI()/EH23/各项系数!$J$4/各项系数!$F$5*10000000)</f>
        <v>246.39875970480469</v>
      </c>
      <c r="OE23" s="396">
        <f t="shared" si="126"/>
        <v>33.015189971696913</v>
      </c>
      <c r="OF23" s="396">
        <f t="shared" si="127"/>
        <v>33.378357061385564</v>
      </c>
      <c r="OG23" s="66">
        <v>33.200000000000003</v>
      </c>
      <c r="OH23" s="397">
        <f t="shared" si="186"/>
        <v>0.17835706138556162</v>
      </c>
    </row>
    <row r="24" spans="1:398" ht="15" hidden="1" customHeight="1">
      <c r="A24" s="50">
        <v>50</v>
      </c>
      <c r="B24" s="51"/>
      <c r="C24" s="52">
        <v>1</v>
      </c>
      <c r="D24" s="53" t="s">
        <v>181</v>
      </c>
      <c r="E24" s="61">
        <f t="shared" si="175"/>
        <v>14.342938199999999</v>
      </c>
      <c r="F24" s="59">
        <v>238.573455311777</v>
      </c>
      <c r="G24" s="58"/>
      <c r="H24" s="16"/>
      <c r="I24" s="62"/>
      <c r="J24" s="16"/>
      <c r="K24" s="16"/>
      <c r="L24" s="97" t="s">
        <v>467</v>
      </c>
      <c r="M24" s="103">
        <f t="shared" si="2"/>
        <v>1</v>
      </c>
      <c r="N24" s="103">
        <f t="shared" si="3"/>
        <v>0</v>
      </c>
      <c r="O24" s="102"/>
      <c r="P24" s="99">
        <v>0.1</v>
      </c>
      <c r="Q24" s="133">
        <f t="shared" ref="Q24:Q33" si="237">$Q$12</f>
        <v>0.1</v>
      </c>
      <c r="R24" s="140">
        <v>0.8</v>
      </c>
      <c r="S24" s="142" t="str">
        <f>各项系数!$D$44</f>
        <v>磁性钢带</v>
      </c>
      <c r="T24" s="102">
        <v>0.2</v>
      </c>
      <c r="U24" s="102">
        <v>2</v>
      </c>
      <c r="V24" s="140"/>
      <c r="W24" s="141">
        <v>1.4</v>
      </c>
      <c r="X24" s="135">
        <f t="shared" ref="X24:X33" si="238">$X$12</f>
        <v>0.2</v>
      </c>
      <c r="Y24" s="135"/>
      <c r="Z24" s="168"/>
      <c r="AA24" s="153">
        <v>1.0109999999999999</v>
      </c>
      <c r="AB24" s="153">
        <f>PI()*EJ24*EJ24/4*EH24*(1-H24)*AA24*各项系数!$F$5*各项系数!$J$4*10^-7</f>
        <v>0.39976992605548828</v>
      </c>
      <c r="AC24" s="153">
        <f t="shared" si="176"/>
        <v>238.573455311777</v>
      </c>
      <c r="AD24" s="153">
        <f t="shared" si="5"/>
        <v>45.194467959085458</v>
      </c>
      <c r="AE24" s="153">
        <f>POWER(4*EU24/PI()/EG24/10^-7/EH24/(1-H24)/各项系数!$F$5/各项系数!$J$4,0.5)</f>
        <v>239.88202060340802</v>
      </c>
      <c r="AF24" s="69">
        <v>1</v>
      </c>
      <c r="AG24" s="69">
        <f>IF(EM24=0,0,PI()*ER24*ER24/4*EP24*(1-K24)*(1+AF24)*各项系数!$F$5*各项系数!$J$4*10^-7)</f>
        <v>0</v>
      </c>
      <c r="AH24" s="69">
        <f t="shared" si="177"/>
        <v>0</v>
      </c>
      <c r="AI24" s="69">
        <f t="shared" si="128"/>
        <v>0</v>
      </c>
      <c r="AJ24" s="69">
        <f>IF(OR(EP24="",EP24=0),0,POWER(4*EW24/PI()/EO24/10^-7/EP24/(1-K24)/各项系数!$F$5/各项系数!$J$4,0.5))</f>
        <v>0</v>
      </c>
      <c r="AK24" s="69" t="str">
        <f t="shared" si="8"/>
        <v>√</v>
      </c>
      <c r="AL24" s="69">
        <f t="shared" si="178"/>
        <v>28.238521428855247</v>
      </c>
      <c r="AM24" s="188">
        <f t="shared" si="179"/>
        <v>50</v>
      </c>
      <c r="AN24" s="97" t="s">
        <v>486</v>
      </c>
      <c r="AO24" s="196">
        <f>AP24+各项系数!$M$9*$NK24</f>
        <v>27.68482493025024</v>
      </c>
      <c r="AP24" s="196">
        <f>AQ24*(1+$BI24+(VLOOKUP($AM24,$A$12:$B$323,2,0))+各项系数!$J$6+各项系数!$M$5)*(1+$E$2)</f>
        <v>27.529039618503681</v>
      </c>
      <c r="AQ24" s="197">
        <f>AR24+各项系数!$L$9*$NK24</f>
        <v>28.090856753575185</v>
      </c>
      <c r="AR24" s="197">
        <f>AS24*(1+$BJ24+各项系数!$J$5+各项系数!$L$5)</f>
        <v>27.935071441828626</v>
      </c>
      <c r="AS24" s="197">
        <f t="shared" si="129"/>
        <v>27.38732494296924</v>
      </c>
      <c r="AT24" s="196">
        <f>AU24+各项系数!$M$9*$NM24</f>
        <v>28.248181281411256</v>
      </c>
      <c r="AU24" s="196">
        <f>AV24*(1+$BI24+(VLOOKUP($AM24,$A$12:$B$323,2,0))+各项系数!$J$6+各项系数!$M$5)*(1+$E$2)</f>
        <v>28.092395969664697</v>
      </c>
      <c r="AV24" s="197">
        <f>AW24+各项系数!$L$9*$NM24</f>
        <v>28.665710173127241</v>
      </c>
      <c r="AW24" s="197">
        <f>AX24*(1+$BJ24+各项系数!$J$5+各项系数!$L$5)</f>
        <v>28.509924861380682</v>
      </c>
      <c r="AX24" s="197">
        <f t="shared" si="130"/>
        <v>27.950906726843805</v>
      </c>
      <c r="AY24" s="196">
        <f>AZ24+各项系数!$M$9*$NS24</f>
        <v>28.800202350217326</v>
      </c>
      <c r="AZ24" s="196">
        <f>BA24*(1+$BI24+(VLOOKUP($AM24,$A$12:$B$214,2,0))+各项系数!$J$6+各项系数!$M$5)*(1+$E$2)</f>
        <v>28.639546446448094</v>
      </c>
      <c r="BA24" s="197">
        <f>BB24+各项系数!$L$9*$NS24</f>
        <v>29.224026986171523</v>
      </c>
      <c r="BB24" s="197">
        <f>BC24*(1+$BJ24+各项系数!$J$5+各项系数!$L$5)</f>
        <v>29.063371082402291</v>
      </c>
      <c r="BC24" s="199">
        <f t="shared" si="131"/>
        <v>28.493501061178716</v>
      </c>
      <c r="BD24" s="196">
        <f>BE24+各项系数!$M$9*$NS24</f>
        <v>29.370522886387405</v>
      </c>
      <c r="BE24" s="196">
        <f>BF24*(1+$BI24+(VLOOKUP($AM24,$A$12:$B$214,2,0))+各项系数!$J$6+各项系数!$M$5)*(1+$E$2)</f>
        <v>29.209866982618173</v>
      </c>
      <c r="BF24" s="197">
        <f>BG24+各项系数!$L$9*$NS24</f>
        <v>29.805986716957321</v>
      </c>
      <c r="BG24" s="197">
        <f>BH24*(1+$BJ24+各项系数!$J$5+各项系数!$L$5)</f>
        <v>29.645330813188089</v>
      </c>
      <c r="BH24" s="199">
        <f t="shared" si="132"/>
        <v>29.064049816851067</v>
      </c>
      <c r="BI24" s="51"/>
      <c r="BJ24" s="208"/>
      <c r="BK24" s="102"/>
      <c r="BL24" s="196">
        <f>BM24+各项系数!$M$9*$NM24</f>
        <v>28.037266221765226</v>
      </c>
      <c r="BM24" s="196">
        <f>BN24*(1+$CF24+(VLOOKUP($AM24,$A$12:$B$323,2,0))+各项系数!$J$6+各项系数!$M$5)*(1+$E$2)</f>
        <v>27.881480910018666</v>
      </c>
      <c r="BN24" s="197">
        <f>BO24+各项系数!$L$9*$NM24</f>
        <v>28.450490724508843</v>
      </c>
      <c r="BO24" s="197">
        <f>BP24*(1+$CG24+各项系数!$J$5+各项系数!$L$5)</f>
        <v>28.294705412762283</v>
      </c>
      <c r="BP24" s="197">
        <f t="shared" si="133"/>
        <v>27.470587779380857</v>
      </c>
      <c r="BQ24" s="196">
        <f>BR24+各项系数!$M$9*$NM24</f>
        <v>28.522100167334326</v>
      </c>
      <c r="BR24" s="196">
        <f>BS24*(1+$CF24+(VLOOKUP($AM24,$A$12:$B$323,2,0))+各项系数!$J$6+各项系数!$M$5)*(1+$E$2)</f>
        <v>28.366314855587767</v>
      </c>
      <c r="BS24" s="197">
        <f>BT24+各项系数!$L$9*$NM24</f>
        <v>28.94521924039568</v>
      </c>
      <c r="BT24" s="197">
        <f>BU24*(1+$CG24+各项系数!$J$5+各项系数!$L$5)</f>
        <v>28.789433928649121</v>
      </c>
      <c r="BU24" s="197">
        <f t="shared" si="134"/>
        <v>27.950906726843805</v>
      </c>
      <c r="BV24" s="196">
        <f>BW24+各项系数!$M$9*$NT24</f>
        <v>29.015178483737941</v>
      </c>
      <c r="BW24" s="196">
        <f>BX24*(1+$CF24+(VLOOKUP($AM24,$A$12:$B$214,2,0))+各项系数!$J$6+各项系数!$M$5)*(1+$E$2)</f>
        <v>28.854522579968709</v>
      </c>
      <c r="BX24" s="197">
        <f>BY24+各项系数!$L$9*$NT$12</f>
        <v>29.443390387723174</v>
      </c>
      <c r="BY24" s="197">
        <f>BZ24*(1+$CG24+各项系数!$J$5+各项系数!$L$5)</f>
        <v>29.4351269845682</v>
      </c>
      <c r="BZ24" s="199">
        <f t="shared" si="11"/>
        <v>28.577793188901165</v>
      </c>
      <c r="CA24" s="196">
        <f>CB24+各项系数!$M$9*$NT24</f>
        <v>29.506005923990575</v>
      </c>
      <c r="CB24" s="196">
        <f>CC24*(1+$CF24+(VLOOKUP($AM24,$A$12:$B$214,2,0))+各项系数!$J$6+各项系数!$M$5)*(1+$E$2)</f>
        <v>29.345350020221343</v>
      </c>
      <c r="CC24" s="197">
        <f>CD24+各项系数!$L$9*$NT$12</f>
        <v>29.944234714511573</v>
      </c>
      <c r="CD24" s="197">
        <f>CE24*(1+$CG24+各项系数!$J$5+各项系数!$L$5)</f>
        <v>29.9359713113566</v>
      </c>
      <c r="CE24" s="199">
        <f t="shared" si="135"/>
        <v>29.064049816851067</v>
      </c>
      <c r="CF24" s="213">
        <f t="shared" si="136"/>
        <v>0</v>
      </c>
      <c r="CG24" s="213">
        <f t="shared" si="12"/>
        <v>0.01</v>
      </c>
      <c r="CH24" s="102"/>
      <c r="CI24" s="196">
        <f>CJ24+各项系数!$M$9*$NO24</f>
        <v>28.257971045367228</v>
      </c>
      <c r="CJ24" s="196">
        <f>CK24*(1+$DC24+(VLOOKUP($AM24,$A$12:$B$323,2,0))+各项系数!$J$6+各项系数!$M$5)*(1+$E$2)+各项系数!$M$9*$NK24</f>
        <v>28.096255190600633</v>
      </c>
      <c r="CK24" s="197">
        <f>CL24+各项系数!$L$9*$NO24</f>
        <v>28.510683549851098</v>
      </c>
      <c r="CL24" s="197">
        <f>CM24*(1+$DD24+各项系数!$J$5+各项系数!$L$5)</f>
        <v>28.348967695084504</v>
      </c>
      <c r="CM24" s="197">
        <f t="shared" si="13"/>
        <v>27.793105583416178</v>
      </c>
      <c r="CN24" s="196">
        <f>CO24+各项系数!$M$9*$NO24</f>
        <v>28.78274441174181</v>
      </c>
      <c r="CO24" s="196">
        <f>CP24*(1+$DC24+(VLOOKUP($AM24,$A$12:$B$323,2,0))+各项系数!$J$6+各项系数!$M$5)*(1+$E$2)+各项系数!$M$9*$NK24</f>
        <v>28.621028556975215</v>
      </c>
      <c r="CP24" s="197">
        <f>CQ24+各项系数!$L$9*$NO24</f>
        <v>29.046166576763934</v>
      </c>
      <c r="CQ24" s="197">
        <f>CR24*(1+$DD24+各项系数!$J$5+各项系数!$L$5)</f>
        <v>28.884450721997339</v>
      </c>
      <c r="CR24" s="197">
        <f t="shared" si="14"/>
        <v>28.318088943134647</v>
      </c>
      <c r="CS24" s="196">
        <f>CT24+各项系数!$M$9*$NU24</f>
        <v>29.274610103593425</v>
      </c>
      <c r="CT24" s="196">
        <f t="shared" si="15"/>
        <v>29.107772226816035</v>
      </c>
      <c r="CU24" s="197">
        <f>CV24+各项系数!$L$9*$NU24</f>
        <v>29.701808394710241</v>
      </c>
      <c r="CV24" s="197">
        <f>CW24*(1+$DD24+各项系数!$J$5+各项系数!$L$5)</f>
        <v>29.534970517932852</v>
      </c>
      <c r="CW24" s="199">
        <f t="shared" si="16"/>
        <v>28.955853448953775</v>
      </c>
      <c r="CX24" s="196">
        <f>CY24+各项系数!$M$9*$NU24</f>
        <v>29.871046333547522</v>
      </c>
      <c r="CY24" s="196">
        <f t="shared" si="17"/>
        <v>29.704208456770132</v>
      </c>
      <c r="CZ24" s="197">
        <f>DA24+各项系数!$L$9*$NU24</f>
        <v>30.310416792622586</v>
      </c>
      <c r="DA24" s="197">
        <f>DB24*(1+$DD24+各项系数!$J$5+各项系数!$L$5)</f>
        <v>30.143578915845197</v>
      </c>
      <c r="DB24" s="199">
        <f t="shared" si="18"/>
        <v>29.552528348867838</v>
      </c>
      <c r="DC24" s="213">
        <f t="shared" si="137"/>
        <v>0</v>
      </c>
      <c r="DD24" s="213">
        <f t="shared" si="19"/>
        <v>0</v>
      </c>
      <c r="DE24" s="53"/>
      <c r="DF24" s="53"/>
      <c r="DG24" s="196">
        <f>DH24+各项系数!$M$9*$NQ24</f>
        <v>28.618285112092909</v>
      </c>
      <c r="DH24" s="196">
        <f>DI24*(1+$EA24+(VLOOKUP($AM24,$A$12:$B$323,2,0))+各项系数!$J$6+各项系数!$M$5)*(1+$E$2)+各项系数!$M$9*$NK24</f>
        <v>28.456569257326315</v>
      </c>
      <c r="DI24" s="197">
        <f>DJ24+各项系数!$L$9*$NQ24</f>
        <v>28.878350964877303</v>
      </c>
      <c r="DJ24" s="197">
        <f>DK24*(1+$EB24+各项系数!$J$5+各项系数!$L$5)</f>
        <v>28.716635110110708</v>
      </c>
      <c r="DK24" s="197">
        <f t="shared" si="20"/>
        <v>27.880228262243406</v>
      </c>
      <c r="DL24" s="196">
        <f>DM24+各项系数!$M$9*$NQ24</f>
        <v>29.125594662725273</v>
      </c>
      <c r="DM24" s="196">
        <f>DN24*(1+$EA24+(VLOOKUP($AM24,$A$12:$B$323,2,0))+各项系数!$J$6+各项系数!$M$5)*(1+$E$2)+各项系数!$M$9*$NK24</f>
        <v>28.963878807958679</v>
      </c>
      <c r="DN24" s="197">
        <f>DO24+各项系数!$L$9*$NQ24</f>
        <v>29.39601377164502</v>
      </c>
      <c r="DO24" s="197">
        <f>DP24*(1+$EB24+各项系数!$J$5+各项系数!$L$5)</f>
        <v>29.234297916878425</v>
      </c>
      <c r="DP24" s="197">
        <f t="shared" si="21"/>
        <v>28.382813511532451</v>
      </c>
      <c r="DQ24" s="196">
        <f>DR24+各项系数!$M$9*$NV24</f>
        <v>29.647358066050526</v>
      </c>
      <c r="DR24" s="196">
        <f t="shared" si="22"/>
        <v>29.480520189273136</v>
      </c>
      <c r="DS24" s="197">
        <f>DT24+各项系数!$L$9*$NV24</f>
        <v>30.082163458441975</v>
      </c>
      <c r="DT24" s="197">
        <f>DU24*(1+$EB24+各项系数!$J$5+各项系数!$L$5)</f>
        <v>29.915325581664586</v>
      </c>
      <c r="DU24" s="199">
        <f t="shared" si="23"/>
        <v>29.044005419091832</v>
      </c>
      <c r="DV24" s="196">
        <f>DW24+各项系数!$M$9*$NV24</f>
        <v>29.766177620559848</v>
      </c>
      <c r="DW24" s="196">
        <f t="shared" si="24"/>
        <v>29.599339743782458</v>
      </c>
      <c r="DX24" s="197">
        <f>DY24+各项系数!$L$9*$NV24</f>
        <v>30.203407901818835</v>
      </c>
      <c r="DY24" s="197">
        <f>DZ24*(1+$EB24+各项系数!$J$5+各项系数!$L$5)</f>
        <v>30.036570025041446</v>
      </c>
      <c r="DZ24" s="199">
        <f t="shared" si="25"/>
        <v>29.161718470914025</v>
      </c>
      <c r="EA24" s="213">
        <f t="shared" si="230"/>
        <v>0</v>
      </c>
      <c r="EB24" s="213">
        <f t="shared" si="27"/>
        <v>0.01</v>
      </c>
      <c r="EC24" s="235">
        <f t="shared" si="138"/>
        <v>1</v>
      </c>
      <c r="ED24" s="235" t="str">
        <f t="shared" si="180"/>
        <v>1*50</v>
      </c>
      <c r="EE24" s="189">
        <f t="shared" si="187"/>
        <v>50</v>
      </c>
      <c r="EF24" s="189" t="str">
        <f>LOOKUP(EH24,{1,7,10,14,19,24,30,37,48,61},{1,"1+6","2+8","4+10","1+6+12","2+8+14","4+10+16","1+6+12+18","3+9+15+21","1+6+12+18+24"})</f>
        <v>2+8</v>
      </c>
      <c r="EG24" s="188">
        <f t="shared" si="29"/>
        <v>1</v>
      </c>
      <c r="EH24" s="197">
        <f>IF(AM24&lt;10,1,IF(AND(AM24&gt;=10,AM24&lt;=35),7,LOOKUP(AM24,{50,70,95,120,150,185,240,300,400,500,630},{10,14,19,24,30,37,48,61,61,61,61})*1))</f>
        <v>10</v>
      </c>
      <c r="EI24" s="188">
        <f>IF(EH24=0,0,VLOOKUP(EH24,各项系数!$D$142:$E$195,2,0))*1</f>
        <v>4</v>
      </c>
      <c r="EJ24" s="238">
        <f t="shared" si="141"/>
        <v>238.573455311777</v>
      </c>
      <c r="EK24" s="189">
        <f t="shared" si="181"/>
        <v>0</v>
      </c>
      <c r="EL24" s="189">
        <f t="shared" si="31"/>
        <v>0</v>
      </c>
      <c r="EM24" s="189">
        <f t="shared" si="182"/>
        <v>0</v>
      </c>
      <c r="EN24" s="189">
        <f>IF(EP24=0,0,LOOKUP(EP24,{1,7,10,14,19,24,30,37,48,61},{1,"1+6","2+8","4+10","1+6+12","2+8+14","4+10+16","1+6+12+18","3+9+15+21","1+6+12+18+24"}))</f>
        <v>0</v>
      </c>
      <c r="EO24" s="189">
        <f t="shared" si="183"/>
        <v>0</v>
      </c>
      <c r="EP24" s="189">
        <f>IF(EM24=0,0,IF(EM24&lt;10,1,IF(AND(EM24&gt;=10,EM24&lt;=35),7,LOOKUP(EM24,{50,70,95,120,150,185,240,300},{10,14,19,24,30,37,48,61})*1)))</f>
        <v>0</v>
      </c>
      <c r="EQ24" s="189">
        <f>IF(EP24=0,0,VLOOKUP(EP24,各项系数!$D$142:$E$195,2,0))*1</f>
        <v>0</v>
      </c>
      <c r="ER24" s="189">
        <f t="shared" si="184"/>
        <v>0</v>
      </c>
      <c r="ES24" s="235">
        <f t="shared" si="185"/>
        <v>1</v>
      </c>
      <c r="ET24" s="189">
        <f>VLOOKUP(ES24,各项系数!$D$142:$E$195,2,0)*1</f>
        <v>1</v>
      </c>
      <c r="EU24" s="243">
        <f>((各项系数!$F$76/4*$EJ24^2*$EG24*$EH24*1*10^-7)*(1-$H24)*AA24)*(VLOOKUP($EY$9,各项系数!$D$4:$F$143,3,0))*各项系数!$J$4</f>
        <v>0.39976992605548828</v>
      </c>
      <c r="EV24" s="244">
        <f>EU24*(VLOOKUP($EY$9,各项系数!$D$4:$F$143,2,0))</f>
        <v>26.184930156634483</v>
      </c>
      <c r="EW24" s="252">
        <f>(IF($EO24=0,0,(各项系数!$F$76/4*$ER24^2*$EO24*$EP24*1*10^-7))*(1-$K24)*$AF24)*(VLOOKUP($EY$9,各项系数!$D$4:$F$143,3,0))*各项系数!$J$4</f>
        <v>0</v>
      </c>
      <c r="EX24" s="253">
        <f>EW24*(VLOOKUP($EY$9,各项系数!$D$4:$F$143,2,0))</f>
        <v>0</v>
      </c>
      <c r="EY24" s="189">
        <f>((各项系数!$F$76/4*$EJ24^2*$EG24*$EH24*1*10^-7)*(1-$H24)*AA24+IF($EO24=0,0,(各项系数!$F$76/4*$ER24^2*$EO24*$EP24*1*10^-7))*(1-$K24)*$AF24)*(VLOOKUP($EY$9,各项系数!$D$4:$F$143,3,0))*各项系数!$J$4</f>
        <v>0.39976992605548828</v>
      </c>
      <c r="EZ24" s="102">
        <v>1</v>
      </c>
      <c r="FA24" s="189">
        <f t="shared" si="188"/>
        <v>0.39976992605548828</v>
      </c>
      <c r="FB24" s="254">
        <f>FA24*(VLOOKUP($EY$9,各项系数!$D$4:$F$143,2,0))</f>
        <v>26.184930156634483</v>
      </c>
      <c r="FC24" s="255"/>
      <c r="FD24" s="235">
        <f>各项系数!$F$76/4*($MN24^2-MK24^2)*10^-2*(VLOOKUP(L24,各项系数!$D$1:$F$143,3,0))*10^-3*10^2*$EG24*各项系数!$J$4</f>
        <v>3.6251610021428293E-2</v>
      </c>
      <c r="FE24" s="262">
        <f>FD24*VLOOKUP(L24,各项系数!$D$1:$F$143,2,0)</f>
        <v>0.36976642221856859</v>
      </c>
      <c r="FF24" s="188">
        <f>各项系数!$F$76/4*($MO24^2-ML24^2)*10^-2*(VLOOKUP(L24,各项系数!$D$1:$F$143,3,0))*10^-3*10^2*$EO24*各项系数!$J$4</f>
        <v>0</v>
      </c>
      <c r="FG24" s="262">
        <f>FF24*VLOOKUP(L24,各项系数!$D$1:$F$143,2,0)</f>
        <v>0</v>
      </c>
      <c r="FH24" s="235">
        <f t="shared" si="142"/>
        <v>3.6251610021428293E-2</v>
      </c>
      <c r="FI24" s="102">
        <v>1</v>
      </c>
      <c r="FJ24" s="189">
        <f t="shared" si="189"/>
        <v>3.6251610021428293E-2</v>
      </c>
      <c r="FK24" s="262">
        <f>FJ24*VLOOKUP(L24,各项系数!$D$1:$F$143,2,0)</f>
        <v>0.36976642221856859</v>
      </c>
      <c r="FL24" s="235"/>
      <c r="FM24" s="102"/>
      <c r="FN24" s="189"/>
      <c r="FO24" s="262"/>
      <c r="FP24" s="282">
        <f t="shared" si="190"/>
        <v>3.6251610021428293E-2</v>
      </c>
      <c r="FQ24" s="282">
        <f t="shared" si="191"/>
        <v>0.36976642221856859</v>
      </c>
      <c r="FR24" s="283">
        <f>各项系数!$F$76/4*($MQ24^2-$MN24^2*$EG24-$MO24^2*$EO24)*10^-2</f>
        <v>0</v>
      </c>
      <c r="FS24" s="284">
        <f t="shared" si="143"/>
        <v>1</v>
      </c>
      <c r="FT24" s="285">
        <f t="shared" si="40"/>
        <v>0</v>
      </c>
      <c r="FU24" s="302">
        <f>$FT24*(VLOOKUP($FT$9,各项系数!$D$1:$F$143,3,0))*10^-3*10^2*各项系数!$J$55</f>
        <v>0</v>
      </c>
      <c r="FV24" s="303">
        <v>1</v>
      </c>
      <c r="FW24" s="304">
        <f t="shared" si="192"/>
        <v>0</v>
      </c>
      <c r="FX24" s="285">
        <f>FW24*(VLOOKUP($FT$9,各项系数!$D$1:$F$143,2,0))</f>
        <v>0</v>
      </c>
      <c r="FY24" s="302">
        <f>IF($BK24&lt;&gt;$FY$9,0,各项系数!$F$76/4*($MS24^2-$MQ24^2)*10^-2*(VLOOKUP($FY$9,各项系数!$D$1:$F$143,3,0))*10^-3*10^2)*各项系数!$J$4</f>
        <v>0</v>
      </c>
      <c r="FZ24" s="303">
        <v>1</v>
      </c>
      <c r="GA24" s="304">
        <f t="shared" si="193"/>
        <v>0</v>
      </c>
      <c r="GB24" s="285">
        <f>GA24*(VLOOKUP($FY$9,各项系数!$D$1:$F$143,2,0))</f>
        <v>0</v>
      </c>
      <c r="GC24" s="302">
        <f>IF($BK24&lt;&gt;$GC$9,0,各项系数!$F$76/4*($MS24^2-$MQ24^2)*10^-2*(VLOOKUP($GC$9,各项系数!$D$1:$F$143,3,0))*10^-3*10^2)*各项系数!$J$4</f>
        <v>0</v>
      </c>
      <c r="GD24" s="303">
        <v>1</v>
      </c>
      <c r="GE24" s="304">
        <f t="shared" si="194"/>
        <v>0</v>
      </c>
      <c r="GF24" s="285">
        <f>GE24*(VLOOKUP($GC$9,各项系数!$D$1:$F$143,2,0))</f>
        <v>0</v>
      </c>
      <c r="GG24" s="302">
        <f>IF($BK24&lt;&gt;$GG$9,0,各项系数!$F$76/4*($MS24^2-$MQ24^2)*10^-2*(VLOOKUP($GG$9,各项系数!$D$1:$F$143,3,0))*10^-3*10^2)*各项系数!$J$4</f>
        <v>0</v>
      </c>
      <c r="GH24" s="303">
        <v>1</v>
      </c>
      <c r="GI24" s="304">
        <f t="shared" si="195"/>
        <v>0</v>
      </c>
      <c r="GJ24" s="285">
        <f>GI24*(VLOOKUP($GG$9,各项系数!$D$1:$F$143,2,0))</f>
        <v>0</v>
      </c>
      <c r="GK24" s="302">
        <f>IF($BK24&lt;&gt;$GK$9,0,各项系数!$F$76/4*($MS24^2-$MQ24^2)*10^-2*(VLOOKUP($GK$9,各项系数!$D$1:$F$143,3,0))*10^-3*10^2)*各项系数!$J$4</f>
        <v>0</v>
      </c>
      <c r="GL24" s="303">
        <v>1</v>
      </c>
      <c r="GM24" s="304">
        <f t="shared" si="196"/>
        <v>0</v>
      </c>
      <c r="GN24" s="285">
        <f>GM24*(VLOOKUP($GK$9,各项系数!$D$1:$F$143,2,0))</f>
        <v>0</v>
      </c>
      <c r="GO24" s="304">
        <f t="shared" si="197"/>
        <v>0</v>
      </c>
      <c r="GP24" s="304">
        <f t="shared" si="198"/>
        <v>0</v>
      </c>
      <c r="GQ24" s="315">
        <f>各项系数!$F$76/4*($MU24^2-$MS24^2)*10^-2*(VLOOKUP($S24,各项系数!$D$1:$F$143,3,0))*10^-3*10^2*各项系数!$J$4</f>
        <v>8.6848120501516829E-2</v>
      </c>
      <c r="GR24" s="303">
        <v>1</v>
      </c>
      <c r="GS24" s="304">
        <f t="shared" si="199"/>
        <v>8.6848120501516829E-2</v>
      </c>
      <c r="GT24" s="304">
        <f t="shared" si="200"/>
        <v>1</v>
      </c>
      <c r="GU24" s="304">
        <f>ROUND($GS24*(VLOOKUP($S24,各项系数!$D$1:$F$143,2,0))+$E$3*GS24,GT24)</f>
        <v>0.9</v>
      </c>
      <c r="GV24" s="315">
        <f>各项系数!$F$76/4*($MT24^2-$MS24^2)*10^-2*(VLOOKUP($GV$9,各项系数!$D$1:$F$143,3,0))*10^-3*10^2*各项系数!$J$4*PI()/4*R24</f>
        <v>1.6235306742239799E-2</v>
      </c>
      <c r="GW24" s="303">
        <v>1</v>
      </c>
      <c r="GX24" s="304">
        <f t="shared" si="201"/>
        <v>1.6235306742239799E-2</v>
      </c>
      <c r="GY24" s="304">
        <f>$GX24*(VLOOKUP($GV$9,各项系数!$D$1:$F$143,2,0))</f>
        <v>1.0958832051011864</v>
      </c>
      <c r="GZ24" s="315">
        <f>各项系数!$F$76/4*($MV24^2-$MS24^2)*10^-2*(VLOOKUP($GZ$9,各项系数!$D$1:$F$143,3,0))*10^-3*10^2*各项系数!$J$4</f>
        <v>8.2130008705338375E-2</v>
      </c>
      <c r="HA24" s="303">
        <v>1</v>
      </c>
      <c r="HB24" s="304">
        <f t="shared" si="144"/>
        <v>8.2130008705338375E-2</v>
      </c>
      <c r="HC24" s="304">
        <f>HB24*(VLOOKUP($GZ$9,各项系数!$D$1:$F$143,2,0))</f>
        <v>1.3962101479907525</v>
      </c>
      <c r="HD24" s="315">
        <f>各项系数!$F$76/4*($MW24^2-$MT24^2)*10^-2*(VLOOKUP($HD$9,各项系数!$D$1:$F$143,3,0))*10^-3*10^2*各项系数!$J$4</f>
        <v>8.3145296052754863E-2</v>
      </c>
      <c r="HE24" s="303">
        <v>1</v>
      </c>
      <c r="HF24" s="304">
        <f t="shared" si="145"/>
        <v>8.3145296052754863E-2</v>
      </c>
      <c r="HG24" s="304">
        <f>HF24*(VLOOKUP($HD$9,各项系数!$D$1:$F$143,2,0))</f>
        <v>1.4134700328968326</v>
      </c>
      <c r="HH24" s="315">
        <f>各项系数!$F$76/4*($MV24^2-$MS24^2)*10^-2*(VLOOKUP($HH$9,各项系数!$D$1:$F$143,3,0))*10^-3*10^2*各项系数!$J$4</f>
        <v>8.2130008705338375E-2</v>
      </c>
      <c r="HI24" s="322">
        <v>1</v>
      </c>
      <c r="HJ24" s="304">
        <f t="shared" si="146"/>
        <v>8.2130008705338375E-2</v>
      </c>
      <c r="HK24" s="304">
        <f>HJ24*(VLOOKUP($HH$9,各项系数!$D$1:$F$143,2,0))</f>
        <v>1.3962101479907525</v>
      </c>
      <c r="HL24" s="315">
        <f>各项系数!$F$76/4*($MW24^2-$MT24^2)*10^-2*(VLOOKUP($HL$9,各项系数!$D$1:$F$143,3,0))*10^-3*10^2*各项系数!$J$4</f>
        <v>8.3145296052754863E-2</v>
      </c>
      <c r="HM24" s="322">
        <v>1</v>
      </c>
      <c r="HN24" s="304">
        <f t="shared" si="147"/>
        <v>8.3145296052754863E-2</v>
      </c>
      <c r="HO24" s="304">
        <f>HN24*(VLOOKUP($HL$9,各项系数!$D$1:$F$143,2,0))</f>
        <v>1.4134700328968326</v>
      </c>
      <c r="HP24" s="315">
        <f>各项系数!$F$76/4*($MV24^2-$MS24^2)*10^-2*(VLOOKUP(AN24,各项系数!$D$1:$F$143,3,0))*10^-3*10^2*各项系数!$J$4</f>
        <v>8.3262836411618898E-2</v>
      </c>
      <c r="HQ24" s="303">
        <v>1</v>
      </c>
      <c r="HR24" s="304">
        <f t="shared" si="202"/>
        <v>8.3262836411618898E-2</v>
      </c>
      <c r="HS24" s="304">
        <f>HR24*(VLOOKUP(AN24,各项系数!$D$1:$F$143,2,0))</f>
        <v>0.83262836411618901</v>
      </c>
      <c r="HT24" s="315">
        <f>各项系数!$F$76/4*($MW24^2-$MT24^2)*10^-2*(VLOOKUP(AN24,各项系数!$D$1:$F$143,3,0))*10^-3*10^2*各项系数!$J$4</f>
        <v>8.4292127722448054E-2</v>
      </c>
      <c r="HU24" s="303">
        <v>1</v>
      </c>
      <c r="HV24" s="304">
        <f t="shared" si="203"/>
        <v>8.4292127722448054E-2</v>
      </c>
      <c r="HW24" s="304">
        <f>HV24*(VLOOKUP(AN24,各项系数!$D$1:$F$143,2,0))</f>
        <v>0.84292127722448051</v>
      </c>
      <c r="HX24" s="315">
        <f>各项系数!$F$76/4*($MV24^2-$MS24^2)*10^-2*(VLOOKUP($HX$9,各项系数!$D$1:$F$143,3,0))*10^-3*10^2*各项系数!$J$4</f>
        <v>8.3262836411618898E-2</v>
      </c>
      <c r="HY24" s="322">
        <v>1</v>
      </c>
      <c r="HZ24" s="304">
        <f t="shared" si="204"/>
        <v>8.3262836411618898E-2</v>
      </c>
      <c r="IA24" s="304">
        <f>HZ24*(VLOOKUP($HX$9,各项系数!$D$1:$F$143,2,0))</f>
        <v>0.91589120052780792</v>
      </c>
      <c r="IB24" s="315">
        <f>各项系数!$F$76/4*($MW24^2-$MT24^2)*10^-2*(VLOOKUP($IB$9,各项系数!$D$1:$F$143,3,0))*10^-3*10^2*各项系数!$J$4</f>
        <v>8.4292127722448054E-2</v>
      </c>
      <c r="IC24" s="322">
        <v>1</v>
      </c>
      <c r="ID24" s="304">
        <f t="shared" si="205"/>
        <v>8.4292127722448054E-2</v>
      </c>
      <c r="IE24" s="304">
        <f>ID24*(VLOOKUP($IB$9,各项系数!$D$1:$F$143,2,0))</f>
        <v>0.92721340494692861</v>
      </c>
      <c r="IF24" s="328"/>
      <c r="IG24" s="315">
        <f t="shared" si="148"/>
        <v>1.3845550422223823E-2</v>
      </c>
      <c r="IH24" s="303">
        <v>1</v>
      </c>
      <c r="II24" s="304">
        <f t="shared" si="206"/>
        <v>1.3845550422223823E-2</v>
      </c>
      <c r="IJ24" s="304">
        <f>II24*(VLOOKUP($IG$8,各项系数!$D$1:$F$143,2,0))</f>
        <v>0.34613876055559556</v>
      </c>
      <c r="IK24" s="315">
        <f>(各项系数!$F$76/4*($MX24^2-$MK24^2)*$EG24)*10^-2*(VLOOKUP($IG$8,各项系数!$D$1:$F$143,3,0))*10^-3*10^2*各项系数!$J$4</f>
        <v>1.3845550422223823E-2</v>
      </c>
      <c r="IL24" s="303">
        <f>IK24*(VLOOKUP($IG$8,各项系数!$D$1:$F$143,2,0))</f>
        <v>0.34613876055559556</v>
      </c>
      <c r="IM24" s="304">
        <f>(各项系数!$F$76/4*(($MM24+3*$X24)^2-MM24^2)*$EO24)*10^-2*(VLOOKUP($IG$8,各项系数!$D$1:$F$143,3,0))*10^-3*10^2*各项系数!$J$4</f>
        <v>0</v>
      </c>
      <c r="IN24" s="303">
        <f>IM24*(VLOOKUP($IG$8,各项系数!$D$1:$F$143,2,0))</f>
        <v>0</v>
      </c>
      <c r="IO24" s="315">
        <f>各项系数!$F$76/4*($MZ24^2-$MX24^2)*10^-2*(VLOOKUP(L24,各项系数!$D$1:$F$143,3,0))*10^-3*10^2*$ES24*各项系数!$J$4</f>
        <v>3.8314693917040683E-2</v>
      </c>
      <c r="IP24" s="303">
        <v>1</v>
      </c>
      <c r="IQ24" s="304">
        <f t="shared" si="207"/>
        <v>3.8314693917040683E-2</v>
      </c>
      <c r="IR24" s="285">
        <f>IQ24*(VLOOKUP(L24,各项系数!$D$1:$F$143,2,0))</f>
        <v>0.39080987795381494</v>
      </c>
      <c r="IS24" s="315">
        <f>IF($L24&lt;&gt;$IS$9,0,各项系数!$F$76/4*($MZ24^2-$MX24^2)*10^-2*各项系数!$F$12*10^-3*10^2)*$ES24*各项系数!$J$4</f>
        <v>0</v>
      </c>
      <c r="IT24" s="303">
        <v>1</v>
      </c>
      <c r="IU24" s="304">
        <f t="shared" si="208"/>
        <v>0</v>
      </c>
      <c r="IV24" s="285">
        <f>IU24*各项系数!$E$12</f>
        <v>0</v>
      </c>
      <c r="IW24" s="302">
        <f t="shared" si="209"/>
        <v>3.8314693917040683E-2</v>
      </c>
      <c r="IX24" s="302">
        <f t="shared" si="210"/>
        <v>0.39080987795381494</v>
      </c>
      <c r="IY24" s="339">
        <f>各项系数!$F$76/4*($NB24^2-$MZ24^2*$EG24-$NA24^2*$EO24)*10^-2</f>
        <v>0</v>
      </c>
      <c r="IZ24" s="284">
        <f t="shared" si="231"/>
        <v>1</v>
      </c>
      <c r="JA24" s="285">
        <f t="shared" si="64"/>
        <v>0</v>
      </c>
      <c r="JB24" s="282">
        <f>IF($DE24&lt;&gt;$JB$9,0,$JA24*各项系数!$F$32*10^-3*10^2)*各项系数!$J$4</f>
        <v>0</v>
      </c>
      <c r="JC24" s="102">
        <v>1</v>
      </c>
      <c r="JD24" s="189">
        <f t="shared" si="211"/>
        <v>0</v>
      </c>
      <c r="JE24" s="262">
        <f>JD24*各项系数!$E$32</f>
        <v>0</v>
      </c>
      <c r="JF24" s="282">
        <f>IF($DE24&lt;&gt;$JF$9,0,$JA24*VLOOKUP($JF$9,各项系数!$D$4:$F$540,2,0)*10^-3*10^2)*各项系数!$J$4</f>
        <v>0</v>
      </c>
      <c r="JG24" s="102">
        <v>1</v>
      </c>
      <c r="JH24" s="189">
        <f t="shared" si="66"/>
        <v>0</v>
      </c>
      <c r="JI24" s="262">
        <f>JH24*VLOOKUP($JF$9,各项系数!$D$4:$F$540,3,0)</f>
        <v>0</v>
      </c>
      <c r="JJ24" s="282">
        <f t="shared" si="212"/>
        <v>0</v>
      </c>
      <c r="JK24" s="189">
        <f t="shared" si="213"/>
        <v>0</v>
      </c>
      <c r="JL24" s="282">
        <f>IF($DF24&lt;&gt;$JL$9,0,各项系数!$F$76/4*($NE24^2-$NC24^2)*10^-2*各项系数!$F$39*10^-3*10^2)*各项系数!$J$4</f>
        <v>0</v>
      </c>
      <c r="JM24" s="102">
        <v>1</v>
      </c>
      <c r="JN24" s="189">
        <f t="shared" si="214"/>
        <v>0</v>
      </c>
      <c r="JO24" s="262">
        <f>JN24*各项系数!$E$39</f>
        <v>0</v>
      </c>
      <c r="JP24" s="282">
        <f>IF($DF24&lt;&gt;$JP$9,0,各项系数!$F$76/4*($NE24^2-$NC24^2)*10^-2*各项系数!$F$36*10^-3*10^2)*各项系数!$J$4</f>
        <v>0</v>
      </c>
      <c r="JQ24" s="102">
        <v>1</v>
      </c>
      <c r="JR24" s="189">
        <f t="shared" si="215"/>
        <v>0</v>
      </c>
      <c r="JS24" s="262">
        <f>JR24*各项系数!$E$36</f>
        <v>0</v>
      </c>
      <c r="JT24" s="282">
        <f>IF($DF24&lt;&gt;$JT$9,0,各项系数!$F$76/4*($NE24^2-$NC24^2)*10^-2*各项系数!$F$40*10^-3*10^2)*各项系数!$J$4</f>
        <v>0</v>
      </c>
      <c r="JU24" s="102">
        <v>1</v>
      </c>
      <c r="JV24" s="189">
        <f t="shared" si="216"/>
        <v>0</v>
      </c>
      <c r="JW24" s="262">
        <f>JV24*各项系数!$E$40</f>
        <v>0</v>
      </c>
      <c r="JX24" s="282">
        <f>IF($DF24&lt;&gt;$JX$9,0,各项系数!$F$76/4*($NE24^2-$NC24^2)*10^-2*各项系数!$F$38*10^-3*10^2)*各项系数!$J$4</f>
        <v>0</v>
      </c>
      <c r="JY24" s="102">
        <v>1</v>
      </c>
      <c r="JZ24" s="189">
        <f t="shared" si="217"/>
        <v>0</v>
      </c>
      <c r="KA24" s="262">
        <f>JZ24*各项系数!$E$38</f>
        <v>0</v>
      </c>
      <c r="KB24" s="282">
        <f>IF($DF24&lt;&gt;$KB$9,0,各项系数!$F$76/4*($NE24^2-$NC24^2)*10^-2*各项系数!$F$41*10^-3*10^2)*各项系数!$J$4</f>
        <v>0</v>
      </c>
      <c r="KC24" s="102">
        <v>1</v>
      </c>
      <c r="KD24" s="189">
        <f t="shared" si="218"/>
        <v>0</v>
      </c>
      <c r="KE24" s="262">
        <f>KD24*各项系数!$E$41</f>
        <v>0</v>
      </c>
      <c r="KF24" s="189">
        <f t="shared" si="219"/>
        <v>0</v>
      </c>
      <c r="KG24" s="189">
        <f t="shared" si="220"/>
        <v>0</v>
      </c>
      <c r="KH24" s="235">
        <f>各项系数!$F$76/4*($NG24^2-$NE24^2)*10^-2*各项系数!$F$44*10^-3*10^2*各项系数!$J$4*0.75*$U24</f>
        <v>0.13687217368742105</v>
      </c>
      <c r="KI24" s="102">
        <v>1</v>
      </c>
      <c r="KJ24" s="189">
        <f t="shared" si="221"/>
        <v>0.13687217368742105</v>
      </c>
      <c r="KK24" s="189">
        <f>ROUND(KJ24*各项系数!$E$44,GT24)</f>
        <v>1.5</v>
      </c>
      <c r="KL24" s="235">
        <f>各项系数!$F$76/4*($NF24^2-$NE24^2)*10^-2*各项系数!$F$46*10^-3*10^2*各项系数!$J$4*PI()/4*R24</f>
        <v>1.7073406702656366E-2</v>
      </c>
      <c r="KM24" s="102">
        <v>1</v>
      </c>
      <c r="KN24" s="189">
        <f t="shared" si="222"/>
        <v>1.7073406702656366E-2</v>
      </c>
      <c r="KO24" s="189">
        <f>KN24*各项系数!$E$46</f>
        <v>1.1524549524293046</v>
      </c>
      <c r="KP24" s="235">
        <f>各项系数!$F$76/4*($NH24^2-$NE24^2)*10^-2*(VLOOKUP($KP$9,各项系数!$D$1:$F$143,3,0))*10^-3*10^2*各项系数!$J$4</f>
        <v>8.5937336258150407E-2</v>
      </c>
      <c r="KQ24" s="102">
        <v>1</v>
      </c>
      <c r="KR24" s="189">
        <f t="shared" si="150"/>
        <v>8.5937336258150407E-2</v>
      </c>
      <c r="KS24" s="189">
        <f>KR24*(VLOOKUP($KP$9,各项系数!$D$1:$F$143,2,0))</f>
        <v>1.4609347163885569</v>
      </c>
      <c r="KT24" s="235">
        <f>各项系数!$F$76/4*($NI24^2-$NF24^2)*10^-2*(VLOOKUP($KT$9,各项系数!$D$1:$F$143,3,0))*10^-3*10^2*各项系数!$J$4</f>
        <v>8.6952623605566964E-2</v>
      </c>
      <c r="KU24" s="102">
        <v>1</v>
      </c>
      <c r="KV24" s="189">
        <f t="shared" si="151"/>
        <v>8.6952623605566964E-2</v>
      </c>
      <c r="KW24" s="189">
        <f>KV24*(VLOOKUP($KT$9,各项系数!$D$1:$F$143,2,0))</f>
        <v>1.4781946012946383</v>
      </c>
      <c r="KX24" s="189">
        <f>各项系数!$F$76/4*($NH24^2-$NE24^2)*10^-2*(VLOOKUP($KX$9,各项系数!$D$1:$F$143,3,0))*10^-3*10^2*各项系数!$J$4</f>
        <v>8.5937336258150407E-2</v>
      </c>
      <c r="KY24" s="353">
        <v>1</v>
      </c>
      <c r="KZ24" s="189">
        <f t="shared" si="152"/>
        <v>8.5937336258150407E-2</v>
      </c>
      <c r="LA24" s="189">
        <f>KZ24*(VLOOKUP($KX$9,各项系数!$D$1:$F$143,2,0))</f>
        <v>1.4609347163885569</v>
      </c>
      <c r="LB24" s="189">
        <f>各项系数!$F$76/4*($NI24^2-$NF24^2)*10^-2*(VLOOKUP($LB$9,各项系数!$D$1:$F$143,3,0))*10^-3*10^2*各项系数!$J$4</f>
        <v>8.6952623605566964E-2</v>
      </c>
      <c r="LC24" s="353">
        <v>1</v>
      </c>
      <c r="LD24" s="189">
        <f t="shared" si="153"/>
        <v>8.6952623605566964E-2</v>
      </c>
      <c r="LE24" s="189">
        <f>LD24*(VLOOKUP($LB$9,各项系数!$D$1:$F$143,2,0))</f>
        <v>1.4781946012946383</v>
      </c>
      <c r="LF24" s="235">
        <f>各项系数!$F$76/4*($NH24^2-$NE24^2)*10^-2*(VLOOKUP(AN24,各项系数!$D$1:$F$143,3,0))*10^-3*10^2*各项系数!$J$4</f>
        <v>8.712267882722835E-2</v>
      </c>
      <c r="LG24" s="102">
        <v>1</v>
      </c>
      <c r="LH24" s="189">
        <f t="shared" si="223"/>
        <v>8.712267882722835E-2</v>
      </c>
      <c r="LI24" s="189">
        <f>LH24*(VLOOKUP(AN24,各项系数!$D$1:$F$143,2,0))</f>
        <v>0.8712267882722835</v>
      </c>
      <c r="LJ24" s="235">
        <f>各项系数!$F$76/4*($NI24^2-$NF24^2)*10^-2*(VLOOKUP(AN24,各项系数!$D$1:$F$143,3,0))*10^-3*10^2*各项系数!$J$4</f>
        <v>8.8151970138057548E-2</v>
      </c>
      <c r="LK24" s="102">
        <v>1</v>
      </c>
      <c r="LL24" s="189">
        <f t="shared" si="224"/>
        <v>8.8151970138057548E-2</v>
      </c>
      <c r="LM24" s="189">
        <f>LL24*(VLOOKUP(AN24,各项系数!$D$1:$F$143,2,0))</f>
        <v>0.88151970138057545</v>
      </c>
      <c r="LN24" s="189">
        <f>各项系数!$F$76/4*($NH24^2-$NE24^2)*10^-2*(VLOOKUP($LN$9,各项系数!$D$1:$F$143,3,0))*10^-3*10^2*各项系数!$J$4</f>
        <v>8.712267882722835E-2</v>
      </c>
      <c r="LO24" s="353">
        <v>1</v>
      </c>
      <c r="LP24" s="189">
        <f t="shared" si="225"/>
        <v>8.712267882722835E-2</v>
      </c>
      <c r="LQ24" s="189">
        <f>LP24*(VLOOKUP($LN$9,各项系数!$D$1:$F$143,2,0))</f>
        <v>0.95834946709951185</v>
      </c>
      <c r="LR24" s="189">
        <f>各项系数!$F$76/4*($NI24^2-$NF24^2)*10^-2*(VLOOKUP($LR$9,各项系数!$D$1:$F$143,3,0))*10^-3*10^2*各项系数!$J$4</f>
        <v>8.8151970138057548E-2</v>
      </c>
      <c r="LS24" s="353">
        <v>1</v>
      </c>
      <c r="LT24" s="189">
        <f t="shared" si="226"/>
        <v>8.8151970138057548E-2</v>
      </c>
      <c r="LU24" s="189">
        <f>LT24*(VLOOKUP($LR$9,各项系数!$D$1:$F$143,2,0))</f>
        <v>0.96967167151863298</v>
      </c>
      <c r="LV24" s="227">
        <f t="shared" si="154"/>
        <v>71.524380359999995</v>
      </c>
      <c r="LW24" s="227">
        <f t="shared" si="155"/>
        <v>44.702737730000003</v>
      </c>
      <c r="LX24" s="227">
        <f t="shared" si="156"/>
        <v>7.5443550708964242</v>
      </c>
      <c r="LY24" s="227">
        <f t="shared" si="157"/>
        <v>26.821642629999992</v>
      </c>
      <c r="LZ24" s="374">
        <f t="shared" si="86"/>
        <v>1</v>
      </c>
      <c r="MA24" s="375">
        <f t="shared" si="87"/>
        <v>71.524380359999995</v>
      </c>
      <c r="MB24" s="375">
        <f t="shared" si="158"/>
        <v>9.5429382</v>
      </c>
      <c r="MC24" s="227">
        <f t="shared" si="159"/>
        <v>0</v>
      </c>
      <c r="MD24" s="227">
        <f t="shared" si="160"/>
        <v>0</v>
      </c>
      <c r="ME24" s="227">
        <f t="shared" si="161"/>
        <v>0</v>
      </c>
      <c r="MF24" s="227">
        <f t="shared" si="162"/>
        <v>0</v>
      </c>
      <c r="MG24" s="374">
        <f t="shared" si="163"/>
        <v>1</v>
      </c>
      <c r="MH24" s="375">
        <f t="shared" si="88"/>
        <v>0</v>
      </c>
      <c r="MI24" s="375">
        <f t="shared" si="164"/>
        <v>0</v>
      </c>
      <c r="MJ24" s="189">
        <f t="shared" si="89"/>
        <v>9.5429382</v>
      </c>
      <c r="MK24" s="189">
        <f t="shared" si="165"/>
        <v>9.5429382</v>
      </c>
      <c r="ML24" s="189">
        <f t="shared" si="227"/>
        <v>0</v>
      </c>
      <c r="MM24" s="189">
        <f t="shared" si="91"/>
        <v>0</v>
      </c>
      <c r="MN24" s="189">
        <f t="shared" si="92"/>
        <v>11.5429382</v>
      </c>
      <c r="MO24" s="189">
        <f t="shared" si="166"/>
        <v>0</v>
      </c>
      <c r="MP24" s="189">
        <f t="shared" si="167"/>
        <v>11.5429382</v>
      </c>
      <c r="MQ24" s="189">
        <f t="shared" si="228"/>
        <v>11.5429382</v>
      </c>
      <c r="MR24" s="246">
        <f t="shared" si="168"/>
        <v>11.5429382</v>
      </c>
      <c r="MS24" s="380">
        <f t="shared" si="94"/>
        <v>11.5429382</v>
      </c>
      <c r="MT24" s="380">
        <f t="shared" si="95"/>
        <v>11.7029382</v>
      </c>
      <c r="MU24" s="380">
        <f t="shared" si="232"/>
        <v>12.1429382</v>
      </c>
      <c r="MV24" s="380">
        <f t="shared" si="97"/>
        <v>14.342938199999999</v>
      </c>
      <c r="MW24" s="380">
        <f t="shared" si="98"/>
        <v>14.502938199999999</v>
      </c>
      <c r="MX24" s="254">
        <f t="shared" si="233"/>
        <v>10.1429382</v>
      </c>
      <c r="MY24" s="254">
        <f t="shared" si="100"/>
        <v>0</v>
      </c>
      <c r="MZ24" s="189">
        <f t="shared" si="101"/>
        <v>12.1429382</v>
      </c>
      <c r="NA24" s="189">
        <f t="shared" si="102"/>
        <v>0</v>
      </c>
      <c r="NB24" s="189">
        <f t="shared" si="169"/>
        <v>12.1429382</v>
      </c>
      <c r="NC24" s="254">
        <f t="shared" si="229"/>
        <v>12.1429382</v>
      </c>
      <c r="ND24" s="246">
        <f t="shared" si="234"/>
        <v>12.1429382</v>
      </c>
      <c r="NE24" s="386">
        <f t="shared" si="235"/>
        <v>12.1429382</v>
      </c>
      <c r="NF24" s="380">
        <f t="shared" si="106"/>
        <v>12.3029382</v>
      </c>
      <c r="NG24" s="387">
        <f t="shared" si="236"/>
        <v>12.742938199999999</v>
      </c>
      <c r="NH24" s="254">
        <f t="shared" si="108"/>
        <v>14.9429382</v>
      </c>
      <c r="NI24" s="380">
        <f t="shared" si="109"/>
        <v>15.102938200000001</v>
      </c>
      <c r="NK24" s="388">
        <f t="shared" si="110"/>
        <v>0.51928437248853543</v>
      </c>
      <c r="NL24" s="388">
        <f t="shared" si="111"/>
        <v>27.38732494296924</v>
      </c>
      <c r="NM24" s="388">
        <f t="shared" si="112"/>
        <v>0.51928437248853543</v>
      </c>
      <c r="NN24" s="388">
        <f t="shared" si="113"/>
        <v>27.470587779380857</v>
      </c>
      <c r="NO24" s="388">
        <f t="shared" si="114"/>
        <v>0.53905284922198116</v>
      </c>
      <c r="NP24" s="388">
        <f t="shared" si="115"/>
        <v>27.793105583416178</v>
      </c>
      <c r="NQ24" s="388">
        <f t="shared" si="116"/>
        <v>0.53905284922198116</v>
      </c>
      <c r="NR24" s="388">
        <f t="shared" si="117"/>
        <v>27.880228262243406</v>
      </c>
      <c r="NS24" s="388">
        <f t="shared" si="118"/>
        <v>0.53551967923077526</v>
      </c>
      <c r="NT24" s="388">
        <f t="shared" si="119"/>
        <v>0.53551967923077526</v>
      </c>
      <c r="NU24" s="388">
        <f t="shared" si="120"/>
        <v>0.55612625592463749</v>
      </c>
      <c r="NV24" s="388">
        <f t="shared" si="121"/>
        <v>0.55612625592463749</v>
      </c>
      <c r="NW24">
        <f t="shared" si="122"/>
        <v>0.60613249299005223</v>
      </c>
      <c r="NX24">
        <f>各项系数!$M$9*NK24</f>
        <v>0.15578531174656063</v>
      </c>
      <c r="NY24">
        <f t="shared" si="123"/>
        <v>0.53551967923077526</v>
      </c>
      <c r="OB24" s="66" t="str">
        <f t="shared" si="124"/>
        <v>1*50</v>
      </c>
      <c r="OC24" s="395">
        <f t="shared" si="125"/>
        <v>238.573455311777</v>
      </c>
      <c r="OD24" s="395">
        <f>SQRT(4*EY24/PI()/EH24/各项系数!$J$4/各项系数!$F$5*10000000)</f>
        <v>239.88202060340799</v>
      </c>
      <c r="OE24" s="396">
        <f t="shared" si="126"/>
        <v>44.702737842814493</v>
      </c>
      <c r="OF24" s="396">
        <f t="shared" si="127"/>
        <v>45.194467959085451</v>
      </c>
      <c r="OG24" s="66">
        <v>45.1</v>
      </c>
      <c r="OH24" s="397">
        <f t="shared" si="186"/>
        <v>9.4467959085449138E-2</v>
      </c>
    </row>
    <row r="25" spans="1:398" ht="15" hidden="1" customHeight="1">
      <c r="A25" s="50">
        <v>70</v>
      </c>
      <c r="B25" s="51"/>
      <c r="C25" s="52">
        <v>1.1000000000000001</v>
      </c>
      <c r="D25" s="53" t="s">
        <v>194</v>
      </c>
      <c r="E25" s="61">
        <f t="shared" si="175"/>
        <v>15.68525223</v>
      </c>
      <c r="F25" s="59">
        <v>242.29596858910099</v>
      </c>
      <c r="G25" s="58"/>
      <c r="H25" s="62"/>
      <c r="I25" s="62"/>
      <c r="J25" s="62"/>
      <c r="K25" s="62"/>
      <c r="L25" s="97" t="s">
        <v>467</v>
      </c>
      <c r="M25" s="103">
        <f t="shared" si="2"/>
        <v>1.1000000000000001</v>
      </c>
      <c r="N25" s="103">
        <f t="shared" si="3"/>
        <v>0</v>
      </c>
      <c r="O25" s="102"/>
      <c r="P25" s="99">
        <v>0.1</v>
      </c>
      <c r="Q25" s="133">
        <f t="shared" si="237"/>
        <v>0.1</v>
      </c>
      <c r="R25" s="140">
        <v>0.8</v>
      </c>
      <c r="S25" s="142" t="str">
        <f>各项系数!$D$44</f>
        <v>磁性钢带</v>
      </c>
      <c r="T25" s="102">
        <v>0.2</v>
      </c>
      <c r="U25" s="102">
        <v>2</v>
      </c>
      <c r="V25" s="140"/>
      <c r="W25" s="141">
        <v>1.4</v>
      </c>
      <c r="X25" s="135">
        <f t="shared" si="238"/>
        <v>0.2</v>
      </c>
      <c r="Y25" s="135"/>
      <c r="Z25" s="168"/>
      <c r="AA25" s="153">
        <v>1.0129999999999999</v>
      </c>
      <c r="AB25" s="153">
        <f>PI()*EJ25*EJ25/4*EH25*(1-H25)*AA25*各项系数!$F$5*各项系数!$J$4*10^-7</f>
        <v>0.57842170409620475</v>
      </c>
      <c r="AC25" s="153">
        <f t="shared" si="176"/>
        <v>242.29596858910099</v>
      </c>
      <c r="AD25" s="153">
        <f t="shared" si="5"/>
        <v>65.39126499722515</v>
      </c>
      <c r="AE25" s="153">
        <f>POWER(4*EU25/PI()/EG25/10^-7/EH25/(1-H25)/各项系数!$F$5/各项系数!$J$4,0.5)</f>
        <v>243.86580688497418</v>
      </c>
      <c r="AF25" s="69">
        <v>1</v>
      </c>
      <c r="AG25" s="69">
        <f>IF(EM25=0,0,PI()*ER25*ER25/4*EP25*(1-K25)*(1+AF25)*各项系数!$F$5*各项系数!$J$4*10^-7)</f>
        <v>0</v>
      </c>
      <c r="AH25" s="69">
        <f t="shared" si="177"/>
        <v>0</v>
      </c>
      <c r="AI25" s="69">
        <f t="shared" si="128"/>
        <v>0</v>
      </c>
      <c r="AJ25" s="69">
        <f>IF(OR(EP25="",EP25=0),0,POWER(4*EW25/PI()/EO25/10^-7/EP25/(1-K25)/各项系数!$F$5/各项系数!$J$4,0.5))</f>
        <v>0</v>
      </c>
      <c r="AK25" s="69" t="str">
        <f t="shared" si="8"/>
        <v>√</v>
      </c>
      <c r="AL25" s="69">
        <f t="shared" si="178"/>
        <v>40.462601182234494</v>
      </c>
      <c r="AM25" s="188">
        <f t="shared" si="179"/>
        <v>70</v>
      </c>
      <c r="AN25" s="97" t="s">
        <v>486</v>
      </c>
      <c r="AO25" s="196">
        <f>AP25+各项系数!$M$9*$NK25</f>
        <v>39.669216845327931</v>
      </c>
      <c r="AP25" s="196">
        <f>AQ25*(1+$BI25+(VLOOKUP($AM25,$A$12:$B$323,2,0))+各项系数!$J$6+各项系数!$M$5)*(1+$E$2)</f>
        <v>39.454748242616759</v>
      </c>
      <c r="AQ25" s="197">
        <f>AR25+各项系数!$L$9*$NK25</f>
        <v>40.259947186343631</v>
      </c>
      <c r="AR25" s="197">
        <f>AS25*(1+$BJ25+各项系数!$J$5+各项系数!$L$5)</f>
        <v>40.045478583632459</v>
      </c>
      <c r="AS25" s="197">
        <f t="shared" si="129"/>
        <v>39.260273121208293</v>
      </c>
      <c r="AT25" s="196">
        <f>AU25+各项系数!$M$9*$NM25</f>
        <v>40.290998966771376</v>
      </c>
      <c r="AU25" s="196">
        <f>AV25*(1+$BI25+(VLOOKUP($AM25,$A$12:$B$323,2,0))+各项系数!$J$6+各项系数!$M$5)*(1+$E$2)</f>
        <v>40.076530364060204</v>
      </c>
      <c r="AV25" s="197">
        <f>AW25+各项系数!$L$9*$NM25</f>
        <v>40.894418738836947</v>
      </c>
      <c r="AW25" s="197">
        <f>AX25*(1+$BJ25+各项系数!$J$5+各项系数!$L$5)</f>
        <v>40.679950136125775</v>
      </c>
      <c r="AX25" s="197">
        <f t="shared" si="130"/>
        <v>39.882304055025273</v>
      </c>
      <c r="AY25" s="196">
        <f>AZ25+各项系数!$M$9*$NS25</f>
        <v>40.912219134230554</v>
      </c>
      <c r="AZ25" s="196">
        <f>BA25*(1+$BI25+(VLOOKUP($AM25,$A$12:$B$214,2,0))+各项系数!$J$6+各项系数!$M$5)*(1+$E$2)</f>
        <v>40.692317442829008</v>
      </c>
      <c r="BA25" s="197">
        <f>BB25+各项系数!$L$9*$NS25</f>
        <v>41.522772900845929</v>
      </c>
      <c r="BB25" s="197">
        <f>BC25*(1+$BJ25+各项系数!$J$5+各项系数!$L$5)</f>
        <v>41.302871209444383</v>
      </c>
      <c r="BC25" s="199">
        <f t="shared" si="131"/>
        <v>40.493010989651353</v>
      </c>
      <c r="BD25" s="196">
        <f>BE25+各项系数!$M$9*$NS25</f>
        <v>41.540965440683074</v>
      </c>
      <c r="BE25" s="196">
        <f>BF25*(1+$BI25+(VLOOKUP($AM25,$A$12:$B$214,2,0))+各项系数!$J$6+各项系数!$M$5)*(1+$E$2)</f>
        <v>41.321063749281528</v>
      </c>
      <c r="BF25" s="197">
        <f>BG25+各项系数!$L$9*$NS25</f>
        <v>42.164350764572987</v>
      </c>
      <c r="BG25" s="197">
        <f>BH25*(1+$BJ25+各项系数!$J$5+各项系数!$L$5)</f>
        <v>41.944449073171441</v>
      </c>
      <c r="BH25" s="199">
        <f t="shared" si="132"/>
        <v>41.12200889526612</v>
      </c>
      <c r="BI25" s="51"/>
      <c r="BJ25" s="208"/>
      <c r="BK25" s="102"/>
      <c r="BL25" s="196">
        <f>BM25+各项系数!$M$9*$NM25</f>
        <v>40.146729400926276</v>
      </c>
      <c r="BM25" s="196">
        <f>BN25*(1+$CF25+(VLOOKUP($AM25,$A$12:$B$323,2,0))+各项系数!$J$6+各项系数!$M$5)*(1+$E$2)</f>
        <v>39.932260798215104</v>
      </c>
      <c r="BN25" s="197">
        <f>BO25+各项系数!$L$9*$NM25</f>
        <v>40.747204896137859</v>
      </c>
      <c r="BO25" s="197">
        <f>BP25*(1+$CG25+各项系数!$J$5+各项系数!$L$5)</f>
        <v>40.532736293426687</v>
      </c>
      <c r="BP25" s="197">
        <f t="shared" si="133"/>
        <v>39.352171158666685</v>
      </c>
      <c r="BQ25" s="196">
        <f>BR25+各项系数!$M$9*$NM25</f>
        <v>40.68184554651063</v>
      </c>
      <c r="BR25" s="196">
        <f>BS25*(1+$CF25+(VLOOKUP($AM25,$A$12:$B$323,2,0))+各项系数!$J$6+各项系数!$M$5)*(1+$E$2)</f>
        <v>40.467376943799458</v>
      </c>
      <c r="BS25" s="197">
        <f>BT25+各项系数!$L$9*$NM25</f>
        <v>41.293241779387202</v>
      </c>
      <c r="BT25" s="197">
        <f>BU25*(1+$CG25+各项系数!$J$5+各项系数!$L$5)</f>
        <v>41.07877317667603</v>
      </c>
      <c r="BU25" s="197">
        <f t="shared" si="134"/>
        <v>39.882304055025273</v>
      </c>
      <c r="BV25" s="196">
        <f>BW25+各项系数!$M$9*$NT25</f>
        <v>41.195445965107133</v>
      </c>
      <c r="BW25" s="196">
        <f>BX25*(1+$CF25+(VLOOKUP($AM25,$A$12:$B$214,2,0))+各项系数!$J$6+各项系数!$M$5)*(1+$E$2)</f>
        <v>40.975544273705587</v>
      </c>
      <c r="BX25" s="197">
        <f>BY25+各项系数!$L$9*$NT$12</f>
        <v>41.811779871128152</v>
      </c>
      <c r="BY25" s="197">
        <f>BZ25*(1+$CG25+各项系数!$J$5+各项系数!$L$5)</f>
        <v>41.803516467973182</v>
      </c>
      <c r="BZ25" s="199">
        <f t="shared" si="11"/>
        <v>40.585938318420567</v>
      </c>
      <c r="CA25" s="196">
        <f>CB25+各项系数!$M$9*$NT25</f>
        <v>41.736555605375038</v>
      </c>
      <c r="CB25" s="196">
        <f>CC25*(1+$CF25+(VLOOKUP($AM25,$A$12:$B$214,2,0))+各项系数!$J$6+各项系数!$M$5)*(1+$E$2)</f>
        <v>41.516653913973492</v>
      </c>
      <c r="CC25" s="197">
        <f>CD25+各项系数!$L$9*$NT$12</f>
        <v>42.363932565279072</v>
      </c>
      <c r="CD25" s="197">
        <f>CE25*(1+$CG25+各项系数!$J$5+各项系数!$L$5)</f>
        <v>42.355669162124101</v>
      </c>
      <c r="CE25" s="199">
        <f t="shared" si="135"/>
        <v>41.12200889526612</v>
      </c>
      <c r="CF25" s="213">
        <f t="shared" si="136"/>
        <v>0</v>
      </c>
      <c r="CG25" s="213">
        <f t="shared" si="12"/>
        <v>0.01</v>
      </c>
      <c r="CH25" s="102"/>
      <c r="CI25" s="196">
        <f>CJ25+各项系数!$M$9*$NO25</f>
        <v>40.34438154021106</v>
      </c>
      <c r="CJ25" s="196">
        <f>CK25*(1+$DC25+(VLOOKUP($AM25,$A$12:$B$323,2,0))+各项系数!$J$6+各项系数!$M$5)*(1+$E$2)+各项系数!$M$9*$NK25</f>
        <v>40.12343845180137</v>
      </c>
      <c r="CK25" s="197">
        <f>CL25+各项系数!$L$9*$NO25</f>
        <v>40.723438621520614</v>
      </c>
      <c r="CL25" s="197">
        <f>CM25*(1+$DD25+各项系数!$J$5+各项系数!$L$5)</f>
        <v>40.502495533110924</v>
      </c>
      <c r="CM25" s="197">
        <f t="shared" si="13"/>
        <v>39.708328954030314</v>
      </c>
      <c r="CN25" s="196">
        <f>CO25+各项系数!$M$9*$NO25</f>
        <v>40.927580676868082</v>
      </c>
      <c r="CO25" s="196">
        <f>CP25*(1+$DC25+(VLOOKUP($AM25,$A$12:$B$323,2,0))+各项系数!$J$6+各项系数!$M$5)*(1+$E$2)+各项系数!$M$9*$NK25</f>
        <v>40.706637588458392</v>
      </c>
      <c r="CP25" s="197">
        <f>CQ25+各项系数!$L$9*$NO25</f>
        <v>41.318539781374717</v>
      </c>
      <c r="CQ25" s="197">
        <f>CR25*(1+$DD25+各项系数!$J$5+各项系数!$L$5)</f>
        <v>41.097596692965027</v>
      </c>
      <c r="CR25" s="197">
        <f t="shared" si="14"/>
        <v>40.291761463691202</v>
      </c>
      <c r="CS25" s="196">
        <f>CT25+各项系数!$M$9*$NU25</f>
        <v>41.429962176408196</v>
      </c>
      <c r="CT25" s="196">
        <f t="shared" si="15"/>
        <v>41.203334569319999</v>
      </c>
      <c r="CU25" s="197">
        <f>CV25+各项系数!$L$9*$NU25</f>
        <v>42.044218948285717</v>
      </c>
      <c r="CV25" s="197">
        <f>CW25*(1+$DD25+各项系数!$J$5+各项系数!$L$5)</f>
        <v>41.81759134119752</v>
      </c>
      <c r="CW25" s="199">
        <f t="shared" si="16"/>
        <v>40.997638569801488</v>
      </c>
      <c r="CX25" s="196">
        <f>CY25+各项系数!$M$9*$NU25</f>
        <v>42.084824176644737</v>
      </c>
      <c r="CY25" s="196">
        <f t="shared" si="17"/>
        <v>41.85819656955654</v>
      </c>
      <c r="CZ25" s="197">
        <f>DA25+各项系数!$L$9*$NU25</f>
        <v>42.712445479139326</v>
      </c>
      <c r="DA25" s="197">
        <f>DB25*(1+$DD25+各项系数!$J$5+各项系数!$L$5)</f>
        <v>42.485817872051129</v>
      </c>
      <c r="DB25" s="199">
        <f t="shared" si="18"/>
        <v>41.65276261965797</v>
      </c>
      <c r="DC25" s="213">
        <f t="shared" si="137"/>
        <v>0</v>
      </c>
      <c r="DD25" s="213">
        <f t="shared" si="19"/>
        <v>0</v>
      </c>
      <c r="DE25" s="53"/>
      <c r="DF25" s="53"/>
      <c r="DG25" s="196">
        <f>DH25+各项系数!$M$9*$NQ25</f>
        <v>40.830181167905373</v>
      </c>
      <c r="DH25" s="196">
        <f>DI25*(1+$EA25+(VLOOKUP($AM25,$A$12:$B$323,2,0))+各项系数!$J$6+各项系数!$M$5)*(1+$E$2)+各项系数!$M$9*$NK25</f>
        <v>40.609238079495682</v>
      </c>
      <c r="DI25" s="197">
        <f>DJ25+各项系数!$L$9*$NQ25</f>
        <v>41.219152527331133</v>
      </c>
      <c r="DJ25" s="197">
        <f>DK25*(1+$EB25+各项系数!$J$5+各项系数!$L$5)</f>
        <v>40.998209438921442</v>
      </c>
      <c r="DK25" s="197">
        <f t="shared" si="20"/>
        <v>39.804086833904314</v>
      </c>
      <c r="DL25" s="196">
        <f>DM25+各项系数!$M$9*$NQ25</f>
        <v>41.387772918553004</v>
      </c>
      <c r="DM25" s="196">
        <f>DN25*(1+$EA25+(VLOOKUP($AM25,$A$12:$B$323,2,0))+各项系数!$J$6+各项系数!$M$5)*(1+$E$2)+各项系数!$M$9*$NK25</f>
        <v>41.166829830143314</v>
      </c>
      <c r="DN25" s="197">
        <f>DO25+各项系数!$L$9*$NQ25</f>
        <v>41.788123701461373</v>
      </c>
      <c r="DO25" s="197">
        <f>DP25*(1+$EB25+各项系数!$J$5+各项系数!$L$5)</f>
        <v>41.567180613051683</v>
      </c>
      <c r="DP25" s="197">
        <f t="shared" si="21"/>
        <v>40.356486032089009</v>
      </c>
      <c r="DQ25" s="196">
        <f>DR25+各项系数!$M$9*$NV25</f>
        <v>41.929436004986222</v>
      </c>
      <c r="DR25" s="196">
        <f t="shared" si="22"/>
        <v>41.702808397898025</v>
      </c>
      <c r="DS25" s="197">
        <f>DT25+各项系数!$L$9*$NV25</f>
        <v>42.553886120304107</v>
      </c>
      <c r="DT25" s="197">
        <f>DU25*(1+$EB25+各项系数!$J$5+各项系数!$L$5)</f>
        <v>42.327258513215909</v>
      </c>
      <c r="DU25" s="199">
        <f t="shared" si="23"/>
        <v>41.094425740986317</v>
      </c>
      <c r="DV25" s="196">
        <f>DW25+各项系数!$M$9*$NV25</f>
        <v>42.010710822747093</v>
      </c>
      <c r="DW25" s="196">
        <f t="shared" si="24"/>
        <v>41.784083215658896</v>
      </c>
      <c r="DX25" s="197">
        <f>DY25+各项系数!$L$9*$NV25</f>
        <v>42.636819607815198</v>
      </c>
      <c r="DY25" s="197">
        <f>DZ25*(1+$EB25+各项系数!$J$5+各项系数!$L$5)</f>
        <v>42.410192000727001</v>
      </c>
      <c r="DZ25" s="199">
        <f t="shared" si="25"/>
        <v>41.174943690026211</v>
      </c>
      <c r="EA25" s="213">
        <f t="shared" si="230"/>
        <v>0</v>
      </c>
      <c r="EB25" s="213">
        <f t="shared" si="27"/>
        <v>0.01</v>
      </c>
      <c r="EC25" s="235">
        <f t="shared" si="138"/>
        <v>1</v>
      </c>
      <c r="ED25" s="235" t="str">
        <f t="shared" si="180"/>
        <v>1*70</v>
      </c>
      <c r="EE25" s="189">
        <f t="shared" si="187"/>
        <v>70</v>
      </c>
      <c r="EF25" s="189" t="str">
        <f>LOOKUP(EH25,{1,7,10,14,19,24,30,37,48,61},{1,"1+6","2+8","4+10","1+6+12","2+8+14","4+10+16","1+6+12+18","3+9+15+21","1+6+12+18+24"})</f>
        <v>4+10</v>
      </c>
      <c r="EG25" s="188">
        <f t="shared" si="29"/>
        <v>1</v>
      </c>
      <c r="EH25" s="197">
        <f>IF(AM25&lt;10,1,IF(AND(AM25&gt;=10,AM25&lt;=35),7,LOOKUP(AM25,{50,70,95,120,150,185,240,300,400,500,630},{10,14,19,24,30,37,48,61,61,61,61})*1))</f>
        <v>14</v>
      </c>
      <c r="EI25" s="188">
        <f>IF(EH25=0,0,VLOOKUP(EH25,各项系数!$D$142:$E$195,2,0))*1</f>
        <v>4.41</v>
      </c>
      <c r="EJ25" s="238">
        <f t="shared" si="141"/>
        <v>242.29596858910099</v>
      </c>
      <c r="EK25" s="189">
        <f t="shared" si="181"/>
        <v>0</v>
      </c>
      <c r="EL25" s="189">
        <f t="shared" si="31"/>
        <v>0</v>
      </c>
      <c r="EM25" s="189">
        <f t="shared" si="182"/>
        <v>0</v>
      </c>
      <c r="EN25" s="189">
        <f>IF(EP25=0,0,LOOKUP(EP25,{1,7,10,14,19,24,30,37,48,61},{1,"1+6","2+8","4+10","1+6+12","2+8+14","4+10+16","1+6+12+18","3+9+15+21","1+6+12+18+24"}))</f>
        <v>0</v>
      </c>
      <c r="EO25" s="189">
        <f t="shared" si="183"/>
        <v>0</v>
      </c>
      <c r="EP25" s="189">
        <f>IF(EM25=0,0,IF(EM25&lt;10,1,IF(AND(EM25&gt;=10,EM25&lt;=35),7,LOOKUP(EM25,{50,70,95,120,150,185,240,300},{10,14,19,24,30,37,48,61})*1)))</f>
        <v>0</v>
      </c>
      <c r="EQ25" s="189">
        <f>IF(EP25=0,0,VLOOKUP(EP25,各项系数!$D$142:$E$195,2,0))*1</f>
        <v>0</v>
      </c>
      <c r="ER25" s="189">
        <f t="shared" si="184"/>
        <v>0</v>
      </c>
      <c r="ES25" s="235">
        <f t="shared" si="185"/>
        <v>1</v>
      </c>
      <c r="ET25" s="189">
        <f>VLOOKUP(ES25,各项系数!$D$142:$E$195,2,0)*1</f>
        <v>1</v>
      </c>
      <c r="EU25" s="243">
        <f>((各项系数!$F$76/4*$EJ25^2*$EG25*$EH25*1*10^-7)*(1-$H25)*AA25)*(VLOOKUP($EY$9,各项系数!$D$4:$F$143,3,0))*各项系数!$J$4</f>
        <v>0.57842170409620486</v>
      </c>
      <c r="EV25" s="244">
        <f>EU25*(VLOOKUP($EY$9,各项系数!$D$4:$F$143,2,0))</f>
        <v>37.886621618301419</v>
      </c>
      <c r="EW25" s="252">
        <f>(IF($EO25=0,0,(各项系数!$F$76/4*$ER25^2*$EO25*$EP25*1*10^-7))*(1-$K25)*$AF25)*(VLOOKUP($EY$9,各项系数!$D$4:$F$143,3,0))*各项系数!$J$4</f>
        <v>0</v>
      </c>
      <c r="EX25" s="253">
        <f>EW25*(VLOOKUP($EY$9,各项系数!$D$4:$F$143,2,0))</f>
        <v>0</v>
      </c>
      <c r="EY25" s="189">
        <f>((各项系数!$F$76/4*$EJ25^2*$EG25*$EH25*1*10^-7)*(1-$H25)*AA25+IF($EO25=0,0,(各项系数!$F$76/4*$ER25^2*$EO25*$EP25*1*10^-7))*(1-$K25)*$AF25)*(VLOOKUP($EY$9,各项系数!$D$4:$F$143,3,0))*各项系数!$J$4</f>
        <v>0.57842170409620486</v>
      </c>
      <c r="EZ25" s="102">
        <v>1</v>
      </c>
      <c r="FA25" s="189">
        <f t="shared" si="188"/>
        <v>0.57842170409620486</v>
      </c>
      <c r="FB25" s="254">
        <f>FA25*(VLOOKUP($EY$9,各项系数!$D$4:$F$143,2,0))</f>
        <v>37.886621618301419</v>
      </c>
      <c r="FC25" s="255"/>
      <c r="FD25" s="235">
        <f>各项系数!$F$76/4*($MN25^2-MK25^2)*10^-2*(VLOOKUP(L25,各项系数!$D$1:$F$143,3,0))*10^-3*10^2*$EG25*各项系数!$J$4</f>
        <v>4.457560081597943E-2</v>
      </c>
      <c r="FE25" s="262">
        <f>FD25*VLOOKUP(L25,各项系数!$D$1:$F$143,2,0)</f>
        <v>0.45467112832299017</v>
      </c>
      <c r="FF25" s="188">
        <f>各项系数!$F$76/4*($MO25^2-ML25^2)*10^-2*(VLOOKUP(L25,各项系数!$D$1:$F$143,3,0))*10^-3*10^2*$EO25*各项系数!$J$4</f>
        <v>0</v>
      </c>
      <c r="FG25" s="262">
        <f>FF25*VLOOKUP(L25,各项系数!$D$1:$F$143,2,0)</f>
        <v>0</v>
      </c>
      <c r="FH25" s="235">
        <f t="shared" si="142"/>
        <v>4.457560081597943E-2</v>
      </c>
      <c r="FI25" s="102">
        <v>1</v>
      </c>
      <c r="FJ25" s="189">
        <f t="shared" si="189"/>
        <v>4.457560081597943E-2</v>
      </c>
      <c r="FK25" s="262">
        <f>FJ25*VLOOKUP(L25,各项系数!$D$1:$F$143,2,0)</f>
        <v>0.45467112832299017</v>
      </c>
      <c r="FL25" s="235"/>
      <c r="FM25" s="102"/>
      <c r="FN25" s="189"/>
      <c r="FO25" s="262"/>
      <c r="FP25" s="282">
        <f t="shared" si="190"/>
        <v>4.457560081597943E-2</v>
      </c>
      <c r="FQ25" s="282">
        <f t="shared" si="191"/>
        <v>0.45467112832299017</v>
      </c>
      <c r="FR25" s="283">
        <f>各项系数!$F$76/4*($MQ25^2-$MN25^2*$EG25-$MO25^2*$EO25)*10^-2</f>
        <v>2.2322358387255245E-16</v>
      </c>
      <c r="FS25" s="284">
        <f t="shared" si="143"/>
        <v>1</v>
      </c>
      <c r="FT25" s="285">
        <f t="shared" si="40"/>
        <v>2.2322358387255245E-16</v>
      </c>
      <c r="FU25" s="302">
        <f>$FT25*(VLOOKUP($FT$9,各项系数!$D$1:$F$143,3,0))*10^-3*10^2*各项系数!$J$55</f>
        <v>2.6652895914382759E-17</v>
      </c>
      <c r="FV25" s="303">
        <v>1</v>
      </c>
      <c r="FW25" s="304">
        <f t="shared" si="192"/>
        <v>2.6652895914382759E-17</v>
      </c>
      <c r="FX25" s="285">
        <f>FW25*(VLOOKUP($FT$9,各项系数!$D$1:$F$143,2,0))</f>
        <v>7.9958687743148278E-17</v>
      </c>
      <c r="FY25" s="302">
        <f>IF($BK25&lt;&gt;$FY$9,0,各项系数!$F$76/4*($MS25^2-$MQ25^2)*10^-2*(VLOOKUP($FY$9,各项系数!$D$1:$F$143,3,0))*10^-3*10^2)*各项系数!$J$4</f>
        <v>0</v>
      </c>
      <c r="FZ25" s="303">
        <v>1</v>
      </c>
      <c r="GA25" s="304">
        <f t="shared" si="193"/>
        <v>0</v>
      </c>
      <c r="GB25" s="285">
        <f>GA25*(VLOOKUP($FY$9,各项系数!$D$1:$F$143,2,0))</f>
        <v>0</v>
      </c>
      <c r="GC25" s="302">
        <f>IF($BK25&lt;&gt;$GC$9,0,各项系数!$F$76/4*($MS25^2-$MQ25^2)*10^-2*(VLOOKUP($GC$9,各项系数!$D$1:$F$143,3,0))*10^-3*10^2)*各项系数!$J$4</f>
        <v>0</v>
      </c>
      <c r="GD25" s="303">
        <v>1</v>
      </c>
      <c r="GE25" s="304">
        <f t="shared" si="194"/>
        <v>0</v>
      </c>
      <c r="GF25" s="285">
        <f>GE25*(VLOOKUP($GC$9,各项系数!$D$1:$F$143,2,0))</f>
        <v>0</v>
      </c>
      <c r="GG25" s="302">
        <f>IF($BK25&lt;&gt;$GG$9,0,各项系数!$F$76/4*($MS25^2-$MQ25^2)*10^-2*(VLOOKUP($GG$9,各项系数!$D$1:$F$143,3,0))*10^-3*10^2)*各项系数!$J$4</f>
        <v>0</v>
      </c>
      <c r="GH25" s="303">
        <v>1</v>
      </c>
      <c r="GI25" s="304">
        <f t="shared" si="195"/>
        <v>0</v>
      </c>
      <c r="GJ25" s="285">
        <f>GI25*(VLOOKUP($GG$9,各项系数!$D$1:$F$143,2,0))</f>
        <v>0</v>
      </c>
      <c r="GK25" s="302">
        <f>IF($BK25&lt;&gt;$GK$9,0,各项系数!$F$76/4*($MS25^2-$MQ25^2)*10^-2*(VLOOKUP($GK$9,各项系数!$D$1:$F$143,3,0))*10^-3*10^2)*各项系数!$J$4</f>
        <v>0</v>
      </c>
      <c r="GL25" s="303">
        <v>1</v>
      </c>
      <c r="GM25" s="304">
        <f t="shared" si="196"/>
        <v>0</v>
      </c>
      <c r="GN25" s="285">
        <f>GM25*(VLOOKUP($GK$9,各项系数!$D$1:$F$143,2,0))</f>
        <v>0</v>
      </c>
      <c r="GO25" s="304">
        <f t="shared" si="197"/>
        <v>0</v>
      </c>
      <c r="GP25" s="304">
        <f t="shared" si="198"/>
        <v>0</v>
      </c>
      <c r="GQ25" s="315">
        <f>各项系数!$F$76/4*($MU25^2-$MS25^2)*10^-2*(VLOOKUP($S25,各项系数!$D$1:$F$143,3,0))*10^-3*10^2*各项系数!$J$4</f>
        <v>9.6691746184568841E-2</v>
      </c>
      <c r="GR25" s="303">
        <v>1</v>
      </c>
      <c r="GS25" s="304">
        <f t="shared" si="199"/>
        <v>9.6691746184568841E-2</v>
      </c>
      <c r="GT25" s="304">
        <f t="shared" si="200"/>
        <v>1</v>
      </c>
      <c r="GU25" s="304">
        <f>ROUND($GS25*(VLOOKUP($S25,各项系数!$D$1:$F$143,2,0))+$E$3*GS25,GT25)</f>
        <v>1</v>
      </c>
      <c r="GV25" s="315">
        <f>各项系数!$F$76/4*($MT25^2-$MS25^2)*10^-2*(VLOOKUP($GV$9,各项系数!$D$1:$F$143,3,0))*10^-3*10^2*各项系数!$J$4*PI()/4*R25</f>
        <v>1.811029563458913E-2</v>
      </c>
      <c r="GW25" s="303">
        <v>1</v>
      </c>
      <c r="GX25" s="304">
        <f t="shared" si="201"/>
        <v>1.811029563458913E-2</v>
      </c>
      <c r="GY25" s="304">
        <f>$GX25*(VLOOKUP($GV$9,各项系数!$D$1:$F$143,2,0))</f>
        <v>1.2224449553347663</v>
      </c>
      <c r="GZ25" s="315">
        <f>各项系数!$F$76/4*($MV25^2-$MS25^2)*10^-2*(VLOOKUP($GZ$9,各项系数!$D$1:$F$143,3,0))*10^-3*10^2*各项系数!$J$4</f>
        <v>9.064772402358022E-2</v>
      </c>
      <c r="HA25" s="303">
        <v>1</v>
      </c>
      <c r="HB25" s="304">
        <f t="shared" si="144"/>
        <v>9.064772402358022E-2</v>
      </c>
      <c r="HC25" s="304">
        <f>HB25*(VLOOKUP($GZ$9,各项系数!$D$1:$F$143,2,0))</f>
        <v>1.5410113084008636</v>
      </c>
      <c r="HD25" s="315">
        <f>各项系数!$F$76/4*($MW25^2-$MT25^2)*10^-2*(VLOOKUP($HD$9,各项系数!$D$1:$F$143,3,0))*10^-3*10^2*各项系数!$J$4</f>
        <v>9.1663011370996764E-2</v>
      </c>
      <c r="HE25" s="303">
        <v>1</v>
      </c>
      <c r="HF25" s="304">
        <f t="shared" si="145"/>
        <v>9.1663011370996764E-2</v>
      </c>
      <c r="HG25" s="304">
        <f>HF25*(VLOOKUP($HD$9,各项系数!$D$1:$F$143,2,0))</f>
        <v>1.5582711933069451</v>
      </c>
      <c r="HH25" s="315">
        <f>各项系数!$F$76/4*($MV25^2-$MS25^2)*10^-2*(VLOOKUP($HH$9,各项系数!$D$1:$F$143,3,0))*10^-3*10^2*各项系数!$J$4</f>
        <v>9.064772402358022E-2</v>
      </c>
      <c r="HI25" s="322">
        <v>1</v>
      </c>
      <c r="HJ25" s="304">
        <f t="shared" si="146"/>
        <v>9.064772402358022E-2</v>
      </c>
      <c r="HK25" s="304">
        <f>HJ25*(VLOOKUP($HH$9,各项系数!$D$1:$F$143,2,0))</f>
        <v>1.5410113084008636</v>
      </c>
      <c r="HL25" s="315">
        <f>各项系数!$F$76/4*($MW25^2-$MT25^2)*10^-2*(VLOOKUP($HL$9,各项系数!$D$1:$F$143,3,0))*10^-3*10^2*各项系数!$J$4</f>
        <v>9.1663011370996764E-2</v>
      </c>
      <c r="HM25" s="322">
        <v>1</v>
      </c>
      <c r="HN25" s="304">
        <f t="shared" si="147"/>
        <v>9.1663011370996764E-2</v>
      </c>
      <c r="HO25" s="304">
        <f>HN25*(VLOOKUP($HL$9,各项系数!$D$1:$F$143,2,0))</f>
        <v>1.5582711933069451</v>
      </c>
      <c r="HP25" s="315">
        <f>各项系数!$F$76/4*($MV25^2-$MS25^2)*10^-2*(VLOOKUP(AN25,各项系数!$D$1:$F$143,3,0))*10^-3*10^2*各项系数!$J$4</f>
        <v>9.1898037458388246E-2</v>
      </c>
      <c r="HQ25" s="303">
        <v>1</v>
      </c>
      <c r="HR25" s="304">
        <f t="shared" si="202"/>
        <v>9.1898037458388246E-2</v>
      </c>
      <c r="HS25" s="304">
        <f>HR25*(VLOOKUP(AN25,各项系数!$D$1:$F$143,2,0))</f>
        <v>0.91898037458388249</v>
      </c>
      <c r="HT25" s="315">
        <f>各项系数!$F$76/4*($MW25^2-$MT25^2)*10^-2*(VLOOKUP(AN25,各项系数!$D$1:$F$143,3,0))*10^-3*10^2*各项系数!$J$4</f>
        <v>9.2927328769217402E-2</v>
      </c>
      <c r="HU25" s="303">
        <v>1</v>
      </c>
      <c r="HV25" s="304">
        <f t="shared" si="203"/>
        <v>9.2927328769217402E-2</v>
      </c>
      <c r="HW25" s="304">
        <f>HV25*(VLOOKUP(AN25,各项系数!$D$1:$F$143,2,0))</f>
        <v>0.92927328769217399</v>
      </c>
      <c r="HX25" s="315">
        <f>各项系数!$F$76/4*($MV25^2-$MS25^2)*10^-2*(VLOOKUP($HX$9,各项系数!$D$1:$F$143,3,0))*10^-3*10^2*各项系数!$J$4</f>
        <v>9.1898037458388246E-2</v>
      </c>
      <c r="HY25" s="322">
        <v>1</v>
      </c>
      <c r="HZ25" s="304">
        <f t="shared" si="204"/>
        <v>9.1898037458388246E-2</v>
      </c>
      <c r="IA25" s="304">
        <f>HZ25*(VLOOKUP($HX$9,各项系数!$D$1:$F$143,2,0))</f>
        <v>1.0108784120422707</v>
      </c>
      <c r="IB25" s="315">
        <f>各项系数!$F$76/4*($MW25^2-$MT25^2)*10^-2*(VLOOKUP($IB$9,各项系数!$D$1:$F$143,3,0))*10^-3*10^2*各项系数!$J$4</f>
        <v>9.2927328769217402E-2</v>
      </c>
      <c r="IC25" s="322">
        <v>1</v>
      </c>
      <c r="ID25" s="304">
        <f t="shared" si="205"/>
        <v>9.2927328769217402E-2</v>
      </c>
      <c r="IE25" s="304">
        <f>ID25*(VLOOKUP($IB$9,各项系数!$D$1:$F$143,2,0))</f>
        <v>1.0222006164613915</v>
      </c>
      <c r="IF25" s="328"/>
      <c r="IG25" s="315">
        <f t="shared" si="148"/>
        <v>1.5452384294286395E-2</v>
      </c>
      <c r="IH25" s="303">
        <v>1</v>
      </c>
      <c r="II25" s="304">
        <f t="shared" si="206"/>
        <v>1.5452384294286395E-2</v>
      </c>
      <c r="IJ25" s="304">
        <f>II25*(VLOOKUP($IG$8,各项系数!$D$1:$F$143,2,0))</f>
        <v>0.38630960735715986</v>
      </c>
      <c r="IK25" s="315">
        <f>(各项系数!$F$76/4*($MX25^2-$MK25^2)*$EG25)*10^-2*(VLOOKUP($IG$8,各项系数!$D$1:$F$143,3,0))*10^-3*10^2*各项系数!$J$4</f>
        <v>1.5452384294286395E-2</v>
      </c>
      <c r="IL25" s="303">
        <f>IK25*(VLOOKUP($IG$8,各项系数!$D$1:$F$143,2,0))</f>
        <v>0.38630960735715986</v>
      </c>
      <c r="IM25" s="304">
        <f>(各项系数!$F$76/4*(($MM25+3*$X25)^2-MM25^2)*$EO25)*10^-2*(VLOOKUP($IG$8,各项系数!$D$1:$F$143,3,0))*10^-3*10^2*各项系数!$J$4</f>
        <v>0</v>
      </c>
      <c r="IN25" s="303">
        <f>IM25*(VLOOKUP($IG$8,各项系数!$D$1:$F$143,2,0))</f>
        <v>0</v>
      </c>
      <c r="IO25" s="315">
        <f>各项系数!$F$76/4*($MZ25^2-$MX25^2)*10^-2*(VLOOKUP(L25,各项系数!$D$1:$F$143,3,0))*10^-3*10^2*$ES25*各项系数!$J$4</f>
        <v>4.6844993101153115E-2</v>
      </c>
      <c r="IP25" s="303">
        <v>1</v>
      </c>
      <c r="IQ25" s="304">
        <f t="shared" si="207"/>
        <v>4.6844993101153115E-2</v>
      </c>
      <c r="IR25" s="285">
        <f>IQ25*(VLOOKUP(L25,各项系数!$D$1:$F$143,2,0))</f>
        <v>0.47781892963176176</v>
      </c>
      <c r="IS25" s="315">
        <f>IF($L25&lt;&gt;$IS$9,0,各项系数!$F$76/4*($MZ25^2-$MX25^2)*10^-2*各项系数!$F$12*10^-3*10^2)*$ES25*各项系数!$J$4</f>
        <v>0</v>
      </c>
      <c r="IT25" s="303">
        <v>1</v>
      </c>
      <c r="IU25" s="304">
        <f t="shared" si="208"/>
        <v>0</v>
      </c>
      <c r="IV25" s="285">
        <f>IU25*各项系数!$E$12</f>
        <v>0</v>
      </c>
      <c r="IW25" s="302">
        <f t="shared" si="209"/>
        <v>4.6844993101153115E-2</v>
      </c>
      <c r="IX25" s="302">
        <f t="shared" si="210"/>
        <v>0.47781892963176176</v>
      </c>
      <c r="IY25" s="339">
        <f>各项系数!$F$76/4*($NB25^2-$MZ25^2*$EG25-$NA25^2*$EO25)*10^-2</f>
        <v>0</v>
      </c>
      <c r="IZ25" s="284">
        <f t="shared" si="231"/>
        <v>1</v>
      </c>
      <c r="JA25" s="285">
        <f t="shared" si="64"/>
        <v>0</v>
      </c>
      <c r="JB25" s="282">
        <f>IF($DE25&lt;&gt;$JB$9,0,$JA25*各项系数!$F$32*10^-3*10^2)*各项系数!$J$4</f>
        <v>0</v>
      </c>
      <c r="JC25" s="102">
        <v>1</v>
      </c>
      <c r="JD25" s="189">
        <f t="shared" si="211"/>
        <v>0</v>
      </c>
      <c r="JE25" s="262">
        <f>JD25*各项系数!$E$32</f>
        <v>0</v>
      </c>
      <c r="JF25" s="282">
        <f>IF($DE25&lt;&gt;$JF$9,0,$JA25*VLOOKUP($JF$9,各项系数!$D$4:$F$540,2,0)*10^-3*10^2)*各项系数!$J$4</f>
        <v>0</v>
      </c>
      <c r="JG25" s="102">
        <v>1</v>
      </c>
      <c r="JH25" s="189">
        <f t="shared" si="66"/>
        <v>0</v>
      </c>
      <c r="JI25" s="262">
        <f>JH25*VLOOKUP($JF$9,各项系数!$D$4:$F$540,3,0)</f>
        <v>0</v>
      </c>
      <c r="JJ25" s="282">
        <f t="shared" si="212"/>
        <v>0</v>
      </c>
      <c r="JK25" s="189">
        <f t="shared" si="213"/>
        <v>0</v>
      </c>
      <c r="JL25" s="282">
        <f>IF($DF25&lt;&gt;$JL$9,0,各项系数!$F$76/4*($NE25^2-$NC25^2)*10^-2*各项系数!$F$39*10^-3*10^2)*各项系数!$J$4</f>
        <v>0</v>
      </c>
      <c r="JM25" s="102">
        <v>1</v>
      </c>
      <c r="JN25" s="189">
        <f t="shared" si="214"/>
        <v>0</v>
      </c>
      <c r="JO25" s="262">
        <f>JN25*各项系数!$E$39</f>
        <v>0</v>
      </c>
      <c r="JP25" s="282">
        <f>IF($DF25&lt;&gt;$JP$9,0,各项系数!$F$76/4*($NE25^2-$NC25^2)*10^-2*各项系数!$F$36*10^-3*10^2)*各项系数!$J$4</f>
        <v>0</v>
      </c>
      <c r="JQ25" s="102">
        <v>1</v>
      </c>
      <c r="JR25" s="189">
        <f t="shared" si="215"/>
        <v>0</v>
      </c>
      <c r="JS25" s="262">
        <f>JR25*各项系数!$E$36</f>
        <v>0</v>
      </c>
      <c r="JT25" s="282">
        <f>IF($DF25&lt;&gt;$JT$9,0,各项系数!$F$76/4*($NE25^2-$NC25^2)*10^-2*各项系数!$F$40*10^-3*10^2)*各项系数!$J$4</f>
        <v>0</v>
      </c>
      <c r="JU25" s="102">
        <v>1</v>
      </c>
      <c r="JV25" s="189">
        <f t="shared" si="216"/>
        <v>0</v>
      </c>
      <c r="JW25" s="262">
        <f>JV25*各项系数!$E$40</f>
        <v>0</v>
      </c>
      <c r="JX25" s="282">
        <f>IF($DF25&lt;&gt;$JX$9,0,各项系数!$F$76/4*($NE25^2-$NC25^2)*10^-2*各项系数!$F$38*10^-3*10^2)*各项系数!$J$4</f>
        <v>0</v>
      </c>
      <c r="JY25" s="102">
        <v>1</v>
      </c>
      <c r="JZ25" s="189">
        <f t="shared" si="217"/>
        <v>0</v>
      </c>
      <c r="KA25" s="262">
        <f>JZ25*各项系数!$E$38</f>
        <v>0</v>
      </c>
      <c r="KB25" s="282">
        <f>IF($DF25&lt;&gt;$KB$9,0,各项系数!$F$76/4*($NE25^2-$NC25^2)*10^-2*各项系数!$F$41*10^-3*10^2)*各项系数!$J$4</f>
        <v>0</v>
      </c>
      <c r="KC25" s="102">
        <v>1</v>
      </c>
      <c r="KD25" s="189">
        <f t="shared" si="218"/>
        <v>0</v>
      </c>
      <c r="KE25" s="262">
        <f>KD25*各项系数!$E$41</f>
        <v>0</v>
      </c>
      <c r="KF25" s="189">
        <f t="shared" si="219"/>
        <v>0</v>
      </c>
      <c r="KG25" s="189">
        <f t="shared" si="220"/>
        <v>0</v>
      </c>
      <c r="KH25" s="235">
        <f>各项系数!$F$76/4*($NG25^2-$NE25^2)*10^-2*各项系数!$F$44*10^-3*10^2*各项系数!$J$4*0.75*$U25</f>
        <v>0.15163761221199881</v>
      </c>
      <c r="KI25" s="102">
        <v>1</v>
      </c>
      <c r="KJ25" s="189">
        <f t="shared" si="221"/>
        <v>0.15163761221199881</v>
      </c>
      <c r="KK25" s="189">
        <f>ROUND(KJ25*各项系数!$E$44,GT25)</f>
        <v>1.6</v>
      </c>
      <c r="KL25" s="235">
        <f>各项系数!$F$76/4*($NF25^2-$NE25^2)*10^-2*各项系数!$F$46*10^-3*10^2*各项系数!$J$4*PI()/4*R25</f>
        <v>1.8948395595005579E-2</v>
      </c>
      <c r="KM25" s="102">
        <v>1</v>
      </c>
      <c r="KN25" s="189">
        <f t="shared" si="222"/>
        <v>1.8948395595005579E-2</v>
      </c>
      <c r="KO25" s="189">
        <f>KN25*各项系数!$E$46</f>
        <v>1.2790167026628767</v>
      </c>
      <c r="KP25" s="235">
        <f>各项系数!$F$76/4*($NH25^2-$NE25^2)*10^-2*(VLOOKUP($KP$9,各项系数!$D$1:$F$143,3,0))*10^-3*10^2*各项系数!$J$4</f>
        <v>9.4455051576392293E-2</v>
      </c>
      <c r="KQ25" s="102">
        <v>1</v>
      </c>
      <c r="KR25" s="189">
        <f t="shared" si="150"/>
        <v>9.4455051576392293E-2</v>
      </c>
      <c r="KS25" s="189">
        <f>KR25*(VLOOKUP($KP$9,各项系数!$D$1:$F$143,2,0))</f>
        <v>1.6057358767986689</v>
      </c>
      <c r="KT25" s="235">
        <f>各项系数!$F$76/4*($NI25^2-$NF25^2)*10^-2*(VLOOKUP($KT$9,各项系数!$D$1:$F$143,3,0))*10^-3*10^2*各项系数!$J$4</f>
        <v>9.5470338923808809E-2</v>
      </c>
      <c r="KU25" s="102">
        <v>1</v>
      </c>
      <c r="KV25" s="189">
        <f t="shared" si="151"/>
        <v>9.5470338923808809E-2</v>
      </c>
      <c r="KW25" s="189">
        <f>KV25*(VLOOKUP($KT$9,各项系数!$D$1:$F$143,2,0))</f>
        <v>1.6229957617047497</v>
      </c>
      <c r="KX25" s="189">
        <f>各项系数!$F$76/4*($NH25^2-$NE25^2)*10^-2*(VLOOKUP($KX$9,各项系数!$D$1:$F$143,3,0))*10^-3*10^2*各项系数!$J$4</f>
        <v>9.4455051576392293E-2</v>
      </c>
      <c r="KY25" s="353">
        <v>1</v>
      </c>
      <c r="KZ25" s="189">
        <f t="shared" si="152"/>
        <v>9.4455051576392293E-2</v>
      </c>
      <c r="LA25" s="189">
        <f>KZ25*(VLOOKUP($KX$9,各项系数!$D$1:$F$143,2,0))</f>
        <v>1.6057358767986689</v>
      </c>
      <c r="LB25" s="189">
        <f>各项系数!$F$76/4*($NI25^2-$NF25^2)*10^-2*(VLOOKUP($LB$9,各项系数!$D$1:$F$143,3,0))*10^-3*10^2*各项系数!$J$4</f>
        <v>9.5470338923808809E-2</v>
      </c>
      <c r="LC25" s="353">
        <v>1</v>
      </c>
      <c r="LD25" s="189">
        <f t="shared" si="153"/>
        <v>9.5470338923808809E-2</v>
      </c>
      <c r="LE25" s="189">
        <f>LD25*(VLOOKUP($LB$9,各项系数!$D$1:$F$143,2,0))</f>
        <v>1.6229957617047497</v>
      </c>
      <c r="LF25" s="235">
        <f>各项系数!$F$76/4*($NH25^2-$NE25^2)*10^-2*(VLOOKUP(AN25,各项系数!$D$1:$F$143,3,0))*10^-3*10^2*各项系数!$J$4</f>
        <v>9.5757879873997698E-2</v>
      </c>
      <c r="LG25" s="102">
        <v>1</v>
      </c>
      <c r="LH25" s="189">
        <f t="shared" si="223"/>
        <v>9.5757879873997698E-2</v>
      </c>
      <c r="LI25" s="189">
        <f>LH25*(VLOOKUP(AN25,各项系数!$D$1:$F$143,2,0))</f>
        <v>0.95757879873997698</v>
      </c>
      <c r="LJ25" s="235">
        <f>各项系数!$F$76/4*($NI25^2-$NF25^2)*10^-2*(VLOOKUP(AN25,各项系数!$D$1:$F$143,3,0))*10^-3*10^2*各项系数!$J$4</f>
        <v>9.6787171184826867E-2</v>
      </c>
      <c r="LK25" s="102">
        <v>1</v>
      </c>
      <c r="LL25" s="189">
        <f t="shared" si="224"/>
        <v>9.6787171184826867E-2</v>
      </c>
      <c r="LM25" s="189">
        <f>LL25*(VLOOKUP(AN25,各项系数!$D$1:$F$143,2,0))</f>
        <v>0.9678717118482687</v>
      </c>
      <c r="LN25" s="189">
        <f>各项系数!$F$76/4*($NH25^2-$NE25^2)*10^-2*(VLOOKUP($LN$9,各项系数!$D$1:$F$143,3,0))*10^-3*10^2*各项系数!$J$4</f>
        <v>9.5757879873997698E-2</v>
      </c>
      <c r="LO25" s="353">
        <v>1</v>
      </c>
      <c r="LP25" s="189">
        <f t="shared" si="225"/>
        <v>9.5757879873997698E-2</v>
      </c>
      <c r="LQ25" s="189">
        <f>LP25*(VLOOKUP($LN$9,各项系数!$D$1:$F$143,2,0))</f>
        <v>1.0533366786139746</v>
      </c>
      <c r="LR25" s="189">
        <f>各项系数!$F$76/4*($NI25^2-$NF25^2)*10^-2*(VLOOKUP($LR$9,各项系数!$D$1:$F$143,3,0))*10^-3*10^2*各项系数!$J$4</f>
        <v>9.6787171184826867E-2</v>
      </c>
      <c r="LS25" s="353">
        <v>1</v>
      </c>
      <c r="LT25" s="189">
        <f t="shared" si="226"/>
        <v>9.6787171184826867E-2</v>
      </c>
      <c r="LU25" s="189">
        <f>LT25*(VLOOKUP($LR$9,各项系数!$D$1:$F$143,2,0))</f>
        <v>1.0646588830330956</v>
      </c>
      <c r="LV25" s="227">
        <f t="shared" si="154"/>
        <v>89.672533099999995</v>
      </c>
      <c r="LW25" s="227">
        <f t="shared" si="155"/>
        <v>64.552088069999996</v>
      </c>
      <c r="LX25" s="227">
        <f t="shared" si="156"/>
        <v>9.0658850216595468</v>
      </c>
      <c r="LY25" s="227">
        <f t="shared" si="157"/>
        <v>25.120445029999999</v>
      </c>
      <c r="LZ25" s="374">
        <f t="shared" si="86"/>
        <v>1</v>
      </c>
      <c r="MA25" s="375">
        <f t="shared" si="87"/>
        <v>89.672533099999995</v>
      </c>
      <c r="MB25" s="375">
        <f t="shared" si="158"/>
        <v>10.68525223</v>
      </c>
      <c r="MC25" s="227">
        <f t="shared" si="159"/>
        <v>0</v>
      </c>
      <c r="MD25" s="227">
        <f t="shared" si="160"/>
        <v>0</v>
      </c>
      <c r="ME25" s="227">
        <f t="shared" si="161"/>
        <v>0</v>
      </c>
      <c r="MF25" s="227">
        <f t="shared" si="162"/>
        <v>0</v>
      </c>
      <c r="MG25" s="374">
        <f t="shared" si="163"/>
        <v>1</v>
      </c>
      <c r="MH25" s="375">
        <f t="shared" si="88"/>
        <v>0</v>
      </c>
      <c r="MI25" s="375">
        <f t="shared" si="164"/>
        <v>0</v>
      </c>
      <c r="MJ25" s="189">
        <f t="shared" si="89"/>
        <v>10.68525223</v>
      </c>
      <c r="MK25" s="189">
        <f t="shared" si="165"/>
        <v>10.68525223</v>
      </c>
      <c r="ML25" s="189">
        <f t="shared" si="227"/>
        <v>0</v>
      </c>
      <c r="MM25" s="189">
        <f t="shared" si="91"/>
        <v>0</v>
      </c>
      <c r="MN25" s="189">
        <f t="shared" si="92"/>
        <v>12.885252229999999</v>
      </c>
      <c r="MO25" s="189">
        <f t="shared" si="166"/>
        <v>0</v>
      </c>
      <c r="MP25" s="189">
        <f t="shared" si="167"/>
        <v>12.885252230000001</v>
      </c>
      <c r="MQ25" s="189">
        <f t="shared" si="228"/>
        <v>12.885252230000001</v>
      </c>
      <c r="MR25" s="246">
        <f t="shared" si="168"/>
        <v>12.885252230000001</v>
      </c>
      <c r="MS25" s="380">
        <f t="shared" si="94"/>
        <v>12.885252230000001</v>
      </c>
      <c r="MT25" s="380">
        <f t="shared" si="95"/>
        <v>13.045252230000001</v>
      </c>
      <c r="MU25" s="380">
        <f t="shared" si="232"/>
        <v>13.48525223</v>
      </c>
      <c r="MV25" s="380">
        <f t="shared" si="97"/>
        <v>15.68525223</v>
      </c>
      <c r="MW25" s="380">
        <f t="shared" si="98"/>
        <v>15.84525223</v>
      </c>
      <c r="MX25" s="254">
        <f t="shared" si="233"/>
        <v>11.285252229999999</v>
      </c>
      <c r="MY25" s="254">
        <f t="shared" si="100"/>
        <v>0</v>
      </c>
      <c r="MZ25" s="189">
        <f t="shared" si="101"/>
        <v>13.48525223</v>
      </c>
      <c r="NA25" s="189">
        <f t="shared" si="102"/>
        <v>0</v>
      </c>
      <c r="NB25" s="189">
        <f t="shared" si="169"/>
        <v>13.48525223</v>
      </c>
      <c r="NC25" s="254">
        <f t="shared" si="229"/>
        <v>13.48525223</v>
      </c>
      <c r="ND25" s="246">
        <f t="shared" si="234"/>
        <v>13.48525223</v>
      </c>
      <c r="NE25" s="386">
        <f t="shared" si="235"/>
        <v>13.48525223</v>
      </c>
      <c r="NF25" s="380">
        <f t="shared" si="106"/>
        <v>13.645252230000001</v>
      </c>
      <c r="NG25" s="387">
        <f t="shared" si="236"/>
        <v>14.08525223</v>
      </c>
      <c r="NH25" s="254">
        <f t="shared" si="108"/>
        <v>16.285252230000001</v>
      </c>
      <c r="NI25" s="380">
        <f t="shared" si="109"/>
        <v>16.445252230000001</v>
      </c>
      <c r="NK25" s="388">
        <f t="shared" si="110"/>
        <v>0.71489534237057262</v>
      </c>
      <c r="NL25" s="388">
        <f t="shared" si="111"/>
        <v>39.260273121208293</v>
      </c>
      <c r="NM25" s="388">
        <f t="shared" si="112"/>
        <v>0.71489534237057262</v>
      </c>
      <c r="NN25" s="388">
        <f t="shared" si="113"/>
        <v>39.352171158666685</v>
      </c>
      <c r="NO25" s="388">
        <f t="shared" si="114"/>
        <v>0.73647696136564211</v>
      </c>
      <c r="NP25" s="388">
        <f t="shared" si="115"/>
        <v>39.708328954030314</v>
      </c>
      <c r="NQ25" s="388">
        <f t="shared" si="116"/>
        <v>0.73647696136564211</v>
      </c>
      <c r="NR25" s="388">
        <f t="shared" si="117"/>
        <v>39.804086833904314</v>
      </c>
      <c r="NS25" s="388">
        <f t="shared" si="118"/>
        <v>0.73300563800516172</v>
      </c>
      <c r="NT25" s="388">
        <f t="shared" si="119"/>
        <v>0.73300563800516172</v>
      </c>
      <c r="NU25" s="388">
        <f t="shared" si="120"/>
        <v>0.75542535696064772</v>
      </c>
      <c r="NV25" s="388">
        <f t="shared" si="121"/>
        <v>0.75542535696064772</v>
      </c>
      <c r="NW25">
        <f t="shared" si="122"/>
        <v>0.8115870885551415</v>
      </c>
      <c r="NX25">
        <f>各项系数!$M$9*NK25</f>
        <v>0.21446860271117177</v>
      </c>
      <c r="NY25">
        <f t="shared" si="123"/>
        <v>0.73300563800516172</v>
      </c>
      <c r="OB25" s="66" t="str">
        <f t="shared" si="124"/>
        <v>1*70</v>
      </c>
      <c r="OC25" s="395">
        <f t="shared" si="125"/>
        <v>242.29596858910099</v>
      </c>
      <c r="OD25" s="395">
        <f>SQRT(4*EY25/PI()/EH25/各项系数!$J$4/各项系数!$F$5*10000000)</f>
        <v>243.86580688497418</v>
      </c>
      <c r="OE25" s="396">
        <f t="shared" si="126"/>
        <v>64.552087855108738</v>
      </c>
      <c r="OF25" s="396">
        <f t="shared" si="127"/>
        <v>65.39126499722515</v>
      </c>
      <c r="OG25" s="66">
        <v>65.2</v>
      </c>
      <c r="OH25" s="397">
        <f t="shared" si="186"/>
        <v>0.19126499722514723</v>
      </c>
    </row>
    <row r="26" spans="1:398" ht="15" hidden="1" customHeight="1">
      <c r="A26" s="50">
        <v>95</v>
      </c>
      <c r="B26" s="51">
        <v>0</v>
      </c>
      <c r="C26" s="52">
        <v>1.1000000000000001</v>
      </c>
      <c r="D26" s="53" t="s">
        <v>204</v>
      </c>
      <c r="E26" s="61">
        <f t="shared" si="175"/>
        <v>17.454402850000001</v>
      </c>
      <c r="F26" s="59">
        <v>245.088056587712</v>
      </c>
      <c r="G26" s="58"/>
      <c r="H26" s="16"/>
      <c r="I26" s="62"/>
      <c r="J26" s="16"/>
      <c r="K26" s="16"/>
      <c r="L26" s="97" t="s">
        <v>467</v>
      </c>
      <c r="M26" s="103">
        <f t="shared" si="2"/>
        <v>1.1000000000000001</v>
      </c>
      <c r="N26" s="103">
        <f t="shared" si="3"/>
        <v>0</v>
      </c>
      <c r="O26" s="102"/>
      <c r="P26" s="99">
        <v>0.1</v>
      </c>
      <c r="Q26" s="133">
        <f t="shared" si="237"/>
        <v>0.1</v>
      </c>
      <c r="R26" s="140">
        <v>0.8</v>
      </c>
      <c r="S26" s="142" t="str">
        <f>各项系数!$D$44</f>
        <v>磁性钢带</v>
      </c>
      <c r="T26" s="102">
        <v>0.2</v>
      </c>
      <c r="U26" s="102">
        <v>2</v>
      </c>
      <c r="V26" s="140"/>
      <c r="W26" s="141">
        <v>1.5</v>
      </c>
      <c r="X26" s="135">
        <f t="shared" si="238"/>
        <v>0.2</v>
      </c>
      <c r="Y26" s="135"/>
      <c r="Z26" s="168"/>
      <c r="AA26" s="153">
        <v>1.0129999999999999</v>
      </c>
      <c r="AB26" s="153">
        <f>PI()*EJ26*EJ26/4*EH26*(1-H26)*AA26*各项系数!$F$5*各项系数!$J$4*10^-7</f>
        <v>0.80319697770872212</v>
      </c>
      <c r="AC26" s="153">
        <f t="shared" si="176"/>
        <v>245.088056587712</v>
      </c>
      <c r="AD26" s="153">
        <f t="shared" si="5"/>
        <v>90.802378338116014</v>
      </c>
      <c r="AE26" s="153">
        <f>POWER(4*EU26/PI()/EG26/10^-7/EH26/(1-H26)/各项系数!$F$5/各项系数!$J$4,0.5)</f>
        <v>246.67598485301878</v>
      </c>
      <c r="AF26" s="69">
        <v>1</v>
      </c>
      <c r="AG26" s="69">
        <f>IF(EM26=0,0,PI()*ER26*ER26/4*EP26*(1-K26)*(1+AF26)*各项系数!$F$5*各项系数!$J$4*10^-7)</f>
        <v>0</v>
      </c>
      <c r="AH26" s="69">
        <f t="shared" si="177"/>
        <v>0</v>
      </c>
      <c r="AI26" s="69">
        <f t="shared" si="128"/>
        <v>0</v>
      </c>
      <c r="AJ26" s="69">
        <f>IF(OR(EP26="",EP26=0),0,POWER(4*EW26/PI()/EO26/10^-7/EP26/(1-K26)/各项系数!$F$5/各项系数!$J$4,0.5))</f>
        <v>0</v>
      </c>
      <c r="AK26" s="69" t="str">
        <f t="shared" si="8"/>
        <v>√</v>
      </c>
      <c r="AL26" s="69">
        <f t="shared" si="178"/>
        <v>55.870512999390108</v>
      </c>
      <c r="AM26" s="188">
        <f t="shared" si="179"/>
        <v>95</v>
      </c>
      <c r="AN26" s="97" t="s">
        <v>486</v>
      </c>
      <c r="AO26" s="196">
        <f>AP26+各项系数!$M$9*$NK26</f>
        <v>54.775012744500103</v>
      </c>
      <c r="AP26" s="196">
        <f>AQ26*(1+$BI26+(VLOOKUP($AM26,$A$12:$B$323,2,0))+各项系数!$J$6+各项系数!$M$5)*(1+$E$2)</f>
        <v>54.485910382767678</v>
      </c>
      <c r="AQ26" s="197">
        <f>AR26+各项系数!$L$9*$NK26</f>
        <v>55.597867737518037</v>
      </c>
      <c r="AR26" s="197">
        <f>AS26*(1+$BJ26+各项系数!$J$5+各项系数!$L$5)</f>
        <v>55.308765375785612</v>
      </c>
      <c r="AS26" s="197">
        <f t="shared" si="129"/>
        <v>54.224279780181973</v>
      </c>
      <c r="AT26" s="196">
        <f>AU26+各项系数!$M$9*$NM26</f>
        <v>55.519048993316872</v>
      </c>
      <c r="AU26" s="196">
        <f>AV26*(1+$BI26+(VLOOKUP($AM26,$A$12:$B$323,2,0))+各项系数!$J$6+各项系数!$M$5)*(1+$E$2)</f>
        <v>55.229946631584447</v>
      </c>
      <c r="AV26" s="197">
        <f>AW26+各项系数!$L$9*$NM26</f>
        <v>56.357088399575964</v>
      </c>
      <c r="AW26" s="197">
        <f>AX26*(1+$BJ26+各项系数!$J$5+各项系数!$L$5)</f>
        <v>56.067986037843539</v>
      </c>
      <c r="AX26" s="197">
        <f t="shared" si="130"/>
        <v>54.968613762591701</v>
      </c>
      <c r="AY26" s="196">
        <f>AZ26+各项系数!$M$9*$NS26</f>
        <v>56.167942042349516</v>
      </c>
      <c r="AZ26" s="196">
        <f>BA26*(1+$BI26+(VLOOKUP($AM26,$A$12:$B$214,2,0))+各项系数!$J$6+各项系数!$M$5)*(1+$E$2)</f>
        <v>55.872749039390456</v>
      </c>
      <c r="BA26" s="197">
        <f>BB26+各项系数!$L$9*$NS26</f>
        <v>57.013009223867812</v>
      </c>
      <c r="BB26" s="197">
        <f>BC26*(1+$BJ26+各项系数!$J$5+各项系数!$L$5)</f>
        <v>56.717816220908752</v>
      </c>
      <c r="BC26" s="199">
        <f t="shared" si="131"/>
        <v>55.605702177361522</v>
      </c>
      <c r="BD26" s="196">
        <f>BE26+各项系数!$M$9*$NS26</f>
        <v>56.919439917961718</v>
      </c>
      <c r="BE26" s="196">
        <f>BF26*(1+$BI26+(VLOOKUP($AM26,$A$12:$B$214,2,0))+各项系数!$J$6+各项系数!$M$5)*(1+$E$2)</f>
        <v>56.624246915002658</v>
      </c>
      <c r="BF26" s="197">
        <f>BG26+各项系数!$L$9*$NS26</f>
        <v>57.779843790819037</v>
      </c>
      <c r="BG26" s="197">
        <f>BH26*(1+$BJ26+各项系数!$J$5+各项系数!$L$5)</f>
        <v>57.484650787859977</v>
      </c>
      <c r="BH26" s="199">
        <f t="shared" si="132"/>
        <v>56.35750077241174</v>
      </c>
      <c r="BI26" s="51"/>
      <c r="BJ26" s="208"/>
      <c r="BK26" s="102"/>
      <c r="BL26" s="196">
        <f>BM26+各项系数!$M$9*$NM26</f>
        <v>55.417411305553038</v>
      </c>
      <c r="BM26" s="196">
        <f>BN26*(1+$CF26+(VLOOKUP($AM26,$A$12:$B$323,2,0))+各项系数!$J$6+各项系数!$M$5)*(1+$E$2)</f>
        <v>55.128308943820613</v>
      </c>
      <c r="BN26" s="197">
        <f>BO26+各项系数!$L$9*$NM26</f>
        <v>56.253376473286345</v>
      </c>
      <c r="BO26" s="197">
        <f>BP26*(1+$CG26+各项系数!$J$5+各项系数!$L$5)</f>
        <v>55.96427411155392</v>
      </c>
      <c r="BP26" s="197">
        <f t="shared" si="133"/>
        <v>54.334246710246525</v>
      </c>
      <c r="BQ26" s="196">
        <f>BR26+各项系数!$M$9*$NM26</f>
        <v>56.05774140819026</v>
      </c>
      <c r="BR26" s="196">
        <f>BS26*(1+$CF26+(VLOOKUP($AM26,$A$12:$B$323,2,0))+各项系数!$J$6+各项系数!$M$5)*(1+$E$2)</f>
        <v>55.768639046457835</v>
      </c>
      <c r="BS26" s="197">
        <f>BT26+各项系数!$L$9*$NM26</f>
        <v>56.906774537201876</v>
      </c>
      <c r="BT26" s="197">
        <f>BU26*(1+$CG26+各项系数!$J$5+各项系数!$L$5)</f>
        <v>56.617672175469451</v>
      </c>
      <c r="BU26" s="197">
        <f t="shared" si="134"/>
        <v>54.968613762591701</v>
      </c>
      <c r="BV26" s="196">
        <f>BW26+各项系数!$M$9*$NT26</f>
        <v>56.54380071363947</v>
      </c>
      <c r="BW26" s="196">
        <f>BX26*(1+$CF26+(VLOOKUP($AM26,$A$12:$B$214,2,0))+各项系数!$J$6+各项系数!$M$5)*(1+$E$2)</f>
        <v>56.24860771068041</v>
      </c>
      <c r="BX26" s="197">
        <f>BY26+各项系数!$L$9*$NT$12</f>
        <v>57.396538480286132</v>
      </c>
      <c r="BY26" s="197">
        <f>BZ26*(1+$CG26+各项系数!$J$5+各项系数!$L$5)</f>
        <v>57.388275077131162</v>
      </c>
      <c r="BZ26" s="199">
        <f t="shared" si="11"/>
        <v>55.716771919544819</v>
      </c>
      <c r="CA26" s="196">
        <f>CB26+各项系数!$M$9*$NT26</f>
        <v>57.190552417723346</v>
      </c>
      <c r="CB26" s="196">
        <f>CC26*(1+$CF26+(VLOOKUP($AM26,$A$12:$B$214,2,0))+各项系数!$J$6+各项系数!$M$5)*(1+$E$2)</f>
        <v>56.895359414764286</v>
      </c>
      <c r="CC26" s="197">
        <f>CD26+各项系数!$L$9*$NT$12</f>
        <v>58.056489198739065</v>
      </c>
      <c r="CD26" s="197">
        <f>CE26*(1+$CG26+各项系数!$J$5+各项系数!$L$5)</f>
        <v>58.048225795584095</v>
      </c>
      <c r="CE26" s="199">
        <f t="shared" si="135"/>
        <v>56.35750077241174</v>
      </c>
      <c r="CF26" s="213">
        <f t="shared" si="136"/>
        <v>0</v>
      </c>
      <c r="CG26" s="213">
        <f t="shared" si="12"/>
        <v>0.01</v>
      </c>
      <c r="CH26" s="102"/>
      <c r="CI26" s="196">
        <f>CJ26+各项系数!$M$9*$NO26</f>
        <v>55.584200992131265</v>
      </c>
      <c r="CJ26" s="196">
        <f>CK26*(1+$DC26+(VLOOKUP($AM26,$A$12:$B$323,2,0))+各项系数!$J$6+各项系数!$M$5)*(1+$E$2)+各项系数!$M$9*$NK26</f>
        <v>55.287879260964928</v>
      </c>
      <c r="CK26" s="197">
        <f>CL26+各项系数!$L$9*$NO26</f>
        <v>56.12120091758419</v>
      </c>
      <c r="CL26" s="197">
        <f>CM26*(1+$DD26+各项系数!$J$5+各项系数!$L$5)</f>
        <v>55.824879186417853</v>
      </c>
      <c r="CM26" s="197">
        <f t="shared" si="13"/>
        <v>54.730273712174366</v>
      </c>
      <c r="CN26" s="196">
        <f>CO26+各项系数!$M$9*$NO26</f>
        <v>56.286898328676855</v>
      </c>
      <c r="CO26" s="196">
        <f>CP26*(1+$DC26+(VLOOKUP($AM26,$A$12:$B$323,2,0))+各项系数!$J$6+各项系数!$M$5)*(1+$E$2)+各项系数!$M$9*$NK26</f>
        <v>55.990576597510518</v>
      </c>
      <c r="CP26" s="197">
        <f>CQ26+各项系数!$L$9*$NO26</f>
        <v>56.838239016100097</v>
      </c>
      <c r="CQ26" s="197">
        <f>CR26*(1+$DD26+各项系数!$J$5+各项系数!$L$5)</f>
        <v>56.54191728493376</v>
      </c>
      <c r="CR26" s="197">
        <f t="shared" si="14"/>
        <v>55.433252240131139</v>
      </c>
      <c r="CS26" s="196">
        <f>CT26+各项系数!$M$9*$NU26</f>
        <v>56.745074878253902</v>
      </c>
      <c r="CT26" s="196">
        <f t="shared" si="15"/>
        <v>56.442411075872812</v>
      </c>
      <c r="CU26" s="197">
        <f>CV26+各项系数!$L$9*$NU26</f>
        <v>57.594297016196748</v>
      </c>
      <c r="CV26" s="197">
        <f>CW26*(1+$DD26+各项系数!$J$5+各项系数!$L$5)</f>
        <v>57.291633213815658</v>
      </c>
      <c r="CW26" s="199">
        <f t="shared" si="16"/>
        <v>56.168267856682014</v>
      </c>
      <c r="CX26" s="196">
        <f>CY26+各项系数!$M$9*$NU26</f>
        <v>57.524553854348966</v>
      </c>
      <c r="CY26" s="196">
        <f t="shared" si="17"/>
        <v>57.221890051967875</v>
      </c>
      <c r="CZ26" s="197">
        <f>DA26+各项系数!$L$9*$NU26</f>
        <v>58.389683726497836</v>
      </c>
      <c r="DA26" s="197">
        <f>DB26*(1+$DD26+各项系数!$J$5+各项系数!$L$5)</f>
        <v>58.087019924116746</v>
      </c>
      <c r="DB26" s="199">
        <f t="shared" si="18"/>
        <v>56.948058749134063</v>
      </c>
      <c r="DC26" s="213">
        <f t="shared" si="137"/>
        <v>0</v>
      </c>
      <c r="DD26" s="213">
        <f t="shared" si="19"/>
        <v>0</v>
      </c>
      <c r="DE26" s="53"/>
      <c r="DF26" s="53"/>
      <c r="DG26" s="196">
        <f>DH26+各项系数!$M$9*$NQ26</f>
        <v>56.235732713290211</v>
      </c>
      <c r="DH26" s="196">
        <f>DI26*(1+$EA26+(VLOOKUP($AM26,$A$12:$B$323,2,0))+各项系数!$J$6+各项系数!$M$5)*(1+$E$2)+各项系数!$M$9*$NK26</f>
        <v>55.939410982123874</v>
      </c>
      <c r="DI26" s="197">
        <f>DJ26+各项系数!$L$9*$NQ26</f>
        <v>56.786029204481075</v>
      </c>
      <c r="DJ26" s="197">
        <f>DK26*(1+$EB26+各项系数!$J$5+各项系数!$L$5)</f>
        <v>56.489707473314738</v>
      </c>
      <c r="DK26" s="197">
        <f t="shared" si="20"/>
        <v>54.844376187684212</v>
      </c>
      <c r="DL26" s="196">
        <f>DM26+各项系数!$M$9*$NQ26</f>
        <v>56.900143821352366</v>
      </c>
      <c r="DM26" s="196">
        <f>DN26*(1+$EA26+(VLOOKUP($AM26,$A$12:$B$323,2,0))+各项系数!$J$6+各项系数!$M$5)*(1+$E$2)+各项系数!$M$9*$NK26</f>
        <v>56.603822090186029</v>
      </c>
      <c r="DN26" s="197">
        <f>DO26+各项系数!$L$9*$NQ26</f>
        <v>57.463999722911844</v>
      </c>
      <c r="DO26" s="197">
        <f>DP26*(1+$EB26+各项系数!$J$5+各项系数!$L$5)</f>
        <v>57.167677991745506</v>
      </c>
      <c r="DP26" s="197">
        <f t="shared" si="21"/>
        <v>55.502599991985925</v>
      </c>
      <c r="DQ26" s="196">
        <f>DR26+各项系数!$M$9*$NV26</f>
        <v>57.4118121205817</v>
      </c>
      <c r="DR26" s="196">
        <f t="shared" si="22"/>
        <v>57.10914831820061</v>
      </c>
      <c r="DS26" s="197">
        <f>DT26+各项系数!$L$9*$NV26</f>
        <v>58.274641141021029</v>
      </c>
      <c r="DT26" s="197">
        <f>DU26*(1+$EB26+各项系数!$J$5+各项系数!$L$5)</f>
        <v>57.971977338639938</v>
      </c>
      <c r="DU26" s="199">
        <f t="shared" si="23"/>
        <v>56.283473144310619</v>
      </c>
      <c r="DV26" s="196">
        <f>DW26+各项系数!$M$9*$NV26</f>
        <v>57.539228040501875</v>
      </c>
      <c r="DW26" s="196">
        <f t="shared" si="24"/>
        <v>57.236564238120785</v>
      </c>
      <c r="DX26" s="197">
        <f>DY26+各项系数!$L$9*$NV26</f>
        <v>58.404657385837538</v>
      </c>
      <c r="DY26" s="197">
        <f>DZ26*(1+$EB26+各项系数!$J$5+各项系数!$L$5)</f>
        <v>58.101993583456448</v>
      </c>
      <c r="DZ26" s="199">
        <f t="shared" si="25"/>
        <v>56.409702508210145</v>
      </c>
      <c r="EA26" s="213">
        <f t="shared" si="230"/>
        <v>0</v>
      </c>
      <c r="EB26" s="213">
        <f t="shared" si="27"/>
        <v>0.01</v>
      </c>
      <c r="EC26" s="235">
        <f t="shared" si="138"/>
        <v>1</v>
      </c>
      <c r="ED26" s="235" t="str">
        <f t="shared" si="180"/>
        <v>1*95</v>
      </c>
      <c r="EE26" s="189">
        <f t="shared" si="187"/>
        <v>95</v>
      </c>
      <c r="EF26" s="189" t="str">
        <f>LOOKUP(EH26,{1,7,10,14,19,24,30,37,48,61},{1,"1+6","2+8","4+10","1+6+12","2+8+14","4+10+16","1+6+12+18","3+9+15+21","1+6+12+18+24"})</f>
        <v>1+6+12</v>
      </c>
      <c r="EG26" s="188">
        <f t="shared" si="29"/>
        <v>1</v>
      </c>
      <c r="EH26" s="197">
        <f>IF(AM26&lt;10,1,IF(AND(AM26&gt;=10,AM26&lt;=35),7,LOOKUP(AM26,{50,70,95,120,150,185,240,300,400,500,630},{10,14,19,24,30,37,48,61,61,61,61})*1))</f>
        <v>19</v>
      </c>
      <c r="EI26" s="188">
        <f>IF(EH26=0,0,VLOOKUP(EH26,各项系数!$D$142:$E$195,2,0))*1</f>
        <v>5</v>
      </c>
      <c r="EJ26" s="238">
        <f t="shared" si="141"/>
        <v>245.088056587712</v>
      </c>
      <c r="EK26" s="189">
        <f t="shared" si="181"/>
        <v>0</v>
      </c>
      <c r="EL26" s="189">
        <f t="shared" si="31"/>
        <v>0</v>
      </c>
      <c r="EM26" s="189">
        <f t="shared" si="182"/>
        <v>0</v>
      </c>
      <c r="EN26" s="189">
        <f>IF(EP26=0,0,LOOKUP(EP26,{1,7,10,14,19,24,30,37,48,61},{1,"1+6","2+8","4+10","1+6+12","2+8+14","4+10+16","1+6+12+18","3+9+15+21","1+6+12+18+24"}))</f>
        <v>0</v>
      </c>
      <c r="EO26" s="189">
        <f t="shared" si="183"/>
        <v>0</v>
      </c>
      <c r="EP26" s="189">
        <f>IF(EM26=0,0,IF(EM26&lt;10,1,IF(AND(EM26&gt;=10,EM26&lt;=35),7,LOOKUP(EM26,{50,70,95,120,150,185,240,300},{10,14,19,24,30,37,48,61})*1)))</f>
        <v>0</v>
      </c>
      <c r="EQ26" s="189">
        <f>IF(EP26=0,0,VLOOKUP(EP26,各项系数!$D$142:$E$195,2,0))*1</f>
        <v>0</v>
      </c>
      <c r="ER26" s="189">
        <f t="shared" si="184"/>
        <v>0</v>
      </c>
      <c r="ES26" s="235">
        <f t="shared" si="185"/>
        <v>1</v>
      </c>
      <c r="ET26" s="189">
        <f>VLOOKUP(ES26,各项系数!$D$142:$E$195,2,0)*1</f>
        <v>1</v>
      </c>
      <c r="EU26" s="243">
        <f>((各项系数!$F$76/4*$EJ26^2*$EG26*$EH26*1*10^-7)*(1-$H26)*AA26)*(VLOOKUP($EY$9,各项系数!$D$4:$F$143,3,0))*各项系数!$J$4</f>
        <v>0.803196977708722</v>
      </c>
      <c r="EV26" s="244">
        <f>EU26*(VLOOKUP($EY$9,各项系数!$D$4:$F$143,2,0))</f>
        <v>52.609402039921292</v>
      </c>
      <c r="EW26" s="252">
        <f>(IF($EO26=0,0,(各项系数!$F$76/4*$ER26^2*$EO26*$EP26*1*10^-7))*(1-$K26)*$AF26)*(VLOOKUP($EY$9,各项系数!$D$4:$F$143,3,0))*各项系数!$J$4</f>
        <v>0</v>
      </c>
      <c r="EX26" s="253">
        <f>EW26*(VLOOKUP($EY$9,各项系数!$D$4:$F$143,2,0))</f>
        <v>0</v>
      </c>
      <c r="EY26" s="189">
        <f>((各项系数!$F$76/4*$EJ26^2*$EG26*$EH26*1*10^-7)*(1-$H26)*AA26+IF($EO26=0,0,(各项系数!$F$76/4*$ER26^2*$EO26*$EP26*1*10^-7))*(1-$K26)*$AF26)*(VLOOKUP($EY$9,各项系数!$D$4:$F$143,3,0))*各项系数!$J$4</f>
        <v>0.803196977708722</v>
      </c>
      <c r="EZ26" s="102">
        <v>1</v>
      </c>
      <c r="FA26" s="189">
        <f t="shared" si="188"/>
        <v>0.803196977708722</v>
      </c>
      <c r="FB26" s="254">
        <f>FA26*(VLOOKUP($EY$9,各项系数!$D$4:$F$143,2,0))</f>
        <v>52.609402039921292</v>
      </c>
      <c r="FC26" s="255"/>
      <c r="FD26" s="235">
        <f>各项系数!$F$76/4*($MN26^2-MK26^2)*10^-2*(VLOOKUP(L26,各项系数!$D$1:$F$143,3,0))*10^-3*10^2*$EG26*各项系数!$J$4</f>
        <v>5.0510631334818555E-2</v>
      </c>
      <c r="FE26" s="262">
        <f>FD26*VLOOKUP(L26,各项系数!$D$1:$F$143,2,0)</f>
        <v>0.51520843961514917</v>
      </c>
      <c r="FF26" s="188">
        <f>各项系数!$F$76/4*($MO26^2-ML26^2)*10^-2*(VLOOKUP(L26,各项系数!$D$1:$F$143,3,0))*10^-3*10^2*$EO26*各项系数!$J$4</f>
        <v>0</v>
      </c>
      <c r="FG26" s="262">
        <f>FF26*VLOOKUP(L26,各项系数!$D$1:$F$143,2,0)</f>
        <v>0</v>
      </c>
      <c r="FH26" s="235">
        <f t="shared" si="142"/>
        <v>5.0510631334818555E-2</v>
      </c>
      <c r="FI26" s="102">
        <v>1</v>
      </c>
      <c r="FJ26" s="189">
        <f t="shared" si="189"/>
        <v>5.0510631334818555E-2</v>
      </c>
      <c r="FK26" s="262">
        <f>FJ26*VLOOKUP(L26,各项系数!$D$1:$F$143,2,0)</f>
        <v>0.51520843961514917</v>
      </c>
      <c r="FL26" s="235"/>
      <c r="FM26" s="102"/>
      <c r="FN26" s="189"/>
      <c r="FO26" s="262"/>
      <c r="FP26" s="282">
        <f t="shared" si="190"/>
        <v>5.0510631334818555E-2</v>
      </c>
      <c r="FQ26" s="282">
        <f t="shared" si="191"/>
        <v>0.51520843961514917</v>
      </c>
      <c r="FR26" s="283">
        <f>各项系数!$F$76/4*($MQ26^2-$MN26^2*$EG26-$MO26^2*$EO26)*10^-2</f>
        <v>-4.4644716774510491E-16</v>
      </c>
      <c r="FS26" s="284">
        <f t="shared" si="143"/>
        <v>1</v>
      </c>
      <c r="FT26" s="285">
        <f t="shared" si="40"/>
        <v>-4.4644716774510491E-16</v>
      </c>
      <c r="FU26" s="302">
        <f>$FT26*(VLOOKUP($FT$9,各项系数!$D$1:$F$143,3,0))*10^-3*10^2*各项系数!$J$55</f>
        <v>-5.3305791828765519E-17</v>
      </c>
      <c r="FV26" s="303">
        <v>1</v>
      </c>
      <c r="FW26" s="304">
        <f t="shared" si="192"/>
        <v>-5.3305791828765519E-17</v>
      </c>
      <c r="FX26" s="285">
        <f>FW26*(VLOOKUP($FT$9,各项系数!$D$1:$F$143,2,0))</f>
        <v>-1.5991737548629656E-16</v>
      </c>
      <c r="FY26" s="302">
        <f>IF($BK26&lt;&gt;$FY$9,0,各项系数!$F$76/4*($MS26^2-$MQ26^2)*10^-2*(VLOOKUP($FY$9,各项系数!$D$1:$F$143,3,0))*10^-3*10^2)*各项系数!$J$4</f>
        <v>0</v>
      </c>
      <c r="FZ26" s="303">
        <v>1</v>
      </c>
      <c r="GA26" s="304">
        <f t="shared" si="193"/>
        <v>0</v>
      </c>
      <c r="GB26" s="285">
        <f>GA26*(VLOOKUP($FY$9,各项系数!$D$1:$F$143,2,0))</f>
        <v>0</v>
      </c>
      <c r="GC26" s="302">
        <f>IF($BK26&lt;&gt;$GC$9,0,各项系数!$F$76/4*($MS26^2-$MQ26^2)*10^-2*(VLOOKUP($GC$9,各项系数!$D$1:$F$143,3,0))*10^-3*10^2)*各项系数!$J$4</f>
        <v>0</v>
      </c>
      <c r="GD26" s="303">
        <v>1</v>
      </c>
      <c r="GE26" s="304">
        <f t="shared" si="194"/>
        <v>0</v>
      </c>
      <c r="GF26" s="285">
        <f>GE26*(VLOOKUP($GC$9,各项系数!$D$1:$F$143,2,0))</f>
        <v>0</v>
      </c>
      <c r="GG26" s="302">
        <f>IF($BK26&lt;&gt;$GG$9,0,各项系数!$F$76/4*($MS26^2-$MQ26^2)*10^-2*(VLOOKUP($GG$9,各项系数!$D$1:$F$143,3,0))*10^-3*10^2)*各项系数!$J$4</f>
        <v>0</v>
      </c>
      <c r="GH26" s="303">
        <v>1</v>
      </c>
      <c r="GI26" s="304">
        <f t="shared" si="195"/>
        <v>0</v>
      </c>
      <c r="GJ26" s="285">
        <f>GI26*(VLOOKUP($GG$9,各项系数!$D$1:$F$143,2,0))</f>
        <v>0</v>
      </c>
      <c r="GK26" s="302">
        <f>IF($BK26&lt;&gt;$GK$9,0,各项系数!$F$76/4*($MS26^2-$MQ26^2)*10^-2*(VLOOKUP($GK$9,各项系数!$D$1:$F$143,3,0))*10^-3*10^2)*各项系数!$J$4</f>
        <v>0</v>
      </c>
      <c r="GL26" s="303">
        <v>1</v>
      </c>
      <c r="GM26" s="304">
        <f t="shared" si="196"/>
        <v>0</v>
      </c>
      <c r="GN26" s="285">
        <f>GM26*(VLOOKUP($GK$9,各项系数!$D$1:$F$143,2,0))</f>
        <v>0</v>
      </c>
      <c r="GO26" s="304">
        <f t="shared" si="197"/>
        <v>0</v>
      </c>
      <c r="GP26" s="304">
        <f t="shared" si="198"/>
        <v>0</v>
      </c>
      <c r="GQ26" s="315">
        <f>各项系数!$F$76/4*($MU26^2-$MS26^2)*10^-2*(VLOOKUP($S26,各项系数!$D$1:$F$143,3,0))*10^-3*10^2*各项系数!$J$4</f>
        <v>0.10819883841365698</v>
      </c>
      <c r="GR26" s="303">
        <v>1</v>
      </c>
      <c r="GS26" s="304">
        <f t="shared" si="199"/>
        <v>0.10819883841365698</v>
      </c>
      <c r="GT26" s="304">
        <f t="shared" si="200"/>
        <v>1</v>
      </c>
      <c r="GU26" s="304">
        <f>ROUND($GS26*(VLOOKUP($S26,各项系数!$D$1:$F$143,2,0))+$E$3*GS26,GT26)</f>
        <v>1.2</v>
      </c>
      <c r="GV26" s="315">
        <f>各项系数!$F$76/4*($MT26^2-$MS26^2)*10^-2*(VLOOKUP($GV$9,各项系数!$D$1:$F$143,3,0))*10^-3*10^2*各项系数!$J$4*PI()/4*R26</f>
        <v>2.0302137422105061E-2</v>
      </c>
      <c r="GW26" s="303">
        <v>1</v>
      </c>
      <c r="GX26" s="304">
        <f t="shared" si="201"/>
        <v>2.0302137422105061E-2</v>
      </c>
      <c r="GY26" s="304">
        <f>$GX26*(VLOOKUP($GV$9,各项系数!$D$1:$F$143,2,0))</f>
        <v>1.3703942759920915</v>
      </c>
      <c r="GZ26" s="315">
        <f>各项系数!$F$76/4*($MV26^2-$MS26^2)*10^-2*(VLOOKUP($GZ$9,各项系数!$D$1:$F$143,3,0))*10^-3*10^2*各项系数!$J$4</f>
        <v>0.10847078135619187</v>
      </c>
      <c r="HA26" s="303">
        <v>1</v>
      </c>
      <c r="HB26" s="304">
        <f t="shared" si="144"/>
        <v>0.10847078135619187</v>
      </c>
      <c r="HC26" s="304">
        <f>HB26*(VLOOKUP($GZ$9,各项系数!$D$1:$F$143,2,0))</f>
        <v>1.8440032830552617</v>
      </c>
      <c r="HD26" s="315">
        <f>各项系数!$F$76/4*($MW26^2-$MT26^2)*10^-2*(VLOOKUP($HD$9,各项系数!$D$1:$F$143,3,0))*10^-3*10^2*各项系数!$J$4</f>
        <v>0.10955858922842372</v>
      </c>
      <c r="HE26" s="303">
        <v>1</v>
      </c>
      <c r="HF26" s="304">
        <f t="shared" si="145"/>
        <v>0.10955858922842372</v>
      </c>
      <c r="HG26" s="304">
        <f>HF26*(VLOOKUP($HD$9,各项系数!$D$1:$F$143,2,0))</f>
        <v>1.8624960168832032</v>
      </c>
      <c r="HH26" s="315">
        <f>各项系数!$F$76/4*($MV26^2-$MS26^2)*10^-2*(VLOOKUP($HH$9,各项系数!$D$1:$F$143,3,0))*10^-3*10^2*各项系数!$J$4</f>
        <v>0.10847078135619187</v>
      </c>
      <c r="HI26" s="322">
        <v>1</v>
      </c>
      <c r="HJ26" s="304">
        <f t="shared" si="146"/>
        <v>0.10847078135619187</v>
      </c>
      <c r="HK26" s="304">
        <f>HJ26*(VLOOKUP($HH$9,各项系数!$D$1:$F$143,2,0))</f>
        <v>1.8440032830552617</v>
      </c>
      <c r="HL26" s="315">
        <f>各项系数!$F$76/4*($MW26^2-$MT26^2)*10^-2*(VLOOKUP($HL$9,各项系数!$D$1:$F$143,3,0))*10^-3*10^2*各项系数!$J$4</f>
        <v>0.10955858922842372</v>
      </c>
      <c r="HM26" s="322">
        <v>1</v>
      </c>
      <c r="HN26" s="304">
        <f t="shared" si="147"/>
        <v>0.10955858922842372</v>
      </c>
      <c r="HO26" s="304">
        <f>HN26*(VLOOKUP($HL$9,各项系数!$D$1:$F$143,2,0))</f>
        <v>1.8624960168832032</v>
      </c>
      <c r="HP26" s="315">
        <f>各项系数!$F$76/4*($MV26^2-$MS26^2)*10^-2*(VLOOKUP(AN26,各项系数!$D$1:$F$143,3,0))*10^-3*10^2*各项系数!$J$4</f>
        <v>0.10996693006455315</v>
      </c>
      <c r="HQ26" s="303">
        <v>1</v>
      </c>
      <c r="HR26" s="304">
        <f t="shared" si="202"/>
        <v>0.10996693006455315</v>
      </c>
      <c r="HS26" s="304">
        <f>HR26*(VLOOKUP(AN26,各项系数!$D$1:$F$143,2,0))</f>
        <v>1.0996693006455314</v>
      </c>
      <c r="HT26" s="315">
        <f>各项系数!$F$76/4*($MW26^2-$MT26^2)*10^-2*(VLOOKUP(AN26,各项系数!$D$1:$F$143,3,0))*10^-3*10^2*各项系数!$J$4</f>
        <v>0.11106974218329853</v>
      </c>
      <c r="HU26" s="303">
        <v>1</v>
      </c>
      <c r="HV26" s="304">
        <f t="shared" si="203"/>
        <v>0.11106974218329853</v>
      </c>
      <c r="HW26" s="304">
        <f>HV26*(VLOOKUP(AN26,各项系数!$D$1:$F$143,2,0))</f>
        <v>1.1106974218329853</v>
      </c>
      <c r="HX26" s="315">
        <f>各项系数!$F$76/4*($MV26^2-$MS26^2)*10^-2*(VLOOKUP($HX$9,各项系数!$D$1:$F$143,3,0))*10^-3*10^2*各项系数!$J$4</f>
        <v>0.10996693006455315</v>
      </c>
      <c r="HY26" s="322">
        <v>1</v>
      </c>
      <c r="HZ26" s="304">
        <f t="shared" si="204"/>
        <v>0.10996693006455315</v>
      </c>
      <c r="IA26" s="304">
        <f>HZ26*(VLOOKUP($HX$9,各项系数!$D$1:$F$143,2,0))</f>
        <v>1.2096362307100845</v>
      </c>
      <c r="IB26" s="315">
        <f>各项系数!$F$76/4*($MW26^2-$MT26^2)*10^-2*(VLOOKUP($IB$9,各项系数!$D$1:$F$143,3,0))*10^-3*10^2*各项系数!$J$4</f>
        <v>0.11106974218329853</v>
      </c>
      <c r="IC26" s="322">
        <v>1</v>
      </c>
      <c r="ID26" s="304">
        <f t="shared" si="205"/>
        <v>0.11106974218329853</v>
      </c>
      <c r="IE26" s="304">
        <f>ID26*(VLOOKUP($IB$9,各项系数!$D$1:$F$143,2,0))</f>
        <v>1.2217671640162837</v>
      </c>
      <c r="IF26" s="328"/>
      <c r="IG26" s="315">
        <f t="shared" si="148"/>
        <v>1.7659627049226554E-2</v>
      </c>
      <c r="IH26" s="303">
        <v>1</v>
      </c>
      <c r="II26" s="304">
        <f t="shared" si="206"/>
        <v>1.7659627049226554E-2</v>
      </c>
      <c r="IJ26" s="304">
        <f>II26*(VLOOKUP($IG$8,各项系数!$D$1:$F$143,2,0))</f>
        <v>0.44149067623066385</v>
      </c>
      <c r="IK26" s="315">
        <f>(各项系数!$F$76/4*($MX26^2-$MK26^2)*$EG26)*10^-2*(VLOOKUP($IG$8,各项系数!$D$1:$F$143,3,0))*10^-3*10^2*各项系数!$J$4</f>
        <v>1.7659627049226554E-2</v>
      </c>
      <c r="IL26" s="303">
        <f>IK26*(VLOOKUP($IG$8,各项系数!$D$1:$F$143,2,0))</f>
        <v>0.44149067623066385</v>
      </c>
      <c r="IM26" s="304">
        <f>(各项系数!$F$76/4*(($MM26+3*$X26)^2-MM26^2)*$EO26)*10^-2*(VLOOKUP($IG$8,各项系数!$D$1:$F$143,3,0))*10^-3*10^2*各项系数!$J$4</f>
        <v>0</v>
      </c>
      <c r="IN26" s="303">
        <f>IM26*(VLOOKUP($IG$8,各项系数!$D$1:$F$143,2,0))</f>
        <v>0</v>
      </c>
      <c r="IO26" s="315">
        <f>各项系数!$F$76/4*($MZ26^2-$MX26^2)*10^-2*(VLOOKUP(L26,各项系数!$D$1:$F$143,3,0))*10^-3*10^2*$ES26*各项系数!$J$4</f>
        <v>5.2780023619992178E-2</v>
      </c>
      <c r="IP26" s="303">
        <v>1</v>
      </c>
      <c r="IQ26" s="304">
        <f t="shared" si="207"/>
        <v>5.2780023619992178E-2</v>
      </c>
      <c r="IR26" s="285">
        <f>IQ26*(VLOOKUP(L26,各项系数!$D$1:$F$143,2,0))</f>
        <v>0.5383562409239202</v>
      </c>
      <c r="IS26" s="315">
        <f>IF($L26&lt;&gt;$IS$9,0,各项系数!$F$76/4*($MZ26^2-$MX26^2)*10^-2*各项系数!$F$12*10^-3*10^2)*$ES26*各项系数!$J$4</f>
        <v>0</v>
      </c>
      <c r="IT26" s="303">
        <v>1</v>
      </c>
      <c r="IU26" s="304">
        <f t="shared" si="208"/>
        <v>0</v>
      </c>
      <c r="IV26" s="285">
        <f>IU26*各项系数!$E$12</f>
        <v>0</v>
      </c>
      <c r="IW26" s="302">
        <f t="shared" si="209"/>
        <v>5.2780023619992178E-2</v>
      </c>
      <c r="IX26" s="302">
        <f t="shared" si="210"/>
        <v>0.5383562409239202</v>
      </c>
      <c r="IY26" s="339">
        <f>各项系数!$F$76/4*($NB26^2-$MZ26^2*$EG26-$NA26^2*$EO26)*10^-2</f>
        <v>4.4644716774510491E-16</v>
      </c>
      <c r="IZ26" s="284">
        <f t="shared" si="231"/>
        <v>1</v>
      </c>
      <c r="JA26" s="285">
        <f t="shared" si="64"/>
        <v>4.4644716774510491E-16</v>
      </c>
      <c r="JB26" s="282">
        <f>IF($DE26&lt;&gt;$JB$9,0,$JA26*各项系数!$F$32*10^-3*10^2)*各项系数!$J$4</f>
        <v>0</v>
      </c>
      <c r="JC26" s="102">
        <v>1</v>
      </c>
      <c r="JD26" s="189">
        <f t="shared" si="211"/>
        <v>0</v>
      </c>
      <c r="JE26" s="262">
        <f>JD26*各项系数!$E$32</f>
        <v>0</v>
      </c>
      <c r="JF26" s="282">
        <f>IF($DE26&lt;&gt;$JF$9,0,$JA26*VLOOKUP($JF$9,各项系数!$D$4:$F$540,2,0)*10^-3*10^2)*各项系数!$J$4</f>
        <v>0</v>
      </c>
      <c r="JG26" s="102">
        <v>1</v>
      </c>
      <c r="JH26" s="189">
        <f t="shared" si="66"/>
        <v>0</v>
      </c>
      <c r="JI26" s="262">
        <f>JH26*VLOOKUP($JF$9,各项系数!$D$4:$F$540,3,0)</f>
        <v>0</v>
      </c>
      <c r="JJ26" s="282">
        <f t="shared" si="212"/>
        <v>0</v>
      </c>
      <c r="JK26" s="189">
        <f t="shared" si="213"/>
        <v>0</v>
      </c>
      <c r="JL26" s="282">
        <f>IF($DF26&lt;&gt;$JL$9,0,各项系数!$F$76/4*($NE26^2-$NC26^2)*10^-2*各项系数!$F$39*10^-3*10^2)*各项系数!$J$4</f>
        <v>0</v>
      </c>
      <c r="JM26" s="102">
        <v>1</v>
      </c>
      <c r="JN26" s="189">
        <f t="shared" si="214"/>
        <v>0</v>
      </c>
      <c r="JO26" s="262">
        <f>JN26*各项系数!$E$39</f>
        <v>0</v>
      </c>
      <c r="JP26" s="282">
        <f>IF($DF26&lt;&gt;$JP$9,0,各项系数!$F$76/4*($NE26^2-$NC26^2)*10^-2*各项系数!$F$36*10^-3*10^2)*各项系数!$J$4</f>
        <v>0</v>
      </c>
      <c r="JQ26" s="102">
        <v>1</v>
      </c>
      <c r="JR26" s="189">
        <f t="shared" si="215"/>
        <v>0</v>
      </c>
      <c r="JS26" s="262">
        <f>JR26*各项系数!$E$36</f>
        <v>0</v>
      </c>
      <c r="JT26" s="282">
        <f>IF($DF26&lt;&gt;$JT$9,0,各项系数!$F$76/4*($NE26^2-$NC26^2)*10^-2*各项系数!$F$40*10^-3*10^2)*各项系数!$J$4</f>
        <v>0</v>
      </c>
      <c r="JU26" s="102">
        <v>1</v>
      </c>
      <c r="JV26" s="189">
        <f t="shared" si="216"/>
        <v>0</v>
      </c>
      <c r="JW26" s="262">
        <f>JV26*各项系数!$E$40</f>
        <v>0</v>
      </c>
      <c r="JX26" s="282">
        <f>IF($DF26&lt;&gt;$JX$9,0,各项系数!$F$76/4*($NE26^2-$NC26^2)*10^-2*各项系数!$F$38*10^-3*10^2)*各项系数!$J$4</f>
        <v>0</v>
      </c>
      <c r="JY26" s="102">
        <v>1</v>
      </c>
      <c r="JZ26" s="189">
        <f t="shared" si="217"/>
        <v>0</v>
      </c>
      <c r="KA26" s="262">
        <f>JZ26*各项系数!$E$38</f>
        <v>0</v>
      </c>
      <c r="KB26" s="282">
        <f>IF($DF26&lt;&gt;$KB$9,0,各项系数!$F$76/4*($NE26^2-$NC26^2)*10^-2*各项系数!$F$41*10^-3*10^2)*各项系数!$J$4</f>
        <v>0</v>
      </c>
      <c r="KC26" s="102">
        <v>1</v>
      </c>
      <c r="KD26" s="189">
        <f t="shared" si="218"/>
        <v>0</v>
      </c>
      <c r="KE26" s="262">
        <f>KD26*各项系数!$E$41</f>
        <v>0</v>
      </c>
      <c r="KF26" s="189">
        <f t="shared" si="219"/>
        <v>0</v>
      </c>
      <c r="KG26" s="189">
        <f t="shared" si="220"/>
        <v>0</v>
      </c>
      <c r="KH26" s="235">
        <f>各项系数!$F$76/4*($NG26^2-$NE26^2)*10^-2*各项系数!$F$44*10^-3*10^2*各项系数!$J$4*0.75*$U26</f>
        <v>0.16889825055563071</v>
      </c>
      <c r="KI26" s="102">
        <v>1</v>
      </c>
      <c r="KJ26" s="189">
        <f t="shared" si="221"/>
        <v>0.16889825055563071</v>
      </c>
      <c r="KK26" s="189">
        <f>ROUND(KJ26*各项系数!$E$44,GT26)</f>
        <v>1.8</v>
      </c>
      <c r="KL26" s="235">
        <f>各项系数!$F$76/4*($NF26^2-$NE26^2)*10^-2*各项系数!$F$46*10^-3*10^2*各项系数!$J$4*PI()/4*R26</f>
        <v>2.1140237382521496E-2</v>
      </c>
      <c r="KM26" s="102">
        <v>1</v>
      </c>
      <c r="KN26" s="189">
        <f t="shared" si="222"/>
        <v>2.1140237382521496E-2</v>
      </c>
      <c r="KO26" s="189">
        <f>KN26*各项系数!$E$46</f>
        <v>1.4269660233202011</v>
      </c>
      <c r="KP26" s="235">
        <f>各项系数!$F$76/4*($NH26^2-$NE26^2)*10^-2*(VLOOKUP($KP$9,各项系数!$D$1:$F$143,3,0))*10^-3*10^2*各项系数!$J$4</f>
        <v>0.11255006087706183</v>
      </c>
      <c r="KQ26" s="102">
        <v>1</v>
      </c>
      <c r="KR26" s="189">
        <f t="shared" si="150"/>
        <v>0.11255006087706183</v>
      </c>
      <c r="KS26" s="189">
        <f>KR26*(VLOOKUP($KP$9,各项系数!$D$1:$F$143,2,0))</f>
        <v>1.9133510349100511</v>
      </c>
      <c r="KT26" s="235">
        <f>各项系数!$F$76/4*($NI26^2-$NF26^2)*10^-2*(VLOOKUP($KT$9,各项系数!$D$1:$F$143,3,0))*10^-3*10^2*各项系数!$J$4</f>
        <v>0.11363786874929371</v>
      </c>
      <c r="KU26" s="102">
        <v>1</v>
      </c>
      <c r="KV26" s="189">
        <f t="shared" si="151"/>
        <v>0.11363786874929371</v>
      </c>
      <c r="KW26" s="189">
        <f>KV26*(VLOOKUP($KT$9,各项系数!$D$1:$F$143,2,0))</f>
        <v>1.931843768737993</v>
      </c>
      <c r="KX26" s="189">
        <f>各项系数!$F$76/4*($NH26^2-$NE26^2)*10^-2*(VLOOKUP($KX$9,各项系数!$D$1:$F$143,3,0))*10^-3*10^2*各项系数!$J$4</f>
        <v>0.11255006087706183</v>
      </c>
      <c r="KY26" s="353">
        <v>1</v>
      </c>
      <c r="KZ26" s="189">
        <f t="shared" si="152"/>
        <v>0.11255006087706183</v>
      </c>
      <c r="LA26" s="189">
        <f>KZ26*(VLOOKUP($KX$9,各项系数!$D$1:$F$143,2,0))</f>
        <v>1.9133510349100511</v>
      </c>
      <c r="LB26" s="189">
        <f>各项系数!$F$76/4*($NI26^2-$NF26^2)*10^-2*(VLOOKUP($LB$9,各项系数!$D$1:$F$143,3,0))*10^-3*10^2*各项系数!$J$4</f>
        <v>0.11363786874929371</v>
      </c>
      <c r="LC26" s="353">
        <v>1</v>
      </c>
      <c r="LD26" s="189">
        <f t="shared" si="153"/>
        <v>0.11363786874929371</v>
      </c>
      <c r="LE26" s="189">
        <f>LD26*(VLOOKUP($LB$9,各项系数!$D$1:$F$143,2,0))</f>
        <v>1.931843768737993</v>
      </c>
      <c r="LF26" s="235">
        <f>各项系数!$F$76/4*($NH26^2-$NE26^2)*10^-2*(VLOOKUP(AN26,各项系数!$D$1:$F$143,3,0))*10^-3*10^2*各项系数!$J$4</f>
        <v>0.11410247550984889</v>
      </c>
      <c r="LG26" s="102">
        <v>1</v>
      </c>
      <c r="LH26" s="189">
        <f t="shared" si="223"/>
        <v>0.11410247550984889</v>
      </c>
      <c r="LI26" s="189">
        <f>LH26*(VLOOKUP(AN26,各项系数!$D$1:$F$143,2,0))</f>
        <v>1.1410247550984889</v>
      </c>
      <c r="LJ26" s="235">
        <f>各项系数!$F$76/4*($NI26^2-$NF26^2)*10^-2*(VLOOKUP(AN26,各项系数!$D$1:$F$143,3,0))*10^-3*10^2*各项系数!$J$4</f>
        <v>0.11520528762859432</v>
      </c>
      <c r="LK26" s="102">
        <v>1</v>
      </c>
      <c r="LL26" s="189">
        <f t="shared" si="224"/>
        <v>0.11520528762859432</v>
      </c>
      <c r="LM26" s="189">
        <f>LL26*(VLOOKUP(AN26,各项系数!$D$1:$F$143,2,0))</f>
        <v>1.1520528762859432</v>
      </c>
      <c r="LN26" s="189">
        <f>各项系数!$F$76/4*($NH26^2-$NE26^2)*10^-2*(VLOOKUP($LN$9,各项系数!$D$1:$F$143,3,0))*10^-3*10^2*各项系数!$J$4</f>
        <v>0.11410247550984889</v>
      </c>
      <c r="LO26" s="353">
        <v>1</v>
      </c>
      <c r="LP26" s="189">
        <f t="shared" si="225"/>
        <v>0.11410247550984889</v>
      </c>
      <c r="LQ26" s="189">
        <f>LP26*(VLOOKUP($LN$9,各项系数!$D$1:$F$143,2,0))</f>
        <v>1.2551272306083379</v>
      </c>
      <c r="LR26" s="189">
        <f>各项系数!$F$76/4*($NI26^2-$NF26^2)*10^-2*(VLOOKUP($LR$9,各项系数!$D$1:$F$143,3,0))*10^-3*10^2*各项系数!$J$4</f>
        <v>0.11520528762859432</v>
      </c>
      <c r="LS26" s="353">
        <v>1</v>
      </c>
      <c r="LT26" s="189">
        <f t="shared" si="226"/>
        <v>0.11520528762859432</v>
      </c>
      <c r="LU26" s="189">
        <f>LT26*(VLOOKUP($LR$9,各项系数!$D$1:$F$143,2,0))</f>
        <v>1.2672581639145375</v>
      </c>
      <c r="LV26" s="227">
        <f t="shared" si="154"/>
        <v>117.94354788</v>
      </c>
      <c r="LW26" s="227">
        <f t="shared" si="155"/>
        <v>89.637096389999996</v>
      </c>
      <c r="LX26" s="227">
        <f t="shared" si="156"/>
        <v>10.683140727285469</v>
      </c>
      <c r="LY26" s="227">
        <f t="shared" si="157"/>
        <v>28.306451490000001</v>
      </c>
      <c r="LZ26" s="374">
        <f t="shared" si="86"/>
        <v>1</v>
      </c>
      <c r="MA26" s="375">
        <f t="shared" si="87"/>
        <v>117.94354788</v>
      </c>
      <c r="MB26" s="375">
        <f t="shared" si="158"/>
        <v>12.25440285</v>
      </c>
      <c r="MC26" s="227">
        <f t="shared" si="159"/>
        <v>0</v>
      </c>
      <c r="MD26" s="227">
        <f t="shared" si="160"/>
        <v>0</v>
      </c>
      <c r="ME26" s="227">
        <f t="shared" si="161"/>
        <v>0</v>
      </c>
      <c r="MF26" s="227">
        <f t="shared" si="162"/>
        <v>0</v>
      </c>
      <c r="MG26" s="374">
        <f t="shared" si="163"/>
        <v>1</v>
      </c>
      <c r="MH26" s="375">
        <f t="shared" si="88"/>
        <v>0</v>
      </c>
      <c r="MI26" s="375">
        <f t="shared" si="164"/>
        <v>0</v>
      </c>
      <c r="MJ26" s="189">
        <f t="shared" si="89"/>
        <v>12.25440285</v>
      </c>
      <c r="MK26" s="189">
        <f t="shared" si="165"/>
        <v>12.25440285</v>
      </c>
      <c r="ML26" s="189">
        <f t="shared" si="227"/>
        <v>0</v>
      </c>
      <c r="MM26" s="189">
        <f t="shared" si="91"/>
        <v>0</v>
      </c>
      <c r="MN26" s="189">
        <f t="shared" si="92"/>
        <v>14.454402850000001</v>
      </c>
      <c r="MO26" s="189">
        <f t="shared" si="166"/>
        <v>0</v>
      </c>
      <c r="MP26" s="189">
        <f t="shared" si="167"/>
        <v>14.454402849999999</v>
      </c>
      <c r="MQ26" s="189">
        <f t="shared" si="228"/>
        <v>14.454402849999999</v>
      </c>
      <c r="MR26" s="246">
        <f t="shared" si="168"/>
        <v>14.454402849999999</v>
      </c>
      <c r="MS26" s="380">
        <f t="shared" si="94"/>
        <v>14.454402849999999</v>
      </c>
      <c r="MT26" s="380">
        <f t="shared" si="95"/>
        <v>14.614402849999999</v>
      </c>
      <c r="MU26" s="380">
        <f t="shared" si="232"/>
        <v>15.054402849999999</v>
      </c>
      <c r="MV26" s="380">
        <f t="shared" si="97"/>
        <v>17.454402850000001</v>
      </c>
      <c r="MW26" s="380">
        <f t="shared" si="98"/>
        <v>17.614402849999998</v>
      </c>
      <c r="MX26" s="254">
        <f t="shared" si="233"/>
        <v>12.85440285</v>
      </c>
      <c r="MY26" s="254">
        <f t="shared" si="100"/>
        <v>0</v>
      </c>
      <c r="MZ26" s="189">
        <f t="shared" si="101"/>
        <v>15.054402849999999</v>
      </c>
      <c r="NA26" s="189">
        <f t="shared" si="102"/>
        <v>0</v>
      </c>
      <c r="NB26" s="189">
        <f t="shared" si="169"/>
        <v>15.054402850000001</v>
      </c>
      <c r="NC26" s="254">
        <f t="shared" si="229"/>
        <v>15.054402850000001</v>
      </c>
      <c r="ND26" s="246">
        <f t="shared" si="234"/>
        <v>15.054402850000001</v>
      </c>
      <c r="NE26" s="386">
        <f t="shared" si="235"/>
        <v>15.054402850000001</v>
      </c>
      <c r="NF26" s="380">
        <f t="shared" si="106"/>
        <v>15.214402850000001</v>
      </c>
      <c r="NG26" s="387">
        <f t="shared" si="236"/>
        <v>15.65440285</v>
      </c>
      <c r="NH26" s="254">
        <f t="shared" si="108"/>
        <v>18.054402850000002</v>
      </c>
      <c r="NI26" s="380">
        <f t="shared" si="109"/>
        <v>18.214402849999999</v>
      </c>
      <c r="NK26" s="388">
        <f t="shared" si="110"/>
        <v>0.96367453910809364</v>
      </c>
      <c r="NL26" s="388">
        <f t="shared" si="111"/>
        <v>54.224279780181973</v>
      </c>
      <c r="NM26" s="388">
        <f t="shared" si="112"/>
        <v>0.96367453910809364</v>
      </c>
      <c r="NN26" s="388">
        <f t="shared" si="113"/>
        <v>54.334246710246525</v>
      </c>
      <c r="NO26" s="388">
        <f t="shared" si="114"/>
        <v>0.98773910388778963</v>
      </c>
      <c r="NP26" s="388">
        <f t="shared" si="115"/>
        <v>54.730273712174366</v>
      </c>
      <c r="NQ26" s="388">
        <f t="shared" si="116"/>
        <v>0.98773910388778963</v>
      </c>
      <c r="NR26" s="388">
        <f t="shared" si="117"/>
        <v>54.844376187684212</v>
      </c>
      <c r="NS26" s="388">
        <f t="shared" si="118"/>
        <v>0.98397667653019871</v>
      </c>
      <c r="NT26" s="388">
        <f t="shared" si="119"/>
        <v>0.98397667653019871</v>
      </c>
      <c r="NU26" s="388">
        <f t="shared" si="120"/>
        <v>1.0088793412703112</v>
      </c>
      <c r="NV26" s="388">
        <f t="shared" si="121"/>
        <v>1.0088793412703112</v>
      </c>
      <c r="NW26">
        <f t="shared" si="122"/>
        <v>1.0718733775217506</v>
      </c>
      <c r="NX26">
        <f>各项系数!$M$9*NK26</f>
        <v>0.28910236173242809</v>
      </c>
      <c r="NY26">
        <f t="shared" si="123"/>
        <v>0.98397667653019871</v>
      </c>
      <c r="OB26" s="66" t="str">
        <f t="shared" si="124"/>
        <v>1*95</v>
      </c>
      <c r="OC26" s="395">
        <f t="shared" si="125"/>
        <v>245.088056587712</v>
      </c>
      <c r="OD26" s="395">
        <f>SQRT(4*EY26/PI()/EH26/各项系数!$J$4/各项系数!$F$5*10000000)</f>
        <v>246.67598485301878</v>
      </c>
      <c r="OE26" s="396">
        <f t="shared" si="126"/>
        <v>89.637096088959552</v>
      </c>
      <c r="OF26" s="396">
        <f t="shared" si="127"/>
        <v>90.802378338116</v>
      </c>
      <c r="OG26" s="66">
        <v>90.5</v>
      </c>
      <c r="OH26" s="397">
        <f t="shared" si="186"/>
        <v>0.30237833811600012</v>
      </c>
    </row>
    <row r="27" spans="1:398" ht="15" hidden="1" customHeight="1">
      <c r="A27" s="50">
        <v>120</v>
      </c>
      <c r="B27" s="51">
        <v>0</v>
      </c>
      <c r="C27" s="52">
        <v>1.2</v>
      </c>
      <c r="D27" s="53" t="s">
        <v>217</v>
      </c>
      <c r="E27" s="61">
        <f t="shared" si="175"/>
        <v>20.295268220000001</v>
      </c>
      <c r="F27" s="59">
        <v>244.921136962963</v>
      </c>
      <c r="G27" s="58"/>
      <c r="H27" s="16"/>
      <c r="I27" s="62"/>
      <c r="J27" s="16"/>
      <c r="K27" s="16"/>
      <c r="L27" s="97" t="s">
        <v>467</v>
      </c>
      <c r="M27" s="103">
        <f t="shared" si="2"/>
        <v>1.2</v>
      </c>
      <c r="N27" s="103">
        <f t="shared" si="3"/>
        <v>0</v>
      </c>
      <c r="O27" s="102"/>
      <c r="P27" s="99">
        <v>0.1</v>
      </c>
      <c r="Q27" s="133">
        <f t="shared" si="237"/>
        <v>0.1</v>
      </c>
      <c r="R27" s="140">
        <v>0.8</v>
      </c>
      <c r="S27" s="142" t="str">
        <f>各项系数!$D$44</f>
        <v>磁性钢带</v>
      </c>
      <c r="T27" s="102">
        <v>0.2</v>
      </c>
      <c r="U27" s="102">
        <v>2</v>
      </c>
      <c r="V27" s="140"/>
      <c r="W27" s="141">
        <v>1.6</v>
      </c>
      <c r="X27" s="135">
        <f t="shared" si="238"/>
        <v>0.2</v>
      </c>
      <c r="Y27" s="135"/>
      <c r="Z27" s="168"/>
      <c r="AA27" s="153">
        <v>1.0129999999999999</v>
      </c>
      <c r="AB27" s="153">
        <f>PI()*EJ27*EJ27/4*EH27*(1-H27)*AA27*各项系数!$F$5*各项系数!$J$4*10^-7</f>
        <v>1.013183115671781</v>
      </c>
      <c r="AC27" s="153">
        <f t="shared" si="176"/>
        <v>244.921136962963</v>
      </c>
      <c r="AD27" s="153">
        <f t="shared" si="5"/>
        <v>114.54156221736139</v>
      </c>
      <c r="AE27" s="153">
        <f>POWER(4*EU27/PI()/EG27/10^-7/EH27/(1-H27)/各项系数!$F$5/各项系数!$J$4,0.5)</f>
        <v>246.50798375415039</v>
      </c>
      <c r="AF27" s="69">
        <v>1</v>
      </c>
      <c r="AG27" s="69">
        <f>IF(EM27=0,0,PI()*ER27*ER27/4*EP27*(1-K27)*(1+AF27)*各项系数!$F$5*各项系数!$J$4*10^-7)</f>
        <v>0</v>
      </c>
      <c r="AH27" s="69">
        <f t="shared" si="177"/>
        <v>0</v>
      </c>
      <c r="AI27" s="69">
        <f t="shared" si="128"/>
        <v>0</v>
      </c>
      <c r="AJ27" s="69">
        <f>IF(OR(EP27="",EP27=0),0,POWER(4*EW27/PI()/EO27/10^-7/EP27/(1-K27)/各项系数!$F$5/各项系数!$J$4,0.5))</f>
        <v>0</v>
      </c>
      <c r="AK27" s="69" t="str">
        <f t="shared" si="8"/>
        <v>√</v>
      </c>
      <c r="AL27" s="69">
        <f t="shared" si="178"/>
        <v>70.484080000115938</v>
      </c>
      <c r="AM27" s="188">
        <f t="shared" si="179"/>
        <v>120</v>
      </c>
      <c r="AN27" s="97" t="s">
        <v>486</v>
      </c>
      <c r="AO27" s="196">
        <f>AP27+各项系数!$M$9*$NK27</f>
        <v>69.102039215799934</v>
      </c>
      <c r="AP27" s="196">
        <f>AQ27*(1+$BI27+(VLOOKUP($AM27,$A$12:$B$323,2,0))+各项系数!$J$6+各项系数!$M$5)*(1+$E$2)</f>
        <v>68.737173581257295</v>
      </c>
      <c r="AQ27" s="197">
        <f>AR27+各项系数!$L$9*$NK27</f>
        <v>70.139973042099285</v>
      </c>
      <c r="AR27" s="197">
        <f>AS27*(1+$BJ27+各项系数!$J$5+各项系数!$L$5)</f>
        <v>69.775107407556646</v>
      </c>
      <c r="AS27" s="197">
        <f t="shared" si="129"/>
        <v>68.406968046624158</v>
      </c>
      <c r="AT27" s="196">
        <f>AU27+各项系数!$M$9*$NM27</f>
        <v>70.032019977787584</v>
      </c>
      <c r="AU27" s="196">
        <f>AV27*(1+$BI27+(VLOOKUP($AM27,$A$12:$B$323,2,0))+各项系数!$J$6+各项系数!$M$5)*(1+$E$2)</f>
        <v>69.667154343244945</v>
      </c>
      <c r="AV27" s="197">
        <f>AW27+各项系数!$L$9*$NM27</f>
        <v>71.088933003311169</v>
      </c>
      <c r="AW27" s="197">
        <f>AX27*(1+$BJ27+各项系数!$J$5+各项系数!$L$5)</f>
        <v>70.72406736876853</v>
      </c>
      <c r="AX27" s="197">
        <f t="shared" si="130"/>
        <v>69.337320949773073</v>
      </c>
      <c r="AY27" s="196">
        <f>AZ27+各项系数!$M$9*$NS27</f>
        <v>70.74679228553542</v>
      </c>
      <c r="AZ27" s="196">
        <f>BA27*(1+$BI27+(VLOOKUP($AM27,$A$12:$B$214,2,0))+各项系数!$J$6+各项系数!$M$5)*(1+$E$2)</f>
        <v>70.374729355185124</v>
      </c>
      <c r="BA27" s="197">
        <f>BB27+各项系数!$L$9*$NS27</f>
        <v>71.810948321617474</v>
      </c>
      <c r="BB27" s="197">
        <f>BC27*(1+$BJ27+各项系数!$J$5+各项系数!$L$5)</f>
        <v>71.438885391267178</v>
      </c>
      <c r="BC27" s="199">
        <f t="shared" si="131"/>
        <v>70.038122932614883</v>
      </c>
      <c r="BD27" s="196">
        <f>BE27+各项系数!$M$9*$NS27</f>
        <v>71.684732116104868</v>
      </c>
      <c r="BE27" s="196">
        <f>BF27*(1+$BI27+(VLOOKUP($AM27,$A$12:$B$214,2,0))+各项系数!$J$6+各项系数!$M$5)*(1+$E$2)</f>
        <v>71.312669185754572</v>
      </c>
      <c r="BF27" s="197">
        <f>BG27+各项系数!$L$9*$NS27</f>
        <v>72.768029781382211</v>
      </c>
      <c r="BG27" s="197">
        <f>BH27*(1+$BJ27+各项系数!$J$5+各项系数!$L$5)</f>
        <v>72.395966851031915</v>
      </c>
      <c r="BH27" s="199">
        <f t="shared" si="132"/>
        <v>70.976438089246969</v>
      </c>
      <c r="BI27" s="51"/>
      <c r="BJ27" s="208"/>
      <c r="BK27" s="102"/>
      <c r="BL27" s="196">
        <f>BM27+各项系数!$M$9*$NM27</f>
        <v>69.911168646781945</v>
      </c>
      <c r="BM27" s="196">
        <f>BN27*(1+$CF27+(VLOOKUP($AM27,$A$12:$B$323,2,0))+各项系数!$J$6+各项系数!$M$5)*(1+$E$2)</f>
        <v>69.546303012239306</v>
      </c>
      <c r="BN27" s="197">
        <f>BO27+各项系数!$L$9*$NM27</f>
        <v>70.96561531861154</v>
      </c>
      <c r="BO27" s="197">
        <f>BP27*(1+$CG27+各项系数!$J$5+各项系数!$L$5)</f>
        <v>70.600749684068902</v>
      </c>
      <c r="BP27" s="197">
        <f t="shared" si="133"/>
        <v>68.544417168998933</v>
      </c>
      <c r="BQ27" s="196">
        <f>BR27+各项系数!$M$9*$NM27</f>
        <v>70.711525723095363</v>
      </c>
      <c r="BR27" s="196">
        <f>BS27*(1+$CF27+(VLOOKUP($AM27,$A$12:$B$323,2,0))+各项系数!$J$6+各项系数!$M$5)*(1+$E$2)</f>
        <v>70.346660088552724</v>
      </c>
      <c r="BS27" s="197">
        <f>BT27+各项系数!$L$9*$NM27</f>
        <v>71.782306212808905</v>
      </c>
      <c r="BT27" s="197">
        <f>BU27*(1+$CG27+各项系数!$J$5+各项系数!$L$5)</f>
        <v>71.417440578266266</v>
      </c>
      <c r="BU27" s="197">
        <f t="shared" si="134"/>
        <v>69.337320949773073</v>
      </c>
      <c r="BV27" s="196">
        <f>BW27+各项系数!$M$9*$NT27</f>
        <v>71.216570888204885</v>
      </c>
      <c r="BW27" s="196">
        <f>BX27*(1+$CF27+(VLOOKUP($AM27,$A$12:$B$214,2,0))+各项系数!$J$6+各项系数!$M$5)*(1+$E$2)</f>
        <v>70.844507957854589</v>
      </c>
      <c r="BX27" s="197">
        <f>BY27+各项系数!$L$9*$NT$12</f>
        <v>72.29031424270876</v>
      </c>
      <c r="BY27" s="197">
        <f>BZ27*(1+$CG27+各项系数!$J$5+各项系数!$L$5)</f>
        <v>72.28205083955379</v>
      </c>
      <c r="BZ27" s="199">
        <f t="shared" si="11"/>
        <v>70.176748387916305</v>
      </c>
      <c r="CA27" s="196">
        <f>CB27+各项系数!$M$9*$NT27</f>
        <v>72.023777672728059</v>
      </c>
      <c r="CB27" s="196">
        <f>CC27*(1+$CF27+(VLOOKUP($AM27,$A$12:$B$214,2,0))+各项系数!$J$6+各项系数!$M$5)*(1+$E$2)</f>
        <v>71.651714742377763</v>
      </c>
      <c r="CC27" s="197">
        <f>CD27+各项系数!$L$9*$NT$12</f>
        <v>73.113994635079351</v>
      </c>
      <c r="CD27" s="197">
        <f>CE27*(1+$CG27+各项系数!$J$5+各项系数!$L$5)</f>
        <v>73.105731231924381</v>
      </c>
      <c r="CE27" s="199">
        <f t="shared" si="135"/>
        <v>70.976438089246969</v>
      </c>
      <c r="CF27" s="213">
        <f t="shared" si="136"/>
        <v>0</v>
      </c>
      <c r="CG27" s="213">
        <f t="shared" si="12"/>
        <v>0.01</v>
      </c>
      <c r="CH27" s="102"/>
      <c r="CI27" s="196">
        <f>CJ27+各项系数!$M$9*$NO27</f>
        <v>70.079977577048666</v>
      </c>
      <c r="CJ27" s="196">
        <f>CK27*(1+$DC27+(VLOOKUP($AM27,$A$12:$B$323,2,0))+各项系数!$J$6+各项系数!$M$5)*(1+$E$2)+各项系数!$M$9*$NK27</f>
        <v>69.70671793804803</v>
      </c>
      <c r="CK27" s="197">
        <f>CL27+各项系数!$L$9*$NO27</f>
        <v>70.756992146434072</v>
      </c>
      <c r="CL27" s="197">
        <f>CM27*(1+$DD27+各项系数!$J$5+各项系数!$L$5)</f>
        <v>70.383732507433436</v>
      </c>
      <c r="CM27" s="197">
        <f t="shared" si="13"/>
        <v>69.003659321013174</v>
      </c>
      <c r="CN27" s="196">
        <f>CO27+各项系数!$M$9*$NO27</f>
        <v>70.965863499280388</v>
      </c>
      <c r="CO27" s="196">
        <f>CP27*(1+$DC27+(VLOOKUP($AM27,$A$12:$B$323,2,0))+各项系数!$J$6+各项系数!$M$5)*(1+$E$2)+各项系数!$M$9*$NK27</f>
        <v>70.592603860279752</v>
      </c>
      <c r="CP27" s="197">
        <f>CQ27+各项系数!$L$9*$NO27</f>
        <v>71.660957373201143</v>
      </c>
      <c r="CQ27" s="197">
        <f>CR27*(1+$DD27+各项系数!$J$5+各项系数!$L$5)</f>
        <v>71.287697734200506</v>
      </c>
      <c r="CR27" s="197">
        <f t="shared" si="14"/>
        <v>69.889899739412257</v>
      </c>
      <c r="CS27" s="196">
        <f>CT27+各项系数!$M$9*$NU27</f>
        <v>71.416911962247198</v>
      </c>
      <c r="CT27" s="196">
        <f t="shared" si="15"/>
        <v>71.036203597450779</v>
      </c>
      <c r="CU27" s="197">
        <f>CV27+各项系数!$L$9*$NU27</f>
        <v>72.48592203821508</v>
      </c>
      <c r="CV27" s="197">
        <f>CW27*(1+$DD27+各项系数!$J$5+各项系数!$L$5)</f>
        <v>72.10521367341866</v>
      </c>
      <c r="CW27" s="199">
        <f t="shared" si="16"/>
        <v>70.69138595433202</v>
      </c>
      <c r="CX27" s="196">
        <f>CY27+各项系数!$M$9*$NU27</f>
        <v>72.384698299998362</v>
      </c>
      <c r="CY27" s="196">
        <f t="shared" si="17"/>
        <v>72.003989935201943</v>
      </c>
      <c r="CZ27" s="197">
        <f>DA27+各项系数!$L$9*$NU27</f>
        <v>73.473459117553006</v>
      </c>
      <c r="DA27" s="197">
        <f>DB27*(1+$DD27+各项系数!$J$5+各项系数!$L$5)</f>
        <v>73.092750752756587</v>
      </c>
      <c r="DB27" s="199">
        <f t="shared" si="18"/>
        <v>71.659559561526066</v>
      </c>
      <c r="DC27" s="213">
        <f t="shared" si="137"/>
        <v>0</v>
      </c>
      <c r="DD27" s="213">
        <f t="shared" si="19"/>
        <v>0</v>
      </c>
      <c r="DE27" s="53"/>
      <c r="DF27" s="53"/>
      <c r="DG27" s="196">
        <f>DH27+各项系数!$M$9*$NQ27</f>
        <v>70.899407296730331</v>
      </c>
      <c r="DH27" s="196">
        <f>DI27*(1+$EA27+(VLOOKUP($AM27,$A$12:$B$323,2,0))+各项系数!$J$6+各项系数!$M$5)*(1+$E$2)+各项系数!$M$9*$NK27</f>
        <v>70.526147657729695</v>
      </c>
      <c r="DI27" s="197">
        <f>DJ27+各项系数!$L$9*$NQ27</f>
        <v>71.593144921619441</v>
      </c>
      <c r="DJ27" s="197">
        <f>DK27*(1+$EB27+各项系数!$J$5+各项系数!$L$5)</f>
        <v>71.219885282618804</v>
      </c>
      <c r="DK27" s="197">
        <f t="shared" si="20"/>
        <v>69.145519691862916</v>
      </c>
      <c r="DL27" s="196">
        <f>DM27+各项系数!$M$9*$NQ27</f>
        <v>71.725450778830336</v>
      </c>
      <c r="DM27" s="196">
        <f>DN27*(1+$EA27+(VLOOKUP($AM27,$A$12:$B$323,2,0))+各项系数!$J$6+各项系数!$M$5)*(1+$E$2)+各项系数!$M$9*$NK27</f>
        <v>71.352191139829699</v>
      </c>
      <c r="DN27" s="197">
        <f>DO27+各项系数!$L$9*$NQ27</f>
        <v>72.436046433966396</v>
      </c>
      <c r="DO27" s="197">
        <f>DP27*(1+$EB27+各项系数!$J$5+各项系数!$L$5)</f>
        <v>72.06278679496576</v>
      </c>
      <c r="DP27" s="197">
        <f t="shared" si="21"/>
        <v>69.963870674724035</v>
      </c>
      <c r="DQ27" s="196">
        <f>DR27+各项系数!$M$9*$NV27</f>
        <v>72.254068793391554</v>
      </c>
      <c r="DR27" s="196">
        <f t="shared" si="22"/>
        <v>71.873360428595134</v>
      </c>
      <c r="DS27" s="197">
        <f>DT27+各项系数!$L$9*$NV27</f>
        <v>73.340163702648098</v>
      </c>
      <c r="DT27" s="197">
        <f>DU27*(1+$EB27+各项系数!$J$5+各项系数!$L$5)</f>
        <v>72.959455337851679</v>
      </c>
      <c r="DU27" s="199">
        <f t="shared" si="23"/>
        <v>70.834422658108423</v>
      </c>
      <c r="DV27" s="196">
        <f>DW27+各项系数!$M$9*$NV27</f>
        <v>72.38620128244753</v>
      </c>
      <c r="DW27" s="196">
        <f t="shared" si="24"/>
        <v>72.005492917651111</v>
      </c>
      <c r="DX27" s="197">
        <f>DY27+各项系数!$L$9*$NV27</f>
        <v>73.474992773113385</v>
      </c>
      <c r="DY27" s="197">
        <f>DZ27*(1+$EB27+各项系数!$J$5+各项系数!$L$5)</f>
        <v>73.094284408316966</v>
      </c>
      <c r="DZ27" s="199">
        <f t="shared" si="25"/>
        <v>70.965324668268892</v>
      </c>
      <c r="EA27" s="213">
        <f t="shared" si="230"/>
        <v>0</v>
      </c>
      <c r="EB27" s="213">
        <f t="shared" si="27"/>
        <v>0.01</v>
      </c>
      <c r="EC27" s="235">
        <f t="shared" si="138"/>
        <v>1</v>
      </c>
      <c r="ED27" s="235" t="str">
        <f t="shared" si="180"/>
        <v>1*120</v>
      </c>
      <c r="EE27" s="189">
        <f t="shared" si="187"/>
        <v>120</v>
      </c>
      <c r="EF27" s="189" t="str">
        <f>LOOKUP(EH27,{1,7,10,14,19,24,30,37,48,61},{1,"1+6","2+8","4+10","1+6+12","2+8+14","4+10+16","1+6+12+18","3+9+15+21","1+6+12+18+24"})</f>
        <v>2+8+14</v>
      </c>
      <c r="EG27" s="188">
        <f t="shared" si="29"/>
        <v>1</v>
      </c>
      <c r="EH27" s="197">
        <f>VLOOKUP(EE27,各项系数!$B$87:$C$110,2,0)</f>
        <v>24</v>
      </c>
      <c r="EI27" s="188">
        <f>IF(EH27=0,0,VLOOKUP(EH27,各项系数!$D$142:$E$195,2,0))*1</f>
        <v>6</v>
      </c>
      <c r="EJ27" s="238">
        <f t="shared" si="141"/>
        <v>244.921136962963</v>
      </c>
      <c r="EK27" s="189">
        <f t="shared" si="181"/>
        <v>0</v>
      </c>
      <c r="EL27" s="189">
        <f t="shared" si="31"/>
        <v>0</v>
      </c>
      <c r="EM27" s="189">
        <f t="shared" si="182"/>
        <v>0</v>
      </c>
      <c r="EN27" s="189">
        <f>IF(EP27=0,0,LOOKUP(EP27,{1,7,10,14,19,24,30,37,48,61},{1,"1+6","2+8","4+10","1+6+12","2+8+14","4+10+16","1+6+12+18","3+9+15+21","1+6+12+18+24"}))</f>
        <v>0</v>
      </c>
      <c r="EO27" s="189">
        <f t="shared" si="183"/>
        <v>0</v>
      </c>
      <c r="EP27" s="189">
        <f>IF(EM27=0,0,IF(EM27&lt;10,1,IF(AND(EM27&gt;=10,EM27&lt;=35),7,LOOKUP(EM27,{50,70,95,120,150,185,240,300},{10,14,19,24,30,37,48,61})*1)))</f>
        <v>0</v>
      </c>
      <c r="EQ27" s="189">
        <f>IF(EP27=0,0,VLOOKUP(EP27,各项系数!$D$142:$E$195,2,0))*1</f>
        <v>0</v>
      </c>
      <c r="ER27" s="189">
        <f t="shared" si="184"/>
        <v>0</v>
      </c>
      <c r="ES27" s="235">
        <f t="shared" si="185"/>
        <v>1</v>
      </c>
      <c r="ET27" s="189">
        <f>VLOOKUP(ES27,各项系数!$D$142:$E$195,2,0)*1</f>
        <v>1</v>
      </c>
      <c r="EU27" s="243">
        <f>((各项系数!$F$76/4*$EJ27^2*$EG27*$EH27*1*10^-7)*(1-$H27)*AA27)*(VLOOKUP($EY$9,各项系数!$D$4:$F$143,3,0))*各项系数!$J$4</f>
        <v>1.013183115671781</v>
      </c>
      <c r="EV27" s="244">
        <f>EU27*(VLOOKUP($EY$9,各项系数!$D$4:$F$143,2,0))</f>
        <v>66.363494076501652</v>
      </c>
      <c r="EW27" s="252">
        <f>(IF($EO27=0,0,(各项系数!$F$76/4*$ER27^2*$EO27*$EP27*1*10^-7))*(1-$K27)*$AF27)*(VLOOKUP($EY$9,各项系数!$D$4:$F$143,3,0))*各项系数!$J$4</f>
        <v>0</v>
      </c>
      <c r="EX27" s="253">
        <f>EW27*(VLOOKUP($EY$9,各项系数!$D$4:$F$143,2,0))</f>
        <v>0</v>
      </c>
      <c r="EY27" s="189">
        <f>((各项系数!$F$76/4*$EJ27^2*$EG27*$EH27*1*10^-7)*(1-$H27)*AA27+IF($EO27=0,0,(各项系数!$F$76/4*$ER27^2*$EO27*$EP27*1*10^-7))*(1-$K27)*$AF27)*(VLOOKUP($EY$9,各项系数!$D$4:$F$143,3,0))*各项系数!$J$4</f>
        <v>1.013183115671781</v>
      </c>
      <c r="EZ27" s="102">
        <v>1</v>
      </c>
      <c r="FA27" s="189">
        <f t="shared" si="188"/>
        <v>1.013183115671781</v>
      </c>
      <c r="FB27" s="254">
        <f>FA27*(VLOOKUP($EY$9,各项系数!$D$4:$F$143,2,0))</f>
        <v>66.363494076501652</v>
      </c>
      <c r="FC27" s="255"/>
      <c r="FD27" s="235">
        <f>各项系数!$F$76/4*($MN27^2-MK27^2)*10^-2*(VLOOKUP(L27,各项系数!$D$1:$F$143,3,0))*10^-3*10^2*$EG27*各项系数!$J$4</f>
        <v>6.5586543762243737E-2</v>
      </c>
      <c r="FE27" s="262">
        <f>FD27*VLOOKUP(L27,各项系数!$D$1:$F$143,2,0)</f>
        <v>0.66898274637488608</v>
      </c>
      <c r="FF27" s="188">
        <f>各项系数!$F$76/4*($MO27^2-ML27^2)*10^-2*(VLOOKUP(L27,各项系数!$D$1:$F$143,3,0))*10^-3*10^2*$EO27*各项系数!$J$4</f>
        <v>0</v>
      </c>
      <c r="FG27" s="262">
        <f>FF27*VLOOKUP(L27,各项系数!$D$1:$F$143,2,0)</f>
        <v>0</v>
      </c>
      <c r="FH27" s="235">
        <f t="shared" si="142"/>
        <v>6.5586543762243737E-2</v>
      </c>
      <c r="FI27" s="102">
        <v>1</v>
      </c>
      <c r="FJ27" s="189">
        <f t="shared" si="189"/>
        <v>6.5586543762243737E-2</v>
      </c>
      <c r="FK27" s="262">
        <f>FJ27*VLOOKUP(L27,各项系数!$D$1:$F$143,2,0)</f>
        <v>0.66898274637488608</v>
      </c>
      <c r="FL27" s="235"/>
      <c r="FM27" s="102"/>
      <c r="FN27" s="189"/>
      <c r="FO27" s="262"/>
      <c r="FP27" s="282">
        <f t="shared" si="190"/>
        <v>6.5586543762243737E-2</v>
      </c>
      <c r="FQ27" s="282">
        <f t="shared" si="191"/>
        <v>0.66898274637488608</v>
      </c>
      <c r="FR27" s="283">
        <f>各项系数!$F$76/4*($MQ27^2-$MN27^2*$EG27-$MO27^2*$EO27)*10^-2</f>
        <v>0</v>
      </c>
      <c r="FS27" s="284">
        <f t="shared" si="143"/>
        <v>1</v>
      </c>
      <c r="FT27" s="285">
        <f t="shared" si="40"/>
        <v>0</v>
      </c>
      <c r="FU27" s="302">
        <f>$FT27*(VLOOKUP($FT$9,各项系数!$D$1:$F$143,3,0))*10^-3*10^2*各项系数!$J$55</f>
        <v>0</v>
      </c>
      <c r="FV27" s="303">
        <v>1</v>
      </c>
      <c r="FW27" s="304">
        <f t="shared" si="192"/>
        <v>0</v>
      </c>
      <c r="FX27" s="285">
        <f>FW27*(VLOOKUP($FT$9,各项系数!$D$1:$F$143,2,0))</f>
        <v>0</v>
      </c>
      <c r="FY27" s="302">
        <f>IF($BK27&lt;&gt;$FY$9,0,各项系数!$F$76/4*($MS27^2-$MQ27^2)*10^-2*(VLOOKUP($FY$9,各项系数!$D$1:$F$143,3,0))*10^-3*10^2)*各项系数!$J$4</f>
        <v>0</v>
      </c>
      <c r="FZ27" s="303">
        <v>1</v>
      </c>
      <c r="GA27" s="304">
        <f t="shared" si="193"/>
        <v>0</v>
      </c>
      <c r="GB27" s="285">
        <f>GA27*(VLOOKUP($FY$9,各项系数!$D$1:$F$143,2,0))</f>
        <v>0</v>
      </c>
      <c r="GC27" s="302">
        <f>IF($BK27&lt;&gt;$GC$9,0,各项系数!$F$76/4*($MS27^2-$MQ27^2)*10^-2*(VLOOKUP($GC$9,各项系数!$D$1:$F$143,3,0))*10^-3*10^2)*各项系数!$J$4</f>
        <v>0</v>
      </c>
      <c r="GD27" s="303">
        <v>1</v>
      </c>
      <c r="GE27" s="304">
        <f t="shared" si="194"/>
        <v>0</v>
      </c>
      <c r="GF27" s="285">
        <f>GE27*(VLOOKUP($GC$9,各项系数!$D$1:$F$143,2,0))</f>
        <v>0</v>
      </c>
      <c r="GG27" s="302">
        <f>IF($BK27&lt;&gt;$GG$9,0,各项系数!$F$76/4*($MS27^2-$MQ27^2)*10^-2*(VLOOKUP($GG$9,各项系数!$D$1:$F$143,3,0))*10^-3*10^2)*各项系数!$J$4</f>
        <v>0</v>
      </c>
      <c r="GH27" s="303">
        <v>1</v>
      </c>
      <c r="GI27" s="304">
        <f t="shared" si="195"/>
        <v>0</v>
      </c>
      <c r="GJ27" s="285">
        <f>GI27*(VLOOKUP($GG$9,各项系数!$D$1:$F$143,2,0))</f>
        <v>0</v>
      </c>
      <c r="GK27" s="302">
        <f>IF($BK27&lt;&gt;$GK$9,0,各项系数!$F$76/4*($MS27^2-$MQ27^2)*10^-2*(VLOOKUP($GK$9,各项系数!$D$1:$F$143,3,0))*10^-3*10^2)*各项系数!$J$4</f>
        <v>0</v>
      </c>
      <c r="GL27" s="303">
        <v>1</v>
      </c>
      <c r="GM27" s="304">
        <f t="shared" si="196"/>
        <v>0</v>
      </c>
      <c r="GN27" s="285">
        <f>GM27*(VLOOKUP($GK$9,各项系数!$D$1:$F$143,2,0))</f>
        <v>0</v>
      </c>
      <c r="GO27" s="304">
        <f t="shared" si="197"/>
        <v>0</v>
      </c>
      <c r="GP27" s="304">
        <f t="shared" si="198"/>
        <v>0</v>
      </c>
      <c r="GQ27" s="315">
        <f>各项系数!$F$76/4*($MU27^2-$MS27^2)*10^-2*(VLOOKUP($S27,各项系数!$D$1:$F$143,3,0))*10^-3*10^2*各项系数!$J$4</f>
        <v>0.12756516372995766</v>
      </c>
      <c r="GR27" s="303">
        <v>1</v>
      </c>
      <c r="GS27" s="304">
        <f t="shared" si="199"/>
        <v>0.12756516372995766</v>
      </c>
      <c r="GT27" s="304">
        <f t="shared" si="200"/>
        <v>0</v>
      </c>
      <c r="GU27" s="304">
        <f>ROUND($GS27*(VLOOKUP($S27,各项系数!$D$1:$F$143,2,0))+$E$3*GS27,GT27)</f>
        <v>1</v>
      </c>
      <c r="GV27" s="315">
        <f>各项系数!$F$76/4*($MT27^2-$MS27^2)*10^-2*(VLOOKUP($GV$9,各项系数!$D$1:$F$143,3,0))*10^-3*10^2*各项系数!$J$4*PI()/4*R27</f>
        <v>2.3990986025542251E-2</v>
      </c>
      <c r="GW27" s="303">
        <v>1</v>
      </c>
      <c r="GX27" s="304">
        <f t="shared" si="201"/>
        <v>2.3990986025542251E-2</v>
      </c>
      <c r="GY27" s="304">
        <f>$GX27*(VLOOKUP($GV$9,各项系数!$D$1:$F$143,2,0))</f>
        <v>1.619391556724102</v>
      </c>
      <c r="GZ27" s="315">
        <f>各项系数!$F$76/4*($MV27^2-$MS27^2)*10^-2*(VLOOKUP($GZ$9,各项系数!$D$1:$F$143,3,0))*10^-3*10^2*各项系数!$J$4</f>
        <v>0.13557906628803168</v>
      </c>
      <c r="HA27" s="303">
        <v>1</v>
      </c>
      <c r="HB27" s="304">
        <f t="shared" si="144"/>
        <v>0.13557906628803168</v>
      </c>
      <c r="HC27" s="304">
        <f>HB27*(VLOOKUP($GZ$9,各项系数!$D$1:$F$143,2,0))</f>
        <v>2.3048441268965387</v>
      </c>
      <c r="HD27" s="315">
        <f>各项系数!$F$76/4*($MW27^2-$MT27^2)*10^-2*(VLOOKUP($HD$9,各项系数!$D$1:$F$143,3,0))*10^-3*10^2*各项系数!$J$4</f>
        <v>0.13673939468507923</v>
      </c>
      <c r="HE27" s="303">
        <v>1</v>
      </c>
      <c r="HF27" s="304">
        <f t="shared" si="145"/>
        <v>0.13673939468507923</v>
      </c>
      <c r="HG27" s="304">
        <f>HF27*(VLOOKUP($HD$9,各项系数!$D$1:$F$143,2,0))</f>
        <v>2.3245697096463469</v>
      </c>
      <c r="HH27" s="315">
        <f>各项系数!$F$76/4*($MV27^2-$MS27^2)*10^-2*(VLOOKUP($HH$9,各项系数!$D$1:$F$143,3,0))*10^-3*10^2*各项系数!$J$4</f>
        <v>0.13557906628803168</v>
      </c>
      <c r="HI27" s="322">
        <v>1</v>
      </c>
      <c r="HJ27" s="304">
        <f t="shared" si="146"/>
        <v>0.13557906628803168</v>
      </c>
      <c r="HK27" s="304">
        <f>HJ27*(VLOOKUP($HH$9,各项系数!$D$1:$F$143,2,0))</f>
        <v>2.3048441268965387</v>
      </c>
      <c r="HL27" s="315">
        <f>各项系数!$F$76/4*($MW27^2-$MT27^2)*10^-2*(VLOOKUP($HL$9,各项系数!$D$1:$F$143,3,0))*10^-3*10^2*各项系数!$J$4</f>
        <v>0.13673939468507923</v>
      </c>
      <c r="HM27" s="322">
        <v>1</v>
      </c>
      <c r="HN27" s="304">
        <f t="shared" si="147"/>
        <v>0.13673939468507923</v>
      </c>
      <c r="HO27" s="304">
        <f>HN27*(VLOOKUP($HL$9,各项系数!$D$1:$F$143,2,0))</f>
        <v>2.3245697096463469</v>
      </c>
      <c r="HP27" s="315">
        <f>各项系数!$F$76/4*($MV27^2-$MS27^2)*10^-2*(VLOOKUP(AN27,各项系数!$D$1:$F$143,3,0))*10^-3*10^2*各项系数!$J$4</f>
        <v>0.13744912237476317</v>
      </c>
      <c r="HQ27" s="303">
        <v>1</v>
      </c>
      <c r="HR27" s="304">
        <f t="shared" si="202"/>
        <v>0.13744912237476317</v>
      </c>
      <c r="HS27" s="304">
        <f>HR27*(VLOOKUP(AN27,各项系数!$D$1:$F$143,2,0))</f>
        <v>1.3744912237476317</v>
      </c>
      <c r="HT27" s="315">
        <f>各项系数!$F$76/4*($MW27^2-$MT27^2)*10^-2*(VLOOKUP(AN27,各项系数!$D$1:$F$143,3,0))*10^-3*10^2*各项系数!$J$4</f>
        <v>0.13862545530142517</v>
      </c>
      <c r="HU27" s="303">
        <v>1</v>
      </c>
      <c r="HV27" s="304">
        <f t="shared" si="203"/>
        <v>0.13862545530142517</v>
      </c>
      <c r="HW27" s="304">
        <f>HV27*(VLOOKUP(AN27,各项系数!$D$1:$F$143,2,0))</f>
        <v>1.3862545530142518</v>
      </c>
      <c r="HX27" s="315">
        <f>各项系数!$F$76/4*($MV27^2-$MS27^2)*10^-2*(VLOOKUP($HX$9,各项系数!$D$1:$F$143,3,0))*10^-3*10^2*各项系数!$J$4</f>
        <v>0.13744912237476317</v>
      </c>
      <c r="HY27" s="322">
        <v>1</v>
      </c>
      <c r="HZ27" s="304">
        <f t="shared" si="204"/>
        <v>0.13744912237476317</v>
      </c>
      <c r="IA27" s="304">
        <f>HZ27*(VLOOKUP($HX$9,各项系数!$D$1:$F$143,2,0))</f>
        <v>1.5119403461223948</v>
      </c>
      <c r="IB27" s="315">
        <f>各项系数!$F$76/4*($MW27^2-$MT27^2)*10^-2*(VLOOKUP($IB$9,各项系数!$D$1:$F$143,3,0))*10^-3*10^2*各项系数!$J$4</f>
        <v>0.13862545530142517</v>
      </c>
      <c r="IC27" s="322">
        <v>1</v>
      </c>
      <c r="ID27" s="304">
        <f t="shared" si="205"/>
        <v>0.13862545530142517</v>
      </c>
      <c r="IE27" s="304">
        <f>ID27*(VLOOKUP($IB$9,各项系数!$D$1:$F$143,2,0))</f>
        <v>1.5248800083156768</v>
      </c>
      <c r="IF27" s="328"/>
      <c r="IG27" s="315">
        <f t="shared" si="148"/>
        <v>2.1093065710275461E-2</v>
      </c>
      <c r="IH27" s="303">
        <v>1</v>
      </c>
      <c r="II27" s="304">
        <f t="shared" si="206"/>
        <v>2.1093065710275461E-2</v>
      </c>
      <c r="IJ27" s="304">
        <f>II27*(VLOOKUP($IG$8,各项系数!$D$1:$F$143,2,0))</f>
        <v>0.52732664275688657</v>
      </c>
      <c r="IK27" s="315">
        <f>(各项系数!$F$76/4*($MX27^2-$MK27^2)*$EG27)*10^-2*(VLOOKUP($IG$8,各项系数!$D$1:$F$143,3,0))*10^-3*10^2*各项系数!$J$4</f>
        <v>2.1093065710275461E-2</v>
      </c>
      <c r="IL27" s="303">
        <f>IK27*(VLOOKUP($IG$8,各项系数!$D$1:$F$143,2,0))</f>
        <v>0.52732664275688657</v>
      </c>
      <c r="IM27" s="304">
        <f>(各项系数!$F$76/4*(($MM27+3*$X27)^2-MM27^2)*$EO27)*10^-2*(VLOOKUP($IG$8,各项系数!$D$1:$F$143,3,0))*10^-3*10^2*各项系数!$J$4</f>
        <v>0</v>
      </c>
      <c r="IN27" s="303">
        <f>IM27*(VLOOKUP($IG$8,各项系数!$D$1:$F$143,2,0))</f>
        <v>0</v>
      </c>
      <c r="IO27" s="315">
        <f>各项系数!$F$76/4*($MZ27^2-$MX27^2)*10^-2*(VLOOKUP(L27,各项系数!$D$1:$F$143,3,0))*10^-3*10^2*$ES27*各项系数!$J$4</f>
        <v>6.8062244436978558E-2</v>
      </c>
      <c r="IP27" s="303">
        <v>1</v>
      </c>
      <c r="IQ27" s="304">
        <f t="shared" si="207"/>
        <v>6.8062244436978558E-2</v>
      </c>
      <c r="IR27" s="285">
        <f>IQ27*(VLOOKUP(L27,各项系数!$D$1:$F$143,2,0))</f>
        <v>0.69423489325718124</v>
      </c>
      <c r="IS27" s="315">
        <f>IF($L27&lt;&gt;$IS$9,0,各项系数!$F$76/4*($MZ27^2-$MX27^2)*10^-2*各项系数!$F$12*10^-3*10^2)*$ES27*各项系数!$J$4</f>
        <v>0</v>
      </c>
      <c r="IT27" s="303">
        <v>1</v>
      </c>
      <c r="IU27" s="304">
        <f t="shared" si="208"/>
        <v>0</v>
      </c>
      <c r="IV27" s="285">
        <f>IU27*各项系数!$E$12</f>
        <v>0</v>
      </c>
      <c r="IW27" s="302">
        <f t="shared" si="209"/>
        <v>6.8062244436978558E-2</v>
      </c>
      <c r="IX27" s="302">
        <f t="shared" si="210"/>
        <v>0.69423489325718124</v>
      </c>
      <c r="IY27" s="339">
        <f>各项系数!$F$76/4*($NB27^2-$MZ27^2*$EG27-$NA27^2*$EO27)*10^-2</f>
        <v>0</v>
      </c>
      <c r="IZ27" s="284">
        <f t="shared" si="231"/>
        <v>1</v>
      </c>
      <c r="JA27" s="285">
        <f t="shared" si="64"/>
        <v>0</v>
      </c>
      <c r="JB27" s="282">
        <f>IF($DE27&lt;&gt;$JB$9,0,$JA27*各项系数!$F$32*10^-3*10^2)*各项系数!$J$4</f>
        <v>0</v>
      </c>
      <c r="JC27" s="102">
        <v>1</v>
      </c>
      <c r="JD27" s="189">
        <f t="shared" si="211"/>
        <v>0</v>
      </c>
      <c r="JE27" s="262">
        <f>JD27*各项系数!$E$32</f>
        <v>0</v>
      </c>
      <c r="JF27" s="282">
        <f>IF($DE27&lt;&gt;$JF$9,0,$JA27*VLOOKUP($JF$9,各项系数!$D$4:$F$540,2,0)*10^-3*10^2)*各项系数!$J$4</f>
        <v>0</v>
      </c>
      <c r="JG27" s="102">
        <v>1</v>
      </c>
      <c r="JH27" s="189">
        <f t="shared" si="66"/>
        <v>0</v>
      </c>
      <c r="JI27" s="262">
        <f>JH27*VLOOKUP($JF$9,各项系数!$D$4:$F$540,3,0)</f>
        <v>0</v>
      </c>
      <c r="JJ27" s="282">
        <f t="shared" si="212"/>
        <v>0</v>
      </c>
      <c r="JK27" s="189">
        <f t="shared" si="213"/>
        <v>0</v>
      </c>
      <c r="JL27" s="282">
        <f>IF($DF27&lt;&gt;$JL$9,0,各项系数!$F$76/4*($NE27^2-$NC27^2)*10^-2*各项系数!$F$39*10^-3*10^2)*各项系数!$J$4</f>
        <v>0</v>
      </c>
      <c r="JM27" s="102">
        <v>1</v>
      </c>
      <c r="JN27" s="189">
        <f t="shared" si="214"/>
        <v>0</v>
      </c>
      <c r="JO27" s="262">
        <f>JN27*各项系数!$E$39</f>
        <v>0</v>
      </c>
      <c r="JP27" s="282">
        <f>IF($DF27&lt;&gt;$JP$9,0,各项系数!$F$76/4*($NE27^2-$NC27^2)*10^-2*各项系数!$F$36*10^-3*10^2)*各项系数!$J$4</f>
        <v>0</v>
      </c>
      <c r="JQ27" s="102">
        <v>1</v>
      </c>
      <c r="JR27" s="189">
        <f t="shared" si="215"/>
        <v>0</v>
      </c>
      <c r="JS27" s="262">
        <f>JR27*各项系数!$E$36</f>
        <v>0</v>
      </c>
      <c r="JT27" s="282">
        <f>IF($DF27&lt;&gt;$JT$9,0,各项系数!$F$76/4*($NE27^2-$NC27^2)*10^-2*各项系数!$F$40*10^-3*10^2)*各项系数!$J$4</f>
        <v>0</v>
      </c>
      <c r="JU27" s="102">
        <v>1</v>
      </c>
      <c r="JV27" s="189">
        <f t="shared" si="216"/>
        <v>0</v>
      </c>
      <c r="JW27" s="262">
        <f>JV27*各项系数!$E$40</f>
        <v>0</v>
      </c>
      <c r="JX27" s="282">
        <f>IF($DF27&lt;&gt;$JX$9,0,各项系数!$F$76/4*($NE27^2-$NC27^2)*10^-2*各项系数!$F$38*10^-3*10^2)*各项系数!$J$4</f>
        <v>0</v>
      </c>
      <c r="JY27" s="102">
        <v>1</v>
      </c>
      <c r="JZ27" s="189">
        <f t="shared" si="217"/>
        <v>0</v>
      </c>
      <c r="KA27" s="262">
        <f>JZ27*各项系数!$E$38</f>
        <v>0</v>
      </c>
      <c r="KB27" s="282">
        <f>IF($DF27&lt;&gt;$KB$9,0,各项系数!$F$76/4*($NE27^2-$NC27^2)*10^-2*各项系数!$F$41*10^-3*10^2)*各项系数!$J$4</f>
        <v>0</v>
      </c>
      <c r="KC27" s="102">
        <v>1</v>
      </c>
      <c r="KD27" s="189">
        <f t="shared" si="218"/>
        <v>0</v>
      </c>
      <c r="KE27" s="262">
        <f>KD27*各项系数!$E$41</f>
        <v>0</v>
      </c>
      <c r="KF27" s="189">
        <f t="shared" si="219"/>
        <v>0</v>
      </c>
      <c r="KG27" s="189">
        <f t="shared" si="220"/>
        <v>0</v>
      </c>
      <c r="KH27" s="235">
        <f>各项系数!$F$76/4*($NG27^2-$NE27^2)*10^-2*各项系数!$F$44*10^-3*10^2*各项系数!$J$4*0.75*$U27</f>
        <v>0.19794773853008227</v>
      </c>
      <c r="KI27" s="102">
        <v>1</v>
      </c>
      <c r="KJ27" s="189">
        <f t="shared" si="221"/>
        <v>0.19794773853008227</v>
      </c>
      <c r="KK27" s="189">
        <f>ROUND(KJ27*各项系数!$E$44,GT27)</f>
        <v>2</v>
      </c>
      <c r="KL27" s="235">
        <f>各项系数!$F$76/4*($NF27^2-$NE27^2)*10^-2*各项系数!$F$46*10^-3*10^2*各项系数!$J$4*PI()/4*R27</f>
        <v>2.4829085985959069E-2</v>
      </c>
      <c r="KM27" s="102">
        <v>1</v>
      </c>
      <c r="KN27" s="189">
        <f t="shared" si="222"/>
        <v>2.4829085985959069E-2</v>
      </c>
      <c r="KO27" s="189">
        <f>KN27*各项系数!$E$46</f>
        <v>1.675963304052237</v>
      </c>
      <c r="KP27" s="235">
        <f>各项系数!$F$76/4*($NH27^2-$NE27^2)*10^-2*(VLOOKUP($KP$9,各项系数!$D$1:$F$143,3,0))*10^-3*10^2*各项系数!$J$4</f>
        <v>0.13993029777695973</v>
      </c>
      <c r="KQ27" s="102">
        <v>1</v>
      </c>
      <c r="KR27" s="189">
        <f t="shared" si="150"/>
        <v>0.13993029777695973</v>
      </c>
      <c r="KS27" s="189">
        <f>KR27*(VLOOKUP($KP$9,各项系数!$D$1:$F$143,2,0))</f>
        <v>2.3788150622083153</v>
      </c>
      <c r="KT27" s="235">
        <f>各项系数!$F$76/4*($NI27^2-$NF27^2)*10^-2*(VLOOKUP($KT$9,各项系数!$D$1:$F$143,3,0))*10^-3*10^2*各项系数!$J$4</f>
        <v>0.14109062617400714</v>
      </c>
      <c r="KU27" s="102">
        <v>1</v>
      </c>
      <c r="KV27" s="189">
        <f t="shared" si="151"/>
        <v>0.14109062617400714</v>
      </c>
      <c r="KW27" s="189">
        <f>KV27*(VLOOKUP($KT$9,各项系数!$D$1:$F$143,2,0))</f>
        <v>2.3985406449581212</v>
      </c>
      <c r="KX27" s="189">
        <f>各项系数!$F$76/4*($NH27^2-$NE27^2)*10^-2*(VLOOKUP($KX$9,各项系数!$D$1:$F$143,3,0))*10^-3*10^2*各项系数!$J$4</f>
        <v>0.13993029777695973</v>
      </c>
      <c r="KY27" s="353">
        <v>1</v>
      </c>
      <c r="KZ27" s="189">
        <f t="shared" si="152"/>
        <v>0.13993029777695973</v>
      </c>
      <c r="LA27" s="189">
        <f>KZ27*(VLOOKUP($KX$9,各项系数!$D$1:$F$143,2,0))</f>
        <v>2.3788150622083153</v>
      </c>
      <c r="LB27" s="189">
        <f>各项系数!$F$76/4*($NI27^2-$NF27^2)*10^-2*(VLOOKUP($LB$9,各项系数!$D$1:$F$143,3,0))*10^-3*10^2*各项系数!$J$4</f>
        <v>0.14109062617400714</v>
      </c>
      <c r="LC27" s="353">
        <v>1</v>
      </c>
      <c r="LD27" s="189">
        <f t="shared" si="153"/>
        <v>0.14109062617400714</v>
      </c>
      <c r="LE27" s="189">
        <f>LD27*(VLOOKUP($LB$9,各项系数!$D$1:$F$143,2,0))</f>
        <v>2.3985406449581212</v>
      </c>
      <c r="LF27" s="235">
        <f>各项系数!$F$76/4*($NH27^2-$NE27^2)*10^-2*(VLOOKUP(AN27,各项系数!$D$1:$F$143,3,0))*10^-3*10^2*各项系数!$J$4</f>
        <v>0.1418603708497454</v>
      </c>
      <c r="LG27" s="102">
        <v>1</v>
      </c>
      <c r="LH27" s="189">
        <f t="shared" si="223"/>
        <v>0.1418603708497454</v>
      </c>
      <c r="LI27" s="189">
        <f>LH27*(VLOOKUP(AN27,各项系数!$D$1:$F$143,2,0))</f>
        <v>1.4186037084974541</v>
      </c>
      <c r="LJ27" s="235">
        <f>各项系数!$F$76/4*($NI27^2-$NF27^2)*10^-2*(VLOOKUP(AN27,各项系数!$D$1:$F$143,3,0))*10^-3*10^2*各项系数!$J$4</f>
        <v>0.14303670377640723</v>
      </c>
      <c r="LK27" s="102">
        <v>1</v>
      </c>
      <c r="LL27" s="189">
        <f t="shared" si="224"/>
        <v>0.14303670377640723</v>
      </c>
      <c r="LM27" s="189">
        <f>LL27*(VLOOKUP(AN27,各项系数!$D$1:$F$143,2,0))</f>
        <v>1.4303670377640723</v>
      </c>
      <c r="LN27" s="189">
        <f>各项系数!$F$76/4*($NH27^2-$NE27^2)*10^-2*(VLOOKUP($LN$9,各项系数!$D$1:$F$143,3,0))*10^-3*10^2*各项系数!$J$4</f>
        <v>0.1418603708497454</v>
      </c>
      <c r="LO27" s="353">
        <v>1</v>
      </c>
      <c r="LP27" s="189">
        <f t="shared" si="225"/>
        <v>0.1418603708497454</v>
      </c>
      <c r="LQ27" s="189">
        <f>LP27*(VLOOKUP($LN$9,各项系数!$D$1:$F$143,2,0))</f>
        <v>1.5604640793471993</v>
      </c>
      <c r="LR27" s="189">
        <f>各项系数!$F$76/4*($NI27^2-$NF27^2)*10^-2*(VLOOKUP($LR$9,各项系数!$D$1:$F$143,3,0))*10^-3*10^2*各项系数!$J$4</f>
        <v>0.14303670377640723</v>
      </c>
      <c r="LS27" s="353">
        <v>1</v>
      </c>
      <c r="LT27" s="189">
        <f t="shared" si="226"/>
        <v>0.14303670377640723</v>
      </c>
      <c r="LU27" s="189">
        <f>LT27*(VLOOKUP($LR$9,各项系数!$D$1:$F$143,2,0))</f>
        <v>1.5734037415404796</v>
      </c>
      <c r="LV27" s="227">
        <f t="shared" si="154"/>
        <v>169.60744657000001</v>
      </c>
      <c r="LW27" s="227">
        <f t="shared" si="155"/>
        <v>113.07163104999999</v>
      </c>
      <c r="LX27" s="227">
        <f t="shared" si="156"/>
        <v>11.998636257532116</v>
      </c>
      <c r="LY27" s="227">
        <f t="shared" si="157"/>
        <v>56.535815520000014</v>
      </c>
      <c r="LZ27" s="374">
        <f t="shared" si="86"/>
        <v>1</v>
      </c>
      <c r="MA27" s="375">
        <f t="shared" si="87"/>
        <v>169.60744657000001</v>
      </c>
      <c r="MB27" s="375">
        <f t="shared" si="158"/>
        <v>14.695268220000001</v>
      </c>
      <c r="MC27" s="227">
        <f t="shared" si="159"/>
        <v>0</v>
      </c>
      <c r="MD27" s="227">
        <f t="shared" si="160"/>
        <v>0</v>
      </c>
      <c r="ME27" s="227">
        <f t="shared" si="161"/>
        <v>0</v>
      </c>
      <c r="MF27" s="227">
        <f t="shared" si="162"/>
        <v>0</v>
      </c>
      <c r="MG27" s="374">
        <f t="shared" si="163"/>
        <v>1</v>
      </c>
      <c r="MH27" s="375">
        <f t="shared" si="88"/>
        <v>0</v>
      </c>
      <c r="MI27" s="375">
        <f t="shared" si="164"/>
        <v>0</v>
      </c>
      <c r="MJ27" s="189">
        <f t="shared" si="89"/>
        <v>14.695268220000001</v>
      </c>
      <c r="MK27" s="189">
        <f t="shared" si="165"/>
        <v>14.695268220000001</v>
      </c>
      <c r="ML27" s="189">
        <f t="shared" si="227"/>
        <v>0</v>
      </c>
      <c r="MM27" s="189">
        <f t="shared" si="91"/>
        <v>0</v>
      </c>
      <c r="MN27" s="189">
        <f t="shared" si="92"/>
        <v>17.095268220000001</v>
      </c>
      <c r="MO27" s="189">
        <f t="shared" si="166"/>
        <v>0</v>
      </c>
      <c r="MP27" s="189">
        <f t="shared" si="167"/>
        <v>17.095268220000001</v>
      </c>
      <c r="MQ27" s="189">
        <f t="shared" si="228"/>
        <v>17.095268220000001</v>
      </c>
      <c r="MR27" s="246">
        <f t="shared" si="168"/>
        <v>17.095268220000001</v>
      </c>
      <c r="MS27" s="380">
        <f t="shared" si="94"/>
        <v>17.095268220000001</v>
      </c>
      <c r="MT27" s="380">
        <f t="shared" si="95"/>
        <v>17.255268220000001</v>
      </c>
      <c r="MU27" s="380">
        <f t="shared" si="232"/>
        <v>17.695268220000003</v>
      </c>
      <c r="MV27" s="380">
        <f t="shared" si="97"/>
        <v>20.295268220000001</v>
      </c>
      <c r="MW27" s="380">
        <f t="shared" si="98"/>
        <v>20.455268220000001</v>
      </c>
      <c r="MX27" s="254">
        <f t="shared" si="233"/>
        <v>15.295268220000001</v>
      </c>
      <c r="MY27" s="254">
        <f t="shared" si="100"/>
        <v>0</v>
      </c>
      <c r="MZ27" s="189">
        <f t="shared" si="101"/>
        <v>17.695268219999999</v>
      </c>
      <c r="NA27" s="189">
        <f t="shared" si="102"/>
        <v>0</v>
      </c>
      <c r="NB27" s="189">
        <f t="shared" si="169"/>
        <v>17.695268219999999</v>
      </c>
      <c r="NC27" s="254">
        <f t="shared" si="229"/>
        <v>17.695268219999999</v>
      </c>
      <c r="ND27" s="246">
        <f t="shared" si="234"/>
        <v>17.695268219999999</v>
      </c>
      <c r="NE27" s="386">
        <f t="shared" si="235"/>
        <v>17.695268219999999</v>
      </c>
      <c r="NF27" s="380">
        <f t="shared" si="106"/>
        <v>17.855268219999999</v>
      </c>
      <c r="NG27" s="387">
        <f t="shared" si="236"/>
        <v>18.295268220000001</v>
      </c>
      <c r="NH27" s="254">
        <f t="shared" si="108"/>
        <v>20.895268219999998</v>
      </c>
      <c r="NI27" s="380">
        <f t="shared" si="109"/>
        <v>21.055268219999999</v>
      </c>
      <c r="NK27" s="388">
        <f t="shared" si="110"/>
        <v>1.216218781808788</v>
      </c>
      <c r="NL27" s="388">
        <f t="shared" si="111"/>
        <v>68.406968046624158</v>
      </c>
      <c r="NM27" s="388">
        <f t="shared" si="112"/>
        <v>1.216218781808788</v>
      </c>
      <c r="NN27" s="388">
        <f t="shared" si="113"/>
        <v>68.544417168998933</v>
      </c>
      <c r="NO27" s="388">
        <f t="shared" si="114"/>
        <v>1.2441987966687804</v>
      </c>
      <c r="NP27" s="388">
        <f t="shared" si="115"/>
        <v>69.003659321013174</v>
      </c>
      <c r="NQ27" s="388">
        <f t="shared" si="116"/>
        <v>1.2441987966687804</v>
      </c>
      <c r="NR27" s="388">
        <f t="shared" si="117"/>
        <v>69.145519691862916</v>
      </c>
      <c r="NS27" s="388">
        <f t="shared" si="118"/>
        <v>1.2402097678343302</v>
      </c>
      <c r="NT27" s="388">
        <f t="shared" si="119"/>
        <v>1.2402097678343302</v>
      </c>
      <c r="NU27" s="388">
        <f t="shared" si="120"/>
        <v>1.2690278826547394</v>
      </c>
      <c r="NV27" s="388">
        <f t="shared" si="121"/>
        <v>1.2690278826547394</v>
      </c>
      <c r="NW27">
        <f t="shared" si="122"/>
        <v>1.3437839455387457</v>
      </c>
      <c r="NX27">
        <f>各项系数!$M$9*NK27</f>
        <v>0.36486563454263637</v>
      </c>
      <c r="NY27">
        <f t="shared" si="123"/>
        <v>1.2402097678343302</v>
      </c>
      <c r="OB27" s="66" t="str">
        <f t="shared" si="124"/>
        <v>1*120</v>
      </c>
      <c r="OC27" s="395">
        <f t="shared" si="125"/>
        <v>244.921136962963</v>
      </c>
      <c r="OD27" s="395">
        <f>SQRT(4*EY27/PI()/EH27/各项系数!$J$4/各项系数!$F$5*10000000)</f>
        <v>246.50798375415039</v>
      </c>
      <c r="OE27" s="396">
        <f t="shared" si="126"/>
        <v>113.07163101417711</v>
      </c>
      <c r="OF27" s="396">
        <f t="shared" si="127"/>
        <v>114.54156221736139</v>
      </c>
      <c r="OG27" s="66">
        <v>114.2</v>
      </c>
      <c r="OH27" s="397">
        <f t="shared" si="186"/>
        <v>0.34156221736138548</v>
      </c>
    </row>
    <row r="28" spans="1:398" ht="15" hidden="1" customHeight="1">
      <c r="A28" s="50">
        <v>150</v>
      </c>
      <c r="B28" s="51">
        <v>0</v>
      </c>
      <c r="C28" s="52">
        <v>1.4</v>
      </c>
      <c r="D28" s="53" t="s">
        <v>61</v>
      </c>
      <c r="E28" s="61">
        <f t="shared" si="175"/>
        <v>21.597829269999998</v>
      </c>
      <c r="F28" s="59">
        <v>243.33587022849699</v>
      </c>
      <c r="G28" s="58"/>
      <c r="H28" s="16"/>
      <c r="I28" s="62"/>
      <c r="J28" s="16"/>
      <c r="K28" s="16"/>
      <c r="L28" s="97" t="s">
        <v>467</v>
      </c>
      <c r="M28" s="103">
        <f t="shared" si="2"/>
        <v>1.4</v>
      </c>
      <c r="N28" s="103">
        <f t="shared" si="3"/>
        <v>0</v>
      </c>
      <c r="O28" s="102"/>
      <c r="P28" s="99">
        <v>0.1</v>
      </c>
      <c r="Q28" s="133">
        <f t="shared" si="237"/>
        <v>0.1</v>
      </c>
      <c r="R28" s="140">
        <v>0.8</v>
      </c>
      <c r="S28" s="142" t="str">
        <f>各项系数!$D$44</f>
        <v>磁性钢带</v>
      </c>
      <c r="T28" s="102">
        <v>0.2</v>
      </c>
      <c r="U28" s="102">
        <v>2</v>
      </c>
      <c r="V28" s="140"/>
      <c r="W28" s="141">
        <v>1.6</v>
      </c>
      <c r="X28" s="135">
        <f t="shared" si="238"/>
        <v>0.2</v>
      </c>
      <c r="Y28" s="135"/>
      <c r="Z28" s="168"/>
      <c r="AA28" s="153">
        <v>1.0149999999999999</v>
      </c>
      <c r="AB28" s="153">
        <f>PI()*EJ28*EJ28/4*EH28*(1-H28)*AA28*各项系数!$F$5*各项系数!$J$4*10^-7</f>
        <v>1.2526054194523586</v>
      </c>
      <c r="AC28" s="153">
        <f t="shared" si="176"/>
        <v>243.33587022849699</v>
      </c>
      <c r="AD28" s="153">
        <f t="shared" si="5"/>
        <v>141.60853982537648</v>
      </c>
      <c r="AE28" s="153">
        <f>POWER(4*EU28/PI()/EG28/10^-7/EH28/(1-H28)/各项系数!$F$5/各项系数!$J$4,0.5)</f>
        <v>245.15409628631096</v>
      </c>
      <c r="AF28" s="69">
        <v>1</v>
      </c>
      <c r="AG28" s="69">
        <f>IF(EM28=0,0,PI()*ER28*ER28/4*EP28*(1-K28)*(1+AF28)*各项系数!$F$5*各项系数!$J$4*10^-7)</f>
        <v>0</v>
      </c>
      <c r="AH28" s="69">
        <f t="shared" si="177"/>
        <v>0</v>
      </c>
      <c r="AI28" s="69">
        <f t="shared" si="128"/>
        <v>0</v>
      </c>
      <c r="AJ28" s="69">
        <f>IF(OR(EP28="",EP28=0),0,POWER(4*EW28/PI()/EO28/10^-7/EP28/(1-K28)/各项系数!$F$5/各项系数!$J$4,0.5))</f>
        <v>0</v>
      </c>
      <c r="AK28" s="69" t="str">
        <f t="shared" si="8"/>
        <v>√</v>
      </c>
      <c r="AL28" s="69">
        <f t="shared" si="178"/>
        <v>86.900708990623912</v>
      </c>
      <c r="AM28" s="188">
        <f t="shared" si="179"/>
        <v>150</v>
      </c>
      <c r="AN28" s="97" t="s">
        <v>486</v>
      </c>
      <c r="AO28" s="196">
        <f>AP28+各项系数!$M$9*$NK28</f>
        <v>85.196773520219523</v>
      </c>
      <c r="AP28" s="196">
        <f>AQ28*(1+$BI28+(VLOOKUP($AM28,$A$12:$B$323,2,0))+各项系数!$J$6+各项系数!$M$5)*(1+$E$2)</f>
        <v>84.752336633969577</v>
      </c>
      <c r="AQ28" s="197">
        <f>AR28+各项系数!$L$9*$NK28</f>
        <v>86.481976157111816</v>
      </c>
      <c r="AR28" s="197">
        <f>AS28*(1+$BJ28+各项系数!$J$5+各项系数!$L$5)</f>
        <v>86.03753927086187</v>
      </c>
      <c r="AS28" s="197">
        <f t="shared" si="129"/>
        <v>84.350528696923405</v>
      </c>
      <c r="AT28" s="196">
        <f>AU28+各项系数!$M$9*$NM28</f>
        <v>86.191549111762939</v>
      </c>
      <c r="AU28" s="196">
        <f>AV28*(1+$BI28+(VLOOKUP($AM28,$A$12:$B$323,2,0))+各项系数!$J$6+各项系数!$M$5)*(1+$E$2)</f>
        <v>85.747112225512993</v>
      </c>
      <c r="AV28" s="197">
        <f>AW28+各项系数!$L$9*$NM28</f>
        <v>87.497053291339796</v>
      </c>
      <c r="AW28" s="197">
        <f>AX28*(1+$BJ28+各项系数!$J$5+各项系数!$L$5)</f>
        <v>87.05261640508985</v>
      </c>
      <c r="AX28" s="197">
        <f t="shared" si="130"/>
        <v>85.345702357931231</v>
      </c>
      <c r="AY28" s="196">
        <f>AZ28+各项系数!$M$9*$NS28</f>
        <v>86.965371815119482</v>
      </c>
      <c r="AZ28" s="196">
        <f>BA28*(1+$BI28+(VLOOKUP($AM28,$A$12:$B$214,2,0))+各项系数!$J$6+各项系数!$M$5)*(1+$E$2)</f>
        <v>86.51319179487966</v>
      </c>
      <c r="BA28" s="197">
        <f>BB28+各项系数!$L$9*$NS28</f>
        <v>88.278767137632315</v>
      </c>
      <c r="BB28" s="197">
        <f>BC28*(1+$BJ28+各项系数!$J$5+各项系数!$L$5)</f>
        <v>87.826587117392492</v>
      </c>
      <c r="BC28" s="199">
        <f t="shared" si="131"/>
        <v>86.104497173914211</v>
      </c>
      <c r="BD28" s="196">
        <f>BE28+各项系数!$M$9*$NS28</f>
        <v>87.968106475244724</v>
      </c>
      <c r="BE28" s="196">
        <f>BF28*(1+$BI28+(VLOOKUP($AM28,$A$12:$B$214,2,0))+各项系数!$J$6+各项系数!$M$5)*(1+$E$2)</f>
        <v>87.515926455004902</v>
      </c>
      <c r="BF28" s="197">
        <f>BG28+各项系数!$L$9*$NS28</f>
        <v>89.301965770413162</v>
      </c>
      <c r="BG28" s="197">
        <f>BH28*(1+$BJ28+各项系数!$J$5+各项系数!$L$5)</f>
        <v>88.849785750173339</v>
      </c>
      <c r="BH28" s="199">
        <f t="shared" si="132"/>
        <v>87.107633088405237</v>
      </c>
      <c r="BI28" s="51"/>
      <c r="BJ28" s="208"/>
      <c r="BK28" s="102"/>
      <c r="BL28" s="196">
        <f>BM28+各项系数!$M$9*$NM28</f>
        <v>86.171816399070423</v>
      </c>
      <c r="BM28" s="196">
        <f>BN28*(1+$CF28+(VLOOKUP($AM28,$A$12:$B$323,2,0))+各项系数!$J$6+各项系数!$M$5)*(1+$E$2)</f>
        <v>85.727379512820477</v>
      </c>
      <c r="BN28" s="197">
        <f>BO28+各项系数!$L$9*$NM28</f>
        <v>87.47691787022498</v>
      </c>
      <c r="BO28" s="197">
        <f>BP28*(1+$CG28+各项系数!$J$5+各项系数!$L$5)</f>
        <v>87.032480983975034</v>
      </c>
      <c r="BP28" s="197">
        <f t="shared" si="133"/>
        <v>84.497554353373815</v>
      </c>
      <c r="BQ28" s="196">
        <f>BR28+各项系数!$M$9*$NM28</f>
        <v>87.027936994870686</v>
      </c>
      <c r="BR28" s="196">
        <f>BS28*(1+$CF28+(VLOOKUP($AM28,$A$12:$B$323,2,0))+各项系数!$J$6+各项系数!$M$5)*(1+$E$2)</f>
        <v>86.58350010862074</v>
      </c>
      <c r="BS28" s="197">
        <f>BT28+各项系数!$L$9*$NM28</f>
        <v>88.35051031491912</v>
      </c>
      <c r="BT28" s="197">
        <f>BU28*(1+$CG28+各项系数!$J$5+各项系数!$L$5)</f>
        <v>87.906073428669174</v>
      </c>
      <c r="BU28" s="197">
        <f t="shared" si="134"/>
        <v>85.345702357931231</v>
      </c>
      <c r="BV28" s="196">
        <f>BW28+各项系数!$M$9*$NT28</f>
        <v>87.523752690757917</v>
      </c>
      <c r="BW28" s="196">
        <f>BX28*(1+$CF28+(VLOOKUP($AM28,$A$12:$B$214,2,0))+各项系数!$J$6+各项系数!$M$5)*(1+$E$2)</f>
        <v>87.071572670518094</v>
      </c>
      <c r="BX28" s="197">
        <f>BY28+各项系数!$L$9*$NT$12</f>
        <v>88.848543541344995</v>
      </c>
      <c r="BY28" s="197">
        <f>BZ28*(1+$CG28+各项系数!$J$5+各项系数!$L$5)</f>
        <v>88.840280138190025</v>
      </c>
      <c r="BZ28" s="199">
        <f t="shared" si="11"/>
        <v>86.252699163291283</v>
      </c>
      <c r="CA28" s="196">
        <f>CB28+各项系数!$M$9*$NT28</f>
        <v>88.386722994767936</v>
      </c>
      <c r="CB28" s="196">
        <f>CC28*(1+$CF28+(VLOOKUP($AM28,$A$12:$B$214,2,0))+各项系数!$J$6+各项系数!$M$5)*(1+$E$2)</f>
        <v>87.934542974528114</v>
      </c>
      <c r="CC28" s="197">
        <f>CD28+各项系数!$L$9*$NT$12</f>
        <v>89.729125484212361</v>
      </c>
      <c r="CD28" s="197">
        <f>CE28*(1+$CG28+各项系数!$J$5+各项系数!$L$5)</f>
        <v>89.72086208105739</v>
      </c>
      <c r="CE28" s="199">
        <f t="shared" si="135"/>
        <v>87.107633088405237</v>
      </c>
      <c r="CF28" s="213">
        <f t="shared" si="136"/>
        <v>0</v>
      </c>
      <c r="CG28" s="213">
        <f t="shared" si="12"/>
        <v>0.01</v>
      </c>
      <c r="CH28" s="102"/>
      <c r="CI28" s="196">
        <f>CJ28+各项系数!$M$9*$NO28</f>
        <v>86.291216318210743</v>
      </c>
      <c r="CJ28" s="196">
        <f>CK28*(1+$DC28+(VLOOKUP($AM28,$A$12:$B$323,2,0))+各项系数!$J$6+各项系数!$M$5)*(1+$E$2)+各项系数!$M$9*$NK28</f>
        <v>85.837880766730351</v>
      </c>
      <c r="CK28" s="197">
        <f>CL28+各项系数!$L$9*$NO28</f>
        <v>87.136167224979999</v>
      </c>
      <c r="CL28" s="197">
        <f>CM28*(1+$DD28+各项系数!$J$5+各项系数!$L$5)</f>
        <v>86.682831673499606</v>
      </c>
      <c r="CM28" s="197">
        <f t="shared" si="13"/>
        <v>84.983168307352557</v>
      </c>
      <c r="CN28" s="196">
        <f>CO28+各项系数!$M$9*$NO28</f>
        <v>87.241897069998245</v>
      </c>
      <c r="CO28" s="196">
        <f>CP28*(1+$DC28+(VLOOKUP($AM28,$A$12:$B$323,2,0))+各项系数!$J$6+各项系数!$M$5)*(1+$E$2)+各项系数!$M$9*$NK28</f>
        <v>86.788561518517852</v>
      </c>
      <c r="CP28" s="197">
        <f>CQ28+各项系数!$L$9*$NO28</f>
        <v>88.106249624763166</v>
      </c>
      <c r="CQ28" s="197">
        <f>CR28*(1+$DD28+各项系数!$J$5+各项系数!$L$5)</f>
        <v>87.652914073282773</v>
      </c>
      <c r="CR28" s="197">
        <f t="shared" si="14"/>
        <v>85.934229483610565</v>
      </c>
      <c r="CS28" s="196">
        <f>CT28+各项系数!$M$9*$NU28</f>
        <v>87.67242467686647</v>
      </c>
      <c r="CT28" s="196">
        <f t="shared" si="15"/>
        <v>87.211094561408061</v>
      </c>
      <c r="CU28" s="197">
        <f>CV28+各项系数!$L$9*$NU28</f>
        <v>88.990912817763331</v>
      </c>
      <c r="CV28" s="197">
        <f>CW28*(1+$DD28+各项系数!$J$5+各项系数!$L$5)</f>
        <v>88.529582702304921</v>
      </c>
      <c r="CW28" s="199">
        <f t="shared" si="16"/>
        <v>86.793708531671484</v>
      </c>
      <c r="CX28" s="196">
        <f>CY28+各项系数!$M$9*$NU28</f>
        <v>88.705005844173414</v>
      </c>
      <c r="CY28" s="196">
        <f t="shared" si="17"/>
        <v>88.243675728715004</v>
      </c>
      <c r="CZ28" s="197">
        <f>DA28+各项系数!$L$9*$NU28</f>
        <v>90.044567070117353</v>
      </c>
      <c r="DA28" s="197">
        <f>DB28*(1+$DD28+各项系数!$J$5+各项系数!$L$5)</f>
        <v>89.583236954658943</v>
      </c>
      <c r="DB28" s="199">
        <f t="shared" si="18"/>
        <v>87.826702896724456</v>
      </c>
      <c r="DC28" s="213">
        <f t="shared" si="137"/>
        <v>0</v>
      </c>
      <c r="DD28" s="213">
        <f t="shared" si="19"/>
        <v>0</v>
      </c>
      <c r="DE28" s="53"/>
      <c r="DF28" s="53"/>
      <c r="DG28" s="196">
        <f>DH28+各项系数!$M$9*$NQ28</f>
        <v>87.27691177945448</v>
      </c>
      <c r="DH28" s="196">
        <f>DI28*(1+$EA28+(VLOOKUP($AM28,$A$12:$B$323,2,0))+各项系数!$J$6+各项系数!$M$5)*(1+$E$2)+各项系数!$M$9*$NK28</f>
        <v>86.823576227974087</v>
      </c>
      <c r="DI28" s="197">
        <f>DJ28+各项系数!$L$9*$NQ28</f>
        <v>88.141978920126675</v>
      </c>
      <c r="DJ28" s="197">
        <f>DK28*(1+$EB28+各项系数!$J$5+各项系数!$L$5)</f>
        <v>87.688643368646282</v>
      </c>
      <c r="DK28" s="197">
        <f t="shared" si="20"/>
        <v>85.134605212277947</v>
      </c>
      <c r="DL28" s="196">
        <f>DM28+各项系数!$M$9*$NQ28</f>
        <v>88.15871878104133</v>
      </c>
      <c r="DM28" s="196">
        <f>DN28*(1+$EA28+(VLOOKUP($AM28,$A$12:$B$323,2,0))+各项系数!$J$6+各项系数!$M$5)*(1+$E$2)+各项系数!$M$9*$NK28</f>
        <v>87.705383229560937</v>
      </c>
      <c r="DN28" s="197">
        <f>DO28+各项系数!$L$9*$NQ28</f>
        <v>89.041781982970406</v>
      </c>
      <c r="DO28" s="197">
        <f>DP28*(1+$EB28+各项系数!$J$5+各项系数!$L$5)</f>
        <v>88.588446431490013</v>
      </c>
      <c r="DP28" s="197">
        <f t="shared" si="21"/>
        <v>86.008200418922343</v>
      </c>
      <c r="DQ28" s="196">
        <f>DR28+各项系数!$M$9*$NV28</f>
        <v>88.677050822764699</v>
      </c>
      <c r="DR28" s="196">
        <f t="shared" si="22"/>
        <v>88.215720707306289</v>
      </c>
      <c r="DS28" s="197">
        <f>DT28+各项系数!$L$9*$NV28</f>
        <v>90.01604153806764</v>
      </c>
      <c r="DT28" s="197">
        <f>DU28*(1+$EB28+各项系数!$J$5+各项系数!$L$5)</f>
        <v>89.55471142260923</v>
      </c>
      <c r="DU28" s="199">
        <f t="shared" si="23"/>
        <v>86.946321769523522</v>
      </c>
      <c r="DV28" s="196">
        <f>DW28+各项系数!$M$9*$NV28</f>
        <v>88.693507203076678</v>
      </c>
      <c r="DW28" s="196">
        <f t="shared" si="24"/>
        <v>88.232177087618268</v>
      </c>
      <c r="DX28" s="197">
        <f>DY28+各项系数!$L$9*$NV28</f>
        <v>90.032833762875782</v>
      </c>
      <c r="DY28" s="197">
        <f>DZ28*(1+$EB28+各项系数!$J$5+各项系数!$L$5)</f>
        <v>89.571503647417373</v>
      </c>
      <c r="DZ28" s="199">
        <f t="shared" si="25"/>
        <v>86.962624900405217</v>
      </c>
      <c r="EA28" s="213">
        <f t="shared" si="230"/>
        <v>0</v>
      </c>
      <c r="EB28" s="213">
        <f t="shared" si="27"/>
        <v>0.01</v>
      </c>
      <c r="EC28" s="235">
        <f t="shared" si="138"/>
        <v>1</v>
      </c>
      <c r="ED28" s="235" t="str">
        <f t="shared" si="180"/>
        <v>1*150</v>
      </c>
      <c r="EE28" s="189">
        <f t="shared" ref="EE28:EE91" si="239">IF($D28="",0,IF(COUNTIF($D28,"*+*")&gt;0,MID($D28,FIND("*",$D28)+1,FIND("+",$D28)-FIND("*",$D28)-1),RIGHT($D28,(LEN($D28)-FIND("*",$D28)))))*1</f>
        <v>150</v>
      </c>
      <c r="EF28" s="189" t="str">
        <f>LOOKUP(EH28,{1,7,10,14,19,24,30,37,48,61},{1,"1+6","2+8","4+10","1+6+12","2+8+14","4+10+16","1+6+12+18","3+9+15+21","1+6+12+18+24"})</f>
        <v>4+10+16</v>
      </c>
      <c r="EG28" s="188">
        <f t="shared" si="29"/>
        <v>1</v>
      </c>
      <c r="EH28" s="197">
        <f>VLOOKUP(EE28,各项系数!$B$87:$C$110,2,0)</f>
        <v>30</v>
      </c>
      <c r="EI28" s="188">
        <f>IF(EH28=0,0,VLOOKUP(EH28,各项系数!$D$142:$E$195,2,0))*1</f>
        <v>6.41</v>
      </c>
      <c r="EJ28" s="238">
        <f t="shared" si="141"/>
        <v>243.33587022849699</v>
      </c>
      <c r="EK28" s="189">
        <f t="shared" si="181"/>
        <v>0</v>
      </c>
      <c r="EL28" s="189">
        <f t="shared" si="31"/>
        <v>0</v>
      </c>
      <c r="EM28" s="189">
        <f t="shared" si="182"/>
        <v>0</v>
      </c>
      <c r="EN28" s="189">
        <f>IF(EP28=0,0,LOOKUP(EP28,{1,7,10,14,19,24,30,37,48,61},{1,"1+6","2+8","4+10","1+6+12","2+8+14","4+10+16","1+6+12+18","3+9+15+21","1+6+12+18+24"}))</f>
        <v>0</v>
      </c>
      <c r="EO28" s="189">
        <f t="shared" si="183"/>
        <v>0</v>
      </c>
      <c r="EP28" s="189">
        <f>IF(EM28=0,0,IF(EM28&lt;10,1,IF(AND(EM28&gt;=10,EM28&lt;=35),7,LOOKUP(EM28,{50,70,95,120,150,185,240,300},{10,14,19,24,30,37,48,61})*1)))</f>
        <v>0</v>
      </c>
      <c r="EQ28" s="189">
        <f>IF(EP28=0,0,VLOOKUP(EP28,各项系数!$D$142:$E$195,2,0))*1</f>
        <v>0</v>
      </c>
      <c r="ER28" s="189">
        <f t="shared" si="184"/>
        <v>0</v>
      </c>
      <c r="ES28" s="235">
        <f t="shared" si="185"/>
        <v>1</v>
      </c>
      <c r="ET28" s="189">
        <f>VLOOKUP(ES28,各项系数!$D$142:$E$195,2,0)*1</f>
        <v>1</v>
      </c>
      <c r="EU28" s="243">
        <f>((各项系数!$F$76/4*$EJ28^2*$EG28*$EH28*1*10^-7)*(1-$H28)*AA28)*(VLOOKUP($EY$9,各项系数!$D$4:$F$143,3,0))*各项系数!$J$4</f>
        <v>1.2526054194523586</v>
      </c>
      <c r="EV28" s="244">
        <f>EU28*(VLOOKUP($EY$9,各项系数!$D$4:$F$143,2,0))</f>
        <v>82.045654974129491</v>
      </c>
      <c r="EW28" s="252">
        <f>(IF($EO28=0,0,(各项系数!$F$76/4*$ER28^2*$EO28*$EP28*1*10^-7))*(1-$K28)*$AF28)*(VLOOKUP($EY$9,各项系数!$D$4:$F$143,3,0))*各项系数!$J$4</f>
        <v>0</v>
      </c>
      <c r="EX28" s="253">
        <f>EW28*(VLOOKUP($EY$9,各项系数!$D$4:$F$143,2,0))</f>
        <v>0</v>
      </c>
      <c r="EY28" s="189">
        <f>((各项系数!$F$76/4*$EJ28^2*$EG28*$EH28*1*10^-7)*(1-$H28)*AA28+IF($EO28=0,0,(各项系数!$F$76/4*$ER28^2*$EO28*$EP28*1*10^-7))*(1-$K28)*$AF28)*(VLOOKUP($EY$9,各项系数!$D$4:$F$143,3,0))*各项系数!$J$4</f>
        <v>1.2526054194523586</v>
      </c>
      <c r="EZ28" s="102">
        <v>1</v>
      </c>
      <c r="FA28" s="189">
        <f t="shared" si="188"/>
        <v>1.2526054194523586</v>
      </c>
      <c r="FB28" s="254">
        <f>FA28*(VLOOKUP($EY$9,各项系数!$D$4:$F$143,2,0))</f>
        <v>82.045654974129491</v>
      </c>
      <c r="FC28" s="255"/>
      <c r="FD28" s="235">
        <f>各项系数!$F$76/4*($MN28^2-MK28^2)*10^-2*(VLOOKUP(L28,各项系数!$D$1:$F$143,3,0))*10^-3*10^2*$EG28*各项系数!$J$4</f>
        <v>8.182521159704817E-2</v>
      </c>
      <c r="FE28" s="262">
        <f>FD28*VLOOKUP(L28,各项系数!$D$1:$F$143,2,0)</f>
        <v>0.83461715828989125</v>
      </c>
      <c r="FF28" s="188">
        <f>各项系数!$F$76/4*($MO28^2-ML28^2)*10^-2*(VLOOKUP(L28,各项系数!$D$1:$F$143,3,0))*10^-3*10^2*$EO28*各项系数!$J$4</f>
        <v>0</v>
      </c>
      <c r="FG28" s="262">
        <f>FF28*VLOOKUP(L28,各项系数!$D$1:$F$143,2,0)</f>
        <v>0</v>
      </c>
      <c r="FH28" s="235">
        <f t="shared" si="142"/>
        <v>8.182521159704817E-2</v>
      </c>
      <c r="FI28" s="102">
        <v>1</v>
      </c>
      <c r="FJ28" s="189">
        <f t="shared" si="189"/>
        <v>8.182521159704817E-2</v>
      </c>
      <c r="FK28" s="262">
        <f>FJ28*VLOOKUP(L28,各项系数!$D$1:$F$143,2,0)</f>
        <v>0.83461715828989125</v>
      </c>
      <c r="FL28" s="235"/>
      <c r="FM28" s="102"/>
      <c r="FN28" s="189"/>
      <c r="FO28" s="262"/>
      <c r="FP28" s="282">
        <f t="shared" si="190"/>
        <v>8.182521159704817E-2</v>
      </c>
      <c r="FQ28" s="282">
        <f t="shared" si="191"/>
        <v>0.83461715828989125</v>
      </c>
      <c r="FR28" s="283">
        <f>各项系数!$F$76/4*($MQ28^2-$MN28^2*$EG28-$MO28^2*$EO28)*10^-2</f>
        <v>0</v>
      </c>
      <c r="FS28" s="284">
        <f t="shared" si="143"/>
        <v>1</v>
      </c>
      <c r="FT28" s="285">
        <f t="shared" si="40"/>
        <v>0</v>
      </c>
      <c r="FU28" s="302">
        <f>$FT28*(VLOOKUP($FT$9,各项系数!$D$1:$F$143,3,0))*10^-3*10^2*各项系数!$J$55</f>
        <v>0</v>
      </c>
      <c r="FV28" s="303">
        <v>1</v>
      </c>
      <c r="FW28" s="304">
        <f t="shared" si="192"/>
        <v>0</v>
      </c>
      <c r="FX28" s="285">
        <f>FW28*(VLOOKUP($FT$9,各项系数!$D$1:$F$143,2,0))</f>
        <v>0</v>
      </c>
      <c r="FY28" s="302">
        <f>IF($BK28&lt;&gt;$FY$9,0,各项系数!$F$76/4*($MS28^2-$MQ28^2)*10^-2*(VLOOKUP($FY$9,各项系数!$D$1:$F$143,3,0))*10^-3*10^2)*各项系数!$J$4</f>
        <v>0</v>
      </c>
      <c r="FZ28" s="303">
        <v>1</v>
      </c>
      <c r="GA28" s="304">
        <f t="shared" si="193"/>
        <v>0</v>
      </c>
      <c r="GB28" s="285">
        <f>GA28*(VLOOKUP($FY$9,各项系数!$D$1:$F$143,2,0))</f>
        <v>0</v>
      </c>
      <c r="GC28" s="302">
        <f>IF($BK28&lt;&gt;$GC$9,0,各项系数!$F$76/4*($MS28^2-$MQ28^2)*10^-2*(VLOOKUP($GC$9,各项系数!$D$1:$F$143,3,0))*10^-3*10^2)*各项系数!$J$4</f>
        <v>0</v>
      </c>
      <c r="GD28" s="303">
        <v>1</v>
      </c>
      <c r="GE28" s="304">
        <f t="shared" si="194"/>
        <v>0</v>
      </c>
      <c r="GF28" s="285">
        <f>GE28*(VLOOKUP($GC$9,各项系数!$D$1:$F$143,2,0))</f>
        <v>0</v>
      </c>
      <c r="GG28" s="302">
        <f>IF($BK28&lt;&gt;$GG$9,0,各项系数!$F$76/4*($MS28^2-$MQ28^2)*10^-2*(VLOOKUP($GG$9,各项系数!$D$1:$F$143,3,0))*10^-3*10^2)*各项系数!$J$4</f>
        <v>0</v>
      </c>
      <c r="GH28" s="303">
        <v>1</v>
      </c>
      <c r="GI28" s="304">
        <f t="shared" si="195"/>
        <v>0</v>
      </c>
      <c r="GJ28" s="285">
        <f>GI28*(VLOOKUP($GG$9,各项系数!$D$1:$F$143,2,0))</f>
        <v>0</v>
      </c>
      <c r="GK28" s="302">
        <f>IF($BK28&lt;&gt;$GK$9,0,各项系数!$F$76/4*($MS28^2-$MQ28^2)*10^-2*(VLOOKUP($GK$9,各项系数!$D$1:$F$143,3,0))*10^-3*10^2)*各项系数!$J$4</f>
        <v>0</v>
      </c>
      <c r="GL28" s="303">
        <v>1</v>
      </c>
      <c r="GM28" s="304">
        <f t="shared" si="196"/>
        <v>0</v>
      </c>
      <c r="GN28" s="285">
        <f>GM28*(VLOOKUP($GK$9,各项系数!$D$1:$F$143,2,0))</f>
        <v>0</v>
      </c>
      <c r="GO28" s="304">
        <f t="shared" si="197"/>
        <v>0</v>
      </c>
      <c r="GP28" s="304">
        <f t="shared" si="198"/>
        <v>0</v>
      </c>
      <c r="GQ28" s="315">
        <f>各项系数!$F$76/4*($MU28^2-$MS28^2)*10^-2*(VLOOKUP($S28,各项系数!$D$1:$F$143,3,0))*10^-3*10^2*各项系数!$J$4</f>
        <v>0.13711726787173115</v>
      </c>
      <c r="GR28" s="303">
        <v>1</v>
      </c>
      <c r="GS28" s="304">
        <f t="shared" si="199"/>
        <v>0.13711726787173115</v>
      </c>
      <c r="GT28" s="304">
        <f t="shared" si="200"/>
        <v>0</v>
      </c>
      <c r="GU28" s="304">
        <f>ROUND($GS28*(VLOOKUP($S28,各项系数!$D$1:$F$143,2,0))+$E$3*GS28,GT28)</f>
        <v>1</v>
      </c>
      <c r="GV28" s="315">
        <f>各项系数!$F$76/4*($MT28^2-$MS28^2)*10^-2*(VLOOKUP($GV$9,各项系数!$D$1:$F$143,3,0))*10^-3*10^2*各项系数!$J$4*PI()/4*R28</f>
        <v>2.5810446632951008E-2</v>
      </c>
      <c r="GW28" s="303">
        <v>1</v>
      </c>
      <c r="GX28" s="304">
        <f t="shared" si="201"/>
        <v>2.5810446632951008E-2</v>
      </c>
      <c r="GY28" s="304">
        <f>$GX28*(VLOOKUP($GV$9,各项系数!$D$1:$F$143,2,0))</f>
        <v>1.7422051477241931</v>
      </c>
      <c r="GZ28" s="315">
        <f>各项系数!$F$76/4*($MV28^2-$MS28^2)*10^-2*(VLOOKUP($GZ$9,各项系数!$D$1:$F$143,3,0))*10^-3*10^2*各项系数!$J$4</f>
        <v>0.14502530738305031</v>
      </c>
      <c r="HA28" s="303">
        <v>1</v>
      </c>
      <c r="HB28" s="304">
        <f t="shared" si="144"/>
        <v>0.14502530738305031</v>
      </c>
      <c r="HC28" s="304">
        <f>HB28*(VLOOKUP($GZ$9,各项系数!$D$1:$F$143,2,0))</f>
        <v>2.465430225511855</v>
      </c>
      <c r="HD28" s="315">
        <f>各项系数!$F$76/4*($MW28^2-$MT28^2)*10^-2*(VLOOKUP($HD$9,各项系数!$D$1:$F$143,3,0))*10^-3*10^2*各项系数!$J$4</f>
        <v>0.14618563578009772</v>
      </c>
      <c r="HE28" s="303">
        <v>1</v>
      </c>
      <c r="HF28" s="304">
        <f t="shared" si="145"/>
        <v>0.14618563578009772</v>
      </c>
      <c r="HG28" s="304">
        <f>HF28*(VLOOKUP($HD$9,各项系数!$D$1:$F$143,2,0))</f>
        <v>2.4851558082616614</v>
      </c>
      <c r="HH28" s="315">
        <f>各项系数!$F$76/4*($MV28^2-$MS28^2)*10^-2*(VLOOKUP($HH$9,各项系数!$D$1:$F$143,3,0))*10^-3*10^2*各项系数!$J$4</f>
        <v>0.14502530738305031</v>
      </c>
      <c r="HI28" s="322">
        <v>1</v>
      </c>
      <c r="HJ28" s="304">
        <f t="shared" si="146"/>
        <v>0.14502530738305031</v>
      </c>
      <c r="HK28" s="304">
        <f>HJ28*(VLOOKUP($HH$9,各项系数!$D$1:$F$143,2,0))</f>
        <v>2.465430225511855</v>
      </c>
      <c r="HL28" s="315">
        <f>各项系数!$F$76/4*($MW28^2-$MT28^2)*10^-2*(VLOOKUP($HL$9,各项系数!$D$1:$F$143,3,0))*10^-3*10^2*各项系数!$J$4</f>
        <v>0.14618563578009772</v>
      </c>
      <c r="HM28" s="322">
        <v>1</v>
      </c>
      <c r="HN28" s="304">
        <f t="shared" si="147"/>
        <v>0.14618563578009772</v>
      </c>
      <c r="HO28" s="304">
        <f>HN28*(VLOOKUP($HL$9,各项系数!$D$1:$F$143,2,0))</f>
        <v>2.4851558082616614</v>
      </c>
      <c r="HP28" s="315">
        <f>各项系数!$F$76/4*($MV28^2-$MS28^2)*10^-2*(VLOOKUP(AN28,各项系数!$D$1:$F$143,3,0))*10^-3*10^2*各项系数!$J$4</f>
        <v>0.14702565645040272</v>
      </c>
      <c r="HQ28" s="303">
        <v>1</v>
      </c>
      <c r="HR28" s="304">
        <f t="shared" si="202"/>
        <v>0.14702565645040272</v>
      </c>
      <c r="HS28" s="304">
        <f>HR28*(VLOOKUP(AN28,各项系数!$D$1:$F$143,2,0))</f>
        <v>1.4702565645040271</v>
      </c>
      <c r="HT28" s="315">
        <f>各项系数!$F$76/4*($MW28^2-$MT28^2)*10^-2*(VLOOKUP(AN28,各项系数!$D$1:$F$143,3,0))*10^-3*10^2*各项系数!$J$4</f>
        <v>0.14820198937706458</v>
      </c>
      <c r="HU28" s="303">
        <v>1</v>
      </c>
      <c r="HV28" s="304">
        <f t="shared" si="203"/>
        <v>0.14820198937706458</v>
      </c>
      <c r="HW28" s="304">
        <f>HV28*(VLOOKUP(AN28,各项系数!$D$1:$F$143,2,0))</f>
        <v>1.4820198937706457</v>
      </c>
      <c r="HX28" s="315">
        <f>各项系数!$F$76/4*($MV28^2-$MS28^2)*10^-2*(VLOOKUP($HX$9,各项系数!$D$1:$F$143,3,0))*10^-3*10^2*各项系数!$J$4</f>
        <v>0.14702565645040272</v>
      </c>
      <c r="HY28" s="322">
        <v>1</v>
      </c>
      <c r="HZ28" s="304">
        <f t="shared" si="204"/>
        <v>0.14702565645040272</v>
      </c>
      <c r="IA28" s="304">
        <f>HZ28*(VLOOKUP($HX$9,各项系数!$D$1:$F$143,2,0))</f>
        <v>1.61728222095443</v>
      </c>
      <c r="IB28" s="315">
        <f>各项系数!$F$76/4*($MW28^2-$MT28^2)*10^-2*(VLOOKUP($IB$9,各项系数!$D$1:$F$143,3,0))*10^-3*10^2*各项系数!$J$4</f>
        <v>0.14820198937706458</v>
      </c>
      <c r="IC28" s="322">
        <v>1</v>
      </c>
      <c r="ID28" s="304">
        <f t="shared" si="205"/>
        <v>0.14820198937706458</v>
      </c>
      <c r="IE28" s="304">
        <f>ID28*(VLOOKUP($IB$9,各项系数!$D$1:$F$143,2,0))</f>
        <v>1.6302218831477104</v>
      </c>
      <c r="IF28" s="328"/>
      <c r="IG28" s="315">
        <f t="shared" si="148"/>
        <v>2.2362651505999604E-2</v>
      </c>
      <c r="IH28" s="303">
        <v>1</v>
      </c>
      <c r="II28" s="304">
        <f t="shared" si="206"/>
        <v>2.2362651505999604E-2</v>
      </c>
      <c r="IJ28" s="304">
        <f>II28*(VLOOKUP($IG$8,各项系数!$D$1:$F$143,2,0))</f>
        <v>0.55906628764999011</v>
      </c>
      <c r="IK28" s="315">
        <f>(各项系数!$F$76/4*($MX28^2-$MK28^2)*$EG28)*10^-2*(VLOOKUP($IG$8,各项系数!$D$1:$F$143,3,0))*10^-3*10^2*各项系数!$J$4</f>
        <v>2.2362651505999604E-2</v>
      </c>
      <c r="IL28" s="303">
        <f>IK28*(VLOOKUP($IG$8,各项系数!$D$1:$F$143,2,0))</f>
        <v>0.55906628764999011</v>
      </c>
      <c r="IM28" s="304">
        <f>(各项系数!$F$76/4*(($MM28+3*$X28)^2-MM28^2)*$EO28)*10^-2*(VLOOKUP($IG$8,各项系数!$D$1:$F$143,3,0))*10^-3*10^2*各项系数!$J$4</f>
        <v>0</v>
      </c>
      <c r="IN28" s="303">
        <f>IM28*(VLOOKUP($IG$8,各项系数!$D$1:$F$143,2,0))</f>
        <v>0</v>
      </c>
      <c r="IO28" s="315">
        <f>各项系数!$F$76/4*($MZ28^2-$MX28^2)*10^-2*(VLOOKUP(L28,各项系数!$D$1:$F$143,3,0))*10^-3*10^2*$ES28*各项系数!$J$4</f>
        <v>8.4713529050905595E-2</v>
      </c>
      <c r="IP28" s="303">
        <v>1</v>
      </c>
      <c r="IQ28" s="304">
        <f t="shared" si="207"/>
        <v>8.4713529050905595E-2</v>
      </c>
      <c r="IR28" s="285">
        <f>IQ28*(VLOOKUP(L28,各项系数!$D$1:$F$143,2,0))</f>
        <v>0.86407799631923699</v>
      </c>
      <c r="IS28" s="315">
        <f>IF($L28&lt;&gt;$IS$9,0,各项系数!$F$76/4*($MZ28^2-$MX28^2)*10^-2*各项系数!$F$12*10^-3*10^2)*$ES28*各项系数!$J$4</f>
        <v>0</v>
      </c>
      <c r="IT28" s="303">
        <v>1</v>
      </c>
      <c r="IU28" s="304">
        <f t="shared" si="208"/>
        <v>0</v>
      </c>
      <c r="IV28" s="285">
        <f>IU28*各项系数!$E$12</f>
        <v>0</v>
      </c>
      <c r="IW28" s="302">
        <f t="shared" si="209"/>
        <v>8.4713529050905595E-2</v>
      </c>
      <c r="IX28" s="302">
        <f t="shared" si="210"/>
        <v>0.86407799631923699</v>
      </c>
      <c r="IY28" s="339">
        <f>各项系数!$F$76/4*($NB28^2-$MZ28^2*$EG28-$NA28^2*$EO28)*10^-2</f>
        <v>0</v>
      </c>
      <c r="IZ28" s="284">
        <f t="shared" si="231"/>
        <v>1</v>
      </c>
      <c r="JA28" s="285">
        <f t="shared" si="64"/>
        <v>0</v>
      </c>
      <c r="JB28" s="282">
        <f>IF($DE28&lt;&gt;$JB$9,0,$JA28*各项系数!$F$32*10^-3*10^2)*各项系数!$J$4</f>
        <v>0</v>
      </c>
      <c r="JC28" s="102">
        <v>1</v>
      </c>
      <c r="JD28" s="189">
        <f t="shared" si="211"/>
        <v>0</v>
      </c>
      <c r="JE28" s="262">
        <f>JD28*各项系数!$E$32</f>
        <v>0</v>
      </c>
      <c r="JF28" s="282">
        <f>IF($DE28&lt;&gt;$JF$9,0,$JA28*VLOOKUP($JF$9,各项系数!$D$4:$F$540,2,0)*10^-3*10^2)*各项系数!$J$4</f>
        <v>0</v>
      </c>
      <c r="JG28" s="102">
        <v>1</v>
      </c>
      <c r="JH28" s="189">
        <f t="shared" si="66"/>
        <v>0</v>
      </c>
      <c r="JI28" s="262">
        <f>JH28*VLOOKUP($JF$9,各项系数!$D$4:$F$540,3,0)</f>
        <v>0</v>
      </c>
      <c r="JJ28" s="282">
        <f t="shared" si="212"/>
        <v>0</v>
      </c>
      <c r="JK28" s="189">
        <f t="shared" si="213"/>
        <v>0</v>
      </c>
      <c r="JL28" s="282">
        <f>IF($DF28&lt;&gt;$JL$9,0,各项系数!$F$76/4*($NE28^2-$NC28^2)*10^-2*各项系数!$F$39*10^-3*10^2)*各项系数!$J$4</f>
        <v>0</v>
      </c>
      <c r="JM28" s="102">
        <v>1</v>
      </c>
      <c r="JN28" s="189">
        <f t="shared" si="214"/>
        <v>0</v>
      </c>
      <c r="JO28" s="262">
        <f>JN28*各项系数!$E$39</f>
        <v>0</v>
      </c>
      <c r="JP28" s="282">
        <f>IF($DF28&lt;&gt;$JP$9,0,各项系数!$F$76/4*($NE28^2-$NC28^2)*10^-2*各项系数!$F$36*10^-3*10^2)*各项系数!$J$4</f>
        <v>0</v>
      </c>
      <c r="JQ28" s="102">
        <v>1</v>
      </c>
      <c r="JR28" s="189">
        <f t="shared" si="215"/>
        <v>0</v>
      </c>
      <c r="JS28" s="262">
        <f>JR28*各项系数!$E$36</f>
        <v>0</v>
      </c>
      <c r="JT28" s="282">
        <f>IF($DF28&lt;&gt;$JT$9,0,各项系数!$F$76/4*($NE28^2-$NC28^2)*10^-2*各项系数!$F$40*10^-3*10^2)*各项系数!$J$4</f>
        <v>0</v>
      </c>
      <c r="JU28" s="102">
        <v>1</v>
      </c>
      <c r="JV28" s="189">
        <f t="shared" si="216"/>
        <v>0</v>
      </c>
      <c r="JW28" s="262">
        <f>JV28*各项系数!$E$40</f>
        <v>0</v>
      </c>
      <c r="JX28" s="282">
        <f>IF($DF28&lt;&gt;$JX$9,0,各项系数!$F$76/4*($NE28^2-$NC28^2)*10^-2*各项系数!$F$38*10^-3*10^2)*各项系数!$J$4</f>
        <v>0</v>
      </c>
      <c r="JY28" s="102">
        <v>1</v>
      </c>
      <c r="JZ28" s="189">
        <f t="shared" si="217"/>
        <v>0</v>
      </c>
      <c r="KA28" s="262">
        <f>JZ28*各项系数!$E$38</f>
        <v>0</v>
      </c>
      <c r="KB28" s="282">
        <f>IF($DF28&lt;&gt;$KB$9,0,各项系数!$F$76/4*($NE28^2-$NC28^2)*10^-2*各项系数!$F$41*10^-3*10^2)*各项系数!$J$4</f>
        <v>0</v>
      </c>
      <c r="KC28" s="102">
        <v>1</v>
      </c>
      <c r="KD28" s="189">
        <f t="shared" si="218"/>
        <v>0</v>
      </c>
      <c r="KE28" s="262">
        <f>KD28*各项系数!$E$41</f>
        <v>0</v>
      </c>
      <c r="KF28" s="189">
        <f t="shared" si="219"/>
        <v>0</v>
      </c>
      <c r="KG28" s="189">
        <f t="shared" si="220"/>
        <v>0</v>
      </c>
      <c r="KH28" s="235">
        <f>各项系数!$F$76/4*($NG28^2-$NE28^2)*10^-2*各项系数!$F$44*10^-3*10^2*各项系数!$J$4*0.75*$U28</f>
        <v>0.212275894742742</v>
      </c>
      <c r="KI28" s="102">
        <v>1</v>
      </c>
      <c r="KJ28" s="189">
        <f t="shared" si="221"/>
        <v>0.212275894742742</v>
      </c>
      <c r="KK28" s="189">
        <f>ROUND(KJ28*各项系数!$E$44,GT28)</f>
        <v>2</v>
      </c>
      <c r="KL28" s="235">
        <f>各项系数!$F$76/4*($NF28^2-$NE28^2)*10^-2*各项系数!$F$46*10^-3*10^2*各项系数!$J$4*PI()/4*R28</f>
        <v>2.6648546593367323E-2</v>
      </c>
      <c r="KM28" s="102">
        <v>1</v>
      </c>
      <c r="KN28" s="189">
        <f t="shared" si="222"/>
        <v>2.6648546593367323E-2</v>
      </c>
      <c r="KO28" s="189">
        <f>KN28*各项系数!$E$46</f>
        <v>1.7987768950522942</v>
      </c>
      <c r="KP28" s="235">
        <f>各项系数!$F$76/4*($NH28^2-$NE28^2)*10^-2*(VLOOKUP($KP$9,各项系数!$D$1:$F$143,3,0))*10^-3*10^2*各项系数!$J$4</f>
        <v>0.14937653887197827</v>
      </c>
      <c r="KQ28" s="102">
        <v>1</v>
      </c>
      <c r="KR28" s="189">
        <f t="shared" si="150"/>
        <v>0.14937653887197827</v>
      </c>
      <c r="KS28" s="189">
        <f>KR28*(VLOOKUP($KP$9,各项系数!$D$1:$F$143,2,0))</f>
        <v>2.5394011608236307</v>
      </c>
      <c r="KT28" s="235">
        <f>各项系数!$F$76/4*($NI28^2-$NF28^2)*10^-2*(VLOOKUP($KT$9,各项系数!$D$1:$F$143,3,0))*10^-3*10^2*各项系数!$J$4</f>
        <v>0.15053686726902576</v>
      </c>
      <c r="KU28" s="102">
        <v>1</v>
      </c>
      <c r="KV28" s="189">
        <f t="shared" si="151"/>
        <v>0.15053686726902576</v>
      </c>
      <c r="KW28" s="189">
        <f>KV28*(VLOOKUP($KT$9,各项系数!$D$1:$F$143,2,0))</f>
        <v>2.5591267435734379</v>
      </c>
      <c r="KX28" s="189">
        <f>各项系数!$F$76/4*($NH28^2-$NE28^2)*10^-2*(VLOOKUP($KX$9,各项系数!$D$1:$F$143,3,0))*10^-3*10^2*各项系数!$J$4</f>
        <v>0.14937653887197827</v>
      </c>
      <c r="KY28" s="353">
        <v>1</v>
      </c>
      <c r="KZ28" s="189">
        <f t="shared" si="152"/>
        <v>0.14937653887197827</v>
      </c>
      <c r="LA28" s="189">
        <f>KZ28*(VLOOKUP($KX$9,各项系数!$D$1:$F$143,2,0))</f>
        <v>2.5394011608236307</v>
      </c>
      <c r="LB28" s="189">
        <f>各项系数!$F$76/4*($NI28^2-$NF28^2)*10^-2*(VLOOKUP($LB$9,各项系数!$D$1:$F$143,3,0))*10^-3*10^2*各项系数!$J$4</f>
        <v>0.15053686726902576</v>
      </c>
      <c r="LC28" s="353">
        <v>1</v>
      </c>
      <c r="LD28" s="189">
        <f t="shared" si="153"/>
        <v>0.15053686726902576</v>
      </c>
      <c r="LE28" s="189">
        <f>LD28*(VLOOKUP($LB$9,各项系数!$D$1:$F$143,2,0))</f>
        <v>2.5591267435734379</v>
      </c>
      <c r="LF28" s="235">
        <f>各项系数!$F$76/4*($NH28^2-$NE28^2)*10^-2*(VLOOKUP(AN28,各项系数!$D$1:$F$143,3,0))*10^-3*10^2*各项系数!$J$4</f>
        <v>0.15143690492538489</v>
      </c>
      <c r="LG28" s="102">
        <v>1</v>
      </c>
      <c r="LH28" s="189">
        <f t="shared" si="223"/>
        <v>0.15143690492538489</v>
      </c>
      <c r="LI28" s="189">
        <f>LH28*(VLOOKUP(AN28,各项系数!$D$1:$F$143,2,0))</f>
        <v>1.5143690492538489</v>
      </c>
      <c r="LJ28" s="235">
        <f>各项系数!$F$76/4*($NI28^2-$NF28^2)*10^-2*(VLOOKUP(AN28,各项系数!$D$1:$F$143,3,0))*10^-3*10^2*各项系数!$J$4</f>
        <v>0.15261323785204681</v>
      </c>
      <c r="LK28" s="102">
        <v>1</v>
      </c>
      <c r="LL28" s="189">
        <f t="shared" si="224"/>
        <v>0.15261323785204681</v>
      </c>
      <c r="LM28" s="189">
        <f>LL28*(VLOOKUP(AN28,各项系数!$D$1:$F$143,2,0))</f>
        <v>1.5261323785204681</v>
      </c>
      <c r="LN28" s="189">
        <f>各项系数!$F$76/4*($NH28^2-$NE28^2)*10^-2*(VLOOKUP($LN$9,各项系数!$D$1:$F$143,3,0))*10^-3*10^2*各项系数!$J$4</f>
        <v>0.15143690492538489</v>
      </c>
      <c r="LO28" s="353">
        <v>1</v>
      </c>
      <c r="LP28" s="189">
        <f t="shared" si="225"/>
        <v>0.15143690492538489</v>
      </c>
      <c r="LQ28" s="189">
        <f>LP28*(VLOOKUP($LN$9,各项系数!$D$1:$F$143,2,0))</f>
        <v>1.6658059541792338</v>
      </c>
      <c r="LR28" s="189">
        <f>各项系数!$F$76/4*($NI28^2-$NF28^2)*10^-2*(VLOOKUP($LR$9,各项系数!$D$1:$F$143,3,0))*10^-3*10^2*各项系数!$J$4</f>
        <v>0.15261323785204681</v>
      </c>
      <c r="LS28" s="353">
        <v>1</v>
      </c>
      <c r="LT28" s="189">
        <f t="shared" si="226"/>
        <v>0.15261323785204681</v>
      </c>
      <c r="LU28" s="189">
        <f>LT28*(VLOOKUP($LR$9,各项系数!$D$1:$F$143,2,0))</f>
        <v>1.678745616372515</v>
      </c>
      <c r="LV28" s="227">
        <f t="shared" si="154"/>
        <v>191.08130825999999</v>
      </c>
      <c r="LW28" s="227">
        <f t="shared" si="155"/>
        <v>139.51580251999999</v>
      </c>
      <c r="LX28" s="227">
        <f t="shared" si="156"/>
        <v>13.328054504837743</v>
      </c>
      <c r="LY28" s="227">
        <f t="shared" si="157"/>
        <v>51.565505739999992</v>
      </c>
      <c r="LZ28" s="374">
        <f t="shared" si="86"/>
        <v>1</v>
      </c>
      <c r="MA28" s="375">
        <f t="shared" si="87"/>
        <v>191.08130825999999</v>
      </c>
      <c r="MB28" s="375">
        <f t="shared" si="158"/>
        <v>15.59782927</v>
      </c>
      <c r="MC28" s="227">
        <f t="shared" si="159"/>
        <v>0</v>
      </c>
      <c r="MD28" s="227">
        <f t="shared" si="160"/>
        <v>0</v>
      </c>
      <c r="ME28" s="227">
        <f t="shared" si="161"/>
        <v>0</v>
      </c>
      <c r="MF28" s="227">
        <f t="shared" si="162"/>
        <v>0</v>
      </c>
      <c r="MG28" s="374">
        <f t="shared" si="163"/>
        <v>1</v>
      </c>
      <c r="MH28" s="375">
        <f t="shared" si="88"/>
        <v>0</v>
      </c>
      <c r="MI28" s="375">
        <f t="shared" si="164"/>
        <v>0</v>
      </c>
      <c r="MJ28" s="189">
        <f t="shared" si="89"/>
        <v>15.59782927</v>
      </c>
      <c r="MK28" s="189">
        <f t="shared" si="165"/>
        <v>15.59782927</v>
      </c>
      <c r="ML28" s="189">
        <f t="shared" si="227"/>
        <v>0</v>
      </c>
      <c r="MM28" s="189">
        <f t="shared" si="91"/>
        <v>0</v>
      </c>
      <c r="MN28" s="189">
        <f t="shared" si="92"/>
        <v>18.397829269999999</v>
      </c>
      <c r="MO28" s="189">
        <f t="shared" si="166"/>
        <v>0</v>
      </c>
      <c r="MP28" s="189">
        <f t="shared" si="167"/>
        <v>18.397829269999999</v>
      </c>
      <c r="MQ28" s="189">
        <f t="shared" si="228"/>
        <v>18.397829269999999</v>
      </c>
      <c r="MR28" s="246">
        <f t="shared" si="168"/>
        <v>18.397829269999999</v>
      </c>
      <c r="MS28" s="380">
        <f t="shared" si="94"/>
        <v>18.397829269999999</v>
      </c>
      <c r="MT28" s="380">
        <f t="shared" si="95"/>
        <v>18.557829269999999</v>
      </c>
      <c r="MU28" s="380">
        <f t="shared" si="232"/>
        <v>18.99782927</v>
      </c>
      <c r="MV28" s="380">
        <f t="shared" si="97"/>
        <v>21.597829269999998</v>
      </c>
      <c r="MW28" s="380">
        <f t="shared" si="98"/>
        <v>21.757829269999998</v>
      </c>
      <c r="MX28" s="254">
        <f t="shared" si="233"/>
        <v>16.19782927</v>
      </c>
      <c r="MY28" s="254">
        <f t="shared" si="100"/>
        <v>0</v>
      </c>
      <c r="MZ28" s="189">
        <f t="shared" si="101"/>
        <v>18.99782927</v>
      </c>
      <c r="NA28" s="189">
        <f t="shared" si="102"/>
        <v>0</v>
      </c>
      <c r="NB28" s="189">
        <f t="shared" si="169"/>
        <v>18.99782927</v>
      </c>
      <c r="NC28" s="254">
        <f t="shared" si="229"/>
        <v>18.99782927</v>
      </c>
      <c r="ND28" s="246">
        <f t="shared" si="234"/>
        <v>18.99782927</v>
      </c>
      <c r="NE28" s="386">
        <f t="shared" si="235"/>
        <v>18.99782927</v>
      </c>
      <c r="NF28" s="380">
        <f t="shared" si="106"/>
        <v>19.157829270000001</v>
      </c>
      <c r="NG28" s="387">
        <f t="shared" si="236"/>
        <v>19.597829270000002</v>
      </c>
      <c r="NH28" s="254">
        <f t="shared" si="108"/>
        <v>22.19782927</v>
      </c>
      <c r="NI28" s="380">
        <f t="shared" si="109"/>
        <v>22.35782927</v>
      </c>
      <c r="NK28" s="388">
        <f t="shared" si="110"/>
        <v>1.4814562874998094</v>
      </c>
      <c r="NL28" s="388">
        <f t="shared" si="111"/>
        <v>84.350528696923405</v>
      </c>
      <c r="NM28" s="388">
        <f t="shared" si="112"/>
        <v>1.4814562874998094</v>
      </c>
      <c r="NN28" s="388">
        <f t="shared" si="113"/>
        <v>84.497554353373815</v>
      </c>
      <c r="NO28" s="388">
        <f t="shared" si="114"/>
        <v>1.5111185049346487</v>
      </c>
      <c r="NP28" s="388">
        <f t="shared" si="115"/>
        <v>84.983168307352571</v>
      </c>
      <c r="NQ28" s="388">
        <f t="shared" si="116"/>
        <v>1.5111185049346487</v>
      </c>
      <c r="NR28" s="388">
        <f t="shared" si="117"/>
        <v>85.134605212277947</v>
      </c>
      <c r="NS28" s="388">
        <f t="shared" si="118"/>
        <v>1.5072667341327604</v>
      </c>
      <c r="NT28" s="388">
        <f t="shared" si="119"/>
        <v>1.5072667341327604</v>
      </c>
      <c r="NU28" s="388">
        <f t="shared" si="120"/>
        <v>1.537767051528016</v>
      </c>
      <c r="NV28" s="388">
        <f t="shared" si="121"/>
        <v>1.537767051528016</v>
      </c>
      <c r="NW28">
        <f t="shared" si="122"/>
        <v>1.6185735553715406</v>
      </c>
      <c r="NX28">
        <f>各项系数!$M$9*NK28</f>
        <v>0.44443688624994282</v>
      </c>
      <c r="NY28">
        <f t="shared" si="123"/>
        <v>1.5072667341327604</v>
      </c>
      <c r="OB28" s="66" t="str">
        <f t="shared" si="124"/>
        <v>1*150</v>
      </c>
      <c r="OC28" s="395">
        <f t="shared" si="125"/>
        <v>243.33587022849699</v>
      </c>
      <c r="OD28" s="395">
        <f>SQRT(4*EY28/PI()/EH28/各项系数!$J$4/各项系数!$F$5*10000000)</f>
        <v>245.15409628631096</v>
      </c>
      <c r="OE28" s="396">
        <f t="shared" si="126"/>
        <v>139.51580278362215</v>
      </c>
      <c r="OF28" s="396">
        <f t="shared" si="127"/>
        <v>141.60853982537648</v>
      </c>
      <c r="OG28" s="66">
        <v>140.69999999999999</v>
      </c>
      <c r="OH28" s="397">
        <f t="shared" si="186"/>
        <v>0.90853982537649358</v>
      </c>
    </row>
    <row r="29" spans="1:398" ht="15" hidden="1" customHeight="1">
      <c r="A29" s="50">
        <v>185</v>
      </c>
      <c r="B29" s="51">
        <v>0</v>
      </c>
      <c r="C29" s="52">
        <v>1.6</v>
      </c>
      <c r="D29" s="53" t="s">
        <v>64</v>
      </c>
      <c r="E29" s="61">
        <f t="shared" si="175"/>
        <v>23.756865809999997</v>
      </c>
      <c r="F29" s="59">
        <v>245.09808262108001</v>
      </c>
      <c r="G29" s="58"/>
      <c r="H29" s="16"/>
      <c r="I29" s="62"/>
      <c r="J29" s="16"/>
      <c r="K29" s="16"/>
      <c r="L29" s="97" t="s">
        <v>467</v>
      </c>
      <c r="M29" s="103">
        <f t="shared" si="2"/>
        <v>1.6</v>
      </c>
      <c r="N29" s="103">
        <f t="shared" si="3"/>
        <v>0</v>
      </c>
      <c r="O29" s="102"/>
      <c r="P29" s="99">
        <v>0.1</v>
      </c>
      <c r="Q29" s="133">
        <f t="shared" si="237"/>
        <v>0.1</v>
      </c>
      <c r="R29" s="140">
        <v>0.8</v>
      </c>
      <c r="S29" s="142" t="str">
        <f>各项系数!$D$44</f>
        <v>磁性钢带</v>
      </c>
      <c r="T29" s="102">
        <v>0.2</v>
      </c>
      <c r="U29" s="102">
        <v>2</v>
      </c>
      <c r="V29" s="140"/>
      <c r="W29" s="141">
        <v>1.7</v>
      </c>
      <c r="X29" s="135">
        <f t="shared" si="238"/>
        <v>0.2</v>
      </c>
      <c r="Y29" s="135"/>
      <c r="Z29" s="168"/>
      <c r="AA29" s="153">
        <v>1.0149999999999999</v>
      </c>
      <c r="AB29" s="153">
        <f>PI()*EJ29*EJ29/4*EH29*(1-H29)*AA29*各项系数!$F$5*各项系数!$J$4*10^-7</f>
        <v>1.5673367508788369</v>
      </c>
      <c r="AC29" s="153">
        <f t="shared" si="176"/>
        <v>245.09808262108001</v>
      </c>
      <c r="AD29" s="153">
        <f t="shared" si="5"/>
        <v>177.18929302065297</v>
      </c>
      <c r="AE29" s="153">
        <f>POWER(4*EU29/PI()/EG29/10^-7/EH29/(1-H29)/各项系数!$F$5/各项系数!$J$4,0.5)</f>
        <v>246.92947607788284</v>
      </c>
      <c r="AF29" s="69">
        <v>1</v>
      </c>
      <c r="AG29" s="69">
        <f>IF(EM29=0,0,PI()*ER29*ER29/4*EP29*(1-K29)*(1+AF29)*各项系数!$F$5*各项系数!$J$4*10^-7)</f>
        <v>0</v>
      </c>
      <c r="AH29" s="69">
        <f t="shared" si="177"/>
        <v>0</v>
      </c>
      <c r="AI29" s="69">
        <f t="shared" si="128"/>
        <v>0</v>
      </c>
      <c r="AJ29" s="69">
        <f>IF(OR(EP29="",EP29=0),0,POWER(4*EW29/PI()/EO29/10^-7/EP29/(1-K29)/各项系数!$F$5/各项系数!$J$4,0.5))</f>
        <v>0</v>
      </c>
      <c r="AK29" s="69" t="str">
        <f t="shared" si="8"/>
        <v>√</v>
      </c>
      <c r="AL29" s="69">
        <f t="shared" si="178"/>
        <v>108.61834296965765</v>
      </c>
      <c r="AM29" s="188">
        <f t="shared" si="179"/>
        <v>185</v>
      </c>
      <c r="AN29" s="97" t="s">
        <v>486</v>
      </c>
      <c r="AO29" s="196">
        <f>AP29+各项系数!$M$9*$NK29</f>
        <v>106.48857153888004</v>
      </c>
      <c r="AP29" s="196">
        <f>AQ29*(1+$BI29+(VLOOKUP($AM29,$A$12:$B$323,2,0))+各项系数!$J$6+各项系数!$M$5)*(1+$E$2)</f>
        <v>105.93572319319034</v>
      </c>
      <c r="AQ29" s="197">
        <f>AR29+各项系数!$L$9*$NK29</f>
        <v>108.09767672774525</v>
      </c>
      <c r="AR29" s="197">
        <f>AS29*(1+$BJ29+各项系数!$J$5+各项系数!$L$5)</f>
        <v>107.54482838205556</v>
      </c>
      <c r="AS29" s="197">
        <f t="shared" si="129"/>
        <v>105.43610625691721</v>
      </c>
      <c r="AT29" s="196">
        <f>AU29+各项系数!$M$9*$NM29</f>
        <v>107.6543472539507</v>
      </c>
      <c r="AU29" s="196">
        <f>AV29*(1+$BI29+(VLOOKUP($AM29,$A$12:$B$323,2,0))+各项系数!$J$6+各项系数!$M$5)*(1+$E$2)</f>
        <v>107.10149890826101</v>
      </c>
      <c r="AV29" s="197">
        <f>AW29+各项系数!$L$9*$NM29</f>
        <v>109.2872437839398</v>
      </c>
      <c r="AW29" s="197">
        <f>AX29*(1+$BJ29+各项系数!$J$5+各项系数!$L$5)</f>
        <v>108.7343954382501</v>
      </c>
      <c r="AX29" s="197">
        <f t="shared" si="130"/>
        <v>106.60234846887265</v>
      </c>
      <c r="AY29" s="196">
        <f>AZ29+各项系数!$M$9*$NS29</f>
        <v>108.44416651370373</v>
      </c>
      <c r="AZ29" s="196">
        <f>BA29*(1+$BI29+(VLOOKUP($AM29,$A$12:$B$214,2,0))+各项系数!$J$6+各项系数!$M$5)*(1+$E$2)</f>
        <v>107.88275409980083</v>
      </c>
      <c r="BA29" s="197">
        <f>BB29+各项系数!$L$9*$NS29</f>
        <v>110.08444295898045</v>
      </c>
      <c r="BB29" s="197">
        <f>BC29*(1+$BJ29+各项系数!$J$5+各项系数!$L$5)</f>
        <v>109.52303054507755</v>
      </c>
      <c r="BC29" s="199">
        <f t="shared" si="131"/>
        <v>107.37552014223289</v>
      </c>
      <c r="BD29" s="196">
        <f>BE29+各项系数!$M$9*$NS29</f>
        <v>109.61839873914255</v>
      </c>
      <c r="BE29" s="196">
        <f>BF29*(1+$BI29+(VLOOKUP($AM29,$A$12:$B$214,2,0))+各项系数!$J$6+各项系数!$M$5)*(1+$E$2)</f>
        <v>109.05698632523965</v>
      </c>
      <c r="BF29" s="197">
        <f>BG29+各项系数!$L$9*$NS29</f>
        <v>111.2826391073874</v>
      </c>
      <c r="BG29" s="197">
        <f>BH29*(1+$BJ29+各项系数!$J$5+各项系数!$L$5)</f>
        <v>110.7212266934845</v>
      </c>
      <c r="BH29" s="199">
        <f t="shared" si="132"/>
        <v>108.55022224851422</v>
      </c>
      <c r="BI29" s="51"/>
      <c r="BJ29" s="208"/>
      <c r="BK29" s="102"/>
      <c r="BL29" s="196">
        <f>BM29+各项系数!$M$9*$NM29</f>
        <v>107.6957640924048</v>
      </c>
      <c r="BM29" s="196">
        <f>BN29*(1+$CF29+(VLOOKUP($AM29,$A$12:$B$323,2,0))+各项系数!$J$6+各项系数!$M$5)*(1+$E$2)</f>
        <v>107.1429157467151</v>
      </c>
      <c r="BN29" s="197">
        <f>BO29+各项系数!$L$9*$NM29</f>
        <v>109.32950586399501</v>
      </c>
      <c r="BO29" s="197">
        <f>BP29*(1+$CG29+各项系数!$J$5+各项系数!$L$5)</f>
        <v>108.77665751830531</v>
      </c>
      <c r="BP29" s="197">
        <f t="shared" si="133"/>
        <v>105.60840535757796</v>
      </c>
      <c r="BQ29" s="196">
        <f>BR29+各项系数!$M$9*$NM29</f>
        <v>108.69905026894565</v>
      </c>
      <c r="BR29" s="196">
        <f>BS29*(1+$CF29+(VLOOKUP($AM29,$A$12:$B$323,2,0))+各项系数!$J$6+各项系数!$M$5)*(1+$E$2)</f>
        <v>108.14620192325596</v>
      </c>
      <c r="BS29" s="197">
        <f>BT29+各项系数!$L$9*$NM29</f>
        <v>110.35326726862853</v>
      </c>
      <c r="BT29" s="197">
        <f>BU29*(1+$CG29+各项系数!$J$5+各项系数!$L$5)</f>
        <v>109.80041892293883</v>
      </c>
      <c r="BU29" s="197">
        <f t="shared" si="134"/>
        <v>106.60234846887265</v>
      </c>
      <c r="BV29" s="196">
        <f>BW29+各项系数!$M$9*$NT29</f>
        <v>109.12954089513129</v>
      </c>
      <c r="BW29" s="196">
        <f>BX29*(1+$CF29+(VLOOKUP($AM29,$A$12:$B$214,2,0))+各项系数!$J$6+各项系数!$M$5)*(1+$E$2)</f>
        <v>108.56812848122838</v>
      </c>
      <c r="BX29" s="197">
        <f>BY29+各项系数!$L$9*$NT$12</f>
        <v>110.78380457268203</v>
      </c>
      <c r="BY29" s="197">
        <f>BZ29*(1+$CG29+各项系数!$J$5+各项系数!$L$5)</f>
        <v>110.77554116952706</v>
      </c>
      <c r="BZ29" s="199">
        <f t="shared" si="11"/>
        <v>107.54906909662822</v>
      </c>
      <c r="CA29" s="196">
        <f>CB29+各项系数!$M$9*$NT29</f>
        <v>110.14010488664502</v>
      </c>
      <c r="CB29" s="196">
        <f>CC29*(1+$CF29+(VLOOKUP($AM29,$A$12:$B$214,2,0))+各项系数!$J$6+各项系数!$M$5)*(1+$E$2)</f>
        <v>109.57869247274212</v>
      </c>
      <c r="CC29" s="197">
        <f>CD29+各项系数!$L$9*$NT$12</f>
        <v>111.81499231912461</v>
      </c>
      <c r="CD29" s="197">
        <f>CE29*(1+$CG29+各项系数!$J$5+各项系数!$L$5)</f>
        <v>111.80672891596964</v>
      </c>
      <c r="CE29" s="199">
        <f t="shared" si="135"/>
        <v>108.55022224851422</v>
      </c>
      <c r="CF29" s="213">
        <f t="shared" si="136"/>
        <v>0</v>
      </c>
      <c r="CG29" s="213">
        <f t="shared" si="12"/>
        <v>0.01</v>
      </c>
      <c r="CH29" s="102"/>
      <c r="CI29" s="196">
        <f>CJ29+各项系数!$M$9*$NO29</f>
        <v>107.7549037097474</v>
      </c>
      <c r="CJ29" s="196">
        <f>CK29*(1+$DC29+(VLOOKUP($AM29,$A$12:$B$323,2,0))+各项系数!$J$6+各项系数!$M$5)*(1+$E$2)+各项系数!$M$9*$NK29</f>
        <v>107.19229229814358</v>
      </c>
      <c r="CK29" s="197">
        <f>CL29+各项系数!$L$9*$NO29</f>
        <v>108.81575913515704</v>
      </c>
      <c r="CL29" s="197">
        <f>CM29*(1+$DD29+各项系数!$J$5+各项系数!$L$5)</f>
        <v>108.25314772355323</v>
      </c>
      <c r="CM29" s="197">
        <f t="shared" si="13"/>
        <v>106.13053698387571</v>
      </c>
      <c r="CN29" s="196">
        <f>CO29+各项系数!$M$9*$NO29</f>
        <v>108.87382865757739</v>
      </c>
      <c r="CO29" s="196">
        <f>CP29*(1+$DC29+(VLOOKUP($AM29,$A$12:$B$323,2,0))+各项系数!$J$6+各项系数!$M$5)*(1+$E$2)+各项系数!$M$9*$NK29</f>
        <v>108.31121724597358</v>
      </c>
      <c r="CP29" s="197">
        <f>CQ29+各项系数!$L$9*$NO29</f>
        <v>109.95751928600397</v>
      </c>
      <c r="CQ29" s="197">
        <f>CR29*(1+$DD29+各项系数!$J$5+各项系数!$L$5)</f>
        <v>109.39490787440016</v>
      </c>
      <c r="CR29" s="197">
        <f t="shared" si="14"/>
        <v>107.24990968078447</v>
      </c>
      <c r="CS29" s="196">
        <f>CT29+各项系数!$M$9*$NU29</f>
        <v>109.21469728888708</v>
      </c>
      <c r="CT29" s="196">
        <f t="shared" si="15"/>
        <v>108.64327037908194</v>
      </c>
      <c r="CU29" s="197">
        <f>CV29+各项系数!$L$9*$NU29</f>
        <v>110.86047997865504</v>
      </c>
      <c r="CV29" s="197">
        <f>CW29*(1+$DD29+各项系数!$J$5+各项系数!$L$5)</f>
        <v>110.2890530688499</v>
      </c>
      <c r="CW29" s="199">
        <f t="shared" si="16"/>
        <v>108.12652261651951</v>
      </c>
      <c r="CX29" s="196">
        <f>CY29+各项系数!$M$9*$NU29</f>
        <v>110.42064142820649</v>
      </c>
      <c r="CY29" s="196">
        <f t="shared" si="17"/>
        <v>109.84921451840135</v>
      </c>
      <c r="CZ29" s="197">
        <f>DA29+各项系数!$L$9*$NU29</f>
        <v>112.09103522285852</v>
      </c>
      <c r="DA29" s="197">
        <f>DB29*(1+$DD29+各项系数!$J$5+各项系数!$L$5)</f>
        <v>111.51960831305338</v>
      </c>
      <c r="DB29" s="199">
        <f t="shared" si="18"/>
        <v>109.33294932652292</v>
      </c>
      <c r="DC29" s="213">
        <f t="shared" si="137"/>
        <v>0</v>
      </c>
      <c r="DD29" s="213">
        <f t="shared" si="19"/>
        <v>0</v>
      </c>
      <c r="DE29" s="53"/>
      <c r="DF29" s="53"/>
      <c r="DG29" s="196">
        <f>DH29+各项系数!$M$9*$NQ29</f>
        <v>108.97363269324516</v>
      </c>
      <c r="DH29" s="196">
        <f>DI29*(1+$EA29+(VLOOKUP($AM29,$A$12:$B$323,2,0))+各项系数!$J$6+各项系数!$M$5)*(1+$E$2)+各项系数!$M$9*$NK29</f>
        <v>108.41102128164135</v>
      </c>
      <c r="DI29" s="197">
        <f>DJ29+各项系数!$L$9*$NQ29</f>
        <v>110.05936013872618</v>
      </c>
      <c r="DJ29" s="197">
        <f>DK29*(1+$EB29+各项系数!$J$5+各项系数!$L$5)</f>
        <v>109.49674872712237</v>
      </c>
      <c r="DK29" s="197">
        <f t="shared" si="20"/>
        <v>106.30752303604113</v>
      </c>
      <c r="DL29" s="196">
        <f>DM29+各项系数!$M$9*$NQ29</f>
        <v>110.00421067593427</v>
      </c>
      <c r="DM29" s="196">
        <f>DN29*(1+$EA29+(VLOOKUP($AM29,$A$12:$B$323,2,0))+各项系数!$J$6+各项系数!$M$5)*(1+$E$2)+各项系数!$M$9*$NK29</f>
        <v>109.44159926433046</v>
      </c>
      <c r="DN29" s="197">
        <f>DO29+各项系数!$L$9*$NQ29</f>
        <v>111.11097032514364</v>
      </c>
      <c r="DO29" s="197">
        <f>DP29*(1+$EB29+各项系数!$J$5+各项系数!$L$5)</f>
        <v>110.54835891353983</v>
      </c>
      <c r="DP29" s="197">
        <f t="shared" si="21"/>
        <v>107.32850379955323</v>
      </c>
      <c r="DQ29" s="196">
        <f>DR29+各项系数!$M$9*$NV29</f>
        <v>110.45424853394445</v>
      </c>
      <c r="DR29" s="196">
        <f t="shared" si="22"/>
        <v>109.88282162413931</v>
      </c>
      <c r="DS29" s="197">
        <f>DT29+各项系数!$L$9*$NV29</f>
        <v>112.12532818789725</v>
      </c>
      <c r="DT29" s="197">
        <f>DU29*(1+$EB29+各项系数!$J$5+各项系数!$L$5)</f>
        <v>111.55390127809211</v>
      </c>
      <c r="DU29" s="199">
        <f t="shared" si="23"/>
        <v>108.30475852241952</v>
      </c>
      <c r="DV29" s="196">
        <f>DW29+各项系数!$M$9*$NV29</f>
        <v>110.39566619527309</v>
      </c>
      <c r="DW29" s="196">
        <f t="shared" si="24"/>
        <v>109.82423928546795</v>
      </c>
      <c r="DX29" s="197">
        <f>DY29+各项系数!$L$9*$NV29</f>
        <v>112.06555029129383</v>
      </c>
      <c r="DY29" s="197">
        <f>DZ29*(1+$EB29+各项系数!$J$5+各项系数!$L$5)</f>
        <v>111.49412338148869</v>
      </c>
      <c r="DZ29" s="199">
        <f t="shared" si="25"/>
        <v>108.24672172960067</v>
      </c>
      <c r="EA29" s="213">
        <f t="shared" si="230"/>
        <v>0</v>
      </c>
      <c r="EB29" s="213">
        <f t="shared" si="27"/>
        <v>0.01</v>
      </c>
      <c r="EC29" s="235">
        <f t="shared" si="138"/>
        <v>1</v>
      </c>
      <c r="ED29" s="235" t="str">
        <f t="shared" si="180"/>
        <v>1*185</v>
      </c>
      <c r="EE29" s="189">
        <f t="shared" si="239"/>
        <v>185</v>
      </c>
      <c r="EF29" s="189" t="str">
        <f>LOOKUP(EH29,{1,7,10,14,19,24,30,37,48,61},{1,"1+6","2+8","4+10","1+6+12","2+8+14","4+10+16","1+6+12+18","3+9+15+21","1+6+12+18+24"})</f>
        <v>1+6+12+18</v>
      </c>
      <c r="EG29" s="188">
        <f t="shared" si="29"/>
        <v>1</v>
      </c>
      <c r="EH29" s="197">
        <f>VLOOKUP(EE29,各项系数!$B$87:$C$110,2,0)</f>
        <v>37</v>
      </c>
      <c r="EI29" s="188">
        <f>IF(EH29=0,0,VLOOKUP(EH29,各项系数!$D$142:$E$195,2,0))*1</f>
        <v>7</v>
      </c>
      <c r="EJ29" s="238">
        <f t="shared" si="141"/>
        <v>245.09808262108001</v>
      </c>
      <c r="EK29" s="189">
        <f t="shared" si="181"/>
        <v>0</v>
      </c>
      <c r="EL29" s="189">
        <f t="shared" si="31"/>
        <v>0</v>
      </c>
      <c r="EM29" s="189">
        <f t="shared" si="182"/>
        <v>0</v>
      </c>
      <c r="EN29" s="189">
        <f>IF(EP29=0,0,LOOKUP(EP29,{1,7,10,14,19,24,30,37,48,61},{1,"1+6","2+8","4+10","1+6+12","2+8+14","4+10+16","1+6+12+18","3+9+15+21","1+6+12+18+24"}))</f>
        <v>0</v>
      </c>
      <c r="EO29" s="189">
        <f t="shared" si="183"/>
        <v>0</v>
      </c>
      <c r="EP29" s="189">
        <f>IF(EM29=0,0,IF(EM29&lt;10,1,IF(AND(EM29&gt;=10,EM29&lt;=35),7,LOOKUP(EM29,{50,70,95,120,150,185,240,300},{10,14,19,24,30,37,48,61})*1)))</f>
        <v>0</v>
      </c>
      <c r="EQ29" s="189">
        <f>IF(EP29=0,0,VLOOKUP(EP29,各项系数!$D$142:$E$195,2,0))*1</f>
        <v>0</v>
      </c>
      <c r="ER29" s="189">
        <f t="shared" si="184"/>
        <v>0</v>
      </c>
      <c r="ES29" s="235">
        <f t="shared" si="185"/>
        <v>1</v>
      </c>
      <c r="ET29" s="189">
        <f>VLOOKUP(ES29,各项系数!$D$142:$E$195,2,0)*1</f>
        <v>1</v>
      </c>
      <c r="EU29" s="243">
        <f>((各项系数!$F$76/4*$EJ29^2*$EG29*$EH29*1*10^-7)*(1-$H29)*AA29)*(VLOOKUP($EY$9,各项系数!$D$4:$F$143,3,0))*各项系数!$J$4</f>
        <v>1.5673367508788367</v>
      </c>
      <c r="EV29" s="244">
        <f>EU29*(VLOOKUP($EY$9,各项系数!$D$4:$F$143,2,0))</f>
        <v>102.66055718256381</v>
      </c>
      <c r="EW29" s="252">
        <f>(IF($EO29=0,0,(各项系数!$F$76/4*$ER29^2*$EO29*$EP29*1*10^-7))*(1-$K29)*$AF29)*(VLOOKUP($EY$9,各项系数!$D$4:$F$143,3,0))*各项系数!$J$4</f>
        <v>0</v>
      </c>
      <c r="EX29" s="253">
        <f>EW29*(VLOOKUP($EY$9,各项系数!$D$4:$F$143,2,0))</f>
        <v>0</v>
      </c>
      <c r="EY29" s="189">
        <f>((各项系数!$F$76/4*$EJ29^2*$EG29*$EH29*1*10^-7)*(1-$H29)*AA29+IF($EO29=0,0,(各项系数!$F$76/4*$ER29^2*$EO29*$EP29*1*10^-7))*(1-$K29)*$AF29)*(VLOOKUP($EY$9,各项系数!$D$4:$F$143,3,0))*各项系数!$J$4</f>
        <v>1.5673367508788367</v>
      </c>
      <c r="EZ29" s="102">
        <v>1</v>
      </c>
      <c r="FA29" s="189">
        <f t="shared" si="188"/>
        <v>1.5673367508788367</v>
      </c>
      <c r="FB29" s="254">
        <f>FA29*(VLOOKUP($EY$9,各项系数!$D$4:$F$143,2,0))</f>
        <v>102.66055718256381</v>
      </c>
      <c r="FC29" s="255"/>
      <c r="FD29" s="235">
        <f>各项系数!$F$76/4*($MN29^2-MK29^2)*10^-2*(VLOOKUP(L29,各项系数!$D$1:$F$143,3,0))*10^-3*10^2*$EG29*各项系数!$J$4</f>
        <v>0.10319196742606437</v>
      </c>
      <c r="FE29" s="262">
        <f>FD29*VLOOKUP(L29,各项系数!$D$1:$F$143,2,0)</f>
        <v>1.0525580677458566</v>
      </c>
      <c r="FF29" s="188">
        <f>各项系数!$F$76/4*($MO29^2-ML29^2)*10^-2*(VLOOKUP(L29,各项系数!$D$1:$F$143,3,0))*10^-3*10^2*$EO29*各项系数!$J$4</f>
        <v>0</v>
      </c>
      <c r="FG29" s="262">
        <f>FF29*VLOOKUP(L29,各项系数!$D$1:$F$143,2,0)</f>
        <v>0</v>
      </c>
      <c r="FH29" s="235">
        <f t="shared" si="142"/>
        <v>0.10319196742606437</v>
      </c>
      <c r="FI29" s="102">
        <v>1</v>
      </c>
      <c r="FJ29" s="189">
        <f t="shared" si="189"/>
        <v>0.10319196742606437</v>
      </c>
      <c r="FK29" s="262">
        <f>FJ29*VLOOKUP(L29,各项系数!$D$1:$F$143,2,0)</f>
        <v>1.0525580677458566</v>
      </c>
      <c r="FL29" s="235"/>
      <c r="FM29" s="102"/>
      <c r="FN29" s="189"/>
      <c r="FO29" s="262"/>
      <c r="FP29" s="282">
        <f t="shared" si="190"/>
        <v>0.10319196742606437</v>
      </c>
      <c r="FQ29" s="282">
        <f t="shared" si="191"/>
        <v>1.0525580677458566</v>
      </c>
      <c r="FR29" s="283">
        <f>各项系数!$F$76/4*($MQ29^2-$MN29^2*$EG29-$MO29^2*$EO29)*10^-2</f>
        <v>0</v>
      </c>
      <c r="FS29" s="284">
        <f t="shared" si="143"/>
        <v>1</v>
      </c>
      <c r="FT29" s="285">
        <f t="shared" si="40"/>
        <v>0</v>
      </c>
      <c r="FU29" s="302">
        <f>$FT29*(VLOOKUP($FT$9,各项系数!$D$1:$F$143,3,0))*10^-3*10^2*各项系数!$J$55</f>
        <v>0</v>
      </c>
      <c r="FV29" s="303">
        <v>1</v>
      </c>
      <c r="FW29" s="304">
        <f t="shared" si="192"/>
        <v>0</v>
      </c>
      <c r="FX29" s="285">
        <f>FW29*(VLOOKUP($FT$9,各项系数!$D$1:$F$143,2,0))</f>
        <v>0</v>
      </c>
      <c r="FY29" s="302">
        <f>IF($BK29&lt;&gt;$FY$9,0,各项系数!$F$76/4*($MS29^2-$MQ29^2)*10^-2*(VLOOKUP($FY$9,各项系数!$D$1:$F$143,3,0))*10^-3*10^2)*各项系数!$J$4</f>
        <v>0</v>
      </c>
      <c r="FZ29" s="303">
        <v>1</v>
      </c>
      <c r="GA29" s="304">
        <f t="shared" si="193"/>
        <v>0</v>
      </c>
      <c r="GB29" s="285">
        <f>GA29*(VLOOKUP($FY$9,各项系数!$D$1:$F$143,2,0))</f>
        <v>0</v>
      </c>
      <c r="GC29" s="302">
        <f>IF($BK29&lt;&gt;$GC$9,0,各项系数!$F$76/4*($MS29^2-$MQ29^2)*10^-2*(VLOOKUP($GC$9,各项系数!$D$1:$F$143,3,0))*10^-3*10^2)*各项系数!$J$4</f>
        <v>0</v>
      </c>
      <c r="GD29" s="303">
        <v>1</v>
      </c>
      <c r="GE29" s="304">
        <f t="shared" si="194"/>
        <v>0</v>
      </c>
      <c r="GF29" s="285">
        <f>GE29*(VLOOKUP($GC$9,各项系数!$D$1:$F$143,2,0))</f>
        <v>0</v>
      </c>
      <c r="GG29" s="302">
        <f>IF($BK29&lt;&gt;$GG$9,0,各项系数!$F$76/4*($MS29^2-$MQ29^2)*10^-2*(VLOOKUP($GG$9,各项系数!$D$1:$F$143,3,0))*10^-3*10^2)*各项系数!$J$4</f>
        <v>0</v>
      </c>
      <c r="GH29" s="303">
        <v>1</v>
      </c>
      <c r="GI29" s="304">
        <f t="shared" si="195"/>
        <v>0</v>
      </c>
      <c r="GJ29" s="285">
        <f>GI29*(VLOOKUP($GG$9,各项系数!$D$1:$F$143,2,0))</f>
        <v>0</v>
      </c>
      <c r="GK29" s="302">
        <f>IF($BK29&lt;&gt;$GK$9,0,各项系数!$F$76/4*($MS29^2-$MQ29^2)*10^-2*(VLOOKUP($GK$9,各项系数!$D$1:$F$143,3,0))*10^-3*10^2)*各项系数!$J$4</f>
        <v>0</v>
      </c>
      <c r="GL29" s="303">
        <v>1</v>
      </c>
      <c r="GM29" s="304">
        <f t="shared" si="196"/>
        <v>0</v>
      </c>
      <c r="GN29" s="285">
        <f>GM29*(VLOOKUP($GK$9,各项系数!$D$1:$F$143,2,0))</f>
        <v>0</v>
      </c>
      <c r="GO29" s="304">
        <f t="shared" si="197"/>
        <v>0</v>
      </c>
      <c r="GP29" s="304">
        <f t="shared" si="198"/>
        <v>0</v>
      </c>
      <c r="GQ29" s="315">
        <f>各项系数!$F$76/4*($MU29^2-$MS29^2)*10^-2*(VLOOKUP($S29,各项系数!$D$1:$F$143,3,0))*10^-3*10^2*各项系数!$J$4</f>
        <v>0.15148352045361083</v>
      </c>
      <c r="GR29" s="303">
        <v>1</v>
      </c>
      <c r="GS29" s="304">
        <f t="shared" si="199"/>
        <v>0.15148352045361083</v>
      </c>
      <c r="GT29" s="304">
        <f t="shared" si="200"/>
        <v>0</v>
      </c>
      <c r="GU29" s="304">
        <f>ROUND($GS29*(VLOOKUP($S29,各项系数!$D$1:$F$143,2,0))+$E$3*GS29,GT29)</f>
        <v>2</v>
      </c>
      <c r="GV29" s="315">
        <f>各项系数!$F$76/4*($MT29^2-$MS29^2)*10^-2*(VLOOKUP($GV$9,各项系数!$D$1:$F$143,3,0))*10^-3*10^2*各项系数!$J$4*PI()/4*R29</f>
        <v>2.8546894043998475E-2</v>
      </c>
      <c r="GW29" s="303">
        <v>1</v>
      </c>
      <c r="GX29" s="304">
        <f t="shared" si="201"/>
        <v>2.8546894043998475E-2</v>
      </c>
      <c r="GY29" s="304">
        <f>$GX29*(VLOOKUP($GV$9,各项系数!$D$1:$F$143,2,0))</f>
        <v>1.9269153479698971</v>
      </c>
      <c r="GZ29" s="315">
        <f>各项系数!$F$76/4*($MV29^2-$MS29^2)*10^-2*(VLOOKUP($GZ$9,各项系数!$D$1:$F$143,3,0))*10^-3*10^2*各项系数!$J$4</f>
        <v>0.16995489520958704</v>
      </c>
      <c r="HA29" s="303">
        <v>1</v>
      </c>
      <c r="HB29" s="304">
        <f t="shared" si="144"/>
        <v>0.16995489520958704</v>
      </c>
      <c r="HC29" s="304">
        <f>HB29*(VLOOKUP($GZ$9,各项系数!$D$1:$F$143,2,0))</f>
        <v>2.8892332185629797</v>
      </c>
      <c r="HD29" s="315">
        <f>各项系数!$F$76/4*($MW29^2-$MT29^2)*10^-2*(VLOOKUP($HD$9,各项系数!$D$1:$F$143,3,0))*10^-3*10^2*各项系数!$J$4</f>
        <v>0.17118774413144999</v>
      </c>
      <c r="HE29" s="303">
        <v>1</v>
      </c>
      <c r="HF29" s="304">
        <f t="shared" si="145"/>
        <v>0.17118774413144999</v>
      </c>
      <c r="HG29" s="304">
        <f>HF29*(VLOOKUP($HD$9,各项系数!$D$1:$F$143,2,0))</f>
        <v>2.9101916502346499</v>
      </c>
      <c r="HH29" s="315">
        <f>各项系数!$F$76/4*($MV29^2-$MS29^2)*10^-2*(VLOOKUP($HH$9,各项系数!$D$1:$F$143,3,0))*10^-3*10^2*各项系数!$J$4</f>
        <v>0.16995489520958704</v>
      </c>
      <c r="HI29" s="322">
        <v>1</v>
      </c>
      <c r="HJ29" s="304">
        <f t="shared" si="146"/>
        <v>0.16995489520958704</v>
      </c>
      <c r="HK29" s="304">
        <f>HJ29*(VLOOKUP($HH$9,各项系数!$D$1:$F$143,2,0))</f>
        <v>2.8892332185629797</v>
      </c>
      <c r="HL29" s="315">
        <f>各项系数!$F$76/4*($MW29^2-$MT29^2)*10^-2*(VLOOKUP($HL$9,各项系数!$D$1:$F$143,3,0))*10^-3*10^2*各项系数!$J$4</f>
        <v>0.17118774413144999</v>
      </c>
      <c r="HM29" s="322">
        <v>1</v>
      </c>
      <c r="HN29" s="304">
        <f t="shared" si="147"/>
        <v>0.17118774413144999</v>
      </c>
      <c r="HO29" s="304">
        <f>HN29*(VLOOKUP($HL$9,各项系数!$D$1:$F$143,2,0))</f>
        <v>2.9101916502346499</v>
      </c>
      <c r="HP29" s="315">
        <f>各项系数!$F$76/4*($MV29^2-$MS29^2)*10^-2*(VLOOKUP(AN29,各项系数!$D$1:$F$143,3,0))*10^-3*10^2*各项系数!$J$4</f>
        <v>0.1722991006607538</v>
      </c>
      <c r="HQ29" s="303">
        <v>1</v>
      </c>
      <c r="HR29" s="304">
        <f t="shared" si="202"/>
        <v>0.1722991006607538</v>
      </c>
      <c r="HS29" s="304">
        <f>HR29*(VLOOKUP(AN29,各项系数!$D$1:$F$143,2,0))</f>
        <v>1.722991006607538</v>
      </c>
      <c r="HT29" s="315">
        <f>各项系数!$F$76/4*($MW29^2-$MT29^2)*10^-2*(VLOOKUP(AN29,各项系数!$D$1:$F$143,3,0))*10^-3*10^2*各项系数!$J$4</f>
        <v>0.17354895439533205</v>
      </c>
      <c r="HU29" s="303">
        <v>1</v>
      </c>
      <c r="HV29" s="304">
        <f t="shared" si="203"/>
        <v>0.17354895439533205</v>
      </c>
      <c r="HW29" s="304">
        <f>HV29*(VLOOKUP(AN29,各项系数!$D$1:$F$143,2,0))</f>
        <v>1.7354895439533204</v>
      </c>
      <c r="HX29" s="315">
        <f>各项系数!$F$76/4*($MV29^2-$MS29^2)*10^-2*(VLOOKUP($HX$9,各项系数!$D$1:$F$143,3,0))*10^-3*10^2*各项系数!$J$4</f>
        <v>0.1722991006607538</v>
      </c>
      <c r="HY29" s="322">
        <v>1</v>
      </c>
      <c r="HZ29" s="304">
        <f t="shared" si="204"/>
        <v>0.1722991006607538</v>
      </c>
      <c r="IA29" s="304">
        <f>HZ29*(VLOOKUP($HX$9,各项系数!$D$1:$F$143,2,0))</f>
        <v>1.8952901072682917</v>
      </c>
      <c r="IB29" s="315">
        <f>各项系数!$F$76/4*($MW29^2-$MT29^2)*10^-2*(VLOOKUP($IB$9,各项系数!$D$1:$F$143,3,0))*10^-3*10^2*各项系数!$J$4</f>
        <v>0.17354895439533205</v>
      </c>
      <c r="IC29" s="322">
        <v>1</v>
      </c>
      <c r="ID29" s="304">
        <f t="shared" si="205"/>
        <v>0.17354895439533205</v>
      </c>
      <c r="IE29" s="304">
        <f>ID29*(VLOOKUP($IB$9,各项系数!$D$1:$F$143,2,0))</f>
        <v>1.9090384983486526</v>
      </c>
      <c r="IF29" s="328"/>
      <c r="IG29" s="315">
        <f t="shared" si="148"/>
        <v>2.4555667309416843E-2</v>
      </c>
      <c r="IH29" s="303">
        <v>1</v>
      </c>
      <c r="II29" s="304">
        <f t="shared" si="206"/>
        <v>2.4555667309416843E-2</v>
      </c>
      <c r="IJ29" s="304">
        <f>II29*(VLOOKUP($IG$8,各项系数!$D$1:$F$143,2,0))</f>
        <v>0.61389168273542105</v>
      </c>
      <c r="IK29" s="315">
        <f>(各项系数!$F$76/4*($MX29^2-$MK29^2)*$EG29)*10^-2*(VLOOKUP($IG$8,各项系数!$D$1:$F$143,3,0))*10^-3*10^2*各项系数!$J$4</f>
        <v>2.4555667309416843E-2</v>
      </c>
      <c r="IL29" s="303">
        <f>IK29*(VLOOKUP($IG$8,各项系数!$D$1:$F$143,2,0))</f>
        <v>0.61389168273542105</v>
      </c>
      <c r="IM29" s="304">
        <f>(各项系数!$F$76/4*(($MM29+3*$X29)^2-MM29^2)*$EO29)*10^-2*(VLOOKUP($IG$8,各项系数!$D$1:$F$143,3,0))*10^-3*10^2*各项系数!$J$4</f>
        <v>0</v>
      </c>
      <c r="IN29" s="303">
        <f>IM29*(VLOOKUP($IG$8,各项系数!$D$1:$F$143,2,0))</f>
        <v>0</v>
      </c>
      <c r="IO29" s="315">
        <f>各项系数!$F$76/4*($MZ29^2-$MX29^2)*10^-2*(VLOOKUP(L29,各项系数!$D$1:$F$143,3,0))*10^-3*10^2*$ES29*各项系数!$J$4</f>
        <v>0.10649290165904428</v>
      </c>
      <c r="IP29" s="303">
        <v>1</v>
      </c>
      <c r="IQ29" s="304">
        <f t="shared" si="207"/>
        <v>0.10649290165904428</v>
      </c>
      <c r="IR29" s="285">
        <f>IQ29*(VLOOKUP(L29,各项系数!$D$1:$F$143,2,0))</f>
        <v>1.0862275969222515</v>
      </c>
      <c r="IS29" s="315">
        <f>IF($L29&lt;&gt;$IS$9,0,各项系数!$F$76/4*($MZ29^2-$MX29^2)*10^-2*各项系数!$F$12*10^-3*10^2)*$ES29*各项系数!$J$4</f>
        <v>0</v>
      </c>
      <c r="IT29" s="303">
        <v>1</v>
      </c>
      <c r="IU29" s="304">
        <f t="shared" si="208"/>
        <v>0</v>
      </c>
      <c r="IV29" s="285">
        <f>IU29*各项系数!$E$12</f>
        <v>0</v>
      </c>
      <c r="IW29" s="302">
        <f t="shared" si="209"/>
        <v>0.10649290165904428</v>
      </c>
      <c r="IX29" s="302">
        <f t="shared" si="210"/>
        <v>1.0862275969222515</v>
      </c>
      <c r="IY29" s="339">
        <f>各项系数!$F$76/4*($NB29^2-$MZ29^2*$EG29-$NA29^2*$EO29)*10^-2</f>
        <v>0</v>
      </c>
      <c r="IZ29" s="284">
        <f t="shared" si="231"/>
        <v>1</v>
      </c>
      <c r="JA29" s="285">
        <f t="shared" si="64"/>
        <v>0</v>
      </c>
      <c r="JB29" s="282">
        <f>IF($DE29&lt;&gt;$JB$9,0,$JA29*各项系数!$F$32*10^-3*10^2)*各项系数!$J$4</f>
        <v>0</v>
      </c>
      <c r="JC29" s="102">
        <v>1</v>
      </c>
      <c r="JD29" s="189">
        <f t="shared" si="211"/>
        <v>0</v>
      </c>
      <c r="JE29" s="262">
        <f>JD29*各项系数!$E$32</f>
        <v>0</v>
      </c>
      <c r="JF29" s="282">
        <f>IF($DE29&lt;&gt;$JF$9,0,$JA29*VLOOKUP($JF$9,各项系数!$D$4:$F$540,2,0)*10^-3*10^2)*各项系数!$J$4</f>
        <v>0</v>
      </c>
      <c r="JG29" s="102">
        <v>1</v>
      </c>
      <c r="JH29" s="189">
        <f t="shared" si="66"/>
        <v>0</v>
      </c>
      <c r="JI29" s="262">
        <f>JH29*VLOOKUP($JF$9,各项系数!$D$4:$F$540,3,0)</f>
        <v>0</v>
      </c>
      <c r="JJ29" s="282">
        <f t="shared" si="212"/>
        <v>0</v>
      </c>
      <c r="JK29" s="189">
        <f t="shared" si="213"/>
        <v>0</v>
      </c>
      <c r="JL29" s="282">
        <f>IF($DF29&lt;&gt;$JL$9,0,各项系数!$F$76/4*($NE29^2-$NC29^2)*10^-2*各项系数!$F$39*10^-3*10^2)*各项系数!$J$4</f>
        <v>0</v>
      </c>
      <c r="JM29" s="102">
        <v>1</v>
      </c>
      <c r="JN29" s="189">
        <f t="shared" si="214"/>
        <v>0</v>
      </c>
      <c r="JO29" s="262">
        <f>JN29*各项系数!$E$39</f>
        <v>0</v>
      </c>
      <c r="JP29" s="282">
        <f>IF($DF29&lt;&gt;$JP$9,0,各项系数!$F$76/4*($NE29^2-$NC29^2)*10^-2*各项系数!$F$36*10^-3*10^2)*各项系数!$J$4</f>
        <v>0</v>
      </c>
      <c r="JQ29" s="102">
        <v>1</v>
      </c>
      <c r="JR29" s="189">
        <f t="shared" si="215"/>
        <v>0</v>
      </c>
      <c r="JS29" s="262">
        <f>JR29*各项系数!$E$36</f>
        <v>0</v>
      </c>
      <c r="JT29" s="282">
        <f>IF($DF29&lt;&gt;$JT$9,0,各项系数!$F$76/4*($NE29^2-$NC29^2)*10^-2*各项系数!$F$40*10^-3*10^2)*各项系数!$J$4</f>
        <v>0</v>
      </c>
      <c r="JU29" s="102">
        <v>1</v>
      </c>
      <c r="JV29" s="189">
        <f t="shared" si="216"/>
        <v>0</v>
      </c>
      <c r="JW29" s="262">
        <f>JV29*各项系数!$E$40</f>
        <v>0</v>
      </c>
      <c r="JX29" s="282">
        <f>IF($DF29&lt;&gt;$JX$9,0,各项系数!$F$76/4*($NE29^2-$NC29^2)*10^-2*各项系数!$F$38*10^-3*10^2)*各项系数!$J$4</f>
        <v>0</v>
      </c>
      <c r="JY29" s="102">
        <v>1</v>
      </c>
      <c r="JZ29" s="189">
        <f t="shared" si="217"/>
        <v>0</v>
      </c>
      <c r="KA29" s="262">
        <f>JZ29*各项系数!$E$38</f>
        <v>0</v>
      </c>
      <c r="KB29" s="282">
        <f>IF($DF29&lt;&gt;$KB$9,0,各项系数!$F$76/4*($NE29^2-$NC29^2)*10^-2*各项系数!$F$41*10^-3*10^2)*各项系数!$J$4</f>
        <v>0</v>
      </c>
      <c r="KC29" s="102">
        <v>1</v>
      </c>
      <c r="KD29" s="189">
        <f t="shared" si="218"/>
        <v>0</v>
      </c>
      <c r="KE29" s="262">
        <f>KD29*各项系数!$E$41</f>
        <v>0</v>
      </c>
      <c r="KF29" s="189">
        <f t="shared" si="219"/>
        <v>0</v>
      </c>
      <c r="KG29" s="189">
        <f t="shared" si="220"/>
        <v>0</v>
      </c>
      <c r="KH29" s="235">
        <f>各项系数!$F$76/4*($NG29^2-$NE29^2)*10^-2*各项系数!$F$44*10^-3*10^2*各项系数!$J$4*0.75*$U29</f>
        <v>0.23382527361556205</v>
      </c>
      <c r="KI29" s="102">
        <v>1</v>
      </c>
      <c r="KJ29" s="189">
        <f t="shared" si="221"/>
        <v>0.23382527361556205</v>
      </c>
      <c r="KK29" s="189">
        <f>ROUND(KJ29*各项系数!$E$44,GT29)</f>
        <v>3</v>
      </c>
      <c r="KL29" s="235">
        <f>各项系数!$F$76/4*($NF29^2-$NE29^2)*10^-2*各项系数!$F$46*10^-3*10^2*各项系数!$J$4*PI()/4*R29</f>
        <v>2.9384994004415039E-2</v>
      </c>
      <c r="KM29" s="102">
        <v>1</v>
      </c>
      <c r="KN29" s="189">
        <f t="shared" si="222"/>
        <v>2.9384994004415039E-2</v>
      </c>
      <c r="KO29" s="189">
        <f>KN29*各项系数!$E$46</f>
        <v>1.983487095298015</v>
      </c>
      <c r="KP29" s="235">
        <f>各项系数!$F$76/4*($NH29^2-$NE29^2)*10^-2*(VLOOKUP($KP$9,各项系数!$D$1:$F$143,3,0))*10^-3*10^2*各项系数!$J$4</f>
        <v>0.1745780786665731</v>
      </c>
      <c r="KQ29" s="102">
        <v>1</v>
      </c>
      <c r="KR29" s="189">
        <f t="shared" si="150"/>
        <v>0.1745780786665731</v>
      </c>
      <c r="KS29" s="189">
        <f>KR29*(VLOOKUP($KP$9,各项系数!$D$1:$F$143,2,0))</f>
        <v>2.9678273373317428</v>
      </c>
      <c r="KT29" s="235">
        <f>各项系数!$F$76/4*($NI29^2-$NF29^2)*10^-2*(VLOOKUP($KT$9,各项系数!$D$1:$F$143,3,0))*10^-3*10^2*各项系数!$J$4</f>
        <v>0.17581092758843606</v>
      </c>
      <c r="KU29" s="102">
        <v>1</v>
      </c>
      <c r="KV29" s="189">
        <f t="shared" si="151"/>
        <v>0.17581092758843606</v>
      </c>
      <c r="KW29" s="189">
        <f>KV29*(VLOOKUP($KT$9,各项系数!$D$1:$F$143,2,0))</f>
        <v>2.988785769003413</v>
      </c>
      <c r="KX29" s="189">
        <f>各项系数!$F$76/4*($NH29^2-$NE29^2)*10^-2*(VLOOKUP($KX$9,各项系数!$D$1:$F$143,3,0))*10^-3*10^2*各项系数!$J$4</f>
        <v>0.1745780786665731</v>
      </c>
      <c r="KY29" s="353">
        <v>1</v>
      </c>
      <c r="KZ29" s="189">
        <f t="shared" si="152"/>
        <v>0.1745780786665731</v>
      </c>
      <c r="LA29" s="189">
        <f>KZ29*(VLOOKUP($KX$9,各项系数!$D$1:$F$143,2,0))</f>
        <v>2.9678273373317428</v>
      </c>
      <c r="LB29" s="189">
        <f>各项系数!$F$76/4*($NI29^2-$NF29^2)*10^-2*(VLOOKUP($LB$9,各项系数!$D$1:$F$143,3,0))*10^-3*10^2*各项系数!$J$4</f>
        <v>0.17581092758843606</v>
      </c>
      <c r="LC29" s="353">
        <v>1</v>
      </c>
      <c r="LD29" s="189">
        <f t="shared" si="153"/>
        <v>0.17581092758843606</v>
      </c>
      <c r="LE29" s="189">
        <f>LD29*(VLOOKUP($LB$9,各项系数!$D$1:$F$143,2,0))</f>
        <v>2.988785769003413</v>
      </c>
      <c r="LF29" s="235">
        <f>各项系数!$F$76/4*($NH29^2-$NE29^2)*10^-2*(VLOOKUP(AN29,各项系数!$D$1:$F$143,3,0))*10^-3*10^2*各项系数!$J$4</f>
        <v>0.17698605216542243</v>
      </c>
      <c r="LG29" s="102">
        <v>1</v>
      </c>
      <c r="LH29" s="189">
        <f t="shared" si="223"/>
        <v>0.17698605216542243</v>
      </c>
      <c r="LI29" s="189">
        <f>LH29*(VLOOKUP(AN29,各项系数!$D$1:$F$143,2,0))</f>
        <v>1.7698605216542243</v>
      </c>
      <c r="LJ29" s="235">
        <f>各项系数!$F$76/4*($NI29^2-$NF29^2)*10^-2*(VLOOKUP(AN29,各项系数!$D$1:$F$143,3,0))*10^-3*10^2*各项系数!$J$4</f>
        <v>0.17823590590000071</v>
      </c>
      <c r="LK29" s="102">
        <v>1</v>
      </c>
      <c r="LL29" s="189">
        <f t="shared" si="224"/>
        <v>0.17823590590000071</v>
      </c>
      <c r="LM29" s="189">
        <f>LL29*(VLOOKUP(AN29,各项系数!$D$1:$F$143,2,0))</f>
        <v>1.7823590590000071</v>
      </c>
      <c r="LN29" s="189">
        <f>各项系数!$F$76/4*($NH29^2-$NE29^2)*10^-2*(VLOOKUP($LN$9,各项系数!$D$1:$F$143,3,0))*10^-3*10^2*各项系数!$J$4</f>
        <v>0.17698605216542243</v>
      </c>
      <c r="LO29" s="353">
        <v>1</v>
      </c>
      <c r="LP29" s="189">
        <f t="shared" si="225"/>
        <v>0.17698605216542243</v>
      </c>
      <c r="LQ29" s="189">
        <f>LP29*(VLOOKUP($LN$9,各项系数!$D$1:$F$143,2,0))</f>
        <v>1.9468465738196468</v>
      </c>
      <c r="LR29" s="189">
        <f>各项系数!$F$76/4*($NI29^2-$NF29^2)*10^-2*(VLOOKUP($LR$9,各项系数!$D$1:$F$143,3,0))*10^-3*10^2*各项系数!$J$4</f>
        <v>0.17823590590000071</v>
      </c>
      <c r="LS29" s="353">
        <v>1</v>
      </c>
      <c r="LT29" s="189">
        <f t="shared" si="226"/>
        <v>0.17823590590000071</v>
      </c>
      <c r="LU29" s="189">
        <f>LT29*(VLOOKUP($LR$9,各项系数!$D$1:$F$143,2,0))</f>
        <v>1.9605949649000078</v>
      </c>
      <c r="LV29" s="227">
        <f t="shared" si="154"/>
        <v>231.18826747</v>
      </c>
      <c r="LW29" s="227">
        <f t="shared" si="155"/>
        <v>174.57073258</v>
      </c>
      <c r="LX29" s="227">
        <f t="shared" si="156"/>
        <v>14.908734355210807</v>
      </c>
      <c r="LY29" s="227">
        <f t="shared" si="157"/>
        <v>56.617534890000002</v>
      </c>
      <c r="LZ29" s="374">
        <f t="shared" si="86"/>
        <v>1</v>
      </c>
      <c r="MA29" s="375">
        <f t="shared" si="87"/>
        <v>231.18826747</v>
      </c>
      <c r="MB29" s="375">
        <f t="shared" si="158"/>
        <v>17.156865809999999</v>
      </c>
      <c r="MC29" s="227">
        <f t="shared" si="159"/>
        <v>0</v>
      </c>
      <c r="MD29" s="227">
        <f t="shared" si="160"/>
        <v>0</v>
      </c>
      <c r="ME29" s="227">
        <f t="shared" si="161"/>
        <v>0</v>
      </c>
      <c r="MF29" s="227">
        <f t="shared" si="162"/>
        <v>0</v>
      </c>
      <c r="MG29" s="374">
        <f t="shared" si="163"/>
        <v>1</v>
      </c>
      <c r="MH29" s="375">
        <f t="shared" si="88"/>
        <v>0</v>
      </c>
      <c r="MI29" s="375">
        <f t="shared" si="164"/>
        <v>0</v>
      </c>
      <c r="MJ29" s="189">
        <f t="shared" si="89"/>
        <v>17.156865809999999</v>
      </c>
      <c r="MK29" s="189">
        <f t="shared" si="165"/>
        <v>17.156865809999999</v>
      </c>
      <c r="ML29" s="189">
        <f t="shared" si="227"/>
        <v>0</v>
      </c>
      <c r="MM29" s="189">
        <f t="shared" si="91"/>
        <v>0</v>
      </c>
      <c r="MN29" s="189">
        <f t="shared" si="92"/>
        <v>20.356865809999999</v>
      </c>
      <c r="MO29" s="189">
        <f t="shared" si="166"/>
        <v>0</v>
      </c>
      <c r="MP29" s="189">
        <f t="shared" si="167"/>
        <v>20.356865809999999</v>
      </c>
      <c r="MQ29" s="189">
        <f t="shared" si="228"/>
        <v>20.356865809999999</v>
      </c>
      <c r="MR29" s="246">
        <f t="shared" si="168"/>
        <v>20.356865809999999</v>
      </c>
      <c r="MS29" s="380">
        <f t="shared" si="94"/>
        <v>20.356865809999999</v>
      </c>
      <c r="MT29" s="380">
        <f t="shared" si="95"/>
        <v>20.516865809999999</v>
      </c>
      <c r="MU29" s="380">
        <f t="shared" si="232"/>
        <v>20.95686581</v>
      </c>
      <c r="MV29" s="380">
        <f t="shared" si="97"/>
        <v>23.756865809999997</v>
      </c>
      <c r="MW29" s="380">
        <f t="shared" si="98"/>
        <v>23.916865809999997</v>
      </c>
      <c r="MX29" s="254">
        <f t="shared" si="233"/>
        <v>17.756865810000001</v>
      </c>
      <c r="MY29" s="254">
        <f t="shared" si="100"/>
        <v>0</v>
      </c>
      <c r="MZ29" s="189">
        <f t="shared" si="101"/>
        <v>20.95686581</v>
      </c>
      <c r="NA29" s="189">
        <f t="shared" si="102"/>
        <v>0</v>
      </c>
      <c r="NB29" s="189">
        <f t="shared" si="169"/>
        <v>20.95686581</v>
      </c>
      <c r="NC29" s="254">
        <f t="shared" si="229"/>
        <v>20.95686581</v>
      </c>
      <c r="ND29" s="246">
        <f t="shared" si="234"/>
        <v>20.95686581</v>
      </c>
      <c r="NE29" s="386">
        <f t="shared" si="235"/>
        <v>20.95686581</v>
      </c>
      <c r="NF29" s="380">
        <f t="shared" si="106"/>
        <v>21.11686581</v>
      </c>
      <c r="NG29" s="387">
        <f t="shared" si="236"/>
        <v>21.556865810000001</v>
      </c>
      <c r="NH29" s="254">
        <f t="shared" si="108"/>
        <v>24.356865809999999</v>
      </c>
      <c r="NI29" s="380">
        <f t="shared" si="109"/>
        <v>24.516865809999999</v>
      </c>
      <c r="NK29" s="388">
        <f t="shared" si="110"/>
        <v>1.8428278189656548</v>
      </c>
      <c r="NL29" s="388">
        <f t="shared" si="111"/>
        <v>105.43610625691721</v>
      </c>
      <c r="NM29" s="388">
        <f t="shared" si="112"/>
        <v>1.8428278189656548</v>
      </c>
      <c r="NN29" s="388">
        <f t="shared" si="113"/>
        <v>105.60840535757796</v>
      </c>
      <c r="NO29" s="388">
        <f t="shared" si="114"/>
        <v>1.8753713720127203</v>
      </c>
      <c r="NP29" s="388">
        <f t="shared" si="115"/>
        <v>106.1305369838757</v>
      </c>
      <c r="NQ29" s="388">
        <f t="shared" si="116"/>
        <v>1.8753713720127203</v>
      </c>
      <c r="NR29" s="388">
        <f t="shared" si="117"/>
        <v>106.30752303604113</v>
      </c>
      <c r="NS29" s="388">
        <f t="shared" si="118"/>
        <v>1.8713747130096534</v>
      </c>
      <c r="NT29" s="388">
        <f t="shared" si="119"/>
        <v>1.8713747130096534</v>
      </c>
      <c r="NU29" s="388">
        <f t="shared" si="120"/>
        <v>1.9047563660171354</v>
      </c>
      <c r="NV29" s="388">
        <f t="shared" si="121"/>
        <v>1.9047563660171354</v>
      </c>
      <c r="NW29">
        <f t="shared" si="122"/>
        <v>1.9943113394192657</v>
      </c>
      <c r="NX29">
        <f>各项系数!$M$9*NK29</f>
        <v>0.55284834568969643</v>
      </c>
      <c r="NY29">
        <f t="shared" si="123"/>
        <v>1.8713747130096534</v>
      </c>
      <c r="OB29" s="66" t="str">
        <f t="shared" si="124"/>
        <v>1*185</v>
      </c>
      <c r="OC29" s="395">
        <f t="shared" si="125"/>
        <v>245.09808262108001</v>
      </c>
      <c r="OD29" s="395">
        <f>SQRT(4*EY29/PI()/EH29/各项系数!$J$4/各项系数!$F$5*10000000)</f>
        <v>246.92947607788281</v>
      </c>
      <c r="OE29" s="396">
        <f t="shared" si="126"/>
        <v>174.57073204005218</v>
      </c>
      <c r="OF29" s="396">
        <f t="shared" si="127"/>
        <v>177.18929302065294</v>
      </c>
      <c r="OG29" s="66">
        <v>176.9</v>
      </c>
      <c r="OH29" s="397">
        <f t="shared" si="186"/>
        <v>0.28929302065293427</v>
      </c>
    </row>
    <row r="30" spans="1:398" ht="15" hidden="1" customHeight="1">
      <c r="A30" s="50">
        <v>240</v>
      </c>
      <c r="B30" s="51">
        <v>0</v>
      </c>
      <c r="C30" s="52">
        <v>1.7</v>
      </c>
      <c r="D30" s="53" t="s">
        <v>244</v>
      </c>
      <c r="E30" s="61">
        <f t="shared" ref="E30:E45" si="240">MV30</f>
        <v>27.106150080000003</v>
      </c>
      <c r="F30" s="59">
        <v>246.701228113631</v>
      </c>
      <c r="G30" s="58"/>
      <c r="H30" s="62"/>
      <c r="I30" s="62"/>
      <c r="J30" s="62"/>
      <c r="K30" s="62"/>
      <c r="L30" s="97" t="s">
        <v>467</v>
      </c>
      <c r="M30" s="103">
        <f t="shared" si="2"/>
        <v>1.7</v>
      </c>
      <c r="N30" s="103">
        <f t="shared" si="3"/>
        <v>0</v>
      </c>
      <c r="O30" s="102"/>
      <c r="P30" s="99">
        <v>0.1</v>
      </c>
      <c r="Q30" s="133">
        <f t="shared" si="237"/>
        <v>0.1</v>
      </c>
      <c r="R30" s="140">
        <v>0.8</v>
      </c>
      <c r="S30" s="142" t="str">
        <f>各项系数!$D$44</f>
        <v>磁性钢带</v>
      </c>
      <c r="T30" s="102">
        <v>0.5</v>
      </c>
      <c r="U30" s="102">
        <v>2</v>
      </c>
      <c r="V30" s="140"/>
      <c r="W30" s="141">
        <v>1.8</v>
      </c>
      <c r="X30" s="135">
        <f t="shared" si="238"/>
        <v>0.2</v>
      </c>
      <c r="Y30" s="135"/>
      <c r="Z30" s="168"/>
      <c r="AA30" s="153">
        <v>1.0149999999999999</v>
      </c>
      <c r="AB30" s="153">
        <f>PI()*EJ30*EJ30/4*EH30*(1-H30)*AA30*各项系数!$F$5*各项系数!$J$4*10^-7</f>
        <v>2.05998769246807</v>
      </c>
      <c r="AC30" s="153">
        <f t="shared" ref="AC30:AC45" si="241">EJ30</f>
        <v>246.701228113631</v>
      </c>
      <c r="AD30" s="153">
        <f t="shared" si="5"/>
        <v>232.88407080035392</v>
      </c>
      <c r="AE30" s="153">
        <f>POWER(4*EU30/PI()/EG30/10^-7/EH30/(1-H30)/各项系数!$F$5/各项系数!$J$4,0.5)</f>
        <v>248.54460040818714</v>
      </c>
      <c r="AF30" s="69">
        <v>1</v>
      </c>
      <c r="AG30" s="69">
        <f>IF(EM30=0,0,PI()*ER30*ER30/4*EP30*(1-K30)*(1+AF30)*各项系数!$F$5*各项系数!$J$4*10^-7)</f>
        <v>0</v>
      </c>
      <c r="AH30" s="69">
        <f t="shared" ref="AH30:AH45" si="242">ER30</f>
        <v>0</v>
      </c>
      <c r="AI30" s="69">
        <f t="shared" si="128"/>
        <v>0</v>
      </c>
      <c r="AJ30" s="69">
        <f>IF(OR(EP30="",EP30=0),0,POWER(4*EW30/PI()/EO30/10^-7/EP30/(1-K30)/各项系数!$F$5/各项系数!$J$4,0.5))</f>
        <v>0</v>
      </c>
      <c r="AK30" s="69" t="str">
        <f t="shared" si="8"/>
        <v>√</v>
      </c>
      <c r="AL30" s="69">
        <f t="shared" ref="AL30:AL45" si="243">AO30*(1+0.02)</f>
        <v>142.48460328592299</v>
      </c>
      <c r="AM30" s="188">
        <f t="shared" ref="AM30:AM45" si="244">EE30*1</f>
        <v>240</v>
      </c>
      <c r="AN30" s="97" t="s">
        <v>486</v>
      </c>
      <c r="AO30" s="196">
        <f>AP30+各项系数!$M$9*$NK30</f>
        <v>139.69078753521862</v>
      </c>
      <c r="AP30" s="196">
        <f>AQ30*(1+$BI30+(VLOOKUP($AM30,$A$12:$B$323,2,0))+各项系数!$J$6+各项系数!$M$5)*(1+$E$2)</f>
        <v>138.97175865776035</v>
      </c>
      <c r="AQ30" s="197">
        <f>AR30+各项系数!$L$9*$NK30</f>
        <v>141.80791699771464</v>
      </c>
      <c r="AR30" s="197">
        <f>AS30*(1+$BJ30+各项系数!$J$5+各项系数!$L$5)</f>
        <v>141.08888812025637</v>
      </c>
      <c r="AS30" s="197">
        <f t="shared" si="129"/>
        <v>138.32243933358467</v>
      </c>
      <c r="AT30" s="196">
        <f>AU30+各项系数!$M$9*$NM30</f>
        <v>141.1069753916648</v>
      </c>
      <c r="AU30" s="196">
        <f>AV30*(1+$BI30+(VLOOKUP($AM30,$A$12:$B$323,2,0))+各项系数!$J$6+各项系数!$M$5)*(1+$E$2)</f>
        <v>140.38794651420653</v>
      </c>
      <c r="AV30" s="197">
        <f>AW30+各项系数!$L$9*$NM30</f>
        <v>143.25300664714953</v>
      </c>
      <c r="AW30" s="197">
        <f>AX30*(1+$BJ30+各项系数!$J$5+各项系数!$L$5)</f>
        <v>142.53397776969126</v>
      </c>
      <c r="AX30" s="197">
        <f t="shared" si="130"/>
        <v>139.73919389185417</v>
      </c>
      <c r="AY30" s="196">
        <f>AZ30+各项系数!$M$9*$NS30</f>
        <v>141.94654586121214</v>
      </c>
      <c r="AZ30" s="196">
        <f>BA30*(1+$BI30+(VLOOKUP($AM30,$A$12:$B$214,2,0))+各项系数!$J$6+各项系数!$M$5)*(1+$E$2)</f>
        <v>141.21763320802967</v>
      </c>
      <c r="BA30" s="197">
        <f>BB30+各项系数!$L$9*$NS30</f>
        <v>144.09962572247926</v>
      </c>
      <c r="BB30" s="197">
        <f>BC30*(1+$BJ30+各项系数!$J$5+各项系数!$L$5)</f>
        <v>143.37071306929678</v>
      </c>
      <c r="BC30" s="199">
        <f t="shared" si="131"/>
        <v>140.55952261695762</v>
      </c>
      <c r="BD30" s="196">
        <f>BE30+各项系数!$M$9*$NS30</f>
        <v>143.37168766981287</v>
      </c>
      <c r="BE30" s="196">
        <f>BF30*(1+$BI30+(VLOOKUP($AM30,$A$12:$B$214,2,0))+各项系数!$J$6+各项系数!$M$5)*(1+$E$2)</f>
        <v>142.6427750166304</v>
      </c>
      <c r="BF30" s="197">
        <f>BG30+各项系数!$L$9*$NS30</f>
        <v>145.55385205778612</v>
      </c>
      <c r="BG30" s="197">
        <f>BH30*(1+$BJ30+各项系数!$J$5+各项系数!$L$5)</f>
        <v>144.82493940460364</v>
      </c>
      <c r="BH30" s="199">
        <f t="shared" si="132"/>
        <v>141.98523471039573</v>
      </c>
      <c r="BI30" s="51"/>
      <c r="BJ30" s="208"/>
      <c r="BK30" s="102"/>
      <c r="BL30" s="196">
        <f>BM30+各项系数!$M$9*$NM30</f>
        <v>141.25762441708395</v>
      </c>
      <c r="BM30" s="196">
        <f>BN30*(1+$CF30+(VLOOKUP($AM30,$A$12:$B$323,2,0))+各项系数!$J$6+各项系数!$M$5)*(1+$E$2)</f>
        <v>140.53859553962567</v>
      </c>
      <c r="BN30" s="197">
        <f>BO30+各项系数!$L$9*$NM30</f>
        <v>143.40673014247517</v>
      </c>
      <c r="BO30" s="197">
        <f>BP30*(1+$CG30+各项系数!$J$5+各项系数!$L$5)</f>
        <v>142.6877012650169</v>
      </c>
      <c r="BP30" s="197">
        <f t="shared" si="133"/>
        <v>138.53174880098729</v>
      </c>
      <c r="BQ30" s="196">
        <f>BR30+各项系数!$M$9*$NM30</f>
        <v>142.47641949180496</v>
      </c>
      <c r="BR30" s="196">
        <f>BS30*(1+$CF30+(VLOOKUP($AM30,$A$12:$B$323,2,0))+各项系数!$J$6+各项系数!$M$5)*(1+$E$2)</f>
        <v>141.75739061434669</v>
      </c>
      <c r="BS30" s="197">
        <f>BT30+各项系数!$L$9*$NM30</f>
        <v>144.65039858606806</v>
      </c>
      <c r="BT30" s="197">
        <f>BU30*(1+$CG30+各项系数!$J$5+各项系数!$L$5)</f>
        <v>143.93136970860979</v>
      </c>
      <c r="BU30" s="197">
        <f t="shared" si="134"/>
        <v>139.73919389185417</v>
      </c>
      <c r="BV30" s="196">
        <f>BW30+各项系数!$M$9*$NT30</f>
        <v>142.83040570849079</v>
      </c>
      <c r="BW30" s="196">
        <f>BX30*(1+$CF30+(VLOOKUP($AM30,$A$12:$B$214,2,0))+各项系数!$J$6+各项系数!$M$5)*(1+$E$2)</f>
        <v>142.10149305530831</v>
      </c>
      <c r="BX30" s="197">
        <f>BY30+各项系数!$L$9*$NT$12</f>
        <v>145.00152352582481</v>
      </c>
      <c r="BY30" s="197">
        <f>BZ30*(1+$CG30+各项系数!$J$5+各项系数!$L$5)</f>
        <v>144.99326012266982</v>
      </c>
      <c r="BZ30" s="199">
        <f t="shared" si="11"/>
        <v>140.77015545890274</v>
      </c>
      <c r="CA30" s="196">
        <f>CB30+各项系数!$M$9*$NT30</f>
        <v>144.05690670494781</v>
      </c>
      <c r="CB30" s="196">
        <f>CC30*(1+$CF30+(VLOOKUP($AM30,$A$12:$B$214,2,0))+各项系数!$J$6+各项系数!$M$5)*(1+$E$2)</f>
        <v>143.32799405176533</v>
      </c>
      <c r="CC30" s="197">
        <f>CD30+各项系数!$L$9*$NT$12</f>
        <v>146.25305515486258</v>
      </c>
      <c r="CD30" s="197">
        <f>CE30*(1+$CG30+各项系数!$J$5+各项系数!$L$5)</f>
        <v>146.2447917517076</v>
      </c>
      <c r="CE30" s="199">
        <f t="shared" si="135"/>
        <v>141.98523471039573</v>
      </c>
      <c r="CF30" s="213">
        <f t="shared" si="136"/>
        <v>0</v>
      </c>
      <c r="CG30" s="213">
        <f t="shared" si="12"/>
        <v>0.01</v>
      </c>
      <c r="CH30" s="102"/>
      <c r="CI30" s="196">
        <f>CJ30+各项系数!$M$9*$NO30</f>
        <v>141.23458389801669</v>
      </c>
      <c r="CJ30" s="196">
        <f>CK30*(1+$DC30+(VLOOKUP($AM30,$A$12:$B$323,2,0))+各项系数!$J$6+各项系数!$M$5)*(1+$E$2)+各项系数!$M$9*$NK30</f>
        <v>140.5044027696747</v>
      </c>
      <c r="CK30" s="197">
        <f>CL30+各项系数!$L$9*$NO30</f>
        <v>142.63813662471065</v>
      </c>
      <c r="CL30" s="197">
        <f>CM30*(1+$DD30+各项系数!$J$5+各项系数!$L$5)</f>
        <v>141.90795549636866</v>
      </c>
      <c r="CM30" s="197">
        <f t="shared" si="13"/>
        <v>139.12544656506731</v>
      </c>
      <c r="CN30" s="196">
        <f>CO30+各项系数!$M$9*$NO30</f>
        <v>142.6011650597375</v>
      </c>
      <c r="CO30" s="196">
        <f>CP30*(1+$DC30+(VLOOKUP($AM30,$A$12:$B$323,2,0))+各项系数!$J$6+各项系数!$M$5)*(1+$E$2)+各项系数!$M$9*$NK30</f>
        <v>141.8709839313955</v>
      </c>
      <c r="CP30" s="197">
        <f>CQ30+各项系数!$L$9*$NO30</f>
        <v>144.03260719789515</v>
      </c>
      <c r="CQ30" s="197">
        <f>CR30*(1+$DD30+各项系数!$J$5+各项系数!$L$5)</f>
        <v>143.30242606955315</v>
      </c>
      <c r="CR30" s="197">
        <f t="shared" si="14"/>
        <v>140.49257457799328</v>
      </c>
      <c r="CS30" s="196">
        <f>CT30+各项系数!$M$9*$NU30</f>
        <v>142.82836029655761</v>
      </c>
      <c r="CT30" s="196">
        <f t="shared" si="15"/>
        <v>142.08804396250326</v>
      </c>
      <c r="CU30" s="197">
        <f>CV30+各项系数!$L$9*$NU30</f>
        <v>144.98779996173803</v>
      </c>
      <c r="CV30" s="197">
        <f>CW30*(1+$DD30+各项系数!$J$5+各项系数!$L$5)</f>
        <v>144.24748362768369</v>
      </c>
      <c r="CW30" s="199">
        <f t="shared" si="16"/>
        <v>141.41910159576832</v>
      </c>
      <c r="CX30" s="196">
        <f>CY30+各项系数!$M$9*$NU30</f>
        <v>144.2870794257378</v>
      </c>
      <c r="CY30" s="196">
        <f t="shared" si="17"/>
        <v>143.54676309168346</v>
      </c>
      <c r="CZ30" s="197">
        <f>DA30+各项系数!$L$9*$NU30</f>
        <v>146.47628886906475</v>
      </c>
      <c r="DA30" s="197">
        <f>DB30*(1+$DD30+各项系数!$J$5+各项系数!$L$5)</f>
        <v>145.7359725350104</v>
      </c>
      <c r="DB30" s="199">
        <f t="shared" si="18"/>
        <v>142.87840444608864</v>
      </c>
      <c r="DC30" s="213">
        <f t="shared" si="137"/>
        <v>0</v>
      </c>
      <c r="DD30" s="213">
        <f t="shared" si="19"/>
        <v>0</v>
      </c>
      <c r="DE30" s="53"/>
      <c r="DF30" s="53"/>
      <c r="DG30" s="196">
        <f>DH30+各项系数!$M$9*$NQ30</f>
        <v>142.81429955423758</v>
      </c>
      <c r="DH30" s="196">
        <f>DI30*(1+$EA30+(VLOOKUP($AM30,$A$12:$B$323,2,0))+各项系数!$J$6+各项系数!$M$5)*(1+$E$2)+各项系数!$M$9*$NK30</f>
        <v>142.08411842589558</v>
      </c>
      <c r="DI30" s="197">
        <f>DJ30+各项系数!$L$9*$NQ30</f>
        <v>144.25009137595643</v>
      </c>
      <c r="DJ30" s="197">
        <f>DK30*(1+$EB30+各项系数!$J$5+各项系数!$L$5)</f>
        <v>143.51991024761443</v>
      </c>
      <c r="DK30" s="197">
        <f t="shared" si="20"/>
        <v>139.33971868700431</v>
      </c>
      <c r="DL30" s="196">
        <f>DM30+各项系数!$M$9*$NQ30</f>
        <v>144.06199183546852</v>
      </c>
      <c r="DM30" s="196">
        <f>DN30*(1+$EA30+(VLOOKUP($AM30,$A$12:$B$323,2,0))+各项系数!$J$6+各项系数!$M$5)*(1+$E$2)+各项系数!$M$9*$NK30</f>
        <v>143.33181070712652</v>
      </c>
      <c r="DN30" s="197">
        <f>DO30+各项系数!$L$9*$NQ30</f>
        <v>145.52324676496761</v>
      </c>
      <c r="DO30" s="197">
        <f>DP30*(1+$EB30+各项系数!$J$5+各项系数!$L$5)</f>
        <v>144.79306563662561</v>
      </c>
      <c r="DP30" s="197">
        <f t="shared" si="21"/>
        <v>140.57579188021904</v>
      </c>
      <c r="DQ30" s="196">
        <f>DR30+各项系数!$M$9*$NV30</f>
        <v>144.43188958634255</v>
      </c>
      <c r="DR30" s="196">
        <f t="shared" si="22"/>
        <v>143.69157325228821</v>
      </c>
      <c r="DS30" s="197">
        <f>DT30+各项系数!$L$9*$NV30</f>
        <v>146.6240543390696</v>
      </c>
      <c r="DT30" s="197">
        <f>DU30*(1+$EB30+各项系数!$J$5+各项系数!$L$5)</f>
        <v>145.88373800501526</v>
      </c>
      <c r="DU30" s="199">
        <f t="shared" si="23"/>
        <v>141.63469709224782</v>
      </c>
      <c r="DV30" s="196">
        <f>DW30+各项系数!$M$9*$NV30</f>
        <v>144.33880541968986</v>
      </c>
      <c r="DW30" s="196">
        <f t="shared" si="24"/>
        <v>143.59848908563552</v>
      </c>
      <c r="DX30" s="197">
        <f>DY30+各项系数!$L$9*$NV30</f>
        <v>146.52907049554645</v>
      </c>
      <c r="DY30" s="197">
        <f>DZ30*(1+$EB30+各项系数!$J$5+各项系数!$L$5)</f>
        <v>145.78875416149211</v>
      </c>
      <c r="DZ30" s="199">
        <f t="shared" si="25"/>
        <v>141.54247976843894</v>
      </c>
      <c r="EA30" s="213">
        <f t="shared" si="230"/>
        <v>0</v>
      </c>
      <c r="EB30" s="213">
        <f t="shared" si="27"/>
        <v>0.01</v>
      </c>
      <c r="EC30" s="235">
        <f t="shared" si="138"/>
        <v>1</v>
      </c>
      <c r="ED30" s="235" t="str">
        <f t="shared" si="180"/>
        <v>1*240</v>
      </c>
      <c r="EE30" s="189">
        <f t="shared" si="239"/>
        <v>240</v>
      </c>
      <c r="EF30" s="189" t="str">
        <f>LOOKUP(EH30,{1,7,10,14,19,24,30,37,48,61},{1,"1+6","2+8","4+10","1+6+12","2+8+14","4+10+16","1+6+12+18","3+9+15+21","1+6+12+18+24"})</f>
        <v>3+9+15+21</v>
      </c>
      <c r="EG30" s="188">
        <f t="shared" si="29"/>
        <v>1</v>
      </c>
      <c r="EH30" s="197">
        <f>VLOOKUP(EE30,各项系数!$B$87:$C$110,2,0)</f>
        <v>48</v>
      </c>
      <c r="EI30" s="188">
        <f>IF(EH30=0,0,VLOOKUP(EH30,各项系数!$D$142:$E$195,2,0))*1</f>
        <v>8.15</v>
      </c>
      <c r="EJ30" s="238">
        <f t="shared" si="141"/>
        <v>246.701228113631</v>
      </c>
      <c r="EK30" s="189">
        <f t="shared" ref="EK30:EK45" si="245">IF(COUNTIF($D30,"*+*")&gt;0,MID($D30,FIND("+",$D30)+1,LEN($D30)),0)</f>
        <v>0</v>
      </c>
      <c r="EL30" s="189">
        <f t="shared" si="31"/>
        <v>0</v>
      </c>
      <c r="EM30" s="189">
        <f t="shared" si="182"/>
        <v>0</v>
      </c>
      <c r="EN30" s="189">
        <f>IF(EP30=0,0,LOOKUP(EP30,{1,7,10,14,19,24,30,37,48,61},{1,"1+6","2+8","4+10","1+6+12","2+8+14","4+10+16","1+6+12+18","3+9+15+21","1+6+12+18+24"}))</f>
        <v>0</v>
      </c>
      <c r="EO30" s="189">
        <f t="shared" ref="EO30:EO45" si="246">IF(EK30=0,0,MID(EK30,1,1))</f>
        <v>0</v>
      </c>
      <c r="EP30" s="189">
        <f>IF(EM30=0,0,IF(EM30&lt;10,1,IF(AND(EM30&gt;=10,EM30&lt;=35),7,LOOKUP(EM30,{50,70,95,120,150,185,240,300},{10,14,19,24,30,37,48,61})*1)))</f>
        <v>0</v>
      </c>
      <c r="EQ30" s="189">
        <f>IF(EP30=0,0,VLOOKUP(EP30,各项系数!$D$142:$E$195,2,0))*1</f>
        <v>0</v>
      </c>
      <c r="ER30" s="189">
        <f t="shared" ref="ER30:ER45" si="247">$I30-$J30</f>
        <v>0</v>
      </c>
      <c r="ES30" s="235">
        <f t="shared" si="185"/>
        <v>1</v>
      </c>
      <c r="ET30" s="189">
        <f>VLOOKUP(ES30,各项系数!$D$142:$E$195,2,0)*1</f>
        <v>1</v>
      </c>
      <c r="EU30" s="243">
        <f>((各项系数!$F$76/4*$EJ30^2*$EG30*$EH30*1*10^-7)*(1-$H30)*AA30)*(VLOOKUP($EY$9,各项系数!$D$4:$F$143,3,0))*各项系数!$J$4</f>
        <v>2.05998769246807</v>
      </c>
      <c r="EV30" s="244">
        <f>EU30*(VLOOKUP($EY$9,各项系数!$D$4:$F$143,2,0))</f>
        <v>134.92919385665857</v>
      </c>
      <c r="EW30" s="252">
        <f>(IF($EO30=0,0,(各项系数!$F$76/4*$ER30^2*$EO30*$EP30*1*10^-7))*(1-$K30)*$AF30)*(VLOOKUP($EY$9,各项系数!$D$4:$F$143,3,0))*各项系数!$J$4</f>
        <v>0</v>
      </c>
      <c r="EX30" s="253">
        <f>EW30*(VLOOKUP($EY$9,各项系数!$D$4:$F$143,2,0))</f>
        <v>0</v>
      </c>
      <c r="EY30" s="189">
        <f>((各项系数!$F$76/4*$EJ30^2*$EG30*$EH30*1*10^-7)*(1-$H30)*AA30+IF($EO30=0,0,(各项系数!$F$76/4*$ER30^2*$EO30*$EP30*1*10^-7))*(1-$K30)*$AF30)*(VLOOKUP($EY$9,各项系数!$D$4:$F$143,3,0))*各项系数!$J$4</f>
        <v>2.05998769246807</v>
      </c>
      <c r="EZ30" s="102">
        <v>1</v>
      </c>
      <c r="FA30" s="189">
        <f t="shared" si="188"/>
        <v>2.05998769246807</v>
      </c>
      <c r="FB30" s="254">
        <f>FA30*(VLOOKUP($EY$9,各项系数!$D$4:$F$143,2,0))</f>
        <v>134.92919385665857</v>
      </c>
      <c r="FC30" s="255"/>
      <c r="FD30" s="235">
        <f>各项系数!$F$76/4*($MN30^2-MK30^2)*10^-2*(VLOOKUP(L30,各项系数!$D$1:$F$143,3,0))*10^-3*10^2*$EG30*各项系数!$J$4</f>
        <v>0.12746576499017367</v>
      </c>
      <c r="FE30" s="262">
        <f>FD30*VLOOKUP(L30,各项系数!$D$1:$F$143,2,0)</f>
        <v>1.3001508028997715</v>
      </c>
      <c r="FF30" s="188">
        <f>各项系数!$F$76/4*($MO30^2-ML30^2)*10^-2*(VLOOKUP(L30,各项系数!$D$1:$F$143,3,0))*10^-3*10^2*$EO30*各项系数!$J$4</f>
        <v>0</v>
      </c>
      <c r="FG30" s="262">
        <f>FF30*VLOOKUP(L30,各项系数!$D$1:$F$143,2,0)</f>
        <v>0</v>
      </c>
      <c r="FH30" s="235">
        <f t="shared" si="142"/>
        <v>0.12746576499017367</v>
      </c>
      <c r="FI30" s="102">
        <v>1</v>
      </c>
      <c r="FJ30" s="189">
        <f t="shared" si="189"/>
        <v>0.12746576499017367</v>
      </c>
      <c r="FK30" s="262">
        <f>FJ30*VLOOKUP(L30,各项系数!$D$1:$F$143,2,0)</f>
        <v>1.3001508028997715</v>
      </c>
      <c r="FL30" s="235"/>
      <c r="FM30" s="102"/>
      <c r="FN30" s="189"/>
      <c r="FO30" s="262"/>
      <c r="FP30" s="282">
        <f t="shared" si="190"/>
        <v>0.12746576499017367</v>
      </c>
      <c r="FQ30" s="282">
        <f t="shared" si="191"/>
        <v>1.3001508028997715</v>
      </c>
      <c r="FR30" s="283">
        <f>各项系数!$F$76/4*($MQ30^2-$MN30^2*$EG30-$MO30^2*$EO30)*10^-2</f>
        <v>8.9289433549020981E-16</v>
      </c>
      <c r="FS30" s="284">
        <f t="shared" si="143"/>
        <v>1</v>
      </c>
      <c r="FT30" s="285">
        <f t="shared" si="40"/>
        <v>8.9289433549020981E-16</v>
      </c>
      <c r="FU30" s="302">
        <f>$FT30*(VLOOKUP($FT$9,各项系数!$D$1:$F$143,3,0))*10^-3*10^2*各项系数!$J$55</f>
        <v>1.0661158365753104E-16</v>
      </c>
      <c r="FV30" s="303">
        <v>1</v>
      </c>
      <c r="FW30" s="304">
        <f t="shared" si="192"/>
        <v>1.0661158365753104E-16</v>
      </c>
      <c r="FX30" s="285">
        <f>FW30*(VLOOKUP($FT$9,各项系数!$D$1:$F$143,2,0))</f>
        <v>3.1983475097259311E-16</v>
      </c>
      <c r="FY30" s="302">
        <f>IF($BK30&lt;&gt;$FY$9,0,各项系数!$F$76/4*($MS30^2-$MQ30^2)*10^-2*(VLOOKUP($FY$9,各项系数!$D$1:$F$143,3,0))*10^-3*10^2)*各项系数!$J$4</f>
        <v>0</v>
      </c>
      <c r="FZ30" s="303">
        <v>1</v>
      </c>
      <c r="GA30" s="304">
        <f t="shared" si="193"/>
        <v>0</v>
      </c>
      <c r="GB30" s="285">
        <f>GA30*(VLOOKUP($FY$9,各项系数!$D$1:$F$143,2,0))</f>
        <v>0</v>
      </c>
      <c r="GC30" s="302">
        <f>IF($BK30&lt;&gt;$GC$9,0,各项系数!$F$76/4*($MS30^2-$MQ30^2)*10^-2*(VLOOKUP($GC$9,各项系数!$D$1:$F$143,3,0))*10^-3*10^2)*各项系数!$J$4</f>
        <v>0</v>
      </c>
      <c r="GD30" s="303">
        <v>1</v>
      </c>
      <c r="GE30" s="304">
        <f t="shared" si="194"/>
        <v>0</v>
      </c>
      <c r="GF30" s="285">
        <f>GE30*(VLOOKUP($GC$9,各项系数!$D$1:$F$143,2,0))</f>
        <v>0</v>
      </c>
      <c r="GG30" s="302">
        <f>IF($BK30&lt;&gt;$GG$9,0,各项系数!$F$76/4*($MS30^2-$MQ30^2)*10^-2*(VLOOKUP($GG$9,各项系数!$D$1:$F$143,3,0))*10^-3*10^2)*各项系数!$J$4</f>
        <v>0</v>
      </c>
      <c r="GH30" s="303">
        <v>1</v>
      </c>
      <c r="GI30" s="304">
        <f t="shared" si="195"/>
        <v>0</v>
      </c>
      <c r="GJ30" s="285">
        <f>GI30*(VLOOKUP($GG$9,各项系数!$D$1:$F$143,2,0))</f>
        <v>0</v>
      </c>
      <c r="GK30" s="302">
        <f>IF($BK30&lt;&gt;$GK$9,0,各项系数!$F$76/4*($MS30^2-$MQ30^2)*10^-2*(VLOOKUP($GK$9,各项系数!$D$1:$F$143,3,0))*10^-3*10^2)*各项系数!$J$4</f>
        <v>0</v>
      </c>
      <c r="GL30" s="303">
        <v>1</v>
      </c>
      <c r="GM30" s="304">
        <f t="shared" si="196"/>
        <v>0</v>
      </c>
      <c r="GN30" s="285">
        <f>GM30*(VLOOKUP($GK$9,各项系数!$D$1:$F$143,2,0))</f>
        <v>0</v>
      </c>
      <c r="GO30" s="304">
        <f t="shared" si="197"/>
        <v>0</v>
      </c>
      <c r="GP30" s="304">
        <f t="shared" si="198"/>
        <v>0</v>
      </c>
      <c r="GQ30" s="315">
        <f>各项系数!$F$76/4*($MU30^2-$MS30^2)*10^-2*(VLOOKUP($S30,各项系数!$D$1:$F$143,3,0))*10^-3*10^2*各项系数!$J$4</f>
        <v>0.44469560878286107</v>
      </c>
      <c r="GR30" s="303">
        <v>1</v>
      </c>
      <c r="GS30" s="304">
        <f t="shared" si="199"/>
        <v>0.44469560878286107</v>
      </c>
      <c r="GT30" s="304">
        <f t="shared" si="200"/>
        <v>0</v>
      </c>
      <c r="GU30" s="304">
        <f>ROUND($GS30*(VLOOKUP($S30,各项系数!$D$1:$F$143,2,0))+$E$3*GS30,GT30)</f>
        <v>5</v>
      </c>
      <c r="GV30" s="315">
        <f>各项系数!$F$76/4*($MT30^2-$MS30^2)*10^-2*(VLOOKUP($GV$9,各项系数!$D$1:$F$143,3,0))*10^-3*10^2*各项系数!$J$4*PI()/4*R30</f>
        <v>3.2945919080711171E-2</v>
      </c>
      <c r="GW30" s="303">
        <v>1</v>
      </c>
      <c r="GX30" s="304">
        <f t="shared" si="201"/>
        <v>3.2945919080711171E-2</v>
      </c>
      <c r="GY30" s="304">
        <f>$GX30*(VLOOKUP($GV$9,各项系数!$D$1:$F$143,2,0))</f>
        <v>2.2238495379480039</v>
      </c>
      <c r="GZ30" s="315">
        <f>各项系数!$F$76/4*($MV30^2-$MS30^2)*10^-2*(VLOOKUP($GZ$9,各项系数!$D$1:$F$143,3,0))*10^-3*10^2*各项系数!$J$4</f>
        <v>0.20646171954681383</v>
      </c>
      <c r="HA30" s="303">
        <v>1</v>
      </c>
      <c r="HB30" s="304">
        <f t="shared" si="144"/>
        <v>0.20646171954681383</v>
      </c>
      <c r="HC30" s="304">
        <f>HB30*(VLOOKUP($GZ$9,各项系数!$D$1:$F$143,2,0))</f>
        <v>3.509849232295835</v>
      </c>
      <c r="HD30" s="315">
        <f>各项系数!$F$76/4*($MW30^2-$MT30^2)*10^-2*(VLOOKUP($HD$9,各项系数!$D$1:$F$143,3,0))*10^-3*10^2*各项系数!$J$4</f>
        <v>0.20776708899349217</v>
      </c>
      <c r="HE30" s="303">
        <v>1</v>
      </c>
      <c r="HF30" s="304">
        <f t="shared" si="145"/>
        <v>0.20776708899349217</v>
      </c>
      <c r="HG30" s="304">
        <f>HF30*(VLOOKUP($HD$9,各项系数!$D$1:$F$143,2,0))</f>
        <v>3.5320405128893668</v>
      </c>
      <c r="HH30" s="315">
        <f>各项系数!$F$76/4*($MV30^2-$MS30^2)*10^-2*(VLOOKUP($HH$9,各项系数!$D$1:$F$143,3,0))*10^-3*10^2*各项系数!$J$4</f>
        <v>0.20646171954681383</v>
      </c>
      <c r="HI30" s="322">
        <v>1</v>
      </c>
      <c r="HJ30" s="304">
        <f t="shared" si="146"/>
        <v>0.20646171954681383</v>
      </c>
      <c r="HK30" s="304">
        <f>HJ30*(VLOOKUP($HH$9,各项系数!$D$1:$F$143,2,0))</f>
        <v>3.509849232295835</v>
      </c>
      <c r="HL30" s="315">
        <f>各项系数!$F$76/4*($MW30^2-$MT30^2)*10^-2*(VLOOKUP($HL$9,各项系数!$D$1:$F$143,3,0))*10^-3*10^2*各项系数!$J$4</f>
        <v>0.20776708899349217</v>
      </c>
      <c r="HM30" s="322">
        <v>1</v>
      </c>
      <c r="HN30" s="304">
        <f t="shared" si="147"/>
        <v>0.20776708899349217</v>
      </c>
      <c r="HO30" s="304">
        <f>HN30*(VLOOKUP($HL$9,各项系数!$D$1:$F$143,2,0))</f>
        <v>3.5320405128893668</v>
      </c>
      <c r="HP30" s="315">
        <f>各项系数!$F$76/4*($MV30^2-$MS30^2)*10^-2*(VLOOKUP(AN30,各项系数!$D$1:$F$143,3,0))*10^-3*10^2*各项系数!$J$4</f>
        <v>0.20930946740263198</v>
      </c>
      <c r="HQ30" s="303">
        <v>1</v>
      </c>
      <c r="HR30" s="304">
        <f t="shared" si="202"/>
        <v>0.20930946740263198</v>
      </c>
      <c r="HS30" s="304">
        <f>HR30*(VLOOKUP(AN30,各项系数!$D$1:$F$143,2,0))</f>
        <v>2.0930946740263199</v>
      </c>
      <c r="HT30" s="315">
        <f>各项系数!$F$76/4*($MW30^2-$MT30^2)*10^-2*(VLOOKUP(AN30,各项系数!$D$1:$F$143,3,0))*10^-3*10^2*各项系数!$J$4</f>
        <v>0.21063284194512655</v>
      </c>
      <c r="HU30" s="303">
        <v>1</v>
      </c>
      <c r="HV30" s="304">
        <f t="shared" si="203"/>
        <v>0.21063284194512655</v>
      </c>
      <c r="HW30" s="304">
        <f>HV30*(VLOOKUP(AN30,各项系数!$D$1:$F$143,2,0))</f>
        <v>2.1063284194512653</v>
      </c>
      <c r="HX30" s="315">
        <f>各项系数!$F$76/4*($MV30^2-$MS30^2)*10^-2*(VLOOKUP($HX$9,各项系数!$D$1:$F$143,3,0))*10^-3*10^2*各项系数!$J$4</f>
        <v>0.20930946740263198</v>
      </c>
      <c r="HY30" s="322">
        <v>1</v>
      </c>
      <c r="HZ30" s="304">
        <f t="shared" si="204"/>
        <v>0.20930946740263198</v>
      </c>
      <c r="IA30" s="304">
        <f>HZ30*(VLOOKUP($HX$9,各项系数!$D$1:$F$143,2,0))</f>
        <v>2.3024041414289518</v>
      </c>
      <c r="IB30" s="315">
        <f>各项系数!$F$76/4*($MW30^2-$MT30^2)*10^-2*(VLOOKUP($IB$9,各项系数!$D$1:$F$143,3,0))*10^-3*10^2*各项系数!$J$4</f>
        <v>0.21063284194512655</v>
      </c>
      <c r="IC30" s="322">
        <v>1</v>
      </c>
      <c r="ID30" s="304">
        <f t="shared" si="205"/>
        <v>0.21063284194512655</v>
      </c>
      <c r="IE30" s="304">
        <f>ID30*(VLOOKUP($IB$9,各项系数!$D$1:$F$143,2,0))</f>
        <v>2.3169612613963921</v>
      </c>
      <c r="IF30" s="328"/>
      <c r="IG30" s="315">
        <f t="shared" si="148"/>
        <v>2.8704272455566955E-2</v>
      </c>
      <c r="IH30" s="303">
        <v>1</v>
      </c>
      <c r="II30" s="304">
        <f t="shared" si="206"/>
        <v>2.8704272455566955E-2</v>
      </c>
      <c r="IJ30" s="304">
        <f>II30*(VLOOKUP($IG$8,各项系数!$D$1:$F$143,2,0))</f>
        <v>0.71760681138917393</v>
      </c>
      <c r="IK30" s="315">
        <f>(各项系数!$F$76/4*($MX30^2-$MK30^2)*$EG30)*10^-2*(VLOOKUP($IG$8,各项系数!$D$1:$F$143,3,0))*10^-3*10^2*各项系数!$J$4</f>
        <v>2.8704272455566955E-2</v>
      </c>
      <c r="IL30" s="303">
        <f>IK30*(VLOOKUP($IG$8,各项系数!$D$1:$F$143,2,0))</f>
        <v>0.71760681138917393</v>
      </c>
      <c r="IM30" s="304">
        <f>(各项系数!$F$76/4*(($MM30+3*$X30)^2-MM30^2)*$EO30)*10^-2*(VLOOKUP($IG$8,各项系数!$D$1:$F$143,3,0))*10^-3*10^2*各项系数!$J$4</f>
        <v>0</v>
      </c>
      <c r="IN30" s="303">
        <f>IM30*(VLOOKUP($IG$8,各项系数!$D$1:$F$143,2,0))</f>
        <v>0</v>
      </c>
      <c r="IO30" s="315">
        <f>各项系数!$F$76/4*($MZ30^2-$MX30^2)*10^-2*(VLOOKUP(L30,各项系数!$D$1:$F$143,3,0))*10^-3*10^2*$ES30*各项系数!$J$4</f>
        <v>0.1309730076127148</v>
      </c>
      <c r="IP30" s="303">
        <v>1</v>
      </c>
      <c r="IQ30" s="304">
        <f t="shared" si="207"/>
        <v>0.1309730076127148</v>
      </c>
      <c r="IR30" s="285">
        <f>IQ30*(VLOOKUP(L30,各项系数!$D$1:$F$143,2,0))</f>
        <v>1.3359246776496909</v>
      </c>
      <c r="IS30" s="315">
        <f>IF($L30&lt;&gt;$IS$9,0,各项系数!$F$76/4*($MZ30^2-$MX30^2)*10^-2*各项系数!$F$12*10^-3*10^2)*$ES30*各项系数!$J$4</f>
        <v>0</v>
      </c>
      <c r="IT30" s="303">
        <v>1</v>
      </c>
      <c r="IU30" s="304">
        <f t="shared" si="208"/>
        <v>0</v>
      </c>
      <c r="IV30" s="285">
        <f>IU30*各项系数!$E$12</f>
        <v>0</v>
      </c>
      <c r="IW30" s="302">
        <f t="shared" si="209"/>
        <v>0.1309730076127148</v>
      </c>
      <c r="IX30" s="302">
        <f t="shared" si="210"/>
        <v>1.3359246776496909</v>
      </c>
      <c r="IY30" s="339">
        <f>各项系数!$F$76/4*($NB30^2-$MZ30^2*$EG30-$NA30^2*$EO30)*10^-2</f>
        <v>0</v>
      </c>
      <c r="IZ30" s="284">
        <f t="shared" si="231"/>
        <v>1</v>
      </c>
      <c r="JA30" s="285">
        <f t="shared" si="64"/>
        <v>0</v>
      </c>
      <c r="JB30" s="282">
        <f>IF($DE30&lt;&gt;$JB$9,0,$JA30*各项系数!$F$32*10^-3*10^2)*各项系数!$J$4</f>
        <v>0</v>
      </c>
      <c r="JC30" s="102">
        <v>1</v>
      </c>
      <c r="JD30" s="189">
        <f t="shared" si="211"/>
        <v>0</v>
      </c>
      <c r="JE30" s="262">
        <f>JD30*各项系数!$E$32</f>
        <v>0</v>
      </c>
      <c r="JF30" s="282">
        <f>IF($DE30&lt;&gt;$JF$9,0,$JA30*VLOOKUP($JF$9,各项系数!$D$4:$F$540,2,0)*10^-3*10^2)*各项系数!$J$4</f>
        <v>0</v>
      </c>
      <c r="JG30" s="102">
        <v>1</v>
      </c>
      <c r="JH30" s="189">
        <f t="shared" si="66"/>
        <v>0</v>
      </c>
      <c r="JI30" s="262">
        <f>JH30*VLOOKUP($JF$9,各项系数!$D$4:$F$540,3,0)</f>
        <v>0</v>
      </c>
      <c r="JJ30" s="282">
        <f t="shared" si="212"/>
        <v>0</v>
      </c>
      <c r="JK30" s="189">
        <f t="shared" si="213"/>
        <v>0</v>
      </c>
      <c r="JL30" s="282">
        <f>IF($DF30&lt;&gt;$JL$9,0,各项系数!$F$76/4*($NE30^2-$NC30^2)*10^-2*各项系数!$F$39*10^-3*10^2)*各项系数!$J$4</f>
        <v>0</v>
      </c>
      <c r="JM30" s="102">
        <v>1</v>
      </c>
      <c r="JN30" s="189">
        <f t="shared" si="214"/>
        <v>0</v>
      </c>
      <c r="JO30" s="262">
        <f>JN30*各项系数!$E$39</f>
        <v>0</v>
      </c>
      <c r="JP30" s="282">
        <f>IF($DF30&lt;&gt;$JP$9,0,各项系数!$F$76/4*($NE30^2-$NC30^2)*10^-2*各项系数!$F$36*10^-3*10^2)*各项系数!$J$4</f>
        <v>0</v>
      </c>
      <c r="JQ30" s="102">
        <v>1</v>
      </c>
      <c r="JR30" s="189">
        <f t="shared" si="215"/>
        <v>0</v>
      </c>
      <c r="JS30" s="262">
        <f>JR30*各项系数!$E$36</f>
        <v>0</v>
      </c>
      <c r="JT30" s="282">
        <f>IF($DF30&lt;&gt;$JT$9,0,各项系数!$F$76/4*($NE30^2-$NC30^2)*10^-2*各项系数!$F$40*10^-3*10^2)*各项系数!$J$4</f>
        <v>0</v>
      </c>
      <c r="JU30" s="102">
        <v>1</v>
      </c>
      <c r="JV30" s="189">
        <f t="shared" si="216"/>
        <v>0</v>
      </c>
      <c r="JW30" s="262">
        <f>JV30*各项系数!$E$40</f>
        <v>0</v>
      </c>
      <c r="JX30" s="282">
        <f>IF($DF30&lt;&gt;$JX$9,0,各项系数!$F$76/4*($NE30^2-$NC30^2)*10^-2*各项系数!$F$38*10^-3*10^2)*各项系数!$J$4</f>
        <v>0</v>
      </c>
      <c r="JY30" s="102">
        <v>1</v>
      </c>
      <c r="JZ30" s="189">
        <f t="shared" si="217"/>
        <v>0</v>
      </c>
      <c r="KA30" s="262">
        <f>JZ30*各项系数!$E$38</f>
        <v>0</v>
      </c>
      <c r="KB30" s="282">
        <f>IF($DF30&lt;&gt;$KB$9,0,各项系数!$F$76/4*($NE30^2-$NC30^2)*10^-2*各项系数!$F$41*10^-3*10^2)*各项系数!$J$4</f>
        <v>0</v>
      </c>
      <c r="KC30" s="102">
        <v>1</v>
      </c>
      <c r="KD30" s="189">
        <f t="shared" si="218"/>
        <v>0</v>
      </c>
      <c r="KE30" s="262">
        <f>KD30*各项系数!$E$41</f>
        <v>0</v>
      </c>
      <c r="KF30" s="189">
        <f t="shared" si="219"/>
        <v>0</v>
      </c>
      <c r="KG30" s="189">
        <f t="shared" si="220"/>
        <v>0</v>
      </c>
      <c r="KH30" s="235">
        <f>各项系数!$F$76/4*($NG30^2-$NE30^2)*10^-2*各项系数!$F$44*10^-3*10^2*各项系数!$J$4*0.75*$U30</f>
        <v>0.68354339551215482</v>
      </c>
      <c r="KI30" s="102">
        <v>1</v>
      </c>
      <c r="KJ30" s="189">
        <f t="shared" si="221"/>
        <v>0.68354339551215482</v>
      </c>
      <c r="KK30" s="189">
        <f>ROUND(KJ30*各项系数!$E$44,GT30)</f>
        <v>7</v>
      </c>
      <c r="KL30" s="235">
        <f>各项系数!$F$76/4*($NF30^2-$NE30^2)*10^-2*各项系数!$F$46*10^-3*10^2*各项系数!$J$4*PI()/4*R30</f>
        <v>3.3784019041127239E-2</v>
      </c>
      <c r="KM30" s="102">
        <v>1</v>
      </c>
      <c r="KN30" s="189">
        <f t="shared" si="222"/>
        <v>3.3784019041127239E-2</v>
      </c>
      <c r="KO30" s="189">
        <f>KN30*各项系数!$E$46</f>
        <v>2.2804212852760886</v>
      </c>
      <c r="KP30" s="235">
        <f>各项系数!$F$76/4*($NH30^2-$NE30^2)*10^-2*(VLOOKUP($KP$9,各项系数!$D$1:$F$143,3,0))*10^-3*10^2*各项系数!$J$4</f>
        <v>0.21135685497185785</v>
      </c>
      <c r="KQ30" s="102">
        <v>1</v>
      </c>
      <c r="KR30" s="189">
        <f t="shared" si="150"/>
        <v>0.21135685497185785</v>
      </c>
      <c r="KS30" s="189">
        <f>KR30*(VLOOKUP($KP$9,各项系数!$D$1:$F$143,2,0))</f>
        <v>3.5930665345215838</v>
      </c>
      <c r="KT30" s="235">
        <f>各项系数!$F$76/4*($NI30^2-$NF30^2)*10^-2*(VLOOKUP($KT$9,各项系数!$D$1:$F$143,3,0))*10^-3*10^2*各项系数!$J$4</f>
        <v>0.21266222441853624</v>
      </c>
      <c r="KU30" s="102">
        <v>1</v>
      </c>
      <c r="KV30" s="189">
        <f t="shared" si="151"/>
        <v>0.21266222441853624</v>
      </c>
      <c r="KW30" s="189">
        <f>KV30*(VLOOKUP($KT$9,各项系数!$D$1:$F$143,2,0))</f>
        <v>3.615257815115116</v>
      </c>
      <c r="KX30" s="189">
        <f>各项系数!$F$76/4*($NH30^2-$NE30^2)*10^-2*(VLOOKUP($KX$9,各项系数!$D$1:$F$143,3,0))*10^-3*10^2*各项系数!$J$4</f>
        <v>0.21135685497185785</v>
      </c>
      <c r="KY30" s="353">
        <v>1</v>
      </c>
      <c r="KZ30" s="189">
        <f t="shared" si="152"/>
        <v>0.21135685497185785</v>
      </c>
      <c r="LA30" s="189">
        <f>KZ30*(VLOOKUP($KX$9,各项系数!$D$1:$F$143,2,0))</f>
        <v>3.5930665345215838</v>
      </c>
      <c r="LB30" s="189">
        <f>各项系数!$F$76/4*($NI30^2-$NF30^2)*10^-2*(VLOOKUP($LB$9,各项系数!$D$1:$F$143,3,0))*10^-3*10^2*各项系数!$J$4</f>
        <v>0.21266222441853624</v>
      </c>
      <c r="LC30" s="353">
        <v>1</v>
      </c>
      <c r="LD30" s="189">
        <f t="shared" si="153"/>
        <v>0.21266222441853624</v>
      </c>
      <c r="LE30" s="189">
        <f>LD30*(VLOOKUP($LB$9,各项系数!$D$1:$F$143,2,0))</f>
        <v>3.615257815115116</v>
      </c>
      <c r="LF30" s="235">
        <f>各项系数!$F$76/4*($NH30^2-$NE30^2)*10^-2*(VLOOKUP(AN30,各项系数!$D$1:$F$143,3,0))*10^-3*10^2*各项系数!$J$4</f>
        <v>0.21427212193698689</v>
      </c>
      <c r="LG30" s="102">
        <v>1</v>
      </c>
      <c r="LH30" s="189">
        <f t="shared" si="223"/>
        <v>0.21427212193698689</v>
      </c>
      <c r="LI30" s="189">
        <f>LH30*(VLOOKUP(AN30,各项系数!$D$1:$F$143,2,0))</f>
        <v>2.1427212193698688</v>
      </c>
      <c r="LJ30" s="235">
        <f>各项系数!$F$76/4*($NI30^2-$NF30^2)*10^-2*(VLOOKUP(AN30,各项系数!$D$1:$F$143,3,0))*10^-3*10^2*各项系数!$J$4</f>
        <v>0.21559549647948156</v>
      </c>
      <c r="LK30" s="102">
        <v>1</v>
      </c>
      <c r="LL30" s="189">
        <f t="shared" si="224"/>
        <v>0.21559549647948156</v>
      </c>
      <c r="LM30" s="189">
        <f>LL30*(VLOOKUP(AN30,各项系数!$D$1:$F$143,2,0))</f>
        <v>2.1559549647948155</v>
      </c>
      <c r="LN30" s="189">
        <f>各项系数!$F$76/4*($NH30^2-$NE30^2)*10^-2*(VLOOKUP($LN$9,各项系数!$D$1:$F$143,3,0))*10^-3*10^2*各项系数!$J$4</f>
        <v>0.21427212193698689</v>
      </c>
      <c r="LO30" s="353">
        <v>1</v>
      </c>
      <c r="LP30" s="189">
        <f t="shared" si="225"/>
        <v>0.21427212193698689</v>
      </c>
      <c r="LQ30" s="189">
        <f>LP30*(VLOOKUP($LN$9,各项系数!$D$1:$F$143,2,0))</f>
        <v>2.3569933413068558</v>
      </c>
      <c r="LR30" s="189">
        <f>各项系数!$F$76/4*($NI30^2-$NF30^2)*10^-2*(VLOOKUP($LR$9,各项系数!$D$1:$F$143,3,0))*10^-3*10^2*各项系数!$J$4</f>
        <v>0.21559549647948156</v>
      </c>
      <c r="LS30" s="353">
        <v>1</v>
      </c>
      <c r="LT30" s="189">
        <f t="shared" si="226"/>
        <v>0.21559549647948156</v>
      </c>
      <c r="LU30" s="189">
        <f>LT30*(VLOOKUP($LR$9,各项系数!$D$1:$F$143,2,0))</f>
        <v>2.371550461274297</v>
      </c>
      <c r="LV30" s="227">
        <f t="shared" si="154"/>
        <v>317.50291821000002</v>
      </c>
      <c r="LW30" s="227">
        <f t="shared" si="155"/>
        <v>229.44243406999999</v>
      </c>
      <c r="LX30" s="227">
        <f t="shared" si="156"/>
        <v>17.091962447250296</v>
      </c>
      <c r="LY30" s="227">
        <f t="shared" si="157"/>
        <v>88.060484140000028</v>
      </c>
      <c r="LZ30" s="374">
        <f t="shared" si="86"/>
        <v>1</v>
      </c>
      <c r="MA30" s="375">
        <f t="shared" si="87"/>
        <v>317.50291821000002</v>
      </c>
      <c r="MB30" s="375">
        <f t="shared" si="158"/>
        <v>20.106150079999999</v>
      </c>
      <c r="MC30" s="227">
        <f t="shared" si="159"/>
        <v>0</v>
      </c>
      <c r="MD30" s="227">
        <f t="shared" si="160"/>
        <v>0</v>
      </c>
      <c r="ME30" s="227">
        <f t="shared" si="161"/>
        <v>0</v>
      </c>
      <c r="MF30" s="227">
        <f t="shared" si="162"/>
        <v>0</v>
      </c>
      <c r="MG30" s="374">
        <f t="shared" si="163"/>
        <v>1</v>
      </c>
      <c r="MH30" s="375">
        <f t="shared" si="88"/>
        <v>0</v>
      </c>
      <c r="MI30" s="375">
        <f t="shared" si="164"/>
        <v>0</v>
      </c>
      <c r="MJ30" s="189">
        <f t="shared" si="89"/>
        <v>20.106150079999999</v>
      </c>
      <c r="MK30" s="189">
        <f t="shared" si="165"/>
        <v>20.106150079999999</v>
      </c>
      <c r="ML30" s="189">
        <f t="shared" si="227"/>
        <v>0</v>
      </c>
      <c r="MM30" s="189">
        <f t="shared" si="91"/>
        <v>0</v>
      </c>
      <c r="MN30" s="189">
        <f t="shared" si="92"/>
        <v>23.506150079999998</v>
      </c>
      <c r="MO30" s="189">
        <f t="shared" si="166"/>
        <v>0</v>
      </c>
      <c r="MP30" s="189">
        <f t="shared" si="167"/>
        <v>23.506150080000001</v>
      </c>
      <c r="MQ30" s="189">
        <f t="shared" si="228"/>
        <v>23.506150080000001</v>
      </c>
      <c r="MR30" s="246">
        <f t="shared" si="168"/>
        <v>23.506150080000001</v>
      </c>
      <c r="MS30" s="380">
        <f t="shared" si="94"/>
        <v>23.506150080000001</v>
      </c>
      <c r="MT30" s="380">
        <f t="shared" si="95"/>
        <v>23.666150080000001</v>
      </c>
      <c r="MU30" s="380">
        <f t="shared" si="232"/>
        <v>25.006150080000001</v>
      </c>
      <c r="MV30" s="380">
        <f t="shared" si="97"/>
        <v>27.106150080000003</v>
      </c>
      <c r="MW30" s="380">
        <f t="shared" si="98"/>
        <v>27.266150080000003</v>
      </c>
      <c r="MX30" s="254">
        <f t="shared" si="233"/>
        <v>20.70615008</v>
      </c>
      <c r="MY30" s="254">
        <f t="shared" si="100"/>
        <v>0</v>
      </c>
      <c r="MZ30" s="189">
        <f t="shared" si="101"/>
        <v>24.106150079999999</v>
      </c>
      <c r="NA30" s="189">
        <f t="shared" si="102"/>
        <v>0</v>
      </c>
      <c r="NB30" s="189">
        <f t="shared" si="169"/>
        <v>24.106150079999999</v>
      </c>
      <c r="NC30" s="254">
        <f t="shared" si="229"/>
        <v>24.106150079999999</v>
      </c>
      <c r="ND30" s="246">
        <f t="shared" si="234"/>
        <v>24.106150079999999</v>
      </c>
      <c r="NE30" s="386">
        <f t="shared" si="235"/>
        <v>24.106150079999999</v>
      </c>
      <c r="NF30" s="380">
        <f t="shared" si="106"/>
        <v>24.266150079999999</v>
      </c>
      <c r="NG30" s="387">
        <f t="shared" si="236"/>
        <v>25.606150079999999</v>
      </c>
      <c r="NH30" s="254">
        <f t="shared" si="108"/>
        <v>27.70615008</v>
      </c>
      <c r="NI30" s="380">
        <f t="shared" si="109"/>
        <v>27.866150080000001</v>
      </c>
      <c r="NK30" s="388">
        <f t="shared" si="110"/>
        <v>2.3967629248608757</v>
      </c>
      <c r="NL30" s="388">
        <f t="shared" si="111"/>
        <v>138.32243933358467</v>
      </c>
      <c r="NM30" s="388">
        <f t="shared" si="112"/>
        <v>2.3967629248608757</v>
      </c>
      <c r="NN30" s="388">
        <f t="shared" si="113"/>
        <v>138.53174880098729</v>
      </c>
      <c r="NO30" s="388">
        <f t="shared" si="114"/>
        <v>2.4339370944733387</v>
      </c>
      <c r="NP30" s="388">
        <f t="shared" si="115"/>
        <v>139.12544656506731</v>
      </c>
      <c r="NQ30" s="388">
        <f t="shared" si="116"/>
        <v>2.4339370944733387</v>
      </c>
      <c r="NR30" s="388">
        <f t="shared" si="117"/>
        <v>139.33971868700431</v>
      </c>
      <c r="NS30" s="388">
        <f t="shared" si="118"/>
        <v>2.429708843941587</v>
      </c>
      <c r="NT30" s="388">
        <f t="shared" si="119"/>
        <v>2.429708843941587</v>
      </c>
      <c r="NU30" s="388">
        <f t="shared" si="120"/>
        <v>2.4677211135144659</v>
      </c>
      <c r="NV30" s="388">
        <f t="shared" si="121"/>
        <v>2.4677211135144659</v>
      </c>
      <c r="NW30">
        <f t="shared" si="122"/>
        <v>2.8414585336437366</v>
      </c>
      <c r="NX30">
        <f>各项系数!$M$9*NK30</f>
        <v>0.71902887745826272</v>
      </c>
      <c r="NY30">
        <f t="shared" si="123"/>
        <v>2.429708843941587</v>
      </c>
      <c r="OB30" s="66" t="str">
        <f t="shared" si="124"/>
        <v>1*240</v>
      </c>
      <c r="OC30" s="395">
        <f t="shared" si="125"/>
        <v>246.701228113631</v>
      </c>
      <c r="OD30" s="395">
        <f>SQRT(4*EY30/PI()/EH30/各项系数!$J$4/各项系数!$F$5*10000000)</f>
        <v>248.54460040818708</v>
      </c>
      <c r="OE30" s="396">
        <f t="shared" si="126"/>
        <v>229.44243428606293</v>
      </c>
      <c r="OF30" s="396">
        <f t="shared" si="127"/>
        <v>232.88407080035378</v>
      </c>
      <c r="OG30" s="66">
        <v>232.1</v>
      </c>
      <c r="OH30" s="397">
        <f t="shared" si="186"/>
        <v>0.7840708003537884</v>
      </c>
    </row>
    <row r="31" spans="1:398" ht="15" hidden="1" customHeight="1">
      <c r="A31" s="50">
        <v>300</v>
      </c>
      <c r="B31" s="51">
        <v>0</v>
      </c>
      <c r="C31" s="52">
        <v>1.8</v>
      </c>
      <c r="D31" s="53" t="s">
        <v>253</v>
      </c>
      <c r="E31" s="63">
        <f t="shared" si="240"/>
        <v>29.46063242</v>
      </c>
      <c r="F31" s="59">
        <v>245.118138379664</v>
      </c>
      <c r="G31" s="58"/>
      <c r="H31" s="62"/>
      <c r="I31" s="62"/>
      <c r="J31" s="62"/>
      <c r="K31" s="62"/>
      <c r="L31" s="97" t="s">
        <v>467</v>
      </c>
      <c r="M31" s="103">
        <f t="shared" si="2"/>
        <v>1.8</v>
      </c>
      <c r="N31" s="103">
        <f t="shared" si="3"/>
        <v>0</v>
      </c>
      <c r="O31" s="102"/>
      <c r="P31" s="99">
        <v>0.1</v>
      </c>
      <c r="Q31" s="133">
        <f t="shared" si="237"/>
        <v>0.1</v>
      </c>
      <c r="R31" s="140">
        <v>0.8</v>
      </c>
      <c r="S31" s="142" t="str">
        <f>各项系数!$D$44</f>
        <v>磁性钢带</v>
      </c>
      <c r="T31" s="102">
        <v>0.5</v>
      </c>
      <c r="U31" s="102">
        <v>2</v>
      </c>
      <c r="V31" s="140"/>
      <c r="W31" s="141">
        <v>1.9</v>
      </c>
      <c r="X31" s="135">
        <f t="shared" si="238"/>
        <v>0.2</v>
      </c>
      <c r="Y31" s="135"/>
      <c r="Z31" s="168"/>
      <c r="AA31" s="153">
        <v>1.02</v>
      </c>
      <c r="AB31" s="153">
        <f>PI()*EJ31*EJ31/4*EH31*(1-H31)*AA31*各项系数!$F$5*各项系数!$J$4*10^-7</f>
        <v>2.5971416022939482</v>
      </c>
      <c r="AC31" s="153">
        <f t="shared" si="241"/>
        <v>245.118138379664</v>
      </c>
      <c r="AD31" s="153">
        <f t="shared" si="5"/>
        <v>293.60996233065771</v>
      </c>
      <c r="AE31" s="153">
        <f>POWER(4*EU31/PI()/EG31/10^-7/EH31/(1-H31)/各项系数!$F$5/各项系数!$J$4,0.5)</f>
        <v>247.5571849047536</v>
      </c>
      <c r="AF31" s="69">
        <v>1</v>
      </c>
      <c r="AG31" s="69">
        <f>IF(EM31=0,0,PI()*ER31*ER31/4*EP31*(1-K31)*(1+AF31)*各项系数!$F$5*各项系数!$J$4*10^-7)</f>
        <v>0</v>
      </c>
      <c r="AH31" s="69">
        <f t="shared" si="242"/>
        <v>0</v>
      </c>
      <c r="AI31" s="69">
        <f t="shared" si="128"/>
        <v>0</v>
      </c>
      <c r="AJ31" s="69">
        <f>IF(OR(EP31="",EP31=0),0,POWER(4*EW31/PI()/EO31/10^-7/EP31/(1-K31)/各项系数!$F$5/各项系数!$J$4,0.5))</f>
        <v>0</v>
      </c>
      <c r="AK31" s="69" t="str">
        <f t="shared" si="8"/>
        <v>√</v>
      </c>
      <c r="AL31" s="69">
        <f t="shared" si="243"/>
        <v>179.24363630416636</v>
      </c>
      <c r="AM31" s="188">
        <f t="shared" si="244"/>
        <v>300</v>
      </c>
      <c r="AN31" s="97" t="s">
        <v>486</v>
      </c>
      <c r="AO31" s="196">
        <f>AP31+各项系数!$M$9*$NK31</f>
        <v>175.72905520016309</v>
      </c>
      <c r="AP31" s="196">
        <f>AQ31*(1+$BI31+(VLOOKUP($AM31,$A$12:$B$323,2,0))+各项系数!$J$6+各项系数!$M$5)*(1+$E$2)</f>
        <v>174.83342265798501</v>
      </c>
      <c r="AQ31" s="197">
        <f>AR31+各项系数!$L$9*$NK31</f>
        <v>178.40145169182145</v>
      </c>
      <c r="AR31" s="197">
        <f>AS31*(1+$BJ31+各项系数!$J$5+各项系数!$L$5)</f>
        <v>177.50581914964337</v>
      </c>
      <c r="AS31" s="197">
        <f t="shared" si="129"/>
        <v>174.02531289180723</v>
      </c>
      <c r="AT31" s="196">
        <f>AU31+各项系数!$M$9*$NM31</f>
        <v>177.3570951642958</v>
      </c>
      <c r="AU31" s="196">
        <f>AV31*(1+$BI31+(VLOOKUP($AM31,$A$12:$B$323,2,0))+各项系数!$J$6+各项系数!$M$5)*(1+$E$2)</f>
        <v>176.46146262211772</v>
      </c>
      <c r="AV31" s="197">
        <f>AW31+各项系数!$L$9*$NM31</f>
        <v>180.06271696134462</v>
      </c>
      <c r="AW31" s="197">
        <f>AX31*(1+$BJ31+各项系数!$J$5+各项系数!$L$5)</f>
        <v>179.16708441916654</v>
      </c>
      <c r="AX31" s="197">
        <f t="shared" si="130"/>
        <v>175.65400433251622</v>
      </c>
      <c r="AY31" s="196">
        <f>AZ31+各项系数!$M$9*$NS31</f>
        <v>178.19039285071602</v>
      </c>
      <c r="AZ31" s="196">
        <f>BA31*(1+$BI31+(VLOOKUP($AM31,$A$12:$B$214,2,0))+各项系数!$J$6+各项系数!$M$5)*(1+$E$2)</f>
        <v>177.2839736970318</v>
      </c>
      <c r="BA31" s="197">
        <f>BB31+各项系数!$L$9*$NS31</f>
        <v>180.90201397656307</v>
      </c>
      <c r="BB31" s="197">
        <f>BC31*(1+$BJ31+各项系数!$J$5+各项系数!$L$5)</f>
        <v>179.99559482287884</v>
      </c>
      <c r="BC31" s="199">
        <f t="shared" si="131"/>
        <v>176.46626943419494</v>
      </c>
      <c r="BD31" s="196">
        <f>BE31+各项系数!$M$9*$NS31</f>
        <v>179.82788420878964</v>
      </c>
      <c r="BE31" s="196">
        <f>BF31*(1+$BI31+(VLOOKUP($AM31,$A$12:$B$214,2,0))+各项系数!$J$6+各项系数!$M$5)*(1+$E$2)</f>
        <v>178.92146505510541</v>
      </c>
      <c r="BF31" s="197">
        <f>BG31+各项系数!$L$9*$NS31</f>
        <v>182.57292352561777</v>
      </c>
      <c r="BG31" s="197">
        <f>BH31*(1+$BJ31+各项系数!$J$5+各项系数!$L$5)</f>
        <v>181.66650437193354</v>
      </c>
      <c r="BH31" s="199">
        <f t="shared" si="132"/>
        <v>178.10441605091523</v>
      </c>
      <c r="BI31" s="51"/>
      <c r="BJ31" s="208"/>
      <c r="BK31" s="102"/>
      <c r="BL31" s="196">
        <f>BM31+各项系数!$M$9*$NM31</f>
        <v>177.67738584702238</v>
      </c>
      <c r="BM31" s="196">
        <f>BN31*(1+$CF31+(VLOOKUP($AM31,$A$12:$B$323,2,0))+各项系数!$J$6+各项系数!$M$5)*(1+$E$2)</f>
        <v>176.7817533048443</v>
      </c>
      <c r="BN31" s="197">
        <f>BO31+各项系数!$L$9*$NM31</f>
        <v>180.38954418861664</v>
      </c>
      <c r="BO31" s="197">
        <f>BP31*(1+$CG31+各项系数!$J$5+各项系数!$L$5)</f>
        <v>179.49391164643856</v>
      </c>
      <c r="BP31" s="197">
        <f t="shared" si="133"/>
        <v>174.26593363731899</v>
      </c>
      <c r="BQ31" s="196">
        <f>BR31+各项系数!$M$9*$NM31</f>
        <v>179.07850440675446</v>
      </c>
      <c r="BR31" s="196">
        <f>BS31*(1+$CF31+(VLOOKUP($AM31,$A$12:$B$323,2,0))+各项系数!$J$6+各项系数!$M$5)*(1+$E$2)</f>
        <v>178.18287186457638</v>
      </c>
      <c r="BS31" s="197">
        <f>BT31+各项系数!$L$9*$NM31</f>
        <v>181.81925700466979</v>
      </c>
      <c r="BT31" s="197">
        <f>BU31*(1+$CG31+各项系数!$J$5+各项系数!$L$5)</f>
        <v>180.92362446249172</v>
      </c>
      <c r="BU31" s="197">
        <f t="shared" si="134"/>
        <v>175.65400433251622</v>
      </c>
      <c r="BV31" s="196">
        <f>BW31+各项系数!$M$9*$NT31</f>
        <v>179.28386226233877</v>
      </c>
      <c r="BW31" s="196">
        <f>BX31*(1+$CF31+(VLOOKUP($AM31,$A$12:$B$214,2,0))+各项系数!$J$6+各项系数!$M$5)*(1+$E$2)</f>
        <v>178.37744310865455</v>
      </c>
      <c r="BX31" s="197">
        <f>BY31+各项系数!$L$9*$NT$12</f>
        <v>182.01779909046382</v>
      </c>
      <c r="BY31" s="197">
        <f>BZ31*(1+$CG31+各项系数!$J$5+各项系数!$L$5)</f>
        <v>182.00953568730884</v>
      </c>
      <c r="BZ31" s="199">
        <f t="shared" si="11"/>
        <v>176.70828707505711</v>
      </c>
      <c r="CA31" s="196">
        <f>CB31+各项系数!$M$9*$NT31</f>
        <v>180.69311485056994</v>
      </c>
      <c r="CB31" s="196">
        <f>CC31*(1+$CF31+(VLOOKUP($AM31,$A$12:$B$214,2,0))+各项系数!$J$6+各项系数!$M$5)*(1+$E$2)</f>
        <v>179.78669569688572</v>
      </c>
      <c r="CC31" s="197">
        <f>CD31+各项系数!$L$9*$NT$12</f>
        <v>183.45581193559767</v>
      </c>
      <c r="CD31" s="197">
        <f>CE31*(1+$CG31+各项系数!$J$5+各项系数!$L$5)</f>
        <v>183.44754853244268</v>
      </c>
      <c r="CE31" s="199">
        <f t="shared" si="135"/>
        <v>178.10441605091523</v>
      </c>
      <c r="CF31" s="213">
        <f t="shared" si="136"/>
        <v>0</v>
      </c>
      <c r="CG31" s="213">
        <f t="shared" si="12"/>
        <v>0.01</v>
      </c>
      <c r="CH31" s="102"/>
      <c r="CI31" s="196">
        <f>CJ31+各项系数!$M$9*$NO31</f>
        <v>177.52493826908756</v>
      </c>
      <c r="CJ31" s="196">
        <f>CK31*(1+$DC31+(VLOOKUP($AM31,$A$12:$B$323,2,0))+各项系数!$J$6+各项系数!$M$5)*(1+$E$2)+各项系数!$M$9*$NK31</f>
        <v>176.61718409193273</v>
      </c>
      <c r="CK31" s="197">
        <f>CL31+各项系数!$L$9*$NO31</f>
        <v>179.30770566301496</v>
      </c>
      <c r="CL31" s="197">
        <f>CM31*(1+$DD31+各项系数!$J$5+各项系数!$L$5)</f>
        <v>178.39995148586013</v>
      </c>
      <c r="CM31" s="197">
        <f t="shared" si="13"/>
        <v>174.9019132214315</v>
      </c>
      <c r="CN31" s="196">
        <f>CO31+各项系数!$M$9*$NO31</f>
        <v>179.10061561101014</v>
      </c>
      <c r="CO31" s="196">
        <f>CP31*(1+$DC31+(VLOOKUP($AM31,$A$12:$B$323,2,0))+各项系数!$J$6+各项系数!$M$5)*(1+$E$2)+各项系数!$M$9*$NK31</f>
        <v>178.19286143385531</v>
      </c>
      <c r="CP31" s="197">
        <f>CQ31+各项系数!$L$9*$NO31</f>
        <v>180.91553968538494</v>
      </c>
      <c r="CQ31" s="197">
        <f>CR31*(1+$DD31+各项系数!$J$5+各项系数!$L$5)</f>
        <v>180.00778550823011</v>
      </c>
      <c r="CR31" s="197">
        <f t="shared" si="14"/>
        <v>176.4782210865001</v>
      </c>
      <c r="CS31" s="196">
        <f>CT31+各项系数!$M$9*$NU31</f>
        <v>179.14769032746813</v>
      </c>
      <c r="CT31" s="196">
        <f t="shared" si="15"/>
        <v>178.22889810881901</v>
      </c>
      <c r="CU31" s="197">
        <f>CV31+各项系数!$L$9*$NU31</f>
        <v>181.86622256001939</v>
      </c>
      <c r="CV31" s="197">
        <f>CW31*(1+$DD31+各项系数!$J$5+各项系数!$L$5)</f>
        <v>180.94743034137028</v>
      </c>
      <c r="CW31" s="199">
        <f t="shared" si="16"/>
        <v>177.39944151114733</v>
      </c>
      <c r="CX31" s="196">
        <f>CY31+各项系数!$M$9*$NU31</f>
        <v>180.82062441282005</v>
      </c>
      <c r="CY31" s="196">
        <f t="shared" si="17"/>
        <v>179.90183219417094</v>
      </c>
      <c r="CZ31" s="197">
        <f>DA31+各项系数!$L$9*$NU31</f>
        <v>183.57329815731728</v>
      </c>
      <c r="DA31" s="197">
        <f>DB31*(1+$DD31+各项系数!$J$5+各项系数!$L$5)</f>
        <v>182.65450593866817</v>
      </c>
      <c r="DB31" s="199">
        <f t="shared" si="18"/>
        <v>179.07304503790996</v>
      </c>
      <c r="DC31" s="213">
        <f t="shared" si="137"/>
        <v>0</v>
      </c>
      <c r="DD31" s="213">
        <f t="shared" si="19"/>
        <v>0</v>
      </c>
      <c r="DE31" s="53"/>
      <c r="DF31" s="53"/>
      <c r="DG31" s="196">
        <f>DH31+各项系数!$M$9*$NQ31</f>
        <v>179.48714719730233</v>
      </c>
      <c r="DH31" s="196">
        <f>DI31*(1+$EA31+(VLOOKUP($AM31,$A$12:$B$323,2,0))+各项系数!$J$6+各项系数!$M$5)*(1+$E$2)+各项系数!$M$9*$NK31</f>
        <v>178.57939302014751</v>
      </c>
      <c r="DI31" s="197">
        <f>DJ31+各项系数!$L$9*$NQ31</f>
        <v>181.30995967139739</v>
      </c>
      <c r="DJ31" s="197">
        <f>DK31*(1+$EB31+各项系数!$J$5+各项系数!$L$5)</f>
        <v>180.40220549424257</v>
      </c>
      <c r="DK31" s="197">
        <f t="shared" si="20"/>
        <v>175.14777232450734</v>
      </c>
      <c r="DL31" s="196">
        <f>DM31+各项系数!$M$9*$NQ31</f>
        <v>180.918768363906</v>
      </c>
      <c r="DM31" s="196">
        <f>DN31*(1+$EA31+(VLOOKUP($AM31,$A$12:$B$323,2,0))+各项系数!$J$6+各项系数!$M$5)*(1+$E$2)+各项系数!$M$9*$NK31</f>
        <v>180.01101418675117</v>
      </c>
      <c r="DN31" s="197">
        <f>DO31+各项系数!$L$9*$NQ31</f>
        <v>182.77079759650314</v>
      </c>
      <c r="DO31" s="197">
        <f>DP31*(1+$EB31+各项系数!$J$5+各项系数!$L$5)</f>
        <v>181.86304341934832</v>
      </c>
      <c r="DP31" s="197">
        <f t="shared" si="21"/>
        <v>176.56606157218283</v>
      </c>
      <c r="DQ31" s="196">
        <f>DR31+各项系数!$M$9*$NV31</f>
        <v>181.13578505908885</v>
      </c>
      <c r="DR31" s="196">
        <f t="shared" si="22"/>
        <v>180.21699284043973</v>
      </c>
      <c r="DS31" s="197">
        <f>DT31+各项系数!$L$9*$NV31</f>
        <v>183.89489065350992</v>
      </c>
      <c r="DT31" s="197">
        <f>DU31*(1+$EB31+各项系数!$J$5+各项系数!$L$5)</f>
        <v>182.9760984348608</v>
      </c>
      <c r="DU31" s="199">
        <f t="shared" si="23"/>
        <v>177.64669750957358</v>
      </c>
      <c r="DV31" s="196">
        <f>DW31+各项系数!$M$9*$NV31</f>
        <v>181.01681598558881</v>
      </c>
      <c r="DW31" s="196">
        <f t="shared" si="24"/>
        <v>180.09802376693969</v>
      </c>
      <c r="DX31" s="197">
        <f>DY31+各项系数!$L$9*$NV31</f>
        <v>183.77349363973437</v>
      </c>
      <c r="DY31" s="197">
        <f>DZ31*(1+$EB31+各项系数!$J$5+各项系数!$L$5)</f>
        <v>182.85470142108525</v>
      </c>
      <c r="DZ31" s="199">
        <f t="shared" si="25"/>
        <v>177.52883633115073</v>
      </c>
      <c r="EA31" s="213">
        <f t="shared" si="230"/>
        <v>0</v>
      </c>
      <c r="EB31" s="213">
        <f t="shared" si="27"/>
        <v>0.01</v>
      </c>
      <c r="EC31" s="235">
        <f t="shared" si="138"/>
        <v>1</v>
      </c>
      <c r="ED31" s="235" t="str">
        <f t="shared" si="180"/>
        <v>1*300</v>
      </c>
      <c r="EE31" s="189">
        <f t="shared" si="239"/>
        <v>300</v>
      </c>
      <c r="EF31" s="189" t="str">
        <f>LOOKUP(EH31,{1,7,10,14,19,24,30,37,48,61},{1,"1+6","2+8","4+10","1+6+12","2+8+14","4+10+16","1+6+12+18","3+9+15+21","1+6+12+18+24"})</f>
        <v>1+6+12+18+24</v>
      </c>
      <c r="EG31" s="188">
        <f t="shared" si="29"/>
        <v>1</v>
      </c>
      <c r="EH31" s="197">
        <f>VLOOKUP(EE31,各项系数!$B$87:$C$110,2,0)</f>
        <v>61</v>
      </c>
      <c r="EI31" s="188">
        <f>IF(EH31=0,0,VLOOKUP(EH31,各项系数!$D$142:$E$195,2,0))*1</f>
        <v>9</v>
      </c>
      <c r="EJ31" s="238">
        <f t="shared" si="141"/>
        <v>245.118138379664</v>
      </c>
      <c r="EK31" s="189">
        <f t="shared" si="245"/>
        <v>0</v>
      </c>
      <c r="EL31" s="189">
        <f t="shared" si="31"/>
        <v>0</v>
      </c>
      <c r="EM31" s="189">
        <f t="shared" si="182"/>
        <v>0</v>
      </c>
      <c r="EN31" s="189">
        <f>IF(EP31=0,0,LOOKUP(EP31,{1,7,10,14,19,24,30,37,48,61},{1,"1+6","2+8","4+10","1+6+12","2+8+14","4+10+16","1+6+12+18","3+9+15+21","1+6+12+18+24"}))</f>
        <v>0</v>
      </c>
      <c r="EO31" s="189">
        <f t="shared" si="246"/>
        <v>0</v>
      </c>
      <c r="EP31" s="189">
        <f>IF(EM31=0,0,IF(EM31&lt;10,1,IF(AND(EM31&gt;=10,EM31&lt;=35),7,LOOKUP(EM31,{50,70,95,120,150,185,240,300},{10,14,19,24,30,37,48,61})*1)))</f>
        <v>0</v>
      </c>
      <c r="EQ31" s="189">
        <f>IF(EP31=0,0,VLOOKUP(EP31,各项系数!$D$142:$E$195,2,0))*1</f>
        <v>0</v>
      </c>
      <c r="ER31" s="189">
        <f t="shared" si="247"/>
        <v>0</v>
      </c>
      <c r="ES31" s="235">
        <f t="shared" si="185"/>
        <v>1</v>
      </c>
      <c r="ET31" s="189">
        <f>VLOOKUP(ES31,各项系数!$D$142:$E$195,2,0)*1</f>
        <v>1</v>
      </c>
      <c r="EU31" s="243">
        <f>((各项系数!$F$76/4*$EJ31^2*$EG31*$EH31*1*10^-7)*(1-$H31)*AA31)*(VLOOKUP($EY$9,各项系数!$D$4:$F$143,3,0))*各项系数!$J$4</f>
        <v>2.5971416022939482</v>
      </c>
      <c r="EV31" s="244">
        <f>EU31*(VLOOKUP($EY$9,各项系数!$D$4:$F$143,2,0))</f>
        <v>170.11277495025359</v>
      </c>
      <c r="EW31" s="252">
        <f>(IF($EO31=0,0,(各项系数!$F$76/4*$ER31^2*$EO31*$EP31*1*10^-7))*(1-$K31)*$AF31)*(VLOOKUP($EY$9,各项系数!$D$4:$F$143,3,0))*各项系数!$J$4</f>
        <v>0</v>
      </c>
      <c r="EX31" s="253">
        <f>EW31*(VLOOKUP($EY$9,各项系数!$D$4:$F$143,2,0))</f>
        <v>0</v>
      </c>
      <c r="EY31" s="189">
        <f>((各项系数!$F$76/4*$EJ31^2*$EG31*$EH31*1*10^-7)*(1-$H31)*AA31+IF($EO31=0,0,(各项系数!$F$76/4*$ER31^2*$EO31*$EP31*1*10^-7))*(1-$K31)*$AF31)*(VLOOKUP($EY$9,各项系数!$D$4:$F$143,3,0))*各项系数!$J$4</f>
        <v>2.5971416022939482</v>
      </c>
      <c r="EZ31" s="102">
        <v>1</v>
      </c>
      <c r="FA31" s="189">
        <f t="shared" si="188"/>
        <v>2.5971416022939482</v>
      </c>
      <c r="FB31" s="254">
        <f>FA31*(VLOOKUP($EY$9,各项系数!$D$4:$F$143,2,0))</f>
        <v>170.11277495025359</v>
      </c>
      <c r="FC31" s="255"/>
      <c r="FD31" s="235">
        <f>各项系数!$F$76/4*($MN31^2-MK31^2)*10^-2*(VLOOKUP(L31,各项系数!$D$1:$F$143,3,0))*10^-3*10^2*$EG31*各项系数!$J$4</f>
        <v>0.14767945945448868</v>
      </c>
      <c r="FE31" s="262">
        <f>FD31*VLOOKUP(L31,各项系数!$D$1:$F$143,2,0)</f>
        <v>1.5063304864357845</v>
      </c>
      <c r="FF31" s="188">
        <f>各项系数!$F$76/4*($MO31^2-ML31^2)*10^-2*(VLOOKUP(L31,各项系数!$D$1:$F$143,3,0))*10^-3*10^2*$EO31*各项系数!$J$4</f>
        <v>0</v>
      </c>
      <c r="FG31" s="262">
        <f>FF31*VLOOKUP(L31,各项系数!$D$1:$F$143,2,0)</f>
        <v>0</v>
      </c>
      <c r="FH31" s="235">
        <f t="shared" si="142"/>
        <v>0.14767945945448868</v>
      </c>
      <c r="FI31" s="102">
        <v>1</v>
      </c>
      <c r="FJ31" s="189">
        <f t="shared" si="189"/>
        <v>0.14767945945448868</v>
      </c>
      <c r="FK31" s="262">
        <f>FJ31*VLOOKUP(L31,各项系数!$D$1:$F$143,2,0)</f>
        <v>1.5063304864357845</v>
      </c>
      <c r="FL31" s="235"/>
      <c r="FM31" s="102"/>
      <c r="FN31" s="189"/>
      <c r="FO31" s="262"/>
      <c r="FP31" s="282">
        <f t="shared" si="190"/>
        <v>0.14767945945448868</v>
      </c>
      <c r="FQ31" s="282">
        <f t="shared" si="191"/>
        <v>1.5063304864357845</v>
      </c>
      <c r="FR31" s="283">
        <f>各项系数!$F$76/4*($MQ31^2-$MN31^2*$EG31-$MO31^2*$EO31)*10^-2</f>
        <v>-1.7857886709804196E-15</v>
      </c>
      <c r="FS31" s="284">
        <f t="shared" si="143"/>
        <v>1</v>
      </c>
      <c r="FT31" s="285">
        <f t="shared" si="40"/>
        <v>-1.7857886709804196E-15</v>
      </c>
      <c r="FU31" s="302">
        <f>$FT31*(VLOOKUP($FT$9,各项系数!$D$1:$F$143,3,0))*10^-3*10^2*各项系数!$J$55</f>
        <v>-2.1322316731506208E-16</v>
      </c>
      <c r="FV31" s="303">
        <v>1</v>
      </c>
      <c r="FW31" s="304">
        <f t="shared" si="192"/>
        <v>-2.1322316731506208E-16</v>
      </c>
      <c r="FX31" s="285">
        <f>FW31*(VLOOKUP($FT$9,各项系数!$D$1:$F$143,2,0))</f>
        <v>-6.3966950194518623E-16</v>
      </c>
      <c r="FY31" s="302">
        <f>IF($BK31&lt;&gt;$FY$9,0,各项系数!$F$76/4*($MS31^2-$MQ31^2)*10^-2*(VLOOKUP($FY$9,各项系数!$D$1:$F$143,3,0))*10^-3*10^2)*各项系数!$J$4</f>
        <v>0</v>
      </c>
      <c r="FZ31" s="303">
        <v>1</v>
      </c>
      <c r="GA31" s="304">
        <f t="shared" si="193"/>
        <v>0</v>
      </c>
      <c r="GB31" s="285">
        <f>GA31*(VLOOKUP($FY$9,各项系数!$D$1:$F$143,2,0))</f>
        <v>0</v>
      </c>
      <c r="GC31" s="302">
        <f>IF($BK31&lt;&gt;$GC$9,0,各项系数!$F$76/4*($MS31^2-$MQ31^2)*10^-2*(VLOOKUP($GC$9,各项系数!$D$1:$F$143,3,0))*10^-3*10^2)*各项系数!$J$4</f>
        <v>0</v>
      </c>
      <c r="GD31" s="303">
        <v>1</v>
      </c>
      <c r="GE31" s="304">
        <f t="shared" si="194"/>
        <v>0</v>
      </c>
      <c r="GF31" s="285">
        <f>GE31*(VLOOKUP($GC$9,各项系数!$D$1:$F$143,2,0))</f>
        <v>0</v>
      </c>
      <c r="GG31" s="302">
        <f>IF($BK31&lt;&gt;$GG$9,0,各项系数!$F$76/4*($MS31^2-$MQ31^2)*10^-2*(VLOOKUP($GG$9,各项系数!$D$1:$F$143,3,0))*10^-3*10^2)*各项系数!$J$4</f>
        <v>0</v>
      </c>
      <c r="GH31" s="303">
        <v>1</v>
      </c>
      <c r="GI31" s="304">
        <f t="shared" si="195"/>
        <v>0</v>
      </c>
      <c r="GJ31" s="285">
        <f>GI31*(VLOOKUP($GG$9,各项系数!$D$1:$F$143,2,0))</f>
        <v>0</v>
      </c>
      <c r="GK31" s="302">
        <f>IF($BK31&lt;&gt;$GK$9,0,各项系数!$F$76/4*($MS31^2-$MQ31^2)*10^-2*(VLOOKUP($GK$9,各项系数!$D$1:$F$143,3,0))*10^-3*10^2)*各项系数!$J$4</f>
        <v>0</v>
      </c>
      <c r="GL31" s="303">
        <v>1</v>
      </c>
      <c r="GM31" s="304">
        <f t="shared" si="196"/>
        <v>0</v>
      </c>
      <c r="GN31" s="285">
        <f>GM31*(VLOOKUP($GK$9,各项系数!$D$1:$F$143,2,0))</f>
        <v>0</v>
      </c>
      <c r="GO31" s="304">
        <f t="shared" si="197"/>
        <v>0</v>
      </c>
      <c r="GP31" s="304">
        <f t="shared" si="198"/>
        <v>0</v>
      </c>
      <c r="GQ31" s="315">
        <f>各项系数!$F$76/4*($MU31^2-$MS31^2)*10^-2*(VLOOKUP($S31,各项系数!$D$1:$F$143,3,0))*10^-3*10^2*各项系数!$J$4</f>
        <v>0.48419440940201602</v>
      </c>
      <c r="GR31" s="303">
        <v>1</v>
      </c>
      <c r="GS31" s="304">
        <f t="shared" si="199"/>
        <v>0.48419440940201602</v>
      </c>
      <c r="GT31" s="304">
        <f t="shared" si="200"/>
        <v>0</v>
      </c>
      <c r="GU31" s="304">
        <f>ROUND($GS31*(VLOOKUP($S31,各项系数!$D$1:$F$143,2,0))+$E$3*GS31,GT31)</f>
        <v>5</v>
      </c>
      <c r="GV31" s="315">
        <f>各项系数!$F$76/4*($MT31^2-$MS31^2)*10^-2*(VLOOKUP($GV$9,各项系数!$D$1:$F$143,3,0))*10^-3*10^2*各项系数!$J$4*PI()/4*R31</f>
        <v>3.595537168716461E-2</v>
      </c>
      <c r="GW31" s="303">
        <v>1</v>
      </c>
      <c r="GX31" s="304">
        <f t="shared" si="201"/>
        <v>3.595537168716461E-2</v>
      </c>
      <c r="GY31" s="304">
        <f>$GX31*(VLOOKUP($GV$9,各项系数!$D$1:$F$143,2,0))</f>
        <v>2.4269875888836112</v>
      </c>
      <c r="GZ31" s="315">
        <f>各项系数!$F$76/4*($MV31^2-$MS31^2)*10^-2*(VLOOKUP($GZ$9,各项系数!$D$1:$F$143,3,0))*10^-3*10^2*各项系数!$J$4</f>
        <v>0.23734699387216762</v>
      </c>
      <c r="HA31" s="303">
        <v>1</v>
      </c>
      <c r="HB31" s="304">
        <f t="shared" si="144"/>
        <v>0.23734699387216762</v>
      </c>
      <c r="HC31" s="304">
        <f>HB31*(VLOOKUP($GZ$9,各项系数!$D$1:$F$143,2,0))</f>
        <v>4.0348988958268492</v>
      </c>
      <c r="HD31" s="315">
        <f>各项系数!$F$76/4*($MW31^2-$MT31^2)*10^-2*(VLOOKUP($HD$9,各项系数!$D$1:$F$143,3,0))*10^-3*10^2*各项系数!$J$4</f>
        <v>0.23872488384366133</v>
      </c>
      <c r="HE31" s="303">
        <v>1</v>
      </c>
      <c r="HF31" s="304">
        <f t="shared" si="145"/>
        <v>0.23872488384366133</v>
      </c>
      <c r="HG31" s="304">
        <f>HF31*(VLOOKUP($HD$9,各项系数!$D$1:$F$143,2,0))</f>
        <v>4.0583230253422427</v>
      </c>
      <c r="HH31" s="315">
        <f>各项系数!$F$76/4*($MV31^2-$MS31^2)*10^-2*(VLOOKUP($HH$9,各项系数!$D$1:$F$143,3,0))*10^-3*10^2*各项系数!$J$4</f>
        <v>0.23734699387216762</v>
      </c>
      <c r="HI31" s="322">
        <v>1</v>
      </c>
      <c r="HJ31" s="304">
        <f t="shared" si="146"/>
        <v>0.23734699387216762</v>
      </c>
      <c r="HK31" s="304">
        <f>HJ31*(VLOOKUP($HH$9,各项系数!$D$1:$F$143,2,0))</f>
        <v>4.0348988958268492</v>
      </c>
      <c r="HL31" s="315">
        <f>各项系数!$F$76/4*($MW31^2-$MT31^2)*10^-2*(VLOOKUP($HL$9,各项系数!$D$1:$F$143,3,0))*10^-3*10^2*各项系数!$J$4</f>
        <v>0.23872488384366133</v>
      </c>
      <c r="HM31" s="322">
        <v>1</v>
      </c>
      <c r="HN31" s="304">
        <f t="shared" si="147"/>
        <v>0.23872488384366133</v>
      </c>
      <c r="HO31" s="304">
        <f>HN31*(VLOOKUP($HL$9,各项系数!$D$1:$F$143,2,0))</f>
        <v>4.0583230253422427</v>
      </c>
      <c r="HP31" s="315">
        <f>各项系数!$F$76/4*($MV31^2-$MS31^2)*10^-2*(VLOOKUP(AN31,各项系数!$D$1:$F$143,3,0))*10^-3*10^2*各项系数!$J$4</f>
        <v>0.2406207455117837</v>
      </c>
      <c r="HQ31" s="303">
        <v>1</v>
      </c>
      <c r="HR31" s="304">
        <f t="shared" si="202"/>
        <v>0.2406207455117837</v>
      </c>
      <c r="HS31" s="304">
        <f>HR31*(VLOOKUP(AN31,各项系数!$D$1:$F$143,2,0))</f>
        <v>2.406207455117837</v>
      </c>
      <c r="HT31" s="315">
        <f>各项系数!$F$76/4*($MW31^2-$MT31^2)*10^-2*(VLOOKUP(AN31,各项系数!$D$1:$F$143,3,0))*10^-3*10^2*各项系数!$J$4</f>
        <v>0.24201764086219466</v>
      </c>
      <c r="HU31" s="303">
        <v>1</v>
      </c>
      <c r="HV31" s="304">
        <f t="shared" si="203"/>
        <v>0.24201764086219466</v>
      </c>
      <c r="HW31" s="304">
        <f>HV31*(VLOOKUP(AN31,各项系数!$D$1:$F$143,2,0))</f>
        <v>2.4201764086219466</v>
      </c>
      <c r="HX31" s="315">
        <f>各项系数!$F$76/4*($MV31^2-$MS31^2)*10^-2*(VLOOKUP($HX$9,各项系数!$D$1:$F$143,3,0))*10^-3*10^2*各项系数!$J$4</f>
        <v>0.2406207455117837</v>
      </c>
      <c r="HY31" s="322">
        <v>1</v>
      </c>
      <c r="HZ31" s="304">
        <f t="shared" si="204"/>
        <v>0.2406207455117837</v>
      </c>
      <c r="IA31" s="304">
        <f>HZ31*(VLOOKUP($HX$9,各项系数!$D$1:$F$143,2,0))</f>
        <v>2.6468282006296207</v>
      </c>
      <c r="IB31" s="315">
        <f>各项系数!$F$76/4*($MW31^2-$MT31^2)*10^-2*(VLOOKUP($IB$9,各项系数!$D$1:$F$143,3,0))*10^-3*10^2*各项系数!$J$4</f>
        <v>0.24201764086219466</v>
      </c>
      <c r="IC31" s="322">
        <v>1</v>
      </c>
      <c r="ID31" s="304">
        <f t="shared" si="205"/>
        <v>0.24201764086219466</v>
      </c>
      <c r="IE31" s="304">
        <f>ID31*(VLOOKUP($IB$9,各项系数!$D$1:$F$143,2,0))</f>
        <v>2.6621940494841412</v>
      </c>
      <c r="IF31" s="328"/>
      <c r="IG31" s="315">
        <f t="shared" si="148"/>
        <v>3.1453541346416529E-2</v>
      </c>
      <c r="IH31" s="303">
        <v>1</v>
      </c>
      <c r="II31" s="304">
        <f t="shared" si="206"/>
        <v>3.1453541346416529E-2</v>
      </c>
      <c r="IJ31" s="304">
        <f>II31*(VLOOKUP($IG$8,各项系数!$D$1:$F$143,2,0))</f>
        <v>0.78633853366041317</v>
      </c>
      <c r="IK31" s="315">
        <f>(各项系数!$F$76/4*($MX31^2-$MK31^2)*$EG31)*10^-2*(VLOOKUP($IG$8,各项系数!$D$1:$F$143,3,0))*10^-3*10^2*各项系数!$J$4</f>
        <v>3.1453541346416529E-2</v>
      </c>
      <c r="IL31" s="303">
        <f>IK31*(VLOOKUP($IG$8,各项系数!$D$1:$F$143,2,0))</f>
        <v>0.78633853366041317</v>
      </c>
      <c r="IM31" s="304">
        <f>(各项系数!$F$76/4*(($MM31+3*$X31)^2-MM31^2)*$EO31)*10^-2*(VLOOKUP($IG$8,各项系数!$D$1:$F$143,3,0))*10^-3*10^2*各项系数!$J$4</f>
        <v>0</v>
      </c>
      <c r="IN31" s="303">
        <f>IM31*(VLOOKUP($IG$8,各项系数!$D$1:$F$143,2,0))</f>
        <v>0</v>
      </c>
      <c r="IO31" s="315">
        <f>各项系数!$F$76/4*($MZ31^2-$MX31^2)*10^-2*(VLOOKUP(L31,各项系数!$D$1:$F$143,3,0))*10^-3*10^2*$ES31*各项系数!$J$4</f>
        <v>0.15139301046659107</v>
      </c>
      <c r="IP31" s="303">
        <v>1</v>
      </c>
      <c r="IQ31" s="304">
        <f t="shared" si="207"/>
        <v>0.15139301046659107</v>
      </c>
      <c r="IR31" s="285">
        <f>IQ31*(VLOOKUP(L31,各项系数!$D$1:$F$143,2,0))</f>
        <v>1.5442087067592287</v>
      </c>
      <c r="IS31" s="315">
        <f>IF($L31&lt;&gt;$IS$9,0,各项系数!$F$76/4*($MZ31^2-$MX31^2)*10^-2*各项系数!$F$12*10^-3*10^2)*$ES31*各项系数!$J$4</f>
        <v>0</v>
      </c>
      <c r="IT31" s="303">
        <v>1</v>
      </c>
      <c r="IU31" s="304">
        <f t="shared" si="208"/>
        <v>0</v>
      </c>
      <c r="IV31" s="285">
        <f>IU31*各项系数!$E$12</f>
        <v>0</v>
      </c>
      <c r="IW31" s="302">
        <f t="shared" si="209"/>
        <v>0.15139301046659107</v>
      </c>
      <c r="IX31" s="302">
        <f t="shared" si="210"/>
        <v>1.5442087067592287</v>
      </c>
      <c r="IY31" s="339">
        <f>各项系数!$F$76/4*($NB31^2-$MZ31^2*$EG31-$NA31^2*$EO31)*10^-2</f>
        <v>-1.7857886709804196E-15</v>
      </c>
      <c r="IZ31" s="284">
        <f t="shared" si="231"/>
        <v>1</v>
      </c>
      <c r="JA31" s="285">
        <f t="shared" si="64"/>
        <v>-1.7857886709804196E-15</v>
      </c>
      <c r="JB31" s="282">
        <f>IF($DE31&lt;&gt;$JB$9,0,$JA31*各项系数!$F$32*10^-3*10^2)*各项系数!$J$4</f>
        <v>0</v>
      </c>
      <c r="JC31" s="102">
        <v>1</v>
      </c>
      <c r="JD31" s="189">
        <f t="shared" si="211"/>
        <v>0</v>
      </c>
      <c r="JE31" s="262">
        <f>JD31*各项系数!$E$32</f>
        <v>0</v>
      </c>
      <c r="JF31" s="282">
        <f>IF($DE31&lt;&gt;$JF$9,0,$JA31*VLOOKUP($JF$9,各项系数!$D$4:$F$540,2,0)*10^-3*10^2)*各项系数!$J$4</f>
        <v>0</v>
      </c>
      <c r="JG31" s="102">
        <v>1</v>
      </c>
      <c r="JH31" s="189">
        <f t="shared" si="66"/>
        <v>0</v>
      </c>
      <c r="JI31" s="262">
        <f>JH31*VLOOKUP($JF$9,各项系数!$D$4:$F$540,3,0)</f>
        <v>0</v>
      </c>
      <c r="JJ31" s="282">
        <f t="shared" si="212"/>
        <v>0</v>
      </c>
      <c r="JK31" s="189">
        <f t="shared" si="213"/>
        <v>0</v>
      </c>
      <c r="JL31" s="282">
        <f>IF($DF31&lt;&gt;$JL$9,0,各项系数!$F$76/4*($NE31^2-$NC31^2)*10^-2*各项系数!$F$39*10^-3*10^2)*各项系数!$J$4</f>
        <v>0</v>
      </c>
      <c r="JM31" s="102">
        <v>1</v>
      </c>
      <c r="JN31" s="189">
        <f t="shared" si="214"/>
        <v>0</v>
      </c>
      <c r="JO31" s="262">
        <f>JN31*各项系数!$E$39</f>
        <v>0</v>
      </c>
      <c r="JP31" s="282">
        <f>IF($DF31&lt;&gt;$JP$9,0,各项系数!$F$76/4*($NE31^2-$NC31^2)*10^-2*各项系数!$F$36*10^-3*10^2)*各项系数!$J$4</f>
        <v>0</v>
      </c>
      <c r="JQ31" s="102">
        <v>1</v>
      </c>
      <c r="JR31" s="189">
        <f t="shared" si="215"/>
        <v>0</v>
      </c>
      <c r="JS31" s="262">
        <f>JR31*各项系数!$E$36</f>
        <v>0</v>
      </c>
      <c r="JT31" s="282">
        <f>IF($DF31&lt;&gt;$JT$9,0,各项系数!$F$76/4*($NE31^2-$NC31^2)*10^-2*各项系数!$F$40*10^-3*10^2)*各项系数!$J$4</f>
        <v>0</v>
      </c>
      <c r="JU31" s="102">
        <v>1</v>
      </c>
      <c r="JV31" s="189">
        <f t="shared" si="216"/>
        <v>0</v>
      </c>
      <c r="JW31" s="262">
        <f>JV31*各项系数!$E$40</f>
        <v>0</v>
      </c>
      <c r="JX31" s="282">
        <f>IF($DF31&lt;&gt;$JX$9,0,各项系数!$F$76/4*($NE31^2-$NC31^2)*10^-2*各项系数!$F$38*10^-3*10^2)*各项系数!$J$4</f>
        <v>0</v>
      </c>
      <c r="JY31" s="102">
        <v>1</v>
      </c>
      <c r="JZ31" s="189">
        <f t="shared" si="217"/>
        <v>0</v>
      </c>
      <c r="KA31" s="262">
        <f>JZ31*各项系数!$E$38</f>
        <v>0</v>
      </c>
      <c r="KB31" s="282">
        <f>IF($DF31&lt;&gt;$KB$9,0,各项系数!$F$76/4*($NE31^2-$NC31^2)*10^-2*各项系数!$F$41*10^-3*10^2)*各项系数!$J$4</f>
        <v>0</v>
      </c>
      <c r="KC31" s="102">
        <v>1</v>
      </c>
      <c r="KD31" s="189">
        <f t="shared" si="218"/>
        <v>0</v>
      </c>
      <c r="KE31" s="262">
        <f>KD31*各项系数!$E$41</f>
        <v>0</v>
      </c>
      <c r="KF31" s="189">
        <f t="shared" si="219"/>
        <v>0</v>
      </c>
      <c r="KG31" s="189">
        <f t="shared" si="220"/>
        <v>0</v>
      </c>
      <c r="KH31" s="235">
        <f>各项系数!$F$76/4*($NG31^2-$NE31^2)*10^-2*各项系数!$F$44*10^-3*10^2*各项系数!$J$4*0.75*$U31</f>
        <v>0.74279159644088866</v>
      </c>
      <c r="KI31" s="102">
        <v>1</v>
      </c>
      <c r="KJ31" s="189">
        <f t="shared" si="221"/>
        <v>0.74279159644088866</v>
      </c>
      <c r="KK31" s="189">
        <f>ROUND(KJ31*各项系数!$E$44,GT31)</f>
        <v>8</v>
      </c>
      <c r="KL31" s="235">
        <f>各项系数!$F$76/4*($NF31^2-$NE31^2)*10^-2*各项系数!$F$46*10^-3*10^2*各项系数!$J$4*PI()/4*R31</f>
        <v>3.6793471647581184E-2</v>
      </c>
      <c r="KM31" s="102">
        <v>1</v>
      </c>
      <c r="KN31" s="189">
        <f t="shared" si="222"/>
        <v>3.6793471647581184E-2</v>
      </c>
      <c r="KO31" s="189">
        <f>KN31*各项系数!$E$46</f>
        <v>2.4835593362117301</v>
      </c>
      <c r="KP31" s="235">
        <f>各项系数!$F$76/4*($NH31^2-$NE31^2)*10^-2*(VLOOKUP($KP$9,各项系数!$D$1:$F$143,3,0))*10^-3*10^2*各项系数!$J$4</f>
        <v>0.2425140812652696</v>
      </c>
      <c r="KQ31" s="102">
        <v>1</v>
      </c>
      <c r="KR31" s="189">
        <f t="shared" si="150"/>
        <v>0.2425140812652696</v>
      </c>
      <c r="KS31" s="189">
        <f>KR31*(VLOOKUP($KP$9,各项系数!$D$1:$F$143,2,0))</f>
        <v>4.1227393815095832</v>
      </c>
      <c r="KT31" s="235">
        <f>各项系数!$F$76/4*($NI31^2-$NF31^2)*10^-2*(VLOOKUP($KT$9,各项系数!$D$1:$F$143,3,0))*10^-3*10^2*各项系数!$J$4</f>
        <v>0.24389197123676343</v>
      </c>
      <c r="KU31" s="102">
        <v>1</v>
      </c>
      <c r="KV31" s="189">
        <f t="shared" si="151"/>
        <v>0.24389197123676343</v>
      </c>
      <c r="KW31" s="189">
        <f>KV31*(VLOOKUP($KT$9,各项系数!$D$1:$F$143,2,0))</f>
        <v>4.1461635110249784</v>
      </c>
      <c r="KX31" s="189">
        <f>各项系数!$F$76/4*($NH31^2-$NE31^2)*10^-2*(VLOOKUP($KX$9,各项系数!$D$1:$F$143,3,0))*10^-3*10^2*各项系数!$J$4</f>
        <v>0.2425140812652696</v>
      </c>
      <c r="KY31" s="353">
        <v>1</v>
      </c>
      <c r="KZ31" s="189">
        <f t="shared" si="152"/>
        <v>0.2425140812652696</v>
      </c>
      <c r="LA31" s="189">
        <f>KZ31*(VLOOKUP($KX$9,各项系数!$D$1:$F$143,2,0))</f>
        <v>4.1227393815095832</v>
      </c>
      <c r="LB31" s="189">
        <f>各项系数!$F$76/4*($NI31^2-$NF31^2)*10^-2*(VLOOKUP($LB$9,各项系数!$D$1:$F$143,3,0))*10^-3*10^2*各项系数!$J$4</f>
        <v>0.24389197123676343</v>
      </c>
      <c r="LC31" s="353">
        <v>1</v>
      </c>
      <c r="LD31" s="189">
        <f t="shared" si="153"/>
        <v>0.24389197123676343</v>
      </c>
      <c r="LE31" s="189">
        <f>LD31*(VLOOKUP($LB$9,各项系数!$D$1:$F$143,2,0))</f>
        <v>4.1461635110249784</v>
      </c>
      <c r="LF31" s="235">
        <f>各项系数!$F$76/4*($NH31^2-$NE31^2)*10^-2*(VLOOKUP(AN31,各项系数!$D$1:$F$143,3,0))*10^-3*10^2*各项系数!$J$4</f>
        <v>0.24585910307582504</v>
      </c>
      <c r="LG31" s="102">
        <v>1</v>
      </c>
      <c r="LH31" s="189">
        <f t="shared" si="223"/>
        <v>0.24585910307582504</v>
      </c>
      <c r="LI31" s="189">
        <f>LH31*(VLOOKUP(AN31,各项系数!$D$1:$F$143,2,0))</f>
        <v>2.4585910307582504</v>
      </c>
      <c r="LJ31" s="235">
        <f>各项系数!$F$76/4*($NI31^2-$NF31^2)*10^-2*(VLOOKUP(AN31,各项系数!$D$1:$F$143,3,0))*10^-3*10^2*各项系数!$J$4</f>
        <v>0.24725599842623605</v>
      </c>
      <c r="LK31" s="102">
        <v>1</v>
      </c>
      <c r="LL31" s="189">
        <f t="shared" si="224"/>
        <v>0.24725599842623605</v>
      </c>
      <c r="LM31" s="189">
        <f>LL31*(VLOOKUP(AN31,各项系数!$D$1:$F$143,2,0))</f>
        <v>2.4725599842623605</v>
      </c>
      <c r="LN31" s="189">
        <f>各项系数!$F$76/4*($NH31^2-$NE31^2)*10^-2*(VLOOKUP($LN$9,各项系数!$D$1:$F$143,3,0))*10^-3*10^2*各项系数!$J$4</f>
        <v>0.24585910307582504</v>
      </c>
      <c r="LO31" s="353">
        <v>1</v>
      </c>
      <c r="LP31" s="189">
        <f t="shared" si="225"/>
        <v>0.24585910307582504</v>
      </c>
      <c r="LQ31" s="189">
        <f>LP31*(VLOOKUP($LN$9,各项系数!$D$1:$F$143,2,0))</f>
        <v>2.7044501338340754</v>
      </c>
      <c r="LR31" s="189">
        <f>各项系数!$F$76/4*($NI31^2-$NF31^2)*10^-2*(VLOOKUP($LR$9,各项系数!$D$1:$F$143,3,0))*10^-3*10^2*各项系数!$J$4</f>
        <v>0.24725599842623605</v>
      </c>
      <c r="LS31" s="353">
        <v>1</v>
      </c>
      <c r="LT31" s="189">
        <f t="shared" si="226"/>
        <v>0.24725599842623605</v>
      </c>
      <c r="LU31" s="189">
        <f>LT31*(VLOOKUP($LR$9,各项系数!$D$1:$F$143,2,0))</f>
        <v>2.7198159826885964</v>
      </c>
      <c r="LV31" s="227">
        <f t="shared" si="154"/>
        <v>382.23090445000003</v>
      </c>
      <c r="LW31" s="227">
        <f t="shared" si="155"/>
        <v>287.85290335000002</v>
      </c>
      <c r="LX31" s="227">
        <f t="shared" si="156"/>
        <v>19.144338578599388</v>
      </c>
      <c r="LY31" s="227">
        <f t="shared" si="157"/>
        <v>94.378001100000006</v>
      </c>
      <c r="LZ31" s="374">
        <f t="shared" si="86"/>
        <v>1</v>
      </c>
      <c r="MA31" s="375">
        <f t="shared" si="87"/>
        <v>382.23090445000003</v>
      </c>
      <c r="MB31" s="375">
        <f t="shared" si="158"/>
        <v>22.060632420000001</v>
      </c>
      <c r="MC31" s="227">
        <f t="shared" si="159"/>
        <v>0</v>
      </c>
      <c r="MD31" s="227">
        <f t="shared" si="160"/>
        <v>0</v>
      </c>
      <c r="ME31" s="227">
        <f t="shared" si="161"/>
        <v>0</v>
      </c>
      <c r="MF31" s="227">
        <f t="shared" si="162"/>
        <v>0</v>
      </c>
      <c r="MG31" s="374">
        <f t="shared" si="163"/>
        <v>1</v>
      </c>
      <c r="MH31" s="375">
        <f t="shared" si="88"/>
        <v>0</v>
      </c>
      <c r="MI31" s="375">
        <f t="shared" si="164"/>
        <v>0</v>
      </c>
      <c r="MJ31" s="189">
        <f t="shared" si="89"/>
        <v>22.060632420000001</v>
      </c>
      <c r="MK31" s="189">
        <f t="shared" si="165"/>
        <v>22.060632420000001</v>
      </c>
      <c r="ML31" s="189">
        <f t="shared" si="227"/>
        <v>0</v>
      </c>
      <c r="MM31" s="189">
        <f t="shared" si="91"/>
        <v>0</v>
      </c>
      <c r="MN31" s="189">
        <f t="shared" si="92"/>
        <v>25.660632420000002</v>
      </c>
      <c r="MO31" s="189">
        <f t="shared" si="166"/>
        <v>0</v>
      </c>
      <c r="MP31" s="189">
        <f t="shared" si="167"/>
        <v>25.660632419999999</v>
      </c>
      <c r="MQ31" s="189">
        <f t="shared" si="228"/>
        <v>25.660632419999999</v>
      </c>
      <c r="MR31" s="246">
        <f t="shared" si="168"/>
        <v>25.660632419999999</v>
      </c>
      <c r="MS31" s="380">
        <f t="shared" si="94"/>
        <v>25.660632419999999</v>
      </c>
      <c r="MT31" s="380">
        <f t="shared" si="95"/>
        <v>25.820632419999999</v>
      </c>
      <c r="MU31" s="380">
        <f t="shared" si="232"/>
        <v>27.160632419999999</v>
      </c>
      <c r="MV31" s="380">
        <f t="shared" si="97"/>
        <v>29.46063242</v>
      </c>
      <c r="MW31" s="380">
        <f t="shared" si="98"/>
        <v>29.62063242</v>
      </c>
      <c r="MX31" s="254">
        <f t="shared" si="233"/>
        <v>22.660632420000002</v>
      </c>
      <c r="MY31" s="254">
        <f t="shared" si="100"/>
        <v>0</v>
      </c>
      <c r="MZ31" s="189">
        <f t="shared" si="101"/>
        <v>26.260632420000004</v>
      </c>
      <c r="NA31" s="189">
        <f t="shared" si="102"/>
        <v>0</v>
      </c>
      <c r="NB31" s="189">
        <f t="shared" si="169"/>
        <v>26.26063242</v>
      </c>
      <c r="NC31" s="254">
        <f t="shared" si="229"/>
        <v>26.26063242</v>
      </c>
      <c r="ND31" s="246">
        <f t="shared" si="234"/>
        <v>26.26063242</v>
      </c>
      <c r="NE31" s="386">
        <f t="shared" si="235"/>
        <v>26.26063242</v>
      </c>
      <c r="NF31" s="380">
        <f t="shared" si="106"/>
        <v>26.42063242</v>
      </c>
      <c r="NG31" s="387">
        <f t="shared" si="236"/>
        <v>27.76063242</v>
      </c>
      <c r="NH31" s="254">
        <f t="shared" si="108"/>
        <v>30.060632420000001</v>
      </c>
      <c r="NI31" s="380">
        <f t="shared" si="109"/>
        <v>30.220632420000001</v>
      </c>
      <c r="NK31" s="388">
        <f t="shared" si="110"/>
        <v>2.9854418072602202</v>
      </c>
      <c r="NL31" s="388">
        <f t="shared" si="111"/>
        <v>174.02531289180723</v>
      </c>
      <c r="NM31" s="388">
        <f t="shared" si="112"/>
        <v>2.9854418072602202</v>
      </c>
      <c r="NN31" s="388">
        <f t="shared" si="113"/>
        <v>174.26593363731899</v>
      </c>
      <c r="NO31" s="388">
        <f t="shared" si="114"/>
        <v>3.0258472571827806</v>
      </c>
      <c r="NP31" s="388">
        <f t="shared" si="115"/>
        <v>174.9019132214315</v>
      </c>
      <c r="NQ31" s="388">
        <f t="shared" si="116"/>
        <v>3.0258472571827806</v>
      </c>
      <c r="NR31" s="388">
        <f t="shared" si="117"/>
        <v>175.14777232450734</v>
      </c>
      <c r="NS31" s="388">
        <f t="shared" si="118"/>
        <v>3.0213971789473848</v>
      </c>
      <c r="NT31" s="388">
        <f t="shared" si="119"/>
        <v>3.0213971789473848</v>
      </c>
      <c r="NU31" s="388">
        <f t="shared" si="120"/>
        <v>3.0626407288303619</v>
      </c>
      <c r="NV31" s="388">
        <f t="shared" si="121"/>
        <v>3.0626407288303619</v>
      </c>
      <c r="NW31">
        <f t="shared" si="122"/>
        <v>3.4696362166622361</v>
      </c>
      <c r="NX31">
        <f>各项系数!$M$9*NK31</f>
        <v>0.89563254217806609</v>
      </c>
      <c r="NY31">
        <f t="shared" si="123"/>
        <v>3.0213971789473848</v>
      </c>
      <c r="OB31" s="66" t="str">
        <f t="shared" si="124"/>
        <v>1*300</v>
      </c>
      <c r="OC31" s="395">
        <f t="shared" si="125"/>
        <v>245.118138379664</v>
      </c>
      <c r="OD31" s="395">
        <f>SQRT(4*EY31/PI()/EH31/各项系数!$J$4/各项系数!$F$5*10000000)</f>
        <v>247.55718490475357</v>
      </c>
      <c r="OE31" s="396">
        <f t="shared" si="126"/>
        <v>287.85290424574276</v>
      </c>
      <c r="OF31" s="396">
        <f t="shared" si="127"/>
        <v>293.60996233065759</v>
      </c>
      <c r="OG31" s="66">
        <v>292</v>
      </c>
      <c r="OH31" s="397">
        <f t="shared" si="186"/>
        <v>1.609962330657595</v>
      </c>
    </row>
    <row r="32" spans="1:398" ht="15" hidden="1" customHeight="1">
      <c r="A32" s="50">
        <v>400</v>
      </c>
      <c r="B32" s="51">
        <v>0</v>
      </c>
      <c r="C32" s="52">
        <v>2</v>
      </c>
      <c r="D32" s="53" t="s">
        <v>262</v>
      </c>
      <c r="E32" s="63">
        <f t="shared" si="240"/>
        <v>32.946307189999999</v>
      </c>
      <c r="F32" s="59">
        <v>277.18119106381198</v>
      </c>
      <c r="G32" s="58"/>
      <c r="H32" s="16"/>
      <c r="I32" s="62"/>
      <c r="J32" s="16"/>
      <c r="K32" s="16"/>
      <c r="L32" s="97" t="s">
        <v>467</v>
      </c>
      <c r="M32" s="103">
        <f t="shared" si="2"/>
        <v>2</v>
      </c>
      <c r="N32" s="103">
        <f t="shared" si="3"/>
        <v>0</v>
      </c>
      <c r="O32" s="102"/>
      <c r="P32" s="99">
        <v>0.1</v>
      </c>
      <c r="Q32" s="133">
        <f t="shared" si="237"/>
        <v>0.1</v>
      </c>
      <c r="R32" s="140">
        <v>0.8</v>
      </c>
      <c r="S32" s="142" t="str">
        <f>各项系数!$D$44</f>
        <v>磁性钢带</v>
      </c>
      <c r="T32" s="102">
        <v>0.5</v>
      </c>
      <c r="U32" s="102">
        <v>2</v>
      </c>
      <c r="V32" s="140"/>
      <c r="W32" s="141">
        <v>2</v>
      </c>
      <c r="X32" s="135">
        <f t="shared" si="238"/>
        <v>0.2</v>
      </c>
      <c r="Y32" s="135"/>
      <c r="Z32" s="168"/>
      <c r="AA32" s="153">
        <v>1.02</v>
      </c>
      <c r="AB32" s="153">
        <f>PI()*EJ32*EJ32/4*EH32*(1-H32)*AA32*各项系数!$F$5*各项系数!$J$4*10^-7</f>
        <v>3.3210257510184449</v>
      </c>
      <c r="AC32" s="153">
        <f t="shared" si="241"/>
        <v>277.18119106381198</v>
      </c>
      <c r="AD32" s="153">
        <f t="shared" si="5"/>
        <v>375.44593055473609</v>
      </c>
      <c r="AE32" s="153">
        <f>POWER(4*EU32/PI()/EG32/10^-7/EH32/(1-H32)/各项系数!$F$5/各项系数!$J$4,0.5)</f>
        <v>279.93928079700521</v>
      </c>
      <c r="AF32" s="69">
        <v>1</v>
      </c>
      <c r="AG32" s="69">
        <f>IF(EM32=0,0,PI()*ER32*ER32/4*EP32*(1-K32)*(1+AF32)*各项系数!$F$5*各项系数!$J$4*10^-7)</f>
        <v>0</v>
      </c>
      <c r="AH32" s="69">
        <f t="shared" si="242"/>
        <v>0</v>
      </c>
      <c r="AI32" s="69">
        <f t="shared" si="128"/>
        <v>0</v>
      </c>
      <c r="AJ32" s="69">
        <f>IF(OR(EP32="",EP32=0),0,POWER(4*EW32/PI()/EO32/10^-7/EP32/(1-K32)/各项系数!$F$5/各项系数!$J$4,0.5))</f>
        <v>0</v>
      </c>
      <c r="AK32" s="69" t="str">
        <f t="shared" si="8"/>
        <v>√</v>
      </c>
      <c r="AL32" s="69">
        <f t="shared" si="243"/>
        <v>228.91260202419025</v>
      </c>
      <c r="AM32" s="188">
        <f t="shared" si="244"/>
        <v>400</v>
      </c>
      <c r="AN32" s="97" t="s">
        <v>486</v>
      </c>
      <c r="AO32" s="196">
        <f>AP32+各项系数!$M$9*$NK32</f>
        <v>224.42411963155905</v>
      </c>
      <c r="AP32" s="196">
        <f>AQ32*(1+$BI32+(VLOOKUP($AM32,$A$12:$B$323,2,0))+各项系数!$J$6+各项系数!$M$5)*(1+$E$2)</f>
        <v>223.28689950734471</v>
      </c>
      <c r="AQ32" s="197">
        <f>AR32+各项系数!$L$9*$NK32</f>
        <v>227.8437750074946</v>
      </c>
      <c r="AR32" s="197">
        <f>AS32*(1+$BJ32+各项系数!$J$5+各项系数!$L$5)</f>
        <v>226.70655488328026</v>
      </c>
      <c r="AS32" s="197">
        <f t="shared" si="129"/>
        <v>222.26132831694142</v>
      </c>
      <c r="AT32" s="196">
        <f>AU32+各项系数!$M$9*$NM32</f>
        <v>226.34836792279725</v>
      </c>
      <c r="AU32" s="196">
        <f>AV32*(1+$BI32+(VLOOKUP($AM32,$A$12:$B$323,2,0))+各项系数!$J$6+各项系数!$M$5)*(1+$E$2)</f>
        <v>225.21114779858291</v>
      </c>
      <c r="AV32" s="197">
        <f>AW32+各项系数!$L$9*$NM32</f>
        <v>229.80729367202338</v>
      </c>
      <c r="AW32" s="197">
        <f>AX32*(1+$BJ32+各项系数!$J$5+各项系数!$L$5)</f>
        <v>228.67007354780904</v>
      </c>
      <c r="AX32" s="197">
        <f t="shared" si="130"/>
        <v>224.18634661549905</v>
      </c>
      <c r="AY32" s="196">
        <f>AZ32+各项系数!$M$9*$NS32</f>
        <v>227.19858840333967</v>
      </c>
      <c r="AZ32" s="196">
        <f>BA32*(1+$BI32+(VLOOKUP($AM32,$A$12:$B$214,2,0))+各项系数!$J$6+各项系数!$M$5)*(1+$E$2)</f>
        <v>226.04920480567185</v>
      </c>
      <c r="BA32" s="197">
        <f>BB32+各项系数!$L$9*$NS32</f>
        <v>230.66245388333863</v>
      </c>
      <c r="BB32" s="197">
        <f>BC32*(1+$BJ32+各项系数!$J$5+各项系数!$L$5)</f>
        <v>229.51307028567081</v>
      </c>
      <c r="BC32" s="199">
        <f t="shared" si="131"/>
        <v>225.01281400555962</v>
      </c>
      <c r="BD32" s="196">
        <f>BE32+各项系数!$M$9*$NS32</f>
        <v>229.13278553030514</v>
      </c>
      <c r="BE32" s="196">
        <f>BF32*(1+$BI32+(VLOOKUP($AM32,$A$12:$B$214,2,0))+各项系数!$J$6+各项系数!$M$5)*(1+$E$2)</f>
        <v>227.98340193263732</v>
      </c>
      <c r="BF32" s="197">
        <f>BG32+各项系数!$L$9*$NS32</f>
        <v>232.6361244210585</v>
      </c>
      <c r="BG32" s="197">
        <f>BH32*(1+$BJ32+各项系数!$J$5+各项系数!$L$5)</f>
        <v>231.48674082339068</v>
      </c>
      <c r="BH32" s="199">
        <f t="shared" si="132"/>
        <v>226.94778512097125</v>
      </c>
      <c r="BI32" s="51"/>
      <c r="BJ32" s="208"/>
      <c r="BK32" s="102"/>
      <c r="BL32" s="196">
        <f>BM32+各项系数!$M$9*$NM32</f>
        <v>226.88935369446497</v>
      </c>
      <c r="BM32" s="196">
        <f>BN32*(1+$CF32+(VLOOKUP($AM32,$A$12:$B$323,2,0))+各项系数!$J$6+各项系数!$M$5)*(1+$E$2)</f>
        <v>225.75213357025063</v>
      </c>
      <c r="BN32" s="197">
        <f>BO32+各项系数!$L$9*$NM32</f>
        <v>230.35931996964351</v>
      </c>
      <c r="BO32" s="197">
        <f>BP32*(1+$CG32+各项系数!$J$5+各项系数!$L$5)</f>
        <v>229.22209984542917</v>
      </c>
      <c r="BP32" s="197">
        <f t="shared" si="133"/>
        <v>222.54572800527103</v>
      </c>
      <c r="BQ32" s="196">
        <f>BR32+各项系数!$M$9*$NM32</f>
        <v>228.54539411962915</v>
      </c>
      <c r="BR32" s="196">
        <f>BS32*(1+$CF32+(VLOOKUP($AM32,$A$12:$B$323,2,0))+各项系数!$J$6+各项系数!$M$5)*(1+$E$2)</f>
        <v>227.40817399541481</v>
      </c>
      <c r="BS32" s="197">
        <f>BT32+各项系数!$L$9*$NM32</f>
        <v>232.04915713817837</v>
      </c>
      <c r="BT32" s="197">
        <f>BU32*(1+$CG32+各项系数!$J$5+各项系数!$L$5)</f>
        <v>230.91193701396404</v>
      </c>
      <c r="BU32" s="197">
        <f t="shared" si="134"/>
        <v>224.18634661549905</v>
      </c>
      <c r="BV32" s="196">
        <f>BW32+各项系数!$M$9*$NT32</f>
        <v>228.5739734734417</v>
      </c>
      <c r="BW32" s="196">
        <f>BX32*(1+$CF32+(VLOOKUP($AM32,$A$12:$B$214,2,0))+各项系数!$J$6+各项系数!$M$5)*(1+$E$2)</f>
        <v>227.42458987577388</v>
      </c>
      <c r="BX32" s="197">
        <f>BY32+各项系数!$L$9*$NT$12</f>
        <v>232.06590803650397</v>
      </c>
      <c r="BY32" s="197">
        <f>BZ32*(1+$CG32+各项系数!$J$5+各项系数!$L$5)</f>
        <v>232.05764463334899</v>
      </c>
      <c r="BZ32" s="199">
        <f t="shared" si="11"/>
        <v>225.29868411004756</v>
      </c>
      <c r="CA32" s="196">
        <f>CB32+各项系数!$M$9*$NT32</f>
        <v>230.2385760338681</v>
      </c>
      <c r="CB32" s="196">
        <f>CC32*(1+$CF32+(VLOOKUP($AM32,$A$12:$B$214,2,0))+各项系数!$J$6+各项系数!$M$5)*(1+$E$2)</f>
        <v>229.08919243620028</v>
      </c>
      <c r="CC32" s="197">
        <f>CD32+各项系数!$L$9*$NT$12</f>
        <v>233.76448207775539</v>
      </c>
      <c r="CD32" s="197">
        <f>CE32*(1+$CG32+各项系数!$J$5+各项系数!$L$5)</f>
        <v>233.7562186746004</v>
      </c>
      <c r="CE32" s="199">
        <f t="shared" si="135"/>
        <v>226.94778512097125</v>
      </c>
      <c r="CF32" s="213">
        <f t="shared" si="136"/>
        <v>0</v>
      </c>
      <c r="CG32" s="213">
        <f t="shared" si="12"/>
        <v>0.01</v>
      </c>
      <c r="CH32" s="102"/>
      <c r="CI32" s="196">
        <f>CJ32+各项系数!$M$9*$NO32</f>
        <v>226.57281083503489</v>
      </c>
      <c r="CJ32" s="196">
        <f>CK32*(1+$DC32+(VLOOKUP($AM32,$A$12:$B$323,2,0))+各项系数!$J$6+各项系数!$M$5)*(1+$E$2)+各项系数!$M$9*$NK32</f>
        <v>225.4220448412122</v>
      </c>
      <c r="CK32" s="197">
        <f>CL32+各项系数!$L$9*$NO32</f>
        <v>228.86206603775292</v>
      </c>
      <c r="CL32" s="197">
        <f>CM32*(1+$DD32+各项系数!$J$5+各项系数!$L$5)</f>
        <v>227.71130004393024</v>
      </c>
      <c r="CM32" s="197">
        <f t="shared" si="13"/>
        <v>223.24637259208848</v>
      </c>
      <c r="CN32" s="196">
        <f>CO32+各项系数!$M$9*$NO32</f>
        <v>228.44194057657822</v>
      </c>
      <c r="CO32" s="196">
        <f>CP32*(1+$DC32+(VLOOKUP($AM32,$A$12:$B$323,2,0))+各项系数!$J$6+各项系数!$M$5)*(1+$E$2)+各项系数!$M$9*$NK32</f>
        <v>227.29117458275553</v>
      </c>
      <c r="CP32" s="197">
        <f>CQ32+各项系数!$L$9*$NO32</f>
        <v>230.7693412842257</v>
      </c>
      <c r="CQ32" s="197">
        <f>CR32*(1+$DD32+各项系数!$J$5+各项系数!$L$5)</f>
        <v>229.61857529040302</v>
      </c>
      <c r="CR32" s="197">
        <f t="shared" si="14"/>
        <v>225.11625028470883</v>
      </c>
      <c r="CS32" s="196">
        <f>CT32+各项系数!$M$9*$NU32</f>
        <v>228.26710643260691</v>
      </c>
      <c r="CT32" s="196">
        <f t="shared" si="15"/>
        <v>227.1039255353426</v>
      </c>
      <c r="CU32" s="197">
        <f>CV32+各项系数!$L$9*$NU32</f>
        <v>231.7386995258598</v>
      </c>
      <c r="CV32" s="197">
        <f>CW32*(1+$DD32+各项系数!$J$5+各项系数!$L$5)</f>
        <v>230.57551862859549</v>
      </c>
      <c r="CW32" s="199">
        <f t="shared" si="16"/>
        <v>226.0544300280348</v>
      </c>
      <c r="CX32" s="196">
        <f>CY32+各项系数!$M$9*$NU32</f>
        <v>230.23861169354956</v>
      </c>
      <c r="CY32" s="196">
        <f t="shared" si="17"/>
        <v>229.07543079628525</v>
      </c>
      <c r="CZ32" s="197">
        <f>DA32+各项系数!$L$9*$NU32</f>
        <v>233.75043958804616</v>
      </c>
      <c r="DA32" s="197">
        <f>DB32*(1+$DD32+各项系数!$J$5+各项系数!$L$5)</f>
        <v>232.58725869078185</v>
      </c>
      <c r="DB32" s="199">
        <f t="shared" si="18"/>
        <v>228.02672420664888</v>
      </c>
      <c r="DC32" s="213">
        <f t="shared" si="137"/>
        <v>0</v>
      </c>
      <c r="DD32" s="213">
        <f t="shared" si="19"/>
        <v>0</v>
      </c>
      <c r="DE32" s="53"/>
      <c r="DF32" s="53"/>
      <c r="DG32" s="196">
        <f>DH32+各项系数!$M$9*$NQ32</f>
        <v>229.05326422460058</v>
      </c>
      <c r="DH32" s="196">
        <f>DI32*(1+$EA32+(VLOOKUP($AM32,$A$12:$B$323,2,0))+各项系数!$J$6+各项系数!$M$5)*(1+$E$2)+各项系数!$M$9*$NK32</f>
        <v>227.90249823077789</v>
      </c>
      <c r="DI32" s="197">
        <f>DJ32+各项系数!$L$9*$NQ32</f>
        <v>231.39314092506487</v>
      </c>
      <c r="DJ32" s="197">
        <f>DK32*(1+$EB32+各项系数!$J$5+各项系数!$L$5)</f>
        <v>230.24237493124218</v>
      </c>
      <c r="DK32" s="197">
        <f t="shared" si="20"/>
        <v>223.53628634101182</v>
      </c>
      <c r="DL32" s="196">
        <f>DM32+各项系数!$M$9*$NQ32</f>
        <v>230.74141265699799</v>
      </c>
      <c r="DM32" s="196">
        <f>DN32*(1+$EA32+(VLOOKUP($AM32,$A$12:$B$323,2,0))+各项系数!$J$6+各项系数!$M$5)*(1+$E$2)+各项系数!$M$9*$NK32</f>
        <v>229.59064666317531</v>
      </c>
      <c r="DN32" s="197">
        <f>DO32+各项系数!$L$9*$NQ32</f>
        <v>233.1157413662867</v>
      </c>
      <c r="DO32" s="197">
        <f>DP32*(1+$EB32+各项系数!$J$5+各项系数!$L$5)</f>
        <v>231.96497537246401</v>
      </c>
      <c r="DP32" s="197">
        <f t="shared" si="21"/>
        <v>225.20871395384856</v>
      </c>
      <c r="DQ32" s="196">
        <f>DR32+各项系数!$M$9*$NV32</f>
        <v>230.7765630231151</v>
      </c>
      <c r="DR32" s="196">
        <f t="shared" si="22"/>
        <v>229.61338212585079</v>
      </c>
      <c r="DS32" s="197">
        <f>DT32+各项系数!$L$9*$NV32</f>
        <v>234.29936951617429</v>
      </c>
      <c r="DT32" s="197">
        <f>DU32*(1+$EB32+各项系数!$J$5+各项系数!$L$5)</f>
        <v>233.13618861890998</v>
      </c>
      <c r="DU32" s="199">
        <f t="shared" si="23"/>
        <v>226.3458141931165</v>
      </c>
      <c r="DV32" s="196">
        <f>DW32+各项系数!$M$9*$NV32</f>
        <v>230.52287895982511</v>
      </c>
      <c r="DW32" s="196">
        <f t="shared" si="24"/>
        <v>229.3596980625608</v>
      </c>
      <c r="DX32" s="197">
        <f>DY32+各项系数!$L$9*$NV32</f>
        <v>234.04050822710286</v>
      </c>
      <c r="DY32" s="197">
        <f>DZ32*(1+$EB32+各项系数!$J$5+各项系数!$L$5)</f>
        <v>232.87732732983855</v>
      </c>
      <c r="DZ32" s="199">
        <f t="shared" si="25"/>
        <v>226.09449255324131</v>
      </c>
      <c r="EA32" s="213">
        <f t="shared" si="230"/>
        <v>0</v>
      </c>
      <c r="EB32" s="213">
        <f t="shared" si="27"/>
        <v>0.01</v>
      </c>
      <c r="EC32" s="235">
        <f t="shared" si="138"/>
        <v>1</v>
      </c>
      <c r="ED32" s="235" t="str">
        <f t="shared" si="180"/>
        <v>1*400</v>
      </c>
      <c r="EE32" s="189">
        <f t="shared" si="239"/>
        <v>400</v>
      </c>
      <c r="EF32" s="189" t="str">
        <f>LOOKUP(EH32,{1,7,10,14,19,24,30,37,48,61},{1,"1+6","2+8","4+10","1+6+12","2+8+14","4+10+16","1+6+12+18","3+9+15+21","1+6+12+18+24"})</f>
        <v>1+6+12+18+24</v>
      </c>
      <c r="EG32" s="188">
        <f t="shared" si="29"/>
        <v>1</v>
      </c>
      <c r="EH32" s="197">
        <f>VLOOKUP(EE32,各项系数!$B$87:$C$110,2,0)</f>
        <v>61</v>
      </c>
      <c r="EI32" s="188">
        <f>IF(EH32=0,0,VLOOKUP(EH32,各项系数!$D$142:$E$195,2,0))*1</f>
        <v>9</v>
      </c>
      <c r="EJ32" s="238">
        <f t="shared" si="141"/>
        <v>277.18119106381198</v>
      </c>
      <c r="EK32" s="189">
        <f t="shared" si="245"/>
        <v>0</v>
      </c>
      <c r="EL32" s="189">
        <f t="shared" si="31"/>
        <v>0</v>
      </c>
      <c r="EM32" s="189">
        <f t="shared" si="182"/>
        <v>0</v>
      </c>
      <c r="EN32" s="189">
        <f>IF(EP32=0,0,LOOKUP(EP32,{1,7,10,14,19,24,30,37,48,61},{1,"1+6","2+8","4+10","1+6+12","2+8+14","4+10+16","1+6+12+18","3+9+15+21","1+6+12+18+24"}))</f>
        <v>0</v>
      </c>
      <c r="EO32" s="189">
        <f t="shared" si="246"/>
        <v>0</v>
      </c>
      <c r="EP32" s="189">
        <f>IF(EM32=0,0,IF(EM32&lt;10,1,IF(AND(EM32&gt;=10,EM32&lt;=35),7,LOOKUP(EM32,{50,70,95,120,150,185,240,300},{10,14,19,24,30,37,48,61})*1)))</f>
        <v>0</v>
      </c>
      <c r="EQ32" s="189">
        <f>IF(EP32=0,0,VLOOKUP(EP32,各项系数!$D$142:$E$195,2,0))*1</f>
        <v>0</v>
      </c>
      <c r="ER32" s="189">
        <f t="shared" si="247"/>
        <v>0</v>
      </c>
      <c r="ES32" s="235">
        <f t="shared" si="185"/>
        <v>1</v>
      </c>
      <c r="ET32" s="189">
        <f>VLOOKUP(ES32,各项系数!$D$142:$E$195,2,0)*1</f>
        <v>1</v>
      </c>
      <c r="EU32" s="243">
        <f>((各项系数!$F$76/4*$EJ32^2*$EG32*$EH32*1*10^-7)*(1-$H32)*AA32)*(VLOOKUP($EY$9,各项系数!$D$4:$F$143,3,0))*各项系数!$J$4</f>
        <v>3.3210257510184444</v>
      </c>
      <c r="EV32" s="244">
        <f>EU32*(VLOOKUP($EY$9,各项系数!$D$4:$F$143,2,0))</f>
        <v>217.52718669170812</v>
      </c>
      <c r="EW32" s="252">
        <f>(IF($EO32=0,0,(各项系数!$F$76/4*$ER32^2*$EO32*$EP32*1*10^-7))*(1-$K32)*$AF32)*(VLOOKUP($EY$9,各项系数!$D$4:$F$143,3,0))*各项系数!$J$4</f>
        <v>0</v>
      </c>
      <c r="EX32" s="253">
        <f>EW32*(VLOOKUP($EY$9,各项系数!$D$4:$F$143,2,0))</f>
        <v>0</v>
      </c>
      <c r="EY32" s="189">
        <f>((各项系数!$F$76/4*$EJ32^2*$EG32*$EH32*1*10^-7)*(1-$H32)*AA32+IF($EO32=0,0,(各项系数!$F$76/4*$ER32^2*$EO32*$EP32*1*10^-7))*(1-$K32)*$AF32)*(VLOOKUP($EY$9,各项系数!$D$4:$F$143,3,0))*各项系数!$J$4</f>
        <v>3.3210257510184444</v>
      </c>
      <c r="EZ32" s="102">
        <v>1</v>
      </c>
      <c r="FA32" s="189">
        <f t="shared" si="188"/>
        <v>3.3210257510184444</v>
      </c>
      <c r="FB32" s="254">
        <f>FA32*(VLOOKUP($EY$9,各项系数!$D$4:$F$143,2,0))</f>
        <v>217.52718669170812</v>
      </c>
      <c r="FC32" s="255"/>
      <c r="FD32" s="235">
        <f>各项系数!$F$76/4*($MN32^2-MK32^2)*10^-2*(VLOOKUP(L32,各项系数!$D$1:$F$143,3,0))*10^-3*10^2*$EG32*各项系数!$J$4</f>
        <v>0.18530830803304696</v>
      </c>
      <c r="FE32" s="262">
        <f>FD32*VLOOKUP(L32,各项系数!$D$1:$F$143,2,0)</f>
        <v>1.8901447419370789</v>
      </c>
      <c r="FF32" s="188">
        <f>各项系数!$F$76/4*($MO32^2-ML32^2)*10^-2*(VLOOKUP(L32,各项系数!$D$1:$F$143,3,0))*10^-3*10^2*$EO32*各项系数!$J$4</f>
        <v>0</v>
      </c>
      <c r="FG32" s="262">
        <f>FF32*VLOOKUP(L32,各项系数!$D$1:$F$143,2,0)</f>
        <v>0</v>
      </c>
      <c r="FH32" s="235">
        <f t="shared" si="142"/>
        <v>0.18530830803304696</v>
      </c>
      <c r="FI32" s="102">
        <v>1</v>
      </c>
      <c r="FJ32" s="189">
        <f t="shared" si="189"/>
        <v>0.18530830803304696</v>
      </c>
      <c r="FK32" s="262">
        <f>FJ32*VLOOKUP(L32,各项系数!$D$1:$F$143,2,0)</f>
        <v>1.8901447419370789</v>
      </c>
      <c r="FL32" s="235"/>
      <c r="FM32" s="102"/>
      <c r="FN32" s="189"/>
      <c r="FO32" s="262"/>
      <c r="FP32" s="282">
        <f t="shared" si="190"/>
        <v>0.18530830803304696</v>
      </c>
      <c r="FQ32" s="282">
        <f t="shared" si="191"/>
        <v>1.8901447419370789</v>
      </c>
      <c r="FR32" s="283">
        <f>各项系数!$F$76/4*($MQ32^2-$MN32^2*$EG32-$MO32^2*$EO32)*10^-2</f>
        <v>0</v>
      </c>
      <c r="FS32" s="284">
        <f t="shared" si="143"/>
        <v>1</v>
      </c>
      <c r="FT32" s="285">
        <f t="shared" si="40"/>
        <v>0</v>
      </c>
      <c r="FU32" s="302">
        <f>$FT32*(VLOOKUP($FT$9,各项系数!$D$1:$F$143,3,0))*10^-3*10^2*各项系数!$J$55</f>
        <v>0</v>
      </c>
      <c r="FV32" s="303">
        <v>1</v>
      </c>
      <c r="FW32" s="304">
        <f t="shared" si="192"/>
        <v>0</v>
      </c>
      <c r="FX32" s="285">
        <f>FW32*(VLOOKUP($FT$9,各项系数!$D$1:$F$143,2,0))</f>
        <v>0</v>
      </c>
      <c r="FY32" s="302">
        <f>IF($BK32&lt;&gt;$FY$9,0,各项系数!$F$76/4*($MS32^2-$MQ32^2)*10^-2*(VLOOKUP($FY$9,各项系数!$D$1:$F$143,3,0))*10^-3*10^2)*各项系数!$J$4</f>
        <v>0</v>
      </c>
      <c r="FZ32" s="303">
        <v>1</v>
      </c>
      <c r="GA32" s="304">
        <f t="shared" si="193"/>
        <v>0</v>
      </c>
      <c r="GB32" s="285">
        <f>GA32*(VLOOKUP($FY$9,各项系数!$D$1:$F$143,2,0))</f>
        <v>0</v>
      </c>
      <c r="GC32" s="302">
        <f>IF($BK32&lt;&gt;$GC$9,0,各项系数!$F$76/4*($MS32^2-$MQ32^2)*10^-2*(VLOOKUP($GC$9,各项系数!$D$1:$F$143,3,0))*10^-3*10^2)*各项系数!$J$4</f>
        <v>0</v>
      </c>
      <c r="GD32" s="303">
        <v>1</v>
      </c>
      <c r="GE32" s="304">
        <f t="shared" si="194"/>
        <v>0</v>
      </c>
      <c r="GF32" s="285">
        <f>GE32*(VLOOKUP($GC$9,各项系数!$D$1:$F$143,2,0))</f>
        <v>0</v>
      </c>
      <c r="GG32" s="302">
        <f>IF($BK32&lt;&gt;$GG$9,0,各项系数!$F$76/4*($MS32^2-$MQ32^2)*10^-2*(VLOOKUP($GG$9,各项系数!$D$1:$F$143,3,0))*10^-3*10^2)*各项系数!$J$4</f>
        <v>0</v>
      </c>
      <c r="GH32" s="303">
        <v>1</v>
      </c>
      <c r="GI32" s="304">
        <f t="shared" si="195"/>
        <v>0</v>
      </c>
      <c r="GJ32" s="285">
        <f>GI32*(VLOOKUP($GG$9,各项系数!$D$1:$F$143,2,0))</f>
        <v>0</v>
      </c>
      <c r="GK32" s="302">
        <f>IF($BK32&lt;&gt;$GK$9,0,各项系数!$F$76/4*($MS32^2-$MQ32^2)*10^-2*(VLOOKUP($GK$9,各项系数!$D$1:$F$143,3,0))*10^-3*10^2)*各项系数!$J$4</f>
        <v>0</v>
      </c>
      <c r="GL32" s="303">
        <v>1</v>
      </c>
      <c r="GM32" s="304">
        <f t="shared" si="196"/>
        <v>0</v>
      </c>
      <c r="GN32" s="285">
        <f>GM32*(VLOOKUP($GK$9,各项系数!$D$1:$F$143,2,0))</f>
        <v>0</v>
      </c>
      <c r="GO32" s="304">
        <f t="shared" si="197"/>
        <v>0</v>
      </c>
      <c r="GP32" s="304">
        <f t="shared" si="198"/>
        <v>0</v>
      </c>
      <c r="GQ32" s="315">
        <f>各项系数!$F$76/4*($MU32^2-$MS32^2)*10^-2*(VLOOKUP($S32,各项系数!$D$1:$F$143,3,0))*10^-3*10^2*各项系数!$J$4</f>
        <v>0.5444317157053099</v>
      </c>
      <c r="GR32" s="303">
        <v>1</v>
      </c>
      <c r="GS32" s="304">
        <f t="shared" si="199"/>
        <v>0.5444317157053099</v>
      </c>
      <c r="GT32" s="304">
        <f t="shared" si="200"/>
        <v>0</v>
      </c>
      <c r="GU32" s="304">
        <f>ROUND($GS32*(VLOOKUP($S32,各项系数!$D$1:$F$143,2,0))+$E$3*GS32,GT32)</f>
        <v>6</v>
      </c>
      <c r="GV32" s="315">
        <f>各项系数!$F$76/4*($MT32^2-$MS32^2)*10^-2*(VLOOKUP($GV$9,各项系数!$D$1:$F$143,3,0))*10^-3*10^2*各项系数!$J$4*PI()/4*R32</f>
        <v>4.054491151162877E-2</v>
      </c>
      <c r="GW32" s="303">
        <v>1</v>
      </c>
      <c r="GX32" s="304">
        <f t="shared" si="201"/>
        <v>4.054491151162877E-2</v>
      </c>
      <c r="GY32" s="304">
        <f>$GX32*(VLOOKUP($GV$9,各项系数!$D$1:$F$143,2,0))</f>
        <v>2.736781527034942</v>
      </c>
      <c r="GZ32" s="315">
        <f>各项系数!$F$76/4*($MV32^2-$MS32^2)*10^-2*(VLOOKUP($GZ$9,各项系数!$D$1:$F$143,3,0))*10^-3*10^2*各项系数!$J$4</f>
        <v>0.28053030481493152</v>
      </c>
      <c r="HA32" s="303">
        <v>1</v>
      </c>
      <c r="HB32" s="304">
        <f t="shared" si="144"/>
        <v>0.28053030481493152</v>
      </c>
      <c r="HC32" s="304">
        <f>HB32*(VLOOKUP($GZ$9,各项系数!$D$1:$F$143,2,0))</f>
        <v>4.7690151818538355</v>
      </c>
      <c r="HD32" s="315">
        <f>各项系数!$F$76/4*($MW32^2-$MT32^2)*10^-2*(VLOOKUP($HD$9,各项系数!$D$1:$F$143,3,0))*10^-3*10^2*各项系数!$J$4</f>
        <v>0.28198071531124058</v>
      </c>
      <c r="HE32" s="303">
        <v>1</v>
      </c>
      <c r="HF32" s="304">
        <f t="shared" si="145"/>
        <v>0.28198071531124058</v>
      </c>
      <c r="HG32" s="304">
        <f>HF32*(VLOOKUP($HD$9,各项系数!$D$1:$F$143,2,0))</f>
        <v>4.7936721602910897</v>
      </c>
      <c r="HH32" s="315">
        <f>各项系数!$F$76/4*($MV32^2-$MS32^2)*10^-2*(VLOOKUP($HH$9,各项系数!$D$1:$F$143,3,0))*10^-3*10^2*各项系数!$J$4</f>
        <v>0.28053030481493152</v>
      </c>
      <c r="HI32" s="322">
        <v>1</v>
      </c>
      <c r="HJ32" s="304">
        <f t="shared" si="146"/>
        <v>0.28053030481493152</v>
      </c>
      <c r="HK32" s="304">
        <f>HJ32*(VLOOKUP($HH$9,各项系数!$D$1:$F$143,2,0))</f>
        <v>4.7690151818538355</v>
      </c>
      <c r="HL32" s="315">
        <f>各项系数!$F$76/4*($MW32^2-$MT32^2)*10^-2*(VLOOKUP($HL$9,各项系数!$D$1:$F$143,3,0))*10^-3*10^2*各项系数!$J$4</f>
        <v>0.28198071531124058</v>
      </c>
      <c r="HM32" s="322">
        <v>1</v>
      </c>
      <c r="HN32" s="304">
        <f t="shared" si="147"/>
        <v>0.28198071531124058</v>
      </c>
      <c r="HO32" s="304">
        <f>HN32*(VLOOKUP($HL$9,各项系数!$D$1:$F$143,2,0))</f>
        <v>4.7936721602910897</v>
      </c>
      <c r="HP32" s="315">
        <f>各项系数!$F$76/4*($MV32^2-$MS32^2)*10^-2*(VLOOKUP(AN32,各项系数!$D$1:$F$143,3,0))*10^-3*10^2*各项系数!$J$4</f>
        <v>0.2843996883296202</v>
      </c>
      <c r="HQ32" s="303">
        <v>1</v>
      </c>
      <c r="HR32" s="304">
        <f t="shared" si="202"/>
        <v>0.2843996883296202</v>
      </c>
      <c r="HS32" s="304">
        <f>HR32*(VLOOKUP(AN32,各项系数!$D$1:$F$143,2,0))</f>
        <v>2.8439968832962021</v>
      </c>
      <c r="HT32" s="315">
        <f>各项系数!$F$76/4*($MW32^2-$MT32^2)*10^-2*(VLOOKUP(AN32,各项系数!$D$1:$F$143,3,0))*10^-3*10^2*各项系数!$J$4</f>
        <v>0.28587010448794731</v>
      </c>
      <c r="HU32" s="303">
        <v>1</v>
      </c>
      <c r="HV32" s="304">
        <f t="shared" si="203"/>
        <v>0.28587010448794731</v>
      </c>
      <c r="HW32" s="304">
        <f>HV32*(VLOOKUP(AN32,各项系数!$D$1:$F$143,2,0))</f>
        <v>2.858701044879473</v>
      </c>
      <c r="HX32" s="315">
        <f>各项系数!$F$76/4*($MV32^2-$MS32^2)*10^-2*(VLOOKUP($HX$9,各项系数!$D$1:$F$143,3,0))*10^-3*10^2*各项系数!$J$4</f>
        <v>0.2843996883296202</v>
      </c>
      <c r="HY32" s="322">
        <v>1</v>
      </c>
      <c r="HZ32" s="304">
        <f t="shared" si="204"/>
        <v>0.2843996883296202</v>
      </c>
      <c r="IA32" s="304">
        <f>HZ32*(VLOOKUP($HX$9,各项系数!$D$1:$F$143,2,0))</f>
        <v>3.1283965716258222</v>
      </c>
      <c r="IB32" s="315">
        <f>各项系数!$F$76/4*($MW32^2-$MT32^2)*10^-2*(VLOOKUP($IB$9,各项系数!$D$1:$F$143,3,0))*10^-3*10^2*各项系数!$J$4</f>
        <v>0.28587010448794731</v>
      </c>
      <c r="IC32" s="322">
        <v>1</v>
      </c>
      <c r="ID32" s="304">
        <f t="shared" si="205"/>
        <v>0.28587010448794731</v>
      </c>
      <c r="IE32" s="304">
        <f>ID32*(VLOOKUP($IB$9,各项系数!$D$1:$F$143,2,0))</f>
        <v>3.1445711493674202</v>
      </c>
      <c r="IF32" s="328"/>
      <c r="IG32" s="315">
        <f t="shared" si="148"/>
        <v>3.5512670309572565E-2</v>
      </c>
      <c r="IH32" s="303">
        <v>1</v>
      </c>
      <c r="II32" s="304">
        <f t="shared" si="206"/>
        <v>3.5512670309572565E-2</v>
      </c>
      <c r="IJ32" s="304">
        <f>II32*(VLOOKUP($IG$8,各项系数!$D$1:$F$143,2,0))</f>
        <v>0.88781675773931412</v>
      </c>
      <c r="IK32" s="315">
        <f>(各项系数!$F$76/4*($MX32^2-$MK32^2)*$EG32)*10^-2*(VLOOKUP($IG$8,各项系数!$D$1:$F$143,3,0))*10^-3*10^2*各项系数!$J$4</f>
        <v>3.5512670309572565E-2</v>
      </c>
      <c r="IL32" s="303">
        <f>IK32*(VLOOKUP($IG$8,各项系数!$D$1:$F$143,2,0))</f>
        <v>0.88781675773931412</v>
      </c>
      <c r="IM32" s="304">
        <f>(各项系数!$F$76/4*(($MM32+3*$X32)^2-MM32^2)*$EO32)*10^-2*(VLOOKUP($IG$8,各项系数!$D$1:$F$143,3,0))*10^-3*10^2*各项系数!$J$4</f>
        <v>0</v>
      </c>
      <c r="IN32" s="303">
        <f>IM32*(VLOOKUP($IG$8,各项系数!$D$1:$F$143,2,0))</f>
        <v>0</v>
      </c>
      <c r="IO32" s="315">
        <f>各项系数!$F$76/4*($MZ32^2-$MX32^2)*10^-2*(VLOOKUP(L32,各项系数!$D$1:$F$143,3,0))*10^-3*10^2*$ES32*各项系数!$J$4</f>
        <v>0.18943447582427175</v>
      </c>
      <c r="IP32" s="303">
        <v>1</v>
      </c>
      <c r="IQ32" s="304">
        <f t="shared" si="207"/>
        <v>0.18943447582427175</v>
      </c>
      <c r="IR32" s="285">
        <f>IQ32*(VLOOKUP(L32,各项系数!$D$1:$F$143,2,0))</f>
        <v>1.9322316534075716</v>
      </c>
      <c r="IS32" s="315">
        <f>IF($L32&lt;&gt;$IS$9,0,各项系数!$F$76/4*($MZ32^2-$MX32^2)*10^-2*各项系数!$F$12*10^-3*10^2)*$ES32*各项系数!$J$4</f>
        <v>0</v>
      </c>
      <c r="IT32" s="303">
        <v>1</v>
      </c>
      <c r="IU32" s="304">
        <f t="shared" si="208"/>
        <v>0</v>
      </c>
      <c r="IV32" s="285">
        <f>IU32*各项系数!$E$12</f>
        <v>0</v>
      </c>
      <c r="IW32" s="302">
        <f t="shared" si="209"/>
        <v>0.18943447582427175</v>
      </c>
      <c r="IX32" s="302">
        <f t="shared" si="210"/>
        <v>1.9322316534075716</v>
      </c>
      <c r="IY32" s="339">
        <f>各项系数!$F$76/4*($NB32^2-$MZ32^2*$EG32-$NA32^2*$EO32)*10^-2</f>
        <v>0</v>
      </c>
      <c r="IZ32" s="284">
        <f t="shared" si="231"/>
        <v>1</v>
      </c>
      <c r="JA32" s="285">
        <f t="shared" si="64"/>
        <v>0</v>
      </c>
      <c r="JB32" s="282">
        <f>IF($DE32&lt;&gt;$JB$9,0,$JA32*各项系数!$F$32*10^-3*10^2)*各项系数!$J$4</f>
        <v>0</v>
      </c>
      <c r="JC32" s="102">
        <v>1</v>
      </c>
      <c r="JD32" s="189">
        <f t="shared" si="211"/>
        <v>0</v>
      </c>
      <c r="JE32" s="262">
        <f>JD32*各项系数!$E$32</f>
        <v>0</v>
      </c>
      <c r="JF32" s="282">
        <f>IF($DE32&lt;&gt;$JF$9,0,$JA32*VLOOKUP($JF$9,各项系数!$D$4:$F$540,2,0)*10^-3*10^2)*各项系数!$J$4</f>
        <v>0</v>
      </c>
      <c r="JG32" s="102">
        <v>1</v>
      </c>
      <c r="JH32" s="189">
        <f t="shared" si="66"/>
        <v>0</v>
      </c>
      <c r="JI32" s="262">
        <f>JH32*VLOOKUP($JF$9,各项系数!$D$4:$F$540,3,0)</f>
        <v>0</v>
      </c>
      <c r="JJ32" s="282">
        <f t="shared" si="212"/>
        <v>0</v>
      </c>
      <c r="JK32" s="189">
        <f t="shared" si="213"/>
        <v>0</v>
      </c>
      <c r="JL32" s="282">
        <f>IF($DF32&lt;&gt;$JL$9,0,各项系数!$F$76/4*($NE32^2-$NC32^2)*10^-2*各项系数!$F$39*10^-3*10^2)*各项系数!$J$4</f>
        <v>0</v>
      </c>
      <c r="JM32" s="102">
        <v>1</v>
      </c>
      <c r="JN32" s="189">
        <f t="shared" si="214"/>
        <v>0</v>
      </c>
      <c r="JO32" s="262">
        <f>JN32*各项系数!$E$39</f>
        <v>0</v>
      </c>
      <c r="JP32" s="282">
        <f>IF($DF32&lt;&gt;$JP$9,0,各项系数!$F$76/4*($NE32^2-$NC32^2)*10^-2*各项系数!$F$36*10^-3*10^2)*各项系数!$J$4</f>
        <v>0</v>
      </c>
      <c r="JQ32" s="102">
        <v>1</v>
      </c>
      <c r="JR32" s="189">
        <f t="shared" si="215"/>
        <v>0</v>
      </c>
      <c r="JS32" s="262">
        <f>JR32*各项系数!$E$36</f>
        <v>0</v>
      </c>
      <c r="JT32" s="282">
        <f>IF($DF32&lt;&gt;$JT$9,0,各项系数!$F$76/4*($NE32^2-$NC32^2)*10^-2*各项系数!$F$40*10^-3*10^2)*各项系数!$J$4</f>
        <v>0</v>
      </c>
      <c r="JU32" s="102">
        <v>1</v>
      </c>
      <c r="JV32" s="189">
        <f t="shared" si="216"/>
        <v>0</v>
      </c>
      <c r="JW32" s="262">
        <f>JV32*各项系数!$E$40</f>
        <v>0</v>
      </c>
      <c r="JX32" s="282">
        <f>IF($DF32&lt;&gt;$JX$9,0,各项系数!$F$76/4*($NE32^2-$NC32^2)*10^-2*各项系数!$F$38*10^-3*10^2)*各项系数!$J$4</f>
        <v>0</v>
      </c>
      <c r="JY32" s="102">
        <v>1</v>
      </c>
      <c r="JZ32" s="189">
        <f t="shared" si="217"/>
        <v>0</v>
      </c>
      <c r="KA32" s="262">
        <f>JZ32*各项系数!$E$38</f>
        <v>0</v>
      </c>
      <c r="KB32" s="282">
        <f>IF($DF32&lt;&gt;$KB$9,0,各项系数!$F$76/4*($NE32^2-$NC32^2)*10^-2*各项系数!$F$41*10^-3*10^2)*各项系数!$J$4</f>
        <v>0</v>
      </c>
      <c r="KC32" s="102">
        <v>1</v>
      </c>
      <c r="KD32" s="189">
        <f t="shared" si="218"/>
        <v>0</v>
      </c>
      <c r="KE32" s="262">
        <f>KD32*各项系数!$E$41</f>
        <v>0</v>
      </c>
      <c r="KF32" s="189">
        <f t="shared" si="219"/>
        <v>0</v>
      </c>
      <c r="KG32" s="189">
        <f t="shared" si="220"/>
        <v>0</v>
      </c>
      <c r="KH32" s="235">
        <f>各项系数!$F$76/4*($NG32^2-$NE32^2)*10^-2*各项系数!$F$44*10^-3*10^2*各项系数!$J$4*0.75*$U32</f>
        <v>0.83314755589582923</v>
      </c>
      <c r="KI32" s="102">
        <v>1</v>
      </c>
      <c r="KJ32" s="189">
        <f t="shared" si="221"/>
        <v>0.83314755589582923</v>
      </c>
      <c r="KK32" s="189">
        <f>ROUND(KJ32*各项系数!$E$44,GT32)</f>
        <v>9</v>
      </c>
      <c r="KL32" s="235">
        <f>各项系数!$F$76/4*($NF32^2-$NE32^2)*10^-2*各项系数!$F$46*10^-3*10^2*各项系数!$J$4*PI()/4*R32</f>
        <v>4.1383011472045345E-2</v>
      </c>
      <c r="KM32" s="102">
        <v>1</v>
      </c>
      <c r="KN32" s="189">
        <f t="shared" si="222"/>
        <v>4.1383011472045345E-2</v>
      </c>
      <c r="KO32" s="189">
        <f>KN32*各项系数!$E$46</f>
        <v>2.7933532743630609</v>
      </c>
      <c r="KP32" s="235">
        <f>各项系数!$F$76/4*($NH32^2-$NE32^2)*10^-2*(VLOOKUP($KP$9,各项系数!$D$1:$F$143,3,0))*10^-3*10^2*各项系数!$J$4</f>
        <v>0.2859693441760916</v>
      </c>
      <c r="KQ32" s="102">
        <v>1</v>
      </c>
      <c r="KR32" s="189">
        <f t="shared" si="150"/>
        <v>0.2859693441760916</v>
      </c>
      <c r="KS32" s="189">
        <f>KR32*(VLOOKUP($KP$9,各项系数!$D$1:$F$143,2,0))</f>
        <v>4.8614788509935574</v>
      </c>
      <c r="KT32" s="235">
        <f>各项系数!$F$76/4*($NI32^2-$NF32^2)*10^-2*(VLOOKUP($KT$9,各项系数!$D$1:$F$143,3,0))*10^-3*10^2*各项系数!$J$4</f>
        <v>0.28741975467240122</v>
      </c>
      <c r="KU32" s="102">
        <v>1</v>
      </c>
      <c r="KV32" s="189">
        <f t="shared" si="151"/>
        <v>0.28741975467240122</v>
      </c>
      <c r="KW32" s="189">
        <f>KV32*(VLOOKUP($KT$9,各项系数!$D$1:$F$143,2,0))</f>
        <v>4.8861358294308204</v>
      </c>
      <c r="KX32" s="189">
        <f>各项系数!$F$76/4*($NH32^2-$NE32^2)*10^-2*(VLOOKUP($KX$9,各项系数!$D$1:$F$143,3,0))*10^-3*10^2*各项系数!$J$4</f>
        <v>0.2859693441760916</v>
      </c>
      <c r="KY32" s="353">
        <v>1</v>
      </c>
      <c r="KZ32" s="189">
        <f t="shared" si="152"/>
        <v>0.2859693441760916</v>
      </c>
      <c r="LA32" s="189">
        <f>KZ32*(VLOOKUP($KX$9,各项系数!$D$1:$F$143,2,0))</f>
        <v>4.8614788509935574</v>
      </c>
      <c r="LB32" s="189">
        <f>各项系数!$F$76/4*($NI32^2-$NF32^2)*10^-2*(VLOOKUP($LB$9,各项系数!$D$1:$F$143,3,0))*10^-3*10^2*各项系数!$J$4</f>
        <v>0.28741975467240122</v>
      </c>
      <c r="LC32" s="353">
        <v>1</v>
      </c>
      <c r="LD32" s="189">
        <f t="shared" si="153"/>
        <v>0.28741975467240122</v>
      </c>
      <c r="LE32" s="189">
        <f>LD32*(VLOOKUP($LB$9,各项系数!$D$1:$F$143,2,0))</f>
        <v>4.8861358294308204</v>
      </c>
      <c r="LF32" s="235">
        <f>各项系数!$F$76/4*($NH32^2-$NE32^2)*10^-2*(VLOOKUP(AN32,各项系数!$D$1:$F$143,3,0))*10^-3*10^2*各项系数!$J$4</f>
        <v>0.28991374892334804</v>
      </c>
      <c r="LG32" s="102">
        <v>1</v>
      </c>
      <c r="LH32" s="189">
        <f t="shared" si="223"/>
        <v>0.28991374892334804</v>
      </c>
      <c r="LI32" s="189">
        <f>LH32*(VLOOKUP(AN32,各项系数!$D$1:$F$143,2,0))</f>
        <v>2.8991374892334805</v>
      </c>
      <c r="LJ32" s="235">
        <f>各项系数!$F$76/4*($NI32^2-$NF32^2)*10^-2*(VLOOKUP(AN32,各项系数!$D$1:$F$143,3,0))*10^-3*10^2*各项系数!$J$4</f>
        <v>0.29138416508167564</v>
      </c>
      <c r="LK32" s="102">
        <v>1</v>
      </c>
      <c r="LL32" s="189">
        <f t="shared" si="224"/>
        <v>0.29138416508167564</v>
      </c>
      <c r="LM32" s="189">
        <f>LL32*(VLOOKUP(AN32,各项系数!$D$1:$F$143,2,0))</f>
        <v>2.9138416508167566</v>
      </c>
      <c r="LN32" s="189">
        <f>各项系数!$F$76/4*($NH32^2-$NE32^2)*10^-2*(VLOOKUP($LN$9,各项系数!$D$1:$F$143,3,0))*10^-3*10^2*各项系数!$J$4</f>
        <v>0.28991374892334804</v>
      </c>
      <c r="LO32" s="353">
        <v>1</v>
      </c>
      <c r="LP32" s="189">
        <f t="shared" si="225"/>
        <v>0.28991374892334804</v>
      </c>
      <c r="LQ32" s="189">
        <f>LP32*(VLOOKUP($LN$9,各项系数!$D$1:$F$143,2,0))</f>
        <v>3.1890512381568286</v>
      </c>
      <c r="LR32" s="189">
        <f>各项系数!$F$76/4*($NI32^2-$NF32^2)*10^-2*(VLOOKUP($LR$9,各项系数!$D$1:$F$143,3,0))*10^-3*10^2*各项系数!$J$4</f>
        <v>0.29138416508167564</v>
      </c>
      <c r="LS32" s="353">
        <v>1</v>
      </c>
      <c r="LT32" s="189">
        <f t="shared" si="226"/>
        <v>0.29138416508167564</v>
      </c>
      <c r="LU32" s="189">
        <f>LT32*(VLOOKUP($LR$9,各项系数!$D$1:$F$143,2,0))</f>
        <v>3.2052258158984319</v>
      </c>
      <c r="LV32" s="227">
        <f t="shared" si="154"/>
        <v>488.76760464</v>
      </c>
      <c r="LW32" s="227">
        <f t="shared" si="155"/>
        <v>368.08424546999998</v>
      </c>
      <c r="LX32" s="227">
        <f t="shared" si="156"/>
        <v>21.648543071680567</v>
      </c>
      <c r="LY32" s="227">
        <f t="shared" si="157"/>
        <v>120.68335917000002</v>
      </c>
      <c r="LZ32" s="374">
        <f t="shared" si="86"/>
        <v>1</v>
      </c>
      <c r="MA32" s="375">
        <f t="shared" si="87"/>
        <v>488.76760464</v>
      </c>
      <c r="MB32" s="375">
        <f t="shared" si="158"/>
        <v>24.946307189999999</v>
      </c>
      <c r="MC32" s="227">
        <f t="shared" si="159"/>
        <v>0</v>
      </c>
      <c r="MD32" s="227">
        <f t="shared" si="160"/>
        <v>0</v>
      </c>
      <c r="ME32" s="227">
        <f t="shared" si="161"/>
        <v>0</v>
      </c>
      <c r="MF32" s="227">
        <f t="shared" si="162"/>
        <v>0</v>
      </c>
      <c r="MG32" s="374">
        <f t="shared" si="163"/>
        <v>1</v>
      </c>
      <c r="MH32" s="375">
        <f t="shared" si="88"/>
        <v>0</v>
      </c>
      <c r="MI32" s="375">
        <f t="shared" si="164"/>
        <v>0</v>
      </c>
      <c r="MJ32" s="189">
        <f t="shared" si="89"/>
        <v>24.946307189999999</v>
      </c>
      <c r="MK32" s="189">
        <f t="shared" si="165"/>
        <v>24.946307189999999</v>
      </c>
      <c r="ML32" s="189">
        <f t="shared" si="227"/>
        <v>0</v>
      </c>
      <c r="MM32" s="189">
        <f t="shared" si="91"/>
        <v>0</v>
      </c>
      <c r="MN32" s="189">
        <f t="shared" si="92"/>
        <v>28.946307189999999</v>
      </c>
      <c r="MO32" s="189">
        <f t="shared" si="166"/>
        <v>0</v>
      </c>
      <c r="MP32" s="189">
        <f t="shared" si="167"/>
        <v>28.946307189999999</v>
      </c>
      <c r="MQ32" s="189">
        <f t="shared" si="228"/>
        <v>28.946307189999999</v>
      </c>
      <c r="MR32" s="246">
        <f t="shared" si="168"/>
        <v>28.946307189999999</v>
      </c>
      <c r="MS32" s="380">
        <f t="shared" si="94"/>
        <v>28.946307189999999</v>
      </c>
      <c r="MT32" s="380">
        <f t="shared" si="95"/>
        <v>29.106307189999999</v>
      </c>
      <c r="MU32" s="380">
        <f t="shared" si="232"/>
        <v>30.446307189999999</v>
      </c>
      <c r="MV32" s="380">
        <f t="shared" si="97"/>
        <v>32.946307189999999</v>
      </c>
      <c r="MW32" s="380">
        <f t="shared" si="98"/>
        <v>33.106307189999995</v>
      </c>
      <c r="MX32" s="254">
        <f t="shared" si="233"/>
        <v>25.54630719</v>
      </c>
      <c r="MY32" s="254">
        <f t="shared" si="100"/>
        <v>0</v>
      </c>
      <c r="MZ32" s="189">
        <f t="shared" si="101"/>
        <v>29.54630719</v>
      </c>
      <c r="NA32" s="189">
        <f t="shared" si="102"/>
        <v>0</v>
      </c>
      <c r="NB32" s="189">
        <f t="shared" si="169"/>
        <v>29.54630719</v>
      </c>
      <c r="NC32" s="254">
        <f t="shared" si="229"/>
        <v>29.54630719</v>
      </c>
      <c r="ND32" s="246">
        <f t="shared" si="234"/>
        <v>29.54630719</v>
      </c>
      <c r="NE32" s="386">
        <f t="shared" si="235"/>
        <v>29.54630719</v>
      </c>
      <c r="NF32" s="380">
        <f t="shared" si="106"/>
        <v>29.70630719</v>
      </c>
      <c r="NG32" s="387">
        <f t="shared" si="236"/>
        <v>31.04630719</v>
      </c>
      <c r="NH32" s="254">
        <f t="shared" si="108"/>
        <v>33.54630719</v>
      </c>
      <c r="NI32" s="380">
        <f t="shared" si="109"/>
        <v>33.706307190000004</v>
      </c>
      <c r="NK32" s="388">
        <f t="shared" si="110"/>
        <v>3.7907337473811116</v>
      </c>
      <c r="NL32" s="388">
        <f t="shared" si="111"/>
        <v>222.26132831694142</v>
      </c>
      <c r="NM32" s="388">
        <f t="shared" si="112"/>
        <v>3.7907337473811116</v>
      </c>
      <c r="NN32" s="388">
        <f t="shared" si="113"/>
        <v>222.54572800527103</v>
      </c>
      <c r="NO32" s="388">
        <f t="shared" si="114"/>
        <v>3.8358866460756369</v>
      </c>
      <c r="NP32" s="388">
        <f t="shared" si="115"/>
        <v>223.24637259208848</v>
      </c>
      <c r="NQ32" s="388">
        <f t="shared" si="116"/>
        <v>3.8358866460756369</v>
      </c>
      <c r="NR32" s="388">
        <f t="shared" si="117"/>
        <v>223.53628634101182</v>
      </c>
      <c r="NS32" s="388">
        <f t="shared" si="118"/>
        <v>3.8312786588927406</v>
      </c>
      <c r="NT32" s="388">
        <f t="shared" si="119"/>
        <v>3.8312786588927406</v>
      </c>
      <c r="NU32" s="388">
        <f t="shared" si="120"/>
        <v>3.8772696575476822</v>
      </c>
      <c r="NV32" s="388">
        <f t="shared" si="121"/>
        <v>3.8772696575476822</v>
      </c>
      <c r="NW32">
        <f t="shared" si="122"/>
        <v>4.3351654630864216</v>
      </c>
      <c r="NX32">
        <f>各项系数!$M$9*NK32</f>
        <v>1.1372201242143334</v>
      </c>
      <c r="NY32">
        <f t="shared" si="123"/>
        <v>3.8312786588927406</v>
      </c>
      <c r="OB32" s="66" t="str">
        <f t="shared" si="124"/>
        <v>1*400</v>
      </c>
      <c r="OC32" s="395">
        <f t="shared" si="125"/>
        <v>277.18119106381198</v>
      </c>
      <c r="OD32" s="395">
        <f>SQRT(4*EY32/PI()/EH32/各项系数!$J$4/各项系数!$F$5*10000000)</f>
        <v>279.93928079700515</v>
      </c>
      <c r="OE32" s="396">
        <f t="shared" si="126"/>
        <v>368.08424564189801</v>
      </c>
      <c r="OF32" s="396">
        <f t="shared" si="127"/>
        <v>375.44593055473598</v>
      </c>
      <c r="OG32" s="66">
        <v>371.7</v>
      </c>
      <c r="OH32" s="397">
        <f t="shared" si="186"/>
        <v>3.7459305547359918</v>
      </c>
    </row>
    <row r="33" spans="1:398" ht="15" hidden="1" customHeight="1">
      <c r="A33" s="50">
        <v>500</v>
      </c>
      <c r="B33" s="51">
        <v>0</v>
      </c>
      <c r="C33" s="52">
        <v>2.2000000000000002</v>
      </c>
      <c r="D33" s="58" t="s">
        <v>271</v>
      </c>
      <c r="E33" s="63">
        <f t="shared" si="240"/>
        <v>36.86927378</v>
      </c>
      <c r="F33" s="59">
        <v>314.10304232929502</v>
      </c>
      <c r="G33" s="58"/>
      <c r="H33" s="16"/>
      <c r="I33" s="62"/>
      <c r="J33" s="16"/>
      <c r="K33" s="16"/>
      <c r="L33" s="97" t="s">
        <v>467</v>
      </c>
      <c r="M33" s="103">
        <f t="shared" si="2"/>
        <v>2.2000000000000002</v>
      </c>
      <c r="N33" s="103">
        <f t="shared" si="3"/>
        <v>0</v>
      </c>
      <c r="O33" s="16"/>
      <c r="P33" s="99">
        <v>0.1</v>
      </c>
      <c r="Q33" s="136">
        <f t="shared" si="237"/>
        <v>0.1</v>
      </c>
      <c r="R33" s="143">
        <v>0.8</v>
      </c>
      <c r="S33" s="144" t="str">
        <f>各项系数!$D$44</f>
        <v>磁性钢带</v>
      </c>
      <c r="T33" s="62">
        <v>0.5</v>
      </c>
      <c r="U33" s="62">
        <v>2</v>
      </c>
      <c r="V33" s="143"/>
      <c r="W33" s="145">
        <v>2.1</v>
      </c>
      <c r="X33" s="135">
        <f t="shared" si="238"/>
        <v>0.2</v>
      </c>
      <c r="Y33" s="135"/>
      <c r="Z33" s="168"/>
      <c r="AA33" s="153">
        <v>1.02</v>
      </c>
      <c r="AB33" s="153">
        <f>PI()*EJ33*EJ33/4*EH33*(1-H33)*AA33*各项系数!$F$5*各项系数!$J$4*10^-7</f>
        <v>4.2647051993952481</v>
      </c>
      <c r="AC33" s="153">
        <f t="shared" si="241"/>
        <v>314.10304232929502</v>
      </c>
      <c r="AD33" s="153">
        <f t="shared" si="5"/>
        <v>482.13002011127043</v>
      </c>
      <c r="AE33" s="153">
        <f>POWER(4*EU33/PI()/EG33/10^-7/EH33/(1-H33)/各项系数!$F$5/各项系数!$J$4,0.5)</f>
        <v>317.22852271592683</v>
      </c>
      <c r="AF33" s="69">
        <v>1</v>
      </c>
      <c r="AG33" s="69">
        <f>IF(EM33=0,0,PI()*ER33*ER33/4*EP33*(1-K33)*(1+AF33)*各项系数!$F$5*各项系数!$J$4*10^-7)</f>
        <v>0</v>
      </c>
      <c r="AH33" s="69">
        <f t="shared" si="242"/>
        <v>0</v>
      </c>
      <c r="AI33" s="69">
        <f t="shared" si="128"/>
        <v>0</v>
      </c>
      <c r="AJ33" s="69">
        <f>IF(OR(EP33="",EP33=0),0,POWER(4*EW33/PI()/EO33/10^-7/EP33/(1-K33)/各项系数!$F$5/各项系数!$J$4,0.5))</f>
        <v>0</v>
      </c>
      <c r="AK33" s="69" t="str">
        <f t="shared" si="8"/>
        <v>√</v>
      </c>
      <c r="AL33" s="69">
        <f t="shared" si="243"/>
        <v>293.55569197831687</v>
      </c>
      <c r="AM33" s="106">
        <f t="shared" si="244"/>
        <v>500</v>
      </c>
      <c r="AN33" s="97" t="s">
        <v>486</v>
      </c>
      <c r="AO33" s="196">
        <f>AP33+各项系数!$M$9*$NK33</f>
        <v>287.79969801795772</v>
      </c>
      <c r="AP33" s="196">
        <f>AQ33*(1+$BI33+(VLOOKUP($AM33,$A$12:$B$323,2,0))+各项系数!$J$6+各项系数!$M$5)*(1+$E$2)</f>
        <v>286.35048678501596</v>
      </c>
      <c r="AQ33" s="197">
        <f>AR33+各项系数!$L$9*$NK33</f>
        <v>292.19437427042448</v>
      </c>
      <c r="AR33" s="197">
        <f>AS33*(1+$BJ33+各项系数!$J$5+各项系数!$L$5)</f>
        <v>290.74516303748271</v>
      </c>
      <c r="AS33" s="197">
        <f t="shared" si="129"/>
        <v>285.04427748772815</v>
      </c>
      <c r="AT33" s="196">
        <f>AU33+各项系数!$M$9*$NM33</f>
        <v>290.06975728578527</v>
      </c>
      <c r="AU33" s="196">
        <f>AV33*(1+$BI33+(VLOOKUP($AM33,$A$12:$B$323,2,0))+各项系数!$J$6+各项系数!$M$5)*(1+$E$2)</f>
        <v>288.62054605284351</v>
      </c>
      <c r="AV33" s="197">
        <f>AW33+各项系数!$L$9*$NM33</f>
        <v>294.51076127841174</v>
      </c>
      <c r="AW33" s="197">
        <f>AX33*(1+$BJ33+各项系数!$J$5+各项系数!$L$5)</f>
        <v>293.06155004546997</v>
      </c>
      <c r="AX33" s="197">
        <f t="shared" si="130"/>
        <v>287.31524514261764</v>
      </c>
      <c r="AY33" s="196">
        <f>AZ33+各项系数!$M$9*$NS33</f>
        <v>290.92887485195519</v>
      </c>
      <c r="AZ33" s="196">
        <f>BA33*(1+$BI33+(VLOOKUP($AM33,$A$12:$B$214,2,0))+各项系数!$J$6+各项系数!$M$5)*(1+$E$2)</f>
        <v>289.46594003648408</v>
      </c>
      <c r="BA33" s="197">
        <f>BB33+各项系数!$L$9*$NS33</f>
        <v>295.373408200494</v>
      </c>
      <c r="BB33" s="197">
        <f>BC33*(1+$BJ33+各项系数!$J$5+各项系数!$L$5)</f>
        <v>293.9104733850229</v>
      </c>
      <c r="BC33" s="199">
        <f t="shared" si="131"/>
        <v>288.14752292649302</v>
      </c>
      <c r="BD33" s="196">
        <f>BE33+各项系数!$M$9*$NS33</f>
        <v>293.20938039729629</v>
      </c>
      <c r="BE33" s="196">
        <f>BF33*(1+$BI33+(VLOOKUP($AM33,$A$12:$B$214,2,0))+各项系数!$J$6+各项系数!$M$5)*(1+$E$2)</f>
        <v>291.74644558182518</v>
      </c>
      <c r="BF33" s="197">
        <f>BG33+各项系数!$L$9*$NS33</f>
        <v>297.70045467533186</v>
      </c>
      <c r="BG33" s="197">
        <f>BH33*(1+$BJ33+各项系数!$J$5+各项系数!$L$5)</f>
        <v>296.23751985986075</v>
      </c>
      <c r="BH33" s="199">
        <f t="shared" si="132"/>
        <v>290.42894103907918</v>
      </c>
      <c r="BI33" s="51"/>
      <c r="BJ33" s="208"/>
      <c r="BK33" s="53"/>
      <c r="BL33" s="196">
        <f>BM33+各项系数!$M$9*$NM33</f>
        <v>290.9317955236433</v>
      </c>
      <c r="BM33" s="196">
        <f>BN33*(1+$CF33+(VLOOKUP($AM33,$A$12:$B$323,2,0))+各项系数!$J$6+各项系数!$M$5)*(1+$E$2)</f>
        <v>289.48258429070154</v>
      </c>
      <c r="BN33" s="197">
        <f>BO33+各项系数!$L$9*$NM33</f>
        <v>295.39039213336895</v>
      </c>
      <c r="BO33" s="197">
        <f>BP33*(1+$CG33+各项系数!$J$5+各项系数!$L$5)</f>
        <v>293.94118090042718</v>
      </c>
      <c r="BP33" s="197">
        <f t="shared" si="133"/>
        <v>285.37978728196811</v>
      </c>
      <c r="BQ33" s="196">
        <f>BR33+各项系数!$M$9*$NM33</f>
        <v>292.88544668818298</v>
      </c>
      <c r="BR33" s="196">
        <f>BS33*(1+$CF33+(VLOOKUP($AM33,$A$12:$B$323,2,0))+各项系数!$J$6+各项系数!$M$5)*(1+$E$2)</f>
        <v>291.43623545524122</v>
      </c>
      <c r="BS33" s="197">
        <f>BT33+各项系数!$L$9*$NM33</f>
        <v>297.38391372983796</v>
      </c>
      <c r="BT33" s="197">
        <f>BU33*(1+$CG33+各项系数!$J$5+各项系数!$L$5)</f>
        <v>295.93470249689619</v>
      </c>
      <c r="BU33" s="197">
        <f t="shared" si="134"/>
        <v>287.31524514261764</v>
      </c>
      <c r="BV33" s="196">
        <f>BW33+各项系数!$M$9*$NT33</f>
        <v>292.66736462884455</v>
      </c>
      <c r="BW33" s="196">
        <f>BX33*(1+$CF33+(VLOOKUP($AM33,$A$12:$B$214,2,0))+各项系数!$J$6+各项系数!$M$5)*(1+$E$2)</f>
        <v>291.20442981337345</v>
      </c>
      <c r="BX33" s="197">
        <f>BY33+各项系数!$L$9*$NT$12</f>
        <v>297.14737736058515</v>
      </c>
      <c r="BY33" s="197">
        <f>BZ33*(1+$CG33+各项系数!$J$5+各项系数!$L$5)</f>
        <v>297.1391139574302</v>
      </c>
      <c r="BZ33" s="199">
        <f t="shared" si="11"/>
        <v>288.48457665769922</v>
      </c>
      <c r="CA33" s="196">
        <f>CB33+各项系数!$M$9*$NT33</f>
        <v>294.63000603540945</v>
      </c>
      <c r="CB33" s="196">
        <f>CC33*(1+$CF33+(VLOOKUP($AM33,$A$12:$B$214,2,0))+各项系数!$J$6+各项系数!$M$5)*(1+$E$2)</f>
        <v>293.16707121993835</v>
      </c>
      <c r="CC33" s="197">
        <f>CD33+各项系数!$L$9*$NT$12</f>
        <v>299.1500726734065</v>
      </c>
      <c r="CD33" s="197">
        <f>CE33*(1+$CG33+各项系数!$J$5+各项系数!$L$5)</f>
        <v>299.14180927025154</v>
      </c>
      <c r="CE33" s="199">
        <f t="shared" si="135"/>
        <v>290.42894103907918</v>
      </c>
      <c r="CF33" s="213">
        <f t="shared" si="136"/>
        <v>0</v>
      </c>
      <c r="CG33" s="213">
        <f t="shared" si="12"/>
        <v>0.01</v>
      </c>
      <c r="CH33" s="106"/>
      <c r="CI33" s="196">
        <f>CJ33+各项系数!$M$9*$NO33</f>
        <v>290.38733800306227</v>
      </c>
      <c r="CJ33" s="196">
        <f>CK33*(1+$DC33+(VLOOKUP($AM33,$A$12:$B$323,2,0))+各项系数!$J$6+各项系数!$M$5)*(1+$E$2)+各项系数!$M$9*$NK33</f>
        <v>288.92297213116689</v>
      </c>
      <c r="CK33" s="197">
        <f>CL33+各项系数!$L$9*$NO33</f>
        <v>293.34057234512767</v>
      </c>
      <c r="CL33" s="197">
        <f>CM33*(1+$DD33+各项系数!$J$5+各项系数!$L$5)</f>
        <v>291.87620647323229</v>
      </c>
      <c r="CM33" s="197">
        <f t="shared" si="13"/>
        <v>286.15314360120811</v>
      </c>
      <c r="CN33" s="196">
        <f>CO33+各项系数!$M$9*$NO33</f>
        <v>292.59952279371015</v>
      </c>
      <c r="CO33" s="196">
        <f>CP33*(1+$DC33+(VLOOKUP($AM33,$A$12:$B$323,2,0))+各项系数!$J$6+各项系数!$M$5)*(1+$E$2)+各项系数!$M$9*$NK33</f>
        <v>291.13515692181477</v>
      </c>
      <c r="CP33" s="197">
        <f>CQ33+各项系数!$L$9*$NO33</f>
        <v>295.59790376415611</v>
      </c>
      <c r="CQ33" s="197">
        <f>CR33*(1+$DD33+各项系数!$J$5+各项系数!$L$5)</f>
        <v>294.13353789226073</v>
      </c>
      <c r="CR33" s="197">
        <f t="shared" si="14"/>
        <v>288.36621361986346</v>
      </c>
      <c r="CS33" s="196">
        <f>CT33+各项系数!$M$9*$NU33</f>
        <v>292.12435055412368</v>
      </c>
      <c r="CT33" s="196">
        <f t="shared" si="15"/>
        <v>290.64600966971079</v>
      </c>
      <c r="CU33" s="197">
        <f>CV33+各项系数!$L$9*$NU33</f>
        <v>296.57756088745998</v>
      </c>
      <c r="CV33" s="197">
        <f>CW33*(1+$DD33+各项系数!$J$5+各项系数!$L$5)</f>
        <v>295.09922000304709</v>
      </c>
      <c r="CW33" s="199">
        <f t="shared" si="16"/>
        <v>289.31296078730105</v>
      </c>
      <c r="CX33" s="196">
        <f>CY33+各项系数!$M$9*$NU33</f>
        <v>294.4440296401408</v>
      </c>
      <c r="CY33" s="196">
        <f t="shared" si="17"/>
        <v>292.96568875572791</v>
      </c>
      <c r="CZ33" s="197">
        <f>DA33+各项系数!$L$9*$NU33</f>
        <v>298.94458036298767</v>
      </c>
      <c r="DA33" s="197">
        <f>DB33*(1+$DD33+各项系数!$J$5+各项系数!$L$5)</f>
        <v>297.46623947857478</v>
      </c>
      <c r="DB33" s="199">
        <f t="shared" si="18"/>
        <v>291.63356811624976</v>
      </c>
      <c r="DC33" s="213">
        <f t="shared" si="137"/>
        <v>0</v>
      </c>
      <c r="DD33" s="213">
        <f t="shared" si="19"/>
        <v>0</v>
      </c>
      <c r="DE33" s="78"/>
      <c r="DF33" s="78"/>
      <c r="DG33" s="196">
        <f>DH33+各项系数!$M$9*$NQ33</f>
        <v>293.53614658406144</v>
      </c>
      <c r="DH33" s="196">
        <f>DI33*(1+$EA33+(VLOOKUP($AM33,$A$12:$B$323,2,0))+各项系数!$J$6+各项系数!$M$5)*(1+$E$2)+各项系数!$M$9*$NK33</f>
        <v>292.07178071216606</v>
      </c>
      <c r="DI33" s="197">
        <f>DJ33+各项系数!$L$9*$NQ33</f>
        <v>296.55364232573908</v>
      </c>
      <c r="DJ33" s="197">
        <f>DK33*(1+$EB33+各项系数!$J$5+各项系数!$L$5)</f>
        <v>295.08927645384369</v>
      </c>
      <c r="DK33" s="197">
        <f t="shared" si="20"/>
        <v>286.49444315907152</v>
      </c>
      <c r="DL33" s="196">
        <f>DM33+各项系数!$M$9*$NQ33</f>
        <v>295.52351115619592</v>
      </c>
      <c r="DM33" s="196">
        <f>DN33*(1+$EA33+(VLOOKUP($AM33,$A$12:$B$323,2,0))+各项系数!$J$6+各项系数!$M$5)*(1+$E$2)+各项系数!$M$9*$NK33</f>
        <v>294.05914528430054</v>
      </c>
      <c r="DN33" s="197">
        <f>DO33+各项系数!$L$9*$NQ33</f>
        <v>298.58156535852936</v>
      </c>
      <c r="DO33" s="197">
        <f>DP33*(1+$EB33+各项系数!$J$5+各项系数!$L$5)</f>
        <v>297.11719948663398</v>
      </c>
      <c r="DP33" s="197">
        <f t="shared" si="21"/>
        <v>288.46330047246016</v>
      </c>
      <c r="DQ33" s="196">
        <f>DR33+各项系数!$M$9*$NV33</f>
        <v>295.30568379352025</v>
      </c>
      <c r="DR33" s="196">
        <f t="shared" si="22"/>
        <v>293.82734290910736</v>
      </c>
      <c r="DS33" s="197">
        <f>DT33+各项系数!$L$9*$NV33</f>
        <v>299.82381929500752</v>
      </c>
      <c r="DT33" s="197">
        <f>DU33*(1+$EB33+各项系数!$J$5+各项系数!$L$5)</f>
        <v>298.34547841059464</v>
      </c>
      <c r="DU33" s="199">
        <f t="shared" si="23"/>
        <v>289.6558042821307</v>
      </c>
      <c r="DV33" s="196">
        <f>DW33+各项系数!$M$9*$NV33</f>
        <v>294.88221954499943</v>
      </c>
      <c r="DW33" s="196">
        <f t="shared" si="24"/>
        <v>293.40387866058654</v>
      </c>
      <c r="DX33" s="197">
        <f>DY33+各项系数!$L$9*$NV33</f>
        <v>299.39171291896588</v>
      </c>
      <c r="DY33" s="197">
        <f>DZ33*(1+$EB33+各项系数!$J$5+各项系数!$L$5)</f>
        <v>297.91337203455299</v>
      </c>
      <c r="DZ33" s="199">
        <f t="shared" si="25"/>
        <v>289.23628352869224</v>
      </c>
      <c r="EA33" s="213">
        <f t="shared" si="230"/>
        <v>0</v>
      </c>
      <c r="EB33" s="213">
        <f t="shared" si="27"/>
        <v>0.01</v>
      </c>
      <c r="EC33" s="235">
        <f t="shared" si="138"/>
        <v>1</v>
      </c>
      <c r="ED33" s="237" t="str">
        <f t="shared" si="180"/>
        <v>1*500</v>
      </c>
      <c r="EE33" s="189">
        <f t="shared" si="239"/>
        <v>500</v>
      </c>
      <c r="EF33" s="78" t="str">
        <f>LOOKUP(EH33,{1,7,10,14,19,24,30,37,48,61},{1,"1+6","2+8","4+10","1+6+12","2+8+14","4+10+16","1+6+12+18","3+9+15+21","1+6+12+18+24"})</f>
        <v>1+6+12+18+24</v>
      </c>
      <c r="EG33" s="188">
        <f t="shared" si="29"/>
        <v>1</v>
      </c>
      <c r="EH33" s="197">
        <f>VLOOKUP(EE33,各项系数!$B$87:$C$110,2,0)</f>
        <v>61</v>
      </c>
      <c r="EI33" s="188">
        <f>IF(EH33=0,0,VLOOKUP(EH33,各项系数!$D$142:$E$195,2,0))*1</f>
        <v>9</v>
      </c>
      <c r="EJ33" s="238">
        <f t="shared" si="141"/>
        <v>314.10304232929502</v>
      </c>
      <c r="EK33" s="78">
        <f t="shared" si="245"/>
        <v>0</v>
      </c>
      <c r="EL33" s="189">
        <f t="shared" si="31"/>
        <v>0</v>
      </c>
      <c r="EM33" s="78">
        <f t="shared" si="182"/>
        <v>0</v>
      </c>
      <c r="EN33" s="78">
        <f>IF(EP33=0,0,LOOKUP(EP33,{1,7,10,14,19,24,30,37,48,61},{1,"1+6","2+8","4+10","1+6+12","2+8+14","4+10+16","1+6+12+18","3+9+15+21","1+6+12+18+24"}))</f>
        <v>0</v>
      </c>
      <c r="EO33" s="78">
        <f t="shared" si="246"/>
        <v>0</v>
      </c>
      <c r="EP33" s="78">
        <f>IF(EM33=0,0,IF(EM33&lt;10,1,IF(AND(EM33&gt;=10,EM33&lt;=35),7,LOOKUP(EM33,{50,70,95,120,150,185,240,300},{10,14,19,24,30,37,48,61})*1)))</f>
        <v>0</v>
      </c>
      <c r="EQ33" s="189">
        <f>IF(EP33=0,0,VLOOKUP(EP33,各项系数!$D$142:$E$195,2,0))*1</f>
        <v>0</v>
      </c>
      <c r="ER33" s="78">
        <f t="shared" si="247"/>
        <v>0</v>
      </c>
      <c r="ES33" s="237">
        <f t="shared" si="185"/>
        <v>1</v>
      </c>
      <c r="ET33" s="189">
        <f>VLOOKUP(ES33,各项系数!$D$142:$E$195,2,0)*1</f>
        <v>1</v>
      </c>
      <c r="EU33" s="243">
        <f>((各项系数!$F$76/4*$EJ33^2*$EG33*$EH33*1*10^-7)*(1-$H33)*AA33)*(VLOOKUP($EY$9,各项系数!$D$4:$F$143,3,0))*各项系数!$J$4</f>
        <v>4.2647051993952472</v>
      </c>
      <c r="EV33" s="244">
        <f>EU33*(VLOOKUP($EY$9,各项系数!$D$4:$F$143,2,0))</f>
        <v>279.33819056038868</v>
      </c>
      <c r="EW33" s="252">
        <f>(IF($EO33=0,0,(各项系数!$F$76/4*$ER33^2*$EO33*$EP33*1*10^-7))*(1-$K33)*$AF33)*(VLOOKUP($EY$9,各项系数!$D$4:$F$143,3,0))*各项系数!$J$4</f>
        <v>0</v>
      </c>
      <c r="EX33" s="253">
        <f>EW33*(VLOOKUP($EY$9,各项系数!$D$4:$F$143,2,0))</f>
        <v>0</v>
      </c>
      <c r="EY33" s="189">
        <f>((各项系数!$F$76/4*$EJ33^2*$EG33*$EH33*1*10^-7)*(1-$H33)*AA33+IF($EO33=0,0,(各项系数!$F$76/4*$ER33^2*$EO33*$EP33*1*10^-7))*(1-$K33)*$AF33)*(VLOOKUP($EY$9,各项系数!$D$4:$F$143,3,0))*各项系数!$J$4</f>
        <v>4.2647051993952472</v>
      </c>
      <c r="EZ33" s="102">
        <v>1</v>
      </c>
      <c r="FA33" s="189">
        <f t="shared" si="188"/>
        <v>4.2647051993952472</v>
      </c>
      <c r="FB33" s="254">
        <f>FA33*(VLOOKUP($EY$9,各项系数!$D$4:$F$143,2,0))</f>
        <v>279.33819056038868</v>
      </c>
      <c r="FC33" s="257"/>
      <c r="FD33" s="235">
        <f>各项系数!$F$76/4*($MN33^2-MK33^2)*10^-2*(VLOOKUP(L33,各项系数!$D$1:$F$143,3,0))*10^-3*10^2*$EG33*各项系数!$J$4</f>
        <v>0.23048911617058665</v>
      </c>
      <c r="FE33" s="262">
        <f>FD33*VLOOKUP(L33,各项系数!$D$1:$F$143,2,0)</f>
        <v>2.3509889849399839</v>
      </c>
      <c r="FF33" s="188">
        <f>各项系数!$F$76/4*($MO33^2-ML33^2)*10^-2*(VLOOKUP(L33,各项系数!$D$1:$F$143,3,0))*10^-3*10^2*$EO33*各项系数!$J$4</f>
        <v>0</v>
      </c>
      <c r="FG33" s="262">
        <f>FF33*VLOOKUP(L33,各项系数!$D$1:$F$143,2,0)</f>
        <v>0</v>
      </c>
      <c r="FH33" s="235">
        <f t="shared" si="142"/>
        <v>0.23048911617058665</v>
      </c>
      <c r="FI33" s="102">
        <v>1</v>
      </c>
      <c r="FJ33" s="189">
        <f t="shared" si="189"/>
        <v>0.23048911617058665</v>
      </c>
      <c r="FK33" s="262">
        <f>FJ33*VLOOKUP(L33,各项系数!$D$1:$F$143,2,0)</f>
        <v>2.3509889849399839</v>
      </c>
      <c r="FL33" s="237"/>
      <c r="FM33" s="106"/>
      <c r="FN33" s="189"/>
      <c r="FO33" s="262"/>
      <c r="FP33" s="282">
        <f t="shared" si="190"/>
        <v>0.23048911617058665</v>
      </c>
      <c r="FQ33" s="282">
        <f t="shared" si="191"/>
        <v>2.3509889849399839</v>
      </c>
      <c r="FR33" s="283">
        <f>各项系数!$F$76/4*($MQ33^2-$MN33^2*$EG33-$MO33^2*$EO33)*10^-2</f>
        <v>0</v>
      </c>
      <c r="FS33" s="284">
        <f t="shared" si="143"/>
        <v>1</v>
      </c>
      <c r="FT33" s="285">
        <f t="shared" si="40"/>
        <v>0</v>
      </c>
      <c r="FU33" s="302">
        <f>$FT33*(VLOOKUP($FT$9,各项系数!$D$1:$F$143,3,0))*10^-3*10^2*各项系数!$J$55</f>
        <v>0</v>
      </c>
      <c r="FV33" s="303">
        <v>1</v>
      </c>
      <c r="FW33" s="304">
        <f t="shared" si="192"/>
        <v>0</v>
      </c>
      <c r="FX33" s="285">
        <f>FW33*(VLOOKUP($FT$9,各项系数!$D$1:$F$143,2,0))</f>
        <v>0</v>
      </c>
      <c r="FY33" s="302">
        <f>IF($BK33&lt;&gt;$FY$9,0,各项系数!$F$76/4*($MS33^2-$MQ33^2)*10^-2*(VLOOKUP($FY$9,各项系数!$D$1:$F$143,3,0))*10^-3*10^2)*各项系数!$J$4</f>
        <v>0</v>
      </c>
      <c r="FZ33" s="303">
        <v>1</v>
      </c>
      <c r="GA33" s="304">
        <f t="shared" si="193"/>
        <v>0</v>
      </c>
      <c r="GB33" s="285">
        <f>GA33*(VLOOKUP($FY$9,各项系数!$D$1:$F$143,2,0))</f>
        <v>0</v>
      </c>
      <c r="GC33" s="302">
        <f>IF($BK33&lt;&gt;$GC$9,0,各项系数!$F$76/4*($MS33^2-$MQ33^2)*10^-2*(VLOOKUP($GC$9,各项系数!$D$1:$F$143,3,0))*10^-3*10^2)*各项系数!$J$4</f>
        <v>0</v>
      </c>
      <c r="GD33" s="303">
        <v>1</v>
      </c>
      <c r="GE33" s="304">
        <f t="shared" si="194"/>
        <v>0</v>
      </c>
      <c r="GF33" s="285">
        <f>GE33*(VLOOKUP($GC$9,各项系数!$D$1:$F$143,2,0))</f>
        <v>0</v>
      </c>
      <c r="GG33" s="302">
        <f>IF($BK33&lt;&gt;$GG$9,0,各项系数!$F$76/4*($MS33^2-$MQ33^2)*10^-2*(VLOOKUP($GG$9,各项系数!$D$1:$F$143,3,0))*10^-3*10^2)*各项系数!$J$4</f>
        <v>0</v>
      </c>
      <c r="GH33" s="303">
        <v>1</v>
      </c>
      <c r="GI33" s="304">
        <f t="shared" si="195"/>
        <v>0</v>
      </c>
      <c r="GJ33" s="285">
        <f>GI33*(VLOOKUP($GG$9,各项系数!$D$1:$F$143,2,0))</f>
        <v>0</v>
      </c>
      <c r="GK33" s="302">
        <f>IF($BK33&lt;&gt;$GK$9,0,各项系数!$F$76/4*($MS33^2-$MQ33^2)*10^-2*(VLOOKUP($GK$9,各项系数!$D$1:$F$143,3,0))*10^-3*10^2)*各项系数!$J$4</f>
        <v>0</v>
      </c>
      <c r="GL33" s="303">
        <v>1</v>
      </c>
      <c r="GM33" s="304">
        <f t="shared" si="196"/>
        <v>0</v>
      </c>
      <c r="GN33" s="285">
        <f>GM33*(VLOOKUP($GK$9,各项系数!$D$1:$F$143,2,0))</f>
        <v>0</v>
      </c>
      <c r="GO33" s="304">
        <f t="shared" si="197"/>
        <v>0</v>
      </c>
      <c r="GP33" s="304">
        <f t="shared" si="198"/>
        <v>0</v>
      </c>
      <c r="GQ33" s="315">
        <f>各项系数!$F$76/4*($MU33^2-$MS33^2)*10^-2*(VLOOKUP($S33,各项系数!$D$1:$F$143,3,0))*10^-3*10^2*各项系数!$J$4</f>
        <v>0.61268603012693068</v>
      </c>
      <c r="GR33" s="303">
        <v>1</v>
      </c>
      <c r="GS33" s="304">
        <f t="shared" si="199"/>
        <v>0.61268603012693068</v>
      </c>
      <c r="GT33" s="304">
        <f t="shared" si="200"/>
        <v>0</v>
      </c>
      <c r="GU33" s="304">
        <f>ROUND($GS33*(VLOOKUP($S33,各项系数!$D$1:$F$143,2,0))+$E$3*GS33,GT33)</f>
        <v>7</v>
      </c>
      <c r="GV33" s="315">
        <f>各项系数!$F$76/4*($MT33^2-$MS33^2)*10^-2*(VLOOKUP($GV$9,各项系数!$D$1:$F$143,3,0))*10^-3*10^2*各项系数!$J$4*PI()/4*R33</f>
        <v>4.574527509781294E-2</v>
      </c>
      <c r="GW33" s="303">
        <v>1</v>
      </c>
      <c r="GX33" s="304">
        <f t="shared" si="201"/>
        <v>4.574527509781294E-2</v>
      </c>
      <c r="GY33" s="304">
        <f>$GX33*(VLOOKUP($GV$9,各项系数!$D$1:$F$143,2,0))</f>
        <v>3.0878060691023737</v>
      </c>
      <c r="GZ33" s="315">
        <f>各项系数!$F$76/4*($MV33^2-$MS33^2)*10^-2*(VLOOKUP($GZ$9,各项系数!$D$1:$F$143,3,0))*10^-3*10^2*各项系数!$J$4</f>
        <v>0.3309450351346454</v>
      </c>
      <c r="HA33" s="303">
        <v>1</v>
      </c>
      <c r="HB33" s="304">
        <f t="shared" si="144"/>
        <v>0.3309450351346454</v>
      </c>
      <c r="HC33" s="304">
        <f>HB33*(VLOOKUP($GZ$9,各项系数!$D$1:$F$143,2,0))</f>
        <v>5.6260655972889717</v>
      </c>
      <c r="HD33" s="315">
        <f>各项系数!$F$76/4*($MW33^2-$MT33^2)*10^-2*(VLOOKUP($HD$9,各项系数!$D$1:$F$143,3,0))*10^-3*10^2*各项系数!$J$4</f>
        <v>0.33246796615577029</v>
      </c>
      <c r="HE33" s="303">
        <v>1</v>
      </c>
      <c r="HF33" s="304">
        <f t="shared" si="145"/>
        <v>0.33246796615577029</v>
      </c>
      <c r="HG33" s="304">
        <f>HF33*(VLOOKUP($HD$9,各项系数!$D$1:$F$143,2,0))</f>
        <v>5.6519554246480945</v>
      </c>
      <c r="HH33" s="315">
        <f>各项系数!$F$76/4*($MV33^2-$MS33^2)*10^-2*(VLOOKUP($HH$9,各项系数!$D$1:$F$143,3,0))*10^-3*10^2*各项系数!$J$4</f>
        <v>0.3309450351346454</v>
      </c>
      <c r="HI33" s="322">
        <v>1</v>
      </c>
      <c r="HJ33" s="304">
        <f t="shared" si="146"/>
        <v>0.3309450351346454</v>
      </c>
      <c r="HK33" s="304">
        <f>HJ33*(VLOOKUP($HH$9,各项系数!$D$1:$F$143,2,0))</f>
        <v>5.6260655972889717</v>
      </c>
      <c r="HL33" s="315">
        <f>各项系数!$F$76/4*($MW33^2-$MT33^2)*10^-2*(VLOOKUP($HL$9,各项系数!$D$1:$F$143,3,0))*10^-3*10^2*各项系数!$J$4</f>
        <v>0.33246796615577029</v>
      </c>
      <c r="HM33" s="322">
        <v>1</v>
      </c>
      <c r="HN33" s="304">
        <f t="shared" si="147"/>
        <v>0.33246796615577029</v>
      </c>
      <c r="HO33" s="304">
        <f>HN33*(VLOOKUP($HL$9,各项系数!$D$1:$F$143,2,0))</f>
        <v>5.6519554246480945</v>
      </c>
      <c r="HP33" s="315">
        <f>各项系数!$F$76/4*($MV33^2-$MS33^2)*10^-2*(VLOOKUP(AN33,各项系数!$D$1:$F$143,3,0))*10^-3*10^2*各项系数!$J$4</f>
        <v>0.33550979423995086</v>
      </c>
      <c r="HQ33" s="303">
        <v>1</v>
      </c>
      <c r="HR33" s="304">
        <f t="shared" si="202"/>
        <v>0.33550979423995086</v>
      </c>
      <c r="HS33" s="304">
        <f>HR33*(VLOOKUP(AN33,各项系数!$D$1:$F$143,2,0))</f>
        <v>3.3550979423995084</v>
      </c>
      <c r="HT33" s="315">
        <f>各项系数!$F$76/4*($MW33^2-$MT33^2)*10^-2*(VLOOKUP(AN33,各项系数!$D$1:$F$143,3,0))*10^-3*10^2*各项系数!$J$4</f>
        <v>0.3370537312061947</v>
      </c>
      <c r="HU33" s="303">
        <v>1</v>
      </c>
      <c r="HV33" s="304">
        <f t="shared" si="203"/>
        <v>0.3370537312061947</v>
      </c>
      <c r="HW33" s="304">
        <f>HV33*(VLOOKUP(AN33,各项系数!$D$1:$F$143,2,0))</f>
        <v>3.3705373120619471</v>
      </c>
      <c r="HX33" s="315">
        <f>各项系数!$F$76/4*($MV33^2-$MS33^2)*10^-2*(VLOOKUP($HX$9,各项系数!$D$1:$F$143,3,0))*10^-3*10^2*各项系数!$J$4</f>
        <v>0.33550979423995086</v>
      </c>
      <c r="HY33" s="322">
        <v>1</v>
      </c>
      <c r="HZ33" s="304">
        <f t="shared" si="204"/>
        <v>0.33550979423995086</v>
      </c>
      <c r="IA33" s="304">
        <f>HZ33*(VLOOKUP($HX$9,各项系数!$D$1:$F$143,2,0))</f>
        <v>3.6906077366394596</v>
      </c>
      <c r="IB33" s="315">
        <f>各项系数!$F$76/4*($MW33^2-$MT33^2)*10^-2*(VLOOKUP($IB$9,各项系数!$D$1:$F$143,3,0))*10^-3*10^2*各项系数!$J$4</f>
        <v>0.3370537312061947</v>
      </c>
      <c r="IC33" s="322">
        <v>1</v>
      </c>
      <c r="ID33" s="304">
        <f t="shared" si="205"/>
        <v>0.3370537312061947</v>
      </c>
      <c r="IE33" s="304">
        <f>ID33*(VLOOKUP($IB$9,各项系数!$D$1:$F$143,2,0))</f>
        <v>3.7075910432681418</v>
      </c>
      <c r="IF33" s="309"/>
      <c r="IG33" s="315">
        <f t="shared" si="148"/>
        <v>4.0186914985131938E-2</v>
      </c>
      <c r="IH33" s="303">
        <v>1</v>
      </c>
      <c r="II33" s="304">
        <f t="shared" si="206"/>
        <v>4.0186914985131938E-2</v>
      </c>
      <c r="IJ33" s="304">
        <f>II33*(VLOOKUP($IG$8,各项系数!$D$1:$F$143,2,0))</f>
        <v>1.0046728746282985</v>
      </c>
      <c r="IK33" s="315">
        <f>(各项系数!$F$76/4*($MX33^2-$MK33^2)*$EG33)*10^-2*(VLOOKUP($IG$8,各项系数!$D$1:$F$143,3,0))*10^-3*10^2*各项系数!$J$4</f>
        <v>4.0186914985131938E-2</v>
      </c>
      <c r="IL33" s="303">
        <f>IK33*(VLOOKUP($IG$8,各项系数!$D$1:$F$143,2,0))</f>
        <v>1.0046728746282985</v>
      </c>
      <c r="IM33" s="304">
        <f>(各项系数!$F$76/4*(($MM33+3*$X33)^2-MM33^2)*$EO33)*10^-2*(VLOOKUP($IG$8,各项系数!$D$1:$F$143,3,0))*10^-3*10^2*各项系数!$J$4</f>
        <v>0</v>
      </c>
      <c r="IN33" s="303">
        <f>IM33*(VLOOKUP($IG$8,各项系数!$D$1:$F$143,2,0))</f>
        <v>0</v>
      </c>
      <c r="IO33" s="315">
        <f>各项系数!$F$76/4*($MZ33^2-$MX33^2)*10^-2*(VLOOKUP(L33,各项系数!$D$1:$F$143,3,0))*10^-3*10^2*$ES33*各项系数!$J$4</f>
        <v>0.23502790074093416</v>
      </c>
      <c r="IP33" s="303">
        <v>1</v>
      </c>
      <c r="IQ33" s="304">
        <f t="shared" si="207"/>
        <v>0.23502790074093416</v>
      </c>
      <c r="IR33" s="285">
        <f>IQ33*(VLOOKUP(L33,各项系数!$D$1:$F$143,2,0))</f>
        <v>2.3972845875575284</v>
      </c>
      <c r="IS33" s="315">
        <f>IF($L33&lt;&gt;$IS$9,0,各项系数!$F$76/4*($MZ33^2-$MX33^2)*10^-2*各项系数!$F$12*10^-3*10^2)*$ES33*各项系数!$J$4</f>
        <v>0</v>
      </c>
      <c r="IT33" s="310">
        <v>1</v>
      </c>
      <c r="IU33" s="304">
        <f t="shared" si="208"/>
        <v>0</v>
      </c>
      <c r="IV33" s="285">
        <f>IU33*各项系数!$E$12</f>
        <v>0</v>
      </c>
      <c r="IW33" s="302">
        <f t="shared" si="209"/>
        <v>0.23502790074093416</v>
      </c>
      <c r="IX33" s="302">
        <f t="shared" si="210"/>
        <v>2.3972845875575284</v>
      </c>
      <c r="IY33" s="339">
        <f>各项系数!$F$76/4*($NB33^2-$MZ33^2*$EG33-$NA33^2*$EO33)*10^-2</f>
        <v>0</v>
      </c>
      <c r="IZ33" s="284">
        <f t="shared" si="231"/>
        <v>1</v>
      </c>
      <c r="JA33" s="285">
        <f t="shared" si="64"/>
        <v>0</v>
      </c>
      <c r="JB33" s="282">
        <f>IF($DE33&lt;&gt;$JB$9,0,$JA33*各项系数!$F$32*10^-3*10^2)*各项系数!$J$4</f>
        <v>0</v>
      </c>
      <c r="JC33" s="102">
        <v>1</v>
      </c>
      <c r="JD33" s="189">
        <f t="shared" si="211"/>
        <v>0</v>
      </c>
      <c r="JE33" s="262">
        <f>JD33*各项系数!$E$32</f>
        <v>0</v>
      </c>
      <c r="JF33" s="282">
        <f>IF($DE33&lt;&gt;$JF$9,0,$JA33*VLOOKUP($JF$9,各项系数!$D$4:$F$540,2,0)*10^-3*10^2)*各项系数!$J$4</f>
        <v>0</v>
      </c>
      <c r="JG33" s="102">
        <v>1</v>
      </c>
      <c r="JH33" s="189">
        <f t="shared" si="66"/>
        <v>0</v>
      </c>
      <c r="JI33" s="262">
        <f>JH33*VLOOKUP($JF$9,各项系数!$D$4:$F$540,3,0)</f>
        <v>0</v>
      </c>
      <c r="JJ33" s="282">
        <f t="shared" si="212"/>
        <v>0</v>
      </c>
      <c r="JK33" s="189">
        <f t="shared" si="213"/>
        <v>0</v>
      </c>
      <c r="JL33" s="282">
        <f>IF($DF33&lt;&gt;$JL$9,0,各项系数!$F$76/4*($NE33^2-$NC33^2)*10^-2*各项系数!$F$39*10^-3*10^2)*各项系数!$J$4</f>
        <v>0</v>
      </c>
      <c r="JM33" s="102">
        <v>1</v>
      </c>
      <c r="JN33" s="189">
        <f t="shared" si="214"/>
        <v>0</v>
      </c>
      <c r="JO33" s="262">
        <f>JN33*各项系数!$E$39</f>
        <v>0</v>
      </c>
      <c r="JP33" s="282">
        <f>IF($DF33&lt;&gt;$JP$9,0,各项系数!$F$76/4*($NE33^2-$NC33^2)*10^-2*各项系数!$F$36*10^-3*10^2)*各项系数!$J$4</f>
        <v>0</v>
      </c>
      <c r="JQ33" s="102">
        <v>1</v>
      </c>
      <c r="JR33" s="189">
        <f t="shared" si="215"/>
        <v>0</v>
      </c>
      <c r="JS33" s="262">
        <f>JR33*各项系数!$E$36</f>
        <v>0</v>
      </c>
      <c r="JT33" s="282">
        <f>IF($DF33&lt;&gt;$JT$9,0,各项系数!$F$76/4*($NE33^2-$NC33^2)*10^-2*各项系数!$F$40*10^-3*10^2)*各项系数!$J$4</f>
        <v>0</v>
      </c>
      <c r="JU33" s="102">
        <v>1</v>
      </c>
      <c r="JV33" s="189">
        <f t="shared" si="216"/>
        <v>0</v>
      </c>
      <c r="JW33" s="262">
        <f>JV33*各项系数!$E$40</f>
        <v>0</v>
      </c>
      <c r="JX33" s="282">
        <f>IF($DF33&lt;&gt;$JX$9,0,各项系数!$F$76/4*($NE33^2-$NC33^2)*10^-2*各项系数!$F$38*10^-3*10^2)*各项系数!$J$4</f>
        <v>0</v>
      </c>
      <c r="JY33" s="102">
        <v>1</v>
      </c>
      <c r="JZ33" s="189">
        <f t="shared" si="217"/>
        <v>0</v>
      </c>
      <c r="KA33" s="262">
        <f>JZ33*各项系数!$E$38</f>
        <v>0</v>
      </c>
      <c r="KB33" s="282">
        <f>IF($DF33&lt;&gt;$KB$9,0,各项系数!$F$76/4*($NE33^2-$NC33^2)*10^-2*各项系数!$F$41*10^-3*10^2)*各项系数!$J$4</f>
        <v>0</v>
      </c>
      <c r="KC33" s="102">
        <v>1</v>
      </c>
      <c r="KD33" s="189">
        <f t="shared" si="218"/>
        <v>0</v>
      </c>
      <c r="KE33" s="262">
        <f>KD33*各项系数!$E$41</f>
        <v>0</v>
      </c>
      <c r="KF33" s="189">
        <f t="shared" si="219"/>
        <v>0</v>
      </c>
      <c r="KG33" s="189">
        <f t="shared" si="220"/>
        <v>0</v>
      </c>
      <c r="KH33" s="235">
        <f>各项系数!$F$76/4*($NG33^2-$NE33^2)*10^-2*各项系数!$F$44*10^-3*10^2*各项系数!$J$4*0.75*$U33</f>
        <v>0.93552902752825762</v>
      </c>
      <c r="KI33" s="102">
        <v>1</v>
      </c>
      <c r="KJ33" s="189">
        <f t="shared" si="221"/>
        <v>0.93552902752825762</v>
      </c>
      <c r="KK33" s="189">
        <f>ROUND(KJ33*各项系数!$E$44,GT33)</f>
        <v>10</v>
      </c>
      <c r="KL33" s="235">
        <f>各项系数!$F$76/4*($NF33^2-$NE33^2)*10^-2*各项系数!$F$46*10^-3*10^2*各项系数!$J$4*PI()/4*R33</f>
        <v>4.6583375058229515E-2</v>
      </c>
      <c r="KM33" s="102">
        <v>1</v>
      </c>
      <c r="KN33" s="189">
        <f t="shared" si="222"/>
        <v>4.6583375058229515E-2</v>
      </c>
      <c r="KO33" s="189">
        <f>KN33*各项系数!$E$46</f>
        <v>3.1443778164304921</v>
      </c>
      <c r="KP33" s="235">
        <f>各项系数!$F$76/4*($NH33^2-$NE33^2)*10^-2*(VLOOKUP($KP$9,各项系数!$D$1:$F$143,3,0))*10^-3*10^2*各项系数!$J$4</f>
        <v>0.33665602646386339</v>
      </c>
      <c r="KQ33" s="102">
        <v>1</v>
      </c>
      <c r="KR33" s="189">
        <f t="shared" si="150"/>
        <v>0.33665602646386339</v>
      </c>
      <c r="KS33" s="189">
        <f>KR33*(VLOOKUP($KP$9,各项系数!$D$1:$F$143,2,0))</f>
        <v>5.7231524498856778</v>
      </c>
      <c r="KT33" s="235">
        <f>各项系数!$F$76/4*($NI33^2-$NF33^2)*10^-2*(VLOOKUP($KT$9,各项系数!$D$1:$F$143,3,0))*10^-3*10^2*各项系数!$J$4</f>
        <v>0.338178957484988</v>
      </c>
      <c r="KU33" s="102">
        <v>1</v>
      </c>
      <c r="KV33" s="189">
        <f t="shared" si="151"/>
        <v>0.338178957484988</v>
      </c>
      <c r="KW33" s="189">
        <f>KV33*(VLOOKUP($KT$9,各项系数!$D$1:$F$143,2,0))</f>
        <v>5.7490422772447962</v>
      </c>
      <c r="KX33" s="189">
        <f>各项系数!$F$76/4*($NH33^2-$NE33^2)*10^-2*(VLOOKUP($KX$9,各项系数!$D$1:$F$143,3,0))*10^-3*10^2*各项系数!$J$4</f>
        <v>0.33665602646386339</v>
      </c>
      <c r="KY33" s="353">
        <v>1</v>
      </c>
      <c r="KZ33" s="189">
        <f t="shared" si="152"/>
        <v>0.33665602646386339</v>
      </c>
      <c r="LA33" s="189">
        <f>KZ33*(VLOOKUP($KX$9,各项系数!$D$1:$F$143,2,0))</f>
        <v>5.7231524498856778</v>
      </c>
      <c r="LB33" s="189">
        <f>各项系数!$F$76/4*($NI33^2-$NF33^2)*10^-2*(VLOOKUP($LB$9,各项系数!$D$1:$F$143,3,0))*10^-3*10^2*各项系数!$J$4</f>
        <v>0.338178957484988</v>
      </c>
      <c r="LC33" s="353">
        <v>1</v>
      </c>
      <c r="LD33" s="189">
        <f t="shared" si="153"/>
        <v>0.338178957484988</v>
      </c>
      <c r="LE33" s="189">
        <f>LD33*(VLOOKUP($LB$9,各项系数!$D$1:$F$143,2,0))</f>
        <v>5.7490422772447962</v>
      </c>
      <c r="LF33" s="235">
        <f>各项系数!$F$76/4*($NH33^2-$NE33^2)*10^-2*(VLOOKUP(AN33,各项系数!$D$1:$F$143,3,0))*10^-3*10^2*各项系数!$J$4</f>
        <v>0.34129955786336497</v>
      </c>
      <c r="LG33" s="102">
        <v>1</v>
      </c>
      <c r="LH33" s="189">
        <f t="shared" si="223"/>
        <v>0.34129955786336497</v>
      </c>
      <c r="LI33" s="189">
        <f>LH33*(VLOOKUP(AN33,各项系数!$D$1:$F$143,2,0))</f>
        <v>3.4129955786336499</v>
      </c>
      <c r="LJ33" s="235">
        <f>各项系数!$F$76/4*($NI33^2-$NF33^2)*10^-2*(VLOOKUP(AN33,各项系数!$D$1:$F$143,3,0))*10^-3*10^2*各项系数!$J$4</f>
        <v>0.34284349482960852</v>
      </c>
      <c r="LK33" s="102">
        <v>1</v>
      </c>
      <c r="LL33" s="189">
        <f t="shared" si="224"/>
        <v>0.34284349482960852</v>
      </c>
      <c r="LM33" s="189">
        <f>LL33*(VLOOKUP(AN33,各项系数!$D$1:$F$143,2,0))</f>
        <v>3.4284349482960854</v>
      </c>
      <c r="LN33" s="189">
        <f>各项系数!$F$76/4*($NH33^2-$NE33^2)*10^-2*(VLOOKUP($LN$9,各项系数!$D$1:$F$143,3,0))*10^-3*10^2*各项系数!$J$4</f>
        <v>0.34129955786336497</v>
      </c>
      <c r="LO33" s="353">
        <v>1</v>
      </c>
      <c r="LP33" s="189">
        <f t="shared" si="225"/>
        <v>0.34129955786336497</v>
      </c>
      <c r="LQ33" s="189">
        <f>LP33*(VLOOKUP($LN$9,各项系数!$D$1:$F$143,2,0))</f>
        <v>3.7542951364970145</v>
      </c>
      <c r="LR33" s="189">
        <f>各项系数!$F$76/4*($NI33^2-$NF33^2)*10^-2*(VLOOKUP($LR$9,各项系数!$D$1:$F$143,3,0))*10^-3*10^2*各项系数!$J$4</f>
        <v>0.34284349482960852</v>
      </c>
      <c r="LS33" s="353">
        <v>1</v>
      </c>
      <c r="LT33" s="189">
        <f t="shared" si="226"/>
        <v>0.34284349482960852</v>
      </c>
      <c r="LU33" s="189">
        <f>LT33*(VLOOKUP($LR$9,各项系数!$D$1:$F$143,2,0))</f>
        <v>3.7712784431256936</v>
      </c>
      <c r="LV33" s="227">
        <f t="shared" si="154"/>
        <v>627.65238744999999</v>
      </c>
      <c r="LW33" s="227">
        <f t="shared" si="155"/>
        <v>472.67648931000002</v>
      </c>
      <c r="LX33" s="227">
        <f t="shared" si="156"/>
        <v>24.532231819711786</v>
      </c>
      <c r="LY33" s="227">
        <f t="shared" si="157"/>
        <v>154.97589813999997</v>
      </c>
      <c r="LZ33" s="374">
        <f t="shared" si="86"/>
        <v>1</v>
      </c>
      <c r="MA33" s="375">
        <f t="shared" si="87"/>
        <v>627.65238744999999</v>
      </c>
      <c r="MB33" s="375">
        <f t="shared" si="158"/>
        <v>28.269273779999999</v>
      </c>
      <c r="MC33" s="227">
        <f t="shared" si="159"/>
        <v>0</v>
      </c>
      <c r="MD33" s="227">
        <f t="shared" si="160"/>
        <v>0</v>
      </c>
      <c r="ME33" s="227">
        <f t="shared" si="161"/>
        <v>0</v>
      </c>
      <c r="MF33" s="227">
        <f t="shared" si="162"/>
        <v>0</v>
      </c>
      <c r="MG33" s="374">
        <f t="shared" si="163"/>
        <v>1</v>
      </c>
      <c r="MH33" s="375">
        <f t="shared" si="88"/>
        <v>0</v>
      </c>
      <c r="MI33" s="375">
        <f t="shared" si="164"/>
        <v>0</v>
      </c>
      <c r="MJ33" s="189">
        <f t="shared" si="89"/>
        <v>28.269273779999999</v>
      </c>
      <c r="MK33" s="189">
        <f t="shared" si="165"/>
        <v>28.269273779999999</v>
      </c>
      <c r="ML33" s="189">
        <f t="shared" si="227"/>
        <v>0</v>
      </c>
      <c r="MM33" s="189">
        <f t="shared" si="91"/>
        <v>0</v>
      </c>
      <c r="MN33" s="189">
        <f t="shared" si="92"/>
        <v>32.669273779999997</v>
      </c>
      <c r="MO33" s="189">
        <f t="shared" si="166"/>
        <v>0</v>
      </c>
      <c r="MP33" s="189">
        <f t="shared" si="167"/>
        <v>32.669273779999997</v>
      </c>
      <c r="MQ33" s="189">
        <f t="shared" si="228"/>
        <v>32.669273779999997</v>
      </c>
      <c r="MR33" s="246">
        <f t="shared" si="168"/>
        <v>32.669273779999997</v>
      </c>
      <c r="MS33" s="380">
        <f t="shared" si="94"/>
        <v>32.669273779999997</v>
      </c>
      <c r="MT33" s="380">
        <f t="shared" si="95"/>
        <v>32.829273779999994</v>
      </c>
      <c r="MU33" s="380">
        <f t="shared" si="232"/>
        <v>34.169273779999997</v>
      </c>
      <c r="MV33" s="380">
        <f t="shared" si="97"/>
        <v>36.86927378</v>
      </c>
      <c r="MW33" s="380">
        <f t="shared" si="98"/>
        <v>37.029273779999997</v>
      </c>
      <c r="MX33" s="254">
        <f t="shared" si="233"/>
        <v>28.86927378</v>
      </c>
      <c r="MY33" s="254">
        <f t="shared" si="100"/>
        <v>0</v>
      </c>
      <c r="MZ33" s="189">
        <f t="shared" si="101"/>
        <v>33.269273779999999</v>
      </c>
      <c r="NA33" s="189">
        <f t="shared" si="102"/>
        <v>0</v>
      </c>
      <c r="NB33" s="189">
        <f t="shared" si="169"/>
        <v>33.269273779999999</v>
      </c>
      <c r="NC33" s="254">
        <f t="shared" si="229"/>
        <v>33.269273779999999</v>
      </c>
      <c r="ND33" s="246">
        <f t="shared" si="234"/>
        <v>33.269273779999999</v>
      </c>
      <c r="NE33" s="386">
        <f t="shared" si="235"/>
        <v>33.269273779999999</v>
      </c>
      <c r="NF33" s="380">
        <f t="shared" si="106"/>
        <v>33.429273779999995</v>
      </c>
      <c r="NG33" s="387">
        <f t="shared" si="236"/>
        <v>34.769273779999999</v>
      </c>
      <c r="NH33" s="254">
        <f t="shared" si="108"/>
        <v>37.469273780000002</v>
      </c>
      <c r="NI33" s="380">
        <f t="shared" si="109"/>
        <v>37.629273779999998</v>
      </c>
      <c r="NK33" s="388">
        <f t="shared" si="110"/>
        <v>4.8307041098057848</v>
      </c>
      <c r="NL33" s="388">
        <f t="shared" si="111"/>
        <v>285.04427748772815</v>
      </c>
      <c r="NM33" s="388">
        <f t="shared" si="112"/>
        <v>4.8307041098057848</v>
      </c>
      <c r="NN33" s="388">
        <f t="shared" si="113"/>
        <v>285.37978728196811</v>
      </c>
      <c r="NO33" s="388">
        <f t="shared" si="114"/>
        <v>4.8812195729846781</v>
      </c>
      <c r="NP33" s="388">
        <f t="shared" si="115"/>
        <v>286.15314360120817</v>
      </c>
      <c r="NQ33" s="388">
        <f t="shared" si="116"/>
        <v>4.8812195729846781</v>
      </c>
      <c r="NR33" s="388">
        <f t="shared" si="117"/>
        <v>286.49444315907152</v>
      </c>
      <c r="NS33" s="388">
        <f t="shared" si="118"/>
        <v>4.8764493849035979</v>
      </c>
      <c r="NT33" s="388">
        <f t="shared" si="119"/>
        <v>4.8764493849035979</v>
      </c>
      <c r="NU33" s="388">
        <f t="shared" si="120"/>
        <v>4.927802948042908</v>
      </c>
      <c r="NV33" s="388">
        <f t="shared" si="121"/>
        <v>4.927802948042908</v>
      </c>
      <c r="NW33">
        <f t="shared" si="122"/>
        <v>5.4433901399327151</v>
      </c>
      <c r="NX33">
        <f>各项系数!$M$9*NK33</f>
        <v>1.4492112329417355</v>
      </c>
      <c r="NY33">
        <f t="shared" si="123"/>
        <v>4.8764493849035979</v>
      </c>
      <c r="OB33" s="66" t="str">
        <f t="shared" si="124"/>
        <v>1*500</v>
      </c>
      <c r="OC33" s="395">
        <f t="shared" si="125"/>
        <v>314.10304232929502</v>
      </c>
      <c r="OD33" s="395">
        <f>SQRT(4*EY33/PI()/EH33/各项系数!$J$4/各项系数!$F$5*10000000)</f>
        <v>317.22852271592683</v>
      </c>
      <c r="OE33" s="396">
        <f t="shared" si="126"/>
        <v>472.67649030516696</v>
      </c>
      <c r="OF33" s="396">
        <f t="shared" si="127"/>
        <v>482.13002011127048</v>
      </c>
      <c r="OG33" s="66">
        <v>476.6</v>
      </c>
      <c r="OH33" s="397">
        <f t="shared" si="186"/>
        <v>5.5300201112704599</v>
      </c>
    </row>
    <row r="34" spans="1:398" ht="15" hidden="1" customHeight="1">
      <c r="A34" s="50">
        <v>630</v>
      </c>
      <c r="B34" s="51">
        <v>0</v>
      </c>
      <c r="C34" s="52">
        <v>2.4</v>
      </c>
      <c r="D34" s="58" t="s">
        <v>279</v>
      </c>
      <c r="E34" s="63">
        <f t="shared" si="240"/>
        <v>41.548593459999999</v>
      </c>
      <c r="F34" s="59">
        <v>357.20659441456399</v>
      </c>
      <c r="G34" s="58"/>
      <c r="H34" s="16"/>
      <c r="I34" s="62"/>
      <c r="J34" s="16"/>
      <c r="K34" s="16"/>
      <c r="L34" s="97" t="s">
        <v>467</v>
      </c>
      <c r="M34" s="103">
        <f t="shared" si="2"/>
        <v>2.4</v>
      </c>
      <c r="N34" s="103">
        <f t="shared" si="3"/>
        <v>0</v>
      </c>
      <c r="O34" s="16"/>
      <c r="P34" s="99">
        <v>0.1</v>
      </c>
      <c r="Q34" s="136">
        <f t="shared" ref="Q34:Q43" si="248">$Q$12</f>
        <v>0.1</v>
      </c>
      <c r="R34" s="143">
        <v>0.8</v>
      </c>
      <c r="S34" s="144" t="str">
        <f>各项系数!$D$44</f>
        <v>磁性钢带</v>
      </c>
      <c r="T34" s="62">
        <v>0.5</v>
      </c>
      <c r="U34" s="62">
        <v>2</v>
      </c>
      <c r="V34" s="143"/>
      <c r="W34" s="145">
        <v>2.2999999999999998</v>
      </c>
      <c r="X34" s="135">
        <f t="shared" ref="X34:X43" si="249">$X$12</f>
        <v>0.2</v>
      </c>
      <c r="Y34" s="135"/>
      <c r="Z34" s="168"/>
      <c r="AA34" s="153">
        <v>1.03</v>
      </c>
      <c r="AB34" s="153">
        <f>PI()*EJ34*EJ34/4*EH34*(1-H34)*AA34*各项系数!$F$5*各项系数!$J$4*10^-7</f>
        <v>5.5695578399086223</v>
      </c>
      <c r="AC34" s="153">
        <f t="shared" si="241"/>
        <v>357.20659441456399</v>
      </c>
      <c r="AD34" s="153">
        <f t="shared" si="5"/>
        <v>629.64517072523745</v>
      </c>
      <c r="AE34" s="153">
        <f>POWER(4*EU34/PI()/EG34/10^-7/EH34/(1-H34)/各项系数!$F$5/各项系数!$J$4,0.5)</f>
        <v>362.52509930492863</v>
      </c>
      <c r="AF34" s="69">
        <v>1</v>
      </c>
      <c r="AG34" s="69">
        <v>0</v>
      </c>
      <c r="AH34" s="69">
        <f t="shared" si="242"/>
        <v>0</v>
      </c>
      <c r="AI34" s="69">
        <f t="shared" si="128"/>
        <v>0</v>
      </c>
      <c r="AJ34" s="69">
        <f>IF(OR(EP34="",EP34=0),0,POWER(4*EW34/PI()/EO34/10^-7/EP34/(1-K34)/各项系数!$F$5/各项系数!$J$4,0.5))</f>
        <v>0</v>
      </c>
      <c r="AK34" s="69" t="str">
        <f t="shared" si="8"/>
        <v>√</v>
      </c>
      <c r="AL34" s="69">
        <f t="shared" si="243"/>
        <v>382.94622741950531</v>
      </c>
      <c r="AM34" s="106">
        <f t="shared" si="244"/>
        <v>630</v>
      </c>
      <c r="AN34" s="97" t="s">
        <v>486</v>
      </c>
      <c r="AO34" s="196">
        <f>AP34+各项系数!$M$9*$NK34</f>
        <v>375.4374778622601</v>
      </c>
      <c r="AP34" s="196">
        <f>AQ34*(1+$BI34+(VLOOKUP($AM34,$A$12:$B$323,2,0))+各项系数!$J$6+各项系数!$M$5)*(1+$E$2)</f>
        <v>373.55663753867714</v>
      </c>
      <c r="AQ34" s="197">
        <f>AR34+各项系数!$L$9*$NK34</f>
        <v>381.18024238640527</v>
      </c>
      <c r="AR34" s="197">
        <f>AS34*(1+$BJ34+各项系数!$J$5+各项系数!$L$5)</f>
        <v>379.29940206282231</v>
      </c>
      <c r="AS34" s="197">
        <f t="shared" si="129"/>
        <v>371.86215888511992</v>
      </c>
      <c r="AT34" s="196">
        <f>AU34+各项系数!$M$9*$NM34</f>
        <v>378.24403711343342</v>
      </c>
      <c r="AU34" s="196">
        <f>AV34*(1+$BI34+(VLOOKUP($AM34,$A$12:$B$323,2,0))+各项系数!$J$6+各项系数!$M$5)*(1+$E$2)</f>
        <v>376.36319678985046</v>
      </c>
      <c r="AV34" s="197">
        <f>AW34+各项系数!$L$9*$NM34</f>
        <v>384.04407835699027</v>
      </c>
      <c r="AW34" s="197">
        <f>AX34*(1+$BJ34+各项系数!$J$5+各项系数!$L$5)</f>
        <v>382.16323803340731</v>
      </c>
      <c r="AX34" s="197">
        <f t="shared" si="130"/>
        <v>374.66984120922285</v>
      </c>
      <c r="AY34" s="196">
        <f>AZ34+各项系数!$M$9*$NS34</f>
        <v>378.97499475065473</v>
      </c>
      <c r="AZ34" s="196">
        <f>BA34*(1+$BI34+(VLOOKUP($AM34,$A$12:$B$214,2,0))+各项系数!$J$6+各项系数!$M$5)*(1+$E$2)</f>
        <v>377.07863759571524</v>
      </c>
      <c r="BA34" s="197">
        <f>BB34+各项系数!$L$9*$NS34</f>
        <v>384.77411999562781</v>
      </c>
      <c r="BB34" s="197">
        <f>BC34*(1+$BJ34+各项系数!$J$5+各项系数!$L$5)</f>
        <v>382.87776284068832</v>
      </c>
      <c r="BC34" s="199">
        <f t="shared" si="131"/>
        <v>375.37035572616503</v>
      </c>
      <c r="BD34" s="196">
        <f>BE34+各项系数!$M$9*$NS34</f>
        <v>381.79299516291439</v>
      </c>
      <c r="BE34" s="196">
        <f>BF34*(1+$BI34+(VLOOKUP($AM34,$A$12:$B$214,2,0))+各项系数!$J$6+各项系数!$M$5)*(1+$E$2)</f>
        <v>379.8966380079749</v>
      </c>
      <c r="BF34" s="197">
        <f>BG34+各项系数!$L$9*$NS34</f>
        <v>387.64963062038254</v>
      </c>
      <c r="BG34" s="197">
        <f>BH34*(1+$BJ34+各项系数!$J$5+各项系数!$L$5)</f>
        <v>385.75327346544304</v>
      </c>
      <c r="BH34" s="199">
        <f t="shared" si="132"/>
        <v>378.18948378965001</v>
      </c>
      <c r="BI34" s="51"/>
      <c r="BJ34" s="208"/>
      <c r="BK34" s="53"/>
      <c r="BL34" s="196">
        <f>BM34+各项系数!$M$9*$NM34</f>
        <v>379.50042948876001</v>
      </c>
      <c r="BM34" s="196">
        <f>BN34*(1+$CF34+(VLOOKUP($AM34,$A$12:$B$323,2,0))+各项系数!$J$6+各项系数!$M$5)*(1+$E$2)</f>
        <v>377.61958916517705</v>
      </c>
      <c r="BN34" s="197">
        <f>BO34+各项系数!$L$9*$NM34</f>
        <v>385.32611139303782</v>
      </c>
      <c r="BO34" s="197">
        <f>BP34*(1+$CG34+各项系数!$J$5+各项系数!$L$5)</f>
        <v>383.44527106945486</v>
      </c>
      <c r="BP34" s="197">
        <f t="shared" si="133"/>
        <v>372.27696220335423</v>
      </c>
      <c r="BQ34" s="196">
        <f>BR34+各项系数!$M$9*$NM34</f>
        <v>381.91580155728383</v>
      </c>
      <c r="BR34" s="196">
        <f>BS34*(1+$CF34+(VLOOKUP($AM34,$A$12:$B$323,2,0))+各项系数!$J$6+各项系数!$M$5)*(1+$E$2)</f>
        <v>380.03496123370087</v>
      </c>
      <c r="BS34" s="197">
        <f>BT34+各项系数!$L$9*$NM34</f>
        <v>387.79077676908253</v>
      </c>
      <c r="BT34" s="197">
        <f>BU34*(1+$CG34+各项系数!$J$5+各项系数!$L$5)</f>
        <v>385.90993644549957</v>
      </c>
      <c r="BU34" s="197">
        <f t="shared" si="134"/>
        <v>374.66984120922285</v>
      </c>
      <c r="BV34" s="196">
        <f>BW34+各项系数!$M$9*$NT34</f>
        <v>381.22370170322876</v>
      </c>
      <c r="BW34" s="196">
        <f>BX34*(1+$CF34+(VLOOKUP($AM34,$A$12:$B$214,2,0))+各项系数!$J$6+各项系数!$M$5)*(1+$E$2)</f>
        <v>379.32734454828926</v>
      </c>
      <c r="BX34" s="197">
        <f>BY34+各项系数!$L$9*$NT$12</f>
        <v>387.0687189268258</v>
      </c>
      <c r="BY34" s="197">
        <f>BZ34*(1+$CG34+各项系数!$J$5+各项系数!$L$5)</f>
        <v>387.06045552367084</v>
      </c>
      <c r="BZ34" s="199">
        <f t="shared" si="11"/>
        <v>375.78685002298141</v>
      </c>
      <c r="CA34" s="196">
        <f>CB34+各项系数!$M$9*$NT34</f>
        <v>383.64892022730407</v>
      </c>
      <c r="CB34" s="196">
        <f>CC34*(1+$CF34+(VLOOKUP($AM34,$A$12:$B$214,2,0))+各项系数!$J$6+各项系数!$M$5)*(1+$E$2)</f>
        <v>381.75256307236458</v>
      </c>
      <c r="CC34" s="197">
        <f>CD34+各项系数!$L$9*$NT$12</f>
        <v>389.54343170649446</v>
      </c>
      <c r="CD34" s="197">
        <f>CE34*(1+$CG34+各项系数!$J$5+各项系数!$L$5)</f>
        <v>389.5351683033395</v>
      </c>
      <c r="CE34" s="199">
        <f t="shared" si="135"/>
        <v>378.18948378965001</v>
      </c>
      <c r="CF34" s="213">
        <f t="shared" si="136"/>
        <v>0</v>
      </c>
      <c r="CG34" s="213">
        <f t="shared" si="12"/>
        <v>0.01</v>
      </c>
      <c r="CH34" s="106"/>
      <c r="CI34" s="196">
        <f>CJ34+各项系数!$M$9*$NO34</f>
        <v>378.6066461658894</v>
      </c>
      <c r="CJ34" s="196">
        <f>CK34*(1+$DC34+(VLOOKUP($AM34,$A$12:$B$323,2,0))+各项系数!$J$6+各项系数!$M$5)*(1+$E$2)+各项系数!$M$9*$NK34</f>
        <v>376.7087249451917</v>
      </c>
      <c r="CK34" s="197">
        <f>CL34+各项系数!$L$9*$NO34</f>
        <v>382.47743328735589</v>
      </c>
      <c r="CL34" s="197">
        <f>CM34*(1+$DD34+各项系数!$J$5+各项系数!$L$5)</f>
        <v>380.5795120666582</v>
      </c>
      <c r="CM34" s="197">
        <f t="shared" si="13"/>
        <v>373.11716869280212</v>
      </c>
      <c r="CN34" s="196">
        <f>CO34+各项系数!$M$9*$NO34</f>
        <v>381.34981908491358</v>
      </c>
      <c r="CO34" s="196">
        <f>CP34*(1+$DC34+(VLOOKUP($AM34,$A$12:$B$323,2,0))+各项系数!$J$6+各项系数!$M$5)*(1+$E$2)+各项系数!$M$9*$NK34</f>
        <v>379.45189786421588</v>
      </c>
      <c r="CP34" s="197">
        <f>CQ34+各项系数!$L$9*$NO34</f>
        <v>385.27658932717645</v>
      </c>
      <c r="CQ34" s="197">
        <f>CR34*(1+$DD34+各项系数!$J$5+各项系数!$L$5)</f>
        <v>383.37866810647876</v>
      </c>
      <c r="CR34" s="197">
        <f t="shared" si="14"/>
        <v>375.86143932007718</v>
      </c>
      <c r="CS34" s="196">
        <f>CT34+各项系数!$M$9*$NU34</f>
        <v>380.32036968070685</v>
      </c>
      <c r="CT34" s="196">
        <f t="shared" si="15"/>
        <v>378.40668019866445</v>
      </c>
      <c r="CU34" s="197">
        <f>CV34+各项系数!$L$9*$NU34</f>
        <v>386.12926550884129</v>
      </c>
      <c r="CV34" s="197">
        <f>CW34*(1+$DD34+各项系数!$J$5+各项系数!$L$5)</f>
        <v>384.21557602679889</v>
      </c>
      <c r="CW34" s="199">
        <f t="shared" si="16"/>
        <v>376.68193728117535</v>
      </c>
      <c r="CX34" s="196">
        <f>CY34+各项系数!$M$9*$NU34</f>
        <v>383.18127444704021</v>
      </c>
      <c r="CY34" s="196">
        <f t="shared" si="17"/>
        <v>381.26758496499781</v>
      </c>
      <c r="CZ34" s="197">
        <f>DA34+各项系数!$L$9*$NU34</f>
        <v>389.04855608673245</v>
      </c>
      <c r="DA34" s="197">
        <f>DB34*(1+$DD34+各项系数!$J$5+各项系数!$L$5)</f>
        <v>387.13486660469005</v>
      </c>
      <c r="DB34" s="199">
        <f t="shared" si="18"/>
        <v>379.54398686734316</v>
      </c>
      <c r="DC34" s="213">
        <f t="shared" si="137"/>
        <v>0</v>
      </c>
      <c r="DD34" s="213">
        <f t="shared" si="19"/>
        <v>0</v>
      </c>
      <c r="DE34" s="78"/>
      <c r="DF34" s="78"/>
      <c r="DG34" s="196">
        <f>DH34+各项系数!$M$9*$NQ34</f>
        <v>382.68829766518235</v>
      </c>
      <c r="DH34" s="196">
        <f>DI34*(1+$EA34+(VLOOKUP($AM34,$A$12:$B$323,2,0))+各项系数!$J$6+各项系数!$M$5)*(1+$E$2)+各项系数!$M$9*$NK34</f>
        <v>380.79037644448465</v>
      </c>
      <c r="DI34" s="197">
        <f>DJ34+各项系数!$L$9*$NQ34</f>
        <v>386.64238379683849</v>
      </c>
      <c r="DJ34" s="197">
        <f>DK34*(1+$EB34+各项系数!$J$5+各项系数!$L$5)</f>
        <v>384.74446257614079</v>
      </c>
      <c r="DK34" s="197">
        <f t="shared" si="20"/>
        <v>373.53831318071923</v>
      </c>
      <c r="DL34" s="196">
        <f>DM34+各项系数!$M$9*$NQ34</f>
        <v>385.14059394202434</v>
      </c>
      <c r="DM34" s="196">
        <f>DN34*(1+$EA34+(VLOOKUP($AM34,$A$12:$B$323,2,0))+各项系数!$J$6+各项系数!$M$5)*(1+$E$2)+各项系数!$M$9*$NK34</f>
        <v>383.24267272132664</v>
      </c>
      <c r="DN34" s="197">
        <f>DO34+各项系数!$L$9*$NQ34</f>
        <v>389.14472693647315</v>
      </c>
      <c r="DO34" s="197">
        <f>DP34*(1+$EB34+各项系数!$J$5+各项系数!$L$5)</f>
        <v>387.24680571577545</v>
      </c>
      <c r="DP34" s="197">
        <f t="shared" si="21"/>
        <v>375.96777253958783</v>
      </c>
      <c r="DQ34" s="196">
        <f>DR34+各项系数!$M$9*$NV34</f>
        <v>384.43866278594663</v>
      </c>
      <c r="DR34" s="196">
        <f t="shared" si="22"/>
        <v>382.52497330390423</v>
      </c>
      <c r="DS34" s="197">
        <f>DT34+各项系数!$L$9*$NV34</f>
        <v>390.33160541214716</v>
      </c>
      <c r="DT34" s="197">
        <f>DU34*(1+$EB34+各项系数!$J$5+各项系数!$L$5)</f>
        <v>388.41791593010475</v>
      </c>
      <c r="DU34" s="199">
        <f t="shared" si="23"/>
        <v>377.10477274767453</v>
      </c>
      <c r="DV34" s="196">
        <f>DW34+各项系数!$M$9*$NV34</f>
        <v>383.91440327587765</v>
      </c>
      <c r="DW34" s="196">
        <f t="shared" si="24"/>
        <v>382.00071379383525</v>
      </c>
      <c r="DX34" s="197">
        <f>DY34+各项系数!$L$9*$NV34</f>
        <v>389.79664672840335</v>
      </c>
      <c r="DY34" s="197">
        <f>DZ34*(1+$EB34+各项系数!$J$5+各项系数!$L$5)</f>
        <v>387.88295724636095</v>
      </c>
      <c r="DZ34" s="199">
        <f t="shared" si="25"/>
        <v>376.58539538481642</v>
      </c>
      <c r="EA34" s="213">
        <f t="shared" si="230"/>
        <v>0</v>
      </c>
      <c r="EB34" s="213">
        <f t="shared" si="27"/>
        <v>0.01</v>
      </c>
      <c r="EC34" s="235">
        <f t="shared" si="138"/>
        <v>1</v>
      </c>
      <c r="ED34" s="237" t="str">
        <f t="shared" si="180"/>
        <v>1*630</v>
      </c>
      <c r="EE34" s="189">
        <f t="shared" si="239"/>
        <v>630</v>
      </c>
      <c r="EF34" s="78" t="str">
        <f>LOOKUP(EH34,{1,7,10,14,19,24,30,37,48,61},{1,"1+6","2+8","4+10","1+6+12","2+8+14","4+10+16","1+6+12+18","3+9+15+21","1+6+12+18+24"})</f>
        <v>1+6+12+18+24</v>
      </c>
      <c r="EG34" s="188">
        <f t="shared" si="29"/>
        <v>1</v>
      </c>
      <c r="EH34" s="197">
        <f>VLOOKUP(EE34,各项系数!$B$87:$C$110,2,0)</f>
        <v>61</v>
      </c>
      <c r="EI34" s="188">
        <f>IF(EH34=0,0,VLOOKUP(EH34,各项系数!$D$142:$E$195,2,0))*1</f>
        <v>9</v>
      </c>
      <c r="EJ34" s="238">
        <f t="shared" si="141"/>
        <v>357.20659441456399</v>
      </c>
      <c r="EK34" s="78">
        <f t="shared" si="245"/>
        <v>0</v>
      </c>
      <c r="EL34" s="189">
        <f t="shared" si="31"/>
        <v>0</v>
      </c>
      <c r="EM34" s="78">
        <f t="shared" si="182"/>
        <v>0</v>
      </c>
      <c r="EN34" s="78">
        <f>IF(EP34=0,0,LOOKUP(EP34,{1,7,10,14,19,24,30,37,48,61},{1,"1+6","2+8","4+10","1+6+12","2+8+14","4+10+16","1+6+12+18","3+9+15+21","1+6+12+18+24"}))</f>
        <v>0</v>
      </c>
      <c r="EO34" s="78">
        <f t="shared" si="246"/>
        <v>0</v>
      </c>
      <c r="EP34" s="78">
        <f>IF(EM34=0,0,IF(EM34&lt;10,1,IF(AND(EM34&gt;=10,EM34&lt;=35),7,LOOKUP(EM34,{50,70,95,120,150,185,240,300},{10,14,19,24,30,37,48,61})*1)))</f>
        <v>0</v>
      </c>
      <c r="EQ34" s="189">
        <f>IF(EP34=0,0,VLOOKUP(EP34,各项系数!$D$142:$E$195,2,0))*1</f>
        <v>0</v>
      </c>
      <c r="ER34" s="78">
        <f t="shared" si="247"/>
        <v>0</v>
      </c>
      <c r="ES34" s="237">
        <f t="shared" si="185"/>
        <v>1</v>
      </c>
      <c r="ET34" s="189">
        <f>VLOOKUP(ES34,各项系数!$D$142:$E$195,2,0)*1</f>
        <v>1</v>
      </c>
      <c r="EU34" s="243">
        <f>((各项系数!$F$76/4*$EJ34^2*$EG34*$EH34*1*10^-7)*(1-$H34)*AA34)*(VLOOKUP($EY$9,各项系数!$D$4:$F$143,3,0))*各项系数!$J$4</f>
        <v>5.5695578399086223</v>
      </c>
      <c r="EV34" s="244">
        <f>EU34*(VLOOKUP($EY$9,各项系数!$D$4:$F$143,2,0))</f>
        <v>364.80603851401474</v>
      </c>
      <c r="EW34" s="252">
        <f>(IF($EO34=0,0,(各项系数!$F$76/4*$ER34^2*$EO34*$EP34*1*10^-7))*(1-$K34)*$AF34)*(VLOOKUP($EY$9,各项系数!$D$4:$F$143,3,0))*各项系数!$J$4</f>
        <v>0</v>
      </c>
      <c r="EX34" s="253">
        <f>EW34*(VLOOKUP($EY$9,各项系数!$D$4:$F$143,2,0))</f>
        <v>0</v>
      </c>
      <c r="EY34" s="189">
        <f>((各项系数!$F$76/4*$EJ34^2*$EG34*$EH34*1*10^-7)*(1-$H34)*AA34+IF($EO34=0,0,(各项系数!$F$76/4*$ER34^2*$EO34*$EP34*1*10^-7))*(1-$K34)*$AF34)*(VLOOKUP($EY$9,各项系数!$D$4:$F$143,3,0))*各项系数!$J$4</f>
        <v>5.5695578399086223</v>
      </c>
      <c r="EZ34" s="102">
        <v>1</v>
      </c>
      <c r="FA34" s="189">
        <f t="shared" si="188"/>
        <v>5.5695578399086223</v>
      </c>
      <c r="FB34" s="254">
        <f>FA34*(VLOOKUP($EY$9,各项系数!$D$4:$F$143,2,0))</f>
        <v>364.80603851401474</v>
      </c>
      <c r="FC34" s="257"/>
      <c r="FD34" s="235">
        <f>各项系数!$F$76/4*($MN34^2-MK34^2)*10^-2*(VLOOKUP(L34,各项系数!$D$1:$F$143,3,0))*10^-3*10^2*$EG34*各项系数!$J$4</f>
        <v>0.28510658713354592</v>
      </c>
      <c r="FE34" s="262">
        <f>FD34*VLOOKUP(L34,各项系数!$D$1:$F$143,2,0)</f>
        <v>2.9080871887621682</v>
      </c>
      <c r="FF34" s="188">
        <f>各项系数!$F$76/4*($MO34^2-ML34^2)*10^-2*(VLOOKUP(L34,各项系数!$D$1:$F$143,3,0))*10^-3*10^2*$EO34*各项系数!$J$4</f>
        <v>0</v>
      </c>
      <c r="FG34" s="262">
        <f>FF34*VLOOKUP(L34,各项系数!$D$1:$F$143,2,0)</f>
        <v>0</v>
      </c>
      <c r="FH34" s="235">
        <f t="shared" si="142"/>
        <v>0.28510658713354592</v>
      </c>
      <c r="FI34" s="102">
        <v>1</v>
      </c>
      <c r="FJ34" s="189">
        <f t="shared" si="189"/>
        <v>0.28510658713354592</v>
      </c>
      <c r="FK34" s="262">
        <f>FJ34*VLOOKUP(L34,各项系数!$D$1:$F$143,2,0)</f>
        <v>2.9080871887621682</v>
      </c>
      <c r="FL34" s="237"/>
      <c r="FM34" s="106"/>
      <c r="FN34" s="189"/>
      <c r="FO34" s="262"/>
      <c r="FP34" s="282">
        <f t="shared" si="190"/>
        <v>0.28510658713354592</v>
      </c>
      <c r="FQ34" s="282">
        <f t="shared" si="191"/>
        <v>2.9080871887621682</v>
      </c>
      <c r="FR34" s="283">
        <f>各项系数!$F$76/4*($MQ34^2-$MN34^2*$EG34-$MO34^2*$EO34)*10^-2</f>
        <v>0</v>
      </c>
      <c r="FS34" s="284">
        <f t="shared" si="143"/>
        <v>1</v>
      </c>
      <c r="FT34" s="285">
        <f t="shared" si="40"/>
        <v>0</v>
      </c>
      <c r="FU34" s="302">
        <f>$FT34*(VLOOKUP($FT$9,各项系数!$D$1:$F$143,3,0))*10^-3*10^2*各项系数!$J$55</f>
        <v>0</v>
      </c>
      <c r="FV34" s="303">
        <v>1</v>
      </c>
      <c r="FW34" s="304">
        <f t="shared" si="192"/>
        <v>0</v>
      </c>
      <c r="FX34" s="285">
        <f>FW34*(VLOOKUP($FT$9,各项系数!$D$1:$F$143,2,0))</f>
        <v>0</v>
      </c>
      <c r="FY34" s="302">
        <f>IF($BK34&lt;&gt;$FY$9,0,各项系数!$F$76/4*($MS34^2-$MQ34^2)*10^-2*(VLOOKUP($FY$9,各项系数!$D$1:$F$143,3,0))*10^-3*10^2)*各项系数!$J$4</f>
        <v>0</v>
      </c>
      <c r="FZ34" s="303">
        <v>1</v>
      </c>
      <c r="GA34" s="304">
        <f t="shared" si="193"/>
        <v>0</v>
      </c>
      <c r="GB34" s="285">
        <f>GA34*(VLOOKUP($FY$9,各项系数!$D$1:$F$143,2,0))</f>
        <v>0</v>
      </c>
      <c r="GC34" s="302">
        <f>IF($BK34&lt;&gt;$GC$9,0,各项系数!$F$76/4*($MS34^2-$MQ34^2)*10^-2*(VLOOKUP($GC$9,各项系数!$D$1:$F$143,3,0))*10^-3*10^2)*各项系数!$J$4</f>
        <v>0</v>
      </c>
      <c r="GD34" s="303">
        <v>1</v>
      </c>
      <c r="GE34" s="304">
        <f t="shared" si="194"/>
        <v>0</v>
      </c>
      <c r="GF34" s="285">
        <f>GE34*(VLOOKUP($GC$9,各项系数!$D$1:$F$143,2,0))</f>
        <v>0</v>
      </c>
      <c r="GG34" s="302">
        <f>IF($BK34&lt;&gt;$GG$9,0,各项系数!$F$76/4*($MS34^2-$MQ34^2)*10^-2*(VLOOKUP($GG$9,各项系数!$D$1:$F$143,3,0))*10^-3*10^2)*各项系数!$J$4</f>
        <v>0</v>
      </c>
      <c r="GH34" s="303">
        <v>1</v>
      </c>
      <c r="GI34" s="304">
        <f t="shared" si="195"/>
        <v>0</v>
      </c>
      <c r="GJ34" s="285">
        <f>GI34*(VLOOKUP($GG$9,各项系数!$D$1:$F$143,2,0))</f>
        <v>0</v>
      </c>
      <c r="GK34" s="302">
        <f>IF($BK34&lt;&gt;$GK$9,0,各项系数!$F$76/4*($MS34^2-$MQ34^2)*10^-2*(VLOOKUP($GK$9,各项系数!$D$1:$F$143,3,0))*10^-3*10^2)*各项系数!$J$4</f>
        <v>0</v>
      </c>
      <c r="GL34" s="303">
        <v>1</v>
      </c>
      <c r="GM34" s="304">
        <f t="shared" si="196"/>
        <v>0</v>
      </c>
      <c r="GN34" s="285">
        <f>GM34*(VLOOKUP($GK$9,各项系数!$D$1:$F$143,2,0))</f>
        <v>0</v>
      </c>
      <c r="GO34" s="304">
        <f t="shared" si="197"/>
        <v>0</v>
      </c>
      <c r="GP34" s="304">
        <f t="shared" si="198"/>
        <v>0</v>
      </c>
      <c r="GQ34" s="315">
        <f>各项系数!$F$76/4*($MU34^2-$MS34^2)*10^-2*(VLOOKUP($S34,各项系数!$D$1:$F$143,3,0))*10^-3*10^2*各项系数!$J$4</f>
        <v>0.69114014028034398</v>
      </c>
      <c r="GR34" s="303">
        <v>1</v>
      </c>
      <c r="GS34" s="304">
        <f t="shared" si="199"/>
        <v>0.69114014028034398</v>
      </c>
      <c r="GT34" s="304">
        <f t="shared" si="200"/>
        <v>0</v>
      </c>
      <c r="GU34" s="304">
        <f>ROUND($GS34*(VLOOKUP($S34,各项系数!$D$1:$F$143,2,0))+$E$3*GS34,GT34)</f>
        <v>7</v>
      </c>
      <c r="GV34" s="315">
        <f>各项系数!$F$76/4*($MT34^2-$MS34^2)*10^-2*(VLOOKUP($GV$9,各项系数!$D$1:$F$143,3,0))*10^-3*10^2*各项系数!$J$4*PI()/4*R34</f>
        <v>5.1722771188508869E-2</v>
      </c>
      <c r="GW34" s="303">
        <v>1</v>
      </c>
      <c r="GX34" s="304">
        <f t="shared" si="201"/>
        <v>5.1722771188508869E-2</v>
      </c>
      <c r="GY34" s="304">
        <f>$GX34*(VLOOKUP($GV$9,各项系数!$D$1:$F$143,2,0))</f>
        <v>3.4912870552243485</v>
      </c>
      <c r="GZ34" s="315">
        <f>各项系数!$F$76/4*($MV34^2-$MS34^2)*10^-2*(VLOOKUP($GZ$9,各项系数!$D$1:$F$143,3,0))*10^-3*10^2*各项系数!$J$4</f>
        <v>0.40915973567328889</v>
      </c>
      <c r="HA34" s="303">
        <v>1</v>
      </c>
      <c r="HB34" s="304">
        <f t="shared" si="144"/>
        <v>0.40915973567328889</v>
      </c>
      <c r="HC34" s="304">
        <f>HB34*(VLOOKUP($GZ$9,各项系数!$D$1:$F$143,2,0))</f>
        <v>6.9557155064459115</v>
      </c>
      <c r="HD34" s="315">
        <f>各项系数!$F$76/4*($MW34^2-$MT34^2)*10^-2*(VLOOKUP($HD$9,各项系数!$D$1:$F$143,3,0))*10^-3*10^2*各项系数!$J$4</f>
        <v>0.41082770774404476</v>
      </c>
      <c r="HE34" s="303">
        <v>1</v>
      </c>
      <c r="HF34" s="304">
        <f t="shared" si="145"/>
        <v>0.41082770774404476</v>
      </c>
      <c r="HG34" s="304">
        <f>HF34*(VLOOKUP($HD$9,各项系数!$D$1:$F$143,2,0))</f>
        <v>6.9840710316487611</v>
      </c>
      <c r="HH34" s="315">
        <f>各项系数!$F$76/4*($MV34^2-$MS34^2)*10^-2*(VLOOKUP($HH$9,各项系数!$D$1:$F$143,3,0))*10^-3*10^2*各项系数!$J$4</f>
        <v>0.40915973567328889</v>
      </c>
      <c r="HI34" s="322">
        <v>1</v>
      </c>
      <c r="HJ34" s="304">
        <f t="shared" si="146"/>
        <v>0.40915973567328889</v>
      </c>
      <c r="HK34" s="304">
        <f>HJ34*(VLOOKUP($HH$9,各项系数!$D$1:$F$143,2,0))</f>
        <v>6.9557155064459115</v>
      </c>
      <c r="HL34" s="315">
        <f>各项系数!$F$76/4*($MW34^2-$MT34^2)*10^-2*(VLOOKUP($HL$9,各项系数!$D$1:$F$143,3,0))*10^-3*10^2*各项系数!$J$4</f>
        <v>0.41082770774404476</v>
      </c>
      <c r="HM34" s="322">
        <v>1</v>
      </c>
      <c r="HN34" s="304">
        <f t="shared" si="147"/>
        <v>0.41082770774404476</v>
      </c>
      <c r="HO34" s="304">
        <f>HN34*(VLOOKUP($HL$9,各项系数!$D$1:$F$143,2,0))</f>
        <v>6.9840710316487611</v>
      </c>
      <c r="HP34" s="315">
        <f>各项系数!$F$76/4*($MV34^2-$MS34^2)*10^-2*(VLOOKUP(AN34,各项系数!$D$1:$F$143,3,0))*10^-3*10^2*各项系数!$J$4</f>
        <v>0.41480331823429989</v>
      </c>
      <c r="HQ34" s="303">
        <v>1</v>
      </c>
      <c r="HR34" s="304">
        <f t="shared" si="202"/>
        <v>0.41480331823429989</v>
      </c>
      <c r="HS34" s="304">
        <f>HR34*(VLOOKUP(AN34,各项系数!$D$1:$F$143,2,0))</f>
        <v>4.1480331823429992</v>
      </c>
      <c r="HT34" s="315">
        <f>各项系数!$F$76/4*($MW34^2-$MT34^2)*10^-2*(VLOOKUP(AN34,各项系数!$D$1:$F$143,3,0))*10^-3*10^2*各项系数!$J$4</f>
        <v>0.41649429681637634</v>
      </c>
      <c r="HU34" s="303">
        <v>1</v>
      </c>
      <c r="HV34" s="304">
        <f t="shared" si="203"/>
        <v>0.41649429681637634</v>
      </c>
      <c r="HW34" s="304">
        <f>HV34*(VLOOKUP(AN34,各项系数!$D$1:$F$143,2,0))</f>
        <v>4.1649429681637633</v>
      </c>
      <c r="HX34" s="315">
        <f>各项系数!$F$76/4*($MV34^2-$MS34^2)*10^-2*(VLOOKUP($HX$9,各项系数!$D$1:$F$143,3,0))*10^-3*10^2*各项系数!$J$4</f>
        <v>0.41480331823429989</v>
      </c>
      <c r="HY34" s="322">
        <v>1</v>
      </c>
      <c r="HZ34" s="304">
        <f t="shared" si="204"/>
        <v>0.41480331823429989</v>
      </c>
      <c r="IA34" s="304">
        <f>HZ34*(VLOOKUP($HX$9,各项系数!$D$1:$F$143,2,0))</f>
        <v>4.5628365005772986</v>
      </c>
      <c r="IB34" s="315">
        <f>各项系数!$F$76/4*($MW34^2-$MT34^2)*10^-2*(VLOOKUP($IB$9,各项系数!$D$1:$F$143,3,0))*10^-3*10^2*各项系数!$J$4</f>
        <v>0.41649429681637634</v>
      </c>
      <c r="IC34" s="322">
        <v>1</v>
      </c>
      <c r="ID34" s="304">
        <f t="shared" si="205"/>
        <v>0.41649429681637634</v>
      </c>
      <c r="IE34" s="304">
        <f>ID34*(VLOOKUP($IB$9,各项系数!$D$1:$F$143,2,0))</f>
        <v>4.5814372649801394</v>
      </c>
      <c r="IF34" s="309"/>
      <c r="IG34" s="315">
        <f t="shared" si="148"/>
        <v>4.5643752683591429E-2</v>
      </c>
      <c r="IH34" s="303">
        <v>1</v>
      </c>
      <c r="II34" s="304">
        <f t="shared" si="206"/>
        <v>4.5643752683591429E-2</v>
      </c>
      <c r="IJ34" s="304">
        <f>II34*(VLOOKUP($IG$8,各项系数!$D$1:$F$143,2,0))</f>
        <v>1.1410938170897857</v>
      </c>
      <c r="IK34" s="315">
        <f>(各项系数!$F$76/4*($MX34^2-$MK34^2)*$EG34)*10^-2*(VLOOKUP($IG$8,各项系数!$D$1:$F$143,3,0))*10^-3*10^2*各项系数!$J$4</f>
        <v>4.5643752683591429E-2</v>
      </c>
      <c r="IL34" s="303">
        <f>IK34*(VLOOKUP($IG$8,各项系数!$D$1:$F$143,2,0))</f>
        <v>1.1410938170897857</v>
      </c>
      <c r="IM34" s="304">
        <f>(各项系数!$F$76/4*(($MM34+3*$X34)^2-MM34^2)*$EO34)*10^-2*(VLOOKUP($IG$8,各项系数!$D$1:$F$143,3,0))*10^-3*10^2*各项系数!$J$4</f>
        <v>0</v>
      </c>
      <c r="IN34" s="303">
        <f>IM34*(VLOOKUP($IG$8,各项系数!$D$1:$F$143,2,0))</f>
        <v>0</v>
      </c>
      <c r="IO34" s="315">
        <f>各项系数!$F$76/4*($MZ34^2-$MX34^2)*10^-2*(VLOOKUP(L34,各项系数!$D$1:$F$143,3,0))*10^-3*10^2*$ES34*各项系数!$J$4</f>
        <v>0.29005798848301545</v>
      </c>
      <c r="IP34" s="303">
        <v>1</v>
      </c>
      <c r="IQ34" s="304">
        <f t="shared" si="207"/>
        <v>0.29005798848301545</v>
      </c>
      <c r="IR34" s="285">
        <f>IQ34*(VLOOKUP(L34,各项系数!$D$1:$F$143,2,0))</f>
        <v>2.9585914825267574</v>
      </c>
      <c r="IS34" s="315">
        <f>IF($L34&lt;&gt;$IS$9,0,各项系数!$F$76/4*($MZ34^2-$MX34^2)*10^-2*各项系数!$F$12*10^-3*10^2)*$ES34*各项系数!$J$4</f>
        <v>0</v>
      </c>
      <c r="IT34" s="310">
        <v>1</v>
      </c>
      <c r="IU34" s="304">
        <f t="shared" si="208"/>
        <v>0</v>
      </c>
      <c r="IV34" s="285">
        <f>IU34*各项系数!$E$12</f>
        <v>0</v>
      </c>
      <c r="IW34" s="302">
        <f t="shared" si="209"/>
        <v>0.29005798848301545</v>
      </c>
      <c r="IX34" s="302">
        <f t="shared" si="210"/>
        <v>2.9585914825267574</v>
      </c>
      <c r="IY34" s="339">
        <f>各项系数!$F$76/4*($NB34^2-$MZ34^2*$EG34-$NA34^2*$EO34)*10^-2</f>
        <v>0</v>
      </c>
      <c r="IZ34" s="284">
        <f t="shared" si="231"/>
        <v>1</v>
      </c>
      <c r="JA34" s="285">
        <f t="shared" si="64"/>
        <v>0</v>
      </c>
      <c r="JB34" s="282">
        <f>IF($DE34&lt;&gt;$JB$9,0,$JA34*各项系数!$F$32*10^-3*10^2)*各项系数!$J$4</f>
        <v>0</v>
      </c>
      <c r="JC34" s="102">
        <v>1</v>
      </c>
      <c r="JD34" s="189">
        <f t="shared" si="211"/>
        <v>0</v>
      </c>
      <c r="JE34" s="262">
        <f>JD34*各项系数!$E$32</f>
        <v>0</v>
      </c>
      <c r="JF34" s="282">
        <f>IF($DE34&lt;&gt;$JF$9,0,$JA34*VLOOKUP($JF$9,各项系数!$D$4:$F$540,2,0)*10^-3*10^2)*各项系数!$J$4</f>
        <v>0</v>
      </c>
      <c r="JG34" s="102">
        <v>1</v>
      </c>
      <c r="JH34" s="189">
        <f t="shared" si="66"/>
        <v>0</v>
      </c>
      <c r="JI34" s="262">
        <f>JH34*VLOOKUP($JF$9,各项系数!$D$4:$F$540,3,0)</f>
        <v>0</v>
      </c>
      <c r="JJ34" s="282">
        <f t="shared" si="212"/>
        <v>0</v>
      </c>
      <c r="JK34" s="189">
        <f t="shared" si="213"/>
        <v>0</v>
      </c>
      <c r="JL34" s="282">
        <f>IF($DF34&lt;&gt;$JL$9,0,各项系数!$F$76/4*($NE34^2-$NC34^2)*10^-2*各项系数!$F$39*10^-3*10^2)*各项系数!$J$4</f>
        <v>0</v>
      </c>
      <c r="JM34" s="102">
        <v>1</v>
      </c>
      <c r="JN34" s="189">
        <f t="shared" si="214"/>
        <v>0</v>
      </c>
      <c r="JO34" s="262">
        <f>JN34*各项系数!$E$39</f>
        <v>0</v>
      </c>
      <c r="JP34" s="282">
        <f>IF($DF34&lt;&gt;$JP$9,0,各项系数!$F$76/4*($NE34^2-$NC34^2)*10^-2*各项系数!$F$36*10^-3*10^2)*各项系数!$J$4</f>
        <v>0</v>
      </c>
      <c r="JQ34" s="102">
        <v>1</v>
      </c>
      <c r="JR34" s="189">
        <f t="shared" si="215"/>
        <v>0</v>
      </c>
      <c r="JS34" s="262">
        <f>JR34*各项系数!$E$36</f>
        <v>0</v>
      </c>
      <c r="JT34" s="282">
        <f>IF($DF34&lt;&gt;$JT$9,0,各项系数!$F$76/4*($NE34^2-$NC34^2)*10^-2*各项系数!$F$40*10^-3*10^2)*各项系数!$J$4</f>
        <v>0</v>
      </c>
      <c r="JU34" s="102">
        <v>1</v>
      </c>
      <c r="JV34" s="189">
        <f t="shared" si="216"/>
        <v>0</v>
      </c>
      <c r="JW34" s="262">
        <f>JV34*各项系数!$E$40</f>
        <v>0</v>
      </c>
      <c r="JX34" s="282">
        <f>IF($DF34&lt;&gt;$JX$9,0,各项系数!$F$76/4*($NE34^2-$NC34^2)*10^-2*各项系数!$F$38*10^-3*10^2)*各项系数!$J$4</f>
        <v>0</v>
      </c>
      <c r="JY34" s="102">
        <v>1</v>
      </c>
      <c r="JZ34" s="189">
        <f t="shared" si="217"/>
        <v>0</v>
      </c>
      <c r="KA34" s="262">
        <f>JZ34*各项系数!$E$38</f>
        <v>0</v>
      </c>
      <c r="KB34" s="282">
        <f>IF($DF34&lt;&gt;$KB$9,0,各项系数!$F$76/4*($NE34^2-$NC34^2)*10^-2*各项系数!$F$41*10^-3*10^2)*各项系数!$J$4</f>
        <v>0</v>
      </c>
      <c r="KC34" s="102">
        <v>1</v>
      </c>
      <c r="KD34" s="189">
        <f t="shared" si="218"/>
        <v>0</v>
      </c>
      <c r="KE34" s="262">
        <f>KD34*各项系数!$E$41</f>
        <v>0</v>
      </c>
      <c r="KF34" s="189">
        <f t="shared" si="219"/>
        <v>0</v>
      </c>
      <c r="KG34" s="189">
        <f t="shared" si="220"/>
        <v>0</v>
      </c>
      <c r="KH34" s="235">
        <f>各项系数!$F$76/4*($NG34^2-$NE34^2)*10^-2*各项系数!$F$44*10^-3*10^2*各项系数!$J$4*0.75*$U34</f>
        <v>1.0532101927583817</v>
      </c>
      <c r="KI34" s="102">
        <v>1</v>
      </c>
      <c r="KJ34" s="189">
        <f t="shared" si="221"/>
        <v>1.0532101927583817</v>
      </c>
      <c r="KK34" s="189">
        <f>ROUND(KJ34*各项系数!$E$44,GT34)</f>
        <v>11</v>
      </c>
      <c r="KL34" s="235">
        <f>各项系数!$F$76/4*($NF34^2-$NE34^2)*10^-2*各项系数!$F$46*10^-3*10^2*各项系数!$J$4*PI()/4*R34</f>
        <v>5.2560871148925416E-2</v>
      </c>
      <c r="KM34" s="102">
        <v>1</v>
      </c>
      <c r="KN34" s="189">
        <f t="shared" si="222"/>
        <v>5.2560871148925416E-2</v>
      </c>
      <c r="KO34" s="189">
        <f>KN34*各项系数!$E$46</f>
        <v>3.5478588025524656</v>
      </c>
      <c r="KP34" s="235">
        <f>各项系数!$F$76/4*($NH34^2-$NE34^2)*10^-2*(VLOOKUP($KP$9,各项系数!$D$1:$F$143,3,0))*10^-3*10^2*各项系数!$J$4</f>
        <v>0.41541463093862324</v>
      </c>
      <c r="KQ34" s="102">
        <v>1</v>
      </c>
      <c r="KR34" s="189">
        <f t="shared" si="150"/>
        <v>0.41541463093862324</v>
      </c>
      <c r="KS34" s="189">
        <f>KR34*(VLOOKUP($KP$9,各项系数!$D$1:$F$143,2,0))</f>
        <v>7.0620487259565952</v>
      </c>
      <c r="KT34" s="235">
        <f>各项系数!$F$76/4*($NI34^2-$NF34^2)*10^-2*(VLOOKUP($KT$9,各项系数!$D$1:$F$143,3,0))*10^-3*10^2*各项系数!$J$4</f>
        <v>0.41708260300937894</v>
      </c>
      <c r="KU34" s="102">
        <v>1</v>
      </c>
      <c r="KV34" s="189">
        <f t="shared" si="151"/>
        <v>0.41708260300937894</v>
      </c>
      <c r="KW34" s="189">
        <f>KV34*(VLOOKUP($KT$9,各项系数!$D$1:$F$143,2,0))</f>
        <v>7.0904042511594421</v>
      </c>
      <c r="KX34" s="189">
        <f>各项系数!$F$76/4*($NH34^2-$NE34^2)*10^-2*(VLOOKUP($KX$9,各项系数!$D$1:$F$143,3,0))*10^-3*10^2*各项系数!$J$4</f>
        <v>0.41541463093862324</v>
      </c>
      <c r="KY34" s="353">
        <v>1</v>
      </c>
      <c r="KZ34" s="189">
        <f t="shared" si="152"/>
        <v>0.41541463093862324</v>
      </c>
      <c r="LA34" s="189">
        <f>KZ34*(VLOOKUP($KX$9,各项系数!$D$1:$F$143,2,0))</f>
        <v>7.0620487259565952</v>
      </c>
      <c r="LB34" s="189">
        <f>各项系数!$F$76/4*($NI34^2-$NF34^2)*10^-2*(VLOOKUP($LB$9,各项系数!$D$1:$F$143,3,0))*10^-3*10^2*各项系数!$J$4</f>
        <v>0.41708260300937894</v>
      </c>
      <c r="LC34" s="353">
        <v>1</v>
      </c>
      <c r="LD34" s="189">
        <f t="shared" si="153"/>
        <v>0.41708260300937894</v>
      </c>
      <c r="LE34" s="189">
        <f>LD34*(VLOOKUP($LB$9,各项系数!$D$1:$F$143,2,0))</f>
        <v>7.0904042511594421</v>
      </c>
      <c r="LF34" s="235">
        <f>各项系数!$F$76/4*($NH34^2-$NE34^2)*10^-2*(VLOOKUP(AN34,各项系数!$D$1:$F$143,3,0))*10^-3*10^2*各项系数!$J$4</f>
        <v>0.42114448791708703</v>
      </c>
      <c r="LG34" s="102">
        <v>1</v>
      </c>
      <c r="LH34" s="189">
        <f t="shared" si="223"/>
        <v>0.42114448791708703</v>
      </c>
      <c r="LI34" s="189">
        <f>LH34*(VLOOKUP(AN34,各项系数!$D$1:$F$143,2,0))</f>
        <v>4.2114448791708705</v>
      </c>
      <c r="LJ34" s="235">
        <f>各项系数!$F$76/4*($NI34^2-$NF34^2)*10^-2*(VLOOKUP(AN34,各项系数!$D$1:$F$143,3,0))*10^-3*10^2*各项系数!$J$4</f>
        <v>0.42283546649916354</v>
      </c>
      <c r="LK34" s="102">
        <v>1</v>
      </c>
      <c r="LL34" s="189">
        <f t="shared" si="224"/>
        <v>0.42283546649916354</v>
      </c>
      <c r="LM34" s="189">
        <f>LL34*(VLOOKUP(AN34,各项系数!$D$1:$F$143,2,0))</f>
        <v>4.2283546649916355</v>
      </c>
      <c r="LN34" s="189">
        <f>各项系数!$F$76/4*($NH34^2-$NE34^2)*10^-2*(VLOOKUP($LN$9,各项系数!$D$1:$F$143,3,0))*10^-3*10^2*各项系数!$J$4</f>
        <v>0.42114448791708703</v>
      </c>
      <c r="LO34" s="353">
        <v>1</v>
      </c>
      <c r="LP34" s="189">
        <f t="shared" si="225"/>
        <v>0.42114448791708703</v>
      </c>
      <c r="LQ34" s="189">
        <f>LP34*(VLOOKUP($LN$9,各项系数!$D$1:$F$143,2,0))</f>
        <v>4.6325893670879577</v>
      </c>
      <c r="LR34" s="189">
        <f>各项系数!$F$76/4*($NI34^2-$NF34^2)*10^-2*(VLOOKUP($LR$9,各项系数!$D$1:$F$143,3,0))*10^-3*10^2*各项系数!$J$4</f>
        <v>0.42283546649916354</v>
      </c>
      <c r="LS34" s="353">
        <v>1</v>
      </c>
      <c r="LT34" s="189">
        <f t="shared" si="226"/>
        <v>0.42283546649916354</v>
      </c>
      <c r="LU34" s="189">
        <f>LT34*(VLOOKUP($LR$9,各项系数!$D$1:$F$143,2,0))</f>
        <v>4.6511901314907993</v>
      </c>
      <c r="LV34" s="227">
        <f t="shared" si="154"/>
        <v>811.73418288000005</v>
      </c>
      <c r="LW34" s="227">
        <f t="shared" si="155"/>
        <v>611.30598957999996</v>
      </c>
      <c r="LX34" s="227">
        <f t="shared" si="156"/>
        <v>27.898726850283278</v>
      </c>
      <c r="LY34" s="227">
        <f t="shared" si="157"/>
        <v>200.42819330000009</v>
      </c>
      <c r="LZ34" s="374">
        <f t="shared" si="86"/>
        <v>1</v>
      </c>
      <c r="MA34" s="375">
        <f t="shared" si="87"/>
        <v>811.73418288000005</v>
      </c>
      <c r="MB34" s="375">
        <f t="shared" si="158"/>
        <v>32.148593460000001</v>
      </c>
      <c r="MC34" s="227">
        <f t="shared" si="159"/>
        <v>0</v>
      </c>
      <c r="MD34" s="227">
        <f t="shared" si="160"/>
        <v>0</v>
      </c>
      <c r="ME34" s="227">
        <f t="shared" si="161"/>
        <v>0</v>
      </c>
      <c r="MF34" s="227">
        <f t="shared" si="162"/>
        <v>0</v>
      </c>
      <c r="MG34" s="374">
        <f t="shared" si="163"/>
        <v>1</v>
      </c>
      <c r="MH34" s="375">
        <f t="shared" si="88"/>
        <v>0</v>
      </c>
      <c r="MI34" s="375">
        <f t="shared" si="164"/>
        <v>0</v>
      </c>
      <c r="MJ34" s="189">
        <f t="shared" si="89"/>
        <v>32.148593460000001</v>
      </c>
      <c r="MK34" s="189">
        <f t="shared" si="165"/>
        <v>32.148593460000001</v>
      </c>
      <c r="ML34" s="189">
        <f t="shared" si="227"/>
        <v>0</v>
      </c>
      <c r="MM34" s="189">
        <f t="shared" si="91"/>
        <v>0</v>
      </c>
      <c r="MN34" s="189">
        <f t="shared" si="92"/>
        <v>36.948593459999998</v>
      </c>
      <c r="MO34" s="189">
        <f t="shared" si="166"/>
        <v>0</v>
      </c>
      <c r="MP34" s="189">
        <f t="shared" si="167"/>
        <v>36.948593459999998</v>
      </c>
      <c r="MQ34" s="189">
        <f t="shared" si="228"/>
        <v>36.948593459999998</v>
      </c>
      <c r="MR34" s="246">
        <f t="shared" si="168"/>
        <v>36.948593459999998</v>
      </c>
      <c r="MS34" s="380">
        <f t="shared" si="94"/>
        <v>36.948593459999998</v>
      </c>
      <c r="MT34" s="380">
        <f t="shared" si="95"/>
        <v>37.108593459999994</v>
      </c>
      <c r="MU34" s="380">
        <f t="shared" si="232"/>
        <v>38.448593459999998</v>
      </c>
      <c r="MV34" s="380">
        <f t="shared" si="97"/>
        <v>41.548593459999999</v>
      </c>
      <c r="MW34" s="380">
        <f t="shared" si="98"/>
        <v>41.708593459999996</v>
      </c>
      <c r="MX34" s="254">
        <f t="shared" si="233"/>
        <v>32.748593460000002</v>
      </c>
      <c r="MY34" s="254">
        <f t="shared" si="100"/>
        <v>0</v>
      </c>
      <c r="MZ34" s="189">
        <f t="shared" si="101"/>
        <v>37.548593459999999</v>
      </c>
      <c r="NA34" s="189">
        <f t="shared" si="102"/>
        <v>0</v>
      </c>
      <c r="NB34" s="189">
        <f t="shared" si="169"/>
        <v>37.548593459999999</v>
      </c>
      <c r="NC34" s="254">
        <f t="shared" si="229"/>
        <v>37.548593459999999</v>
      </c>
      <c r="ND34" s="246">
        <f t="shared" si="234"/>
        <v>37.548593459999999</v>
      </c>
      <c r="NE34" s="386">
        <f t="shared" si="235"/>
        <v>37.548593459999999</v>
      </c>
      <c r="NF34" s="380">
        <f t="shared" si="106"/>
        <v>37.708593459999996</v>
      </c>
      <c r="NG34" s="387">
        <f t="shared" si="236"/>
        <v>39.048593459999999</v>
      </c>
      <c r="NH34" s="254">
        <f t="shared" si="108"/>
        <v>42.148593460000001</v>
      </c>
      <c r="NI34" s="380">
        <f t="shared" si="109"/>
        <v>42.308593459999997</v>
      </c>
      <c r="NK34" s="388">
        <f t="shared" si="110"/>
        <v>6.2694677452764678</v>
      </c>
      <c r="NL34" s="388">
        <f t="shared" si="111"/>
        <v>371.86215888511992</v>
      </c>
      <c r="NM34" s="388">
        <f t="shared" si="112"/>
        <v>6.2694677452764678</v>
      </c>
      <c r="NN34" s="388">
        <f t="shared" si="113"/>
        <v>372.27696220335423</v>
      </c>
      <c r="NO34" s="388">
        <f t="shared" si="114"/>
        <v>6.326404068992316</v>
      </c>
      <c r="NP34" s="388">
        <f t="shared" si="115"/>
        <v>373.11716869280218</v>
      </c>
      <c r="NQ34" s="388">
        <f t="shared" si="116"/>
        <v>6.326404068992316</v>
      </c>
      <c r="NR34" s="388">
        <f t="shared" si="117"/>
        <v>373.53831318071923</v>
      </c>
      <c r="NS34" s="388">
        <f t="shared" si="118"/>
        <v>6.3211905164649762</v>
      </c>
      <c r="NT34" s="388">
        <f t="shared" si="119"/>
        <v>6.3211905164649762</v>
      </c>
      <c r="NU34" s="388">
        <f t="shared" si="120"/>
        <v>6.3789649401412412</v>
      </c>
      <c r="NV34" s="388">
        <f t="shared" si="121"/>
        <v>6.3789649401412412</v>
      </c>
      <c r="NW34">
        <f t="shared" si="122"/>
        <v>6.9606078855568114</v>
      </c>
      <c r="NX34">
        <f>各项系数!$M$9*NK34</f>
        <v>1.8808403235829403</v>
      </c>
      <c r="NY34">
        <f t="shared" si="123"/>
        <v>6.3211905164649771</v>
      </c>
      <c r="OB34" s="66" t="str">
        <f t="shared" si="124"/>
        <v>1*630</v>
      </c>
      <c r="OC34" s="395">
        <f t="shared" si="125"/>
        <v>357.20659441456399</v>
      </c>
      <c r="OD34" s="395">
        <f>SQRT(4*EY34/PI()/EH34/各项系数!$J$4/各项系数!$F$5*10000000)</f>
        <v>362.52509930492857</v>
      </c>
      <c r="OE34" s="396">
        <f t="shared" si="126"/>
        <v>611.30599099537608</v>
      </c>
      <c r="OF34" s="396">
        <f t="shared" si="127"/>
        <v>629.64517072523711</v>
      </c>
      <c r="OG34" s="66">
        <v>626.29999999999995</v>
      </c>
      <c r="OH34" s="397">
        <f t="shared" si="186"/>
        <v>3.3451707252371534</v>
      </c>
    </row>
    <row r="35" spans="1:398" ht="15" hidden="1" customHeight="1">
      <c r="A35" s="50">
        <v>800</v>
      </c>
      <c r="B35" s="51">
        <v>0</v>
      </c>
      <c r="C35" s="52">
        <v>2.6</v>
      </c>
      <c r="D35" s="58" t="s">
        <v>290</v>
      </c>
      <c r="E35" s="63">
        <f t="shared" si="240"/>
        <v>46.57969542</v>
      </c>
      <c r="F35" s="64">
        <v>404.21883750578098</v>
      </c>
      <c r="G35" s="58"/>
      <c r="H35" s="16"/>
      <c r="I35" s="62"/>
      <c r="J35" s="16"/>
      <c r="K35" s="16"/>
      <c r="L35" s="97" t="s">
        <v>467</v>
      </c>
      <c r="M35" s="103">
        <f t="shared" si="2"/>
        <v>2.6</v>
      </c>
      <c r="N35" s="103">
        <f t="shared" si="3"/>
        <v>0</v>
      </c>
      <c r="O35" s="16"/>
      <c r="P35" s="99">
        <v>0.1</v>
      </c>
      <c r="Q35" s="136">
        <f t="shared" si="248"/>
        <v>0.1</v>
      </c>
      <c r="R35" s="143">
        <v>0.8</v>
      </c>
      <c r="S35" s="144" t="str">
        <f>各项系数!$D$44</f>
        <v>磁性钢带</v>
      </c>
      <c r="T35" s="62">
        <v>0.5</v>
      </c>
      <c r="U35" s="62">
        <v>2</v>
      </c>
      <c r="V35" s="143"/>
      <c r="W35" s="145">
        <v>2.5</v>
      </c>
      <c r="X35" s="135">
        <f t="shared" si="249"/>
        <v>0.2</v>
      </c>
      <c r="Y35" s="135"/>
      <c r="Z35" s="168"/>
      <c r="AA35" s="153">
        <v>1.03</v>
      </c>
      <c r="AB35" s="153">
        <f>PI()*EJ35*EJ35/4*EH35*(1-H35)*AA35*各项系数!$F$5*各项系数!$J$4*10^-7</f>
        <v>7.1320582293852581</v>
      </c>
      <c r="AC35" s="153">
        <f t="shared" si="241"/>
        <v>404.21883750578098</v>
      </c>
      <c r="AD35" s="153">
        <f t="shared" si="5"/>
        <v>806.28770730878898</v>
      </c>
      <c r="AE35" s="170">
        <f>POWER(4*EU35/PI()/EG35/10^-7/EH35/(1-H35)/各项系数!$F$5/各项系数!$J$4,0.5)</f>
        <v>410.23731504138033</v>
      </c>
      <c r="AF35" s="69">
        <v>1</v>
      </c>
      <c r="AG35" s="69">
        <v>0</v>
      </c>
      <c r="AH35" s="69">
        <f t="shared" si="242"/>
        <v>0</v>
      </c>
      <c r="AI35" s="69">
        <f t="shared" si="128"/>
        <v>0</v>
      </c>
      <c r="AJ35" s="69">
        <f>IF(OR(EP35="",EP35=0),0,POWER(4*EW35/PI()/EO35/10^-7/EP35/(1-K35)/各项系数!$F$5/各项系数!$J$4,0.5))</f>
        <v>0</v>
      </c>
      <c r="AK35" s="69" t="str">
        <f t="shared" si="8"/>
        <v>√</v>
      </c>
      <c r="AL35" s="69">
        <f t="shared" si="243"/>
        <v>489.92837254662714</v>
      </c>
      <c r="AM35" s="106">
        <f t="shared" si="244"/>
        <v>800</v>
      </c>
      <c r="AN35" s="97" t="s">
        <v>486</v>
      </c>
      <c r="AO35" s="196">
        <f>AP35+各项系数!$M$9*$NK35</f>
        <v>480.32193386924229</v>
      </c>
      <c r="AP35" s="196">
        <f>AQ35*(1+$BI35+(VLOOKUP($AM35,$A$12:$B$323,2,0))+各项系数!$J$6+各项系数!$M$5)*(1+$E$2)</f>
        <v>477.92586118429995</v>
      </c>
      <c r="AQ35" s="197">
        <f>AR35+各项系数!$L$9*$NK35</f>
        <v>487.6794501880612</v>
      </c>
      <c r="AR35" s="197">
        <f>AS35*(1+$BJ35+各项系数!$J$5+各项系数!$L$5)</f>
        <v>485.28337750311886</v>
      </c>
      <c r="AS35" s="197">
        <f t="shared" si="129"/>
        <v>475.76801715992042</v>
      </c>
      <c r="AT35" s="196">
        <f>AU35+各项系数!$M$9*$NM35</f>
        <v>483.74804049924614</v>
      </c>
      <c r="AU35" s="196">
        <f>AV35*(1+$BI35+(VLOOKUP($AM35,$A$12:$B$323,2,0))+各项系数!$J$6+各项系数!$M$5)*(1+$E$2)</f>
        <v>481.3519678143038</v>
      </c>
      <c r="AV35" s="197">
        <f>AW35+各项系数!$L$9*$NM35</f>
        <v>491.17547736153449</v>
      </c>
      <c r="AW35" s="197">
        <f>AX35*(1+$BJ35+各项系数!$J$5+各项系数!$L$5)</f>
        <v>488.77940467659215</v>
      </c>
      <c r="AX35" s="197">
        <f t="shared" si="130"/>
        <v>479.19549478097269</v>
      </c>
      <c r="AY35" s="196">
        <f>AZ35+各项系数!$M$9*$NS35</f>
        <v>484.30123765560103</v>
      </c>
      <c r="AZ35" s="196">
        <f>BA35*(1+$BI35+(VLOOKUP($AM35,$A$12:$B$214,2,0))+各项系数!$J$6+各项系数!$M$5)*(1+$E$2)</f>
        <v>481.88770747611744</v>
      </c>
      <c r="BA35" s="197">
        <f>BB35+各项系数!$L$9*$NS35</f>
        <v>491.72215048583411</v>
      </c>
      <c r="BB35" s="197">
        <f>BC35*(1+$BJ35+各项系数!$J$5+各项系数!$L$5)</f>
        <v>489.30862030635052</v>
      </c>
      <c r="BC35" s="199">
        <f t="shared" si="131"/>
        <v>479.71433363367697</v>
      </c>
      <c r="BD35" s="196">
        <f>BE35+各项系数!$M$9*$NS35</f>
        <v>487.7397803302639</v>
      </c>
      <c r="BE35" s="196">
        <f>BF35*(1+$BI35+(VLOOKUP($AM35,$A$12:$B$214,2,0))+各项系数!$J$6+各项系数!$M$5)*(1+$E$2)</f>
        <v>485.32625015078031</v>
      </c>
      <c r="BF35" s="197">
        <f>BG35+各项系数!$L$9*$NS35</f>
        <v>495.23086750079625</v>
      </c>
      <c r="BG35" s="197">
        <f>BH35*(1+$BJ35+各项系数!$J$5+各项系数!$L$5)</f>
        <v>492.81733732131266</v>
      </c>
      <c r="BH35" s="199">
        <f t="shared" si="132"/>
        <v>483.15425227579669</v>
      </c>
      <c r="BI35" s="51"/>
      <c r="BJ35" s="208"/>
      <c r="BK35" s="53"/>
      <c r="BL35" s="196">
        <f>BM35+各项系数!$M$9*$NM35</f>
        <v>485.49559139104917</v>
      </c>
      <c r="BM35" s="196">
        <f>BN35*(1+$CF35+(VLOOKUP($AM35,$A$12:$B$323,2,0))+各项系数!$J$6+各项系数!$M$5)*(1+$E$2)</f>
        <v>483.09951870610683</v>
      </c>
      <c r="BN35" s="197">
        <f>BO35+各项系数!$L$9*$NM35</f>
        <v>492.95869255725188</v>
      </c>
      <c r="BO35" s="197">
        <f>BP35*(1+$CG35+各项系数!$J$5+各项系数!$L$5)</f>
        <v>490.56261987230954</v>
      </c>
      <c r="BP35" s="197">
        <f t="shared" si="133"/>
        <v>476.27438822554325</v>
      </c>
      <c r="BQ35" s="196">
        <f>BR35+各项系数!$M$9*$NM35</f>
        <v>488.44415634809968</v>
      </c>
      <c r="BR35" s="196">
        <f>BS35*(1+$CF35+(VLOOKUP($AM35,$A$12:$B$323,2,0))+各项系数!$J$6+各项系数!$M$5)*(1+$E$2)</f>
        <v>486.04808366315734</v>
      </c>
      <c r="BS35" s="197">
        <f>BT35+各项系数!$L$9*$NM35</f>
        <v>495.96743230934425</v>
      </c>
      <c r="BT35" s="197">
        <f>BU35*(1+$CG35+各项系数!$J$5+各项系数!$L$5)</f>
        <v>493.57135962440191</v>
      </c>
      <c r="BU35" s="197">
        <f t="shared" si="134"/>
        <v>479.19549478097269</v>
      </c>
      <c r="BV35" s="196">
        <f>BW35+各项系数!$M$9*$NT35</f>
        <v>487.1582629356364</v>
      </c>
      <c r="BW35" s="196">
        <f>BX35*(1+$CF35+(VLOOKUP($AM35,$A$12:$B$214,2,0))+各项系数!$J$6+各项系数!$M$5)*(1+$E$2)</f>
        <v>484.74473275615281</v>
      </c>
      <c r="BX35" s="197">
        <f>BY35+各项系数!$L$9*$NT$12</f>
        <v>494.63748240423757</v>
      </c>
      <c r="BY35" s="197">
        <f>BZ35*(1+$CG35+各项系数!$J$5+各项系数!$L$5)</f>
        <v>494.62921900108262</v>
      </c>
      <c r="BZ35" s="199">
        <f t="shared" si="11"/>
        <v>480.22254271949765</v>
      </c>
      <c r="CA35" s="196">
        <f>CB35+各项系数!$M$9*$NT35</f>
        <v>490.11753056176462</v>
      </c>
      <c r="CB35" s="196">
        <f>CC35*(1+$CF35+(VLOOKUP($AM35,$A$12:$B$214,2,0))+各项系数!$J$6+各项系数!$M$5)*(1+$E$2)</f>
        <v>487.70400038228104</v>
      </c>
      <c r="CC35" s="197">
        <f>CD35+各项系数!$L$9*$NT$12</f>
        <v>497.65714324722558</v>
      </c>
      <c r="CD35" s="197">
        <f>CE35*(1+$CG35+各项系数!$J$5+各项系数!$L$5)</f>
        <v>497.64887984407062</v>
      </c>
      <c r="CE35" s="199">
        <f t="shared" si="135"/>
        <v>483.15425227579669</v>
      </c>
      <c r="CF35" s="213">
        <f t="shared" si="136"/>
        <v>0</v>
      </c>
      <c r="CG35" s="213">
        <f t="shared" si="12"/>
        <v>0.01</v>
      </c>
      <c r="CH35" s="106"/>
      <c r="CI35" s="196">
        <f>CJ35+各项系数!$M$9*$NO35</f>
        <v>484.16889359208818</v>
      </c>
      <c r="CJ35" s="196">
        <f>CK35*(1+$DC35+(VLOOKUP($AM35,$A$12:$B$323,2,0))+各项系数!$J$6+各项系数!$M$5)*(1+$E$2)+各项系数!$M$9*$NK35</f>
        <v>481.75366530170612</v>
      </c>
      <c r="CK35" s="197">
        <f>CL35+各项系数!$L$9*$NO35</f>
        <v>489.14040062935078</v>
      </c>
      <c r="CL35" s="197">
        <f>CM35*(1+$DD35+各项系数!$J$5+各项系数!$L$5)</f>
        <v>486.72517233896872</v>
      </c>
      <c r="CM35" s="197">
        <f t="shared" si="13"/>
        <v>477.18154150879286</v>
      </c>
      <c r="CN35" s="196">
        <f>CO35+各项系数!$M$9*$NO35</f>
        <v>487.52610203497335</v>
      </c>
      <c r="CO35" s="196">
        <f>CP35*(1+$DC35+(VLOOKUP($AM35,$A$12:$B$323,2,0))+各项系数!$J$6+各项系数!$M$5)*(1+$E$2)+各项系数!$M$9*$NK35</f>
        <v>485.11087374459129</v>
      </c>
      <c r="CP35" s="197">
        <f>CQ35+各项系数!$L$9*$NO35</f>
        <v>492.56612353025406</v>
      </c>
      <c r="CQ35" s="197">
        <f>CR35*(1+$DD35+各项系数!$J$5+各项系数!$L$5)</f>
        <v>490.150895239872</v>
      </c>
      <c r="CR35" s="197">
        <f t="shared" si="14"/>
        <v>480.54009337242354</v>
      </c>
      <c r="CS35" s="196">
        <f>CT35+各项系数!$M$9*$NU35</f>
        <v>485.8091716435103</v>
      </c>
      <c r="CT35" s="196">
        <f t="shared" si="15"/>
        <v>483.37623442859888</v>
      </c>
      <c r="CU35" s="197">
        <f>CV35+各项系数!$L$9*$NU35</f>
        <v>493.24105553938659</v>
      </c>
      <c r="CV35" s="197">
        <f>CW35*(1+$DD35+各项系数!$J$5+各项系数!$L$5)</f>
        <v>490.80811832447517</v>
      </c>
      <c r="CW35" s="199">
        <f t="shared" si="16"/>
        <v>481.18442972987759</v>
      </c>
      <c r="CX35" s="196">
        <f>CY35+各项系数!$M$9*$NU35</f>
        <v>489.29434948564455</v>
      </c>
      <c r="CY35" s="196">
        <f t="shared" si="17"/>
        <v>486.86141227073313</v>
      </c>
      <c r="CZ35" s="197">
        <f>DA35+各项系数!$L$9*$NU35</f>
        <v>496.79735945993178</v>
      </c>
      <c r="DA35" s="197">
        <f>DB35*(1+$DD35+各项系数!$J$5+各项系数!$L$5)</f>
        <v>494.36442224502036</v>
      </c>
      <c r="DB35" s="199">
        <f t="shared" si="18"/>
        <v>484.67100220100036</v>
      </c>
      <c r="DC35" s="213">
        <f>BI35+$DC$2</f>
        <v>0</v>
      </c>
      <c r="DD35" s="213">
        <f t="shared" si="19"/>
        <v>0</v>
      </c>
      <c r="DE35" s="78"/>
      <c r="DF35" s="78"/>
      <c r="DG35" s="196">
        <f>DH35+各项系数!$M$9*$NQ35</f>
        <v>489.36336101846814</v>
      </c>
      <c r="DH35" s="196">
        <f>DI35*(1+$EA35+(VLOOKUP($AM35,$A$12:$B$323,2,0))+各项系数!$J$6+各项系数!$M$5)*(1+$E$2)+各项系数!$M$9*$NK35</f>
        <v>486.94813272808608</v>
      </c>
      <c r="DI35" s="197">
        <f>DJ35+各项系数!$L$9*$NQ35</f>
        <v>494.44087759504464</v>
      </c>
      <c r="DJ35" s="197">
        <f>DK35*(1+$EB35+各项系数!$J$5+各项系数!$L$5)</f>
        <v>492.02564930466258</v>
      </c>
      <c r="DK35" s="197">
        <f t="shared" si="20"/>
        <v>477.69480515015783</v>
      </c>
      <c r="DL35" s="196">
        <f>DM35+各项系数!$M$9*$NQ35</f>
        <v>492.35206098456018</v>
      </c>
      <c r="DM35" s="196">
        <f>DN35*(1+$EA35+(VLOOKUP($AM35,$A$12:$B$323,2,0))+各项系数!$J$6+各项系数!$M$5)*(1+$E$2)+各项系数!$M$9*$NK35</f>
        <v>489.93683269417812</v>
      </c>
      <c r="DN35" s="197">
        <f>DO35+各项系数!$L$9*$NQ35</f>
        <v>497.4905714379957</v>
      </c>
      <c r="DO35" s="197">
        <f>DP35*(1+$EB35+各项系数!$J$5+各项系数!$L$5)</f>
        <v>495.07534314761364</v>
      </c>
      <c r="DP35" s="197">
        <f t="shared" si="21"/>
        <v>480.65567295884819</v>
      </c>
      <c r="DQ35" s="196">
        <f>DR35+各项系数!$M$9*$NV35</f>
        <v>491.0447226720446</v>
      </c>
      <c r="DR35" s="196">
        <f t="shared" si="22"/>
        <v>488.61178545713318</v>
      </c>
      <c r="DS35" s="197">
        <f>DT35+各项系数!$L$9*$NV35</f>
        <v>498.58345454809506</v>
      </c>
      <c r="DT35" s="197">
        <f>DU35*(1+$EB35+各项系数!$J$5+各项系数!$L$5)</f>
        <v>496.15051733318364</v>
      </c>
      <c r="DU35" s="199">
        <f t="shared" si="23"/>
        <v>481.69953139144042</v>
      </c>
      <c r="DV35" s="196">
        <f>DW35+各项系数!$M$9*$NV35</f>
        <v>490.40099331198434</v>
      </c>
      <c r="DW35" s="196">
        <f t="shared" si="24"/>
        <v>487.96805609707292</v>
      </c>
      <c r="DX35" s="197">
        <f>DY35+各项系数!$L$9*$NV35</f>
        <v>497.92658785415603</v>
      </c>
      <c r="DY35" s="197">
        <f>DZ35*(1+$EB35+各项系数!$J$5+各项系数!$L$5)</f>
        <v>495.49365063924461</v>
      </c>
      <c r="DZ35" s="199">
        <f t="shared" si="25"/>
        <v>481.06179673713069</v>
      </c>
      <c r="EA35" s="213">
        <f t="shared" si="230"/>
        <v>0</v>
      </c>
      <c r="EB35" s="213">
        <f t="shared" si="27"/>
        <v>0.01</v>
      </c>
      <c r="EC35" s="235">
        <f t="shared" si="138"/>
        <v>1</v>
      </c>
      <c r="ED35" s="237" t="str">
        <f t="shared" si="180"/>
        <v>1*800</v>
      </c>
      <c r="EE35" s="189">
        <f t="shared" si="239"/>
        <v>800</v>
      </c>
      <c r="EF35" s="78" t="str">
        <f>LOOKUP(EH35,{1,7,10,14,19,24,30,37,48,61},{1,"1+6","2+8","4+10","1+6+12","2+8+14","4+10+16","1+6+12+18","3+9+15+21","1+6+12+18+24"})</f>
        <v>1+6+12+18+24</v>
      </c>
      <c r="EG35" s="188">
        <f t="shared" si="29"/>
        <v>1</v>
      </c>
      <c r="EH35" s="197">
        <f>VLOOKUP(EE35,各项系数!$B$87:$C$110,2,0)</f>
        <v>61</v>
      </c>
      <c r="EI35" s="188">
        <f>IF(EH35=0,0,VLOOKUP(EH35,各项系数!$D$142:$E$195,2,0))*1</f>
        <v>9</v>
      </c>
      <c r="EJ35" s="238">
        <f t="shared" si="141"/>
        <v>404.21883750578098</v>
      </c>
      <c r="EK35" s="78">
        <f t="shared" si="245"/>
        <v>0</v>
      </c>
      <c r="EL35" s="189">
        <f t="shared" si="31"/>
        <v>0</v>
      </c>
      <c r="EM35" s="78">
        <f t="shared" si="182"/>
        <v>0</v>
      </c>
      <c r="EN35" s="78">
        <f>IF(EP35=0,0,LOOKUP(EP35,{1,7,10,14,19,24,30,37,48,61},{1,"1+6","2+8","4+10","1+6+12","2+8+14","4+10+16","1+6+12+18","3+9+15+21","1+6+12+18+24"}))</f>
        <v>0</v>
      </c>
      <c r="EO35" s="78">
        <f t="shared" si="246"/>
        <v>0</v>
      </c>
      <c r="EP35" s="78">
        <f>IF(EM35=0,0,IF(EM35&lt;10,1,IF(AND(EM35&gt;=10,EM35&lt;=35),7,LOOKUP(EM35,{50,70,95,120,150,185,240,300},{10,14,19,24,30,37,48,61})*1)))</f>
        <v>0</v>
      </c>
      <c r="EQ35" s="189">
        <f>IF(EP35=0,0,VLOOKUP(EP35,各项系数!$D$142:$E$195,2,0))*1</f>
        <v>0</v>
      </c>
      <c r="ER35" s="78">
        <f t="shared" si="247"/>
        <v>0</v>
      </c>
      <c r="ES35" s="237">
        <f t="shared" si="185"/>
        <v>1</v>
      </c>
      <c r="ET35" s="189">
        <f>VLOOKUP(ES35,各项系数!$D$142:$E$195,2,0)*1</f>
        <v>1</v>
      </c>
      <c r="EU35" s="243">
        <f>((各项系数!$F$76/4*$EJ35^2*$EG35*$EH35*1*10^-7)*(1-$H35)*AA35)*(VLOOKUP($EY$9,各项系数!$D$4:$F$143,3,0))*各项系数!$J$4</f>
        <v>7.1320582293852581</v>
      </c>
      <c r="EV35" s="244">
        <f>EU35*(VLOOKUP($EY$9,各项系数!$D$4:$F$143,2,0))</f>
        <v>467.14981402473438</v>
      </c>
      <c r="EW35" s="252">
        <f>(IF($EO35=0,0,(各项系数!$F$76/4*$ER35^2*$EO35*$EP35*1*10^-7))*(1-$K35)*$AF35)*(VLOOKUP($EY$9,各项系数!$D$4:$F$143,3,0))*各项系数!$J$4</f>
        <v>0</v>
      </c>
      <c r="EX35" s="253">
        <f>EW35*(VLOOKUP($EY$9,各项系数!$D$4:$F$143,2,0))</f>
        <v>0</v>
      </c>
      <c r="EY35" s="189">
        <f>((各项系数!$F$76/4*$EJ35^2*$EG35*$EH35*1*10^-7)*(1-$H35)*AA35+IF($EO35=0,0,(各项系数!$F$76/4*$ER35^2*$EO35*$EP35*1*10^-7))*(1-$K35)*$AF35)*(VLOOKUP($EY$9,各项系数!$D$4:$F$143,3,0))*各项系数!$J$4</f>
        <v>7.1320582293852581</v>
      </c>
      <c r="EZ35" s="102">
        <v>1</v>
      </c>
      <c r="FA35" s="189">
        <f t="shared" si="188"/>
        <v>7.1320582293852581</v>
      </c>
      <c r="FB35" s="254">
        <f>FA35*(VLOOKUP($EY$9,各项系数!$D$4:$F$143,2,0))</f>
        <v>467.14981402473438</v>
      </c>
      <c r="FC35" s="257"/>
      <c r="FD35" s="235">
        <f>各项系数!$F$76/4*($MN35^2-MK35^2)*10^-2*(VLOOKUP(L35,各项系数!$D$1:$F$143,3,0))*10^-3*10^2*$EG35*各项系数!$J$4</f>
        <v>0.34847965479980969</v>
      </c>
      <c r="FE35" s="262">
        <f>FD35*VLOOKUP(L35,各项系数!$D$1:$F$143,2,0)</f>
        <v>3.5544924789580588</v>
      </c>
      <c r="FF35" s="188">
        <f>各项系数!$F$76/4*($MO35^2-ML35^2)*10^-2*(VLOOKUP(L35,各项系数!$D$1:$F$143,3,0))*10^-3*10^2*$EO35*各项系数!$J$4</f>
        <v>0</v>
      </c>
      <c r="FG35" s="262">
        <f>FF35*VLOOKUP(L35,各项系数!$D$1:$F$143,2,0)</f>
        <v>0</v>
      </c>
      <c r="FH35" s="235">
        <f t="shared" si="142"/>
        <v>0.34847965479980969</v>
      </c>
      <c r="FI35" s="102">
        <v>1</v>
      </c>
      <c r="FJ35" s="189">
        <f t="shared" si="189"/>
        <v>0.34847965479980969</v>
      </c>
      <c r="FK35" s="262">
        <f>FJ35*VLOOKUP(L35,各项系数!$D$1:$F$143,2,0)</f>
        <v>3.5544924789580588</v>
      </c>
      <c r="FL35" s="237"/>
      <c r="FM35" s="106"/>
      <c r="FN35" s="189"/>
      <c r="FO35" s="262"/>
      <c r="FP35" s="282">
        <f t="shared" si="190"/>
        <v>0.34847965479980969</v>
      </c>
      <c r="FQ35" s="282">
        <f t="shared" si="191"/>
        <v>3.5544924789580588</v>
      </c>
      <c r="FR35" s="283">
        <f>各项系数!$F$76/4*($MQ35^2-$MN35^2*$EG35-$MO35^2*$EO35)*10^-2</f>
        <v>0</v>
      </c>
      <c r="FS35" s="284">
        <f t="shared" si="143"/>
        <v>1</v>
      </c>
      <c r="FT35" s="285">
        <f t="shared" si="40"/>
        <v>0</v>
      </c>
      <c r="FU35" s="302">
        <f>$FT35*(VLOOKUP($FT$9,各项系数!$D$1:$F$143,3,0))*10^-3*10^2*各项系数!$J$55</f>
        <v>0</v>
      </c>
      <c r="FV35" s="303">
        <v>1</v>
      </c>
      <c r="FW35" s="304">
        <f t="shared" si="192"/>
        <v>0</v>
      </c>
      <c r="FX35" s="285">
        <f>FW35*(VLOOKUP($FT$9,各项系数!$D$1:$F$143,2,0))</f>
        <v>0</v>
      </c>
      <c r="FY35" s="302">
        <f>IF($BK35&lt;&gt;$FY$9,0,各项系数!$F$76/4*($MS35^2-$MQ35^2)*10^-2*(VLOOKUP($FY$9,各项系数!$D$1:$F$143,3,0))*10^-3*10^2)*各项系数!$J$4</f>
        <v>0</v>
      </c>
      <c r="FZ35" s="303">
        <v>1</v>
      </c>
      <c r="GA35" s="304">
        <f t="shared" si="193"/>
        <v>0</v>
      </c>
      <c r="GB35" s="285">
        <f>GA35*(VLOOKUP($FY$9,各项系数!$D$1:$F$143,2,0))</f>
        <v>0</v>
      </c>
      <c r="GC35" s="302">
        <f>IF($BK35&lt;&gt;$GC$9,0,各项系数!$F$76/4*($MS35^2-$MQ35^2)*10^-2*(VLOOKUP($GC$9,各项系数!$D$1:$F$143,3,0))*10^-3*10^2)*各项系数!$J$4</f>
        <v>0</v>
      </c>
      <c r="GD35" s="303">
        <v>1</v>
      </c>
      <c r="GE35" s="304">
        <f t="shared" si="194"/>
        <v>0</v>
      </c>
      <c r="GF35" s="285">
        <f>GE35*(VLOOKUP($GC$9,各项系数!$D$1:$F$143,2,0))</f>
        <v>0</v>
      </c>
      <c r="GG35" s="302">
        <f>IF($BK35&lt;&gt;$GG$9,0,各项系数!$F$76/4*($MS35^2-$MQ35^2)*10^-2*(VLOOKUP($GG$9,各项系数!$D$1:$F$143,3,0))*10^-3*10^2)*各项系数!$J$4</f>
        <v>0</v>
      </c>
      <c r="GH35" s="303">
        <v>1</v>
      </c>
      <c r="GI35" s="304">
        <f t="shared" si="195"/>
        <v>0</v>
      </c>
      <c r="GJ35" s="285">
        <f>GI35*(VLOOKUP($GG$9,各项系数!$D$1:$F$143,2,0))</f>
        <v>0</v>
      </c>
      <c r="GK35" s="302">
        <f>IF($BK35&lt;&gt;$GK$9,0,各项系数!$F$76/4*($MS35^2-$MQ35^2)*10^-2*(VLOOKUP($GK$9,各项系数!$D$1:$F$143,3,0))*10^-3*10^2)*各项系数!$J$4</f>
        <v>0</v>
      </c>
      <c r="GL35" s="303">
        <v>1</v>
      </c>
      <c r="GM35" s="304">
        <f t="shared" si="196"/>
        <v>0</v>
      </c>
      <c r="GN35" s="285">
        <f>GM35*(VLOOKUP($GK$9,各项系数!$D$1:$F$143,2,0))</f>
        <v>0</v>
      </c>
      <c r="GO35" s="304">
        <f t="shared" si="197"/>
        <v>0</v>
      </c>
      <c r="GP35" s="304">
        <f t="shared" si="198"/>
        <v>0</v>
      </c>
      <c r="GQ35" s="315">
        <f>各项系数!$F$76/4*($MU35^2-$MS35^2)*10^-2*(VLOOKUP($S35,各项系数!$D$1:$F$143,3,0))*10^-3*10^2*各项系数!$J$4</f>
        <v>0.77604358533017392</v>
      </c>
      <c r="GR35" s="303">
        <v>1</v>
      </c>
      <c r="GS35" s="304">
        <f t="shared" si="199"/>
        <v>0.77604358533017392</v>
      </c>
      <c r="GT35" s="304">
        <f t="shared" si="200"/>
        <v>0</v>
      </c>
      <c r="GU35" s="304">
        <f>ROUND($GS35*(VLOOKUP($S35,各项系数!$D$1:$F$143,2,0))+$E$3*GS35,GT35)</f>
        <v>8</v>
      </c>
      <c r="GV35" s="315">
        <f>各项系数!$F$76/4*($MT35^2-$MS35^2)*10^-2*(VLOOKUP($GV$9,各项系数!$D$1:$F$143,3,0))*10^-3*10^2*各项系数!$J$4*PI()/4*R35</f>
        <v>5.8191648470776736E-2</v>
      </c>
      <c r="GW35" s="303">
        <v>1</v>
      </c>
      <c r="GX35" s="304">
        <f t="shared" si="201"/>
        <v>5.8191648470776736E-2</v>
      </c>
      <c r="GY35" s="304">
        <f>$GX35*(VLOOKUP($GV$9,各项系数!$D$1:$F$143,2,0))</f>
        <v>3.9279362717774298</v>
      </c>
      <c r="GZ35" s="315">
        <f>各项系数!$F$76/4*($MV35^2-$MS35^2)*10^-2*(VLOOKUP($GZ$9,各项系数!$D$1:$F$143,3,0))*10^-3*10^2*各项系数!$J$4</f>
        <v>0.49948166336942623</v>
      </c>
      <c r="HA35" s="303">
        <v>1</v>
      </c>
      <c r="HB35" s="304">
        <f t="shared" si="144"/>
        <v>0.49948166336942623</v>
      </c>
      <c r="HC35" s="304">
        <f>HB35*(VLOOKUP($GZ$9,各项系数!$D$1:$F$143,2,0))</f>
        <v>8.4911882772802461</v>
      </c>
      <c r="HD35" s="315">
        <f>各项系数!$F$76/4*($MW35^2-$MT35^2)*10^-2*(VLOOKUP($HD$9,各项系数!$D$1:$F$143,3,0))*10^-3*10^2*各项系数!$J$4</f>
        <v>0.50129467648981285</v>
      </c>
      <c r="HE35" s="303">
        <v>1</v>
      </c>
      <c r="HF35" s="304">
        <f t="shared" si="145"/>
        <v>0.50129467648981285</v>
      </c>
      <c r="HG35" s="304">
        <f>HF35*(VLOOKUP($HD$9,各项系数!$D$1:$F$143,2,0))</f>
        <v>8.5220095003268188</v>
      </c>
      <c r="HH35" s="315">
        <f>各项系数!$F$76/4*($MV35^2-$MS35^2)*10^-2*(VLOOKUP($HH$9,各项系数!$D$1:$F$143,3,0))*10^-3*10^2*各项系数!$J$4</f>
        <v>0.49948166336942623</v>
      </c>
      <c r="HI35" s="322">
        <v>1</v>
      </c>
      <c r="HJ35" s="304">
        <f t="shared" si="146"/>
        <v>0.49948166336942623</v>
      </c>
      <c r="HK35" s="304">
        <f>HJ35*(VLOOKUP($HH$9,各项系数!$D$1:$F$143,2,0))</f>
        <v>8.4911882772802461</v>
      </c>
      <c r="HL35" s="315">
        <f>各项系数!$F$76/4*($MW35^2-$MT35^2)*10^-2*(VLOOKUP($HL$9,各项系数!$D$1:$F$143,3,0))*10^-3*10^2*各项系数!$J$4</f>
        <v>0.50129467648981285</v>
      </c>
      <c r="HM35" s="322">
        <v>1</v>
      </c>
      <c r="HN35" s="304">
        <f t="shared" si="147"/>
        <v>0.50129467648981285</v>
      </c>
      <c r="HO35" s="304">
        <f>HN35*(VLOOKUP($HL$9,各项系数!$D$1:$F$143,2,0))</f>
        <v>8.5220095003268188</v>
      </c>
      <c r="HP35" s="315">
        <f>各项系数!$F$76/4*($MV35^2-$MS35^2)*10^-2*(VLOOKUP(AN35,各项系数!$D$1:$F$143,3,0))*10^-3*10^2*各项系数!$J$4</f>
        <v>0.50637106562279766</v>
      </c>
      <c r="HQ35" s="303">
        <v>1</v>
      </c>
      <c r="HR35" s="304">
        <f t="shared" si="202"/>
        <v>0.50637106562279766</v>
      </c>
      <c r="HS35" s="304">
        <f>HR35*(VLOOKUP(AN35,各项系数!$D$1:$F$143,2,0))</f>
        <v>5.0637106562279763</v>
      </c>
      <c r="HT35" s="315">
        <f>各项系数!$F$76/4*($MW35^2-$MT35^2)*10^-2*(VLOOKUP(AN35,各项系数!$D$1:$F$143,3,0))*10^-3*10^2*各项系数!$J$4</f>
        <v>0.50820908582070679</v>
      </c>
      <c r="HU35" s="303">
        <v>1</v>
      </c>
      <c r="HV35" s="304">
        <f t="shared" si="203"/>
        <v>0.50820908582070679</v>
      </c>
      <c r="HW35" s="304">
        <f>HV35*(VLOOKUP(AN35,各项系数!$D$1:$F$143,2,0))</f>
        <v>5.0820908582070681</v>
      </c>
      <c r="HX35" s="315">
        <f>各项系数!$F$76/4*($MV35^2-$MS35^2)*10^-2*(VLOOKUP($HX$9,各项系数!$D$1:$F$143,3,0))*10^-3*10^2*各项系数!$J$4</f>
        <v>0.50637106562279766</v>
      </c>
      <c r="HY35" s="322">
        <v>1</v>
      </c>
      <c r="HZ35" s="304">
        <f t="shared" si="204"/>
        <v>0.50637106562279766</v>
      </c>
      <c r="IA35" s="304">
        <f>HZ35*(VLOOKUP($HX$9,各项系数!$D$1:$F$143,2,0))</f>
        <v>5.5700817218507739</v>
      </c>
      <c r="IB35" s="315">
        <f>各项系数!$F$76/4*($MW35^2-$MT35^2)*10^-2*(VLOOKUP($IB$9,各项系数!$D$1:$F$143,3,0))*10^-3*10^2*各项系数!$J$4</f>
        <v>0.50820908582070679</v>
      </c>
      <c r="IC35" s="322">
        <v>1</v>
      </c>
      <c r="ID35" s="304">
        <f t="shared" si="205"/>
        <v>0.50820908582070679</v>
      </c>
      <c r="IE35" s="304">
        <f>ID35*(VLOOKUP($IB$9,各项系数!$D$1:$F$143,2,0))</f>
        <v>5.590299944027775</v>
      </c>
      <c r="IF35" s="309"/>
      <c r="IG35" s="315">
        <f t="shared" si="148"/>
        <v>5.1595424261571071E-2</v>
      </c>
      <c r="IH35" s="303">
        <v>1</v>
      </c>
      <c r="II35" s="304">
        <f t="shared" si="206"/>
        <v>5.1595424261571071E-2</v>
      </c>
      <c r="IJ35" s="304">
        <f>II35*(VLOOKUP($IG$8,各项系数!$D$1:$F$143,2,0))</f>
        <v>1.2898856065392768</v>
      </c>
      <c r="IK35" s="315">
        <f>(各项系数!$F$76/4*($MX35^2-$MK35^2)*$EG35)*10^-2*(VLOOKUP($IG$8,各项系数!$D$1:$F$143,3,0))*10^-3*10^2*各项系数!$J$4</f>
        <v>5.1595424261571071E-2</v>
      </c>
      <c r="IL35" s="303">
        <f>IK35*(VLOOKUP($IG$8,各项系数!$D$1:$F$143,2,0))</f>
        <v>1.2898856065392768</v>
      </c>
      <c r="IM35" s="304">
        <f>(各项系数!$F$76/4*(($MM35+3*$X35)^2-MM35^2)*$EO35)*10^-2*(VLOOKUP($IG$8,各项系数!$D$1:$F$143,3,0))*10^-3*10^2*各项系数!$J$4</f>
        <v>0</v>
      </c>
      <c r="IN35" s="303">
        <f>IM35*(VLOOKUP($IG$8,各项系数!$D$1:$F$143,2,0))</f>
        <v>0</v>
      </c>
      <c r="IO35" s="315">
        <f>各项系数!$F$76/4*($MZ35^2-$MX35^2)*10^-2*(VLOOKUP(L35,各项系数!$D$1:$F$143,3,0))*10^-3*10^2*$ES35*各项系数!$J$4</f>
        <v>0.35384367292840185</v>
      </c>
      <c r="IP35" s="303">
        <v>1</v>
      </c>
      <c r="IQ35" s="304">
        <f t="shared" si="207"/>
        <v>0.35384367292840185</v>
      </c>
      <c r="IR35" s="285">
        <f>IQ35*(VLOOKUP(L35,各项系数!$D$1:$F$143,2,0))</f>
        <v>3.6092054638696989</v>
      </c>
      <c r="IS35" s="315">
        <f>IF($L35&lt;&gt;$IS$9,0,各项系数!$F$76/4*($MZ35^2-$MX35^2)*10^-2*各项系数!$F$12*10^-3*10^2)*$ES35*各项系数!$J$4</f>
        <v>0</v>
      </c>
      <c r="IT35" s="310">
        <v>1</v>
      </c>
      <c r="IU35" s="304">
        <f t="shared" si="208"/>
        <v>0</v>
      </c>
      <c r="IV35" s="285">
        <f>IU35*各项系数!$E$12</f>
        <v>0</v>
      </c>
      <c r="IW35" s="302">
        <f t="shared" si="209"/>
        <v>0.35384367292840185</v>
      </c>
      <c r="IX35" s="302">
        <f t="shared" si="210"/>
        <v>3.6092054638696989</v>
      </c>
      <c r="IY35" s="339">
        <f>各项系数!$F$76/4*($NB35^2-$MZ35^2*$EG35-$NA35^2*$EO35)*10^-2</f>
        <v>0</v>
      </c>
      <c r="IZ35" s="284">
        <f t="shared" si="231"/>
        <v>1</v>
      </c>
      <c r="JA35" s="285">
        <f t="shared" si="64"/>
        <v>0</v>
      </c>
      <c r="JB35" s="282">
        <f>IF($DE35&lt;&gt;$JB$9,0,$JA35*各项系数!$F$32*10^-3*10^2)*各项系数!$J$4</f>
        <v>0</v>
      </c>
      <c r="JC35" s="102">
        <v>1</v>
      </c>
      <c r="JD35" s="189">
        <f t="shared" si="211"/>
        <v>0</v>
      </c>
      <c r="JE35" s="262">
        <f>JD35*各项系数!$E$32</f>
        <v>0</v>
      </c>
      <c r="JF35" s="282">
        <f>IF($DE35&lt;&gt;$JF$9,0,$JA35*VLOOKUP($JF$9,各项系数!$D$4:$F$540,2,0)*10^-3*10^2)*各项系数!$J$4</f>
        <v>0</v>
      </c>
      <c r="JG35" s="102">
        <v>1</v>
      </c>
      <c r="JH35" s="189">
        <f t="shared" si="66"/>
        <v>0</v>
      </c>
      <c r="JI35" s="262">
        <f>JH35*VLOOKUP($JF$9,各项系数!$D$4:$F$540,3,0)</f>
        <v>0</v>
      </c>
      <c r="JJ35" s="282">
        <f t="shared" si="212"/>
        <v>0</v>
      </c>
      <c r="JK35" s="189">
        <f t="shared" si="213"/>
        <v>0</v>
      </c>
      <c r="JL35" s="282">
        <f>IF($DF35&lt;&gt;$JL$9,0,各项系数!$F$76/4*($NE35^2-$NC35^2)*10^-2*各项系数!$F$39*10^-3*10^2)*各项系数!$J$4</f>
        <v>0</v>
      </c>
      <c r="JM35" s="102">
        <v>1</v>
      </c>
      <c r="JN35" s="189">
        <f t="shared" si="214"/>
        <v>0</v>
      </c>
      <c r="JO35" s="262">
        <f>JN35*各项系数!$E$39</f>
        <v>0</v>
      </c>
      <c r="JP35" s="282">
        <f>IF($DF35&lt;&gt;$JP$9,0,各项系数!$F$76/4*($NE35^2-$NC35^2)*10^-2*各项系数!$F$36*10^-3*10^2)*各项系数!$J$4</f>
        <v>0</v>
      </c>
      <c r="JQ35" s="102">
        <v>1</v>
      </c>
      <c r="JR35" s="189">
        <f t="shared" si="215"/>
        <v>0</v>
      </c>
      <c r="JS35" s="262">
        <f>JR35*各项系数!$E$36</f>
        <v>0</v>
      </c>
      <c r="JT35" s="282">
        <f>IF($DF35&lt;&gt;$JT$9,0,各项系数!$F$76/4*($NE35^2-$NC35^2)*10^-2*各项系数!$F$40*10^-3*10^2)*各项系数!$J$4</f>
        <v>0</v>
      </c>
      <c r="JU35" s="102">
        <v>1</v>
      </c>
      <c r="JV35" s="189">
        <f t="shared" si="216"/>
        <v>0</v>
      </c>
      <c r="JW35" s="262">
        <f>JV35*各项系数!$E$40</f>
        <v>0</v>
      </c>
      <c r="JX35" s="282">
        <f>IF($DF35&lt;&gt;$JX$9,0,各项系数!$F$76/4*($NE35^2-$NC35^2)*10^-2*各项系数!$F$38*10^-3*10^2)*各项系数!$J$4</f>
        <v>0</v>
      </c>
      <c r="JY35" s="102">
        <v>1</v>
      </c>
      <c r="JZ35" s="189">
        <f t="shared" si="217"/>
        <v>0</v>
      </c>
      <c r="KA35" s="262">
        <f>JZ35*各项系数!$E$38</f>
        <v>0</v>
      </c>
      <c r="KB35" s="282">
        <f>IF($DF35&lt;&gt;$KB$9,0,各项系数!$F$76/4*($NE35^2-$NC35^2)*10^-2*各项系数!$F$41*10^-3*10^2)*各项系数!$J$4</f>
        <v>0</v>
      </c>
      <c r="KC35" s="102">
        <v>1</v>
      </c>
      <c r="KD35" s="189">
        <f t="shared" si="218"/>
        <v>0</v>
      </c>
      <c r="KE35" s="262">
        <f>KD35*各项系数!$E$41</f>
        <v>0</v>
      </c>
      <c r="KF35" s="189">
        <f t="shared" si="219"/>
        <v>0</v>
      </c>
      <c r="KG35" s="189">
        <f t="shared" si="220"/>
        <v>0</v>
      </c>
      <c r="KH35" s="235">
        <f>各项系数!$F$76/4*($NG35^2-$NE35^2)*10^-2*各项系数!$F$44*10^-3*10^2*各项系数!$J$4*0.75*$U35</f>
        <v>1.1805653603331248</v>
      </c>
      <c r="KI35" s="102">
        <v>1</v>
      </c>
      <c r="KJ35" s="189">
        <f t="shared" si="221"/>
        <v>1.1805653603331248</v>
      </c>
      <c r="KK35" s="189">
        <f>ROUND(KJ35*各项系数!$E$44,GT35)</f>
        <v>13</v>
      </c>
      <c r="KL35" s="235">
        <f>各项系数!$F$76/4*($NF35^2-$NE35^2)*10^-2*各项系数!$F$46*10^-3*10^2*各项系数!$J$4*PI()/4*R35</f>
        <v>5.9029748431194295E-2</v>
      </c>
      <c r="KM35" s="102">
        <v>1</v>
      </c>
      <c r="KN35" s="189">
        <f t="shared" si="222"/>
        <v>5.9029748431194295E-2</v>
      </c>
      <c r="KO35" s="189">
        <f>KN35*各项系数!$E$46</f>
        <v>3.9845080191056148</v>
      </c>
      <c r="KP35" s="235">
        <f>各项系数!$F$76/4*($NH35^2-$NE35^2)*10^-2*(VLOOKUP($KP$9,各项系数!$D$1:$F$143,3,0))*10^-3*10^2*各项系数!$J$4</f>
        <v>0.50628046257087655</v>
      </c>
      <c r="KQ35" s="102">
        <v>1</v>
      </c>
      <c r="KR35" s="189">
        <f t="shared" si="150"/>
        <v>0.50628046257087655</v>
      </c>
      <c r="KS35" s="189">
        <f>KR35*(VLOOKUP($KP$9,各项系数!$D$1:$F$143,2,0))</f>
        <v>8.606767863704901</v>
      </c>
      <c r="KT35" s="235">
        <f>各项系数!$F$76/4*($NI35^2-$NF35^2)*10^-2*(VLOOKUP($KT$9,各项系数!$D$1:$F$143,3,0))*10^-3*10^2*各项系数!$J$4</f>
        <v>0.50809347569126284</v>
      </c>
      <c r="KU35" s="102">
        <v>1</v>
      </c>
      <c r="KV35" s="189">
        <f t="shared" si="151"/>
        <v>0.50809347569126284</v>
      </c>
      <c r="KW35" s="189">
        <f>KV35*(VLOOKUP($KT$9,各项系数!$D$1:$F$143,2,0))</f>
        <v>8.6375890867514684</v>
      </c>
      <c r="KX35" s="189">
        <f>各项系数!$F$76/4*($NH35^2-$NE35^2)*10^-2*(VLOOKUP($KX$9,各项系数!$D$1:$F$143,3,0))*10^-3*10^2*各项系数!$J$4</f>
        <v>0.50628046257087655</v>
      </c>
      <c r="KY35" s="353">
        <v>1</v>
      </c>
      <c r="KZ35" s="189">
        <f t="shared" si="152"/>
        <v>0.50628046257087655</v>
      </c>
      <c r="LA35" s="189">
        <f>KZ35*(VLOOKUP($KX$9,各项系数!$D$1:$F$143,2,0))</f>
        <v>8.606767863704901</v>
      </c>
      <c r="LB35" s="189">
        <f>各项系数!$F$76/4*($NI35^2-$NF35^2)*10^-2*(VLOOKUP($LB$9,各项系数!$D$1:$F$143,3,0))*10^-3*10^2*各项系数!$J$4</f>
        <v>0.50809347569126284</v>
      </c>
      <c r="LC35" s="353">
        <v>1</v>
      </c>
      <c r="LD35" s="189">
        <f t="shared" si="153"/>
        <v>0.50809347569126284</v>
      </c>
      <c r="LE35" s="189">
        <f>LD35*(VLOOKUP($LB$9,各项系数!$D$1:$F$143,2,0))</f>
        <v>8.6375890867514684</v>
      </c>
      <c r="LF35" s="235">
        <f>各项系数!$F$76/4*($NH35^2-$NE35^2)*10^-2*(VLOOKUP(AN35,各项系数!$D$1:$F$143,3,0))*10^-3*10^2*各项系数!$J$4</f>
        <v>0.51326364136495761</v>
      </c>
      <c r="LG35" s="102">
        <v>1</v>
      </c>
      <c r="LH35" s="189">
        <f t="shared" si="223"/>
        <v>0.51326364136495761</v>
      </c>
      <c r="LI35" s="189">
        <f>LH35*(VLOOKUP(AN35,各项系数!$D$1:$F$143,2,0))</f>
        <v>5.1326364136495766</v>
      </c>
      <c r="LJ35" s="235">
        <f>各项系数!$F$76/4*($NI35^2-$NF35^2)*10^-2*(VLOOKUP(AN35,各项系数!$D$1:$F$143,3,0))*10^-3*10^2*各项系数!$J$4</f>
        <v>0.51510166156286652</v>
      </c>
      <c r="LK35" s="102">
        <v>1</v>
      </c>
      <c r="LL35" s="189">
        <f t="shared" si="224"/>
        <v>0.51510166156286652</v>
      </c>
      <c r="LM35" s="189">
        <f>LL35*(VLOOKUP(AN35,各项系数!$D$1:$F$143,2,0))</f>
        <v>5.1510166156286648</v>
      </c>
      <c r="LN35" s="189">
        <f>各项系数!$F$76/4*($NH35^2-$NE35^2)*10^-2*(VLOOKUP($LN$9,各项系数!$D$1:$F$143,3,0))*10^-3*10^2*各项系数!$J$4</f>
        <v>0.51326364136495761</v>
      </c>
      <c r="LO35" s="353">
        <v>1</v>
      </c>
      <c r="LP35" s="189">
        <f t="shared" si="225"/>
        <v>0.51326364136495761</v>
      </c>
      <c r="LQ35" s="189">
        <f>LP35*(VLOOKUP($LN$9,各项系数!$D$1:$F$143,2,0))</f>
        <v>5.6459000550145335</v>
      </c>
      <c r="LR35" s="189">
        <f>各项系数!$F$76/4*($NI35^2-$NF35^2)*10^-2*(VLOOKUP($LR$9,各项系数!$D$1:$F$143,3,0))*10^-3*10^2*各项系数!$J$4</f>
        <v>0.51510166156286652</v>
      </c>
      <c r="LS35" s="353">
        <v>1</v>
      </c>
      <c r="LT35" s="189">
        <f t="shared" si="226"/>
        <v>0.51510166156286652</v>
      </c>
      <c r="LU35" s="189">
        <f>LT35*(VLOOKUP($LR$9,各项系数!$D$1:$F$143,2,0))</f>
        <v>5.6661182771915319</v>
      </c>
      <c r="LV35" s="227">
        <f t="shared" si="154"/>
        <v>1039.4605196800001</v>
      </c>
      <c r="LW35" s="227">
        <f t="shared" si="155"/>
        <v>782.80360124000003</v>
      </c>
      <c r="LX35" s="227">
        <f t="shared" si="156"/>
        <v>31.57050048478585</v>
      </c>
      <c r="LY35" s="227">
        <f t="shared" si="157"/>
        <v>256.65691844000003</v>
      </c>
      <c r="LZ35" s="374">
        <f t="shared" si="86"/>
        <v>1</v>
      </c>
      <c r="MA35" s="375">
        <f t="shared" si="87"/>
        <v>1039.4605196800001</v>
      </c>
      <c r="MB35" s="375">
        <f t="shared" si="158"/>
        <v>36.379695419999997</v>
      </c>
      <c r="MC35" s="227">
        <f t="shared" si="159"/>
        <v>0</v>
      </c>
      <c r="MD35" s="227">
        <f t="shared" si="160"/>
        <v>0</v>
      </c>
      <c r="ME35" s="227">
        <f t="shared" si="161"/>
        <v>0</v>
      </c>
      <c r="MF35" s="227">
        <f t="shared" si="162"/>
        <v>0</v>
      </c>
      <c r="MG35" s="374">
        <f t="shared" si="163"/>
        <v>1</v>
      </c>
      <c r="MH35" s="375">
        <f t="shared" si="88"/>
        <v>0</v>
      </c>
      <c r="MI35" s="375">
        <f t="shared" si="164"/>
        <v>0</v>
      </c>
      <c r="MJ35" s="189">
        <f t="shared" si="89"/>
        <v>36.379695419999997</v>
      </c>
      <c r="MK35" s="189">
        <f t="shared" si="165"/>
        <v>36.379695419999997</v>
      </c>
      <c r="ML35" s="189">
        <f t="shared" si="227"/>
        <v>0</v>
      </c>
      <c r="MM35" s="189">
        <f t="shared" si="91"/>
        <v>0</v>
      </c>
      <c r="MN35" s="189">
        <f t="shared" si="92"/>
        <v>41.57969542</v>
      </c>
      <c r="MO35" s="189">
        <f t="shared" si="166"/>
        <v>0</v>
      </c>
      <c r="MP35" s="189">
        <f t="shared" si="167"/>
        <v>41.57969542</v>
      </c>
      <c r="MQ35" s="189">
        <f t="shared" si="228"/>
        <v>41.57969542</v>
      </c>
      <c r="MR35" s="246">
        <f t="shared" si="168"/>
        <v>41.57969542</v>
      </c>
      <c r="MS35" s="380">
        <f t="shared" si="94"/>
        <v>41.57969542</v>
      </c>
      <c r="MT35" s="380">
        <f t="shared" si="95"/>
        <v>41.739695419999997</v>
      </c>
      <c r="MU35" s="380">
        <f t="shared" si="232"/>
        <v>43.07969542</v>
      </c>
      <c r="MV35" s="380">
        <f t="shared" si="97"/>
        <v>46.57969542</v>
      </c>
      <c r="MW35" s="380">
        <f t="shared" si="98"/>
        <v>46.739695419999997</v>
      </c>
      <c r="MX35" s="254">
        <f t="shared" si="233"/>
        <v>36.979695419999999</v>
      </c>
      <c r="MY35" s="254">
        <f t="shared" si="100"/>
        <v>0</v>
      </c>
      <c r="MZ35" s="189">
        <f t="shared" si="101"/>
        <v>42.179695420000002</v>
      </c>
      <c r="NA35" s="189">
        <f t="shared" si="102"/>
        <v>0</v>
      </c>
      <c r="NB35" s="189">
        <f t="shared" si="169"/>
        <v>42.179695420000002</v>
      </c>
      <c r="NC35" s="254">
        <f t="shared" si="229"/>
        <v>42.179695420000002</v>
      </c>
      <c r="ND35" s="246">
        <f t="shared" si="234"/>
        <v>42.179695420000002</v>
      </c>
      <c r="NE35" s="386">
        <f t="shared" si="235"/>
        <v>42.179695420000002</v>
      </c>
      <c r="NF35" s="380">
        <f t="shared" si="106"/>
        <v>42.339695419999998</v>
      </c>
      <c r="NG35" s="387">
        <f t="shared" si="236"/>
        <v>43.679695420000002</v>
      </c>
      <c r="NH35" s="254">
        <f t="shared" si="108"/>
        <v>47.179695420000002</v>
      </c>
      <c r="NI35" s="380">
        <f t="shared" si="109"/>
        <v>47.339695419999998</v>
      </c>
      <c r="NK35" s="388">
        <f t="shared" si="110"/>
        <v>7.9869089498078658</v>
      </c>
      <c r="NL35" s="388">
        <f t="shared" si="111"/>
        <v>475.76801715992042</v>
      </c>
      <c r="NM35" s="388">
        <f t="shared" si="112"/>
        <v>7.9869089498078658</v>
      </c>
      <c r="NN35" s="388">
        <f t="shared" si="113"/>
        <v>476.27438822554325</v>
      </c>
      <c r="NO35" s="388">
        <f t="shared" si="114"/>
        <v>8.0507609679401888</v>
      </c>
      <c r="NP35" s="388">
        <f t="shared" si="115"/>
        <v>477.18154150879292</v>
      </c>
      <c r="NQ35" s="388">
        <f t="shared" si="116"/>
        <v>8.0507609679401888</v>
      </c>
      <c r="NR35" s="388">
        <f t="shared" si="117"/>
        <v>477.69480515015783</v>
      </c>
      <c r="NS35" s="388">
        <f t="shared" si="118"/>
        <v>8.0451005982786423</v>
      </c>
      <c r="NT35" s="388">
        <f t="shared" si="119"/>
        <v>8.0451005982786423</v>
      </c>
      <c r="NU35" s="388">
        <f t="shared" si="120"/>
        <v>8.1097907163713838</v>
      </c>
      <c r="NV35" s="388">
        <f t="shared" si="121"/>
        <v>8.1097907163713838</v>
      </c>
      <c r="NW35">
        <f t="shared" si="122"/>
        <v>8.7629525351380391</v>
      </c>
      <c r="NX35">
        <f>各项系数!$M$9*NK35</f>
        <v>2.3960726849423595</v>
      </c>
      <c r="NY35">
        <f t="shared" si="123"/>
        <v>8.0451005982786423</v>
      </c>
      <c r="OB35" s="66" t="str">
        <f t="shared" si="124"/>
        <v>1*800</v>
      </c>
      <c r="OC35" s="395">
        <f t="shared" si="125"/>
        <v>404.21883750578098</v>
      </c>
      <c r="OD35" s="395">
        <f>SQRT(4*EY35/PI()/EH35/各项系数!$J$4/各项系数!$F$5*10000000)</f>
        <v>410.23731504138033</v>
      </c>
      <c r="OE35" s="396">
        <f t="shared" si="126"/>
        <v>782.80359932892134</v>
      </c>
      <c r="OF35" s="396">
        <f t="shared" si="127"/>
        <v>806.28770730878898</v>
      </c>
      <c r="OG35" s="66"/>
      <c r="OH35" s="397">
        <f t="shared" si="186"/>
        <v>806.28770730878898</v>
      </c>
    </row>
    <row r="36" spans="1:398" ht="15" hidden="1" customHeight="1">
      <c r="A36" s="65"/>
      <c r="B36" s="66"/>
      <c r="C36" s="67"/>
      <c r="D36" s="53" t="s">
        <v>127</v>
      </c>
      <c r="E36" s="63">
        <f t="shared" si="240"/>
        <v>14.418451469999999</v>
      </c>
      <c r="F36" s="68">
        <f>$F$20</f>
        <v>131.13029499843299</v>
      </c>
      <c r="G36" s="58"/>
      <c r="H36" s="58"/>
      <c r="I36" s="58"/>
      <c r="J36" s="58"/>
      <c r="K36" s="58"/>
      <c r="L36" s="97" t="s">
        <v>467</v>
      </c>
      <c r="M36" s="103">
        <f t="shared" si="2"/>
        <v>0.7</v>
      </c>
      <c r="N36" s="103">
        <f t="shared" si="3"/>
        <v>0</v>
      </c>
      <c r="O36" s="104">
        <v>0.08</v>
      </c>
      <c r="P36" s="99">
        <v>0.1</v>
      </c>
      <c r="Q36" s="133">
        <f t="shared" si="248"/>
        <v>0.1</v>
      </c>
      <c r="R36" s="70">
        <v>0.8</v>
      </c>
      <c r="S36" s="142" t="str">
        <f>各项系数!$D$43</f>
        <v>钢带</v>
      </c>
      <c r="T36" s="53">
        <v>0.2</v>
      </c>
      <c r="U36" s="102">
        <v>2</v>
      </c>
      <c r="V36" s="131"/>
      <c r="W36" s="103">
        <v>1.8</v>
      </c>
      <c r="X36" s="135">
        <f t="shared" si="249"/>
        <v>0.2</v>
      </c>
      <c r="Y36" s="135"/>
      <c r="Z36" s="168"/>
      <c r="AA36" s="153">
        <f>$AA$20</f>
        <v>1.0109999999999999</v>
      </c>
      <c r="AB36" s="153">
        <f>PI()*EJ36*EJ36/4*EH36*(1-H36)*AA36*各项系数!$F$5*各项系数!$J$4*10^-7</f>
        <v>8.4541508952717087E-2</v>
      </c>
      <c r="AC36" s="153">
        <f t="shared" si="241"/>
        <v>131.13029499843299</v>
      </c>
      <c r="AD36" s="153">
        <f t="shared" si="5"/>
        <v>9.5575186339704263</v>
      </c>
      <c r="AE36" s="153">
        <f>POWER(4*EU36/PI()/EG36/10^-7/EH36/(1-H36)/各项系数!$F$5/各项系数!$J$4,0.5)</f>
        <v>131.84953910919143</v>
      </c>
      <c r="AF36" s="69">
        <v>1</v>
      </c>
      <c r="AG36" s="69">
        <f>IF(EM36=0,0,PI()*ER36*ER36/4*EP36*(1-K36)*(1+AF36)*各项系数!$F$5*各项系数!$J$4*10^-7)</f>
        <v>0</v>
      </c>
      <c r="AH36" s="69">
        <f t="shared" si="242"/>
        <v>0</v>
      </c>
      <c r="AI36" s="69">
        <f t="shared" si="128"/>
        <v>0</v>
      </c>
      <c r="AJ36" s="69">
        <f>IF(OR(EP36="",EP36=0),0,POWER(4*EW36/PI()/EO36/10^-7/EP36/(1-K36)/各项系数!$F$5/各项系数!$J$4,0.5))</f>
        <v>0</v>
      </c>
      <c r="AK36" s="69" t="str">
        <f t="shared" si="8"/>
        <v>√</v>
      </c>
      <c r="AL36" s="69">
        <f t="shared" si="243"/>
        <v>12.811461213687087</v>
      </c>
      <c r="AM36" s="189">
        <f t="shared" si="244"/>
        <v>10</v>
      </c>
      <c r="AN36" s="97" t="s">
        <v>486</v>
      </c>
      <c r="AO36" s="196">
        <f>AP36+各项系数!$M$9*$NK36</f>
        <v>12.560256091850086</v>
      </c>
      <c r="AP36" s="196">
        <f>AQ36*(1+$BI36+(VLOOKUP($AM36,$A$12:$B$323,2,0))+各项系数!$J$6+各项系数!$M$5)*(1+$E$2)</f>
        <v>12.469976984537718</v>
      </c>
      <c r="AQ36" s="197">
        <f>AR36+各项系数!$L$9*$NK36</f>
        <v>12.724466310752774</v>
      </c>
      <c r="AR36" s="197">
        <f>AS36*(1+$BJ36+各项系数!$J$5+各项系数!$L$5)</f>
        <v>12.634187203440407</v>
      </c>
      <c r="AS36" s="197">
        <f t="shared" si="129"/>
        <v>12.386458042588634</v>
      </c>
      <c r="AT36" s="196">
        <f>AU36+各项系数!$M$9*$NM36</f>
        <v>13.266412408890698</v>
      </c>
      <c r="AU36" s="196">
        <f>AV36*(1+$BI36+(VLOOKUP($AM36,$A$12:$B$323,2,0))+各项系数!$J$6+各项系数!$M$5)*(1+$E$2)</f>
        <v>13.17613330157833</v>
      </c>
      <c r="AV36" s="197">
        <f>AW36+各项系数!$L$9*$NM36</f>
        <v>13.445033981202378</v>
      </c>
      <c r="AW36" s="197">
        <f>AX36*(1+$BJ36+各项系数!$J$5+各项系数!$L$5)</f>
        <v>13.354754873890011</v>
      </c>
      <c r="AX36" s="197">
        <f t="shared" si="130"/>
        <v>13.092896935186285</v>
      </c>
      <c r="AY36" s="196">
        <f>AZ36+各项系数!$M$9*$NS36</f>
        <v>13.609690237357423</v>
      </c>
      <c r="AZ36" s="196">
        <f>BA36*(1+$BI36+(VLOOKUP($AM36,$A$12:$B$214,2,0))+各项系数!$J$6+各项系数!$M$5)*(1+$E$2)</f>
        <v>13.514844134172252</v>
      </c>
      <c r="BA36" s="197">
        <f>BB36+各项系数!$L$9*$NS36</f>
        <v>13.790657279767604</v>
      </c>
      <c r="BB36" s="197">
        <f>BC36*(1+$BJ36+各项系数!$J$5+各项系数!$L$5)</f>
        <v>13.695811176582433</v>
      </c>
      <c r="BC36" s="199">
        <f t="shared" si="131"/>
        <v>13.427265859394542</v>
      </c>
      <c r="BD36" s="196">
        <f>BE36+各项系数!$M$9*$NS36</f>
        <v>14.324800506552554</v>
      </c>
      <c r="BE36" s="196">
        <f>BF36*(1+$BI36+(VLOOKUP($AM36,$A$12:$B$214,2,0))+各项系数!$J$6+各项系数!$M$5)*(1+$E$2)</f>
        <v>14.229954403367383</v>
      </c>
      <c r="BF36" s="197">
        <f>BG36+各项系数!$L$9*$NS36</f>
        <v>14.520361636089167</v>
      </c>
      <c r="BG36" s="197">
        <f>BH36*(1+$BJ36+各项系数!$J$5+各项系数!$L$5)</f>
        <v>14.425515532903995</v>
      </c>
      <c r="BH36" s="199">
        <f t="shared" si="132"/>
        <v>14.14266228716078</v>
      </c>
      <c r="BI36" s="211">
        <v>0</v>
      </c>
      <c r="BJ36" s="208"/>
      <c r="BK36" s="53" t="s">
        <v>514</v>
      </c>
      <c r="BL36" s="196">
        <f>BM36+各项系数!$M$9*$NM36</f>
        <v>12.78699280224901</v>
      </c>
      <c r="BM36" s="196">
        <f>BN36*(1+$CF36+(VLOOKUP($AM36,$A$12:$B$323,2,0))+各项系数!$J$6+各项系数!$M$5)*(1+$E$2)</f>
        <v>12.696713694936642</v>
      </c>
      <c r="BN36" s="197">
        <f>BO36+各项系数!$L$9*$NM36</f>
        <v>12.955830300955757</v>
      </c>
      <c r="BO36" s="197">
        <f>BP36*(1+$CG36+各项系数!$J$5+各项系数!$L$5)</f>
        <v>12.865551193643389</v>
      </c>
      <c r="BP36" s="197">
        <f t="shared" si="133"/>
        <v>12.490826401595523</v>
      </c>
      <c r="BQ36" s="196">
        <f>BR36+各项系数!$M$9*$NM36</f>
        <v>13.394722798855526</v>
      </c>
      <c r="BR36" s="196">
        <f>BS36*(1+$CF36+(VLOOKUP($AM36,$A$12:$B$323,2,0))+各项系数!$J$6+各项系数!$M$5)*(1+$E$2)</f>
        <v>13.304443691543158</v>
      </c>
      <c r="BS36" s="197">
        <f>BT36+各项系数!$L$9*$NM36</f>
        <v>13.575962950554242</v>
      </c>
      <c r="BT36" s="197">
        <f>BU36*(1+$CG36+各项系数!$J$5+各项系数!$L$5)</f>
        <v>13.485683843241874</v>
      </c>
      <c r="BU36" s="197">
        <f t="shared" si="134"/>
        <v>13.092896935186285</v>
      </c>
      <c r="BV36" s="196">
        <f>BW36+各项系数!$M$9*$NT36</f>
        <v>13.763111632594644</v>
      </c>
      <c r="BW36" s="196">
        <f>BX36*(1+$CF36+(VLOOKUP($AM36,$A$12:$B$214,2,0))+各项系数!$J$6+各项系数!$M$5)*(1+$E$2)</f>
        <v>13.668265529409473</v>
      </c>
      <c r="BX36" s="197">
        <f>BY36+各项系数!$L$9*$NT$12</f>
        <v>13.947209723887218</v>
      </c>
      <c r="BY36" s="197">
        <f>BZ36*(1+$CG36+各项系数!$J$5+各项系数!$L$5)</f>
        <v>13.938946320732244</v>
      </c>
      <c r="BZ36" s="199">
        <f t="shared" si="11"/>
        <v>13.532957592943927</v>
      </c>
      <c r="CA36" s="196">
        <f>CB36+各项系数!$M$9*$NT36</f>
        <v>14.378547550937137</v>
      </c>
      <c r="CB36" s="196">
        <f>CC36*(1+$CF36+(VLOOKUP($AM36,$A$12:$B$214,2,0))+各项系数!$J$6+各项系数!$M$5)*(1+$E$2)</f>
        <v>14.283701447751966</v>
      </c>
      <c r="CC36" s="197">
        <f>CD36+各项系数!$L$9*$NT$12</f>
        <v>14.575205558930577</v>
      </c>
      <c r="CD36" s="197">
        <f>CE36*(1+$CG36+各项系数!$J$5+各项系数!$L$5)</f>
        <v>14.566942155775603</v>
      </c>
      <c r="CE36" s="199">
        <f t="shared" si="135"/>
        <v>14.14266228716078</v>
      </c>
      <c r="CF36" s="211">
        <f>(BI36+$CF$2)-BI36/1.3</f>
        <v>0</v>
      </c>
      <c r="CG36" s="213">
        <f t="shared" si="12"/>
        <v>0.01</v>
      </c>
      <c r="CH36" s="53"/>
      <c r="CI36" s="196">
        <f>CJ36+各项系数!$M$9*$NO36</f>
        <v>13.102692913548404</v>
      </c>
      <c r="CJ36" s="196">
        <f>CK36*(1+$DC36+(VLOOKUP($AM36,$A$12:$B$323,2,0))+各项系数!$J$6+各项系数!$M$5)*(1+$E$2)+各项系数!$M$9*$NK36</f>
        <v>13.001912029243279</v>
      </c>
      <c r="CK36" s="197">
        <f>CL36+各项系数!$L$9*$NO36</f>
        <v>13.175135634623379</v>
      </c>
      <c r="CL36" s="197">
        <f>CM36*(1+$DD36+各项系数!$J$5+各项系数!$L$5)</f>
        <v>13.074354750318253</v>
      </c>
      <c r="CM36" s="197">
        <f t="shared" si="13"/>
        <v>12.81799485325319</v>
      </c>
      <c r="CN36" s="196">
        <f>CO36+各项系数!$M$9*$NO36</f>
        <v>13.704580372445252</v>
      </c>
      <c r="CO36" s="196">
        <f>CP36*(1+$DC36+(VLOOKUP($AM36,$A$12:$B$323,2,0))+各项系数!$J$6+各项系数!$M$5)*(1+$E$2)+各项系数!$M$9*$NK36</f>
        <v>13.603799488140126</v>
      </c>
      <c r="CP36" s="197">
        <f>CQ36+各项系数!$L$9*$NO36</f>
        <v>13.789306511048734</v>
      </c>
      <c r="CQ36" s="197">
        <f>CR36*(1+$DD36+各项系数!$J$5+各项系数!$L$5)</f>
        <v>13.688525626743608</v>
      </c>
      <c r="CR36" s="197">
        <f t="shared" si="14"/>
        <v>13.420123163474125</v>
      </c>
      <c r="CS36" s="196">
        <f>CT36+各项系数!$M$9*$NU36</f>
        <v>14.181755564427537</v>
      </c>
      <c r="CT36" s="196">
        <f t="shared" si="15"/>
        <v>14.075879200787647</v>
      </c>
      <c r="CU36" s="197">
        <f>CV36+各项系数!$L$9*$NU36</f>
        <v>14.363142041620048</v>
      </c>
      <c r="CV36" s="197">
        <f>CW36*(1+$DD36+各项系数!$J$5+各项系数!$L$5)</f>
        <v>14.257265677980158</v>
      </c>
      <c r="CW36" s="199">
        <f t="shared" si="16"/>
        <v>13.977711449000154</v>
      </c>
      <c r="CX36" s="196">
        <f>CY36+各项系数!$M$9*$NU36</f>
        <v>14.967442373658752</v>
      </c>
      <c r="CY36" s="196">
        <f t="shared" si="17"/>
        <v>14.861566010018862</v>
      </c>
      <c r="CZ36" s="197">
        <f>DA36+各项系数!$L$9*$NU36</f>
        <v>15.164863275529452</v>
      </c>
      <c r="DA36" s="197">
        <f>DB36*(1+$DD36+各项系数!$J$5+各项系数!$L$5)</f>
        <v>15.058986911889562</v>
      </c>
      <c r="DB36" s="199">
        <f t="shared" si="18"/>
        <v>14.763712658715257</v>
      </c>
      <c r="DC36" s="211">
        <f>(BI36+$DC$2)-BI36/1.3</f>
        <v>0</v>
      </c>
      <c r="DD36" s="213">
        <f t="shared" si="19"/>
        <v>0</v>
      </c>
      <c r="DE36" s="53" t="s">
        <v>498</v>
      </c>
      <c r="DF36" s="53" t="s">
        <v>513</v>
      </c>
      <c r="DG36" s="196">
        <f>DH36+各项系数!$M$9*$NQ36</f>
        <v>13.344187794876945</v>
      </c>
      <c r="DH36" s="196">
        <f>DI36*(1+$EA36+(VLOOKUP($AM36,$A$12:$B$323,2,0))+各项系数!$J$6+各项系数!$M$5)*(1+$E$2)+各项系数!$M$9*$NK36</f>
        <v>13.243406910571819</v>
      </c>
      <c r="DI36" s="197">
        <f>DJ36+各项系数!$L$9*$NQ36</f>
        <v>13.421558982917809</v>
      </c>
      <c r="DJ36" s="197">
        <f>DK36*(1+$EB36+各项系数!$J$5+各项系数!$L$5)</f>
        <v>13.320778098612683</v>
      </c>
      <c r="DK36" s="197">
        <f t="shared" si="20"/>
        <v>12.93279427049775</v>
      </c>
      <c r="DL36" s="196">
        <f>DM36+各项系数!$M$9*$NQ36</f>
        <v>14.012657148197539</v>
      </c>
      <c r="DM36" s="196">
        <f>DN36*(1+$EA36+(VLOOKUP($AM36,$A$12:$B$323,2,0))+各项系数!$J$6+各项系数!$M$5)*(1+$E$2)+各项系数!$M$9*$NK36</f>
        <v>13.911876263892413</v>
      </c>
      <c r="DN36" s="197">
        <f>DO36+各项系数!$L$9*$NQ36</f>
        <v>14.103670567938822</v>
      </c>
      <c r="DO36" s="197">
        <f>DP36*(1+$EB36+各项系数!$J$5+各项系数!$L$5)</f>
        <v>14.002889683633697</v>
      </c>
      <c r="DP36" s="197">
        <f t="shared" si="21"/>
        <v>13.595038527799705</v>
      </c>
      <c r="DQ36" s="196">
        <f>DR36+各项系数!$M$9*$NV36</f>
        <v>14.435951482657591</v>
      </c>
      <c r="DR36" s="196">
        <f t="shared" si="22"/>
        <v>14.330075119017701</v>
      </c>
      <c r="DS36" s="197">
        <f>DT36+各项系数!$L$9*$NV36</f>
        <v>14.622525631650715</v>
      </c>
      <c r="DT36" s="197">
        <f>DU36*(1+$EB36+各项系数!$J$5+各项系数!$L$5)</f>
        <v>14.516649268010825</v>
      </c>
      <c r="DU36" s="199">
        <f t="shared" si="23"/>
        <v>14.093834240787208</v>
      </c>
      <c r="DV36" s="196">
        <f>DW36+各项系数!$M$9*$NV36</f>
        <v>14.852718795889869</v>
      </c>
      <c r="DW36" s="196">
        <f t="shared" si="24"/>
        <v>14.746842432249979</v>
      </c>
      <c r="DX36" s="197">
        <f>DY36+各项系数!$L$9*$NV36</f>
        <v>15.047798400255081</v>
      </c>
      <c r="DY36" s="197">
        <f>DZ36*(1+$EB36+各项系数!$J$5+各项系数!$L$5)</f>
        <v>14.941922036615191</v>
      </c>
      <c r="DZ36" s="199">
        <f t="shared" si="25"/>
        <v>14.506720423898242</v>
      </c>
      <c r="EA36" s="211">
        <f>(BI36+$EA$2)-BI36/1.3</f>
        <v>0</v>
      </c>
      <c r="EB36" s="213">
        <f t="shared" si="27"/>
        <v>0.01</v>
      </c>
      <c r="EC36" s="235">
        <f t="shared" si="138"/>
        <v>2</v>
      </c>
      <c r="ED36" s="235" t="str">
        <f t="shared" si="180"/>
        <v>2*10</v>
      </c>
      <c r="EE36" s="189">
        <f t="shared" si="239"/>
        <v>10</v>
      </c>
      <c r="EF36" s="189" t="str">
        <f>LOOKUP(EH36,{1,7,10,14,19,24,30,37,48,61},{1,"1+6","2+8","4+10","1+6+12","2+8+14","4+10+16","1+6+12+18","3+9+15+21","1+6+12+18+24"})</f>
        <v>1+6</v>
      </c>
      <c r="EG36" s="188">
        <f t="shared" si="29"/>
        <v>2</v>
      </c>
      <c r="EH36" s="197">
        <f>VLOOKUP(EE36,各项系数!$B$87:$C$110,2,0)</f>
        <v>7</v>
      </c>
      <c r="EI36" s="188">
        <f>IF(EH36=0,0,VLOOKUP(EH36,各项系数!$D$142:$E$195,2,0))*1</f>
        <v>3</v>
      </c>
      <c r="EJ36" s="238">
        <f t="shared" si="141"/>
        <v>131.13029499843299</v>
      </c>
      <c r="EK36" s="189">
        <f t="shared" si="245"/>
        <v>0</v>
      </c>
      <c r="EL36" s="189">
        <f t="shared" si="31"/>
        <v>0</v>
      </c>
      <c r="EM36" s="189">
        <f t="shared" si="182"/>
        <v>0</v>
      </c>
      <c r="EN36" s="189">
        <f>IF(EP36=0,0,LOOKUP(EP36,{1,7,10,14,19,24,30,37,48,61},{1,"1+6","2+8","4+10","1+6+12","2+8+14","4+10+16","1+6+12+18","3+9+15+21","1+6+12+18+24"}))</f>
        <v>0</v>
      </c>
      <c r="EO36" s="189">
        <f t="shared" si="246"/>
        <v>0</v>
      </c>
      <c r="EP36" s="189">
        <f>IF(EM36=0,0,IF(EM36&lt;10,1,IF(AND(EM36&gt;=10,EM36&lt;=35),7,LOOKUP(EM36,{50,70,95,120,150,185,240,300},{10,14,19,24,30,37,48,61})*1)))</f>
        <v>0</v>
      </c>
      <c r="EQ36" s="189">
        <f>IF(EP36=0,0,VLOOKUP(EP36,各项系数!$D$142:$E$195,2,0))*1</f>
        <v>0</v>
      </c>
      <c r="ER36" s="189">
        <f t="shared" si="247"/>
        <v>0</v>
      </c>
      <c r="ES36" s="235">
        <f t="shared" ref="ES36:ES61" si="250">EO36+EG36</f>
        <v>2</v>
      </c>
      <c r="ET36" s="189">
        <f>VLOOKUP(ES36,各项系数!$D$142:$E$195,2,0)*1</f>
        <v>2</v>
      </c>
      <c r="EU36" s="243">
        <f>((各项系数!$F$76/4*$EJ36^2*$EG36*$EH36*1*10^-7)*(1-$H36)*AA36)*(VLOOKUP($EY$9,各项系数!$D$4:$F$143,3,0))*各项系数!$J$4</f>
        <v>0.16908301790543415</v>
      </c>
      <c r="EV36" s="244">
        <f>EU36*(VLOOKUP($EY$9,各项系数!$D$4:$F$143,2,0))</f>
        <v>11.074937672805937</v>
      </c>
      <c r="EW36" s="252">
        <f>(IF($EO36=0,0,(各项系数!$F$76/4*$ER36^2*$EO36*$EP36*1*10^-7))*(1-$K36)*$AF36)*(VLOOKUP($EY$9,各项系数!$D$4:$F$143,3,0))*各项系数!$J$4</f>
        <v>0</v>
      </c>
      <c r="EX36" s="253">
        <f>EW36*(VLOOKUP($EY$9,各项系数!$D$4:$F$143,2,0))</f>
        <v>0</v>
      </c>
      <c r="EY36" s="189">
        <f>((各项系数!$F$76/4*$EJ36^2*$EG36*$EH36*1*10^-7)*(1-$H36)*AA36+IF($EO36=0,0,(各项系数!$F$76/4*$ER36^2*$EO36*$EP36*1*10^-7))*(1-$K36)*$AF36)*(VLOOKUP($EY$9,各项系数!$D$4:$F$143,3,0))*各项系数!$J$4</f>
        <v>0.16908301790543415</v>
      </c>
      <c r="EZ36" s="102">
        <v>1</v>
      </c>
      <c r="FA36" s="189">
        <f t="shared" si="188"/>
        <v>0.16908301790543415</v>
      </c>
      <c r="FB36" s="254">
        <f>FA36*(VLOOKUP($EY$9,各项系数!$D$4:$F$143,2,0))</f>
        <v>11.074937672805937</v>
      </c>
      <c r="FC36" s="255"/>
      <c r="FD36" s="235">
        <f>各项系数!$F$76/4*($MN36^2-MK36^2)*10^-2*(VLOOKUP(L36,各项系数!$D$1:$F$143,3,0))*10^-3*10^2*$EG36*各项系数!$J$4</f>
        <v>2.2306999685065342E-2</v>
      </c>
      <c r="FE36" s="262">
        <f>FD36*VLOOKUP(L36,各项系数!$D$1:$F$143,2,0)</f>
        <v>0.22753139678766648</v>
      </c>
      <c r="FF36" s="188">
        <f>各项系数!$F$76/4*($MO36^2-ML36^2)*10^-2*(VLOOKUP(L36,各项系数!$D$1:$F$143,3,0))*10^-3*10^2*$EO36*各项系数!$J$4</f>
        <v>0</v>
      </c>
      <c r="FG36" s="262">
        <f>FF36*VLOOKUP(L36,各项系数!$D$1:$F$143,2,0)</f>
        <v>0</v>
      </c>
      <c r="FH36" s="235">
        <f t="shared" si="142"/>
        <v>2.2306999685065342E-2</v>
      </c>
      <c r="FI36" s="102">
        <v>1</v>
      </c>
      <c r="FJ36" s="189">
        <f t="shared" si="189"/>
        <v>2.2306999685065342E-2</v>
      </c>
      <c r="FK36" s="262">
        <f>FJ36*VLOOKUP(L36,各项系数!$D$1:$F$143,2,0)</f>
        <v>0.22753139678766648</v>
      </c>
      <c r="FL36" s="235"/>
      <c r="FM36" s="53"/>
      <c r="FN36" s="189"/>
      <c r="FO36" s="262"/>
      <c r="FP36" s="282">
        <f t="shared" si="190"/>
        <v>2.2306999685065342E-2</v>
      </c>
      <c r="FQ36" s="282">
        <f t="shared" si="191"/>
        <v>0.22753139678766648</v>
      </c>
      <c r="FR36" s="283">
        <f>各项系数!$F$76/4*($MQ36^2-$MN36^2*$EG36-$MO36^2*$EO36)*10^-2</f>
        <v>0.44690072245637213</v>
      </c>
      <c r="FS36" s="284">
        <f t="shared" si="143"/>
        <v>0.05</v>
      </c>
      <c r="FT36" s="285">
        <f t="shared" si="40"/>
        <v>2.2345036122818608E-2</v>
      </c>
      <c r="FU36" s="302">
        <f>$FT36*(VLOOKUP($FT$9,各项系数!$D$1:$F$143,3,0))*10^-3*10^2*各项系数!$J$55</f>
        <v>2.6679973130645422E-3</v>
      </c>
      <c r="FV36" s="303">
        <v>1</v>
      </c>
      <c r="FW36" s="304">
        <f t="shared" si="192"/>
        <v>2.6679973130645422E-3</v>
      </c>
      <c r="FX36" s="285">
        <f>FW36*(VLOOKUP($FT$9,各项系数!$D$1:$F$143,2,0))</f>
        <v>8.0039919391936276E-3</v>
      </c>
      <c r="FY36" s="302">
        <f>IF($BK36&lt;&gt;$FY$9,0,各项系数!$F$76/4*($MS36^2-$MQ36^2)*10^-2*(VLOOKUP($FY$9,各项系数!$D$1:$F$143,3,0))*10^-3*10^2)*各项系数!$J$4</f>
        <v>0</v>
      </c>
      <c r="FZ36" s="303">
        <v>1</v>
      </c>
      <c r="GA36" s="304">
        <f t="shared" si="193"/>
        <v>0</v>
      </c>
      <c r="GB36" s="285">
        <f>GA36*(VLOOKUP($FY$9,各项系数!$D$1:$F$143,2,0))</f>
        <v>0</v>
      </c>
      <c r="GC36" s="302">
        <f>IF($BK36&lt;&gt;$GC$9,0,各项系数!$F$76/4*($MS36^2-$MQ36^2)*10^-2*(VLOOKUP($GC$9,各项系数!$D$1:$F$143,3,0))*10^-3*10^2)*各项系数!$J$4</f>
        <v>2.5039837974375331E-3</v>
      </c>
      <c r="GD36" s="303">
        <v>1</v>
      </c>
      <c r="GE36" s="304">
        <f t="shared" si="194"/>
        <v>2.5039837974375331E-3</v>
      </c>
      <c r="GF36" s="285">
        <f>GE36*(VLOOKUP($GC$9,各项系数!$D$1:$F$143,2,0))</f>
        <v>3.2301390986944178E-2</v>
      </c>
      <c r="GG36" s="302">
        <f>IF($BK36&lt;&gt;$GG$9,0,各项系数!$F$76/4*($MS36^2-$MQ36^2)*10^-2*(VLOOKUP($GG$9,各项系数!$D$1:$F$143,3,0))*10^-3*10^2)*各项系数!$J$4</f>
        <v>0</v>
      </c>
      <c r="GH36" s="303">
        <v>1</v>
      </c>
      <c r="GI36" s="304">
        <f t="shared" si="195"/>
        <v>0</v>
      </c>
      <c r="GJ36" s="285">
        <f>GI36*(VLOOKUP($GG$9,各项系数!$D$1:$F$143,2,0))</f>
        <v>0</v>
      </c>
      <c r="GK36" s="302">
        <f>IF($BK36&lt;&gt;$GK$9,0,各项系数!$F$76/4*($MS36^2-$MQ36^2)*10^-2*(VLOOKUP($GK$9,各项系数!$D$1:$F$143,3,0))*10^-3*10^2)*各项系数!$J$4</f>
        <v>0</v>
      </c>
      <c r="GL36" s="303">
        <v>1</v>
      </c>
      <c r="GM36" s="304">
        <f t="shared" si="196"/>
        <v>0</v>
      </c>
      <c r="GN36" s="285">
        <f>GM36*(VLOOKUP($GK$9,各项系数!$D$1:$F$143,2,0))</f>
        <v>0</v>
      </c>
      <c r="GO36" s="304">
        <f t="shared" si="197"/>
        <v>2.5039837974375331E-3</v>
      </c>
      <c r="GP36" s="304">
        <f t="shared" si="198"/>
        <v>3.2301390986944178E-2</v>
      </c>
      <c r="GQ36" s="315">
        <f>各项系数!$F$76/4*($MU36^2-$MS36^2)*10^-2*(VLOOKUP($S36,各项系数!$D$1:$F$143,3,0))*10^-3*10^2*各项系数!$J$4</f>
        <v>8.1535223501953885E-2</v>
      </c>
      <c r="GR36" s="303">
        <v>1</v>
      </c>
      <c r="GS36" s="304">
        <f t="shared" si="199"/>
        <v>8.1535223501953885E-2</v>
      </c>
      <c r="GT36" s="304">
        <f t="shared" si="200"/>
        <v>0</v>
      </c>
      <c r="GU36" s="304">
        <f>ROUNDUP($GS36*(VLOOKUP($S36,各项系数!$D$1:$F$143,2,0))+$E$3*GS36,GT36)</f>
        <v>1</v>
      </c>
      <c r="GV36" s="315">
        <f>各项系数!$F$76/4*($MT36^2-$MS36^2)*10^-2*(VLOOKUP($GV$9,各项系数!$D$1:$F$143,3,0))*10^-3*10^2*各项系数!$J$4*PI()/4*R36</f>
        <v>1.5223319576014247E-2</v>
      </c>
      <c r="GW36" s="303">
        <v>1</v>
      </c>
      <c r="GX36" s="304">
        <f t="shared" si="201"/>
        <v>1.5223319576014247E-2</v>
      </c>
      <c r="GY36" s="304">
        <f>$GX36*(VLOOKUP($GV$9,各项系数!$D$1:$F$143,2,0))</f>
        <v>1.0275740713809618</v>
      </c>
      <c r="GZ36" s="315">
        <f>各项系数!$F$76/4*($MV36^2-$MS36^2)*10^-2*(VLOOKUP($GZ$9,各项系数!$D$1:$F$143,3,0))*10^-3*10^2*各项系数!$J$4</f>
        <v>0.10294838133332604</v>
      </c>
      <c r="HA36" s="303">
        <v>1</v>
      </c>
      <c r="HB36" s="304">
        <f t="shared" si="144"/>
        <v>0.10294838133332604</v>
      </c>
      <c r="HC36" s="304">
        <f>HB36*(VLOOKUP($GZ$9,各项系数!$D$1:$F$143,2,0))</f>
        <v>1.7501224826665427</v>
      </c>
      <c r="HD36" s="315">
        <f>各项系数!$F$76/4*($MW36^2-$MT36^2)*10^-2*(VLOOKUP($HD$9,各项系数!$D$1:$F$143,3,0))*10^-3*10^2*各项系数!$J$4</f>
        <v>0.10425375078000444</v>
      </c>
      <c r="HE36" s="303">
        <v>1</v>
      </c>
      <c r="HF36" s="304">
        <f t="shared" si="145"/>
        <v>0.10425375078000444</v>
      </c>
      <c r="HG36" s="304">
        <f>HF36*(VLOOKUP($HD$9,各项系数!$D$1:$F$143,2,0))</f>
        <v>1.7723137632600756</v>
      </c>
      <c r="HH36" s="315">
        <f>各项系数!$F$76/4*($MV36^2-$MS36^2)*10^-2*(VLOOKUP($HH$9,各项系数!$D$1:$F$143,3,0))*10^-3*10^2*各项系数!$J$4</f>
        <v>0.10294838133332604</v>
      </c>
      <c r="HI36" s="322">
        <v>1</v>
      </c>
      <c r="HJ36" s="304">
        <f t="shared" si="146"/>
        <v>0.10294838133332604</v>
      </c>
      <c r="HK36" s="304">
        <f>HJ36*(VLOOKUP($HH$9,各项系数!$D$1:$F$143,2,0))</f>
        <v>1.7501224826665427</v>
      </c>
      <c r="HL36" s="315">
        <f>各项系数!$F$76/4*($MW36^2-$MT36^2)*10^-2*(VLOOKUP($HL$9,各项系数!$D$1:$F$143,3,0))*10^-3*10^2*各项系数!$J$4</f>
        <v>0.10425375078000444</v>
      </c>
      <c r="HM36" s="322">
        <v>1</v>
      </c>
      <c r="HN36" s="304">
        <f t="shared" si="147"/>
        <v>0.10425375078000444</v>
      </c>
      <c r="HO36" s="304">
        <f>HN36*(VLOOKUP($HL$9,各项系数!$D$1:$F$143,2,0))</f>
        <v>1.7723137632600756</v>
      </c>
      <c r="HP36" s="315">
        <f>各项系数!$F$76/4*($MV36^2-$MS36^2)*10^-2*(VLOOKUP(AN36,各项系数!$D$1:$F$143,3,0))*10^-3*10^2*各项系数!$J$4</f>
        <v>0.10436835900688916</v>
      </c>
      <c r="HQ36" s="303">
        <v>1</v>
      </c>
      <c r="HR36" s="304">
        <f t="shared" si="202"/>
        <v>0.10436835900688916</v>
      </c>
      <c r="HS36" s="304">
        <f>HR36*(VLOOKUP(AN36,各项系数!$D$1:$F$143,2,0))</f>
        <v>1.0436835900688917</v>
      </c>
      <c r="HT36" s="315">
        <f>各项系数!$F$76/4*($MW36^2-$MT36^2)*10^-2*(VLOOKUP(AN36,各项系数!$D$1:$F$143,3,0))*10^-3*10^2*各项系数!$J$4</f>
        <v>0.10569173354938383</v>
      </c>
      <c r="HU36" s="303">
        <v>1</v>
      </c>
      <c r="HV36" s="304">
        <f t="shared" si="203"/>
        <v>0.10569173354938383</v>
      </c>
      <c r="HW36" s="304">
        <f>HV36*(VLOOKUP(AN36,各项系数!$D$1:$F$143,2,0))</f>
        <v>1.0569173354938384</v>
      </c>
      <c r="HX36" s="315">
        <f>各项系数!$F$76/4*($MV36^2-$MS36^2)*10^-2*(VLOOKUP($HX$9,各项系数!$D$1:$F$143,3,0))*10^-3*10^2*各项系数!$J$4</f>
        <v>0.10436835900688916</v>
      </c>
      <c r="HY36" s="322">
        <v>1</v>
      </c>
      <c r="HZ36" s="304">
        <f t="shared" si="204"/>
        <v>0.10436835900688916</v>
      </c>
      <c r="IA36" s="304">
        <f>HZ36*(VLOOKUP($HX$9,各项系数!$D$1:$F$143,2,0))</f>
        <v>1.1480519490757808</v>
      </c>
      <c r="IB36" s="315">
        <f>各项系数!$F$76/4*($MW36^2-$MT36^2)*10^-2*(VLOOKUP($IB$9,各项系数!$D$1:$F$143,3,0))*10^-3*10^2*各项系数!$J$4</f>
        <v>0.10569173354938383</v>
      </c>
      <c r="IC36" s="322">
        <v>1</v>
      </c>
      <c r="ID36" s="304">
        <f t="shared" si="205"/>
        <v>0.10569173354938383</v>
      </c>
      <c r="IE36" s="304">
        <f>ID36*(VLOOKUP($IB$9,各项系数!$D$1:$F$143,2,0))</f>
        <v>1.162609069043222</v>
      </c>
      <c r="IF36" s="328"/>
      <c r="IG36" s="315">
        <f t="shared" si="148"/>
        <v>1.1911239768989841E-2</v>
      </c>
      <c r="IH36" s="303">
        <v>1</v>
      </c>
      <c r="II36" s="304">
        <f t="shared" si="206"/>
        <v>1.1911239768989841E-2</v>
      </c>
      <c r="IJ36" s="304">
        <f>II36*(VLOOKUP($IG$8,各项系数!$D$1:$F$143,2,0))</f>
        <v>0.29778099422474602</v>
      </c>
      <c r="IK36" s="315">
        <f>(各项系数!$F$76/4*($MX36^2-$MK36^2)*$EG36)*10^-2*(VLOOKUP($IG$8,各项系数!$D$1:$F$143,3,0))*10^-3*10^2*各项系数!$J$4</f>
        <v>1.1911239768989841E-2</v>
      </c>
      <c r="IL36" s="303">
        <f>IK36*(VLOOKUP($IG$8,各项系数!$D$1:$F$143,2,0))</f>
        <v>0.29778099422474602</v>
      </c>
      <c r="IM36" s="304">
        <f>(各项系数!$F$76/4*(($MM36+3*$X36)^2-MM36^2)*$EO36)*10^-2*(VLOOKUP($IG$8,各项系数!$D$1:$F$143,3,0))*10^-3*10^2*各项系数!$J$4</f>
        <v>0</v>
      </c>
      <c r="IN36" s="303">
        <f>IM36*(VLOOKUP($IG$8,各项系数!$D$1:$F$143,2,0))</f>
        <v>0</v>
      </c>
      <c r="IO36" s="315">
        <f>各项系数!$F$76/4*($MZ36^2-$MX36^2)*10^-2*(VLOOKUP(L36,各项系数!$D$1:$F$143,3,0))*10^-3*10^2*$ES36*各项系数!$J$4</f>
        <v>2.5195317138922729E-2</v>
      </c>
      <c r="IP36" s="303">
        <v>1</v>
      </c>
      <c r="IQ36" s="304">
        <f t="shared" si="207"/>
        <v>2.5195317138922729E-2</v>
      </c>
      <c r="IR36" s="285">
        <f>IQ36*(VLOOKUP(L36,各项系数!$D$1:$F$143,2,0))</f>
        <v>0.25699223481701183</v>
      </c>
      <c r="IS36" s="315">
        <f>IF($L36&lt;&gt;$IS$9,0,各项系数!$F$76/4*($MZ36^2-$MX36^2)*10^-2*各项系数!$F$12*10^-3*10^2)*$ES36*各项系数!$J$4</f>
        <v>0</v>
      </c>
      <c r="IT36" s="322">
        <v>1</v>
      </c>
      <c r="IU36" s="304">
        <f t="shared" si="208"/>
        <v>0</v>
      </c>
      <c r="IV36" s="285">
        <f>IU36*各项系数!$E$12</f>
        <v>0</v>
      </c>
      <c r="IW36" s="302">
        <f t="shared" si="209"/>
        <v>2.5195317138922729E-2</v>
      </c>
      <c r="IX36" s="302">
        <f t="shared" si="210"/>
        <v>0.25699223481701183</v>
      </c>
      <c r="IY36" s="339">
        <f>各项系数!$F$76/4*($NB36^2-$MZ36^2*$EG36-$NA36^2*$EO36)*10^-2</f>
        <v>0.55309740238129923</v>
      </c>
      <c r="IZ36" s="284">
        <f t="shared" si="231"/>
        <v>0.05</v>
      </c>
      <c r="JA36" s="285">
        <f t="shared" si="64"/>
        <v>2.7654870119064964E-2</v>
      </c>
      <c r="JB36" s="282">
        <f>IF($DE36&lt;&gt;$JB$9,0,$JA36*各项系数!$F$32*10^-3*10^2)*各项系数!$J$4</f>
        <v>0</v>
      </c>
      <c r="JC36" s="102">
        <v>1</v>
      </c>
      <c r="JD36" s="189">
        <f t="shared" si="211"/>
        <v>0</v>
      </c>
      <c r="JE36" s="262">
        <f>JD36*各项系数!$E$32</f>
        <v>0</v>
      </c>
      <c r="JF36" s="282">
        <f>IF($DE36&lt;&gt;$JF$9,0,$JA36*VLOOKUP($JF$9,各项系数!$D$4:$F$540,2,0)*10^-3*10^2)*各项系数!$J$4</f>
        <v>1.3758297884234823E-2</v>
      </c>
      <c r="JG36" s="102">
        <v>1</v>
      </c>
      <c r="JH36" s="189">
        <f t="shared" si="66"/>
        <v>1.3758297884234823E-2</v>
      </c>
      <c r="JI36" s="262">
        <f>JH36*VLOOKUP($JF$9,各项系数!$D$4:$F$540,3,0)</f>
        <v>1.6509957461081786E-2</v>
      </c>
      <c r="JJ36" s="282">
        <f t="shared" si="212"/>
        <v>1.3758297884234823E-2</v>
      </c>
      <c r="JK36" s="189">
        <f t="shared" si="213"/>
        <v>1.6509957461081786E-2</v>
      </c>
      <c r="JL36" s="282">
        <f>IF($DF36&lt;&gt;$JL$9,0,各项系数!$F$76/4*($NE36^2-$NC36^2)*10^-2*各项系数!$F$39*10^-3*10^2)*各项系数!$J$4</f>
        <v>1.1889910749402204E-3</v>
      </c>
      <c r="JM36" s="102">
        <v>1</v>
      </c>
      <c r="JN36" s="189">
        <f t="shared" si="214"/>
        <v>1.1889910749402204E-3</v>
      </c>
      <c r="JO36" s="262">
        <f>JN36*各项系数!$E$39</f>
        <v>2.3779821498804407E-2</v>
      </c>
      <c r="JP36" s="282">
        <f>IF($DF36&lt;&gt;$JP$9,0,各项系数!$F$76/4*($NE36^2-$NC36^2)*10^-2*各项系数!$F$36*10^-3*10^2)*各项系数!$J$4</f>
        <v>0</v>
      </c>
      <c r="JQ36" s="102">
        <v>1</v>
      </c>
      <c r="JR36" s="189">
        <f t="shared" si="215"/>
        <v>0</v>
      </c>
      <c r="JS36" s="262">
        <f>JR36*各项系数!$E$36</f>
        <v>0</v>
      </c>
      <c r="JT36" s="282">
        <f>IF($DF36&lt;&gt;$JT$9,0,各项系数!$F$76/4*($NE36^2-$NC36^2)*10^-2*各项系数!$F$40*10^-3*10^2)*各项系数!$J$4</f>
        <v>0</v>
      </c>
      <c r="JU36" s="102">
        <v>1</v>
      </c>
      <c r="JV36" s="189">
        <f t="shared" si="216"/>
        <v>0</v>
      </c>
      <c r="JW36" s="262">
        <f>JV36*各项系数!$E$40</f>
        <v>0</v>
      </c>
      <c r="JX36" s="282">
        <f>IF($DF36&lt;&gt;$JX$9,0,各项系数!$F$76/4*($NE36^2-$NC36^2)*10^-2*各项系数!$F$38*10^-3*10^2)*各项系数!$J$4</f>
        <v>0</v>
      </c>
      <c r="JY36" s="102">
        <v>1</v>
      </c>
      <c r="JZ36" s="189">
        <f t="shared" si="217"/>
        <v>0</v>
      </c>
      <c r="KA36" s="262">
        <f>JZ36*各项系数!$E$38</f>
        <v>0</v>
      </c>
      <c r="KB36" s="282">
        <f>IF($DF36&lt;&gt;$KB$9,0,各项系数!$F$76/4*($NE36^2-$NC36^2)*10^-2*各项系数!$F$41*10^-3*10^2)*各项系数!$J$4</f>
        <v>0</v>
      </c>
      <c r="KC36" s="102">
        <v>1</v>
      </c>
      <c r="KD36" s="189">
        <f t="shared" si="218"/>
        <v>0</v>
      </c>
      <c r="KE36" s="262">
        <f>KD36*各项系数!$E$41</f>
        <v>0</v>
      </c>
      <c r="KF36" s="189">
        <f t="shared" si="219"/>
        <v>1.1889910749402204E-3</v>
      </c>
      <c r="KG36" s="189">
        <f t="shared" si="220"/>
        <v>2.3779821498804407E-2</v>
      </c>
      <c r="KH36" s="235">
        <f>各项系数!$F$76/4*($NG36^2-$NE36^2)*10^-2*各项系数!$F$44*10^-3*10^2*各项系数!$J$4*0.75*$U36</f>
        <v>0.13617543311323549</v>
      </c>
      <c r="KI36" s="102">
        <v>1</v>
      </c>
      <c r="KJ36" s="189">
        <f t="shared" si="221"/>
        <v>0.13617543311323549</v>
      </c>
      <c r="KK36" s="189">
        <f>ROUND(KJ36*各项系数!$E$43,GT36)</f>
        <v>1</v>
      </c>
      <c r="KL36" s="235">
        <f>各项系数!$F$76/4*($NF36^2-$NE36^2)*10^-2*各项系数!$F$46*10^-3*10^2*各项系数!$J$4*PI()/4*R36</f>
        <v>1.6984931115881736E-2</v>
      </c>
      <c r="KM36" s="102">
        <v>1</v>
      </c>
      <c r="KN36" s="189">
        <f t="shared" si="222"/>
        <v>1.6984931115881736E-2</v>
      </c>
      <c r="KO36" s="189">
        <f>KN36*各项系数!$E$46</f>
        <v>1.1464828503220172</v>
      </c>
      <c r="KP36" s="235">
        <f>各项系数!$F$76/4*($NH36^2-$NE36^2)*10^-2*(VLOOKUP($KP$9,各项系数!$D$1:$F$143,3,0))*10^-3*10^2*各项系数!$J$4</f>
        <v>0.11323752041130131</v>
      </c>
      <c r="KQ36" s="102">
        <v>1</v>
      </c>
      <c r="KR36" s="189">
        <f t="shared" si="150"/>
        <v>0.11323752041130131</v>
      </c>
      <c r="KS36" s="189">
        <f>KR36*(VLOOKUP($KP$9,各项系数!$D$1:$F$143,2,0))</f>
        <v>1.9250378469921223</v>
      </c>
      <c r="KT36" s="235">
        <f>各项系数!$F$76/4*($NI36^2-$NF36^2)*10^-2*(VLOOKUP($KT$9,各项系数!$D$1:$F$143,3,0))*10^-3*10^2*各项系数!$J$4</f>
        <v>0.11454288985797971</v>
      </c>
      <c r="KU36" s="102">
        <v>1</v>
      </c>
      <c r="KV36" s="189">
        <f t="shared" si="151"/>
        <v>0.11454288985797971</v>
      </c>
      <c r="KW36" s="189">
        <f>KV36*(VLOOKUP($KT$9,各项系数!$D$1:$F$143,2,0))</f>
        <v>1.947229127585655</v>
      </c>
      <c r="KX36" s="189">
        <f>各项系数!$F$76/4*($NH36^2-$NE36^2)*10^-2*(VLOOKUP($KX$9,各项系数!$D$1:$F$143,3,0))*10^-3*10^2*各项系数!$J$4</f>
        <v>0.11323752041130131</v>
      </c>
      <c r="KY36" s="353">
        <v>1</v>
      </c>
      <c r="KZ36" s="189">
        <f t="shared" si="152"/>
        <v>0.11323752041130131</v>
      </c>
      <c r="LA36" s="189">
        <f>KZ36*(VLOOKUP($KX$9,各项系数!$D$1:$F$143,2,0))</f>
        <v>1.9250378469921223</v>
      </c>
      <c r="LB36" s="189">
        <f>各项系数!$F$76/4*($NI36^2-$NF36^2)*10^-2*(VLOOKUP($LB$9,各项系数!$D$1:$F$143,3,0))*10^-3*10^2*各项系数!$J$4</f>
        <v>0.11454288985797971</v>
      </c>
      <c r="LC36" s="353">
        <v>1</v>
      </c>
      <c r="LD36" s="189">
        <f t="shared" si="153"/>
        <v>0.11454288985797971</v>
      </c>
      <c r="LE36" s="189">
        <f>LD36*(VLOOKUP($LB$9,各项系数!$D$1:$F$143,2,0))</f>
        <v>1.947229127585655</v>
      </c>
      <c r="LF36" s="235">
        <f>各项系数!$F$76/4*($NH36^2-$NE36^2)*10^-2*(VLOOKUP(AN36,各项系数!$D$1:$F$143,3,0))*10^-3*10^2*各项系数!$J$4</f>
        <v>0.11479941724456065</v>
      </c>
      <c r="LG36" s="102">
        <v>1</v>
      </c>
      <c r="LH36" s="189">
        <f t="shared" si="223"/>
        <v>0.11479941724456065</v>
      </c>
      <c r="LI36" s="189">
        <f>LH36*(VLOOKUP(AN36,各项系数!$D$1:$F$143,2,0))</f>
        <v>1.1479941724456064</v>
      </c>
      <c r="LJ36" s="235">
        <f>各项系数!$F$76/4*($NI36^2-$NF36^2)*10^-2*(VLOOKUP(AN36,各项系数!$D$1:$F$143,3,0))*10^-3*10^2*各项系数!$J$4</f>
        <v>0.11612279178705531</v>
      </c>
      <c r="LK36" s="102">
        <v>1</v>
      </c>
      <c r="LL36" s="189">
        <f t="shared" si="224"/>
        <v>0.11612279178705531</v>
      </c>
      <c r="LM36" s="189">
        <f>LL36*(VLOOKUP(AN36,各项系数!$D$1:$F$143,2,0))</f>
        <v>1.1612279178705531</v>
      </c>
      <c r="LN36" s="189">
        <f>各项系数!$F$76/4*($NH36^2-$NE36^2)*10^-2*(VLOOKUP($LN$9,各项系数!$D$1:$F$143,3,0))*10^-3*10^2*各项系数!$J$4</f>
        <v>0.11479941724456065</v>
      </c>
      <c r="LO36" s="353">
        <v>1</v>
      </c>
      <c r="LP36" s="189">
        <f t="shared" si="225"/>
        <v>0.11479941724456065</v>
      </c>
      <c r="LQ36" s="189">
        <f>LP36*(VLOOKUP($LN$9,各项系数!$D$1:$F$143,2,0))</f>
        <v>1.2627935896901672</v>
      </c>
      <c r="LR36" s="189">
        <f>各项系数!$F$76/4*($NI36^2-$NF36^2)*10^-2*(VLOOKUP($LR$9,各项系数!$D$1:$F$143,3,0))*10^-3*10^2*各项系数!$J$4</f>
        <v>0.11612279178705531</v>
      </c>
      <c r="LS36" s="353">
        <v>1</v>
      </c>
      <c r="LT36" s="189">
        <f t="shared" si="226"/>
        <v>0.11612279178705531</v>
      </c>
      <c r="LU36" s="189">
        <f>LT36*(VLOOKUP($LR$9,各项系数!$D$1:$F$143,2,0))</f>
        <v>1.2773507096576084</v>
      </c>
      <c r="LV36" s="227">
        <f t="shared" si="154"/>
        <v>24.309076640000001</v>
      </c>
      <c r="LW36" s="227">
        <f t="shared" si="155"/>
        <v>18.907059610000001</v>
      </c>
      <c r="LX36" s="227">
        <f t="shared" si="156"/>
        <v>4.9064463688210207</v>
      </c>
      <c r="LY36" s="227">
        <f t="shared" si="157"/>
        <v>5.4020170299999997</v>
      </c>
      <c r="LZ36" s="374">
        <f t="shared" si="86"/>
        <v>1</v>
      </c>
      <c r="MA36" s="375">
        <f t="shared" si="87"/>
        <v>24.309076640000001</v>
      </c>
      <c r="MB36" s="375">
        <f t="shared" si="158"/>
        <v>3.9339088499999999</v>
      </c>
      <c r="MC36" s="227">
        <f t="shared" si="159"/>
        <v>0</v>
      </c>
      <c r="MD36" s="227">
        <f t="shared" si="160"/>
        <v>0</v>
      </c>
      <c r="ME36" s="227">
        <f t="shared" si="161"/>
        <v>0</v>
      </c>
      <c r="MF36" s="227">
        <f t="shared" si="162"/>
        <v>0</v>
      </c>
      <c r="MG36" s="374">
        <f t="shared" si="163"/>
        <v>1</v>
      </c>
      <c r="MH36" s="375">
        <f t="shared" si="88"/>
        <v>0</v>
      </c>
      <c r="MI36" s="375">
        <f t="shared" si="164"/>
        <v>0</v>
      </c>
      <c r="MJ36" s="189">
        <f t="shared" si="89"/>
        <v>3.9339088499999999</v>
      </c>
      <c r="MK36" s="189">
        <f t="shared" si="165"/>
        <v>3.9339088499999999</v>
      </c>
      <c r="ML36" s="189">
        <f t="shared" si="227"/>
        <v>0</v>
      </c>
      <c r="MM36" s="189">
        <f t="shared" si="91"/>
        <v>0</v>
      </c>
      <c r="MN36" s="189">
        <f t="shared" si="92"/>
        <v>5.3339088500000003</v>
      </c>
      <c r="MO36" s="189">
        <f t="shared" si="166"/>
        <v>0</v>
      </c>
      <c r="MP36" s="189">
        <f t="shared" si="167"/>
        <v>10.667817700000001</v>
      </c>
      <c r="MQ36" s="189">
        <f t="shared" si="228"/>
        <v>10.667817700000001</v>
      </c>
      <c r="MR36" s="246">
        <f t="shared" si="168"/>
        <v>10.642451469999999</v>
      </c>
      <c r="MS36" s="380">
        <f t="shared" si="94"/>
        <v>10.818451469999999</v>
      </c>
      <c r="MT36" s="380">
        <f t="shared" si="95"/>
        <v>10.97845147</v>
      </c>
      <c r="MU36" s="380">
        <f t="shared" si="232"/>
        <v>11.418451469999999</v>
      </c>
      <c r="MV36" s="380">
        <f t="shared" si="97"/>
        <v>14.418451469999999</v>
      </c>
      <c r="MW36" s="380">
        <f t="shared" si="98"/>
        <v>14.578451469999999</v>
      </c>
      <c r="MX36" s="254">
        <f t="shared" si="233"/>
        <v>4.5339088499999995</v>
      </c>
      <c r="MY36" s="254">
        <f t="shared" si="100"/>
        <v>0</v>
      </c>
      <c r="MZ36" s="189">
        <f t="shared" si="101"/>
        <v>5.9339088499999999</v>
      </c>
      <c r="NA36" s="189">
        <f t="shared" si="102"/>
        <v>0</v>
      </c>
      <c r="NB36" s="189">
        <f t="shared" si="169"/>
        <v>11.8678177</v>
      </c>
      <c r="NC36" s="254">
        <f t="shared" si="229"/>
        <v>11.8678177</v>
      </c>
      <c r="ND36" s="246">
        <f t="shared" si="234"/>
        <v>11.83959808</v>
      </c>
      <c r="NE36" s="386">
        <f t="shared" si="235"/>
        <v>12.07959808</v>
      </c>
      <c r="NF36" s="380">
        <f t="shared" si="106"/>
        <v>12.23959808</v>
      </c>
      <c r="NG36" s="387">
        <f t="shared" si="236"/>
        <v>12.67959808</v>
      </c>
      <c r="NH36" s="254">
        <f t="shared" si="108"/>
        <v>15.67959808</v>
      </c>
      <c r="NI36" s="380">
        <f t="shared" si="109"/>
        <v>15.83959808</v>
      </c>
      <c r="NK36" s="388">
        <f t="shared" si="110"/>
        <v>0.30093035770789073</v>
      </c>
      <c r="NL36" s="388">
        <f t="shared" si="111"/>
        <v>12.386458042588634</v>
      </c>
      <c r="NM36" s="388">
        <f t="shared" si="112"/>
        <v>0.30093035770789073</v>
      </c>
      <c r="NN36" s="388">
        <f t="shared" si="113"/>
        <v>12.490826401595523</v>
      </c>
      <c r="NO36" s="388">
        <f t="shared" si="114"/>
        <v>0.33593628101708239</v>
      </c>
      <c r="NP36" s="388">
        <f t="shared" si="115"/>
        <v>12.817994853253188</v>
      </c>
      <c r="NQ36" s="388">
        <f t="shared" si="116"/>
        <v>0.33593628101708239</v>
      </c>
      <c r="NR36" s="388">
        <f t="shared" si="117"/>
        <v>12.93279427049775</v>
      </c>
      <c r="NS36" s="388">
        <f t="shared" si="118"/>
        <v>0.31615367728390498</v>
      </c>
      <c r="NT36" s="388">
        <f t="shared" si="119"/>
        <v>0.31615367728390498</v>
      </c>
      <c r="NU36" s="388">
        <f t="shared" si="120"/>
        <v>0.35292121213296412</v>
      </c>
      <c r="NV36" s="388">
        <f t="shared" si="121"/>
        <v>0.35292121213296412</v>
      </c>
      <c r="NW36">
        <f t="shared" si="122"/>
        <v>0.38246558120984464</v>
      </c>
      <c r="NX36">
        <f>各项系数!$M$9*NK36</f>
        <v>9.0279107312367213E-2</v>
      </c>
      <c r="NY36">
        <f t="shared" si="123"/>
        <v>0.31615367728390498</v>
      </c>
    </row>
    <row r="37" spans="1:398" ht="15" hidden="1" customHeight="1">
      <c r="A37" s="69"/>
      <c r="B37" s="70"/>
      <c r="C37" s="71"/>
      <c r="D37" s="53" t="s">
        <v>137</v>
      </c>
      <c r="E37" s="61">
        <f t="shared" si="240"/>
        <v>16.47075121</v>
      </c>
      <c r="F37" s="68">
        <f>$F$21</f>
        <v>165.41681820668899</v>
      </c>
      <c r="G37" s="58"/>
      <c r="H37" s="62"/>
      <c r="I37" s="62"/>
      <c r="J37" s="16"/>
      <c r="K37" s="62"/>
      <c r="L37" s="97" t="s">
        <v>467</v>
      </c>
      <c r="M37" s="103">
        <f t="shared" si="2"/>
        <v>0.7</v>
      </c>
      <c r="N37" s="103">
        <f t="shared" si="3"/>
        <v>0</v>
      </c>
      <c r="O37" s="53">
        <f>$O$36</f>
        <v>0.08</v>
      </c>
      <c r="P37" s="99">
        <v>0.1</v>
      </c>
      <c r="Q37" s="133">
        <f t="shared" si="248"/>
        <v>0.1</v>
      </c>
      <c r="R37" s="70">
        <v>0.8</v>
      </c>
      <c r="S37" s="142" t="str">
        <f>各项系数!$D$43</f>
        <v>钢带</v>
      </c>
      <c r="T37" s="53">
        <v>0.2</v>
      </c>
      <c r="U37" s="102">
        <v>2</v>
      </c>
      <c r="V37" s="140"/>
      <c r="W37" s="141">
        <v>1.8</v>
      </c>
      <c r="X37" s="135">
        <f t="shared" si="249"/>
        <v>0.2</v>
      </c>
      <c r="Y37" s="135"/>
      <c r="Z37" s="168"/>
      <c r="AA37" s="153">
        <f>$AA$21</f>
        <v>1.0109999999999999</v>
      </c>
      <c r="AB37" s="153">
        <f>PI()*EJ37*EJ37/4*EH37*(1-H37)*AA37*各项系数!$F$5*各项系数!$J$4*10^-7</f>
        <v>0.13453127076823812</v>
      </c>
      <c r="AC37" s="153">
        <f t="shared" si="241"/>
        <v>165.41681820668899</v>
      </c>
      <c r="AD37" s="153">
        <f t="shared" si="5"/>
        <v>15.208920956666134</v>
      </c>
      <c r="AE37" s="153">
        <f>POWER(4*EU37/PI()/EG37/10^-7/EH37/(1-H37)/各项系数!$F$5/各项系数!$J$4,0.5)</f>
        <v>166.32412244418023</v>
      </c>
      <c r="AF37" s="69">
        <v>1</v>
      </c>
      <c r="AG37" s="69">
        <f>IF(EM37=0,0,PI()*ER37*ER37/4*EP37*(1-K37)*(1+AF37)*各项系数!$F$5*各项系数!$J$4*10^-7)</f>
        <v>0</v>
      </c>
      <c r="AH37" s="69">
        <f t="shared" si="242"/>
        <v>0</v>
      </c>
      <c r="AI37" s="69">
        <f t="shared" si="128"/>
        <v>0</v>
      </c>
      <c r="AJ37" s="69">
        <f>IF(OR(EP37="",EP37=0),0,POWER(4*EW37/PI()/EO37/10^-7/EP37/(1-K37)/各项系数!$F$5/各项系数!$J$4,0.5))</f>
        <v>0</v>
      </c>
      <c r="AK37" s="69" t="str">
        <f t="shared" si="8"/>
        <v>√</v>
      </c>
      <c r="AL37" s="69">
        <f t="shared" si="243"/>
        <v>19.796240867351543</v>
      </c>
      <c r="AM37" s="188">
        <f t="shared" si="244"/>
        <v>16</v>
      </c>
      <c r="AN37" s="97" t="s">
        <v>486</v>
      </c>
      <c r="AO37" s="196">
        <f>AP37+各项系数!$M$9*$NK37</f>
        <v>19.4080792817172</v>
      </c>
      <c r="AP37" s="196">
        <f>AQ37*(1+$BI37+(VLOOKUP($AM37,$A$12:$B$323,2,0))+各项系数!$J$6+各项系数!$M$5)*(1+$E$2)</f>
        <v>19.280775355482277</v>
      </c>
      <c r="AQ37" s="197">
        <f>AR37+各项系数!$L$9*$NK37</f>
        <v>19.674260566818649</v>
      </c>
      <c r="AR37" s="197">
        <f>AS37*(1+$BJ37+各项系数!$J$5+各项系数!$L$5)</f>
        <v>19.546956640583726</v>
      </c>
      <c r="AS37" s="197">
        <f t="shared" si="129"/>
        <v>19.163682980964438</v>
      </c>
      <c r="AT37" s="196">
        <f>AU37+各项系数!$M$9*$NM37</f>
        <v>20.229086809249633</v>
      </c>
      <c r="AU37" s="196">
        <f>AV37*(1+$BI37+(VLOOKUP($AM37,$A$12:$B$323,2,0))+各项系数!$J$6+各项系数!$M$5)*(1+$E$2)</f>
        <v>20.10178288301471</v>
      </c>
      <c r="AV37" s="197">
        <f>AW37+各项系数!$L$9*$NM37</f>
        <v>20.51202335001501</v>
      </c>
      <c r="AW37" s="197">
        <f>AX37*(1+$BJ37+各项系数!$J$5+各项系数!$L$5)</f>
        <v>20.384719423780087</v>
      </c>
      <c r="AX37" s="197">
        <f t="shared" si="130"/>
        <v>19.985019042921653</v>
      </c>
      <c r="AY37" s="196">
        <f>AZ37+各项系数!$M$9*$NS37</f>
        <v>20.652642494998595</v>
      </c>
      <c r="AZ37" s="196">
        <f>BA37*(1+$BI37+(VLOOKUP($AM37,$A$12:$B$214,2,0))+各项系数!$J$6+各项系数!$M$5)*(1+$E$2)</f>
        <v>20.51991155672544</v>
      </c>
      <c r="BA37" s="197">
        <f>BB37+各项系数!$L$9*$NS37</f>
        <v>20.938685261964736</v>
      </c>
      <c r="BB37" s="197">
        <f>BC37*(1+$BJ37+各项系数!$J$5+各项系数!$L$5)</f>
        <v>20.80595432369158</v>
      </c>
      <c r="BC37" s="199">
        <f t="shared" si="131"/>
        <v>20.397994434991745</v>
      </c>
      <c r="BD37" s="196">
        <f>BE37+各项系数!$M$9*$NS37</f>
        <v>21.482603974685549</v>
      </c>
      <c r="BE37" s="196">
        <f>BF37*(1+$BI37+(VLOOKUP($AM37,$A$12:$B$214,2,0))+各项系数!$J$6+各项系数!$M$5)*(1+$E$2)</f>
        <v>21.349873036412394</v>
      </c>
      <c r="BF37" s="197">
        <f>BG37+各项系数!$L$9*$NS37</f>
        <v>21.785584731033055</v>
      </c>
      <c r="BG37" s="197">
        <f>BH37*(1+$BJ37+各项系数!$J$5+各项系数!$L$5)</f>
        <v>21.652853792759899</v>
      </c>
      <c r="BH37" s="199">
        <f t="shared" si="132"/>
        <v>21.228288032117547</v>
      </c>
      <c r="BI37" s="212"/>
      <c r="BJ37" s="208"/>
      <c r="BK37" s="53" t="s">
        <v>514</v>
      </c>
      <c r="BL37" s="196">
        <f>BM37+各项系数!$M$9*$NM37</f>
        <v>19.718367116918714</v>
      </c>
      <c r="BM37" s="196">
        <f>BN37*(1+$CF37+(VLOOKUP($AM37,$A$12:$B$323,2,0))+各项系数!$J$6+各项系数!$M$5)*(1+$E$2)</f>
        <v>19.591063190683791</v>
      </c>
      <c r="BN37" s="197">
        <f>BO37+各项系数!$L$9*$NM37</f>
        <v>19.990880806820194</v>
      </c>
      <c r="BO37" s="197">
        <f>BP37*(1+$CG37+各项系数!$J$5+各项系数!$L$5)</f>
        <v>19.863576880585271</v>
      </c>
      <c r="BP37" s="197">
        <f t="shared" si="133"/>
        <v>19.285026097655603</v>
      </c>
      <c r="BQ37" s="196">
        <f>BR37+各项系数!$M$9*$NM37</f>
        <v>20.424939995870265</v>
      </c>
      <c r="BR37" s="196">
        <f>BS37*(1+$CF37+(VLOOKUP($AM37,$A$12:$B$323,2,0))+各项系数!$J$6+各项系数!$M$5)*(1+$E$2)</f>
        <v>20.297636069635342</v>
      </c>
      <c r="BS37" s="197">
        <f>BT37+各项系数!$L$9*$NM37</f>
        <v>20.711873540444227</v>
      </c>
      <c r="BT37" s="197">
        <f>BU37*(1+$CG37+各项系数!$J$5+各项系数!$L$5)</f>
        <v>20.584569614209304</v>
      </c>
      <c r="BU37" s="197">
        <f t="shared" si="134"/>
        <v>19.985019042921653</v>
      </c>
      <c r="BV37" s="196">
        <f>BW37+各项系数!$M$9*$NT37</f>
        <v>20.854384212296956</v>
      </c>
      <c r="BW37" s="196">
        <f>BX37*(1+$CF37+(VLOOKUP($AM37,$A$12:$B$214,2,0))+各项系数!$J$6+各项系数!$M$5)*(1+$E$2)</f>
        <v>20.721653274023801</v>
      </c>
      <c r="BX37" s="197">
        <f>BY37+各项系数!$L$9*$NT$12</f>
        <v>21.144544157167143</v>
      </c>
      <c r="BY37" s="197">
        <f>BZ37*(1+$CG37+各项系数!$J$5+各项系数!$L$5)</f>
        <v>21.136280754012169</v>
      </c>
      <c r="BZ37" s="199">
        <f t="shared" si="11"/>
        <v>20.520660926225407</v>
      </c>
      <c r="CA37" s="196">
        <f>CB37+各项系数!$M$9*$NT37</f>
        <v>21.568663012984484</v>
      </c>
      <c r="CB37" s="196">
        <f>CC37*(1+$CF37+(VLOOKUP($AM37,$A$12:$B$214,2,0))+各项系数!$J$6+各项系数!$M$5)*(1+$E$2)</f>
        <v>21.435932074711328</v>
      </c>
      <c r="CC37" s="197">
        <f>CD37+各项系数!$L$9*$NT$12</f>
        <v>21.873400076236049</v>
      </c>
      <c r="CD37" s="197">
        <f>CE37*(1+$CG37+各项系数!$J$5+各项系数!$L$5)</f>
        <v>21.865136673081075</v>
      </c>
      <c r="CE37" s="199">
        <f t="shared" si="135"/>
        <v>21.228288032117547</v>
      </c>
      <c r="CF37" s="213">
        <f t="shared" si="136"/>
        <v>0</v>
      </c>
      <c r="CG37" s="213">
        <f t="shared" si="12"/>
        <v>0.01</v>
      </c>
      <c r="CH37" s="53"/>
      <c r="CI37" s="196">
        <f>CJ37+各项系数!$M$9*$NO37</f>
        <v>20.065201698947373</v>
      </c>
      <c r="CJ37" s="196">
        <f>CK37*(1+$DC37+(VLOOKUP($AM37,$A$12:$B$323,2,0))+各项系数!$J$6+各项系数!$M$5)*(1+$E$2)+各项系数!$M$9*$NK37</f>
        <v>19.925374438098352</v>
      </c>
      <c r="CK37" s="197">
        <f>CL37+各项系数!$L$9*$NO37</f>
        <v>20.202112767207581</v>
      </c>
      <c r="CL37" s="197">
        <f>CM37*(1+$DD37+各项系数!$J$5+各项系数!$L$5)</f>
        <v>20.06228550635856</v>
      </c>
      <c r="CM37" s="197">
        <f t="shared" si="13"/>
        <v>19.668907359175059</v>
      </c>
      <c r="CN37" s="196">
        <f>CO37+各项系数!$M$9*$NO37</f>
        <v>20.781940368336041</v>
      </c>
      <c r="CO37" s="196">
        <f>CP37*(1+$DC37+(VLOOKUP($AM37,$A$12:$B$323,2,0))+各项系数!$J$6+各项系数!$M$5)*(1+$E$2)+各项系数!$M$9*$NK37</f>
        <v>20.64211310748702</v>
      </c>
      <c r="CP37" s="197">
        <f>CQ37+各项系数!$L$9*$NO37</f>
        <v>20.933478756379692</v>
      </c>
      <c r="CQ37" s="197">
        <f>CR37*(1+$DD37+各项系数!$J$5+各项系数!$L$5)</f>
        <v>20.793651495530671</v>
      </c>
      <c r="CR37" s="197">
        <f t="shared" si="14"/>
        <v>20.385932838755561</v>
      </c>
      <c r="CS37" s="196">
        <f>CT37+各项系数!$M$9*$NU37</f>
        <v>21.302368598678008</v>
      </c>
      <c r="CT37" s="196">
        <f t="shared" si="15"/>
        <v>21.156585842328791</v>
      </c>
      <c r="CU37" s="197">
        <f>CV37+各项系数!$L$9*$NU37</f>
        <v>21.588352900335501</v>
      </c>
      <c r="CV37" s="197">
        <f>CW37*(1+$DD37+各项系数!$J$5+各项系数!$L$5)</f>
        <v>21.442570143986288</v>
      </c>
      <c r="CW37" s="199">
        <f t="shared" si="16"/>
        <v>21.02212759214342</v>
      </c>
      <c r="CX37" s="196">
        <f>CY37+各项系数!$M$9*$NU37</f>
        <v>22.202906618401045</v>
      </c>
      <c r="CY37" s="196">
        <f t="shared" si="17"/>
        <v>22.057123862051828</v>
      </c>
      <c r="CZ37" s="197">
        <f>DA37+各项系数!$L$9*$NU37</f>
        <v>22.507269246991662</v>
      </c>
      <c r="DA37" s="197">
        <f>DB37*(1+$DD37+各项系数!$J$5+各项系数!$L$5)</f>
        <v>22.361486490642449</v>
      </c>
      <c r="DB37" s="199">
        <f t="shared" si="18"/>
        <v>21.923025971218088</v>
      </c>
      <c r="DC37" s="213">
        <f t="shared" si="137"/>
        <v>0</v>
      </c>
      <c r="DD37" s="213">
        <f t="shared" si="19"/>
        <v>0</v>
      </c>
      <c r="DE37" s="53" t="s">
        <v>498</v>
      </c>
      <c r="DF37" s="53" t="s">
        <v>513</v>
      </c>
      <c r="DG37" s="196">
        <f>DH37+各项系数!$M$9*$NQ37</f>
        <v>20.390969843240459</v>
      </c>
      <c r="DH37" s="196">
        <f>DI37*(1+$EA37+(VLOOKUP($AM37,$A$12:$B$323,2,0))+各项系数!$J$6+各项系数!$M$5)*(1+$E$2)+各项系数!$M$9*$NK37</f>
        <v>20.251142582391438</v>
      </c>
      <c r="DI37" s="197">
        <f>DJ37+各项系数!$L$9*$NQ37</f>
        <v>20.534529240976035</v>
      </c>
      <c r="DJ37" s="197">
        <f>DK37*(1+$EB37+各项系数!$J$5+各项系数!$L$5)</f>
        <v>20.394701980127014</v>
      </c>
      <c r="DK37" s="197">
        <f t="shared" si="20"/>
        <v>19.800681534103898</v>
      </c>
      <c r="DL37" s="196">
        <f>DM37+各项系数!$M$9*$NQ37</f>
        <v>21.158282078906087</v>
      </c>
      <c r="DM37" s="196">
        <f>DN37*(1+$EA37+(VLOOKUP($AM37,$A$12:$B$323,2,0))+各项系数!$J$6+各项系数!$M$5)*(1+$E$2)+各项系数!$M$9*$NK37</f>
        <v>21.018454818057066</v>
      </c>
      <c r="DN37" s="197">
        <f>DO37+各项系数!$L$9*$NQ37</f>
        <v>21.317500910022595</v>
      </c>
      <c r="DO37" s="197">
        <f>DP37*(1+$EB37+各项系数!$J$5+各项系数!$L$5)</f>
        <v>21.177673649173574</v>
      </c>
      <c r="DP37" s="197">
        <f t="shared" si="21"/>
        <v>20.560848203081139</v>
      </c>
      <c r="DQ37" s="196">
        <f>DR37+各项系数!$M$9*$NV37</f>
        <v>21.642734115517378</v>
      </c>
      <c r="DR37" s="196">
        <f t="shared" si="22"/>
        <v>21.496951359168161</v>
      </c>
      <c r="DS37" s="197">
        <f>DT37+各项系数!$L$9*$NV37</f>
        <v>21.935664652212409</v>
      </c>
      <c r="DT37" s="197">
        <f>DU37*(1+$EB37+各项系数!$J$5+各项系数!$L$5)</f>
        <v>21.789881895863196</v>
      </c>
      <c r="DU37" s="199">
        <f t="shared" si="23"/>
        <v>21.155225141614753</v>
      </c>
      <c r="DV37" s="196">
        <f>DW37+各项系数!$M$9*$NV37</f>
        <v>22.107364074500751</v>
      </c>
      <c r="DW37" s="196">
        <f t="shared" si="24"/>
        <v>21.961581318151534</v>
      </c>
      <c r="DX37" s="197">
        <f>DY37+各项系数!$L$9*$NV37</f>
        <v>22.409776855256666</v>
      </c>
      <c r="DY37" s="197">
        <f>DZ37*(1+$EB37+各项系数!$J$5+各项系数!$L$5)</f>
        <v>22.26399409890745</v>
      </c>
      <c r="DZ37" s="199">
        <f t="shared" si="25"/>
        <v>21.615528251366456</v>
      </c>
      <c r="EA37" s="213">
        <f t="shared" si="230"/>
        <v>0</v>
      </c>
      <c r="EB37" s="213">
        <f t="shared" si="27"/>
        <v>0.01</v>
      </c>
      <c r="EC37" s="235">
        <f t="shared" si="138"/>
        <v>2</v>
      </c>
      <c r="ED37" s="235" t="str">
        <f t="shared" si="180"/>
        <v>2*16</v>
      </c>
      <c r="EE37" s="189">
        <f t="shared" si="239"/>
        <v>16</v>
      </c>
      <c r="EF37" s="189" t="str">
        <f>LOOKUP(EH37,{1,7,10,14,19,24,30,37,48,61},{1,"1+6","2+8","4+10","1+6+12","2+8+14","4+10+16","1+6+12+18","3+9+15+21","1+6+12+18+24"})</f>
        <v>1+6</v>
      </c>
      <c r="EG37" s="188">
        <f t="shared" si="29"/>
        <v>2</v>
      </c>
      <c r="EH37" s="197">
        <f>VLOOKUP(EE37,各项系数!$B$87:$C$110,2,0)</f>
        <v>7</v>
      </c>
      <c r="EI37" s="188">
        <f>IF(EH37=0,0,VLOOKUP(EH37,各项系数!$D$142:$E$195,2,0))*1</f>
        <v>3</v>
      </c>
      <c r="EJ37" s="238">
        <f t="shared" si="141"/>
        <v>165.41681820668899</v>
      </c>
      <c r="EK37" s="189">
        <f t="shared" si="245"/>
        <v>0</v>
      </c>
      <c r="EL37" s="189">
        <f t="shared" si="31"/>
        <v>0</v>
      </c>
      <c r="EM37" s="189">
        <f t="shared" si="182"/>
        <v>0</v>
      </c>
      <c r="EN37" s="189">
        <f>IF(EP37=0,0,LOOKUP(EP37,{1,7,10,14,19,24,30,37,48,61},{1,"1+6","2+8","4+10","1+6+12","2+8+14","4+10+16","1+6+12+18","3+9+15+21","1+6+12+18+24"}))</f>
        <v>0</v>
      </c>
      <c r="EO37" s="189">
        <f t="shared" si="246"/>
        <v>0</v>
      </c>
      <c r="EP37" s="189">
        <f>IF(EM37=0,0,IF(EM37&lt;10,1,IF(AND(EM37&gt;=10,EM37&lt;=35),7,LOOKUP(EM37,{50,70,95,120,150,185,240,300},{10,14,19,24,30,37,48,61})*1)))</f>
        <v>0</v>
      </c>
      <c r="EQ37" s="189">
        <f>IF(EP37=0,0,VLOOKUP(EP37,各项系数!$D$142:$E$195,2,0))*1</f>
        <v>0</v>
      </c>
      <c r="ER37" s="189">
        <f t="shared" si="247"/>
        <v>0</v>
      </c>
      <c r="ES37" s="235">
        <f t="shared" si="250"/>
        <v>2</v>
      </c>
      <c r="ET37" s="189">
        <f>VLOOKUP(ES37,各项系数!$D$142:$E$195,2,0)*1</f>
        <v>2</v>
      </c>
      <c r="EU37" s="243">
        <f>((各项系数!$F$76/4*$EJ37^2*$EG37*$EH37*1*10^-7)*(1-$H37)*AA37)*(VLOOKUP($EY$9,各项系数!$D$4:$F$143,3,0))*各项系数!$J$4</f>
        <v>0.26906254153647624</v>
      </c>
      <c r="EV37" s="244">
        <f>EU37*(VLOOKUP($EY$9,各项系数!$D$4:$F$143,2,0))</f>
        <v>17.623596470639193</v>
      </c>
      <c r="EW37" s="252">
        <f>(IF($EO37=0,0,(各项系数!$F$76/4*$ER37^2*$EO37*$EP37*1*10^-7))*(1-$K37)*$AF37)*(VLOOKUP($EY$9,各项系数!$D$4:$F$143,3,0))*各项系数!$J$4</f>
        <v>0</v>
      </c>
      <c r="EX37" s="253">
        <f>EW37*(VLOOKUP($EY$9,各项系数!$D$4:$F$143,2,0))</f>
        <v>0</v>
      </c>
      <c r="EY37" s="189">
        <f>((各项系数!$F$76/4*$EJ37^2*$EG37*$EH37*1*10^-7)*(1-$H37)*AA37+IF($EO37=0,0,(各项系数!$F$76/4*$ER37^2*$EO37*$EP37*1*10^-7))*(1-$K37)*$AF37)*(VLOOKUP($EY$9,各项系数!$D$4:$F$143,3,0))*各项系数!$J$4</f>
        <v>0.26906254153647624</v>
      </c>
      <c r="EZ37" s="102">
        <v>1</v>
      </c>
      <c r="FA37" s="189">
        <f t="shared" si="188"/>
        <v>0.26906254153647624</v>
      </c>
      <c r="FB37" s="254">
        <f>FA37*(VLOOKUP($EY$9,各项系数!$D$4:$F$143,2,0))</f>
        <v>17.623596470639193</v>
      </c>
      <c r="FC37" s="255"/>
      <c r="FD37" s="235">
        <f>各项系数!$F$76/4*($MN37^2-MK37^2)*10^-2*(VLOOKUP(L37,各项系数!$D$1:$F$143,3,0))*10^-3*10^2*$EG37*各项系数!$J$4</f>
        <v>2.7258517825714451E-2</v>
      </c>
      <c r="FE37" s="262">
        <f>FD37*VLOOKUP(L37,各项系数!$D$1:$F$143,2,0)</f>
        <v>0.27803688182228736</v>
      </c>
      <c r="FF37" s="188">
        <f>各项系数!$F$76/4*($MO37^2-ML37^2)*10^-2*(VLOOKUP(L37,各项系数!$D$1:$F$143,3,0))*10^-3*10^2*$EO37*各项系数!$J$4</f>
        <v>0</v>
      </c>
      <c r="FG37" s="262">
        <f>FF37*VLOOKUP(L37,各项系数!$D$1:$F$143,2,0)</f>
        <v>0</v>
      </c>
      <c r="FH37" s="235">
        <f t="shared" si="142"/>
        <v>2.7258517825714451E-2</v>
      </c>
      <c r="FI37" s="102">
        <v>1</v>
      </c>
      <c r="FJ37" s="189">
        <f t="shared" si="189"/>
        <v>2.7258517825714451E-2</v>
      </c>
      <c r="FK37" s="262">
        <f>FJ37*VLOOKUP(L37,各项系数!$D$1:$F$143,2,0)</f>
        <v>0.27803688182228736</v>
      </c>
      <c r="FL37" s="235"/>
      <c r="FM37" s="102"/>
      <c r="FN37" s="189"/>
      <c r="FO37" s="262"/>
      <c r="FP37" s="282">
        <f t="shared" si="190"/>
        <v>2.7258517825714451E-2</v>
      </c>
      <c r="FQ37" s="282">
        <f t="shared" si="191"/>
        <v>0.27803688182228736</v>
      </c>
      <c r="FR37" s="283">
        <f>各项系数!$F$76/4*($MQ37^2-$MN37^2*$EG37-$MO37^2*$EO37)*10^-2</f>
        <v>0.63588134988284328</v>
      </c>
      <c r="FS37" s="284">
        <f t="shared" si="143"/>
        <v>0.05</v>
      </c>
      <c r="FT37" s="285">
        <f t="shared" si="40"/>
        <v>3.1794067494142167E-2</v>
      </c>
      <c r="FU37" s="302">
        <f>$FT37*(VLOOKUP($FT$9,各项系数!$D$1:$F$143,3,0))*10^-3*10^2*各项系数!$J$55</f>
        <v>3.7962116588005747E-3</v>
      </c>
      <c r="FV37" s="303">
        <v>1</v>
      </c>
      <c r="FW37" s="304">
        <f t="shared" si="192"/>
        <v>3.7962116588005747E-3</v>
      </c>
      <c r="FX37" s="285">
        <f>FW37*(VLOOKUP($FT$9,各项系数!$D$1:$F$143,2,0))</f>
        <v>1.1388634976401725E-2</v>
      </c>
      <c r="FY37" s="302">
        <f>IF($BK37&lt;&gt;$FY$9,0,各项系数!$F$76/4*($MS37^2-$MQ37^2)*10^-2*(VLOOKUP($FY$9,各项系数!$D$1:$F$143,3,0))*10^-3*10^2)*各项系数!$J$4</f>
        <v>0</v>
      </c>
      <c r="FZ37" s="303">
        <v>1</v>
      </c>
      <c r="GA37" s="304">
        <f t="shared" si="193"/>
        <v>0</v>
      </c>
      <c r="GB37" s="285">
        <f>GA37*(VLOOKUP($FY$9,各项系数!$D$1:$F$143,2,0))</f>
        <v>0</v>
      </c>
      <c r="GC37" s="302">
        <f>IF($BK37&lt;&gt;$GC$9,0,各项系数!$F$76/4*($MS37^2-$MQ37^2)*10^-2*(VLOOKUP($GC$9,各项系数!$D$1:$F$143,3,0))*10^-3*10^2)*各项系数!$J$4</f>
        <v>2.8860330709214923E-3</v>
      </c>
      <c r="GD37" s="303">
        <v>1</v>
      </c>
      <c r="GE37" s="304">
        <f t="shared" si="194"/>
        <v>2.8860330709214923E-3</v>
      </c>
      <c r="GF37" s="285">
        <f>GE37*(VLOOKUP($GC$9,各项系数!$D$1:$F$143,2,0))</f>
        <v>3.7229826614887253E-2</v>
      </c>
      <c r="GG37" s="302">
        <f>IF($BK37&lt;&gt;$GG$9,0,各项系数!$F$76/4*($MS37^2-$MQ37^2)*10^-2*(VLOOKUP($GG$9,各项系数!$D$1:$F$143,3,0))*10^-3*10^2)*各项系数!$J$4</f>
        <v>0</v>
      </c>
      <c r="GH37" s="303">
        <v>1</v>
      </c>
      <c r="GI37" s="304">
        <f t="shared" si="195"/>
        <v>0</v>
      </c>
      <c r="GJ37" s="285">
        <f>GI37*(VLOOKUP($GG$9,各项系数!$D$1:$F$143,2,0))</f>
        <v>0</v>
      </c>
      <c r="GK37" s="302">
        <f>IF($BK37&lt;&gt;$GK$9,0,各项系数!$F$76/4*($MS37^2-$MQ37^2)*10^-2*(VLOOKUP($GK$9,各项系数!$D$1:$F$143,3,0))*10^-3*10^2)*各项系数!$J$4</f>
        <v>0</v>
      </c>
      <c r="GL37" s="303">
        <v>1</v>
      </c>
      <c r="GM37" s="304">
        <f t="shared" si="196"/>
        <v>0</v>
      </c>
      <c r="GN37" s="285">
        <f>GM37*(VLOOKUP($GK$9,各项系数!$D$1:$F$143,2,0))</f>
        <v>0</v>
      </c>
      <c r="GO37" s="304">
        <f t="shared" si="197"/>
        <v>2.8860330709214923E-3</v>
      </c>
      <c r="GP37" s="304">
        <f t="shared" si="198"/>
        <v>3.7229826614887253E-2</v>
      </c>
      <c r="GQ37" s="315">
        <f>各项系数!$F$76/4*($MU37^2-$MS37^2)*10^-2*(VLOOKUP($S37,各项系数!$D$1:$F$143,3,0))*10^-3*10^2*各项系数!$J$4</f>
        <v>9.6585405485066209E-2</v>
      </c>
      <c r="GR37" s="303">
        <v>1</v>
      </c>
      <c r="GS37" s="304">
        <f t="shared" si="199"/>
        <v>9.6585405485066209E-2</v>
      </c>
      <c r="GT37" s="304">
        <f t="shared" si="200"/>
        <v>0</v>
      </c>
      <c r="GU37" s="304">
        <f>ROUND($GS37*(VLOOKUP($S37,各项系数!$D$1:$F$143,2,0))+$E$3*GS37,GT37)</f>
        <v>1</v>
      </c>
      <c r="GV37" s="315">
        <f>各项系数!$F$76/4*($MT37^2-$MS37^2)*10^-2*(VLOOKUP($GV$9,各项系数!$D$1:$F$143,3,0))*10^-3*10^2*各项系数!$J$4*PI()/4*R37</f>
        <v>1.8090040127442374E-2</v>
      </c>
      <c r="GW37" s="303">
        <v>1</v>
      </c>
      <c r="GX37" s="304">
        <f t="shared" si="201"/>
        <v>1.8090040127442374E-2</v>
      </c>
      <c r="GY37" s="304">
        <f>$GX37*(VLOOKUP($GV$9,各项系数!$D$1:$F$143,2,0))</f>
        <v>1.2210777086023603</v>
      </c>
      <c r="GZ37" s="315">
        <f>各项系数!$F$76/4*($MV37^2-$MS37^2)*10^-2*(VLOOKUP($GZ$9,各项系数!$D$1:$F$143,3,0))*10^-3*10^2*各项系数!$J$4</f>
        <v>0.11969218993346371</v>
      </c>
      <c r="HA37" s="303">
        <v>1</v>
      </c>
      <c r="HB37" s="304">
        <f t="shared" si="144"/>
        <v>0.11969218993346371</v>
      </c>
      <c r="HC37" s="304">
        <f>HB37*(VLOOKUP($GZ$9,各项系数!$D$1:$F$143,2,0))</f>
        <v>2.0347672288688829</v>
      </c>
      <c r="HD37" s="315">
        <f>各项系数!$F$76/4*($MW37^2-$MT37^2)*10^-2*(VLOOKUP($HD$9,各项系数!$D$1:$F$143,3,0))*10^-3*10^2*各项系数!$J$4</f>
        <v>0.12099755938014213</v>
      </c>
      <c r="HE37" s="303">
        <v>1</v>
      </c>
      <c r="HF37" s="304">
        <f t="shared" si="145"/>
        <v>0.12099755938014213</v>
      </c>
      <c r="HG37" s="304">
        <f>HF37*(VLOOKUP($HD$9,各项系数!$D$1:$F$143,2,0))</f>
        <v>2.0569585094624161</v>
      </c>
      <c r="HH37" s="315">
        <f>各项系数!$F$76/4*($MV37^2-$MS37^2)*10^-2*(VLOOKUP($HH$9,各项系数!$D$1:$F$143,3,0))*10^-3*10^2*各项系数!$J$4</f>
        <v>0.11969218993346371</v>
      </c>
      <c r="HI37" s="322">
        <v>1</v>
      </c>
      <c r="HJ37" s="304">
        <f t="shared" si="146"/>
        <v>0.11969218993346371</v>
      </c>
      <c r="HK37" s="304">
        <f>HJ37*(VLOOKUP($HH$9,各项系数!$D$1:$F$143,2,0))</f>
        <v>2.0347672288688829</v>
      </c>
      <c r="HL37" s="315">
        <f>各项系数!$F$76/4*($MW37^2-$MT37^2)*10^-2*(VLOOKUP($HL$9,各项系数!$D$1:$F$143,3,0))*10^-3*10^2*各项系数!$J$4</f>
        <v>0.12099755938014213</v>
      </c>
      <c r="HM37" s="322">
        <v>1</v>
      </c>
      <c r="HN37" s="304">
        <f t="shared" si="147"/>
        <v>0.12099755938014213</v>
      </c>
      <c r="HO37" s="304">
        <f>HN37*(VLOOKUP($HL$9,各项系数!$D$1:$F$143,2,0))</f>
        <v>2.0569585094624161</v>
      </c>
      <c r="HP37" s="315">
        <f>各项系数!$F$76/4*($MV37^2-$MS37^2)*10^-2*(VLOOKUP(AN37,各项系数!$D$1:$F$143,3,0))*10^-3*10^2*各项系数!$J$4</f>
        <v>0.12134311669116665</v>
      </c>
      <c r="HQ37" s="303">
        <v>1</v>
      </c>
      <c r="HR37" s="304">
        <f t="shared" si="202"/>
        <v>0.12134311669116665</v>
      </c>
      <c r="HS37" s="304">
        <f>HR37*(VLOOKUP(AN37,各项系数!$D$1:$F$143,2,0))</f>
        <v>1.2134311669116666</v>
      </c>
      <c r="HT37" s="315">
        <f>各项系数!$F$76/4*($MW37^2-$MT37^2)*10^-2*(VLOOKUP(AN37,各项系数!$D$1:$F$143,3,0))*10^-3*10^2*各项系数!$J$4</f>
        <v>0.12266649123366136</v>
      </c>
      <c r="HU37" s="303">
        <v>1</v>
      </c>
      <c r="HV37" s="304">
        <f t="shared" si="203"/>
        <v>0.12266649123366136</v>
      </c>
      <c r="HW37" s="304">
        <f>HV37*(VLOOKUP(AN37,各项系数!$D$1:$F$143,2,0))</f>
        <v>1.2266649123366136</v>
      </c>
      <c r="HX37" s="315">
        <f>各项系数!$F$76/4*($MV37^2-$MS37^2)*10^-2*(VLOOKUP($HX$9,各项系数!$D$1:$F$143,3,0))*10^-3*10^2*各项系数!$J$4</f>
        <v>0.12134311669116665</v>
      </c>
      <c r="HY37" s="322">
        <v>1</v>
      </c>
      <c r="HZ37" s="304">
        <f t="shared" si="204"/>
        <v>0.12134311669116665</v>
      </c>
      <c r="IA37" s="304">
        <f>HZ37*(VLOOKUP($HX$9,各项系数!$D$1:$F$143,2,0))</f>
        <v>1.3347742836028331</v>
      </c>
      <c r="IB37" s="315">
        <f>各项系数!$F$76/4*($MW37^2-$MT37^2)*10^-2*(VLOOKUP($IB$9,各项系数!$D$1:$F$143,3,0))*10^-3*10^2*各项系数!$J$4</f>
        <v>0.12266649123366136</v>
      </c>
      <c r="IC37" s="322">
        <v>1</v>
      </c>
      <c r="ID37" s="304">
        <f t="shared" si="205"/>
        <v>0.12266649123366136</v>
      </c>
      <c r="IE37" s="304">
        <f>ID37*(VLOOKUP($IB$9,各项系数!$D$1:$F$143,2,0))</f>
        <v>1.3493314035702748</v>
      </c>
      <c r="IF37" s="328"/>
      <c r="IG37" s="315">
        <f t="shared" si="148"/>
        <v>1.4804984136901692E-2</v>
      </c>
      <c r="IH37" s="303">
        <v>1</v>
      </c>
      <c r="II37" s="304">
        <f t="shared" si="206"/>
        <v>1.4804984136901692E-2</v>
      </c>
      <c r="IJ37" s="304">
        <f>II37*(VLOOKUP($IG$8,各项系数!$D$1:$F$143,2,0))</f>
        <v>0.37012460342254228</v>
      </c>
      <c r="IK37" s="315">
        <f>(各项系数!$F$76/4*($MX37^2-$MK37^2)*$EG37)*10^-2*(VLOOKUP($IG$8,各项系数!$D$1:$F$143,3,0))*10^-3*10^2*各项系数!$J$4</f>
        <v>1.4804984136901692E-2</v>
      </c>
      <c r="IL37" s="303">
        <f>IK37*(VLOOKUP($IG$8,各项系数!$D$1:$F$143,2,0))</f>
        <v>0.37012460342254228</v>
      </c>
      <c r="IM37" s="304">
        <f>(各项系数!$F$76/4*(($MM37+3*$X37)^2-MM37^2)*$EO37)*10^-2*(VLOOKUP($IG$8,各项系数!$D$1:$F$143,3,0))*10^-3*10^2*各项系数!$J$4</f>
        <v>0</v>
      </c>
      <c r="IN37" s="303">
        <f>IM37*(VLOOKUP($IG$8,各项系数!$D$1:$F$143,2,0))</f>
        <v>0</v>
      </c>
      <c r="IO37" s="315">
        <f>各项系数!$F$76/4*($MZ37^2-$MX37^2)*10^-2*(VLOOKUP(L37,各项系数!$D$1:$F$143,3,0))*10^-3*10^2*$ES37*各项系数!$J$4</f>
        <v>3.0146835279571869E-2</v>
      </c>
      <c r="IP37" s="303">
        <v>1</v>
      </c>
      <c r="IQ37" s="304">
        <f t="shared" si="207"/>
        <v>3.0146835279571869E-2</v>
      </c>
      <c r="IR37" s="285">
        <f>IQ37*(VLOOKUP(L37,各项系数!$D$1:$F$143,2,0))</f>
        <v>0.30749771985163304</v>
      </c>
      <c r="IS37" s="315">
        <f>IF($L37&lt;&gt;$IS$9,0,各项系数!$F$76/4*($MZ37^2-$MX37^2)*10^-2*各项系数!$F$12*10^-3*10^2)*$ES37*各项系数!$J$4</f>
        <v>0</v>
      </c>
      <c r="IT37" s="303">
        <v>1</v>
      </c>
      <c r="IU37" s="304">
        <f t="shared" si="208"/>
        <v>0</v>
      </c>
      <c r="IV37" s="285">
        <f>IU37*各项系数!$E$12</f>
        <v>0</v>
      </c>
      <c r="IW37" s="302">
        <f t="shared" si="209"/>
        <v>3.0146835279571869E-2</v>
      </c>
      <c r="IX37" s="302">
        <f t="shared" si="210"/>
        <v>0.30749771985163304</v>
      </c>
      <c r="IY37" s="339">
        <f>各项系数!$F$76/4*($NB37^2-$MZ37^2*$EG37-$NA37^2*$EO37)*10^-2</f>
        <v>0.76146660178707903</v>
      </c>
      <c r="IZ37" s="284">
        <f t="shared" si="231"/>
        <v>0.05</v>
      </c>
      <c r="JA37" s="285">
        <f t="shared" si="64"/>
        <v>3.8073330089353957E-2</v>
      </c>
      <c r="JB37" s="282">
        <f>IF($DE37&lt;&gt;$JB$9,0,$JA37*各项系数!$F$32*10^-3*10^2)*各项系数!$J$4</f>
        <v>0</v>
      </c>
      <c r="JC37" s="102">
        <v>1</v>
      </c>
      <c r="JD37" s="189">
        <f t="shared" si="211"/>
        <v>0</v>
      </c>
      <c r="JE37" s="262">
        <f>JD37*各项系数!$E$32</f>
        <v>0</v>
      </c>
      <c r="JF37" s="282">
        <f>IF($DE37&lt;&gt;$JF$9,0,$JA37*VLOOKUP($JF$9,各项系数!$D$4:$F$540,2,0)*10^-3*10^2)*各项系数!$J$4</f>
        <v>1.8941481719453594E-2</v>
      </c>
      <c r="JG37" s="102">
        <v>1</v>
      </c>
      <c r="JH37" s="189">
        <f t="shared" si="66"/>
        <v>1.8941481719453594E-2</v>
      </c>
      <c r="JI37" s="262">
        <f>JH37*VLOOKUP($JF$9,各项系数!$D$4:$F$540,3,0)</f>
        <v>2.2729778063344312E-2</v>
      </c>
      <c r="JJ37" s="282">
        <f t="shared" si="212"/>
        <v>1.8941481719453594E-2</v>
      </c>
      <c r="JK37" s="189">
        <f t="shared" si="213"/>
        <v>2.2729778063344312E-2</v>
      </c>
      <c r="JL37" s="282">
        <f>IF($DF37&lt;&gt;$JL$9,0,各项系数!$F$76/4*($NE37^2-$NC37^2)*10^-2*各项系数!$F$39*10^-3*10^2)*各项系数!$J$4</f>
        <v>1.3608518954982976E-3</v>
      </c>
      <c r="JM37" s="102">
        <v>1</v>
      </c>
      <c r="JN37" s="189">
        <f t="shared" si="214"/>
        <v>1.3608518954982976E-3</v>
      </c>
      <c r="JO37" s="262">
        <f>JN37*各项系数!$E$39</f>
        <v>2.7217037909965953E-2</v>
      </c>
      <c r="JP37" s="282">
        <f>IF($DF37&lt;&gt;$JP$9,0,各项系数!$F$76/4*($NE37^2-$NC37^2)*10^-2*各项系数!$F$36*10^-3*10^2)*各项系数!$J$4</f>
        <v>0</v>
      </c>
      <c r="JQ37" s="102">
        <v>1</v>
      </c>
      <c r="JR37" s="189">
        <f t="shared" si="215"/>
        <v>0</v>
      </c>
      <c r="JS37" s="262">
        <f>JR37*各项系数!$E$36</f>
        <v>0</v>
      </c>
      <c r="JT37" s="282">
        <f>IF($DF37&lt;&gt;$JT$9,0,各项系数!$F$76/4*($NE37^2-$NC37^2)*10^-2*各项系数!$F$40*10^-3*10^2)*各项系数!$J$4</f>
        <v>0</v>
      </c>
      <c r="JU37" s="102">
        <v>1</v>
      </c>
      <c r="JV37" s="189">
        <f t="shared" si="216"/>
        <v>0</v>
      </c>
      <c r="JW37" s="262">
        <f>JV37*各项系数!$E$40</f>
        <v>0</v>
      </c>
      <c r="JX37" s="282">
        <f>IF($DF37&lt;&gt;$JX$9,0,各项系数!$F$76/4*($NE37^2-$NC37^2)*10^-2*各项系数!$F$38*10^-3*10^2)*各项系数!$J$4</f>
        <v>0</v>
      </c>
      <c r="JY37" s="102">
        <v>1</v>
      </c>
      <c r="JZ37" s="189">
        <f t="shared" si="217"/>
        <v>0</v>
      </c>
      <c r="KA37" s="262">
        <f>JZ37*各项系数!$E$38</f>
        <v>0</v>
      </c>
      <c r="KB37" s="282">
        <f>IF($DF37&lt;&gt;$KB$9,0,各项系数!$F$76/4*($NE37^2-$NC37^2)*10^-2*各项系数!$F$41*10^-3*10^2)*各项系数!$J$4</f>
        <v>0</v>
      </c>
      <c r="KC37" s="102">
        <v>1</v>
      </c>
      <c r="KD37" s="189">
        <f t="shared" si="218"/>
        <v>0</v>
      </c>
      <c r="KE37" s="262">
        <f>KD37*各项系数!$E$41</f>
        <v>0</v>
      </c>
      <c r="KF37" s="189">
        <f t="shared" si="219"/>
        <v>1.3608518954982976E-3</v>
      </c>
      <c r="KG37" s="189">
        <f t="shared" si="220"/>
        <v>2.7217037909965953E-2</v>
      </c>
      <c r="KH37" s="235">
        <f>各项系数!$F$76/4*($NG37^2-$NE37^2)*10^-2*各项系数!$F$44*10^-3*10^2*各项系数!$J$4*0.75*$U37</f>
        <v>0.1587507060879039</v>
      </c>
      <c r="KI37" s="102">
        <v>1</v>
      </c>
      <c r="KJ37" s="189">
        <f t="shared" si="221"/>
        <v>0.1587507060879039</v>
      </c>
      <c r="KK37" s="189">
        <f>ROUND(KJ37*各项系数!$E$43,GT37)</f>
        <v>1</v>
      </c>
      <c r="KL37" s="235">
        <f>各项系数!$F$76/4*($NF37^2-$NE37^2)*10^-2*各项系数!$F$46*10^-3*10^2*各项系数!$J$4*PI()/4*R37</f>
        <v>1.9851651667309803E-2</v>
      </c>
      <c r="KM37" s="102">
        <v>1</v>
      </c>
      <c r="KN37" s="189">
        <f t="shared" si="222"/>
        <v>1.9851651667309803E-2</v>
      </c>
      <c r="KO37" s="189">
        <f>KN37*各项系数!$E$46</f>
        <v>1.3399864875434118</v>
      </c>
      <c r="KP37" s="235">
        <f>各项系数!$F$76/4*($NH37^2-$NE37^2)*10^-2*(VLOOKUP($KP$9,各项系数!$D$1:$F$143,3,0))*10^-3*10^2*各项系数!$J$4</f>
        <v>0.12998132901143897</v>
      </c>
      <c r="KQ37" s="102">
        <v>1</v>
      </c>
      <c r="KR37" s="189">
        <f t="shared" si="150"/>
        <v>0.12998132901143897</v>
      </c>
      <c r="KS37" s="189">
        <f>KR37*(VLOOKUP($KP$9,各项系数!$D$1:$F$143,2,0))</f>
        <v>2.2096825931944624</v>
      </c>
      <c r="KT37" s="235">
        <f>各项系数!$F$76/4*($NI37^2-$NF37^2)*10^-2*(VLOOKUP($KT$9,各项系数!$D$1:$F$143,3,0))*10^-3*10^2*各项系数!$J$4</f>
        <v>0.13128669845811738</v>
      </c>
      <c r="KU37" s="102">
        <v>1</v>
      </c>
      <c r="KV37" s="189">
        <f t="shared" si="151"/>
        <v>0.13128669845811738</v>
      </c>
      <c r="KW37" s="189">
        <f>KV37*(VLOOKUP($KT$9,各项系数!$D$1:$F$143,2,0))</f>
        <v>2.2318738737879955</v>
      </c>
      <c r="KX37" s="189">
        <f>各项系数!$F$76/4*($NH37^2-$NE37^2)*10^-2*(VLOOKUP($KX$9,各项系数!$D$1:$F$143,3,0))*10^-3*10^2*各项系数!$J$4</f>
        <v>0.12998132901143897</v>
      </c>
      <c r="KY37" s="353">
        <v>1</v>
      </c>
      <c r="KZ37" s="189">
        <f t="shared" si="152"/>
        <v>0.12998132901143897</v>
      </c>
      <c r="LA37" s="189">
        <f>KZ37*(VLOOKUP($KX$9,各项系数!$D$1:$F$143,2,0))</f>
        <v>2.2096825931944624</v>
      </c>
      <c r="LB37" s="189">
        <f>各项系数!$F$76/4*($NI37^2-$NF37^2)*10^-2*(VLOOKUP($LB$9,各项系数!$D$1:$F$143,3,0))*10^-3*10^2*各项系数!$J$4</f>
        <v>0.13128669845811738</v>
      </c>
      <c r="LC37" s="353">
        <v>1</v>
      </c>
      <c r="LD37" s="189">
        <f t="shared" si="153"/>
        <v>0.13128669845811738</v>
      </c>
      <c r="LE37" s="189">
        <f>LD37*(VLOOKUP($LB$9,各项系数!$D$1:$F$143,2,0))</f>
        <v>2.2318738737879955</v>
      </c>
      <c r="LF37" s="235">
        <f>各项系数!$F$76/4*($NH37^2-$NE37^2)*10^-2*(VLOOKUP(AN37,各项系数!$D$1:$F$143,3,0))*10^-3*10^2*各项系数!$J$4</f>
        <v>0.13177417492883811</v>
      </c>
      <c r="LG37" s="102">
        <v>1</v>
      </c>
      <c r="LH37" s="189">
        <f t="shared" si="223"/>
        <v>0.13177417492883811</v>
      </c>
      <c r="LI37" s="189">
        <f>LH37*(VLOOKUP(AN37,各项系数!$D$1:$F$143,2,0))</f>
        <v>1.3177417492883812</v>
      </c>
      <c r="LJ37" s="235">
        <f>各项系数!$F$76/4*($NI37^2-$NF37^2)*10^-2*(VLOOKUP(AN37,各项系数!$D$1:$F$143,3,0))*10^-3*10^2*各项系数!$J$4</f>
        <v>0.13309754947133282</v>
      </c>
      <c r="LK37" s="102">
        <v>1</v>
      </c>
      <c r="LL37" s="189">
        <f t="shared" si="224"/>
        <v>0.13309754947133282</v>
      </c>
      <c r="LM37" s="189">
        <f>LL37*(VLOOKUP(AN37,各项系数!$D$1:$F$143,2,0))</f>
        <v>1.3309754947133281</v>
      </c>
      <c r="LN37" s="189">
        <f>各项系数!$F$76/4*($NH37^2-$NE37^2)*10^-2*(VLOOKUP($LN$9,各项系数!$D$1:$F$143,3,0))*10^-3*10^2*各项系数!$J$4</f>
        <v>0.13177417492883811</v>
      </c>
      <c r="LO37" s="353">
        <v>1</v>
      </c>
      <c r="LP37" s="189">
        <f t="shared" si="225"/>
        <v>0.13177417492883811</v>
      </c>
      <c r="LQ37" s="189">
        <f>LP37*(VLOOKUP($LN$9,各项系数!$D$1:$F$143,2,0))</f>
        <v>1.4495159242172193</v>
      </c>
      <c r="LR37" s="189">
        <f>各项系数!$F$76/4*($NI37^2-$NF37^2)*10^-2*(VLOOKUP($LR$9,各项系数!$D$1:$F$143,3,0))*10^-3*10^2*各项系数!$J$4</f>
        <v>0.13309754947133282</v>
      </c>
      <c r="LS37" s="353">
        <v>1</v>
      </c>
      <c r="LT37" s="189">
        <f t="shared" si="226"/>
        <v>0.13309754947133282</v>
      </c>
      <c r="LU37" s="189">
        <f>LT37*(VLOOKUP($LR$9,各项系数!$D$1:$F$143,2,0))</f>
        <v>1.464073044184661</v>
      </c>
      <c r="LV37" s="227">
        <f t="shared" si="154"/>
        <v>38.683139259999997</v>
      </c>
      <c r="LW37" s="227">
        <f t="shared" si="155"/>
        <v>30.08688609</v>
      </c>
      <c r="LX37" s="227">
        <f t="shared" si="156"/>
        <v>6.1893305896300532</v>
      </c>
      <c r="LY37" s="227">
        <f t="shared" si="157"/>
        <v>8.5962531699999971</v>
      </c>
      <c r="LZ37" s="374">
        <f t="shared" si="86"/>
        <v>1</v>
      </c>
      <c r="MA37" s="375">
        <f t="shared" si="87"/>
        <v>38.683139259999997</v>
      </c>
      <c r="MB37" s="375">
        <f t="shared" si="158"/>
        <v>4.9625045400000003</v>
      </c>
      <c r="MC37" s="227">
        <f t="shared" si="159"/>
        <v>0</v>
      </c>
      <c r="MD37" s="227">
        <f t="shared" si="160"/>
        <v>0</v>
      </c>
      <c r="ME37" s="227">
        <f t="shared" si="161"/>
        <v>0</v>
      </c>
      <c r="MF37" s="227">
        <f t="shared" si="162"/>
        <v>0</v>
      </c>
      <c r="MG37" s="374">
        <f t="shared" si="163"/>
        <v>1</v>
      </c>
      <c r="MH37" s="375">
        <f t="shared" si="88"/>
        <v>0</v>
      </c>
      <c r="MI37" s="375">
        <f t="shared" si="164"/>
        <v>0</v>
      </c>
      <c r="MJ37" s="189">
        <f t="shared" si="89"/>
        <v>4.9625045400000003</v>
      </c>
      <c r="MK37" s="189">
        <f t="shared" si="165"/>
        <v>4.9625045400000003</v>
      </c>
      <c r="ML37" s="189">
        <f t="shared" si="227"/>
        <v>0</v>
      </c>
      <c r="MM37" s="189">
        <f t="shared" si="91"/>
        <v>0</v>
      </c>
      <c r="MN37" s="189">
        <f t="shared" si="92"/>
        <v>6.3625045399999998</v>
      </c>
      <c r="MO37" s="189">
        <f t="shared" si="166"/>
        <v>0</v>
      </c>
      <c r="MP37" s="189">
        <f t="shared" si="167"/>
        <v>12.72500908</v>
      </c>
      <c r="MQ37" s="189">
        <f t="shared" si="228"/>
        <v>12.72500908</v>
      </c>
      <c r="MR37" s="246">
        <f t="shared" si="168"/>
        <v>12.69475121</v>
      </c>
      <c r="MS37" s="380">
        <f t="shared" si="94"/>
        <v>12.87075121</v>
      </c>
      <c r="MT37" s="380">
        <f t="shared" si="95"/>
        <v>13.03075121</v>
      </c>
      <c r="MU37" s="380">
        <f t="shared" si="232"/>
        <v>13.47075121</v>
      </c>
      <c r="MV37" s="380">
        <f t="shared" si="97"/>
        <v>16.47075121</v>
      </c>
      <c r="MW37" s="380">
        <f t="shared" si="98"/>
        <v>16.63075121</v>
      </c>
      <c r="MX37" s="254">
        <f t="shared" si="233"/>
        <v>5.5625045400000008</v>
      </c>
      <c r="MY37" s="254">
        <f t="shared" si="100"/>
        <v>0</v>
      </c>
      <c r="MZ37" s="189">
        <f t="shared" si="101"/>
        <v>6.9625045400000012</v>
      </c>
      <c r="NA37" s="189">
        <f t="shared" si="102"/>
        <v>0</v>
      </c>
      <c r="NB37" s="189">
        <f t="shared" si="169"/>
        <v>13.925009080000001</v>
      </c>
      <c r="NC37" s="254">
        <f t="shared" si="229"/>
        <v>13.925009080000001</v>
      </c>
      <c r="ND37" s="246">
        <f t="shared" si="234"/>
        <v>13.891897820000001</v>
      </c>
      <c r="NE37" s="386">
        <f t="shared" si="235"/>
        <v>14.131897820000001</v>
      </c>
      <c r="NF37" s="380">
        <f t="shared" si="106"/>
        <v>14.291897820000001</v>
      </c>
      <c r="NG37" s="387">
        <f t="shared" si="236"/>
        <v>14.73189782</v>
      </c>
      <c r="NH37" s="254">
        <f t="shared" si="108"/>
        <v>17.73189782</v>
      </c>
      <c r="NI37" s="380">
        <f t="shared" si="109"/>
        <v>17.891897820000001</v>
      </c>
      <c r="NK37" s="388">
        <f t="shared" si="110"/>
        <v>0.42434642078307938</v>
      </c>
      <c r="NL37" s="388">
        <f t="shared" si="111"/>
        <v>19.163682980964438</v>
      </c>
      <c r="NM37" s="388">
        <f t="shared" si="112"/>
        <v>0.42434642078307938</v>
      </c>
      <c r="NN37" s="388">
        <f t="shared" si="113"/>
        <v>19.285026097655603</v>
      </c>
      <c r="NO37" s="388">
        <f t="shared" si="114"/>
        <v>0.46609086949673983</v>
      </c>
      <c r="NP37" s="388">
        <f t="shared" si="115"/>
        <v>19.668907359175059</v>
      </c>
      <c r="NQ37" s="388">
        <f t="shared" si="116"/>
        <v>0.46609086949673983</v>
      </c>
      <c r="NR37" s="388">
        <f t="shared" si="117"/>
        <v>19.800681534103898</v>
      </c>
      <c r="NS37" s="388">
        <f t="shared" si="118"/>
        <v>0.44243646091052174</v>
      </c>
      <c r="NT37" s="388">
        <f t="shared" si="119"/>
        <v>0.44243646091052174</v>
      </c>
      <c r="NU37" s="388">
        <f t="shared" si="120"/>
        <v>0.48594252116404962</v>
      </c>
      <c r="NV37" s="388">
        <f t="shared" si="121"/>
        <v>0.48594252116404962</v>
      </c>
      <c r="NW37">
        <f t="shared" si="122"/>
        <v>0.5209318262681456</v>
      </c>
      <c r="NX37">
        <f>各项系数!$M$9*NK37</f>
        <v>0.12730392623492381</v>
      </c>
      <c r="NY37">
        <f t="shared" si="123"/>
        <v>0.4424364609105218</v>
      </c>
    </row>
    <row r="38" spans="1:398" ht="30" hidden="1" customHeight="1">
      <c r="A38" s="72" t="s">
        <v>912</v>
      </c>
      <c r="B38" s="73" t="s">
        <v>913</v>
      </c>
      <c r="C38" s="71"/>
      <c r="D38" s="53" t="s">
        <v>148</v>
      </c>
      <c r="E38" s="61">
        <f t="shared" si="240"/>
        <v>19.820575559999998</v>
      </c>
      <c r="F38" s="68">
        <f>$F$22</f>
        <v>208.046961644752</v>
      </c>
      <c r="G38" s="58"/>
      <c r="H38" s="16"/>
      <c r="I38" s="62"/>
      <c r="J38" s="16"/>
      <c r="K38" s="16"/>
      <c r="L38" s="97" t="s">
        <v>467</v>
      </c>
      <c r="M38" s="103">
        <f t="shared" si="2"/>
        <v>0.9</v>
      </c>
      <c r="N38" s="103">
        <f t="shared" si="3"/>
        <v>0</v>
      </c>
      <c r="O38" s="53">
        <f t="shared" ref="O38:O47" si="251">$O$36</f>
        <v>0.08</v>
      </c>
      <c r="P38" s="99">
        <v>0.1</v>
      </c>
      <c r="Q38" s="133">
        <f t="shared" si="248"/>
        <v>0.1</v>
      </c>
      <c r="R38" s="70">
        <v>0.8</v>
      </c>
      <c r="S38" s="142" t="str">
        <f>各项系数!$D$43</f>
        <v>钢带</v>
      </c>
      <c r="T38" s="53">
        <v>0.2</v>
      </c>
      <c r="U38" s="102">
        <v>2</v>
      </c>
      <c r="V38" s="140"/>
      <c r="W38" s="141">
        <v>1.8</v>
      </c>
      <c r="X38" s="135">
        <f t="shared" si="249"/>
        <v>0.2</v>
      </c>
      <c r="Y38" s="135"/>
      <c r="Z38" s="168"/>
      <c r="AA38" s="153">
        <f>$AA$22</f>
        <v>1.0109999999999999</v>
      </c>
      <c r="AB38" s="153">
        <f>PI()*EJ38*EJ38/4*EH38*(1-H38)*AA38*各项系数!$F$5*各项系数!$J$4*10^-7</f>
        <v>0.21280737466777744</v>
      </c>
      <c r="AC38" s="153">
        <f t="shared" si="241"/>
        <v>208.046961644752</v>
      </c>
      <c r="AD38" s="153">
        <f t="shared" si="5"/>
        <v>24.058128060751155</v>
      </c>
      <c r="AE38" s="153">
        <f>POWER(4*EU38/PI()/EG38/10^-7/EH38/(1-H38)/各项系数!$F$5/各项系数!$J$4,0.5)</f>
        <v>209.18809041233357</v>
      </c>
      <c r="AF38" s="69">
        <v>1</v>
      </c>
      <c r="AG38" s="69">
        <f>IF(EM38=0,0,PI()*ER38*ER38/4*EP38*(1-K38)*(1+AF38)*各项系数!$F$5*各项系数!$J$4*10^-7)</f>
        <v>0</v>
      </c>
      <c r="AH38" s="69">
        <f t="shared" si="242"/>
        <v>0</v>
      </c>
      <c r="AI38" s="69">
        <f t="shared" si="128"/>
        <v>0</v>
      </c>
      <c r="AJ38" s="69">
        <f>IF(OR(EP38="",EP38=0),0,POWER(4*EW38/PI()/EO38/10^-7/EP38/(1-K38)/各项系数!$F$5/各项系数!$J$4,0.5))</f>
        <v>0</v>
      </c>
      <c r="AK38" s="69" t="str">
        <f t="shared" si="8"/>
        <v>√</v>
      </c>
      <c r="AL38" s="69">
        <f t="shared" si="243"/>
        <v>30.847868260115739</v>
      </c>
      <c r="AM38" s="188">
        <f t="shared" si="244"/>
        <v>25</v>
      </c>
      <c r="AN38" s="97" t="s">
        <v>486</v>
      </c>
      <c r="AO38" s="196">
        <f>AP38+各项系数!$M$9*$NK38</f>
        <v>30.243008098152686</v>
      </c>
      <c r="AP38" s="196">
        <f>AQ38*(1+$BI38+(VLOOKUP($AM38,$A$12:$B$323,2,0))+各项系数!$J$6+各项系数!$M$5)*(1+$E$2)</f>
        <v>30.05449669573337</v>
      </c>
      <c r="AQ38" s="197">
        <f>AR38+各项系数!$L$9*$NK38</f>
        <v>30.667853771156501</v>
      </c>
      <c r="AR38" s="197">
        <f>AS38*(1+$BJ38+各项系数!$J$5+各项系数!$L$5)</f>
        <v>30.479342368737186</v>
      </c>
      <c r="AS38" s="197">
        <f t="shared" si="129"/>
        <v>29.881708204644298</v>
      </c>
      <c r="AT38" s="196">
        <f>AU38+各项系数!$M$9*$NM38</f>
        <v>31.251479169159762</v>
      </c>
      <c r="AU38" s="196">
        <f>AV38*(1+$BI38+(VLOOKUP($AM38,$A$12:$B$323,2,0))+各项系数!$J$6+各项系数!$M$5)*(1+$E$2)</f>
        <v>31.062967766740446</v>
      </c>
      <c r="AV38" s="197">
        <f>AW38+各项系数!$L$9*$NM38</f>
        <v>31.696905884429025</v>
      </c>
      <c r="AW38" s="197">
        <f>AX38*(1+$BJ38+各项系数!$J$5+各项系数!$L$5)</f>
        <v>31.508394482009709</v>
      </c>
      <c r="AX38" s="197">
        <f t="shared" si="130"/>
        <v>30.890582825499713</v>
      </c>
      <c r="AY38" s="196">
        <f>AZ38+各项系数!$M$9*$NS38</f>
        <v>31.806066748471142</v>
      </c>
      <c r="AZ38" s="196">
        <f>BA38*(1+$BI38+(VLOOKUP($AM38,$A$12:$B$214,2,0))+各项系数!$J$6+各项系数!$M$5)*(1+$E$2)</f>
        <v>31.610724590186024</v>
      </c>
      <c r="BA38" s="197">
        <f>BB38+各项系数!$L$9*$NS38</f>
        <v>32.255841418557168</v>
      </c>
      <c r="BB38" s="197">
        <f>BC38*(1+$BJ38+各项系数!$J$5+各项系数!$L$5)</f>
        <v>32.060499260272053</v>
      </c>
      <c r="BC38" s="199">
        <f t="shared" si="131"/>
        <v>31.431862019874558</v>
      </c>
      <c r="BD38" s="196">
        <f>BE38+各项系数!$M$9*$NS38</f>
        <v>32.823491771632725</v>
      </c>
      <c r="BE38" s="196">
        <f>BF38*(1+$BI38+(VLOOKUP($AM38,$A$12:$B$214,2,0))+各项系数!$J$6+各项系数!$M$5)*(1+$E$2)</f>
        <v>32.62814961334761</v>
      </c>
      <c r="BF38" s="197">
        <f>BG38+各项系数!$L$9*$NS38</f>
        <v>33.294030217701646</v>
      </c>
      <c r="BG38" s="197">
        <f>BH38*(1+$BJ38+各项系数!$J$5+各项系数!$L$5)</f>
        <v>33.098688059416531</v>
      </c>
      <c r="BH38" s="199">
        <f t="shared" si="132"/>
        <v>32.449694175898557</v>
      </c>
      <c r="BI38" s="213"/>
      <c r="BJ38" s="208"/>
      <c r="BK38" s="53" t="s">
        <v>514</v>
      </c>
      <c r="BL38" s="196">
        <f>BM38+各项系数!$M$9*$NM38</f>
        <v>30.686299725208293</v>
      </c>
      <c r="BM38" s="196">
        <f>BN38*(1+$CF38+(VLOOKUP($AM38,$A$12:$B$323,2,0))+各项系数!$J$6+各项系数!$M$5)*(1+$E$2)</f>
        <v>30.497788322788978</v>
      </c>
      <c r="BN38" s="197">
        <f>BO38+各项系数!$L$9*$NM38</f>
        <v>31.120192166111202</v>
      </c>
      <c r="BO38" s="197">
        <f>BP38*(1+$CG38+各项系数!$J$5+各项系数!$L$5)</f>
        <v>30.931680763691887</v>
      </c>
      <c r="BP38" s="197">
        <f t="shared" si="133"/>
        <v>30.03075802300183</v>
      </c>
      <c r="BQ38" s="196">
        <f>BR38+各项系数!$M$9*$NM38</f>
        <v>31.554206880849655</v>
      </c>
      <c r="BR38" s="196">
        <f>BS38*(1+$CF38+(VLOOKUP($AM38,$A$12:$B$323,2,0))+各项系数!$J$6+各项系数!$M$5)*(1+$E$2)</f>
        <v>31.365695478430339</v>
      </c>
      <c r="BS38" s="197">
        <f>BT38+各项系数!$L$9*$NM38</f>
        <v>32.005811712684022</v>
      </c>
      <c r="BT38" s="197">
        <f>BU38*(1+$CG38+各项系数!$J$5+各项系数!$L$5)</f>
        <v>31.817300310264706</v>
      </c>
      <c r="BU38" s="197">
        <f t="shared" si="134"/>
        <v>30.890582825499713</v>
      </c>
      <c r="BV38" s="196">
        <f>BW38+各项系数!$M$9*$NT38</f>
        <v>32.08254851715165</v>
      </c>
      <c r="BW38" s="196">
        <f>BX38*(1+$CF38+(VLOOKUP($AM38,$A$12:$B$214,2,0))+各项系数!$J$6+各项系数!$M$5)*(1+$E$2)</f>
        <v>31.887206358866536</v>
      </c>
      <c r="BX38" s="197">
        <f>BY38+各项系数!$L$9*$NT$12</f>
        <v>32.537965672312794</v>
      </c>
      <c r="BY38" s="197">
        <f>BZ38*(1+$CG38+各项系数!$J$5+各项系数!$L$5)</f>
        <v>32.529702269157823</v>
      </c>
      <c r="BZ38" s="199">
        <f t="shared" si="11"/>
        <v>31.582235212774588</v>
      </c>
      <c r="CA38" s="196">
        <f>CB38+各项系数!$M$9*$NT38</f>
        <v>32.958161594528988</v>
      </c>
      <c r="CB38" s="196">
        <f>CC38*(1+$CF38+(VLOOKUP($AM38,$A$12:$B$214,2,0))+各项系数!$J$6+各项系数!$M$5)*(1+$E$2)</f>
        <v>32.762819436243873</v>
      </c>
      <c r="CC38" s="197">
        <f>CD38+各项系数!$L$9*$NT$12</f>
        <v>33.431448404330482</v>
      </c>
      <c r="CD38" s="197">
        <f>CE38*(1+$CG38+各项系数!$J$5+各项系数!$L$5)</f>
        <v>33.423185001175511</v>
      </c>
      <c r="CE38" s="199">
        <f t="shared" si="135"/>
        <v>32.449694175898557</v>
      </c>
      <c r="CF38" s="213">
        <f t="shared" si="136"/>
        <v>0</v>
      </c>
      <c r="CG38" s="213">
        <f t="shared" si="12"/>
        <v>0.01</v>
      </c>
      <c r="CH38" s="53"/>
      <c r="CI38" s="196">
        <f>CJ38+各项系数!$M$9*$NO38</f>
        <v>31.070350771163085</v>
      </c>
      <c r="CJ38" s="196">
        <f>CK38*(1+$DC38+(VLOOKUP($AM38,$A$12:$B$323,2,0))+各项系数!$J$6+各项系数!$M$5)*(1+$E$2)+各项系数!$M$9*$NK38</f>
        <v>30.865687482190392</v>
      </c>
      <c r="CK38" s="197">
        <f>CL38+各项系数!$L$9*$NO38</f>
        <v>31.303240897725587</v>
      </c>
      <c r="CL38" s="197">
        <f>CM38*(1+$DD38+各项系数!$J$5+各项系数!$L$5)</f>
        <v>31.098577608752894</v>
      </c>
      <c r="CM38" s="197">
        <f t="shared" si="13"/>
        <v>30.488801577208719</v>
      </c>
      <c r="CN38" s="196">
        <f>CO38+各项系数!$M$9*$NO38</f>
        <v>31.974552984026388</v>
      </c>
      <c r="CO38" s="196">
        <f>CP38*(1+$DC38+(VLOOKUP($AM38,$A$12:$B$323,2,0))+各项系数!$J$6+各项系数!$M$5)*(1+$E$2)+各项系数!$M$9*$NK38</f>
        <v>31.769889695053696</v>
      </c>
      <c r="CP38" s="197">
        <f>CQ38+各项系数!$L$9*$NO38</f>
        <v>32.225896216973858</v>
      </c>
      <c r="CQ38" s="197">
        <f>CR38*(1+$DD38+各项系数!$J$5+各项系数!$L$5)</f>
        <v>32.021232928001162</v>
      </c>
      <c r="CR38" s="197">
        <f t="shared" si="14"/>
        <v>31.393365615687415</v>
      </c>
      <c r="CS38" s="196">
        <f>CT38+各项系数!$M$9*$NU38</f>
        <v>32.564805631746367</v>
      </c>
      <c r="CT38" s="196">
        <f t="shared" si="15"/>
        <v>32.352783103445915</v>
      </c>
      <c r="CU38" s="197">
        <f>CV38+各项系数!$L$9*$NU38</f>
        <v>33.013043983108076</v>
      </c>
      <c r="CV38" s="197">
        <f>CW38*(1+$DD38+各项系数!$J$5+各项系数!$L$5)</f>
        <v>32.801021454807625</v>
      </c>
      <c r="CW38" s="199">
        <f t="shared" si="16"/>
        <v>32.157864171380027</v>
      </c>
      <c r="CX38" s="196">
        <f>CY38+各项系数!$M$9*$NU38</f>
        <v>33.652807194944046</v>
      </c>
      <c r="CY38" s="196">
        <f t="shared" si="17"/>
        <v>33.440784666643594</v>
      </c>
      <c r="CZ38" s="197">
        <f>DA38+各项系数!$L$9*$NU38</f>
        <v>34.123249659840404</v>
      </c>
      <c r="DA38" s="197">
        <f>DB38*(1+$DD38+各项系数!$J$5+各项系数!$L$5)</f>
        <v>33.911227131539952</v>
      </c>
      <c r="DB38" s="199">
        <f t="shared" si="18"/>
        <v>33.246301109352892</v>
      </c>
      <c r="DC38" s="213">
        <f t="shared" si="137"/>
        <v>0</v>
      </c>
      <c r="DD38" s="213">
        <f t="shared" si="19"/>
        <v>0</v>
      </c>
      <c r="DE38" s="53" t="s">
        <v>498</v>
      </c>
      <c r="DF38" s="53" t="s">
        <v>513</v>
      </c>
      <c r="DG38" s="196">
        <f>DH38+各项系数!$M$9*$NQ38</f>
        <v>31.530121023454928</v>
      </c>
      <c r="DH38" s="196">
        <f>DI38*(1+$EA38+(VLOOKUP($AM38,$A$12:$B$323,2,0))+各项系数!$J$6+各项系数!$M$5)*(1+$E$2)+各项系数!$M$9*$NK38</f>
        <v>31.325457734482235</v>
      </c>
      <c r="DI38" s="197">
        <f>DJ38+各项系数!$L$9*$NQ38</f>
        <v>31.772394216390733</v>
      </c>
      <c r="DJ38" s="197">
        <f>DK38*(1+$EB38+各项系数!$J$5+各项系数!$L$5)</f>
        <v>31.56773092741804</v>
      </c>
      <c r="DK38" s="197">
        <f t="shared" si="20"/>
        <v>30.648282453803922</v>
      </c>
      <c r="DL38" s="196">
        <f>DM38+各项系数!$M$9*$NQ38</f>
        <v>32.458767535810374</v>
      </c>
      <c r="DM38" s="196">
        <f>DN38*(1+$EA38+(VLOOKUP($AM38,$A$12:$B$323,2,0))+各项系数!$J$6+各项系数!$M$5)*(1+$E$2)+各项系数!$M$9*$NK38</f>
        <v>32.254104246837677</v>
      </c>
      <c r="DN38" s="197">
        <f>DO38+各项系数!$L$9*$NQ38</f>
        <v>32.719992698386086</v>
      </c>
      <c r="DO38" s="197">
        <f>DP38*(1+$EB38+各项系数!$J$5+各项系数!$L$5)</f>
        <v>32.51532940941339</v>
      </c>
      <c r="DP38" s="197">
        <f t="shared" si="21"/>
        <v>31.568280980012997</v>
      </c>
      <c r="DQ38" s="196">
        <f>DR38+各项系数!$M$9*$NV38</f>
        <v>33.042268511724288</v>
      </c>
      <c r="DR38" s="196">
        <f t="shared" si="22"/>
        <v>32.830245983423836</v>
      </c>
      <c r="DS38" s="197">
        <f>DT38+各项系数!$L$9*$NV38</f>
        <v>33.500251003493709</v>
      </c>
      <c r="DT38" s="197">
        <f>DU38*(1+$EB38+各项系数!$J$5+各项系数!$L$5)</f>
        <v>33.288228475193257</v>
      </c>
      <c r="DU38" s="199">
        <f t="shared" si="23"/>
        <v>32.318668422517725</v>
      </c>
      <c r="DV38" s="196">
        <f>DW38+各项系数!$M$9*$NV38</f>
        <v>33.485309012744324</v>
      </c>
      <c r="DW38" s="196">
        <f t="shared" si="24"/>
        <v>33.273286484443872</v>
      </c>
      <c r="DX38" s="197">
        <f>DY38+各项系数!$L$9*$NV38</f>
        <v>33.952333147391705</v>
      </c>
      <c r="DY38" s="197">
        <f>DZ38*(1+$EB38+各项系数!$J$5+各项系数!$L$5)</f>
        <v>33.740310619091254</v>
      </c>
      <c r="DZ38" s="199">
        <f t="shared" si="25"/>
        <v>32.757583125331315</v>
      </c>
      <c r="EA38" s="213">
        <f t="shared" si="230"/>
        <v>0</v>
      </c>
      <c r="EB38" s="213">
        <f t="shared" si="27"/>
        <v>0.01</v>
      </c>
      <c r="EC38" s="235">
        <f t="shared" si="138"/>
        <v>2</v>
      </c>
      <c r="ED38" s="235" t="str">
        <f t="shared" si="180"/>
        <v>2*25</v>
      </c>
      <c r="EE38" s="189">
        <f t="shared" si="239"/>
        <v>25</v>
      </c>
      <c r="EF38" s="189" t="str">
        <f>LOOKUP(EH38,{1,7,10,14,19,24,30,37,48,61},{1,"1+6","2+8","4+10","1+6+12","2+8+14","4+10+16","1+6+12+18","3+9+15+21","1+6+12+18+24"})</f>
        <v>1+6</v>
      </c>
      <c r="EG38" s="188">
        <f t="shared" si="29"/>
        <v>2</v>
      </c>
      <c r="EH38" s="197">
        <f>VLOOKUP(EE38,各项系数!$B$87:$C$110,2,0)</f>
        <v>7</v>
      </c>
      <c r="EI38" s="188">
        <f>IF(EH38=0,0,VLOOKUP(EH38,各项系数!$D$142:$E$195,2,0))*1</f>
        <v>3</v>
      </c>
      <c r="EJ38" s="238">
        <f t="shared" si="141"/>
        <v>208.046961644752</v>
      </c>
      <c r="EK38" s="189">
        <f t="shared" si="245"/>
        <v>0</v>
      </c>
      <c r="EL38" s="189">
        <f t="shared" si="31"/>
        <v>0</v>
      </c>
      <c r="EM38" s="189">
        <f t="shared" si="182"/>
        <v>0</v>
      </c>
      <c r="EN38" s="189">
        <f>IF(EP38=0,0,LOOKUP(EP38,{1,7,10,14,19,24,30,37,48,61},{1,"1+6","2+8","4+10","1+6+12","2+8+14","4+10+16","1+6+12+18","3+9+15+21","1+6+12+18+24"}))</f>
        <v>0</v>
      </c>
      <c r="EO38" s="189">
        <f t="shared" si="246"/>
        <v>0</v>
      </c>
      <c r="EP38" s="189">
        <f>IF(EM38=0,0,IF(EM38&lt;10,1,IF(AND(EM38&gt;=10,EM38&lt;=35),7,LOOKUP(EM38,{50,70,95,120,150,185,240,300},{10,14,19,24,30,37,48,61})*1)))</f>
        <v>0</v>
      </c>
      <c r="EQ38" s="189">
        <f>IF(EP38=0,0,VLOOKUP(EP38,各项系数!$D$142:$E$195,2,0))*1</f>
        <v>0</v>
      </c>
      <c r="ER38" s="189">
        <f t="shared" si="247"/>
        <v>0</v>
      </c>
      <c r="ES38" s="235">
        <f t="shared" si="250"/>
        <v>2</v>
      </c>
      <c r="ET38" s="189">
        <f>VLOOKUP(ES38,各项系数!$D$142:$E$195,2,0)*1</f>
        <v>2</v>
      </c>
      <c r="EU38" s="243">
        <f>((各项系数!$F$76/4*$EJ38^2*$EG38*$EH38*1*10^-7)*(1-$H38)*AA38)*(VLOOKUP($EY$9,各项系数!$D$4:$F$143,3,0))*各项系数!$J$4</f>
        <v>0.42561474933555488</v>
      </c>
      <c r="EV38" s="244">
        <f>EU38*(VLOOKUP($EY$9,各项系数!$D$4:$F$143,2,0))</f>
        <v>27.877766081478846</v>
      </c>
      <c r="EW38" s="252">
        <f>(IF($EO38=0,0,(各项系数!$F$76/4*$ER38^2*$EO38*$EP38*1*10^-7))*(1-$K38)*$AF38)*(VLOOKUP($EY$9,各项系数!$D$4:$F$143,3,0))*各项系数!$J$4</f>
        <v>0</v>
      </c>
      <c r="EX38" s="253">
        <f>EW38*(VLOOKUP($EY$9,各项系数!$D$4:$F$143,2,0))</f>
        <v>0</v>
      </c>
      <c r="EY38" s="189">
        <f>((各项系数!$F$76/4*$EJ38^2*$EG38*$EH38*1*10^-7)*(1-$H38)*AA38+IF($EO38=0,0,(各项系数!$F$76/4*$ER38^2*$EO38*$EP38*1*10^-7))*(1-$K38)*$AF38)*(VLOOKUP($EY$9,各项系数!$D$4:$F$143,3,0))*各项系数!$J$4</f>
        <v>0.42561474933555488</v>
      </c>
      <c r="EZ38" s="102">
        <v>1</v>
      </c>
      <c r="FA38" s="189">
        <f t="shared" si="188"/>
        <v>0.42561474933555488</v>
      </c>
      <c r="FB38" s="254">
        <f>FA38*(VLOOKUP($EY$9,各项系数!$D$4:$F$143,2,0))</f>
        <v>27.877766081478846</v>
      </c>
      <c r="FC38" s="255"/>
      <c r="FD38" s="235">
        <f>各项系数!$F$76/4*($MN38^2-MK38^2)*10^-2*(VLOOKUP(L38,各项系数!$D$1:$F$143,3,0))*10^-3*10^2*$EG38*各项系数!$J$4</f>
        <v>4.4199976833149503E-2</v>
      </c>
      <c r="FE38" s="262">
        <f>FD38*VLOOKUP(L38,各项系数!$D$1:$F$143,2,0)</f>
        <v>0.4508397636981249</v>
      </c>
      <c r="FF38" s="188">
        <f>各项系数!$F$76/4*($MO38^2-ML38^2)*10^-2*(VLOOKUP(L38,各项系数!$D$1:$F$143,3,0))*10^-3*10^2*$EO38*各项系数!$J$4</f>
        <v>0</v>
      </c>
      <c r="FG38" s="262">
        <f>FF38*VLOOKUP(L38,各项系数!$D$1:$F$143,2,0)</f>
        <v>0</v>
      </c>
      <c r="FH38" s="235">
        <f t="shared" si="142"/>
        <v>4.4199976833149503E-2</v>
      </c>
      <c r="FI38" s="102">
        <v>1</v>
      </c>
      <c r="FJ38" s="189">
        <f t="shared" si="189"/>
        <v>4.4199976833149503E-2</v>
      </c>
      <c r="FK38" s="262">
        <f>FJ38*VLOOKUP(L38,各项系数!$D$1:$F$143,2,0)</f>
        <v>0.4508397636981249</v>
      </c>
      <c r="FL38" s="235"/>
      <c r="FM38" s="102"/>
      <c r="FN38" s="189"/>
      <c r="FO38" s="262"/>
      <c r="FP38" s="282">
        <f t="shared" si="190"/>
        <v>4.4199976833149503E-2</v>
      </c>
      <c r="FQ38" s="282">
        <f t="shared" si="191"/>
        <v>0.4508397636981249</v>
      </c>
      <c r="FR38" s="283">
        <f>各项系数!$F$76/4*($MQ38^2-$MN38^2*$EG38-$MO38^2*$EO38)*10^-2</f>
        <v>1.0157437651237395</v>
      </c>
      <c r="FS38" s="284">
        <f t="shared" si="143"/>
        <v>0.05</v>
      </c>
      <c r="FT38" s="285">
        <f t="shared" si="40"/>
        <v>5.0787188256186978E-2</v>
      </c>
      <c r="FU38" s="302">
        <f>$FT38*(VLOOKUP($FT$9,各项系数!$D$1:$F$143,3,0))*10^-3*10^2*各项系数!$J$55</f>
        <v>6.0639902777887252E-3</v>
      </c>
      <c r="FV38" s="303">
        <v>1</v>
      </c>
      <c r="FW38" s="304">
        <f t="shared" si="192"/>
        <v>6.0639902777887252E-3</v>
      </c>
      <c r="FX38" s="285">
        <f>FW38*(VLOOKUP($FT$9,各项系数!$D$1:$F$143,2,0))</f>
        <v>1.8191970833366176E-2</v>
      </c>
      <c r="FY38" s="302">
        <f>IF($BK38&lt;&gt;$FY$9,0,各项系数!$F$76/4*($MS38^2-$MQ38^2)*10^-2*(VLOOKUP($FY$9,各项系数!$D$1:$F$143,3,0))*10^-3*10^2)*各项系数!$J$4</f>
        <v>0</v>
      </c>
      <c r="FZ38" s="303">
        <v>1</v>
      </c>
      <c r="GA38" s="304">
        <f t="shared" si="193"/>
        <v>0</v>
      </c>
      <c r="GB38" s="285">
        <f>GA38*(VLOOKUP($FY$9,各项系数!$D$1:$F$143,2,0))</f>
        <v>0</v>
      </c>
      <c r="GC38" s="302">
        <f>IF($BK38&lt;&gt;$GC$9,0,各项系数!$F$76/4*($MS38^2-$MQ38^2)*10^-2*(VLOOKUP($GC$9,各项系数!$D$1:$F$143,3,0))*10^-3*10^2)*各项系数!$J$4</f>
        <v>3.4428065936918978E-3</v>
      </c>
      <c r="GD38" s="303">
        <v>1</v>
      </c>
      <c r="GE38" s="304">
        <f t="shared" si="194"/>
        <v>3.4428065936918978E-3</v>
      </c>
      <c r="GF38" s="285">
        <f>GE38*(VLOOKUP($GC$9,各项系数!$D$1:$F$143,2,0))</f>
        <v>4.4412205058625483E-2</v>
      </c>
      <c r="GG38" s="302">
        <f>IF($BK38&lt;&gt;$GG$9,0,各项系数!$F$76/4*($MS38^2-$MQ38^2)*10^-2*(VLOOKUP($GG$9,各项系数!$D$1:$F$143,3,0))*10^-3*10^2)*各项系数!$J$4</f>
        <v>0</v>
      </c>
      <c r="GH38" s="303">
        <v>1</v>
      </c>
      <c r="GI38" s="304">
        <f t="shared" si="195"/>
        <v>0</v>
      </c>
      <c r="GJ38" s="285">
        <f>GI38*(VLOOKUP($GG$9,各项系数!$D$1:$F$143,2,0))</f>
        <v>0</v>
      </c>
      <c r="GK38" s="302">
        <f>IF($BK38&lt;&gt;$GK$9,0,各项系数!$F$76/4*($MS38^2-$MQ38^2)*10^-2*(VLOOKUP($GK$9,各项系数!$D$1:$F$143,3,0))*10^-3*10^2)*各项系数!$J$4</f>
        <v>0</v>
      </c>
      <c r="GL38" s="303">
        <v>1</v>
      </c>
      <c r="GM38" s="304">
        <f t="shared" si="196"/>
        <v>0</v>
      </c>
      <c r="GN38" s="285">
        <f>GM38*(VLOOKUP($GK$9,各项系数!$D$1:$F$143,2,0))</f>
        <v>0</v>
      </c>
      <c r="GO38" s="304">
        <f t="shared" si="197"/>
        <v>3.4428065936918978E-3</v>
      </c>
      <c r="GP38" s="304">
        <f t="shared" si="198"/>
        <v>4.4412205058625483E-2</v>
      </c>
      <c r="GQ38" s="315">
        <f>各项系数!$F$76/4*($MU38^2-$MS38^2)*10^-2*(VLOOKUP($S38,各项系数!$D$1:$F$143,3,0))*10^-3*10^2*各项系数!$J$4</f>
        <v>0.12115075775615364</v>
      </c>
      <c r="GR38" s="303">
        <v>1</v>
      </c>
      <c r="GS38" s="304">
        <f t="shared" si="199"/>
        <v>0.12115075775615364</v>
      </c>
      <c r="GT38" s="304">
        <f t="shared" si="200"/>
        <v>0</v>
      </c>
      <c r="GU38" s="304">
        <f>ROUND($GS38*(VLOOKUP($S38,各项系数!$D$1:$F$143,2,0))+$E$3*GS38,GT38)</f>
        <v>1</v>
      </c>
      <c r="GV38" s="315">
        <f>各项系数!$F$76/4*($MT38^2-$MS38^2)*10^-2*(VLOOKUP($GV$9,各项系数!$D$1:$F$143,3,0))*10^-3*10^2*各项系数!$J$4*PI()/4*R38</f>
        <v>2.2769186219338017E-2</v>
      </c>
      <c r="GW38" s="303">
        <v>1</v>
      </c>
      <c r="GX38" s="304">
        <f t="shared" si="201"/>
        <v>2.2769186219338017E-2</v>
      </c>
      <c r="GY38" s="304">
        <f>$GX38*(VLOOKUP($GV$9,各项系数!$D$1:$F$143,2,0))</f>
        <v>1.536920069805316</v>
      </c>
      <c r="GZ38" s="315">
        <f>各项系数!$F$76/4*($MV38^2-$MS38^2)*10^-2*(VLOOKUP($GZ$9,各项系数!$D$1:$F$143,3,0))*10^-3*10^2*各项系数!$J$4</f>
        <v>0.14702192967239711</v>
      </c>
      <c r="HA38" s="303">
        <v>1</v>
      </c>
      <c r="HB38" s="304">
        <f t="shared" si="144"/>
        <v>0.14702192967239711</v>
      </c>
      <c r="HC38" s="304">
        <f>HB38*(VLOOKUP($GZ$9,各项系数!$D$1:$F$143,2,0))</f>
        <v>2.4993728044307506</v>
      </c>
      <c r="HD38" s="315">
        <f>各项系数!$F$76/4*($MW38^2-$MT38^2)*10^-2*(VLOOKUP($HD$9,各项系数!$D$1:$F$143,3,0))*10^-3*10^2*各项系数!$J$4</f>
        <v>0.14832729911907552</v>
      </c>
      <c r="HE38" s="303">
        <v>1</v>
      </c>
      <c r="HF38" s="304">
        <f t="shared" si="145"/>
        <v>0.14832729911907552</v>
      </c>
      <c r="HG38" s="304">
        <f>HF38*(VLOOKUP($HD$9,各项系数!$D$1:$F$143,2,0))</f>
        <v>2.5215640850242838</v>
      </c>
      <c r="HH38" s="315">
        <f>各项系数!$F$76/4*($MV38^2-$MS38^2)*10^-2*(VLOOKUP($HH$9,各项系数!$D$1:$F$143,3,0))*10^-3*10^2*各项系数!$J$4</f>
        <v>0.14702192967239711</v>
      </c>
      <c r="HI38" s="322">
        <v>1</v>
      </c>
      <c r="HJ38" s="304">
        <f t="shared" si="146"/>
        <v>0.14702192967239711</v>
      </c>
      <c r="HK38" s="304">
        <f>HJ38*(VLOOKUP($HH$9,各项系数!$D$1:$F$143,2,0))</f>
        <v>2.4993728044307506</v>
      </c>
      <c r="HL38" s="315">
        <f>各项系数!$F$76/4*($MW38^2-$MT38^2)*10^-2*(VLOOKUP($HL$9,各项系数!$D$1:$F$143,3,0))*10^-3*10^2*各项系数!$J$4</f>
        <v>0.14832729911907552</v>
      </c>
      <c r="HM38" s="322">
        <v>1</v>
      </c>
      <c r="HN38" s="304">
        <f t="shared" si="147"/>
        <v>0.14832729911907552</v>
      </c>
      <c r="HO38" s="304">
        <f>HN38*(VLOOKUP($HL$9,各项系数!$D$1:$F$143,2,0))</f>
        <v>2.5215640850242838</v>
      </c>
      <c r="HP38" s="315">
        <f>各项系数!$F$76/4*($MV38^2-$MS38^2)*10^-2*(VLOOKUP(AN38,各项系数!$D$1:$F$143,3,0))*10^-3*10^2*各项系数!$J$4</f>
        <v>0.14904981835753361</v>
      </c>
      <c r="HQ38" s="303">
        <v>1</v>
      </c>
      <c r="HR38" s="304">
        <f t="shared" si="202"/>
        <v>0.14904981835753361</v>
      </c>
      <c r="HS38" s="304">
        <f>HR38*(VLOOKUP(AN38,各项系数!$D$1:$F$143,2,0))</f>
        <v>1.4904981835753361</v>
      </c>
      <c r="HT38" s="315">
        <f>各项系数!$F$76/4*($MW38^2-$MT38^2)*10^-2*(VLOOKUP(AN38,各项系数!$D$1:$F$143,3,0))*10^-3*10^2*各项系数!$J$4</f>
        <v>0.15037319290002829</v>
      </c>
      <c r="HU38" s="303">
        <v>1</v>
      </c>
      <c r="HV38" s="304">
        <f t="shared" si="203"/>
        <v>0.15037319290002829</v>
      </c>
      <c r="HW38" s="304">
        <f>HV38*(VLOOKUP(AN38,各项系数!$D$1:$F$143,2,0))</f>
        <v>1.5037319290002829</v>
      </c>
      <c r="HX38" s="315">
        <f>各项系数!$F$76/4*($MV38^2-$MS38^2)*10^-2*(VLOOKUP($HX$9,各项系数!$D$1:$F$143,3,0))*10^-3*10^2*各项系数!$J$4</f>
        <v>0.14904981835753361</v>
      </c>
      <c r="HY38" s="322">
        <v>1</v>
      </c>
      <c r="HZ38" s="304">
        <f t="shared" si="204"/>
        <v>0.14904981835753361</v>
      </c>
      <c r="IA38" s="304">
        <f>HZ38*(VLOOKUP($HX$9,各项系数!$D$1:$F$143,2,0))</f>
        <v>1.6395480019328699</v>
      </c>
      <c r="IB38" s="315">
        <f>各项系数!$F$76/4*($MW38^2-$MT38^2)*10^-2*(VLOOKUP($IB$9,各项系数!$D$1:$F$143,3,0))*10^-3*10^2*各项系数!$J$4</f>
        <v>0.15037319290002829</v>
      </c>
      <c r="IC38" s="322">
        <v>1</v>
      </c>
      <c r="ID38" s="304">
        <f t="shared" si="205"/>
        <v>0.15037319290002829</v>
      </c>
      <c r="IE38" s="304">
        <f>ID38*(VLOOKUP($IB$9,各项系数!$D$1:$F$143,2,0))</f>
        <v>1.6541051219003111</v>
      </c>
      <c r="IF38" s="328"/>
      <c r="IG38" s="315">
        <f t="shared" si="148"/>
        <v>1.8402920827748678E-2</v>
      </c>
      <c r="IH38" s="303">
        <v>1</v>
      </c>
      <c r="II38" s="304">
        <f t="shared" si="206"/>
        <v>1.8402920827748678E-2</v>
      </c>
      <c r="IJ38" s="304">
        <f>II38*(VLOOKUP($IG$8,各项系数!$D$1:$F$143,2,0))</f>
        <v>0.46007302069371697</v>
      </c>
      <c r="IK38" s="315">
        <f>(各项系数!$F$76/4*($MX38^2-$MK38^2)*$EG38)*10^-2*(VLOOKUP($IG$8,各项系数!$D$1:$F$143,3,0))*10^-3*10^2*各项系数!$J$4</f>
        <v>1.8402920827748678E-2</v>
      </c>
      <c r="IL38" s="303">
        <f>IK38*(VLOOKUP($IG$8,各项系数!$D$1:$F$143,2,0))</f>
        <v>0.46007302069371697</v>
      </c>
      <c r="IM38" s="304">
        <f>(各项系数!$F$76/4*(($MM38+3*$X38)^2-MM38^2)*$EO38)*10^-2*(VLOOKUP($IG$8,各项系数!$D$1:$F$143,3,0))*10^-3*10^2*各项系数!$J$4</f>
        <v>0</v>
      </c>
      <c r="IN38" s="303">
        <f>IM38*(VLOOKUP($IG$8,各项系数!$D$1:$F$143,2,0))</f>
        <v>0</v>
      </c>
      <c r="IO38" s="315">
        <f>各项系数!$F$76/4*($MZ38^2-$MX38^2)*10^-2*(VLOOKUP(L38,各项系数!$D$1:$F$143,3,0))*10^-3*10^2*$ES38*各项系数!$J$4</f>
        <v>4.7913527845251873E-2</v>
      </c>
      <c r="IP38" s="303">
        <v>1</v>
      </c>
      <c r="IQ38" s="304">
        <f t="shared" si="207"/>
        <v>4.7913527845251873E-2</v>
      </c>
      <c r="IR38" s="285">
        <f>IQ38*(VLOOKUP(L38,各项系数!$D$1:$F$143,2,0))</f>
        <v>0.48871798402156907</v>
      </c>
      <c r="IS38" s="315">
        <f>IF($L38&lt;&gt;$IS$9,0,各项系数!$F$76/4*($MZ38^2-$MX38^2)*10^-2*各项系数!$F$12*10^-3*10^2)*$ES38*各项系数!$J$4</f>
        <v>0</v>
      </c>
      <c r="IT38" s="303">
        <v>1</v>
      </c>
      <c r="IU38" s="304">
        <f t="shared" si="208"/>
        <v>0</v>
      </c>
      <c r="IV38" s="285">
        <f>IU38*各项系数!$E$12</f>
        <v>0</v>
      </c>
      <c r="IW38" s="302">
        <f t="shared" si="209"/>
        <v>4.7913527845251873E-2</v>
      </c>
      <c r="IX38" s="302">
        <f t="shared" si="210"/>
        <v>0.48871798402156907</v>
      </c>
      <c r="IY38" s="339">
        <f>各项系数!$F$76/4*($NB38^2-$MZ38^2*$EG38-$NA38^2*$EO38)*10^-2</f>
        <v>1.1729756178947284</v>
      </c>
      <c r="IZ38" s="284">
        <f t="shared" si="231"/>
        <v>0.05</v>
      </c>
      <c r="JA38" s="285">
        <f t="shared" si="64"/>
        <v>5.8648780894736421E-2</v>
      </c>
      <c r="JB38" s="282">
        <f>IF($DE38&lt;&gt;$JB$9,0,$JA38*各项系数!$F$32*10^-3*10^2)*各项系数!$J$4</f>
        <v>0</v>
      </c>
      <c r="JC38" s="102">
        <v>1</v>
      </c>
      <c r="JD38" s="189">
        <f t="shared" si="211"/>
        <v>0</v>
      </c>
      <c r="JE38" s="262">
        <f>JD38*各项系数!$E$32</f>
        <v>0</v>
      </c>
      <c r="JF38" s="282">
        <f>IF($DE38&lt;&gt;$JF$9,0,$JA38*VLOOKUP($JF$9,各项系数!$D$4:$F$540,2,0)*10^-3*10^2)*各项系数!$J$4</f>
        <v>2.917776849513137E-2</v>
      </c>
      <c r="JG38" s="102">
        <v>1</v>
      </c>
      <c r="JH38" s="189">
        <f t="shared" si="66"/>
        <v>2.917776849513137E-2</v>
      </c>
      <c r="JI38" s="262">
        <f>JH38*VLOOKUP($JF$9,各项系数!$D$4:$F$540,3,0)</f>
        <v>3.5013322194157641E-2</v>
      </c>
      <c r="JJ38" s="282">
        <f t="shared" si="212"/>
        <v>2.917776849513137E-2</v>
      </c>
      <c r="JK38" s="189">
        <f t="shared" si="213"/>
        <v>3.5013322194157641E-2</v>
      </c>
      <c r="JL38" s="282">
        <f>IF($DF38&lt;&gt;$JL$9,0,各项系数!$F$76/4*($NE38^2-$NC38^2)*10^-2*各项系数!$F$39*10^-3*10^2)*各项系数!$J$4</f>
        <v>1.6211201434187894E-3</v>
      </c>
      <c r="JM38" s="102">
        <v>1</v>
      </c>
      <c r="JN38" s="189">
        <f t="shared" si="214"/>
        <v>1.6211201434187894E-3</v>
      </c>
      <c r="JO38" s="262">
        <f>JN38*各项系数!$E$39</f>
        <v>3.2422402868375791E-2</v>
      </c>
      <c r="JP38" s="282">
        <f>IF($DF38&lt;&gt;$JP$9,0,各项系数!$F$76/4*($NE38^2-$NC38^2)*10^-2*各项系数!$F$36*10^-3*10^2)*各项系数!$J$4</f>
        <v>0</v>
      </c>
      <c r="JQ38" s="102">
        <v>1</v>
      </c>
      <c r="JR38" s="189">
        <f t="shared" si="215"/>
        <v>0</v>
      </c>
      <c r="JS38" s="262">
        <f>JR38*各项系数!$E$36</f>
        <v>0</v>
      </c>
      <c r="JT38" s="282">
        <f>IF($DF38&lt;&gt;$JT$9,0,各项系数!$F$76/4*($NE38^2-$NC38^2)*10^-2*各项系数!$F$40*10^-3*10^2)*各项系数!$J$4</f>
        <v>0</v>
      </c>
      <c r="JU38" s="102">
        <v>1</v>
      </c>
      <c r="JV38" s="189">
        <f t="shared" si="216"/>
        <v>0</v>
      </c>
      <c r="JW38" s="262">
        <f>JV38*各项系数!$E$40</f>
        <v>0</v>
      </c>
      <c r="JX38" s="282">
        <f>IF($DF38&lt;&gt;$JX$9,0,各项系数!$F$76/4*($NE38^2-$NC38^2)*10^-2*各项系数!$F$38*10^-3*10^2)*各项系数!$J$4</f>
        <v>0</v>
      </c>
      <c r="JY38" s="102">
        <v>1</v>
      </c>
      <c r="JZ38" s="189">
        <f t="shared" si="217"/>
        <v>0</v>
      </c>
      <c r="KA38" s="262">
        <f>JZ38*各项系数!$E$38</f>
        <v>0</v>
      </c>
      <c r="KB38" s="282">
        <f>IF($DF38&lt;&gt;$KB$9,0,各项系数!$F$76/4*($NE38^2-$NC38^2)*10^-2*各项系数!$F$41*10^-3*10^2)*各项系数!$J$4</f>
        <v>0</v>
      </c>
      <c r="KC38" s="102">
        <v>1</v>
      </c>
      <c r="KD38" s="189">
        <f t="shared" si="218"/>
        <v>0</v>
      </c>
      <c r="KE38" s="262">
        <f>KD38*各项系数!$E$41</f>
        <v>0</v>
      </c>
      <c r="KF38" s="189">
        <f t="shared" si="219"/>
        <v>1.6211201434187894E-3</v>
      </c>
      <c r="KG38" s="189">
        <f t="shared" si="220"/>
        <v>3.2422402868375791E-2</v>
      </c>
      <c r="KH38" s="235">
        <f>各项系数!$F$76/4*($NG38^2-$NE38^2)*10^-2*各项系数!$F$44*10^-3*10^2*各项系数!$J$4*0.75*$U38</f>
        <v>0.19559873449453485</v>
      </c>
      <c r="KI38" s="102">
        <v>1</v>
      </c>
      <c r="KJ38" s="189">
        <f t="shared" si="221"/>
        <v>0.19559873449453485</v>
      </c>
      <c r="KK38" s="189">
        <f>ROUND(KJ38*各项系数!$E$43,GT38)</f>
        <v>1</v>
      </c>
      <c r="KL38" s="235">
        <f>各项系数!$F$76/4*($NF38^2-$NE38^2)*10^-2*各项系数!$F$46*10^-3*10^2*各项系数!$J$4*PI()/4*R38</f>
        <v>2.4530797759205327E-2</v>
      </c>
      <c r="KM38" s="102">
        <v>1</v>
      </c>
      <c r="KN38" s="189">
        <f t="shared" si="222"/>
        <v>2.4530797759205327E-2</v>
      </c>
      <c r="KO38" s="189">
        <f>KN38*各项系数!$E$46</f>
        <v>1.6558288487463595</v>
      </c>
      <c r="KP38" s="235">
        <f>各项系数!$F$76/4*($NH38^2-$NE38^2)*10^-2*(VLOOKUP($KP$9,各项系数!$D$1:$F$143,3,0))*10^-3*10^2*各项系数!$J$4</f>
        <v>0.15731106875037243</v>
      </c>
      <c r="KQ38" s="102">
        <v>1</v>
      </c>
      <c r="KR38" s="189">
        <f t="shared" si="150"/>
        <v>0.15731106875037243</v>
      </c>
      <c r="KS38" s="189">
        <f>KR38*(VLOOKUP($KP$9,各项系数!$D$1:$F$143,2,0))</f>
        <v>2.6742881687563314</v>
      </c>
      <c r="KT38" s="235">
        <f>各项系数!$F$76/4*($NI38^2-$NF38^2)*10^-2*(VLOOKUP($KT$9,各项系数!$D$1:$F$143,3,0))*10^-3*10^2*各项系数!$J$4</f>
        <v>0.15861643819705079</v>
      </c>
      <c r="KU38" s="102">
        <v>1</v>
      </c>
      <c r="KV38" s="189">
        <f t="shared" si="151"/>
        <v>0.15861643819705079</v>
      </c>
      <c r="KW38" s="189">
        <f>KV38*(VLOOKUP($KT$9,各项系数!$D$1:$F$143,2,0))</f>
        <v>2.6964794493498636</v>
      </c>
      <c r="KX38" s="189">
        <f>各项系数!$F$76/4*($NH38^2-$NE38^2)*10^-2*(VLOOKUP($KX$9,各项系数!$D$1:$F$143,3,0))*10^-3*10^2*各项系数!$J$4</f>
        <v>0.15731106875037243</v>
      </c>
      <c r="KY38" s="353">
        <v>1</v>
      </c>
      <c r="KZ38" s="189">
        <f t="shared" si="152"/>
        <v>0.15731106875037243</v>
      </c>
      <c r="LA38" s="189">
        <f>KZ38*(VLOOKUP($KX$9,各项系数!$D$1:$F$143,2,0))</f>
        <v>2.6742881687563314</v>
      </c>
      <c r="LB38" s="189">
        <f>各项系数!$F$76/4*($NI38^2-$NF38^2)*10^-2*(VLOOKUP($LB$9,各项系数!$D$1:$F$143,3,0))*10^-3*10^2*各项系数!$J$4</f>
        <v>0.15861643819705079</v>
      </c>
      <c r="LC38" s="353">
        <v>1</v>
      </c>
      <c r="LD38" s="189">
        <f t="shared" si="153"/>
        <v>0.15861643819705079</v>
      </c>
      <c r="LE38" s="189">
        <f>LD38*(VLOOKUP($LB$9,各项系数!$D$1:$F$143,2,0))</f>
        <v>2.6964794493498636</v>
      </c>
      <c r="LF38" s="235">
        <f>各项系数!$F$76/4*($NH38^2-$NE38^2)*10^-2*(VLOOKUP(AN38,各项系数!$D$1:$F$143,3,0))*10^-3*10^2*各项系数!$J$4</f>
        <v>0.15948087659520513</v>
      </c>
      <c r="LG38" s="102">
        <v>1</v>
      </c>
      <c r="LH38" s="189">
        <f t="shared" si="223"/>
        <v>0.15948087659520513</v>
      </c>
      <c r="LI38" s="189">
        <f>LH38*(VLOOKUP(AN38,各项系数!$D$1:$F$143,2,0))</f>
        <v>1.5948087659520513</v>
      </c>
      <c r="LJ38" s="235">
        <f>各项系数!$F$76/4*($NI38^2-$NF38^2)*10^-2*(VLOOKUP(AN38,各项系数!$D$1:$F$143,3,0))*10^-3*10^2*各项系数!$J$4</f>
        <v>0.16080425113769978</v>
      </c>
      <c r="LK38" s="102">
        <v>1</v>
      </c>
      <c r="LL38" s="189">
        <f t="shared" si="224"/>
        <v>0.16080425113769978</v>
      </c>
      <c r="LM38" s="189">
        <f>LL38*(VLOOKUP(AN38,各项系数!$D$1:$F$143,2,0))</f>
        <v>1.6080425113769978</v>
      </c>
      <c r="LN38" s="189">
        <f>各项系数!$F$76/4*($NH38^2-$NE38^2)*10^-2*(VLOOKUP($LN$9,各项系数!$D$1:$F$143,3,0))*10^-3*10^2*各项系数!$J$4</f>
        <v>0.15948087659520513</v>
      </c>
      <c r="LO38" s="353">
        <v>1</v>
      </c>
      <c r="LP38" s="189">
        <f t="shared" si="225"/>
        <v>0.15948087659520513</v>
      </c>
      <c r="LQ38" s="189">
        <f>LP38*(VLOOKUP($LN$9,各项系数!$D$1:$F$143,2,0))</f>
        <v>1.7542896425472565</v>
      </c>
      <c r="LR38" s="189">
        <f>各项系数!$F$76/4*($NI38^2-$NF38^2)*10^-2*(VLOOKUP($LR$9,各项系数!$D$1:$F$143,3,0))*10^-3*10^2*各项系数!$J$4</f>
        <v>0.16080425113769978</v>
      </c>
      <c r="LS38" s="353">
        <v>1</v>
      </c>
      <c r="LT38" s="189">
        <f t="shared" si="226"/>
        <v>0.16080425113769978</v>
      </c>
      <c r="LU38" s="189">
        <f>LT38*(VLOOKUP($LR$9,各项系数!$D$1:$F$143,2,0))</f>
        <v>1.7688467625146975</v>
      </c>
      <c r="LV38" s="227">
        <f t="shared" si="154"/>
        <v>61.190660809999997</v>
      </c>
      <c r="LW38" s="227">
        <f t="shared" si="155"/>
        <v>47.592736189999997</v>
      </c>
      <c r="LX38" s="227">
        <f t="shared" si="156"/>
        <v>7.7844045218151594</v>
      </c>
      <c r="LY38" s="227">
        <f t="shared" si="157"/>
        <v>13.597924620000001</v>
      </c>
      <c r="LZ38" s="374">
        <f t="shared" si="86"/>
        <v>1</v>
      </c>
      <c r="MA38" s="375">
        <f t="shared" si="87"/>
        <v>61.190660809999997</v>
      </c>
      <c r="MB38" s="375">
        <f t="shared" si="158"/>
        <v>6.2414088599999999</v>
      </c>
      <c r="MC38" s="227">
        <f t="shared" si="159"/>
        <v>0</v>
      </c>
      <c r="MD38" s="227">
        <f t="shared" si="160"/>
        <v>0</v>
      </c>
      <c r="ME38" s="227">
        <f t="shared" si="161"/>
        <v>0</v>
      </c>
      <c r="MF38" s="227">
        <f t="shared" si="162"/>
        <v>0</v>
      </c>
      <c r="MG38" s="374">
        <f t="shared" si="163"/>
        <v>1</v>
      </c>
      <c r="MH38" s="375">
        <f t="shared" si="88"/>
        <v>0</v>
      </c>
      <c r="MI38" s="375">
        <f t="shared" si="164"/>
        <v>0</v>
      </c>
      <c r="MJ38" s="189">
        <f t="shared" si="89"/>
        <v>6.2414088599999999</v>
      </c>
      <c r="MK38" s="189">
        <f t="shared" si="165"/>
        <v>6.2414088599999999</v>
      </c>
      <c r="ML38" s="189">
        <f t="shared" si="227"/>
        <v>0</v>
      </c>
      <c r="MM38" s="189">
        <f t="shared" si="91"/>
        <v>0</v>
      </c>
      <c r="MN38" s="189">
        <f t="shared" si="92"/>
        <v>8.0414088600000007</v>
      </c>
      <c r="MO38" s="189">
        <f t="shared" si="166"/>
        <v>0</v>
      </c>
      <c r="MP38" s="189">
        <f t="shared" si="167"/>
        <v>16.082817720000001</v>
      </c>
      <c r="MQ38" s="189">
        <f t="shared" si="228"/>
        <v>16.082817720000001</v>
      </c>
      <c r="MR38" s="246">
        <f t="shared" si="168"/>
        <v>16.044575559999998</v>
      </c>
      <c r="MS38" s="380">
        <f t="shared" si="94"/>
        <v>16.220575559999997</v>
      </c>
      <c r="MT38" s="380">
        <f t="shared" si="95"/>
        <v>16.380575559999997</v>
      </c>
      <c r="MU38" s="380">
        <f t="shared" si="232"/>
        <v>16.820575559999998</v>
      </c>
      <c r="MV38" s="380">
        <f t="shared" si="97"/>
        <v>19.820575559999998</v>
      </c>
      <c r="MW38" s="380">
        <f t="shared" si="98"/>
        <v>19.980575559999998</v>
      </c>
      <c r="MX38" s="254">
        <f t="shared" si="233"/>
        <v>6.8414088599999996</v>
      </c>
      <c r="MY38" s="254">
        <f t="shared" si="100"/>
        <v>0</v>
      </c>
      <c r="MZ38" s="189">
        <f t="shared" si="101"/>
        <v>8.6414088600000003</v>
      </c>
      <c r="NA38" s="189">
        <f t="shared" si="102"/>
        <v>0</v>
      </c>
      <c r="NB38" s="189">
        <f t="shared" si="169"/>
        <v>17.282817720000001</v>
      </c>
      <c r="NC38" s="254">
        <f t="shared" si="229"/>
        <v>17.282817720000001</v>
      </c>
      <c r="ND38" s="246">
        <f t="shared" si="234"/>
        <v>17.241722169999999</v>
      </c>
      <c r="NE38" s="386">
        <f t="shared" si="235"/>
        <v>17.481722169999998</v>
      </c>
      <c r="NF38" s="380">
        <f t="shared" si="106"/>
        <v>17.641722169999998</v>
      </c>
      <c r="NG38" s="387">
        <f t="shared" si="236"/>
        <v>18.081722169999999</v>
      </c>
      <c r="NH38" s="254">
        <f t="shared" si="108"/>
        <v>21.081722169999999</v>
      </c>
      <c r="NI38" s="380">
        <f t="shared" si="109"/>
        <v>21.241722169999999</v>
      </c>
      <c r="NK38" s="388">
        <f t="shared" si="110"/>
        <v>0.62837134139771855</v>
      </c>
      <c r="NL38" s="388">
        <f t="shared" si="111"/>
        <v>29.881708204644298</v>
      </c>
      <c r="NM38" s="388">
        <f t="shared" si="112"/>
        <v>0.62837134139771855</v>
      </c>
      <c r="NN38" s="388">
        <f t="shared" si="113"/>
        <v>30.03075802300183</v>
      </c>
      <c r="NO38" s="388">
        <f t="shared" si="114"/>
        <v>0.68221096324231079</v>
      </c>
      <c r="NP38" s="388">
        <f t="shared" si="115"/>
        <v>30.488801577208719</v>
      </c>
      <c r="NQ38" s="388">
        <f t="shared" si="116"/>
        <v>0.68221096324231079</v>
      </c>
      <c r="NR38" s="388">
        <f t="shared" si="117"/>
        <v>30.648282453803922</v>
      </c>
      <c r="NS38" s="388">
        <f t="shared" si="118"/>
        <v>0.65114052761705654</v>
      </c>
      <c r="NT38" s="388">
        <f t="shared" si="119"/>
        <v>0.65114052761705654</v>
      </c>
      <c r="NU38" s="388">
        <f t="shared" si="120"/>
        <v>0.70674176100151609</v>
      </c>
      <c r="NV38" s="388">
        <f t="shared" si="121"/>
        <v>0.70674176100151609</v>
      </c>
      <c r="NW38">
        <f t="shared" si="122"/>
        <v>0.74952209915387225</v>
      </c>
      <c r="NX38">
        <f>各项系数!$M$9*NK38</f>
        <v>0.18851140241931555</v>
      </c>
      <c r="NY38">
        <f t="shared" si="123"/>
        <v>0.65114052761705665</v>
      </c>
    </row>
    <row r="39" spans="1:398" ht="15" hidden="1" customHeight="1">
      <c r="A39" s="72">
        <v>1</v>
      </c>
      <c r="B39" s="70">
        <v>1</v>
      </c>
      <c r="C39" s="71"/>
      <c r="D39" s="53" t="s">
        <v>164</v>
      </c>
      <c r="E39" s="61">
        <f t="shared" si="240"/>
        <v>22.035756670000001</v>
      </c>
      <c r="F39" s="68">
        <f>$F$23</f>
        <v>245.05464536042999</v>
      </c>
      <c r="G39" s="58"/>
      <c r="H39" s="16"/>
      <c r="I39" s="62"/>
      <c r="J39" s="16"/>
      <c r="K39" s="16"/>
      <c r="L39" s="97" t="s">
        <v>467</v>
      </c>
      <c r="M39" s="103">
        <f t="shared" si="2"/>
        <v>0.9</v>
      </c>
      <c r="N39" s="103">
        <f t="shared" si="3"/>
        <v>0</v>
      </c>
      <c r="O39" s="53">
        <f t="shared" si="251"/>
        <v>0.08</v>
      </c>
      <c r="P39" s="99">
        <v>0.1</v>
      </c>
      <c r="Q39" s="133">
        <f t="shared" si="248"/>
        <v>0.1</v>
      </c>
      <c r="R39" s="70">
        <v>0.8</v>
      </c>
      <c r="S39" s="142" t="str">
        <f>各项系数!$D$43</f>
        <v>钢带</v>
      </c>
      <c r="T39" s="53">
        <v>0.2</v>
      </c>
      <c r="U39" s="102">
        <v>2</v>
      </c>
      <c r="V39" s="140"/>
      <c r="W39" s="141">
        <v>1.8</v>
      </c>
      <c r="X39" s="135">
        <f t="shared" si="249"/>
        <v>0.2</v>
      </c>
      <c r="Y39" s="135"/>
      <c r="Z39" s="168"/>
      <c r="AA39" s="153">
        <f>$AA$23</f>
        <v>1.0109999999999999</v>
      </c>
      <c r="AB39" s="153">
        <f>PI()*EJ39*EJ39/4*EH39*(1-H39)*AA39*各项系数!$F$5*各项系数!$J$4*10^-7</f>
        <v>0.29524992630433911</v>
      </c>
      <c r="AC39" s="153">
        <f t="shared" si="241"/>
        <v>245.05464536042999</v>
      </c>
      <c r="AD39" s="153">
        <f t="shared" si="5"/>
        <v>33.378357061385572</v>
      </c>
      <c r="AE39" s="153">
        <f>POWER(4*EU39/PI()/EG39/10^-7/EH39/(1-H39)/各项系数!$F$5/各项系数!$J$4,0.5)</f>
        <v>246.39875970480472</v>
      </c>
      <c r="AF39" s="69">
        <v>1</v>
      </c>
      <c r="AG39" s="69">
        <f>IF(EM39=0,0,PI()*ER39*ER39/4*EP39*(1-K39)*(1+AF39)*各项系数!$F$5*各项系数!$J$4*10^-7)</f>
        <v>0</v>
      </c>
      <c r="AH39" s="69">
        <f t="shared" si="242"/>
        <v>0</v>
      </c>
      <c r="AI39" s="69">
        <f t="shared" si="128"/>
        <v>0</v>
      </c>
      <c r="AJ39" s="69">
        <f>IF(OR(EP39="",EP39=0),0,POWER(4*EW39/PI()/EO39/10^-7/EP39/(1-K39)/各项系数!$F$5/各项系数!$J$4,0.5))</f>
        <v>0</v>
      </c>
      <c r="AK39" s="69" t="str">
        <f t="shared" si="8"/>
        <v>√</v>
      </c>
      <c r="AL39" s="69">
        <f t="shared" si="243"/>
        <v>42.243871440316539</v>
      </c>
      <c r="AM39" s="188">
        <f t="shared" si="244"/>
        <v>35</v>
      </c>
      <c r="AN39" s="97" t="s">
        <v>486</v>
      </c>
      <c r="AO39" s="196">
        <f>AP39+各项系数!$M$9*$NK39</f>
        <v>41.415560235604453</v>
      </c>
      <c r="AP39" s="196">
        <f>AQ39*(1+$BI39+(VLOOKUP($AM39,$A$12:$B$323,2,0))+各项系数!$J$6+各项系数!$M$5)*(1+$E$2)</f>
        <v>41.1693914552135</v>
      </c>
      <c r="AQ39" s="197">
        <f>AR39+各项系数!$L$9*$NK39</f>
        <v>42.009583117564794</v>
      </c>
      <c r="AR39" s="197">
        <f>AS39*(1+$BJ39+各项系数!$J$5+各项系数!$L$5)</f>
        <v>41.763414337173842</v>
      </c>
      <c r="AS39" s="197">
        <f t="shared" si="129"/>
        <v>40.944523859974353</v>
      </c>
      <c r="AT39" s="196">
        <f>AU39+各项系数!$M$9*$NM39</f>
        <v>42.54799771706486</v>
      </c>
      <c r="AU39" s="196">
        <f>AV39*(1+$BI39+(VLOOKUP($AM39,$A$12:$B$323,2,0))+各项系数!$J$6+各项系数!$M$5)*(1+$E$2)</f>
        <v>42.301828936673907</v>
      </c>
      <c r="AV39" s="197">
        <f>AW39+各项系数!$L$9*$NM39</f>
        <v>43.165131568034603</v>
      </c>
      <c r="AW39" s="197">
        <f>AX39*(1+$BJ39+各项系数!$J$5+各项系数!$L$5)</f>
        <v>42.91896278764365</v>
      </c>
      <c r="AX39" s="197">
        <f t="shared" si="130"/>
        <v>42.077414497689851</v>
      </c>
      <c r="AY39" s="196">
        <f>AZ39+各项系数!$M$9*$NS39</f>
        <v>43.18923442931569</v>
      </c>
      <c r="AZ39" s="196">
        <f>BA39*(1+$BI39+(VLOOKUP($AM39,$A$12:$B$214,2,0))+各项系数!$J$6+各项系数!$M$5)*(1+$E$2)</f>
        <v>42.935306621458636</v>
      </c>
      <c r="BA39" s="197">
        <f>BB39+各项系数!$L$9*$NS39</f>
        <v>43.811537368835346</v>
      </c>
      <c r="BB39" s="197">
        <f>BC39*(1+$BJ39+各项系数!$J$5+各项系数!$L$5)</f>
        <v>43.557609560978293</v>
      </c>
      <c r="BC39" s="199">
        <f t="shared" si="131"/>
        <v>42.703538785272833</v>
      </c>
      <c r="BD39" s="196">
        <f>BE39+各项系数!$M$9*$NS39</f>
        <v>44.330625862930617</v>
      </c>
      <c r="BE39" s="196">
        <f>BF39*(1+$BI39+(VLOOKUP($AM39,$A$12:$B$214,2,0))+各项系数!$J$6+各项系数!$M$5)*(1+$E$2)</f>
        <v>44.076698055073564</v>
      </c>
      <c r="BF39" s="197">
        <f>BG39+各项系数!$L$9*$NS39</f>
        <v>44.976222505177105</v>
      </c>
      <c r="BG39" s="197">
        <f>BH39*(1+$BJ39+各项系数!$J$5+各项系数!$L$5)</f>
        <v>44.722294697320052</v>
      </c>
      <c r="BH39" s="199">
        <f t="shared" si="132"/>
        <v>43.845386958156915</v>
      </c>
      <c r="BI39" s="213"/>
      <c r="BJ39" s="208"/>
      <c r="BK39" s="53" t="s">
        <v>514</v>
      </c>
      <c r="BL39" s="196">
        <f>BM39+各项系数!$M$9*$NM39</f>
        <v>41.985761646846647</v>
      </c>
      <c r="BM39" s="196">
        <f>BN39*(1+$CF39+(VLOOKUP($AM39,$A$12:$B$323,2,0))+各项系数!$J$6+各项系数!$M$5)*(1+$E$2)</f>
        <v>41.739592866455695</v>
      </c>
      <c r="BN39" s="197">
        <f>BO39+各项系数!$L$9*$NM39</f>
        <v>42.591421292301732</v>
      </c>
      <c r="BO39" s="197">
        <f>BP39*(1+$CG39+各项系数!$J$5+各项系数!$L$5)</f>
        <v>42.345252511910779</v>
      </c>
      <c r="BP39" s="197">
        <f t="shared" si="133"/>
        <v>41.111895642631822</v>
      </c>
      <c r="BQ39" s="196">
        <f>BR39+各项系数!$M$9*$NM39</f>
        <v>42.960356379142219</v>
      </c>
      <c r="BR39" s="196">
        <f>BS39*(1+$CF39+(VLOOKUP($AM39,$A$12:$B$323,2,0))+各项系数!$J$6+各项系数!$M$5)*(1+$E$2)</f>
        <v>42.714187598751266</v>
      </c>
      <c r="BS39" s="197">
        <f>BT39+各项系数!$L$9*$NM39</f>
        <v>43.585905713011499</v>
      </c>
      <c r="BT39" s="197">
        <f>BU39*(1+$CG39+各项系数!$J$5+各项系数!$L$5)</f>
        <v>43.339736932620546</v>
      </c>
      <c r="BU39" s="197">
        <f t="shared" si="134"/>
        <v>42.077414497689851</v>
      </c>
      <c r="BV39" s="196">
        <f>BW39+各项系数!$M$9*$NT39</f>
        <v>43.537258884480956</v>
      </c>
      <c r="BW39" s="196">
        <f>BX39*(1+$CF39+(VLOOKUP($AM39,$A$12:$B$214,2,0))+各项系数!$J$6+各项系数!$M$5)*(1+$E$2)</f>
        <v>43.283331076623902</v>
      </c>
      <c r="BX39" s="197">
        <f>BY39+各项系数!$L$9*$NT$12</f>
        <v>44.166664363901944</v>
      </c>
      <c r="BY39" s="197">
        <f>BZ39*(1+$CG39+各项系数!$J$5+各项系数!$L$5)</f>
        <v>44.158400960746974</v>
      </c>
      <c r="BZ39" s="199">
        <f t="shared" si="11"/>
        <v>42.872233942472789</v>
      </c>
      <c r="CA39" s="196">
        <f>CB39+各项系数!$M$9*$NT39</f>
        <v>44.519559538512517</v>
      </c>
      <c r="CB39" s="196">
        <f>CC39*(1+$CF39+(VLOOKUP($AM39,$A$12:$B$214,2,0))+各项系数!$J$6+各项系数!$M$5)*(1+$E$2)</f>
        <v>44.265631730655464</v>
      </c>
      <c r="CC39" s="197">
        <f>CD39+各项系数!$L$9*$NT$12</f>
        <v>45.169011970056594</v>
      </c>
      <c r="CD39" s="197">
        <f>CE39*(1+$CG39+各项系数!$J$5+各项系数!$L$5)</f>
        <v>45.160748566901624</v>
      </c>
      <c r="CE39" s="199">
        <f t="shared" si="135"/>
        <v>43.845386958156915</v>
      </c>
      <c r="CF39" s="213">
        <f t="shared" si="136"/>
        <v>0</v>
      </c>
      <c r="CG39" s="213">
        <f t="shared" si="12"/>
        <v>0.01</v>
      </c>
      <c r="CH39" s="53"/>
      <c r="CI39" s="196">
        <f>CJ39+各项系数!$M$9*$NO39</f>
        <v>42.38725558562011</v>
      </c>
      <c r="CJ39" s="196">
        <f>CK39*(1+$DC39+(VLOOKUP($AM39,$A$12:$B$323,2,0))+各项系数!$J$6+各项系数!$M$5)*(1+$E$2)+各项系数!$M$9*$NK39</f>
        <v>42.122190502655002</v>
      </c>
      <c r="CK39" s="197">
        <f>CL39+各项系数!$L$9*$NO39</f>
        <v>42.73063441047352</v>
      </c>
      <c r="CL39" s="197">
        <f>CM39*(1+$DD39+各项系数!$J$5+各项系数!$L$5)</f>
        <v>42.465569327508412</v>
      </c>
      <c r="CM39" s="197">
        <f t="shared" si="13"/>
        <v>41.632911105400403</v>
      </c>
      <c r="CN39" s="196">
        <f>CO39+各项系数!$M$9*$NO39</f>
        <v>43.415424208936756</v>
      </c>
      <c r="CO39" s="196">
        <f>CP39*(1+$DC39+(VLOOKUP($AM39,$A$12:$B$323,2,0))+各项系数!$J$6+各项系数!$M$5)*(1+$E$2)+各项系数!$M$9*$NK39</f>
        <v>43.150359125971647</v>
      </c>
      <c r="CP39" s="197">
        <f>CQ39+各项系数!$L$9*$NO39</f>
        <v>43.77978606691908</v>
      </c>
      <c r="CQ39" s="197">
        <f>CR39*(1+$DD39+各项系数!$J$5+各项系数!$L$5)</f>
        <v>43.514720983953971</v>
      </c>
      <c r="CR39" s="197">
        <f t="shared" si="14"/>
        <v>42.661491160739189</v>
      </c>
      <c r="CS39" s="196">
        <f>CT39+各项系数!$M$9*$NU39</f>
        <v>44.034668611624582</v>
      </c>
      <c r="CT39" s="196">
        <f t="shared" si="15"/>
        <v>43.761316017731403</v>
      </c>
      <c r="CU39" s="197">
        <f>CV39+各项系数!$L$9*$NU39</f>
        <v>44.654404099725923</v>
      </c>
      <c r="CV39" s="197">
        <f>CW39*(1+$DD39+各项系数!$J$5+各项系数!$L$5)</f>
        <v>44.381051505832744</v>
      </c>
      <c r="CW39" s="199">
        <f t="shared" si="16"/>
        <v>43.510834809639945</v>
      </c>
      <c r="CX39" s="196">
        <f>CY39+各项系数!$M$9*$NU39</f>
        <v>45.246636585275603</v>
      </c>
      <c r="CY39" s="196">
        <f t="shared" si="17"/>
        <v>44.973283991382424</v>
      </c>
      <c r="CZ39" s="197">
        <f>DA39+各项系数!$L$9*$NU39</f>
        <v>45.891106113655532</v>
      </c>
      <c r="DA39" s="197">
        <f>DB39*(1+$DD39+各项系数!$J$5+各项系数!$L$5)</f>
        <v>45.617753519762353</v>
      </c>
      <c r="DB39" s="199">
        <f t="shared" si="18"/>
        <v>44.723287764472893</v>
      </c>
      <c r="DC39" s="213">
        <f t="shared" si="137"/>
        <v>0</v>
      </c>
      <c r="DD39" s="213">
        <f t="shared" si="19"/>
        <v>0</v>
      </c>
      <c r="DE39" s="53" t="s">
        <v>498</v>
      </c>
      <c r="DF39" s="53" t="s">
        <v>513</v>
      </c>
      <c r="DG39" s="196">
        <f>DH39+各项系数!$M$9*$NQ39</f>
        <v>42.974732302052594</v>
      </c>
      <c r="DH39" s="196">
        <f>DI39*(1+$EA39+(VLOOKUP($AM39,$A$12:$B$323,2,0))+各项系数!$J$6+各项系数!$M$5)*(1+$E$2)+各项系数!$M$9*$NK39</f>
        <v>42.709667219087486</v>
      </c>
      <c r="DI39" s="197">
        <f>DJ39+各项系数!$L$9*$NQ39</f>
        <v>43.330100447649521</v>
      </c>
      <c r="DJ39" s="197">
        <f>DK39*(1+$EB39+各项系数!$J$5+各项系数!$L$5)</f>
        <v>43.065035364684412</v>
      </c>
      <c r="DK39" s="197">
        <f t="shared" si="20"/>
        <v>41.810713946295543</v>
      </c>
      <c r="DL39" s="196">
        <f>DM39+各项系数!$M$9*$NQ39</f>
        <v>44.010066391062246</v>
      </c>
      <c r="DM39" s="196">
        <f>DN39*(1+$EA39+(VLOOKUP($AM39,$A$12:$B$323,2,0))+各项系数!$J$6+各项系数!$M$5)*(1+$E$2)+各项系数!$M$9*$NK39</f>
        <v>43.745001308097137</v>
      </c>
      <c r="DN39" s="197">
        <f>DO39+各项系数!$L$9*$NQ39</f>
        <v>44.386563803781819</v>
      </c>
      <c r="DO39" s="197">
        <f>DP39*(1+$EB39+各项系数!$J$5+各项系数!$L$5)</f>
        <v>44.12149872081671</v>
      </c>
      <c r="DP39" s="197">
        <f t="shared" si="21"/>
        <v>42.836406525064767</v>
      </c>
      <c r="DQ39" s="196">
        <f>DR39+各项系数!$M$9*$NV39</f>
        <v>44.641884794621802</v>
      </c>
      <c r="DR39" s="196">
        <f t="shared" si="22"/>
        <v>44.368532200728623</v>
      </c>
      <c r="DS39" s="197">
        <f>DT39+各项系数!$L$9*$NV39</f>
        <v>45.274012449723088</v>
      </c>
      <c r="DT39" s="197">
        <f>DU39*(1+$EB39+各项系数!$J$5+各项系数!$L$5)</f>
        <v>45.000659855829909</v>
      </c>
      <c r="DU39" s="199">
        <f t="shared" si="23"/>
        <v>43.689961025077579</v>
      </c>
      <c r="DV39" s="196">
        <f>DW39+各项系数!$M$9*$NV39</f>
        <v>45.120864774749293</v>
      </c>
      <c r="DW39" s="196">
        <f t="shared" si="24"/>
        <v>44.847512180856114</v>
      </c>
      <c r="DX39" s="197">
        <f>DY39+各项系数!$L$9*$NV39</f>
        <v>45.762767531485835</v>
      </c>
      <c r="DY39" s="197">
        <f>DZ39*(1+$EB39+各项系数!$J$5+各项系数!$L$5)</f>
        <v>45.489414937592656</v>
      </c>
      <c r="DZ39" s="199">
        <f t="shared" si="25"/>
        <v>44.164480521934614</v>
      </c>
      <c r="EA39" s="213">
        <f t="shared" si="230"/>
        <v>0</v>
      </c>
      <c r="EB39" s="213">
        <f t="shared" si="27"/>
        <v>0.01</v>
      </c>
      <c r="EC39" s="235">
        <f t="shared" si="138"/>
        <v>2</v>
      </c>
      <c r="ED39" s="235" t="str">
        <f t="shared" si="180"/>
        <v>2*35</v>
      </c>
      <c r="EE39" s="189">
        <f t="shared" si="239"/>
        <v>35</v>
      </c>
      <c r="EF39" s="189" t="str">
        <f>LOOKUP(EH39,{1,7,10,14,19,24,30,37,48,61},{1,"1+6","2+8","4+10","1+6+12","2+8+14","4+10+16","1+6+12+18","3+9+15+21","1+6+12+18+24"})</f>
        <v>1+6</v>
      </c>
      <c r="EG39" s="188">
        <f t="shared" si="29"/>
        <v>2</v>
      </c>
      <c r="EH39" s="197">
        <f>VLOOKUP(EE39,各项系数!$B$87:$C$124,2,0)</f>
        <v>7</v>
      </c>
      <c r="EI39" s="188">
        <f>IF(EH39=0,0,VLOOKUP(EH39,各项系数!$D$142:$E$195,2,0))*1</f>
        <v>3</v>
      </c>
      <c r="EJ39" s="238">
        <f t="shared" si="141"/>
        <v>245.05464536042999</v>
      </c>
      <c r="EK39" s="189">
        <f t="shared" si="245"/>
        <v>0</v>
      </c>
      <c r="EL39" s="189">
        <f t="shared" si="31"/>
        <v>0</v>
      </c>
      <c r="EM39" s="189">
        <f t="shared" si="182"/>
        <v>0</v>
      </c>
      <c r="EN39" s="189">
        <f>IF(EP39=0,0,LOOKUP(EP39,{1,7,10,14,19,24,30,37,48,61},{1,"1+6","2+8","4+10","1+6+12","2+8+14","4+10+16","1+6+12+18","3+9+15+21","1+6+12+18+24"}))</f>
        <v>0</v>
      </c>
      <c r="EO39" s="189">
        <f t="shared" si="246"/>
        <v>0</v>
      </c>
      <c r="EP39" s="189">
        <f>IF(EM39=0,0,IF(EM39&lt;10,1,IF(AND(EM39&gt;=10,EM39&lt;=35),7,LOOKUP(EM39,{50,70,95,120,150,185,240,300},{10,14,19,24,30,37,48,61})*1)))</f>
        <v>0</v>
      </c>
      <c r="EQ39" s="189">
        <f>IF(EP39=0,0,VLOOKUP(EP39,各项系数!$D$142:$E$195,2,0))*1</f>
        <v>0</v>
      </c>
      <c r="ER39" s="189">
        <f t="shared" si="247"/>
        <v>0</v>
      </c>
      <c r="ES39" s="235">
        <f t="shared" si="250"/>
        <v>2</v>
      </c>
      <c r="ET39" s="189">
        <f>VLOOKUP(ES39,各项系数!$D$142:$E$195,2,0)*1</f>
        <v>2</v>
      </c>
      <c r="EU39" s="243">
        <f>((各项系数!$F$76/4*$EJ39^2*$EG39*$EH39*1*10^-7)*(1-$H39)*AA39)*(VLOOKUP($EY$9,各项系数!$D$4:$F$143,3,0))*各项系数!$J$4</f>
        <v>0.59049985260867821</v>
      </c>
      <c r="EV39" s="244">
        <f>EU39*(VLOOKUP($EY$9,各项系数!$D$4:$F$143,2,0))</f>
        <v>38.677740345868422</v>
      </c>
      <c r="EW39" s="252">
        <f>(IF($EO39=0,0,(各项系数!$F$76/4*$ER39^2*$EO39*$EP39*1*10^-7))*(1-$K39)*$AF39)*(VLOOKUP($EY$9,各项系数!$D$4:$F$143,3,0))*各项系数!$J$4</f>
        <v>0</v>
      </c>
      <c r="EX39" s="253">
        <f>EW39*(VLOOKUP($EY$9,各项系数!$D$4:$F$143,2,0))</f>
        <v>0</v>
      </c>
      <c r="EY39" s="189">
        <f>((各项系数!$F$76/4*$EJ39^2*$EG39*$EH39*1*10^-7)*(1-$H39)*AA39+IF($EO39=0,0,(各项系数!$F$76/4*$ER39^2*$EO39*$EP39*1*10^-7))*(1-$K39)*$AF39)*(VLOOKUP($EY$9,各项系数!$D$4:$F$143,3,0))*各项系数!$J$4</f>
        <v>0.59049985260867821</v>
      </c>
      <c r="EZ39" s="102">
        <v>1</v>
      </c>
      <c r="FA39" s="189">
        <f t="shared" si="188"/>
        <v>0.59049985260867821</v>
      </c>
      <c r="FB39" s="254">
        <f>FA39*(VLOOKUP($EY$9,各项系数!$D$4:$F$143,2,0))</f>
        <v>38.677740345868422</v>
      </c>
      <c r="FC39" s="255"/>
      <c r="FD39" s="235">
        <f>各项系数!$F$76/4*($MN39^2-MK39^2)*10^-2*(VLOOKUP(L39,各项系数!$D$1:$F$143,3,0))*10^-3*10^2*$EG39*各项系数!$J$4</f>
        <v>5.1071472766160128E-2</v>
      </c>
      <c r="FE39" s="262">
        <f>FD39*VLOOKUP(L39,各项系数!$D$1:$F$143,2,0)</f>
        <v>0.52092902221483328</v>
      </c>
      <c r="FF39" s="188">
        <f>各项系数!$F$76/4*($MO39^2-ML39^2)*10^-2*(VLOOKUP(L39,各项系数!$D$1:$F$143,3,0))*10^-3*10^2*$EO39*各项系数!$J$4</f>
        <v>0</v>
      </c>
      <c r="FG39" s="262">
        <f>FF39*VLOOKUP(L39,各项系数!$D$1:$F$143,2,0)</f>
        <v>0</v>
      </c>
      <c r="FH39" s="235">
        <f t="shared" si="142"/>
        <v>5.1071472766160128E-2</v>
      </c>
      <c r="FI39" s="102">
        <v>1</v>
      </c>
      <c r="FJ39" s="189">
        <f t="shared" si="189"/>
        <v>5.1071472766160128E-2</v>
      </c>
      <c r="FK39" s="262">
        <f>FJ39*VLOOKUP(L39,各项系数!$D$1:$F$143,2,0)</f>
        <v>0.52092902221483328</v>
      </c>
      <c r="FL39" s="235"/>
      <c r="FM39" s="102"/>
      <c r="FN39" s="189"/>
      <c r="FO39" s="262"/>
      <c r="FP39" s="282">
        <f t="shared" si="190"/>
        <v>5.1071472766160128E-2</v>
      </c>
      <c r="FQ39" s="282">
        <f t="shared" si="191"/>
        <v>0.52092902221483328</v>
      </c>
      <c r="FR39" s="283">
        <f>各项系数!$F$76/4*($MQ39^2-$MN39^2*$EG39-$MO39^2*$EO39)*10^-2</f>
        <v>1.3155812374628872</v>
      </c>
      <c r="FS39" s="284">
        <f t="shared" si="143"/>
        <v>0.05</v>
      </c>
      <c r="FT39" s="285">
        <f t="shared" si="40"/>
        <v>6.5779061873144362E-2</v>
      </c>
      <c r="FU39" s="302">
        <f>$FT39*(VLOOKUP($FT$9,各项系数!$D$1:$F$143,3,0))*10^-3*10^2*各项系数!$J$55</f>
        <v>7.8540199876534367E-3</v>
      </c>
      <c r="FV39" s="303">
        <v>1</v>
      </c>
      <c r="FW39" s="304">
        <f t="shared" si="192"/>
        <v>7.8540199876534367E-3</v>
      </c>
      <c r="FX39" s="285">
        <f>FW39*(VLOOKUP($FT$9,各项系数!$D$1:$F$143,2,0))</f>
        <v>2.3562059962960312E-2</v>
      </c>
      <c r="FY39" s="302">
        <f>IF($BK39&lt;&gt;$FY$9,0,各项系数!$F$76/4*($MS39^2-$MQ39^2)*10^-2*(VLOOKUP($FY$9,各项系数!$D$1:$F$143,3,0))*10^-3*10^2)*各项系数!$J$4</f>
        <v>0</v>
      </c>
      <c r="FZ39" s="303">
        <v>1</v>
      </c>
      <c r="GA39" s="304">
        <f t="shared" si="193"/>
        <v>0</v>
      </c>
      <c r="GB39" s="285">
        <f>GA39*(VLOOKUP($FY$9,各项系数!$D$1:$F$143,2,0))</f>
        <v>0</v>
      </c>
      <c r="GC39" s="302">
        <f>IF($BK39&lt;&gt;$GC$9,0,各项系数!$F$76/4*($MS39^2-$MQ39^2)*10^-2*(VLOOKUP($GC$9,各项系数!$D$1:$F$143,3,0))*10^-3*10^2)*各项系数!$J$4</f>
        <v>3.7654732832152933E-3</v>
      </c>
      <c r="GD39" s="303">
        <v>1</v>
      </c>
      <c r="GE39" s="304">
        <f t="shared" si="194"/>
        <v>3.7654732832152933E-3</v>
      </c>
      <c r="GF39" s="285">
        <f>GE39*(VLOOKUP($GC$9,各项系数!$D$1:$F$143,2,0))</f>
        <v>4.8574605353477282E-2</v>
      </c>
      <c r="GG39" s="302">
        <f>IF($BK39&lt;&gt;$GG$9,0,各项系数!$F$76/4*($MS39^2-$MQ39^2)*10^-2*(VLOOKUP($GG$9,各项系数!$D$1:$F$143,3,0))*10^-3*10^2)*各项系数!$J$4</f>
        <v>0</v>
      </c>
      <c r="GH39" s="303">
        <v>1</v>
      </c>
      <c r="GI39" s="304">
        <f t="shared" si="195"/>
        <v>0</v>
      </c>
      <c r="GJ39" s="285">
        <f>GI39*(VLOOKUP($GG$9,各项系数!$D$1:$F$143,2,0))</f>
        <v>0</v>
      </c>
      <c r="GK39" s="302">
        <f>IF($BK39&lt;&gt;$GK$9,0,各项系数!$F$76/4*($MS39^2-$MQ39^2)*10^-2*(VLOOKUP($GK$9,各项系数!$D$1:$F$143,3,0))*10^-3*10^2)*各项系数!$J$4</f>
        <v>0</v>
      </c>
      <c r="GL39" s="303">
        <v>1</v>
      </c>
      <c r="GM39" s="304">
        <f t="shared" si="196"/>
        <v>0</v>
      </c>
      <c r="GN39" s="285">
        <f>GM39*(VLOOKUP($GK$9,各项系数!$D$1:$F$143,2,0))</f>
        <v>0</v>
      </c>
      <c r="GO39" s="304">
        <f t="shared" si="197"/>
        <v>3.7654732832152933E-3</v>
      </c>
      <c r="GP39" s="304">
        <f t="shared" si="198"/>
        <v>4.8574605353477282E-2</v>
      </c>
      <c r="GQ39" s="315">
        <f>各项系数!$F$76/4*($MU39^2-$MS39^2)*10^-2*(VLOOKUP($S39,各项系数!$D$1:$F$143,3,0))*10^-3*10^2*各项系数!$J$4</f>
        <v>0.13739540184067345</v>
      </c>
      <c r="GR39" s="303">
        <v>1</v>
      </c>
      <c r="GS39" s="304">
        <f t="shared" si="199"/>
        <v>0.13739540184067345</v>
      </c>
      <c r="GT39" s="304">
        <f t="shared" si="200"/>
        <v>0</v>
      </c>
      <c r="GU39" s="304">
        <f>ROUND($GS39*(VLOOKUP($S39,各项系数!$D$1:$F$143,2,0))+$E$3*GS39,GT39)</f>
        <v>1</v>
      </c>
      <c r="GV39" s="315">
        <f>各项系数!$F$76/4*($MT39^2-$MS39^2)*10^-2*(VLOOKUP($GV$9,各项系数!$D$1:$F$143,3,0))*10^-3*10^2*各项系数!$J$4*PI()/4*R39</f>
        <v>2.586342488701528E-2</v>
      </c>
      <c r="GW39" s="303">
        <v>1</v>
      </c>
      <c r="GX39" s="304">
        <f t="shared" si="201"/>
        <v>2.586342488701528E-2</v>
      </c>
      <c r="GY39" s="304">
        <f>$GX39*(VLOOKUP($GV$9,各项系数!$D$1:$F$143,2,0))</f>
        <v>1.7457811798735314</v>
      </c>
      <c r="GZ39" s="315">
        <f>各项系数!$F$76/4*($MV39^2-$MS39^2)*10^-2*(VLOOKUP($GZ$9,各项系数!$D$1:$F$143,3,0))*10^-3*10^2*各项系数!$J$4</f>
        <v>0.16509461554647928</v>
      </c>
      <c r="HA39" s="303">
        <v>1</v>
      </c>
      <c r="HB39" s="304">
        <f t="shared" si="144"/>
        <v>0.16509461554647928</v>
      </c>
      <c r="HC39" s="304">
        <f>HB39*(VLOOKUP($GZ$9,各项系数!$D$1:$F$143,2,0))</f>
        <v>2.8066084642901479</v>
      </c>
      <c r="HD39" s="315">
        <f>各项系数!$F$76/4*($MW39^2-$MT39^2)*10^-2*(VLOOKUP($HD$9,各项系数!$D$1:$F$143,3,0))*10^-3*10^2*各项系数!$J$4</f>
        <v>0.16639998499315778</v>
      </c>
      <c r="HE39" s="303">
        <v>1</v>
      </c>
      <c r="HF39" s="304">
        <f t="shared" si="145"/>
        <v>0.16639998499315778</v>
      </c>
      <c r="HG39" s="304">
        <f>HF39*(VLOOKUP($HD$9,各项系数!$D$1:$F$143,2,0))</f>
        <v>2.8287997448836824</v>
      </c>
      <c r="HH39" s="315">
        <f>各项系数!$F$76/4*($MV39^2-$MS39^2)*10^-2*(VLOOKUP($HH$9,各项系数!$D$1:$F$143,3,0))*10^-3*10^2*各项系数!$J$4</f>
        <v>0.16509461554647928</v>
      </c>
      <c r="HI39" s="322">
        <v>1</v>
      </c>
      <c r="HJ39" s="304">
        <f t="shared" si="146"/>
        <v>0.16509461554647928</v>
      </c>
      <c r="HK39" s="304">
        <f>HJ39*(VLOOKUP($HH$9,各项系数!$D$1:$F$143,2,0))</f>
        <v>2.8066084642901479</v>
      </c>
      <c r="HL39" s="315">
        <f>各项系数!$F$76/4*($MW39^2-$MT39^2)*10^-2*(VLOOKUP($HL$9,各项系数!$D$1:$F$143,3,0))*10^-3*10^2*各项系数!$J$4</f>
        <v>0.16639998499315778</v>
      </c>
      <c r="HM39" s="322">
        <v>1</v>
      </c>
      <c r="HN39" s="304">
        <f t="shared" si="147"/>
        <v>0.16639998499315778</v>
      </c>
      <c r="HO39" s="304">
        <f>HN39*(VLOOKUP($HL$9,各项系数!$D$1:$F$143,2,0))</f>
        <v>2.8287997448836824</v>
      </c>
      <c r="HP39" s="315">
        <f>各项系数!$F$76/4*($MV39^2-$MS39^2)*10^-2*(VLOOKUP(AN39,各项系数!$D$1:$F$143,3,0))*10^-3*10^2*各项系数!$J$4</f>
        <v>0.16737178265746525</v>
      </c>
      <c r="HQ39" s="303">
        <v>1</v>
      </c>
      <c r="HR39" s="304">
        <f t="shared" si="202"/>
        <v>0.16737178265746525</v>
      </c>
      <c r="HS39" s="304">
        <f>HR39*(VLOOKUP(AN39,各项系数!$D$1:$F$143,2,0))</f>
        <v>1.6737178265746524</v>
      </c>
      <c r="HT39" s="315">
        <f>各项系数!$F$76/4*($MW39^2-$MT39^2)*10^-2*(VLOOKUP(AN39,各项系数!$D$1:$F$143,3,0))*10^-3*10^2*各项系数!$J$4</f>
        <v>0.16869515719995995</v>
      </c>
      <c r="HU39" s="303">
        <v>1</v>
      </c>
      <c r="HV39" s="304">
        <f t="shared" si="203"/>
        <v>0.16869515719995995</v>
      </c>
      <c r="HW39" s="304">
        <f>HV39*(VLOOKUP(AN39,各项系数!$D$1:$F$143,2,0))</f>
        <v>1.6869515719995996</v>
      </c>
      <c r="HX39" s="315">
        <f>各项系数!$F$76/4*($MV39^2-$MS39^2)*10^-2*(VLOOKUP($HX$9,各项系数!$D$1:$F$143,3,0))*10^-3*10^2*各项系数!$J$4</f>
        <v>0.16737178265746525</v>
      </c>
      <c r="HY39" s="322">
        <v>1</v>
      </c>
      <c r="HZ39" s="304">
        <f t="shared" si="204"/>
        <v>0.16737178265746525</v>
      </c>
      <c r="IA39" s="304">
        <f>HZ39*(VLOOKUP($HX$9,各项系数!$D$1:$F$143,2,0))</f>
        <v>1.8410896092321176</v>
      </c>
      <c r="IB39" s="315">
        <f>各项系数!$F$76/4*($MW39^2-$MT39^2)*10^-2*(VLOOKUP($IB$9,各项系数!$D$1:$F$143,3,0))*10^-3*10^2*各项系数!$J$4</f>
        <v>0.16869515719995995</v>
      </c>
      <c r="IC39" s="322">
        <v>1</v>
      </c>
      <c r="ID39" s="304">
        <f t="shared" si="205"/>
        <v>0.16869515719995995</v>
      </c>
      <c r="IE39" s="304">
        <f>ID39*(VLOOKUP($IB$9,各项系数!$D$1:$F$143,2,0))</f>
        <v>1.8556467291995595</v>
      </c>
      <c r="IF39" s="328"/>
      <c r="IG39" s="315">
        <f t="shared" si="148"/>
        <v>2.1526328070026291E-2</v>
      </c>
      <c r="IH39" s="303">
        <v>1</v>
      </c>
      <c r="II39" s="304">
        <f t="shared" si="206"/>
        <v>2.1526328070026291E-2</v>
      </c>
      <c r="IJ39" s="304">
        <f>II39*(VLOOKUP($IG$8,各项系数!$D$1:$F$143,2,0))</f>
        <v>0.53815820175065732</v>
      </c>
      <c r="IK39" s="315">
        <f>(各项系数!$F$76/4*($MX39^2-$MK39^2)*$EG39)*10^-2*(VLOOKUP($IG$8,各项系数!$D$1:$F$143,3,0))*10^-3*10^2*各项系数!$J$4</f>
        <v>2.1526328070026291E-2</v>
      </c>
      <c r="IL39" s="303">
        <f>IK39*(VLOOKUP($IG$8,各项系数!$D$1:$F$143,2,0))</f>
        <v>0.53815820175065732</v>
      </c>
      <c r="IM39" s="304">
        <f>(各项系数!$F$76/4*(($MM39+3*$X39)^2-MM39^2)*$EO39)*10^-2*(VLOOKUP($IG$8,各项系数!$D$1:$F$143,3,0))*10^-3*10^2*各项系数!$J$4</f>
        <v>0</v>
      </c>
      <c r="IN39" s="303">
        <f>IM39*(VLOOKUP($IG$8,各项系数!$D$1:$F$143,2,0))</f>
        <v>0</v>
      </c>
      <c r="IO39" s="315">
        <f>各项系数!$F$76/4*($MZ39^2-$MX39^2)*10^-2*(VLOOKUP(L39,各项系数!$D$1:$F$143,3,0))*10^-3*10^2*$ES39*各项系数!$J$4</f>
        <v>5.4785023778262526E-2</v>
      </c>
      <c r="IP39" s="303">
        <v>1</v>
      </c>
      <c r="IQ39" s="304">
        <f t="shared" si="207"/>
        <v>5.4785023778262526E-2</v>
      </c>
      <c r="IR39" s="285">
        <f>IQ39*(VLOOKUP(L39,各项系数!$D$1:$F$143,2,0))</f>
        <v>0.55880724253827774</v>
      </c>
      <c r="IS39" s="315">
        <f>IF($L39&lt;&gt;$IS$9,0,各项系数!$F$76/4*($MZ39^2-$MX39^2)*10^-2*各项系数!$F$12*10^-3*10^2)*$ES39*各项系数!$J$4</f>
        <v>0</v>
      </c>
      <c r="IT39" s="303">
        <v>1</v>
      </c>
      <c r="IU39" s="304">
        <f t="shared" si="208"/>
        <v>0</v>
      </c>
      <c r="IV39" s="285">
        <f>IU39*各项系数!$E$12</f>
        <v>0</v>
      </c>
      <c r="IW39" s="302">
        <f t="shared" si="209"/>
        <v>5.4785023778262526E-2</v>
      </c>
      <c r="IX39" s="302">
        <f t="shared" si="210"/>
        <v>0.55880724253827774</v>
      </c>
      <c r="IY39" s="339">
        <f>各项系数!$F$76/4*($NB39^2-$MZ39^2*$EG39-$NA39^2*$EO39)*10^-2</f>
        <v>1.4937404419409279</v>
      </c>
      <c r="IZ39" s="284">
        <f t="shared" si="231"/>
        <v>0.05</v>
      </c>
      <c r="JA39" s="285">
        <f t="shared" si="64"/>
        <v>7.4687022097046404E-2</v>
      </c>
      <c r="JB39" s="282">
        <f>IF($DE39&lt;&gt;$JB$9,0,$JA39*各项系数!$F$32*10^-3*10^2)*各项系数!$J$4</f>
        <v>0</v>
      </c>
      <c r="JC39" s="102">
        <v>1</v>
      </c>
      <c r="JD39" s="189">
        <f t="shared" si="211"/>
        <v>0</v>
      </c>
      <c r="JE39" s="262">
        <f>JD39*各项系数!$E$32</f>
        <v>0</v>
      </c>
      <c r="JF39" s="282">
        <f>IF($DE39&lt;&gt;$JF$9,0,$JA39*VLOOKUP($JF$9,各项系数!$D$4:$F$540,2,0)*10^-3*10^2)*各项系数!$J$4</f>
        <v>3.7156793493280584E-2</v>
      </c>
      <c r="JG39" s="102">
        <v>1</v>
      </c>
      <c r="JH39" s="189">
        <f t="shared" si="66"/>
        <v>3.7156793493280584E-2</v>
      </c>
      <c r="JI39" s="262">
        <f>JH39*VLOOKUP($JF$9,各项系数!$D$4:$F$540,3,0)</f>
        <v>4.4588152191936702E-2</v>
      </c>
      <c r="JJ39" s="282">
        <f t="shared" si="212"/>
        <v>3.7156793493280584E-2</v>
      </c>
      <c r="JK39" s="189">
        <f t="shared" si="213"/>
        <v>4.4588152191936702E-2</v>
      </c>
      <c r="JL39" s="282">
        <f>IF($DF39&lt;&gt;$JL$9,0,各项系数!$F$76/4*($NE39^2-$NC39^2)*10^-2*各项系数!$F$39*10^-3*10^2)*各项系数!$J$4</f>
        <v>1.7794377049872828E-3</v>
      </c>
      <c r="JM39" s="102">
        <v>1</v>
      </c>
      <c r="JN39" s="189">
        <f t="shared" si="214"/>
        <v>1.7794377049872828E-3</v>
      </c>
      <c r="JO39" s="262">
        <f>JN39*各项系数!$E$39</f>
        <v>3.5588754099745656E-2</v>
      </c>
      <c r="JP39" s="282">
        <f>IF($DF39&lt;&gt;$JP$9,0,各项系数!$F$76/4*($NE39^2-$NC39^2)*10^-2*各项系数!$F$36*10^-3*10^2)*各项系数!$J$4</f>
        <v>0</v>
      </c>
      <c r="JQ39" s="102">
        <v>1</v>
      </c>
      <c r="JR39" s="189">
        <f t="shared" si="215"/>
        <v>0</v>
      </c>
      <c r="JS39" s="262">
        <f>JR39*各项系数!$E$36</f>
        <v>0</v>
      </c>
      <c r="JT39" s="282">
        <f>IF($DF39&lt;&gt;$JT$9,0,各项系数!$F$76/4*($NE39^2-$NC39^2)*10^-2*各项系数!$F$40*10^-3*10^2)*各项系数!$J$4</f>
        <v>0</v>
      </c>
      <c r="JU39" s="102">
        <v>1</v>
      </c>
      <c r="JV39" s="189">
        <f t="shared" si="216"/>
        <v>0</v>
      </c>
      <c r="JW39" s="262">
        <f>JV39*各项系数!$E$40</f>
        <v>0</v>
      </c>
      <c r="JX39" s="282">
        <f>IF($DF39&lt;&gt;$JX$9,0,各项系数!$F$76/4*($NE39^2-$NC39^2)*10^-2*各项系数!$F$38*10^-3*10^2)*各项系数!$J$4</f>
        <v>0</v>
      </c>
      <c r="JY39" s="102">
        <v>1</v>
      </c>
      <c r="JZ39" s="189">
        <f t="shared" si="217"/>
        <v>0</v>
      </c>
      <c r="KA39" s="262">
        <f>JZ39*各项系数!$E$38</f>
        <v>0</v>
      </c>
      <c r="KB39" s="282">
        <f>IF($DF39&lt;&gt;$KB$9,0,各项系数!$F$76/4*($NE39^2-$NC39^2)*10^-2*各项系数!$F$41*10^-3*10^2)*各项系数!$J$4</f>
        <v>0</v>
      </c>
      <c r="KC39" s="102">
        <v>1</v>
      </c>
      <c r="KD39" s="189">
        <f t="shared" si="218"/>
        <v>0</v>
      </c>
      <c r="KE39" s="262">
        <f>KD39*各项系数!$E$41</f>
        <v>0</v>
      </c>
      <c r="KF39" s="189">
        <f t="shared" si="219"/>
        <v>1.7794377049872828E-3</v>
      </c>
      <c r="KG39" s="189">
        <f t="shared" si="220"/>
        <v>3.5588754099745656E-2</v>
      </c>
      <c r="KH39" s="235">
        <f>各项系数!$F$76/4*($NG39^2-$NE39^2)*10^-2*各项系数!$F$44*10^-3*10^2*各项系数!$J$4*0.75*$U39</f>
        <v>0.21996570062131504</v>
      </c>
      <c r="KI39" s="102">
        <v>1</v>
      </c>
      <c r="KJ39" s="189">
        <f t="shared" si="221"/>
        <v>0.21996570062131504</v>
      </c>
      <c r="KK39" s="189">
        <f>ROUND(KJ39*各项系数!$E$43,GT39)</f>
        <v>1</v>
      </c>
      <c r="KL39" s="235">
        <f>各项系数!$F$76/4*($NF39^2-$NE39^2)*10^-2*各项系数!$F$46*10^-3*10^2*各项系数!$J$4*PI()/4*R39</f>
        <v>2.762503642688284E-2</v>
      </c>
      <c r="KM39" s="102">
        <v>1</v>
      </c>
      <c r="KN39" s="189">
        <f t="shared" si="222"/>
        <v>2.762503642688284E-2</v>
      </c>
      <c r="KO39" s="189">
        <f>KN39*各项系数!$E$46</f>
        <v>1.8646899588145918</v>
      </c>
      <c r="KP39" s="235">
        <f>各项系数!$F$76/4*($NH39^2-$NE39^2)*10^-2*(VLOOKUP($KP$9,各项系数!$D$1:$F$143,3,0))*10^-3*10^2*各项系数!$J$4</f>
        <v>0.1753837546244546</v>
      </c>
      <c r="KQ39" s="102">
        <v>1</v>
      </c>
      <c r="KR39" s="189">
        <f t="shared" si="150"/>
        <v>0.1753837546244546</v>
      </c>
      <c r="KS39" s="189">
        <f>KR39*(VLOOKUP($KP$9,各项系数!$D$1:$F$143,2,0))</f>
        <v>2.9815238286157282</v>
      </c>
      <c r="KT39" s="235">
        <f>各项系数!$F$76/4*($NI39^2-$NF39^2)*10^-2*(VLOOKUP($KT$9,各项系数!$D$1:$F$143,3,0))*10^-3*10^2*各项系数!$J$4</f>
        <v>0.17668912407113305</v>
      </c>
      <c r="KU39" s="102">
        <v>1</v>
      </c>
      <c r="KV39" s="189">
        <f t="shared" si="151"/>
        <v>0.17668912407113305</v>
      </c>
      <c r="KW39" s="189">
        <f>KV39*(VLOOKUP($KT$9,各项系数!$D$1:$F$143,2,0))</f>
        <v>3.0037151092092618</v>
      </c>
      <c r="KX39" s="189">
        <f>各项系数!$F$76/4*($NH39^2-$NE39^2)*10^-2*(VLOOKUP($KX$9,各项系数!$D$1:$F$143,3,0))*10^-3*10^2*各项系数!$J$4</f>
        <v>0.1753837546244546</v>
      </c>
      <c r="KY39" s="353">
        <v>1</v>
      </c>
      <c r="KZ39" s="189">
        <f t="shared" si="152"/>
        <v>0.1753837546244546</v>
      </c>
      <c r="LA39" s="189">
        <f>KZ39*(VLOOKUP($KX$9,各项系数!$D$1:$F$143,2,0))</f>
        <v>2.9815238286157282</v>
      </c>
      <c r="LB39" s="189">
        <f>各项系数!$F$76/4*($NI39^2-$NF39^2)*10^-2*(VLOOKUP($LB$9,各项系数!$D$1:$F$143,3,0))*10^-3*10^2*各项系数!$J$4</f>
        <v>0.17668912407113305</v>
      </c>
      <c r="LC39" s="353">
        <v>1</v>
      </c>
      <c r="LD39" s="189">
        <f t="shared" si="153"/>
        <v>0.17668912407113305</v>
      </c>
      <c r="LE39" s="189">
        <f>LD39*(VLOOKUP($LB$9,各项系数!$D$1:$F$143,2,0))</f>
        <v>3.0037151092092618</v>
      </c>
      <c r="LF39" s="235">
        <f>各项系数!$F$76/4*($NH39^2-$NE39^2)*10^-2*(VLOOKUP(AN39,各项系数!$D$1:$F$143,3,0))*10^-3*10^2*各项系数!$J$4</f>
        <v>0.17780284089513673</v>
      </c>
      <c r="LG39" s="102">
        <v>1</v>
      </c>
      <c r="LH39" s="189">
        <f t="shared" si="223"/>
        <v>0.17780284089513673</v>
      </c>
      <c r="LI39" s="189">
        <f>LH39*(VLOOKUP(AN39,各项系数!$D$1:$F$143,2,0))</f>
        <v>1.7780284089513674</v>
      </c>
      <c r="LJ39" s="235">
        <f>各项系数!$F$76/4*($NI39^2-$NF39^2)*10^-2*(VLOOKUP(AN39,各项系数!$D$1:$F$143,3,0))*10^-3*10^2*各项系数!$J$4</f>
        <v>0.17912621543763141</v>
      </c>
      <c r="LK39" s="102">
        <v>1</v>
      </c>
      <c r="LL39" s="189">
        <f t="shared" si="224"/>
        <v>0.17912621543763141</v>
      </c>
      <c r="LM39" s="189">
        <f>LL39*(VLOOKUP(AN39,各项系数!$D$1:$F$143,2,0))</f>
        <v>1.7912621543763141</v>
      </c>
      <c r="LN39" s="189">
        <f>各项系数!$F$76/4*($NH39^2-$NE39^2)*10^-2*(VLOOKUP($LN$9,各项系数!$D$1:$F$143,3,0))*10^-3*10^2*各项系数!$J$4</f>
        <v>0.17780284089513673</v>
      </c>
      <c r="LO39" s="353">
        <v>1</v>
      </c>
      <c r="LP39" s="189">
        <f t="shared" si="225"/>
        <v>0.17780284089513673</v>
      </c>
      <c r="LQ39" s="189">
        <f>LP39*(VLOOKUP($LN$9,各项系数!$D$1:$F$143,2,0))</f>
        <v>1.955831249846504</v>
      </c>
      <c r="LR39" s="189">
        <f>各项系数!$F$76/4*($NI39^2-$NF39^2)*10^-2*(VLOOKUP($LR$9,各项系数!$D$1:$F$143,3,0))*10^-3*10^2*各项系数!$J$4</f>
        <v>0.17912621543763141</v>
      </c>
      <c r="LS39" s="353">
        <v>1</v>
      </c>
      <c r="LT39" s="189">
        <f t="shared" si="226"/>
        <v>0.17912621543763141</v>
      </c>
      <c r="LU39" s="189">
        <f>LT39*(VLOOKUP($LR$9,各项系数!$D$1:$F$143,2,0))</f>
        <v>1.9703883698139455</v>
      </c>
      <c r="LV39" s="227">
        <f t="shared" si="154"/>
        <v>84.896202529999997</v>
      </c>
      <c r="LW39" s="227">
        <f t="shared" si="155"/>
        <v>66.030379749999994</v>
      </c>
      <c r="LX39" s="227">
        <f t="shared" si="156"/>
        <v>9.1691052263336967</v>
      </c>
      <c r="LY39" s="227">
        <f t="shared" si="157"/>
        <v>18.865822780000002</v>
      </c>
      <c r="LZ39" s="374">
        <f t="shared" si="86"/>
        <v>1</v>
      </c>
      <c r="MA39" s="375">
        <f t="shared" si="87"/>
        <v>84.896202529999997</v>
      </c>
      <c r="MB39" s="375">
        <f t="shared" si="158"/>
        <v>7.3516393500000001</v>
      </c>
      <c r="MC39" s="227">
        <f t="shared" si="159"/>
        <v>0</v>
      </c>
      <c r="MD39" s="227">
        <f t="shared" si="160"/>
        <v>0</v>
      </c>
      <c r="ME39" s="227">
        <f t="shared" si="161"/>
        <v>0</v>
      </c>
      <c r="MF39" s="227">
        <f t="shared" si="162"/>
        <v>0</v>
      </c>
      <c r="MG39" s="374">
        <f t="shared" si="163"/>
        <v>1</v>
      </c>
      <c r="MH39" s="375">
        <f t="shared" si="88"/>
        <v>0</v>
      </c>
      <c r="MI39" s="375">
        <f t="shared" si="164"/>
        <v>0</v>
      </c>
      <c r="MJ39" s="189">
        <f t="shared" si="89"/>
        <v>7.3516393500000001</v>
      </c>
      <c r="MK39" s="189">
        <f t="shared" si="165"/>
        <v>7.3516393500000001</v>
      </c>
      <c r="ML39" s="189">
        <f t="shared" si="227"/>
        <v>0</v>
      </c>
      <c r="MM39" s="189">
        <f t="shared" si="91"/>
        <v>0</v>
      </c>
      <c r="MN39" s="189">
        <f t="shared" si="92"/>
        <v>9.15163935</v>
      </c>
      <c r="MO39" s="189">
        <f t="shared" si="166"/>
        <v>0</v>
      </c>
      <c r="MP39" s="189">
        <f t="shared" si="167"/>
        <v>18.3032787</v>
      </c>
      <c r="MQ39" s="189">
        <f t="shared" si="228"/>
        <v>18.3032787</v>
      </c>
      <c r="MR39" s="246">
        <f t="shared" si="168"/>
        <v>18.259756670000002</v>
      </c>
      <c r="MS39" s="380">
        <f t="shared" si="94"/>
        <v>18.43575667</v>
      </c>
      <c r="MT39" s="380">
        <f t="shared" si="95"/>
        <v>18.59575667</v>
      </c>
      <c r="MU39" s="380">
        <f t="shared" si="232"/>
        <v>19.035756670000001</v>
      </c>
      <c r="MV39" s="380">
        <f t="shared" si="97"/>
        <v>22.035756670000001</v>
      </c>
      <c r="MW39" s="380">
        <f t="shared" si="98"/>
        <v>22.195756670000002</v>
      </c>
      <c r="MX39" s="254">
        <f t="shared" si="233"/>
        <v>7.9516393500000007</v>
      </c>
      <c r="MY39" s="254">
        <f t="shared" si="100"/>
        <v>0</v>
      </c>
      <c r="MZ39" s="189">
        <f t="shared" si="101"/>
        <v>9.7516393500000014</v>
      </c>
      <c r="NA39" s="189">
        <f t="shared" si="102"/>
        <v>0</v>
      </c>
      <c r="NB39" s="189">
        <f t="shared" si="169"/>
        <v>19.503278699999999</v>
      </c>
      <c r="NC39" s="254">
        <f t="shared" si="229"/>
        <v>19.503278699999999</v>
      </c>
      <c r="ND39" s="246">
        <f t="shared" si="234"/>
        <v>19.456903279999999</v>
      </c>
      <c r="NE39" s="386">
        <f t="shared" si="235"/>
        <v>19.696903279999997</v>
      </c>
      <c r="NF39" s="380">
        <f t="shared" si="106"/>
        <v>19.856903279999997</v>
      </c>
      <c r="NG39" s="387">
        <f t="shared" si="236"/>
        <v>20.296903279999999</v>
      </c>
      <c r="NH39" s="254">
        <f t="shared" si="108"/>
        <v>23.296903279999999</v>
      </c>
      <c r="NI39" s="380">
        <f t="shared" si="109"/>
        <v>23.456903279999999</v>
      </c>
      <c r="NK39" s="388">
        <f t="shared" si="110"/>
        <v>0.82056260130317238</v>
      </c>
      <c r="NL39" s="388">
        <f t="shared" si="111"/>
        <v>40.944523859974353</v>
      </c>
      <c r="NM39" s="388">
        <f t="shared" si="112"/>
        <v>0.82056260130317238</v>
      </c>
      <c r="NN39" s="388">
        <f t="shared" si="113"/>
        <v>41.111895642631822</v>
      </c>
      <c r="NO39" s="388">
        <f t="shared" si="114"/>
        <v>0.88355027655037166</v>
      </c>
      <c r="NP39" s="388">
        <f t="shared" si="115"/>
        <v>41.63291110540041</v>
      </c>
      <c r="NQ39" s="388">
        <f t="shared" si="116"/>
        <v>0.88355027655037166</v>
      </c>
      <c r="NR39" s="388">
        <f t="shared" si="117"/>
        <v>41.810713946295543</v>
      </c>
      <c r="NS39" s="388">
        <f t="shared" si="118"/>
        <v>0.8464260261901877</v>
      </c>
      <c r="NT39" s="388">
        <f t="shared" si="119"/>
        <v>0.8464260261901877</v>
      </c>
      <c r="NU39" s="388">
        <f t="shared" si="120"/>
        <v>0.91117531297725451</v>
      </c>
      <c r="NV39" s="388">
        <f t="shared" si="121"/>
        <v>0.91117531297725451</v>
      </c>
      <c r="NW39">
        <f t="shared" si="122"/>
        <v>0.95795800314384583</v>
      </c>
      <c r="NX39">
        <f>各项系数!$M$9*NK39</f>
        <v>0.24616878039095169</v>
      </c>
      <c r="NY39">
        <f t="shared" si="123"/>
        <v>0.8464260261901877</v>
      </c>
    </row>
    <row r="40" spans="1:398" ht="15" hidden="1" customHeight="1">
      <c r="A40" s="72">
        <v>2</v>
      </c>
      <c r="B40" s="70">
        <v>0.05</v>
      </c>
      <c r="C40" s="71"/>
      <c r="D40" s="53" t="s">
        <v>179</v>
      </c>
      <c r="E40" s="61">
        <f t="shared" si="240"/>
        <v>26.806982179999999</v>
      </c>
      <c r="F40" s="68">
        <f>$F$24</f>
        <v>238.573455311777</v>
      </c>
      <c r="G40" s="58"/>
      <c r="H40" s="16"/>
      <c r="I40" s="62"/>
      <c r="J40" s="16"/>
      <c r="K40" s="16"/>
      <c r="L40" s="97" t="s">
        <v>467</v>
      </c>
      <c r="M40" s="103">
        <f t="shared" si="2"/>
        <v>1</v>
      </c>
      <c r="N40" s="103">
        <f t="shared" si="3"/>
        <v>0</v>
      </c>
      <c r="O40" s="53">
        <f t="shared" si="251"/>
        <v>0.08</v>
      </c>
      <c r="P40" s="99">
        <v>0.1</v>
      </c>
      <c r="Q40" s="133">
        <f t="shared" si="248"/>
        <v>0.1</v>
      </c>
      <c r="R40" s="70">
        <v>0.8</v>
      </c>
      <c r="S40" s="142" t="str">
        <f>各项系数!$D$43</f>
        <v>钢带</v>
      </c>
      <c r="T40" s="53">
        <v>0.2</v>
      </c>
      <c r="U40" s="102">
        <v>2</v>
      </c>
      <c r="V40" s="140"/>
      <c r="W40" s="141">
        <v>1.8</v>
      </c>
      <c r="X40" s="135">
        <f t="shared" si="249"/>
        <v>0.2</v>
      </c>
      <c r="Y40" s="135"/>
      <c r="Z40" s="168"/>
      <c r="AA40" s="153">
        <f>$AA$24</f>
        <v>1.0109999999999999</v>
      </c>
      <c r="AB40" s="153">
        <f>PI()*EJ40*EJ40/4*EH40*(1-H40)*AA40*各项系数!$F$5*各项系数!$J$4*10^-7</f>
        <v>0.39976992605548828</v>
      </c>
      <c r="AC40" s="153">
        <f t="shared" si="241"/>
        <v>238.573455311777</v>
      </c>
      <c r="AD40" s="153">
        <f t="shared" si="5"/>
        <v>45.194467959085458</v>
      </c>
      <c r="AE40" s="153">
        <f>POWER(4*EU40/PI()/EG40/10^-7/EH40/(1-H40)/各项系数!$F$5/各项系数!$J$4,0.5)</f>
        <v>239.88202060340802</v>
      </c>
      <c r="AF40" s="69">
        <v>1</v>
      </c>
      <c r="AG40" s="69">
        <f>IF(EM40=0,0,PI()*ER40*ER40/4*EP40*(1-K40)*(1+AF40)*各项系数!$F$5*各项系数!$J$4*10^-7)</f>
        <v>0</v>
      </c>
      <c r="AH40" s="69">
        <f t="shared" si="242"/>
        <v>0</v>
      </c>
      <c r="AI40" s="69">
        <f t="shared" si="128"/>
        <v>0</v>
      </c>
      <c r="AJ40" s="69">
        <f>IF(OR(EP40="",EP40=0),0,POWER(4*EW40/PI()/EO40/10^-7/EP40/(1-K40)/各项系数!$F$5/各项系数!$J$4,0.5))</f>
        <v>0</v>
      </c>
      <c r="AK40" s="69" t="str">
        <f t="shared" si="8"/>
        <v>√</v>
      </c>
      <c r="AL40" s="69">
        <f t="shared" si="243"/>
        <v>57.017921574275555</v>
      </c>
      <c r="AM40" s="188">
        <f t="shared" si="244"/>
        <v>50</v>
      </c>
      <c r="AN40" s="97" t="s">
        <v>486</v>
      </c>
      <c r="AO40" s="196">
        <f>AP40+各项系数!$M$9*$NK40</f>
        <v>55.899923112034855</v>
      </c>
      <c r="AP40" s="196">
        <f>AQ40*(1+$BI40+(VLOOKUP($AM40,$A$12:$B$323,2,0))+各项系数!$J$6+各项系数!$M$5)*(1+$E$2)</f>
        <v>55.571210051337758</v>
      </c>
      <c r="AQ40" s="197">
        <f>AR40+各项系数!$L$9*$NK40</f>
        <v>56.705316378916081</v>
      </c>
      <c r="AR40" s="197">
        <f>AS40*(1+$BJ40+各项系数!$J$5+各项系数!$L$5)</f>
        <v>56.376603318218983</v>
      </c>
      <c r="AS40" s="197">
        <f t="shared" si="129"/>
        <v>55.271179723744098</v>
      </c>
      <c r="AT40" s="196">
        <f>AU40+各项系数!$M$9*$NM40</f>
        <v>57.299368874338761</v>
      </c>
      <c r="AU40" s="196">
        <f>AV40*(1+$BI40+(VLOOKUP($AM40,$A$12:$B$323,2,0))+各项系数!$J$6+各项系数!$M$5)*(1+$E$2)</f>
        <v>56.970655813641663</v>
      </c>
      <c r="AV40" s="197">
        <f>AW40+各项系数!$L$9*$NM40</f>
        <v>58.133322258818026</v>
      </c>
      <c r="AW40" s="197">
        <f>AX40*(1+$BJ40+各项系数!$J$5+各项系数!$L$5)</f>
        <v>57.804609198120929</v>
      </c>
      <c r="AX40" s="197">
        <f t="shared" si="130"/>
        <v>56.671185488353849</v>
      </c>
      <c r="AY40" s="196">
        <f>AZ40+各项系数!$M$9*$NS40</f>
        <v>58.127237077637361</v>
      </c>
      <c r="AZ40" s="196">
        <f>BA40*(1+$BI40+(VLOOKUP($AM40,$A$12:$B$214,2,0))+各项系数!$J$6+各项系数!$M$5)*(1+$E$2)</f>
        <v>57.78876560751862</v>
      </c>
      <c r="BA40" s="197">
        <f>BB40+各项系数!$L$9*$NS40</f>
        <v>58.968128170937369</v>
      </c>
      <c r="BB40" s="197">
        <f>BC40*(1+$BJ40+各项系数!$J$5+各项系数!$L$5)</f>
        <v>58.629656700818629</v>
      </c>
      <c r="BC40" s="199">
        <f t="shared" si="131"/>
        <v>57.480055589037867</v>
      </c>
      <c r="BD40" s="196">
        <f>BE40+各项系数!$M$9*$NS40</f>
        <v>59.535636792095779</v>
      </c>
      <c r="BE40" s="196">
        <f>BF40*(1+$BI40+(VLOOKUP($AM40,$A$12:$B$214,2,0))+各项系数!$J$6+各项系数!$M$5)*(1+$E$2)</f>
        <v>59.197165321977039</v>
      </c>
      <c r="BF40" s="197">
        <f>BG40+各项系数!$L$9*$NS40</f>
        <v>60.405270736711266</v>
      </c>
      <c r="BG40" s="197">
        <f>BH40*(1+$BJ40+各项系数!$J$5+各项系数!$L$5)</f>
        <v>60.066799266592525</v>
      </c>
      <c r="BH40" s="199">
        <f t="shared" si="132"/>
        <v>58.889018888816203</v>
      </c>
      <c r="BI40" s="213"/>
      <c r="BJ40" s="208"/>
      <c r="BK40" s="53" t="s">
        <v>514</v>
      </c>
      <c r="BL40" s="196">
        <f>BM40+各项系数!$M$9*$NM40</f>
        <v>56.650359945049331</v>
      </c>
      <c r="BM40" s="196">
        <f>BN40*(1+$CF40+(VLOOKUP($AM40,$A$12:$B$323,2,0))+各项系数!$J$6+各项系数!$M$5)*(1+$E$2)</f>
        <v>56.321646884352234</v>
      </c>
      <c r="BN40" s="197">
        <f>BO40+各项系数!$L$9*$NM40</f>
        <v>57.471068249339012</v>
      </c>
      <c r="BO40" s="197">
        <f>BP40*(1+$CG40+各项系数!$J$5+各项系数!$L$5)</f>
        <v>57.142355188641915</v>
      </c>
      <c r="BP40" s="197">
        <f t="shared" si="133"/>
        <v>55.478014746254281</v>
      </c>
      <c r="BQ40" s="196">
        <f>BR40+各项系数!$M$9*$NM40</f>
        <v>57.854746492124626</v>
      </c>
      <c r="BR40" s="196">
        <f>BS40*(1+$CF40+(VLOOKUP($AM40,$A$12:$B$323,2,0))+各项系数!$J$6+各项系数!$M$5)*(1+$E$2)</f>
        <v>57.526033431427528</v>
      </c>
      <c r="BS40" s="197">
        <f>BT40+各项系数!$L$9*$NM40</f>
        <v>58.700034113701562</v>
      </c>
      <c r="BT40" s="197">
        <f>BU40*(1+$CG40+各项系数!$J$5+各项系数!$L$5)</f>
        <v>58.371321053004465</v>
      </c>
      <c r="BU40" s="197">
        <f t="shared" si="134"/>
        <v>56.671185488353849</v>
      </c>
      <c r="BV40" s="196">
        <f>BW40+各项系数!$M$9*$NT40</f>
        <v>58.57705280277041</v>
      </c>
      <c r="BW40" s="196">
        <f>BX40*(1+$CF40+(VLOOKUP($AM40,$A$12:$B$214,2,0))+各项系数!$J$6+各项系数!$M$5)*(1+$E$2)</f>
        <v>58.23858133265167</v>
      </c>
      <c r="BX40" s="197">
        <f>BY40+各项系数!$L$9*$NT$12</f>
        <v>59.427123808828235</v>
      </c>
      <c r="BY40" s="197">
        <f>BZ40*(1+$CG40+各项系数!$J$5+各项系数!$L$5)</f>
        <v>59.418860405673264</v>
      </c>
      <c r="BZ40" s="199">
        <f t="shared" si="11"/>
        <v>57.688213986090545</v>
      </c>
      <c r="CA40" s="196">
        <f>CB40+各项系数!$M$9*$NT40</f>
        <v>59.789145271581688</v>
      </c>
      <c r="CB40" s="196">
        <f>CC40*(1+$CF40+(VLOOKUP($AM40,$A$12:$B$214,2,0))+各项系数!$J$6+各项系数!$M$5)*(1+$E$2)</f>
        <v>59.450673801462948</v>
      </c>
      <c r="CC40" s="197">
        <f>CD40+各项系数!$L$9*$NT$12</f>
        <v>60.66395285863566</v>
      </c>
      <c r="CD40" s="197">
        <f>CE40*(1+$CG40+各项系数!$J$5+各项系数!$L$5)</f>
        <v>60.65568945548069</v>
      </c>
      <c r="CE40" s="199">
        <f t="shared" si="135"/>
        <v>58.889018888816203</v>
      </c>
      <c r="CF40" s="213">
        <f t="shared" si="136"/>
        <v>0</v>
      </c>
      <c r="CG40" s="213">
        <f t="shared" si="12"/>
        <v>0.01</v>
      </c>
      <c r="CH40" s="102"/>
      <c r="CI40" s="196">
        <f>CJ40+各项系数!$M$9*$NO40</f>
        <v>57.134889893359187</v>
      </c>
      <c r="CJ40" s="196">
        <f>CK40*(1+$DC40+(VLOOKUP($AM40,$A$12:$B$323,2,0))+各项系数!$J$6+各项系数!$M$5)*(1+$E$2)+各项系数!$M$9*$NK40</f>
        <v>56.780642726119702</v>
      </c>
      <c r="CK40" s="197">
        <f>CL40+各项系数!$L$9*$NO40</f>
        <v>57.604009862676129</v>
      </c>
      <c r="CL40" s="197">
        <f>CM40*(1+$DD40+各项系数!$J$5+各项系数!$L$5)</f>
        <v>57.249762695436644</v>
      </c>
      <c r="CM40" s="197">
        <f t="shared" si="13"/>
        <v>56.127218328859456</v>
      </c>
      <c r="CN40" s="196">
        <f>CO40+各项系数!$M$9*$NO40</f>
        <v>58.430066797519338</v>
      </c>
      <c r="CO40" s="196">
        <f>CP40*(1+$DC40+(VLOOKUP($AM40,$A$12:$B$323,2,0))+各项系数!$J$6+各项系数!$M$5)*(1+$E$2)+各项系数!$M$9*$NK40</f>
        <v>58.075819630279852</v>
      </c>
      <c r="CP40" s="197">
        <f>CQ40+各项系数!$L$9*$NO40</f>
        <v>58.925618948553833</v>
      </c>
      <c r="CQ40" s="197">
        <f>CR40*(1+$DD40+各项系数!$J$5+各项系数!$L$5)</f>
        <v>58.571371781314348</v>
      </c>
      <c r="CR40" s="197">
        <f t="shared" si="14"/>
        <v>57.422913511092496</v>
      </c>
      <c r="CS40" s="196">
        <f>CT40+各项系数!$M$9*$NU40</f>
        <v>59.15339841094876</v>
      </c>
      <c r="CT40" s="196">
        <f t="shared" si="15"/>
        <v>58.788864350825676</v>
      </c>
      <c r="CU40" s="197">
        <f>CV40+各项系数!$L$9*$NU40</f>
        <v>59.988637092679262</v>
      </c>
      <c r="CV40" s="197">
        <f>CW40*(1+$DD40+各项系数!$J$5+各项系数!$L$5)</f>
        <v>59.624103032556178</v>
      </c>
      <c r="CW40" s="199">
        <f t="shared" si="16"/>
        <v>58.455002973094288</v>
      </c>
      <c r="CX40" s="196">
        <f>CY40+各项系数!$M$9*$NU40</f>
        <v>60.632374665443272</v>
      </c>
      <c r="CY40" s="196">
        <f t="shared" si="17"/>
        <v>60.267840605320188</v>
      </c>
      <c r="CZ40" s="197">
        <f>DA40+各项系数!$L$9*$NU40</f>
        <v>61.497796536041008</v>
      </c>
      <c r="DA40" s="197">
        <f>DB40*(1+$DD40+各项系数!$J$5+各项系数!$L$5)</f>
        <v>61.133262475917924</v>
      </c>
      <c r="DB40" s="199">
        <f t="shared" si="18"/>
        <v>59.93457105482149</v>
      </c>
      <c r="DC40" s="213">
        <f t="shared" si="137"/>
        <v>0</v>
      </c>
      <c r="DD40" s="213">
        <f t="shared" si="19"/>
        <v>0</v>
      </c>
      <c r="DE40" s="53" t="s">
        <v>498</v>
      </c>
      <c r="DF40" s="53" t="s">
        <v>513</v>
      </c>
      <c r="DG40" s="196">
        <f>DH40+各项系数!$M$9*$NQ40</f>
        <v>57.904245014888907</v>
      </c>
      <c r="DH40" s="196">
        <f>DI40*(1+$EA40+(VLOOKUP($AM40,$A$12:$B$323,2,0))+各项系数!$J$6+各项系数!$M$5)*(1+$E$2)+各项系数!$M$9*$NK40</f>
        <v>57.549997847649422</v>
      </c>
      <c r="DI40" s="197">
        <f>DJ40+各项系数!$L$9*$NQ40</f>
        <v>58.389066109135022</v>
      </c>
      <c r="DJ40" s="197">
        <f>DK40*(1+$EB40+各项系数!$J$5+各项系数!$L$5)</f>
        <v>58.034818941895537</v>
      </c>
      <c r="DK40" s="197">
        <f t="shared" si="20"/>
        <v>56.344484409607318</v>
      </c>
      <c r="DL40" s="196">
        <f>DM40+各项系数!$M$9*$NQ40</f>
        <v>59.169370918678283</v>
      </c>
      <c r="DM40" s="196">
        <f>DN40*(1+$EA40+(VLOOKUP($AM40,$A$12:$B$323,2,0))+各项系数!$J$6+各项系数!$M$5)*(1+$E$2)+各项系数!$M$9*$NK40</f>
        <v>58.815123751438797</v>
      </c>
      <c r="DN40" s="197">
        <f>DO40+各项系数!$L$9*$NQ40</f>
        <v>59.680010908920103</v>
      </c>
      <c r="DO40" s="197">
        <f>DP40*(1+$EB40+各项系数!$J$5+各项系数!$L$5)</f>
        <v>59.325763741680618</v>
      </c>
      <c r="DP40" s="197">
        <f t="shared" si="21"/>
        <v>57.597828875418074</v>
      </c>
      <c r="DQ40" s="196">
        <f>DR40+各项系数!$M$9*$NV40</f>
        <v>59.946901636255163</v>
      </c>
      <c r="DR40" s="196">
        <f t="shared" si="22"/>
        <v>59.582367576132079</v>
      </c>
      <c r="DS40" s="197">
        <f>DT40+各项系数!$L$9*$NV40</f>
        <v>60.798334261359265</v>
      </c>
      <c r="DT40" s="197">
        <f>DU40*(1+$EB40+各项系数!$J$5+各项系数!$L$5)</f>
        <v>60.433800201236181</v>
      </c>
      <c r="DU40" s="199">
        <f t="shared" si="23"/>
        <v>58.673592428384637</v>
      </c>
      <c r="DV40" s="196">
        <f>DW40+各项系数!$M$9*$NV40</f>
        <v>60.430766480167357</v>
      </c>
      <c r="DW40" s="196">
        <f t="shared" si="24"/>
        <v>60.066232420044273</v>
      </c>
      <c r="DX40" s="197">
        <f>DY40+各项系数!$L$9*$NV40</f>
        <v>61.292073898004361</v>
      </c>
      <c r="DY40" s="197">
        <f>DZ40*(1+$EB40+各项系数!$J$5+各项系数!$L$5)</f>
        <v>60.927539837881277</v>
      </c>
      <c r="DZ40" s="199">
        <f t="shared" si="25"/>
        <v>59.152951298913862</v>
      </c>
      <c r="EA40" s="213">
        <f t="shared" si="230"/>
        <v>0</v>
      </c>
      <c r="EB40" s="213">
        <f t="shared" si="27"/>
        <v>0.01</v>
      </c>
      <c r="EC40" s="235">
        <f t="shared" si="138"/>
        <v>2</v>
      </c>
      <c r="ED40" s="235" t="str">
        <f t="shared" si="180"/>
        <v>2*50</v>
      </c>
      <c r="EE40" s="189">
        <f t="shared" si="239"/>
        <v>50</v>
      </c>
      <c r="EF40" s="189" t="str">
        <f>LOOKUP(EH40,{1,7,10,14,19,24,30,37,48,61},{1,"1+6","2+8","4+10","1+6+12","2+8+14","4+10+16","1+6+12+18","3+9+15+21","1+6+12+18+24"})</f>
        <v>2+8</v>
      </c>
      <c r="EG40" s="188">
        <f t="shared" si="29"/>
        <v>2</v>
      </c>
      <c r="EH40" s="197">
        <f>VLOOKUP(EE40,各项系数!$B$87:$C$124,2,0)</f>
        <v>10</v>
      </c>
      <c r="EI40" s="188">
        <f>IF(EH40=0,0,VLOOKUP(EH40,各项系数!$D$142:$E$195,2,0))*1</f>
        <v>4</v>
      </c>
      <c r="EJ40" s="238">
        <f t="shared" si="141"/>
        <v>238.573455311777</v>
      </c>
      <c r="EK40" s="189">
        <f t="shared" si="245"/>
        <v>0</v>
      </c>
      <c r="EL40" s="189">
        <f t="shared" si="31"/>
        <v>0</v>
      </c>
      <c r="EM40" s="189">
        <f t="shared" si="182"/>
        <v>0</v>
      </c>
      <c r="EN40" s="189">
        <f>IF(EP40=0,0,LOOKUP(EP40,{1,7,10,14,19,24,30,37,48,61},{1,"1+6","2+8","4+10","1+6+12","2+8+14","4+10+16","1+6+12+18","3+9+15+21","1+6+12+18+24"}))</f>
        <v>0</v>
      </c>
      <c r="EO40" s="189">
        <f t="shared" si="246"/>
        <v>0</v>
      </c>
      <c r="EP40" s="189">
        <f>IF(EM40=0,0,IF(EM40&lt;10,1,IF(AND(EM40&gt;=10,EM40&lt;=35),7,LOOKUP(EM40,{50,70,95,120,150,185,240,300},{10,14,19,24,30,37,48,61})*1)))</f>
        <v>0</v>
      </c>
      <c r="EQ40" s="189">
        <f>IF(EP40=0,0,VLOOKUP(EP40,各项系数!$D$142:$E$195,2,0))*1</f>
        <v>0</v>
      </c>
      <c r="ER40" s="189">
        <f t="shared" si="247"/>
        <v>0</v>
      </c>
      <c r="ES40" s="235">
        <f t="shared" si="250"/>
        <v>2</v>
      </c>
      <c r="ET40" s="189">
        <f>VLOOKUP(ES40,各项系数!$D$142:$E$195,2,0)*1</f>
        <v>2</v>
      </c>
      <c r="EU40" s="243">
        <f>((各项系数!$F$76/4*$EJ40^2*$EG40*$EH40*1*10^-7)*(1-$H40)*AA40)*(VLOOKUP($EY$9,各项系数!$D$4:$F$143,3,0))*各项系数!$J$4</f>
        <v>0.79953985211097656</v>
      </c>
      <c r="EV40" s="244">
        <f>EU40*(VLOOKUP($EY$9,各项系数!$D$4:$F$143,2,0))</f>
        <v>52.369860313268966</v>
      </c>
      <c r="EW40" s="252">
        <f>(IF($EO40=0,0,(各项系数!$F$76/4*$ER40^2*$EO40*$EP40*1*10^-7))*(1-$K40)*$AF40)*(VLOOKUP($EY$9,各项系数!$D$4:$F$143,3,0))*各项系数!$J$4</f>
        <v>0</v>
      </c>
      <c r="EX40" s="253">
        <f>EW40*(VLOOKUP($EY$9,各项系数!$D$4:$F$143,2,0))</f>
        <v>0</v>
      </c>
      <c r="EY40" s="189">
        <f>((各项系数!$F$76/4*$EJ40^2*$EG40*$EH40*1*10^-7)*(1-$H40)*AA40+IF($EO40=0,0,(各项系数!$F$76/4*$ER40^2*$EO40*$EP40*1*10^-7))*(1-$K40)*$AF40)*(VLOOKUP($EY$9,各项系数!$D$4:$F$143,3,0))*各项系数!$J$4</f>
        <v>0.79953985211097656</v>
      </c>
      <c r="EZ40" s="102">
        <v>1</v>
      </c>
      <c r="FA40" s="189">
        <f t="shared" si="188"/>
        <v>0.79953985211097656</v>
      </c>
      <c r="FB40" s="254">
        <f>FA40*(VLOOKUP($EY$9,各项系数!$D$4:$F$143,2,0))</f>
        <v>52.369860313268966</v>
      </c>
      <c r="FC40" s="255"/>
      <c r="FD40" s="235">
        <f>各项系数!$F$76/4*($MN40^2-MK40^2)*10^-2*(VLOOKUP(L40,各项系数!$D$1:$F$143,3,0))*10^-3*10^2*$EG40*各项系数!$J$4</f>
        <v>7.2503220042856587E-2</v>
      </c>
      <c r="FE40" s="262">
        <f>FD40*VLOOKUP(L40,各项系数!$D$1:$F$143,2,0)</f>
        <v>0.73953284443713718</v>
      </c>
      <c r="FF40" s="188">
        <f>各项系数!$F$76/4*($MO40^2-ML40^2)*10^-2*(VLOOKUP(L40,各项系数!$D$1:$F$143,3,0))*10^-3*10^2*$EO40*各项系数!$J$4</f>
        <v>0</v>
      </c>
      <c r="FG40" s="262">
        <f>FF40*VLOOKUP(L40,各项系数!$D$1:$F$143,2,0)</f>
        <v>0</v>
      </c>
      <c r="FH40" s="235">
        <f t="shared" si="142"/>
        <v>7.2503220042856587E-2</v>
      </c>
      <c r="FI40" s="102">
        <v>1</v>
      </c>
      <c r="FJ40" s="189">
        <f t="shared" si="189"/>
        <v>7.2503220042856587E-2</v>
      </c>
      <c r="FK40" s="262">
        <f>FJ40*VLOOKUP(L40,各项系数!$D$1:$F$143,2,0)</f>
        <v>0.73953284443713718</v>
      </c>
      <c r="FL40" s="235"/>
      <c r="FM40" s="102"/>
      <c r="FN40" s="189"/>
      <c r="FO40" s="262"/>
      <c r="FP40" s="282">
        <f t="shared" si="190"/>
        <v>7.2503220042856587E-2</v>
      </c>
      <c r="FQ40" s="282">
        <f t="shared" si="191"/>
        <v>0.73953284443713718</v>
      </c>
      <c r="FR40" s="283">
        <f>各项系数!$F$76/4*($MQ40^2-$MN40^2*$EG40-$MO40^2*$EO40)*10^-2</f>
        <v>2.0929199511586551</v>
      </c>
      <c r="FS40" s="284">
        <f t="shared" si="143"/>
        <v>0.05</v>
      </c>
      <c r="FT40" s="285">
        <f t="shared" si="40"/>
        <v>0.10464599755793276</v>
      </c>
      <c r="FU40" s="302">
        <f>$FT40*(VLOOKUP($FT$9,各项系数!$D$1:$F$143,3,0))*10^-3*10^2*各项系数!$J$55</f>
        <v>1.2494732108417173E-2</v>
      </c>
      <c r="FV40" s="303">
        <v>1</v>
      </c>
      <c r="FW40" s="304">
        <f t="shared" si="192"/>
        <v>1.2494732108417173E-2</v>
      </c>
      <c r="FX40" s="285">
        <f>FW40*(VLOOKUP($FT$9,各项系数!$D$1:$F$143,2,0))</f>
        <v>3.7484196325251518E-2</v>
      </c>
      <c r="FY40" s="302">
        <f>IF($BK40&lt;&gt;$FY$9,0,各项系数!$F$76/4*($MS40^2-$MQ40^2)*10^-2*(VLOOKUP($FY$9,各项系数!$D$1:$F$143,3,0))*10^-3*10^2)*各项系数!$J$4</f>
        <v>0</v>
      </c>
      <c r="FZ40" s="303">
        <v>1</v>
      </c>
      <c r="GA40" s="304">
        <f t="shared" si="193"/>
        <v>0</v>
      </c>
      <c r="GB40" s="285">
        <f>GA40*(VLOOKUP($FY$9,各项系数!$D$1:$F$143,2,0))</f>
        <v>0</v>
      </c>
      <c r="GC40" s="302">
        <f>IF($BK40&lt;&gt;$GC$9,0,各项系数!$F$76/4*($MS40^2-$MQ40^2)*10^-2*(VLOOKUP($GC$9,各项系数!$D$1:$F$143,3,0))*10^-3*10^2)*各项系数!$J$4</f>
        <v>4.3373755512322717E-3</v>
      </c>
      <c r="GD40" s="303">
        <v>1</v>
      </c>
      <c r="GE40" s="304">
        <f t="shared" si="194"/>
        <v>4.3373755512322717E-3</v>
      </c>
      <c r="GF40" s="285">
        <f>GE40*(VLOOKUP($GC$9,各项系数!$D$1:$F$143,2,0))</f>
        <v>5.5952144610896308E-2</v>
      </c>
      <c r="GG40" s="302">
        <f>IF($BK40&lt;&gt;$GG$9,0,各项系数!$F$76/4*($MS40^2-$MQ40^2)*10^-2*(VLOOKUP($GG$9,各项系数!$D$1:$F$143,3,0))*10^-3*10^2)*各项系数!$J$4</f>
        <v>0</v>
      </c>
      <c r="GH40" s="303">
        <v>1</v>
      </c>
      <c r="GI40" s="304">
        <f t="shared" si="195"/>
        <v>0</v>
      </c>
      <c r="GJ40" s="285">
        <f>GI40*(VLOOKUP($GG$9,各项系数!$D$1:$F$143,2,0))</f>
        <v>0</v>
      </c>
      <c r="GK40" s="302">
        <f>IF($BK40&lt;&gt;$GK$9,0,各项系数!$F$76/4*($MS40^2-$MQ40^2)*10^-2*(VLOOKUP($GK$9,各项系数!$D$1:$F$143,3,0))*10^-3*10^2)*各项系数!$J$4</f>
        <v>0</v>
      </c>
      <c r="GL40" s="303">
        <v>1</v>
      </c>
      <c r="GM40" s="304">
        <f t="shared" si="196"/>
        <v>0</v>
      </c>
      <c r="GN40" s="285">
        <f>GM40*(VLOOKUP($GK$9,各项系数!$D$1:$F$143,2,0))</f>
        <v>0</v>
      </c>
      <c r="GO40" s="304">
        <f t="shared" si="197"/>
        <v>4.3373755512322717E-3</v>
      </c>
      <c r="GP40" s="304">
        <f t="shared" si="198"/>
        <v>5.5952144610896308E-2</v>
      </c>
      <c r="GQ40" s="315">
        <f>各项系数!$F$76/4*($MU40^2-$MS40^2)*10^-2*(VLOOKUP($S40,各项系数!$D$1:$F$143,3,0))*10^-3*10^2*各项系数!$J$4</f>
        <v>0.17238435146065798</v>
      </c>
      <c r="GR40" s="303">
        <v>1</v>
      </c>
      <c r="GS40" s="304">
        <f t="shared" si="199"/>
        <v>0.17238435146065798</v>
      </c>
      <c r="GT40" s="304">
        <f t="shared" si="200"/>
        <v>0</v>
      </c>
      <c r="GU40" s="304">
        <f>ROUND($GS40*(VLOOKUP($S40,各项系数!$D$1:$F$143,2,0))+$E$3*GS40,GT40)</f>
        <v>1</v>
      </c>
      <c r="GV40" s="315">
        <f>各项系数!$F$76/4*($MT40^2-$MS40^2)*10^-2*(VLOOKUP($GV$9,各项系数!$D$1:$F$143,3,0))*10^-3*10^2*各项系数!$J$4*PI()/4*R40</f>
        <v>3.252803140546405E-2</v>
      </c>
      <c r="GW40" s="303">
        <v>1</v>
      </c>
      <c r="GX40" s="304">
        <f t="shared" si="201"/>
        <v>3.252803140546405E-2</v>
      </c>
      <c r="GY40" s="304">
        <f>$GX40*(VLOOKUP($GV$9,各项系数!$D$1:$F$143,2,0))</f>
        <v>2.1956421198688232</v>
      </c>
      <c r="GZ40" s="315">
        <f>各项系数!$F$76/4*($MV40^2-$MS40^2)*10^-2*(VLOOKUP($GZ$9,各项系数!$D$1:$F$143,3,0))*10^-3*10^2*各项系数!$J$4</f>
        <v>0.20402094057127032</v>
      </c>
      <c r="HA40" s="303">
        <v>1</v>
      </c>
      <c r="HB40" s="304">
        <f t="shared" si="144"/>
        <v>0.20402094057127032</v>
      </c>
      <c r="HC40" s="304">
        <f>HB40*(VLOOKUP($GZ$9,各项系数!$D$1:$F$143,2,0))</f>
        <v>3.4683559897115956</v>
      </c>
      <c r="HD40" s="315">
        <f>各项系数!$F$76/4*($MW40^2-$MT40^2)*10^-2*(VLOOKUP($HD$9,各项系数!$D$1:$F$143,3,0))*10^-3*10^2*各项系数!$J$4</f>
        <v>0.20532631001794893</v>
      </c>
      <c r="HE40" s="303">
        <v>1</v>
      </c>
      <c r="HF40" s="304">
        <f t="shared" si="145"/>
        <v>0.20532631001794893</v>
      </c>
      <c r="HG40" s="304">
        <f>HF40*(VLOOKUP($HD$9,各项系数!$D$1:$F$143,2,0))</f>
        <v>3.4905472703051319</v>
      </c>
      <c r="HH40" s="315">
        <f>各项系数!$F$76/4*($MV40^2-$MS40^2)*10^-2*(VLOOKUP($HH$9,各项系数!$D$1:$F$143,3,0))*10^-3*10^2*各项系数!$J$4</f>
        <v>0.20402094057127032</v>
      </c>
      <c r="HI40" s="322">
        <v>1</v>
      </c>
      <c r="HJ40" s="304">
        <f t="shared" si="146"/>
        <v>0.20402094057127032</v>
      </c>
      <c r="HK40" s="304">
        <f>HJ40*(VLOOKUP($HH$9,各项系数!$D$1:$F$143,2,0))</f>
        <v>3.4683559897115956</v>
      </c>
      <c r="HL40" s="315">
        <f>各项系数!$F$76/4*($MW40^2-$MT40^2)*10^-2*(VLOOKUP($HL$9,各项系数!$D$1:$F$143,3,0))*10^-3*10^2*各项系数!$J$4</f>
        <v>0.20532631001794893</v>
      </c>
      <c r="HM40" s="322">
        <v>1</v>
      </c>
      <c r="HN40" s="304">
        <f t="shared" si="147"/>
        <v>0.20532631001794893</v>
      </c>
      <c r="HO40" s="304">
        <f>HN40*(VLOOKUP($HL$9,各项系数!$D$1:$F$143,2,0))</f>
        <v>3.4905472703051319</v>
      </c>
      <c r="HP40" s="315">
        <f>各项系数!$F$76/4*($MV40^2-$MS40^2)*10^-2*(VLOOKUP(AN40,各项系数!$D$1:$F$143,3,0))*10^-3*10^2*各项系数!$J$4</f>
        <v>0.2068350225101844</v>
      </c>
      <c r="HQ40" s="303">
        <v>1</v>
      </c>
      <c r="HR40" s="304">
        <f t="shared" si="202"/>
        <v>0.2068350225101844</v>
      </c>
      <c r="HS40" s="304">
        <f>HR40*(VLOOKUP(AN40,各项系数!$D$1:$F$143,2,0))</f>
        <v>2.068350225101844</v>
      </c>
      <c r="HT40" s="315">
        <f>各项系数!$F$76/4*($MW40^2-$MT40^2)*10^-2*(VLOOKUP(AN40,各项系数!$D$1:$F$143,3,0))*10^-3*10^2*各项系数!$J$4</f>
        <v>0.20815839705267927</v>
      </c>
      <c r="HU40" s="303">
        <v>1</v>
      </c>
      <c r="HV40" s="304">
        <f t="shared" si="203"/>
        <v>0.20815839705267927</v>
      </c>
      <c r="HW40" s="304">
        <f>HV40*(VLOOKUP(AN40,各项系数!$D$1:$F$143,2,0))</f>
        <v>2.0815839705267929</v>
      </c>
      <c r="HX40" s="315">
        <f>各项系数!$F$76/4*($MV40^2-$MS40^2)*10^-2*(VLOOKUP($HX$9,各项系数!$D$1:$F$143,3,0))*10^-3*10^2*各项系数!$J$4</f>
        <v>0.2068350225101844</v>
      </c>
      <c r="HY40" s="322">
        <v>1</v>
      </c>
      <c r="HZ40" s="304">
        <f t="shared" si="204"/>
        <v>0.2068350225101844</v>
      </c>
      <c r="IA40" s="304">
        <f>HZ40*(VLOOKUP($HX$9,各项系数!$D$1:$F$143,2,0))</f>
        <v>2.2751852476120282</v>
      </c>
      <c r="IB40" s="315">
        <f>各项系数!$F$76/4*($MW40^2-$MT40^2)*10^-2*(VLOOKUP($IB$9,各项系数!$D$1:$F$143,3,0))*10^-3*10^2*各项系数!$J$4</f>
        <v>0.20815839705267927</v>
      </c>
      <c r="IC40" s="322">
        <v>1</v>
      </c>
      <c r="ID40" s="304">
        <f t="shared" si="205"/>
        <v>0.20815839705267927</v>
      </c>
      <c r="IE40" s="304">
        <f>ID40*(VLOOKUP($IB$9,各项系数!$D$1:$F$143,2,0))</f>
        <v>2.2897423675794721</v>
      </c>
      <c r="IF40" s="328"/>
      <c r="IG40" s="315">
        <f t="shared" si="148"/>
        <v>2.7691100844447647E-2</v>
      </c>
      <c r="IH40" s="303">
        <v>1</v>
      </c>
      <c r="II40" s="304">
        <f t="shared" si="206"/>
        <v>2.7691100844447647E-2</v>
      </c>
      <c r="IJ40" s="304">
        <f>II40*(VLOOKUP($IG$8,各项系数!$D$1:$F$143,2,0))</f>
        <v>0.69227752111119112</v>
      </c>
      <c r="IK40" s="315">
        <f>(各项系数!$F$76/4*($MX40^2-$MK40^2)*$EG40)*10^-2*(VLOOKUP($IG$8,各项系数!$D$1:$F$143,3,0))*10^-3*10^2*各项系数!$J$4</f>
        <v>2.7691100844447647E-2</v>
      </c>
      <c r="IL40" s="303">
        <f>IK40*(VLOOKUP($IG$8,各项系数!$D$1:$F$143,2,0))</f>
        <v>0.69227752111119112</v>
      </c>
      <c r="IM40" s="304">
        <f>(各项系数!$F$76/4*(($MM40+3*$X40)^2-MM40^2)*$EO40)*10^-2*(VLOOKUP($IG$8,各项系数!$D$1:$F$143,3,0))*10^-3*10^2*各项系数!$J$4</f>
        <v>0</v>
      </c>
      <c r="IN40" s="303">
        <f>IM40*(VLOOKUP($IG$8,各项系数!$D$1:$F$143,2,0))</f>
        <v>0</v>
      </c>
      <c r="IO40" s="315">
        <f>各项系数!$F$76/4*($MZ40^2-$MX40^2)*10^-2*(VLOOKUP(L40,各项系数!$D$1:$F$143,3,0))*10^-3*10^2*$ES40*各项系数!$J$4</f>
        <v>7.6629387834081367E-2</v>
      </c>
      <c r="IP40" s="303">
        <v>1</v>
      </c>
      <c r="IQ40" s="304">
        <f t="shared" si="207"/>
        <v>7.6629387834081367E-2</v>
      </c>
      <c r="IR40" s="285">
        <f>IQ40*(VLOOKUP(L40,各项系数!$D$1:$F$143,2,0))</f>
        <v>0.78161975590762989</v>
      </c>
      <c r="IS40" s="315">
        <f>IF($L40&lt;&gt;$IS$9,0,各项系数!$F$76/4*($MZ40^2-$MX40^2)*10^-2*各项系数!$F$12*10^-3*10^2)*$ES40*各项系数!$J$4</f>
        <v>0</v>
      </c>
      <c r="IT40" s="303">
        <v>1</v>
      </c>
      <c r="IU40" s="304">
        <f t="shared" si="208"/>
        <v>0</v>
      </c>
      <c r="IV40" s="285">
        <f>IU40*各项系数!$E$12</f>
        <v>0</v>
      </c>
      <c r="IW40" s="302">
        <f t="shared" si="209"/>
        <v>7.6629387834081367E-2</v>
      </c>
      <c r="IX40" s="302">
        <f t="shared" si="210"/>
        <v>0.78161975590762989</v>
      </c>
      <c r="IY40" s="339">
        <f>各项系数!$F$76/4*($NB40^2-$MZ40^2*$EG40-$NA40^2*$EO40)*10^-2</f>
        <v>2.3161540770348821</v>
      </c>
      <c r="IZ40" s="284">
        <f t="shared" si="231"/>
        <v>0.05</v>
      </c>
      <c r="JA40" s="285">
        <f t="shared" si="64"/>
        <v>0.1158077038517441</v>
      </c>
      <c r="JB40" s="282">
        <f>IF($DE40&lt;&gt;$JB$9,0,$JA40*各项系数!$F$32*10^-3*10^2)*各项系数!$J$4</f>
        <v>0</v>
      </c>
      <c r="JC40" s="102">
        <v>1</v>
      </c>
      <c r="JD40" s="189">
        <f t="shared" si="211"/>
        <v>0</v>
      </c>
      <c r="JE40" s="262">
        <f>JD40*各项系数!$E$32</f>
        <v>0</v>
      </c>
      <c r="JF40" s="282">
        <f>IF($DE40&lt;&gt;$JF$9,0,$JA40*VLOOKUP($JF$9,各项系数!$D$4:$F$540,2,0)*10^-3*10^2)*各项系数!$J$4</f>
        <v>5.7614332666242697E-2</v>
      </c>
      <c r="JG40" s="102">
        <v>1</v>
      </c>
      <c r="JH40" s="189">
        <f t="shared" si="66"/>
        <v>5.7614332666242697E-2</v>
      </c>
      <c r="JI40" s="262">
        <f>JH40*VLOOKUP($JF$9,各项系数!$D$4:$F$540,3,0)</f>
        <v>6.9137199199491239E-2</v>
      </c>
      <c r="JJ40" s="282">
        <f t="shared" si="212"/>
        <v>5.7614332666242697E-2</v>
      </c>
      <c r="JK40" s="189">
        <f t="shared" si="213"/>
        <v>6.9137199199491239E-2</v>
      </c>
      <c r="JL40" s="282">
        <f>IF($DF40&lt;&gt;$JL$9,0,各项系数!$F$76/4*($NE40^2-$NC40^2)*10^-2*各项系数!$F$39*10^-3*10^2)*各项系数!$J$4</f>
        <v>2.0831365946811899E-3</v>
      </c>
      <c r="JM40" s="102">
        <v>1</v>
      </c>
      <c r="JN40" s="189">
        <f t="shared" si="214"/>
        <v>2.0831365946811899E-3</v>
      </c>
      <c r="JO40" s="262">
        <f>JN40*各项系数!$E$39</f>
        <v>4.1662731893623794E-2</v>
      </c>
      <c r="JP40" s="282">
        <f>IF($DF40&lt;&gt;$JP$9,0,各项系数!$F$76/4*($NE40^2-$NC40^2)*10^-2*各项系数!$F$36*10^-3*10^2)*各项系数!$J$4</f>
        <v>0</v>
      </c>
      <c r="JQ40" s="102">
        <v>1</v>
      </c>
      <c r="JR40" s="189">
        <f t="shared" si="215"/>
        <v>0</v>
      </c>
      <c r="JS40" s="262">
        <f>JR40*各项系数!$E$36</f>
        <v>0</v>
      </c>
      <c r="JT40" s="282">
        <f>IF($DF40&lt;&gt;$JT$9,0,各项系数!$F$76/4*($NE40^2-$NC40^2)*10^-2*各项系数!$F$40*10^-3*10^2)*各项系数!$J$4</f>
        <v>0</v>
      </c>
      <c r="JU40" s="102">
        <v>1</v>
      </c>
      <c r="JV40" s="189">
        <f t="shared" si="216"/>
        <v>0</v>
      </c>
      <c r="JW40" s="262">
        <f>JV40*各项系数!$E$40</f>
        <v>0</v>
      </c>
      <c r="JX40" s="282">
        <f>IF($DF40&lt;&gt;$JX$9,0,各项系数!$F$76/4*($NE40^2-$NC40^2)*10^-2*各项系数!$F$38*10^-3*10^2)*各项系数!$J$4</f>
        <v>0</v>
      </c>
      <c r="JY40" s="102">
        <v>1</v>
      </c>
      <c r="JZ40" s="189">
        <f t="shared" si="217"/>
        <v>0</v>
      </c>
      <c r="KA40" s="262">
        <f>JZ40*各项系数!$E$38</f>
        <v>0</v>
      </c>
      <c r="KB40" s="282">
        <f>IF($DF40&lt;&gt;$KB$9,0,各项系数!$F$76/4*($NE40^2-$NC40^2)*10^-2*各项系数!$F$41*10^-3*10^2)*各项系数!$J$4</f>
        <v>0</v>
      </c>
      <c r="KC40" s="102">
        <v>1</v>
      </c>
      <c r="KD40" s="189">
        <f t="shared" si="218"/>
        <v>0</v>
      </c>
      <c r="KE40" s="262">
        <f>KD40*各项系数!$E$41</f>
        <v>0</v>
      </c>
      <c r="KF40" s="189">
        <f t="shared" si="219"/>
        <v>2.0831365946811899E-3</v>
      </c>
      <c r="KG40" s="189">
        <f t="shared" si="220"/>
        <v>4.1662731893623794E-2</v>
      </c>
      <c r="KH40" s="235">
        <f>各项系数!$F$76/4*($NG40^2-$NE40^2)*10^-2*各项系数!$F$44*10^-3*10^2*各项系数!$J$4*0.75*$U40</f>
        <v>0.27244912505129182</v>
      </c>
      <c r="KI40" s="102">
        <v>1</v>
      </c>
      <c r="KJ40" s="189">
        <f t="shared" si="221"/>
        <v>0.27244912505129182</v>
      </c>
      <c r="KK40" s="189">
        <f>ROUND(KJ40*各项系数!$E$43,GT40)</f>
        <v>2</v>
      </c>
      <c r="KL40" s="235">
        <f>各项系数!$F$76/4*($NF40^2-$NE40^2)*10^-2*各项系数!$F$46*10^-3*10^2*各项系数!$J$4*PI()/4*R40</f>
        <v>3.4289642945331607E-2</v>
      </c>
      <c r="KM40" s="102">
        <v>1</v>
      </c>
      <c r="KN40" s="189">
        <f t="shared" si="222"/>
        <v>3.4289642945331607E-2</v>
      </c>
      <c r="KO40" s="189">
        <f>KN40*各项系数!$E$46</f>
        <v>2.3145508988098835</v>
      </c>
      <c r="KP40" s="235">
        <f>各项系数!$F$76/4*($NH40^2-$NE40^2)*10^-2*(VLOOKUP($KP$9,各项系数!$D$1:$F$143,3,0))*10^-3*10^2*各项系数!$J$4</f>
        <v>0.2143100796492457</v>
      </c>
      <c r="KQ40" s="102">
        <v>1</v>
      </c>
      <c r="KR40" s="189">
        <f t="shared" si="150"/>
        <v>0.2143100796492457</v>
      </c>
      <c r="KS40" s="189">
        <f>KR40*(VLOOKUP($KP$9,各项系数!$D$1:$F$143,2,0))</f>
        <v>3.6432713540371768</v>
      </c>
      <c r="KT40" s="235">
        <f>各项系数!$F$76/4*($NI40^2-$NF40^2)*10^-2*(VLOOKUP($KT$9,各项系数!$D$1:$F$143,3,0))*10^-3*10^2*各项系数!$J$4</f>
        <v>0.21561544909592414</v>
      </c>
      <c r="KU40" s="102">
        <v>1</v>
      </c>
      <c r="KV40" s="189">
        <f t="shared" si="151"/>
        <v>0.21561544909592414</v>
      </c>
      <c r="KW40" s="189">
        <f>KV40*(VLOOKUP($KT$9,各项系数!$D$1:$F$143,2,0))</f>
        <v>3.6654626346307104</v>
      </c>
      <c r="KX40" s="189">
        <f>各项系数!$F$76/4*($NH40^2-$NE40^2)*10^-2*(VLOOKUP($KX$9,各项系数!$D$1:$F$143,3,0))*10^-3*10^2*各项系数!$J$4</f>
        <v>0.2143100796492457</v>
      </c>
      <c r="KY40" s="353">
        <v>1</v>
      </c>
      <c r="KZ40" s="189">
        <f t="shared" si="152"/>
        <v>0.2143100796492457</v>
      </c>
      <c r="LA40" s="189">
        <f>KZ40*(VLOOKUP($KX$9,各项系数!$D$1:$F$143,2,0))</f>
        <v>3.6432713540371768</v>
      </c>
      <c r="LB40" s="189">
        <f>各项系数!$F$76/4*($NI40^2-$NF40^2)*10^-2*(VLOOKUP($LB$9,各项系数!$D$1:$F$143,3,0))*10^-3*10^2*各项系数!$J$4</f>
        <v>0.21561544909592414</v>
      </c>
      <c r="LC40" s="353">
        <v>1</v>
      </c>
      <c r="LD40" s="189">
        <f t="shared" si="153"/>
        <v>0.21561544909592414</v>
      </c>
      <c r="LE40" s="189">
        <f>LD40*(VLOOKUP($LB$9,各项系数!$D$1:$F$143,2,0))</f>
        <v>3.6654626346307104</v>
      </c>
      <c r="LF40" s="235">
        <f>各项系数!$F$76/4*($NH40^2-$NE40^2)*10^-2*(VLOOKUP(AN40,各项系数!$D$1:$F$143,3,0))*10^-3*10^2*各项系数!$J$4</f>
        <v>0.217266080747856</v>
      </c>
      <c r="LG40" s="102">
        <v>1</v>
      </c>
      <c r="LH40" s="189">
        <f t="shared" si="223"/>
        <v>0.217266080747856</v>
      </c>
      <c r="LI40" s="189">
        <f>LH40*(VLOOKUP(AN40,各项系数!$D$1:$F$143,2,0))</f>
        <v>2.1726608074785601</v>
      </c>
      <c r="LJ40" s="235">
        <f>各项系数!$F$76/4*($NI40^2-$NF40^2)*10^-2*(VLOOKUP(AN40,各项系数!$D$1:$F$143,3,0))*10^-3*10^2*各项系数!$J$4</f>
        <v>0.21858945529035073</v>
      </c>
      <c r="LK40" s="102">
        <v>1</v>
      </c>
      <c r="LL40" s="189">
        <f t="shared" si="224"/>
        <v>0.21858945529035073</v>
      </c>
      <c r="LM40" s="189">
        <f>LL40*(VLOOKUP(AN40,各项系数!$D$1:$F$143,2,0))</f>
        <v>2.1858945529035072</v>
      </c>
      <c r="LN40" s="189">
        <f>各项系数!$F$76/4*($NH40^2-$NE40^2)*10^-2*(VLOOKUP($LN$9,各项系数!$D$1:$F$143,3,0))*10^-3*10^2*各项系数!$J$4</f>
        <v>0.217266080747856</v>
      </c>
      <c r="LO40" s="353">
        <v>1</v>
      </c>
      <c r="LP40" s="189">
        <f t="shared" si="225"/>
        <v>0.217266080747856</v>
      </c>
      <c r="LQ40" s="189">
        <f>LP40*(VLOOKUP($LN$9,各项系数!$D$1:$F$143,2,0))</f>
        <v>2.389926888226416</v>
      </c>
      <c r="LR40" s="189">
        <f>各项系数!$F$76/4*($NI40^2-$NF40^2)*10^-2*(VLOOKUP($LR$9,各项系数!$D$1:$F$143,3,0))*10^-3*10^2*各项系数!$J$4</f>
        <v>0.21858945529035073</v>
      </c>
      <c r="LS40" s="353">
        <v>1</v>
      </c>
      <c r="LT40" s="189">
        <f t="shared" si="226"/>
        <v>0.21858945529035073</v>
      </c>
      <c r="LU40" s="189">
        <f>LT40*(VLOOKUP($LR$9,各项系数!$D$1:$F$143,2,0))</f>
        <v>2.4044840081938581</v>
      </c>
      <c r="LV40" s="227">
        <f t="shared" si="154"/>
        <v>143.04876071999999</v>
      </c>
      <c r="LW40" s="227">
        <f t="shared" si="155"/>
        <v>89.405475449999997</v>
      </c>
      <c r="LX40" s="227">
        <f t="shared" si="156"/>
        <v>10.669329260023273</v>
      </c>
      <c r="LY40" s="227">
        <f t="shared" si="157"/>
        <v>53.643285269999993</v>
      </c>
      <c r="LZ40" s="374">
        <f t="shared" si="86"/>
        <v>1</v>
      </c>
      <c r="MA40" s="375">
        <f t="shared" si="87"/>
        <v>143.04876071999999</v>
      </c>
      <c r="MB40" s="375">
        <f t="shared" si="158"/>
        <v>9.5429382</v>
      </c>
      <c r="MC40" s="227">
        <f t="shared" si="159"/>
        <v>0</v>
      </c>
      <c r="MD40" s="227">
        <f t="shared" si="160"/>
        <v>0</v>
      </c>
      <c r="ME40" s="227">
        <f t="shared" si="161"/>
        <v>0</v>
      </c>
      <c r="MF40" s="227">
        <f t="shared" si="162"/>
        <v>0</v>
      </c>
      <c r="MG40" s="374">
        <f t="shared" si="163"/>
        <v>1</v>
      </c>
      <c r="MH40" s="375">
        <f t="shared" si="88"/>
        <v>0</v>
      </c>
      <c r="MI40" s="375">
        <f t="shared" si="164"/>
        <v>0</v>
      </c>
      <c r="MJ40" s="189">
        <f t="shared" si="89"/>
        <v>9.5429382</v>
      </c>
      <c r="MK40" s="189">
        <f t="shared" si="165"/>
        <v>9.5429382</v>
      </c>
      <c r="ML40" s="189">
        <f t="shared" si="227"/>
        <v>0</v>
      </c>
      <c r="MM40" s="189">
        <f t="shared" si="91"/>
        <v>0</v>
      </c>
      <c r="MN40" s="189">
        <f t="shared" si="92"/>
        <v>11.5429382</v>
      </c>
      <c r="MO40" s="189">
        <f t="shared" si="166"/>
        <v>0</v>
      </c>
      <c r="MP40" s="189">
        <f t="shared" si="167"/>
        <v>23.0858764</v>
      </c>
      <c r="MQ40" s="189">
        <f t="shared" si="228"/>
        <v>23.0858764</v>
      </c>
      <c r="MR40" s="246">
        <f t="shared" si="168"/>
        <v>23.030982179999999</v>
      </c>
      <c r="MS40" s="380">
        <f t="shared" si="94"/>
        <v>23.206982179999997</v>
      </c>
      <c r="MT40" s="380">
        <f t="shared" si="95"/>
        <v>23.366982179999997</v>
      </c>
      <c r="MU40" s="380">
        <f t="shared" si="232"/>
        <v>23.806982179999999</v>
      </c>
      <c r="MV40" s="380">
        <f t="shared" si="97"/>
        <v>26.806982179999999</v>
      </c>
      <c r="MW40" s="380">
        <f t="shared" si="98"/>
        <v>26.966982179999999</v>
      </c>
      <c r="MX40" s="254">
        <f t="shared" si="233"/>
        <v>10.1429382</v>
      </c>
      <c r="MY40" s="254">
        <f t="shared" si="100"/>
        <v>0</v>
      </c>
      <c r="MZ40" s="189">
        <f t="shared" si="101"/>
        <v>12.1429382</v>
      </c>
      <c r="NA40" s="189">
        <f t="shared" si="102"/>
        <v>0</v>
      </c>
      <c r="NB40" s="189">
        <f t="shared" si="169"/>
        <v>24.285876399999999</v>
      </c>
      <c r="NC40" s="254">
        <f t="shared" si="229"/>
        <v>24.285876399999999</v>
      </c>
      <c r="ND40" s="246">
        <f t="shared" si="234"/>
        <v>24.22812879</v>
      </c>
      <c r="NE40" s="386">
        <f t="shared" si="235"/>
        <v>24.468128789999998</v>
      </c>
      <c r="NF40" s="380">
        <f t="shared" si="106"/>
        <v>24.628128789999998</v>
      </c>
      <c r="NG40" s="387">
        <f t="shared" si="236"/>
        <v>25.068128789999999</v>
      </c>
      <c r="NH40" s="254">
        <f t="shared" si="108"/>
        <v>28.068128789999999</v>
      </c>
      <c r="NI40" s="380">
        <f t="shared" si="109"/>
        <v>28.22812879</v>
      </c>
      <c r="NK40" s="388">
        <f t="shared" si="110"/>
        <v>1.0957102023236671</v>
      </c>
      <c r="NL40" s="388">
        <f t="shared" si="111"/>
        <v>55.271179723744098</v>
      </c>
      <c r="NM40" s="388">
        <f t="shared" si="112"/>
        <v>1.0957102023236671</v>
      </c>
      <c r="NN40" s="388">
        <f t="shared" si="113"/>
        <v>55.478014746254281</v>
      </c>
      <c r="NO40" s="388">
        <f t="shared" si="114"/>
        <v>1.1808238907982855</v>
      </c>
      <c r="NP40" s="388">
        <f t="shared" si="115"/>
        <v>56.127218328859463</v>
      </c>
      <c r="NQ40" s="388">
        <f t="shared" si="116"/>
        <v>1.1808238907982855</v>
      </c>
      <c r="NR40" s="388">
        <f t="shared" si="117"/>
        <v>56.344484409607318</v>
      </c>
      <c r="NS40" s="388">
        <f t="shared" si="118"/>
        <v>1.1282382337291312</v>
      </c>
      <c r="NT40" s="388">
        <f t="shared" si="119"/>
        <v>1.1282382337291312</v>
      </c>
      <c r="NU40" s="388">
        <f t="shared" si="120"/>
        <v>1.2151135337436172</v>
      </c>
      <c r="NV40" s="388">
        <f t="shared" si="121"/>
        <v>1.2151135337436172</v>
      </c>
      <c r="NW40">
        <f t="shared" si="122"/>
        <v>1.2680945537843251</v>
      </c>
      <c r="NX40">
        <f>各项系数!$M$9*NK40</f>
        <v>0.3287130606971001</v>
      </c>
      <c r="NY40">
        <f t="shared" si="123"/>
        <v>1.128238233729131</v>
      </c>
    </row>
    <row r="41" spans="1:398" ht="15" hidden="1" customHeight="1">
      <c r="A41" s="72">
        <v>3</v>
      </c>
      <c r="B41" s="70">
        <v>1</v>
      </c>
      <c r="C41" s="71"/>
      <c r="D41" s="53" t="s">
        <v>192</v>
      </c>
      <c r="E41" s="61">
        <f t="shared" si="240"/>
        <v>29.685226659999998</v>
      </c>
      <c r="F41" s="68">
        <f>$F$25</f>
        <v>242.29596858910099</v>
      </c>
      <c r="G41" s="58"/>
      <c r="H41" s="16"/>
      <c r="I41" s="62"/>
      <c r="J41" s="16"/>
      <c r="K41" s="16"/>
      <c r="L41" s="97" t="s">
        <v>467</v>
      </c>
      <c r="M41" s="103">
        <f t="shared" si="2"/>
        <v>1.1000000000000001</v>
      </c>
      <c r="N41" s="103">
        <f t="shared" si="3"/>
        <v>0</v>
      </c>
      <c r="O41" s="53">
        <f t="shared" si="251"/>
        <v>0.08</v>
      </c>
      <c r="P41" s="99">
        <v>0.1</v>
      </c>
      <c r="Q41" s="133">
        <f t="shared" si="248"/>
        <v>0.1</v>
      </c>
      <c r="R41" s="70">
        <v>0.8</v>
      </c>
      <c r="S41" s="142" t="str">
        <f>各项系数!$D$43</f>
        <v>钢带</v>
      </c>
      <c r="T41" s="53">
        <v>0.2</v>
      </c>
      <c r="U41" s="102">
        <v>2</v>
      </c>
      <c r="V41" s="140"/>
      <c r="W41" s="141">
        <v>1.9</v>
      </c>
      <c r="X41" s="135">
        <f t="shared" si="249"/>
        <v>0.2</v>
      </c>
      <c r="Y41" s="135"/>
      <c r="Z41" s="168"/>
      <c r="AA41" s="153">
        <f>$AA$25</f>
        <v>1.0129999999999999</v>
      </c>
      <c r="AB41" s="153">
        <f>PI()*EJ41*EJ41/4*EH41*(1-H41)*AA41*各项系数!$F$5*各项系数!$J$4*10^-7</f>
        <v>0.57842170409620475</v>
      </c>
      <c r="AC41" s="153">
        <f t="shared" si="241"/>
        <v>242.29596858910099</v>
      </c>
      <c r="AD41" s="153">
        <f t="shared" si="5"/>
        <v>65.39126499722515</v>
      </c>
      <c r="AE41" s="153">
        <f>POWER(4*EU41/PI()/EG41/10^-7/EH41/(1-H41)/各项系数!$F$5/各项系数!$J$4,0.5)</f>
        <v>243.86580688497418</v>
      </c>
      <c r="AF41" s="69">
        <v>1</v>
      </c>
      <c r="AG41" s="69">
        <f>IF(EM41=0,0,PI()*ER41*ER41/4*EP41*(1-K41)*(1+AF41)*各项系数!$F$5*各项系数!$J$4*10^-7)</f>
        <v>0</v>
      </c>
      <c r="AH41" s="69">
        <f t="shared" si="242"/>
        <v>0</v>
      </c>
      <c r="AI41" s="69">
        <f t="shared" si="128"/>
        <v>0</v>
      </c>
      <c r="AJ41" s="69">
        <f>IF(OR(EP41="",EP41=0),0,POWER(4*EW41/PI()/EO41/10^-7/EP41/(1-K41)/各项系数!$F$5/各项系数!$J$4,0.5))</f>
        <v>0</v>
      </c>
      <c r="AK41" s="69" t="str">
        <f t="shared" si="8"/>
        <v>√</v>
      </c>
      <c r="AL41" s="69">
        <f t="shared" si="243"/>
        <v>81.680328876695</v>
      </c>
      <c r="AM41" s="188">
        <f t="shared" si="244"/>
        <v>70</v>
      </c>
      <c r="AN41" s="97" t="s">
        <v>486</v>
      </c>
      <c r="AO41" s="196">
        <f>AP41+各项系数!$M$9*$NK41</f>
        <v>80.078753800681369</v>
      </c>
      <c r="AP41" s="196">
        <f>AQ41*(1+$BI41+(VLOOKUP($AM41,$A$12:$B$323,2,0))+各项系数!$J$6+各项系数!$M$5)*(1+$E$2)</f>
        <v>79.626134613455136</v>
      </c>
      <c r="AQ41" s="197">
        <f>AR41+各项系数!$L$9*$NK41</f>
        <v>81.251157768831774</v>
      </c>
      <c r="AR41" s="197">
        <f>AS41*(1+$BJ41+各项系数!$J$5+各项系数!$L$5)</f>
        <v>80.798538581605541</v>
      </c>
      <c r="AS41" s="197">
        <f t="shared" si="129"/>
        <v>79.214253511377976</v>
      </c>
      <c r="AT41" s="196">
        <f>AU41+各项系数!$M$9*$NM41</f>
        <v>81.72006081880842</v>
      </c>
      <c r="AU41" s="196">
        <f>AV41*(1+$BI41+(VLOOKUP($AM41,$A$12:$B$323,2,0))+各项系数!$J$6+各项系数!$M$5)*(1+$E$2)</f>
        <v>81.267441631582187</v>
      </c>
      <c r="AV41" s="197">
        <f>AW41+各项系数!$L$9*$NM41</f>
        <v>82.92596084855326</v>
      </c>
      <c r="AW41" s="197">
        <f>AX41*(1+$BJ41+各项系数!$J$5+各项系数!$L$5)</f>
        <v>82.473341661327026</v>
      </c>
      <c r="AX41" s="197">
        <f t="shared" si="130"/>
        <v>80.856217315026498</v>
      </c>
      <c r="AY41" s="196">
        <f>AZ41+各项系数!$M$9*$NS41</f>
        <v>82.561445478535703</v>
      </c>
      <c r="AZ41" s="196">
        <f>BA41*(1+$BI41+(VLOOKUP($AM41,$A$12:$B$214,2,0))+各项系数!$J$6+各项系数!$M$5)*(1+$E$2)</f>
        <v>82.097945563591495</v>
      </c>
      <c r="BA41" s="197">
        <f>BB41+各项系数!$L$9*$NS41</f>
        <v>83.773413840399485</v>
      </c>
      <c r="BB41" s="197">
        <f>BC41*(1+$BJ41+各项系数!$J$5+各项系数!$L$5)</f>
        <v>83.309913925455277</v>
      </c>
      <c r="BC41" s="199">
        <f t="shared" si="131"/>
        <v>81.676386201426737</v>
      </c>
      <c r="BD41" s="196">
        <f>BE41+各项系数!$M$9*$NS41</f>
        <v>84.212203890603632</v>
      </c>
      <c r="BE41" s="196">
        <f>BF41*(1+$BI41+(VLOOKUP($AM41,$A$12:$B$214,2,0))+各项系数!$J$6+各项系数!$M$5)*(1+$E$2)</f>
        <v>83.748703975659424</v>
      </c>
      <c r="BF41" s="197">
        <f>BG41+各项系数!$L$9*$NS41</f>
        <v>85.45786119965247</v>
      </c>
      <c r="BG41" s="197">
        <f>BH41*(1+$BJ41+各项系数!$J$5+各项系数!$L$5)</f>
        <v>84.994361284708262</v>
      </c>
      <c r="BH41" s="199">
        <f t="shared" si="132"/>
        <v>83.327805181086532</v>
      </c>
      <c r="BI41" s="213"/>
      <c r="BJ41" s="208"/>
      <c r="BK41" s="53" t="s">
        <v>514</v>
      </c>
      <c r="BL41" s="196">
        <f>BM41+各项系数!$M$9*$NM41</f>
        <v>81.09991533908304</v>
      </c>
      <c r="BM41" s="196">
        <f>BN41*(1+$CF41+(VLOOKUP($AM41,$A$12:$B$323,2,0))+各项系数!$J$6+各项系数!$M$5)*(1+$E$2)</f>
        <v>80.647296151856807</v>
      </c>
      <c r="BN41" s="197">
        <f>BO41+各项系数!$L$9*$NM41</f>
        <v>82.293159338629394</v>
      </c>
      <c r="BO41" s="197">
        <f>BP41*(1+$CG41+各项系数!$J$5+各项系数!$L$5)</f>
        <v>81.840540151403161</v>
      </c>
      <c r="BP41" s="197">
        <f t="shared" si="133"/>
        <v>79.456835098449673</v>
      </c>
      <c r="BQ41" s="196">
        <f>BR41+各项系数!$M$9*$NM41</f>
        <v>82.512451748495678</v>
      </c>
      <c r="BR41" s="196">
        <f>BS41*(1+$CF41+(VLOOKUP($AM41,$A$12:$B$323,2,0))+各项系数!$J$6+各项系数!$M$5)*(1+$E$2)</f>
        <v>82.059832561269445</v>
      </c>
      <c r="BS41" s="197">
        <f>BT41+各项系数!$L$9*$NM41</f>
        <v>83.734523021703524</v>
      </c>
      <c r="BT41" s="197">
        <f>BU41*(1+$CG41+各项系数!$J$5+各项系数!$L$5)</f>
        <v>83.281903834477291</v>
      </c>
      <c r="BU41" s="197">
        <f t="shared" si="134"/>
        <v>80.856217315026498</v>
      </c>
      <c r="BV41" s="196">
        <f>BW41+各项系数!$M$9*$NT41</f>
        <v>83.162014161913092</v>
      </c>
      <c r="BW41" s="196">
        <f>BX41*(1+$CF41+(VLOOKUP($AM41,$A$12:$B$214,2,0))+各项系数!$J$6+各项系数!$M$5)*(1+$E$2)</f>
        <v>82.698514246968884</v>
      </c>
      <c r="BX41" s="197">
        <f>BY41+各项系数!$L$9*$NT$12</f>
        <v>84.386239027519267</v>
      </c>
      <c r="BY41" s="197">
        <f>BZ41*(1+$CG41+各项系数!$J$5+各项系数!$L$5)</f>
        <v>84.377975624364296</v>
      </c>
      <c r="BZ41" s="199">
        <f t="shared" si="11"/>
        <v>81.920364683848831</v>
      </c>
      <c r="CA41" s="196">
        <f>CB41+各项系数!$M$9*$NT41</f>
        <v>84.582684599824816</v>
      </c>
      <c r="CB41" s="196">
        <f>CC41*(1+$CF41+(VLOOKUP($AM41,$A$12:$B$214,2,0))+各项系数!$J$6+各项系数!$M$5)*(1+$E$2)</f>
        <v>84.119184684880608</v>
      </c>
      <c r="CC41" s="197">
        <f>CD41+各项系数!$L$9*$NT$12</f>
        <v>85.835902739674097</v>
      </c>
      <c r="CD41" s="197">
        <f>CE41*(1+$CG41+各项系数!$J$5+各项系数!$L$5)</f>
        <v>85.827639336519127</v>
      </c>
      <c r="CE41" s="199">
        <f t="shared" si="135"/>
        <v>83.327805181086532</v>
      </c>
      <c r="CF41" s="213">
        <f t="shared" si="136"/>
        <v>0</v>
      </c>
      <c r="CG41" s="213">
        <f t="shared" si="12"/>
        <v>0.01</v>
      </c>
      <c r="CH41" s="102"/>
      <c r="CI41" s="196">
        <f>CJ41+各项系数!$M$9*$NO41</f>
        <v>81.543207791926775</v>
      </c>
      <c r="CJ41" s="196">
        <f>CK41*(1+$DC41+(VLOOKUP($AM41,$A$12:$B$323,2,0))+各项系数!$J$6+各项系数!$M$5)*(1+$E$2)+各项系数!$M$9*$NK41</f>
        <v>81.060712494247056</v>
      </c>
      <c r="CK41" s="197">
        <f>CL41+各项系数!$L$9*$NO41</f>
        <v>82.253156435735534</v>
      </c>
      <c r="CL41" s="197">
        <f>CM41*(1+$DD41+各项系数!$J$5+各项系数!$L$5)</f>
        <v>81.770661138055814</v>
      </c>
      <c r="CM41" s="197">
        <f t="shared" si="13"/>
        <v>80.167314841231189</v>
      </c>
      <c r="CN41" s="196">
        <f>CO41+各项系数!$M$9*$NO41</f>
        <v>83.074453237568747</v>
      </c>
      <c r="CO41" s="196">
        <f>CP41*(1+$DC41+(VLOOKUP($AM41,$A$12:$B$323,2,0))+各项系数!$J$6+各项系数!$M$5)*(1+$E$2)+各项系数!$M$9*$NK41</f>
        <v>82.591957939889028</v>
      </c>
      <c r="CP41" s="197">
        <f>CQ41+各项系数!$L$9*$NO41</f>
        <v>83.815651788431424</v>
      </c>
      <c r="CQ41" s="197">
        <f>CR41*(1+$DD41+各项系数!$J$5+各项系数!$L$5)</f>
        <v>83.333156490751705</v>
      </c>
      <c r="CR41" s="197">
        <f t="shared" si="14"/>
        <v>81.699173030148728</v>
      </c>
      <c r="CS41" s="196">
        <f>CT41+各项系数!$M$9*$NU41</f>
        <v>83.693187895239035</v>
      </c>
      <c r="CT41" s="196">
        <f t="shared" si="15"/>
        <v>83.199283386379378</v>
      </c>
      <c r="CU41" s="197">
        <f>CV41+各项系数!$L$9*$NU41</f>
        <v>84.897227945285081</v>
      </c>
      <c r="CV41" s="197">
        <f>CW41*(1+$DD41+各项系数!$J$5+各项系数!$L$5)</f>
        <v>84.403323436425424</v>
      </c>
      <c r="CW41" s="199">
        <f t="shared" si="16"/>
        <v>82.748356310220998</v>
      </c>
      <c r="CX41" s="196">
        <f>CY41+各项系数!$M$9*$NU41</f>
        <v>85.418443766233949</v>
      </c>
      <c r="CY41" s="196">
        <f t="shared" si="17"/>
        <v>84.924539257374292</v>
      </c>
      <c r="CZ41" s="197">
        <f>DA41+各项系数!$L$9*$NU41</f>
        <v>86.657693119769689</v>
      </c>
      <c r="DA41" s="197">
        <f>DB41*(1+$DD41+各项系数!$J$5+各项系数!$L$5)</f>
        <v>86.163788610910032</v>
      </c>
      <c r="DB41" s="199">
        <f t="shared" si="18"/>
        <v>84.47430255971571</v>
      </c>
      <c r="DC41" s="213">
        <f t="shared" si="137"/>
        <v>0</v>
      </c>
      <c r="DD41" s="213">
        <f t="shared" si="19"/>
        <v>0</v>
      </c>
      <c r="DE41" s="53" t="s">
        <v>498</v>
      </c>
      <c r="DF41" s="53" t="s">
        <v>513</v>
      </c>
      <c r="DG41" s="196">
        <f>DH41+各项系数!$M$9*$NQ41</f>
        <v>82.584823392111943</v>
      </c>
      <c r="DH41" s="196">
        <f>DI41*(1+$EA41+(VLOOKUP($AM41,$A$12:$B$323,2,0))+各项系数!$J$6+各项系数!$M$5)*(1+$E$2)+各项系数!$M$9*$NK41</f>
        <v>82.102328094432224</v>
      </c>
      <c r="DI41" s="197">
        <f>DJ41+各项系数!$L$9*$NQ41</f>
        <v>83.316029497148975</v>
      </c>
      <c r="DJ41" s="197">
        <f>DK41*(1+$EB41+各项系数!$J$5+各项系数!$L$5)</f>
        <v>82.833534199469256</v>
      </c>
      <c r="DK41" s="197">
        <f t="shared" si="20"/>
        <v>80.420906989775972</v>
      </c>
      <c r="DL41" s="196">
        <f>DM41+各项系数!$M$9*$NQ41</f>
        <v>84.061473566944997</v>
      </c>
      <c r="DM41" s="196">
        <f>DN41*(1+$EA41+(VLOOKUP($AM41,$A$12:$B$323,2,0))+各项系数!$J$6+各项系数!$M$5)*(1+$E$2)+各项系数!$M$9*$NK41</f>
        <v>83.578978269265278</v>
      </c>
      <c r="DN41" s="197">
        <f>DO41+各项系数!$L$9*$NQ41</f>
        <v>84.822815389835768</v>
      </c>
      <c r="DO41" s="197">
        <f>DP41*(1+$EB41+各项系数!$J$5+各项系数!$L$5)</f>
        <v>84.340320092156048</v>
      </c>
      <c r="DP41" s="197">
        <f t="shared" si="21"/>
        <v>81.883805914714614</v>
      </c>
      <c r="DQ41" s="196">
        <f>DR41+各项系数!$M$9*$NV41</f>
        <v>84.761507727987023</v>
      </c>
      <c r="DR41" s="196">
        <f t="shared" si="22"/>
        <v>84.267603219127366</v>
      </c>
      <c r="DS41" s="197">
        <f>DT41+各项系数!$L$9*$NV41</f>
        <v>85.98735022359935</v>
      </c>
      <c r="DT41" s="197">
        <f>DU41*(1+$EB41+各项系数!$J$5+各项系数!$L$5)</f>
        <v>85.493445714739693</v>
      </c>
      <c r="DU41" s="199">
        <f t="shared" si="23"/>
        <v>83.003345354116206</v>
      </c>
      <c r="DV41" s="196">
        <f>DW41+各项系数!$M$9*$NV41</f>
        <v>85.281671076178569</v>
      </c>
      <c r="DW41" s="196">
        <f t="shared" si="24"/>
        <v>84.787766567318911</v>
      </c>
      <c r="DX41" s="197">
        <f>DY41+各项系数!$L$9*$NV41</f>
        <v>86.518129150325422</v>
      </c>
      <c r="DY41" s="197">
        <f>DZ41*(1+$EB41+各项系数!$J$5+各项系数!$L$5)</f>
        <v>86.024224641465764</v>
      </c>
      <c r="DZ41" s="199">
        <f t="shared" si="25"/>
        <v>83.518664700452192</v>
      </c>
      <c r="EA41" s="213">
        <f t="shared" si="230"/>
        <v>0</v>
      </c>
      <c r="EB41" s="213">
        <f t="shared" si="27"/>
        <v>0.01</v>
      </c>
      <c r="EC41" s="235">
        <f t="shared" si="138"/>
        <v>2</v>
      </c>
      <c r="ED41" s="235" t="str">
        <f t="shared" si="180"/>
        <v>2*70</v>
      </c>
      <c r="EE41" s="189">
        <f t="shared" si="239"/>
        <v>70</v>
      </c>
      <c r="EF41" s="189" t="str">
        <f>LOOKUP(EH41,{1,7,10,14,19,24,30,37,48,61},{1,"1+6","2+8","4+10","1+6+12","2+8+14","4+10+16","1+6+12+18","3+9+15+21","1+6+12+18+24"})</f>
        <v>4+10</v>
      </c>
      <c r="EG41" s="188">
        <f t="shared" si="29"/>
        <v>2</v>
      </c>
      <c r="EH41" s="197">
        <f>VLOOKUP(EE41,各项系数!$B$87:$C$124,2,0)</f>
        <v>14</v>
      </c>
      <c r="EI41" s="188">
        <f>IF(EH41=0,0,VLOOKUP(EH41,各项系数!$D$142:$E$195,2,0))*1</f>
        <v>4.41</v>
      </c>
      <c r="EJ41" s="238">
        <f t="shared" si="141"/>
        <v>242.29596858910099</v>
      </c>
      <c r="EK41" s="189">
        <f t="shared" si="245"/>
        <v>0</v>
      </c>
      <c r="EL41" s="189">
        <f t="shared" si="31"/>
        <v>0</v>
      </c>
      <c r="EM41" s="189">
        <f t="shared" si="182"/>
        <v>0</v>
      </c>
      <c r="EN41" s="189">
        <f>IF(EP41=0,0,LOOKUP(EP41,{1,7,10,14,19,24,30,37,48,61},{1,"1+6","2+8","4+10","1+6+12","2+8+14","4+10+16","1+6+12+18","3+9+15+21","1+6+12+18+24"}))</f>
        <v>0</v>
      </c>
      <c r="EO41" s="189">
        <f t="shared" si="246"/>
        <v>0</v>
      </c>
      <c r="EP41" s="189">
        <f>IF(EM41=0,0,IF(EM41&lt;10,1,IF(AND(EM41&gt;=10,EM41&lt;=35),7,LOOKUP(EM41,{50,70,95,120,150,185,240,300},{10,14,19,24,30,37,48,61})*1)))</f>
        <v>0</v>
      </c>
      <c r="EQ41" s="189">
        <f>IF(EP41=0,0,VLOOKUP(EP41,各项系数!$D$142:$E$195,2,0))*1</f>
        <v>0</v>
      </c>
      <c r="ER41" s="189">
        <f t="shared" si="247"/>
        <v>0</v>
      </c>
      <c r="ES41" s="235">
        <f t="shared" si="250"/>
        <v>2</v>
      </c>
      <c r="ET41" s="189">
        <f>VLOOKUP(ES41,各项系数!$D$142:$E$195,2,0)*1</f>
        <v>2</v>
      </c>
      <c r="EU41" s="243">
        <f>((各项系数!$F$76/4*$EJ41^2*$EG41*$EH41*1*10^-7)*(1-$H41)*AA41)*(VLOOKUP($EY$9,各项系数!$D$4:$F$143,3,0))*各项系数!$J$4</f>
        <v>1.1568434081924097</v>
      </c>
      <c r="EV41" s="244">
        <f>EU41*(VLOOKUP($EY$9,各项系数!$D$4:$F$143,2,0))</f>
        <v>75.773243236602838</v>
      </c>
      <c r="EW41" s="252">
        <f>(IF($EO41=0,0,(各项系数!$F$76/4*$ER41^2*$EO41*$EP41*1*10^-7))*(1-$K41)*$AF41)*(VLOOKUP($EY$9,各项系数!$D$4:$F$143,3,0))*各项系数!$J$4</f>
        <v>0</v>
      </c>
      <c r="EX41" s="253">
        <f>EW41*(VLOOKUP($EY$9,各项系数!$D$4:$F$143,2,0))</f>
        <v>0</v>
      </c>
      <c r="EY41" s="189">
        <f>((各项系数!$F$76/4*$EJ41^2*$EG41*$EH41*1*10^-7)*(1-$H41)*AA41+IF($EO41=0,0,(各项系数!$F$76/4*$ER41^2*$EO41*$EP41*1*10^-7))*(1-$K41)*$AF41)*(VLOOKUP($EY$9,各项系数!$D$4:$F$143,3,0))*各项系数!$J$4</f>
        <v>1.1568434081924097</v>
      </c>
      <c r="EZ41" s="102">
        <v>1</v>
      </c>
      <c r="FA41" s="189">
        <f t="shared" si="188"/>
        <v>1.1568434081924097</v>
      </c>
      <c r="FB41" s="254">
        <f>FA41*(VLOOKUP($EY$9,各项系数!$D$4:$F$143,2,0))</f>
        <v>75.773243236602838</v>
      </c>
      <c r="FC41" s="255"/>
      <c r="FD41" s="235">
        <f>各项系数!$F$76/4*($MN41^2-MK41^2)*10^-2*(VLOOKUP(L41,各项系数!$D$1:$F$143,3,0))*10^-3*10^2*$EG41*各项系数!$J$4</f>
        <v>8.915120163195886E-2</v>
      </c>
      <c r="FE41" s="262">
        <f>FD41*VLOOKUP(L41,各项系数!$D$1:$F$143,2,0)</f>
        <v>0.90934225664598034</v>
      </c>
      <c r="FF41" s="188">
        <f>各项系数!$F$76/4*($MO41^2-ML41^2)*10^-2*(VLOOKUP(L41,各项系数!$D$1:$F$143,3,0))*10^-3*10^2*$EO41*各项系数!$J$4</f>
        <v>0</v>
      </c>
      <c r="FG41" s="262">
        <f>FF41*VLOOKUP(L41,各项系数!$D$1:$F$143,2,0)</f>
        <v>0</v>
      </c>
      <c r="FH41" s="235">
        <f t="shared" si="142"/>
        <v>8.915120163195886E-2</v>
      </c>
      <c r="FI41" s="102">
        <v>1</v>
      </c>
      <c r="FJ41" s="189">
        <f t="shared" si="189"/>
        <v>8.915120163195886E-2</v>
      </c>
      <c r="FK41" s="262">
        <f>FJ41*VLOOKUP(L41,各项系数!$D$1:$F$143,2,0)</f>
        <v>0.90934225664598034</v>
      </c>
      <c r="FL41" s="235"/>
      <c r="FM41" s="102"/>
      <c r="FN41" s="189"/>
      <c r="FO41" s="262"/>
      <c r="FP41" s="282">
        <f t="shared" si="190"/>
        <v>8.915120163195886E-2</v>
      </c>
      <c r="FQ41" s="282">
        <f t="shared" si="191"/>
        <v>0.90934225664598034</v>
      </c>
      <c r="FR41" s="283">
        <f>各项系数!$F$76/4*($MQ41^2-$MN41^2*$EG41-$MO41^2*$EO41)*10^-2</f>
        <v>2.607988822170217</v>
      </c>
      <c r="FS41" s="284">
        <f t="shared" si="143"/>
        <v>0.05</v>
      </c>
      <c r="FT41" s="285">
        <f t="shared" si="40"/>
        <v>0.13039944110851084</v>
      </c>
      <c r="FU41" s="302">
        <f>$FT41*(VLOOKUP($FT$9,各项系数!$D$1:$F$143,3,0))*10^-3*10^2*各项系数!$J$55</f>
        <v>1.5569693268356196E-2</v>
      </c>
      <c r="FV41" s="303">
        <v>1</v>
      </c>
      <c r="FW41" s="304">
        <f t="shared" si="192"/>
        <v>1.5569693268356196E-2</v>
      </c>
      <c r="FX41" s="285">
        <f>FW41*(VLOOKUP($FT$9,各项系数!$D$1:$F$143,2,0))</f>
        <v>4.6709079805068589E-2</v>
      </c>
      <c r="FY41" s="302">
        <f>IF($BK41&lt;&gt;$FY$9,0,各项系数!$F$76/4*($MS41^2-$MQ41^2)*10^-2*(VLOOKUP($FY$9,各项系数!$D$1:$F$143,3,0))*10^-3*10^2)*各项系数!$J$4</f>
        <v>0</v>
      </c>
      <c r="FZ41" s="303">
        <v>1</v>
      </c>
      <c r="GA41" s="304">
        <f t="shared" si="193"/>
        <v>0</v>
      </c>
      <c r="GB41" s="285">
        <f>GA41*(VLOOKUP($FY$9,各项系数!$D$1:$F$143,2,0))</f>
        <v>0</v>
      </c>
      <c r="GC41" s="302">
        <f>IF($BK41&lt;&gt;$GC$9,0,各项系数!$F$76/4*($MS41^2-$MQ41^2)*10^-2*(VLOOKUP($GC$9,各项系数!$D$1:$F$143,3,0))*10^-3*10^2)*各项系数!$J$4</f>
        <v>4.5847339230374621E-3</v>
      </c>
      <c r="GD41" s="303">
        <v>1</v>
      </c>
      <c r="GE41" s="304">
        <f t="shared" si="194"/>
        <v>4.5847339230374621E-3</v>
      </c>
      <c r="GF41" s="285">
        <f>GE41*(VLOOKUP($GC$9,各项系数!$D$1:$F$143,2,0))</f>
        <v>5.9143067607183263E-2</v>
      </c>
      <c r="GG41" s="302">
        <f>IF($BK41&lt;&gt;$GG$9,0,各项系数!$F$76/4*($MS41^2-$MQ41^2)*10^-2*(VLOOKUP($GG$9,各项系数!$D$1:$F$143,3,0))*10^-3*10^2)*各项系数!$J$4</f>
        <v>0</v>
      </c>
      <c r="GH41" s="303">
        <v>1</v>
      </c>
      <c r="GI41" s="304">
        <f t="shared" si="195"/>
        <v>0</v>
      </c>
      <c r="GJ41" s="285">
        <f>GI41*(VLOOKUP($GG$9,各项系数!$D$1:$F$143,2,0))</f>
        <v>0</v>
      </c>
      <c r="GK41" s="302">
        <f>IF($BK41&lt;&gt;$GK$9,0,各项系数!$F$76/4*($MS41^2-$MQ41^2)*10^-2*(VLOOKUP($GK$9,各项系数!$D$1:$F$143,3,0))*10^-3*10^2)*各项系数!$J$4</f>
        <v>0</v>
      </c>
      <c r="GL41" s="303">
        <v>1</v>
      </c>
      <c r="GM41" s="304">
        <f t="shared" si="196"/>
        <v>0</v>
      </c>
      <c r="GN41" s="285">
        <f>GM41*(VLOOKUP($GK$9,各项系数!$D$1:$F$143,2,0))</f>
        <v>0</v>
      </c>
      <c r="GO41" s="304">
        <f t="shared" si="197"/>
        <v>4.5847339230374621E-3</v>
      </c>
      <c r="GP41" s="304">
        <f t="shared" si="198"/>
        <v>5.9143067607183263E-2</v>
      </c>
      <c r="GQ41" s="315">
        <f>各项系数!$F$76/4*($MU41^2-$MS41^2)*10^-2*(VLOOKUP($S41,各项系数!$D$1:$F$143,3,0))*10^-3*10^2*各项系数!$J$4</f>
        <v>0.19202478995687253</v>
      </c>
      <c r="GR41" s="303">
        <v>1</v>
      </c>
      <c r="GS41" s="304">
        <f t="shared" si="199"/>
        <v>0.19202478995687253</v>
      </c>
      <c r="GT41" s="304">
        <f t="shared" si="200"/>
        <v>0</v>
      </c>
      <c r="GU41" s="304">
        <f>ROUND($GS41*(VLOOKUP($S41,各项系数!$D$1:$F$143,2,0))+$E$3*GS41,GT41)</f>
        <v>1</v>
      </c>
      <c r="GV41" s="315">
        <f>各项系数!$F$76/4*($MT41^2-$MS41^2)*10^-2*(VLOOKUP($GV$9,各项系数!$D$1:$F$143,3,0))*10^-3*10^2*各项系数!$J$4*PI()/4*R41</f>
        <v>3.6269092393254009E-2</v>
      </c>
      <c r="GW41" s="303">
        <v>1</v>
      </c>
      <c r="GX41" s="304">
        <f t="shared" si="201"/>
        <v>3.6269092393254009E-2</v>
      </c>
      <c r="GY41" s="304">
        <f>$GX41*(VLOOKUP($GV$9,各项系数!$D$1:$F$143,2,0))</f>
        <v>2.4481637365446454</v>
      </c>
      <c r="GZ41" s="315">
        <f>各项系数!$F$76/4*($MV41^2-$MS41^2)*10^-2*(VLOOKUP($GZ$9,各项系数!$D$1:$F$143,3,0))*10^-3*10^2*各项系数!$J$4</f>
        <v>0.23928115731561303</v>
      </c>
      <c r="HA41" s="303">
        <v>1</v>
      </c>
      <c r="HB41" s="304">
        <f t="shared" si="144"/>
        <v>0.23928115731561303</v>
      </c>
      <c r="HC41" s="304">
        <f>HB41*(VLOOKUP($GZ$9,各项系数!$D$1:$F$143,2,0))</f>
        <v>4.0677796743654211</v>
      </c>
      <c r="HD41" s="315">
        <f>各项系数!$F$76/4*($MW41^2-$MT41^2)*10^-2*(VLOOKUP($HD$9,各项系数!$D$1:$F$143,3,0))*10^-3*10^2*各项系数!$J$4</f>
        <v>0.24065904728710691</v>
      </c>
      <c r="HE41" s="303">
        <v>1</v>
      </c>
      <c r="HF41" s="304">
        <f t="shared" si="145"/>
        <v>0.24065904728710691</v>
      </c>
      <c r="HG41" s="304">
        <f>HF41*(VLOOKUP($HD$9,各项系数!$D$1:$F$143,2,0))</f>
        <v>4.0912038038808172</v>
      </c>
      <c r="HH41" s="315">
        <f>各项系数!$F$76/4*($MV41^2-$MS41^2)*10^-2*(VLOOKUP($HH$9,各项系数!$D$1:$F$143,3,0))*10^-3*10^2*各项系数!$J$4</f>
        <v>0.23928115731561303</v>
      </c>
      <c r="HI41" s="322">
        <v>1</v>
      </c>
      <c r="HJ41" s="304">
        <f t="shared" si="146"/>
        <v>0.23928115731561303</v>
      </c>
      <c r="HK41" s="304">
        <f>HJ41*(VLOOKUP($HH$9,各项系数!$D$1:$F$143,2,0))</f>
        <v>4.0677796743654211</v>
      </c>
      <c r="HL41" s="315">
        <f>各项系数!$F$76/4*($MW41^2-$MT41^2)*10^-2*(VLOOKUP($HL$9,各项系数!$D$1:$F$143,3,0))*10^-3*10^2*各项系数!$J$4</f>
        <v>0.24065904728710691</v>
      </c>
      <c r="HM41" s="322">
        <v>1</v>
      </c>
      <c r="HN41" s="304">
        <f t="shared" si="147"/>
        <v>0.24065904728710691</v>
      </c>
      <c r="HO41" s="304">
        <f>HN41*(VLOOKUP($HL$9,各项系数!$D$1:$F$143,2,0))</f>
        <v>4.0912038038808172</v>
      </c>
      <c r="HP41" s="315">
        <f>各项系数!$F$76/4*($MV41^2-$MS41^2)*10^-2*(VLOOKUP(AN41,各项系数!$D$1:$F$143,3,0))*10^-3*10^2*各项系数!$J$4</f>
        <v>0.24258158707169045</v>
      </c>
      <c r="HQ41" s="303">
        <v>1</v>
      </c>
      <c r="HR41" s="304">
        <f t="shared" si="202"/>
        <v>0.24258158707169045</v>
      </c>
      <c r="HS41" s="304">
        <f>HR41*(VLOOKUP(AN41,各项系数!$D$1:$F$143,2,0))</f>
        <v>2.4258158707169044</v>
      </c>
      <c r="HT41" s="315">
        <f>各项系数!$F$76/4*($MW41^2-$MT41^2)*10^-2*(VLOOKUP(AN41,各项系数!$D$1:$F$143,3,0))*10^-3*10^2*各项系数!$J$4</f>
        <v>0.24397848242210149</v>
      </c>
      <c r="HU41" s="303">
        <v>1</v>
      </c>
      <c r="HV41" s="304">
        <f t="shared" si="203"/>
        <v>0.24397848242210149</v>
      </c>
      <c r="HW41" s="304">
        <f>HV41*(VLOOKUP(AN41,各项系数!$D$1:$F$143,2,0))</f>
        <v>2.4397848242210149</v>
      </c>
      <c r="HX41" s="315">
        <f>各项系数!$F$76/4*($MV41^2-$MS41^2)*10^-2*(VLOOKUP($HX$9,各项系数!$D$1:$F$143,3,0))*10^-3*10^2*各项系数!$J$4</f>
        <v>0.24258158707169045</v>
      </c>
      <c r="HY41" s="322">
        <v>1</v>
      </c>
      <c r="HZ41" s="304">
        <f t="shared" si="204"/>
        <v>0.24258158707169045</v>
      </c>
      <c r="IA41" s="304">
        <f>HZ41*(VLOOKUP($HX$9,各项系数!$D$1:$F$143,2,0))</f>
        <v>2.6683974577885947</v>
      </c>
      <c r="IB41" s="315">
        <f>各项系数!$F$76/4*($MW41^2-$MT41^2)*10^-2*(VLOOKUP($IB$9,各项系数!$D$1:$F$143,3,0))*10^-3*10^2*各项系数!$J$4</f>
        <v>0.24397848242210149</v>
      </c>
      <c r="IC41" s="322">
        <v>1</v>
      </c>
      <c r="ID41" s="304">
        <f t="shared" si="205"/>
        <v>0.24397848242210149</v>
      </c>
      <c r="IE41" s="304">
        <f>ID41*(VLOOKUP($IB$9,各项系数!$D$1:$F$143,2,0))</f>
        <v>2.6837633066431166</v>
      </c>
      <c r="IF41" s="328"/>
      <c r="IG41" s="315">
        <f t="shared" si="148"/>
        <v>3.090476858857279E-2</v>
      </c>
      <c r="IH41" s="303">
        <v>1</v>
      </c>
      <c r="II41" s="304">
        <f t="shared" si="206"/>
        <v>3.090476858857279E-2</v>
      </c>
      <c r="IJ41" s="304">
        <f>II41*(VLOOKUP($IG$8,各项系数!$D$1:$F$143,2,0))</f>
        <v>0.77261921471431971</v>
      </c>
      <c r="IK41" s="315">
        <f>(各项系数!$F$76/4*($MX41^2-$MK41^2)*$EG41)*10^-2*(VLOOKUP($IG$8,各项系数!$D$1:$F$143,3,0))*10^-3*10^2*各项系数!$J$4</f>
        <v>3.090476858857279E-2</v>
      </c>
      <c r="IL41" s="303">
        <f>IK41*(VLOOKUP($IG$8,各项系数!$D$1:$F$143,2,0))</f>
        <v>0.77261921471431971</v>
      </c>
      <c r="IM41" s="304">
        <f>(各项系数!$F$76/4*(($MM41+3*$X41)^2-MM41^2)*$EO41)*10^-2*(VLOOKUP($IG$8,各项系数!$D$1:$F$143,3,0))*10^-3*10^2*各项系数!$J$4</f>
        <v>0</v>
      </c>
      <c r="IN41" s="303">
        <f>IM41*(VLOOKUP($IG$8,各项系数!$D$1:$F$143,2,0))</f>
        <v>0</v>
      </c>
      <c r="IO41" s="315">
        <f>各项系数!$F$76/4*($MZ41^2-$MX41^2)*10^-2*(VLOOKUP(L41,各项系数!$D$1:$F$143,3,0))*10^-3*10^2*$ES41*各项系数!$J$4</f>
        <v>9.368998620230623E-2</v>
      </c>
      <c r="IP41" s="303">
        <v>1</v>
      </c>
      <c r="IQ41" s="304">
        <f t="shared" si="207"/>
        <v>9.368998620230623E-2</v>
      </c>
      <c r="IR41" s="285">
        <f>IQ41*(VLOOKUP(L41,各项系数!$D$1:$F$143,2,0))</f>
        <v>0.95563785926352351</v>
      </c>
      <c r="IS41" s="315">
        <f>IF($L41&lt;&gt;$IS$9,0,各项系数!$F$76/4*($MZ41^2-$MX41^2)*10^-2*各项系数!$F$12*10^-3*10^2)*$ES41*各项系数!$J$4</f>
        <v>0</v>
      </c>
      <c r="IT41" s="303">
        <v>1</v>
      </c>
      <c r="IU41" s="304">
        <f t="shared" si="208"/>
        <v>0</v>
      </c>
      <c r="IV41" s="285">
        <f>IU41*各项系数!$E$12</f>
        <v>0</v>
      </c>
      <c r="IW41" s="302">
        <f t="shared" si="209"/>
        <v>9.368998620230623E-2</v>
      </c>
      <c r="IX41" s="302">
        <f t="shared" si="210"/>
        <v>0.95563785926352351</v>
      </c>
      <c r="IY41" s="339">
        <f>各项系数!$F$76/4*($NB41^2-$MZ41^2*$EG41-$NA41^2*$EO41)*10^-2</f>
        <v>2.8565249714191951</v>
      </c>
      <c r="IZ41" s="284">
        <f t="shared" si="231"/>
        <v>0.05</v>
      </c>
      <c r="JA41" s="285">
        <f t="shared" si="64"/>
        <v>0.14282624857095977</v>
      </c>
      <c r="JB41" s="282">
        <f>IF($DE41&lt;&gt;$JB$9,0,$JA41*各项系数!$F$32*10^-3*10^2)*各项系数!$J$4</f>
        <v>0</v>
      </c>
      <c r="JC41" s="102">
        <v>1</v>
      </c>
      <c r="JD41" s="189">
        <f t="shared" si="211"/>
        <v>0</v>
      </c>
      <c r="JE41" s="262">
        <f>JD41*各项系数!$E$32</f>
        <v>0</v>
      </c>
      <c r="JF41" s="282">
        <f>IF($DE41&lt;&gt;$JF$9,0,$JA41*VLOOKUP($JF$9,各项系数!$D$4:$F$540,2,0)*10^-3*10^2)*各项系数!$J$4</f>
        <v>7.1056058664052485E-2</v>
      </c>
      <c r="JG41" s="102">
        <v>1</v>
      </c>
      <c r="JH41" s="189">
        <f t="shared" si="66"/>
        <v>7.1056058664052485E-2</v>
      </c>
      <c r="JI41" s="262">
        <f>JH41*VLOOKUP($JF$9,各项系数!$D$4:$F$540,3,0)</f>
        <v>8.5267270396862979E-2</v>
      </c>
      <c r="JJ41" s="282">
        <f t="shared" si="212"/>
        <v>7.1056058664052485E-2</v>
      </c>
      <c r="JK41" s="189">
        <f t="shared" si="213"/>
        <v>8.5267270396862979E-2</v>
      </c>
      <c r="JL41" s="282">
        <f>IF($DF41&lt;&gt;$JL$9,0,各项系数!$F$76/4*($NE41^2-$NC41^2)*10^-2*各项系数!$F$39*10^-3*10^2)*各项系数!$J$4</f>
        <v>2.2312887402873723E-3</v>
      </c>
      <c r="JM41" s="102">
        <v>1</v>
      </c>
      <c r="JN41" s="189">
        <f t="shared" si="214"/>
        <v>2.2312887402873723E-3</v>
      </c>
      <c r="JO41" s="262">
        <f>JN41*各项系数!$E$39</f>
        <v>4.4625774805747448E-2</v>
      </c>
      <c r="JP41" s="282">
        <f>IF($DF41&lt;&gt;$JP$9,0,各项系数!$F$76/4*($NE41^2-$NC41^2)*10^-2*各项系数!$F$36*10^-3*10^2)*各项系数!$J$4</f>
        <v>0</v>
      </c>
      <c r="JQ41" s="102">
        <v>1</v>
      </c>
      <c r="JR41" s="189">
        <f t="shared" si="215"/>
        <v>0</v>
      </c>
      <c r="JS41" s="262">
        <f>JR41*各项系数!$E$36</f>
        <v>0</v>
      </c>
      <c r="JT41" s="282">
        <f>IF($DF41&lt;&gt;$JT$9,0,各项系数!$F$76/4*($NE41^2-$NC41^2)*10^-2*各项系数!$F$40*10^-3*10^2)*各项系数!$J$4</f>
        <v>0</v>
      </c>
      <c r="JU41" s="102">
        <v>1</v>
      </c>
      <c r="JV41" s="189">
        <f t="shared" si="216"/>
        <v>0</v>
      </c>
      <c r="JW41" s="262">
        <f>JV41*各项系数!$E$40</f>
        <v>0</v>
      </c>
      <c r="JX41" s="282">
        <f>IF($DF41&lt;&gt;$JX$9,0,各项系数!$F$76/4*($NE41^2-$NC41^2)*10^-2*各项系数!$F$38*10^-3*10^2)*各项系数!$J$4</f>
        <v>0</v>
      </c>
      <c r="JY41" s="102">
        <v>1</v>
      </c>
      <c r="JZ41" s="189">
        <f t="shared" si="217"/>
        <v>0</v>
      </c>
      <c r="KA41" s="262">
        <f>JZ41*各项系数!$E$38</f>
        <v>0</v>
      </c>
      <c r="KB41" s="282">
        <f>IF($DF41&lt;&gt;$KB$9,0,各项系数!$F$76/4*($NE41^2-$NC41^2)*10^-2*各项系数!$F$41*10^-3*10^2)*各项系数!$J$4</f>
        <v>0</v>
      </c>
      <c r="KC41" s="102">
        <v>1</v>
      </c>
      <c r="KD41" s="189">
        <f t="shared" si="218"/>
        <v>0</v>
      </c>
      <c r="KE41" s="262">
        <f>KD41*各项系数!$E$41</f>
        <v>0</v>
      </c>
      <c r="KF41" s="189">
        <f t="shared" si="219"/>
        <v>2.2312887402873723E-3</v>
      </c>
      <c r="KG41" s="189">
        <f t="shared" si="220"/>
        <v>4.4625774805747448E-2</v>
      </c>
      <c r="KH41" s="235">
        <f>各项系数!$F$76/4*($NG41^2-$NE41^2)*10^-2*各项系数!$F$44*10^-3*10^2*各项系数!$J$4*0.75*$U41</f>
        <v>0.30190978279561376</v>
      </c>
      <c r="KI41" s="102">
        <v>1</v>
      </c>
      <c r="KJ41" s="189">
        <f t="shared" si="221"/>
        <v>0.30190978279561376</v>
      </c>
      <c r="KK41" s="189">
        <f>ROUND(KJ41*各项系数!$E$43,GT41)</f>
        <v>2</v>
      </c>
      <c r="KL41" s="235">
        <f>各项系数!$F$76/4*($NF41^2-$NE41^2)*10^-2*各项系数!$F$46*10^-3*10^2*各项系数!$J$4*PI()/4*R41</f>
        <v>3.8030703933121565E-2</v>
      </c>
      <c r="KM41" s="102">
        <v>1</v>
      </c>
      <c r="KN41" s="189">
        <f t="shared" si="222"/>
        <v>3.8030703933121565E-2</v>
      </c>
      <c r="KO41" s="189">
        <f>KN41*各项系数!$E$46</f>
        <v>2.5670725154857057</v>
      </c>
      <c r="KP41" s="235">
        <f>各项系数!$F$76/4*($NH41^2-$NE41^2)*10^-2*(VLOOKUP($KP$9,各项系数!$D$1:$F$143,3,0))*10^-3*10^2*各项系数!$J$4</f>
        <v>0.25014191523125368</v>
      </c>
      <c r="KQ41" s="102">
        <v>1</v>
      </c>
      <c r="KR41" s="189">
        <f t="shared" si="150"/>
        <v>0.25014191523125368</v>
      </c>
      <c r="KS41" s="189">
        <f>KR41*(VLOOKUP($KP$9,各项系数!$D$1:$F$143,2,0))</f>
        <v>4.2524125589313124</v>
      </c>
      <c r="KT41" s="235">
        <f>各项系数!$F$76/4*($NI41^2-$NF41^2)*10^-2*(VLOOKUP($KT$9,各项系数!$D$1:$F$143,3,0))*10^-3*10^2*各项系数!$J$4</f>
        <v>0.25151980520274753</v>
      </c>
      <c r="KU41" s="102">
        <v>1</v>
      </c>
      <c r="KV41" s="189">
        <f t="shared" si="151"/>
        <v>0.25151980520274753</v>
      </c>
      <c r="KW41" s="189">
        <f>KV41*(VLOOKUP($KT$9,各项系数!$D$1:$F$143,2,0))</f>
        <v>4.2758366884467076</v>
      </c>
      <c r="KX41" s="189">
        <f>各项系数!$F$76/4*($NH41^2-$NE41^2)*10^-2*(VLOOKUP($KX$9,各项系数!$D$1:$F$143,3,0))*10^-3*10^2*各项系数!$J$4</f>
        <v>0.25014191523125368</v>
      </c>
      <c r="KY41" s="353">
        <v>1</v>
      </c>
      <c r="KZ41" s="189">
        <f t="shared" si="152"/>
        <v>0.25014191523125368</v>
      </c>
      <c r="LA41" s="189">
        <f>KZ41*(VLOOKUP($KX$9,各项系数!$D$1:$F$143,2,0))</f>
        <v>4.2524125589313124</v>
      </c>
      <c r="LB41" s="189">
        <f>各项系数!$F$76/4*($NI41^2-$NF41^2)*10^-2*(VLOOKUP($LB$9,各项系数!$D$1:$F$143,3,0))*10^-3*10^2*各项系数!$J$4</f>
        <v>0.25151980520274753</v>
      </c>
      <c r="LC41" s="353">
        <v>1</v>
      </c>
      <c r="LD41" s="189">
        <f t="shared" si="153"/>
        <v>0.25151980520274753</v>
      </c>
      <c r="LE41" s="189">
        <f>LD41*(VLOOKUP($LB$9,各项系数!$D$1:$F$143,2,0))</f>
        <v>4.2758366884467076</v>
      </c>
      <c r="LF41" s="235">
        <f>各项系数!$F$76/4*($NH41^2-$NE41^2)*10^-2*(VLOOKUP(AN41,各项系数!$D$1:$F$143,3,0))*10^-3*10^2*各项系数!$J$4</f>
        <v>0.25359214854478823</v>
      </c>
      <c r="LG41" s="102">
        <v>1</v>
      </c>
      <c r="LH41" s="189">
        <f t="shared" si="223"/>
        <v>0.25359214854478823</v>
      </c>
      <c r="LI41" s="189">
        <f>LH41*(VLOOKUP(AN41,各项系数!$D$1:$F$143,2,0))</f>
        <v>2.5359214854478824</v>
      </c>
      <c r="LJ41" s="235">
        <f>各项系数!$F$76/4*($NI41^2-$NF41^2)*10^-2*(VLOOKUP(AN41,各项系数!$D$1:$F$143,3,0))*10^-3*10^2*各项系数!$J$4</f>
        <v>0.25498904389519927</v>
      </c>
      <c r="LK41" s="102">
        <v>1</v>
      </c>
      <c r="LL41" s="189">
        <f t="shared" si="224"/>
        <v>0.25498904389519927</v>
      </c>
      <c r="LM41" s="189">
        <f>LL41*(VLOOKUP(AN41,各项系数!$D$1:$F$143,2,0))</f>
        <v>2.5498904389519925</v>
      </c>
      <c r="LN41" s="189">
        <f>各项系数!$F$76/4*($NH41^2-$NE41^2)*10^-2*(VLOOKUP($LN$9,各项系数!$D$1:$F$143,3,0))*10^-3*10^2*各项系数!$J$4</f>
        <v>0.25359214854478823</v>
      </c>
      <c r="LO41" s="353">
        <v>1</v>
      </c>
      <c r="LP41" s="189">
        <f t="shared" si="225"/>
        <v>0.25359214854478823</v>
      </c>
      <c r="LQ41" s="189">
        <f>LP41*(VLOOKUP($LN$9,各项系数!$D$1:$F$143,2,0))</f>
        <v>2.7895136339926707</v>
      </c>
      <c r="LR41" s="189">
        <f>各项系数!$F$76/4*($NI41^2-$NF41^2)*10^-2*(VLOOKUP($LR$9,各项系数!$D$1:$F$143,3,0))*10^-3*10^2*各项系数!$J$4</f>
        <v>0.25498904389519927</v>
      </c>
      <c r="LS41" s="353">
        <v>1</v>
      </c>
      <c r="LT41" s="189">
        <f t="shared" si="226"/>
        <v>0.25498904389519927</v>
      </c>
      <c r="LU41" s="189">
        <f>LT41*(VLOOKUP($LR$9,各项系数!$D$1:$F$143,2,0))</f>
        <v>2.8048794828471921</v>
      </c>
      <c r="LV41" s="227">
        <f t="shared" si="154"/>
        <v>179.34506619999999</v>
      </c>
      <c r="LW41" s="227">
        <f t="shared" si="155"/>
        <v>129.10417615</v>
      </c>
      <c r="LX41" s="227">
        <f t="shared" si="156"/>
        <v>12.821097553042573</v>
      </c>
      <c r="LY41" s="227">
        <f t="shared" si="157"/>
        <v>50.24089004999999</v>
      </c>
      <c r="LZ41" s="374">
        <f t="shared" si="86"/>
        <v>1</v>
      </c>
      <c r="MA41" s="375">
        <f t="shared" si="87"/>
        <v>179.34506619999999</v>
      </c>
      <c r="MB41" s="375">
        <f t="shared" si="158"/>
        <v>10.68525223</v>
      </c>
      <c r="MC41" s="227">
        <f t="shared" si="159"/>
        <v>0</v>
      </c>
      <c r="MD41" s="227">
        <f t="shared" si="160"/>
        <v>0</v>
      </c>
      <c r="ME41" s="227">
        <f t="shared" si="161"/>
        <v>0</v>
      </c>
      <c r="MF41" s="227">
        <f t="shared" si="162"/>
        <v>0</v>
      </c>
      <c r="MG41" s="374">
        <f t="shared" si="163"/>
        <v>1</v>
      </c>
      <c r="MH41" s="375">
        <f t="shared" si="88"/>
        <v>0</v>
      </c>
      <c r="MI41" s="375">
        <f t="shared" si="164"/>
        <v>0</v>
      </c>
      <c r="MJ41" s="189">
        <f t="shared" si="89"/>
        <v>10.68525223</v>
      </c>
      <c r="MK41" s="189">
        <f t="shared" si="165"/>
        <v>10.68525223</v>
      </c>
      <c r="ML41" s="189">
        <f t="shared" si="227"/>
        <v>0</v>
      </c>
      <c r="MM41" s="189">
        <f t="shared" si="91"/>
        <v>0</v>
      </c>
      <c r="MN41" s="189">
        <f t="shared" si="92"/>
        <v>12.885252229999999</v>
      </c>
      <c r="MO41" s="189">
        <f t="shared" si="166"/>
        <v>0</v>
      </c>
      <c r="MP41" s="189">
        <f t="shared" si="167"/>
        <v>25.770504460000002</v>
      </c>
      <c r="MQ41" s="189">
        <f t="shared" si="228"/>
        <v>25.770504460000002</v>
      </c>
      <c r="MR41" s="246">
        <f t="shared" si="168"/>
        <v>25.709226659999999</v>
      </c>
      <c r="MS41" s="380">
        <f t="shared" si="94"/>
        <v>25.885226659999997</v>
      </c>
      <c r="MT41" s="380">
        <f t="shared" si="95"/>
        <v>26.045226659999997</v>
      </c>
      <c r="MU41" s="380">
        <f t="shared" si="232"/>
        <v>26.485226659999999</v>
      </c>
      <c r="MV41" s="380">
        <f t="shared" si="97"/>
        <v>29.685226659999998</v>
      </c>
      <c r="MW41" s="380">
        <f t="shared" si="98"/>
        <v>29.845226659999998</v>
      </c>
      <c r="MX41" s="254">
        <f t="shared" si="233"/>
        <v>11.285252229999999</v>
      </c>
      <c r="MY41" s="254">
        <f t="shared" si="100"/>
        <v>0</v>
      </c>
      <c r="MZ41" s="189">
        <f t="shared" si="101"/>
        <v>13.48525223</v>
      </c>
      <c r="NA41" s="189">
        <f t="shared" si="102"/>
        <v>0</v>
      </c>
      <c r="NB41" s="189">
        <f t="shared" si="169"/>
        <v>26.970504460000001</v>
      </c>
      <c r="NC41" s="254">
        <f t="shared" si="229"/>
        <v>26.970504460000001</v>
      </c>
      <c r="ND41" s="246">
        <f t="shared" si="234"/>
        <v>26.90637327</v>
      </c>
      <c r="NE41" s="386">
        <f t="shared" si="235"/>
        <v>27.146373269999998</v>
      </c>
      <c r="NF41" s="380">
        <f t="shared" si="106"/>
        <v>27.306373269999998</v>
      </c>
      <c r="NG41" s="387">
        <f t="shared" si="236"/>
        <v>27.746373269999999</v>
      </c>
      <c r="NH41" s="254">
        <f t="shared" si="108"/>
        <v>30.946373269999999</v>
      </c>
      <c r="NI41" s="380">
        <f t="shared" si="109"/>
        <v>31.106373269999999</v>
      </c>
      <c r="NK41" s="388">
        <f t="shared" si="110"/>
        <v>1.5087306240874527</v>
      </c>
      <c r="NL41" s="388">
        <f t="shared" si="111"/>
        <v>79.214253511377976</v>
      </c>
      <c r="NM41" s="388">
        <f t="shared" si="112"/>
        <v>1.5087306240874527</v>
      </c>
      <c r="NN41" s="388">
        <f t="shared" si="113"/>
        <v>79.456835098449673</v>
      </c>
      <c r="NO41" s="388">
        <f t="shared" si="114"/>
        <v>1.6083176589324168</v>
      </c>
      <c r="NP41" s="388">
        <f t="shared" si="115"/>
        <v>80.167314841231175</v>
      </c>
      <c r="NQ41" s="388">
        <f t="shared" si="116"/>
        <v>1.6083176589324168</v>
      </c>
      <c r="NR41" s="388">
        <f t="shared" si="117"/>
        <v>80.420906989775972</v>
      </c>
      <c r="NS41" s="388">
        <f t="shared" si="118"/>
        <v>1.5449997164807068</v>
      </c>
      <c r="NT41" s="388">
        <f t="shared" si="119"/>
        <v>1.5449997164807068</v>
      </c>
      <c r="NU41" s="388">
        <f t="shared" si="120"/>
        <v>1.6463483628655384</v>
      </c>
      <c r="NV41" s="388">
        <f t="shared" si="121"/>
        <v>1.6463483628655384</v>
      </c>
      <c r="NW41">
        <f t="shared" si="122"/>
        <v>1.7007554140443253</v>
      </c>
      <c r="NX41">
        <f>各项系数!$M$9*NK41</f>
        <v>0.45261918722623579</v>
      </c>
      <c r="NY41">
        <f t="shared" si="123"/>
        <v>1.5449997164807068</v>
      </c>
    </row>
    <row r="42" spans="1:398" ht="15" hidden="1" customHeight="1">
      <c r="A42" s="74">
        <v>4</v>
      </c>
      <c r="B42" s="70">
        <v>1</v>
      </c>
      <c r="C42" s="67"/>
      <c r="D42" s="53" t="s">
        <v>202</v>
      </c>
      <c r="E42" s="61">
        <f t="shared" si="240"/>
        <v>33.016065560000001</v>
      </c>
      <c r="F42" s="68">
        <f>$F$26</f>
        <v>245.088056587712</v>
      </c>
      <c r="G42" s="58"/>
      <c r="H42" s="62"/>
      <c r="I42" s="62"/>
      <c r="J42" s="16"/>
      <c r="K42" s="62"/>
      <c r="L42" s="97" t="s">
        <v>467</v>
      </c>
      <c r="M42" s="103">
        <f t="shared" si="2"/>
        <v>1.1000000000000001</v>
      </c>
      <c r="N42" s="103">
        <f t="shared" si="3"/>
        <v>0</v>
      </c>
      <c r="O42" s="53">
        <f t="shared" si="251"/>
        <v>0.08</v>
      </c>
      <c r="P42" s="99">
        <v>0.1</v>
      </c>
      <c r="Q42" s="133">
        <f t="shared" si="248"/>
        <v>0.1</v>
      </c>
      <c r="R42" s="70">
        <v>0.8</v>
      </c>
      <c r="S42" s="142" t="str">
        <f>各项系数!$D$43</f>
        <v>钢带</v>
      </c>
      <c r="T42" s="53">
        <v>0.5</v>
      </c>
      <c r="U42" s="102">
        <v>2</v>
      </c>
      <c r="V42" s="140"/>
      <c r="W42" s="141">
        <v>2</v>
      </c>
      <c r="X42" s="135">
        <f t="shared" si="249"/>
        <v>0.2</v>
      </c>
      <c r="Y42" s="135"/>
      <c r="Z42" s="168"/>
      <c r="AA42" s="153">
        <f>$AA$26</f>
        <v>1.0129999999999999</v>
      </c>
      <c r="AB42" s="153">
        <f>PI()*EJ42*EJ42/4*EH42*(1-H42)*AA42*各项系数!$F$5*各项系数!$J$4*10^-7</f>
        <v>0.80319697770872212</v>
      </c>
      <c r="AC42" s="153">
        <f t="shared" si="241"/>
        <v>245.088056587712</v>
      </c>
      <c r="AD42" s="153">
        <f t="shared" si="5"/>
        <v>90.802378338116014</v>
      </c>
      <c r="AE42" s="153">
        <f>POWER(4*EU42/PI()/EG42/10^-7/EH42/(1-H42)/各项系数!$F$5/各项系数!$J$4,0.5)</f>
        <v>246.67598485301878</v>
      </c>
      <c r="AF42" s="69">
        <v>1</v>
      </c>
      <c r="AG42" s="69">
        <f>IF(EM42=0,0,PI()*ER42*ER42/4*EP42*(1-K42)*(1+AF42)*各项系数!$F$5*各项系数!$J$4*10^-7)</f>
        <v>0</v>
      </c>
      <c r="AH42" s="69">
        <f t="shared" si="242"/>
        <v>0</v>
      </c>
      <c r="AI42" s="69">
        <f t="shared" si="128"/>
        <v>0</v>
      </c>
      <c r="AJ42" s="69">
        <f>IF(OR(EP42="",EP42=0),0,POWER(4*EW42/PI()/EO42/10^-7/EP42/(1-K42)/各项系数!$F$5/各项系数!$J$4,0.5))</f>
        <v>0</v>
      </c>
      <c r="AK42" s="69" t="str">
        <f t="shared" si="8"/>
        <v>√</v>
      </c>
      <c r="AL42" s="69">
        <f t="shared" si="243"/>
        <v>112.58223248056518</v>
      </c>
      <c r="AM42" s="188">
        <f t="shared" si="244"/>
        <v>95</v>
      </c>
      <c r="AN42" s="97" t="s">
        <v>486</v>
      </c>
      <c r="AO42" s="196">
        <f>AP42+各项系数!$M$9*$NK42</f>
        <v>110.37473772604429</v>
      </c>
      <c r="AP42" s="196">
        <f>AQ42*(1+$BI42+(VLOOKUP($AM42,$A$12:$B$323,2,0))+各项系数!$J$6+各项系数!$M$5)*(1+$E$2)</f>
        <v>109.76968109365757</v>
      </c>
      <c r="AQ42" s="197">
        <f>AR42+各项系数!$L$9*$NK42</f>
        <v>112.00987866699752</v>
      </c>
      <c r="AR42" s="197">
        <f>AS42*(1+$BJ42+各项系数!$J$5+各项系数!$L$5)</f>
        <v>111.4048220346108</v>
      </c>
      <c r="AS42" s="197">
        <f t="shared" si="129"/>
        <v>109.22041375942236</v>
      </c>
      <c r="AT42" s="196">
        <f>AU42+各项系数!$M$9*$NM42</f>
        <v>112.30332360830582</v>
      </c>
      <c r="AU42" s="196">
        <f>AV42*(1+$BI42+(VLOOKUP($AM42,$A$12:$B$323,2,0))+各项系数!$J$6+各项系数!$M$5)*(1+$E$2)</f>
        <v>111.6982669759191</v>
      </c>
      <c r="AV42" s="197">
        <f>AW42+各项系数!$L$9*$NM42</f>
        <v>113.97782344481541</v>
      </c>
      <c r="AW42" s="197">
        <f>AX42*(1+$BJ42+各项系数!$J$5+各项系数!$L$5)</f>
        <v>113.37276681242869</v>
      </c>
      <c r="AX42" s="197">
        <f t="shared" si="130"/>
        <v>111.14977138473401</v>
      </c>
      <c r="AY42" s="196">
        <f>AZ42+各项系数!$M$9*$NS42</f>
        <v>113.15583900156807</v>
      </c>
      <c r="AZ42" s="196">
        <f>BA42*(1+$BI42+(VLOOKUP($AM42,$A$12:$B$214,2,0))+各项系数!$J$6+各项系数!$M$5)*(1+$E$2)</f>
        <v>112.53858966348429</v>
      </c>
      <c r="BA42" s="197">
        <f>BB42+各项系数!$L$9*$NS42</f>
        <v>114.83529557498397</v>
      </c>
      <c r="BB42" s="197">
        <f>BC42*(1+$BJ42+各项系数!$J$5+各项系数!$L$5)</f>
        <v>114.21804623690019</v>
      </c>
      <c r="BC42" s="199">
        <f t="shared" si="131"/>
        <v>111.97847670284332</v>
      </c>
      <c r="BD42" s="196">
        <f>BE42+各项系数!$M$9*$NS42</f>
        <v>115.09437371955683</v>
      </c>
      <c r="BE42" s="196">
        <f>BF42*(1+$BI42+(VLOOKUP($AM42,$A$12:$B$214,2,0))+各项系数!$J$6+各项系数!$M$5)*(1+$E$2)</f>
        <v>114.47712438147305</v>
      </c>
      <c r="BF42" s="197">
        <f>BG42+各项系数!$L$9*$NS42</f>
        <v>116.81339222599291</v>
      </c>
      <c r="BG42" s="197">
        <f>BH42*(1+$BJ42+各项系数!$J$5+各项系数!$L$5)</f>
        <v>116.19614288790913</v>
      </c>
      <c r="BH42" s="199">
        <f t="shared" si="132"/>
        <v>113.91778714500896</v>
      </c>
      <c r="BI42" s="213"/>
      <c r="BJ42" s="208"/>
      <c r="BK42" s="53" t="s">
        <v>514</v>
      </c>
      <c r="BL42" s="196">
        <f>BM42+各项系数!$M$9*$NM42</f>
        <v>111.73281793896447</v>
      </c>
      <c r="BM42" s="196">
        <f>BN42*(1+$CF42+(VLOOKUP($AM42,$A$12:$B$323,2,0))+各项系数!$J$6+各项系数!$M$5)*(1+$E$2)</f>
        <v>111.12776130657775</v>
      </c>
      <c r="BN42" s="197">
        <f>BO42+各项系数!$L$9*$NM42</f>
        <v>113.39567480263037</v>
      </c>
      <c r="BO42" s="197">
        <f>BP42*(1+$CG42+各项系数!$J$5+各项系数!$L$5)</f>
        <v>112.79061817024365</v>
      </c>
      <c r="BP42" s="197">
        <f t="shared" si="133"/>
        <v>109.50545453421714</v>
      </c>
      <c r="BQ42" s="196">
        <f>BR42+各项系数!$M$9*$NM42</f>
        <v>113.39259136787622</v>
      </c>
      <c r="BR42" s="196">
        <f>BS42*(1+$CF42+(VLOOKUP($AM42,$A$12:$B$323,2,0))+各项系数!$J$6+各项系数!$M$5)*(1+$E$2)</f>
        <v>112.7875347354895</v>
      </c>
      <c r="BS42" s="197">
        <f>BT42+各项系数!$L$9*$NM42</f>
        <v>115.08932115866276</v>
      </c>
      <c r="BT42" s="197">
        <f>BU42*(1+$CG42+各项系数!$J$5+各项系数!$L$5)</f>
        <v>114.48426452627604</v>
      </c>
      <c r="BU42" s="197">
        <f t="shared" si="134"/>
        <v>111.14977138473401</v>
      </c>
      <c r="BV42" s="196">
        <f>BW42+各项系数!$M$9*$NT42</f>
        <v>113.94562625317377</v>
      </c>
      <c r="BW42" s="196">
        <f>BX42*(1+$CF42+(VLOOKUP($AM42,$A$12:$B$214,2,0))+各项系数!$J$6+各项系数!$M$5)*(1+$E$2)</f>
        <v>113.32837691508999</v>
      </c>
      <c r="BX42" s="197">
        <f>BY42+各项系数!$L$9*$NT$12</f>
        <v>115.6412009337653</v>
      </c>
      <c r="BY42" s="197">
        <f>BZ42*(1+$CG42+各项系数!$J$5+各项系数!$L$5)</f>
        <v>115.63293753061033</v>
      </c>
      <c r="BZ42" s="199">
        <f t="shared" si="11"/>
        <v>112.26498789379644</v>
      </c>
      <c r="CA42" s="196">
        <f>CB42+各项系数!$M$9*$NT42</f>
        <v>115.6139618173477</v>
      </c>
      <c r="CB42" s="196">
        <f>CC42*(1+$CF42+(VLOOKUP($AM42,$A$12:$B$214,2,0))+各项系数!$J$6+各项系数!$M$5)*(1+$E$2)</f>
        <v>114.99671247926392</v>
      </c>
      <c r="CC42" s="197">
        <f>CD42+各项系数!$L$9*$NT$12</f>
        <v>117.3435841625142</v>
      </c>
      <c r="CD42" s="197">
        <f>CE42*(1+$CG42+各项系数!$J$5+各项系数!$L$5)</f>
        <v>117.33532075935923</v>
      </c>
      <c r="CE42" s="199">
        <f t="shared" si="135"/>
        <v>113.91778714500896</v>
      </c>
      <c r="CF42" s="213">
        <f t="shared" si="136"/>
        <v>0</v>
      </c>
      <c r="CG42" s="213">
        <f t="shared" si="12"/>
        <v>0.01</v>
      </c>
      <c r="CH42" s="102"/>
      <c r="CI42" s="196">
        <f>CJ42+各项系数!$M$9*$NO42</f>
        <v>112.12778773671322</v>
      </c>
      <c r="CJ42" s="196">
        <f>CK42*(1+$DC42+(VLOOKUP($AM42,$A$12:$B$323,2,0))+各项系数!$J$6+各项系数!$M$5)*(1+$E$2)+各项系数!$M$9*$NK42</f>
        <v>111.48733495656992</v>
      </c>
      <c r="CK42" s="197">
        <f>CL42+各项系数!$L$9*$NO42</f>
        <v>113.14518196345225</v>
      </c>
      <c r="CL42" s="197">
        <f>CM42*(1+$DD42+各项系数!$J$5+各项系数!$L$5)</f>
        <v>112.50472918330895</v>
      </c>
      <c r="CM42" s="197">
        <f t="shared" si="13"/>
        <v>110.29875410128328</v>
      </c>
      <c r="CN42" s="196">
        <f>CO42+各项系数!$M$9*$NO42</f>
        <v>113.94051933214834</v>
      </c>
      <c r="CO42" s="196">
        <f>CP42*(1+$DC42+(VLOOKUP($AM42,$A$12:$B$323,2,0))+各项系数!$J$6+各项系数!$M$5)*(1+$E$2)+各项系数!$M$9*$NK42</f>
        <v>113.30006655200505</v>
      </c>
      <c r="CP42" s="197">
        <f>CQ42+各项系数!$L$9*$NO42</f>
        <v>114.9949080812432</v>
      </c>
      <c r="CQ42" s="197">
        <f>CR42*(1+$DD42+各项系数!$J$5+各项系数!$L$5)</f>
        <v>114.3544553010999</v>
      </c>
      <c r="CR42" s="197">
        <f t="shared" si="14"/>
        <v>112.11221107950971</v>
      </c>
      <c r="CS42" s="196">
        <f>CT42+各项系数!$M$9*$NU42</f>
        <v>114.42373999253445</v>
      </c>
      <c r="CT42" s="196">
        <f t="shared" si="15"/>
        <v>113.77056602323213</v>
      </c>
      <c r="CU42" s="197">
        <f>CV42+各项系数!$L$9*$NU42</f>
        <v>116.09241430942055</v>
      </c>
      <c r="CV42" s="197">
        <f>CW42*(1+$DD42+各项系数!$J$5+各项系数!$L$5)</f>
        <v>115.43924034011823</v>
      </c>
      <c r="CW42" s="199">
        <f t="shared" si="16"/>
        <v>113.17572582364532</v>
      </c>
      <c r="CX42" s="196">
        <f>CY42+各项系数!$M$9*$NU42</f>
        <v>116.44069308834108</v>
      </c>
      <c r="CY42" s="196">
        <f t="shared" si="17"/>
        <v>115.78751911903876</v>
      </c>
      <c r="CZ42" s="197">
        <f>DA42+各项系数!$L$9*$NU42</f>
        <v>118.15052971330486</v>
      </c>
      <c r="DA42" s="197">
        <f>DB42*(1+$DD42+各项系数!$J$5+各项系数!$L$5)</f>
        <v>117.49735574400255</v>
      </c>
      <c r="DB42" s="199">
        <f t="shared" si="18"/>
        <v>115.1934860235319</v>
      </c>
      <c r="DC42" s="213">
        <f t="shared" si="137"/>
        <v>0</v>
      </c>
      <c r="DD42" s="213">
        <f t="shared" si="19"/>
        <v>0</v>
      </c>
      <c r="DE42" s="53" t="s">
        <v>498</v>
      </c>
      <c r="DF42" s="53" t="s">
        <v>513</v>
      </c>
      <c r="DG42" s="196">
        <f>DH42+各项系数!$M$9*$NQ42</f>
        <v>113.50813469630043</v>
      </c>
      <c r="DH42" s="196">
        <f>DI42*(1+$EA42+(VLOOKUP($AM42,$A$12:$B$323,2,0))+各项系数!$J$6+各项系数!$M$5)*(1+$E$2)+各项系数!$M$9*$NK42</f>
        <v>112.86768191615714</v>
      </c>
      <c r="DI42" s="197">
        <f>DJ42+各项系数!$L$9*$NQ42</f>
        <v>114.5536992691535</v>
      </c>
      <c r="DJ42" s="197">
        <f>DK42*(1+$EB42+各项系数!$J$5+各项系数!$L$5)</f>
        <v>113.91324648901021</v>
      </c>
      <c r="DK42" s="197">
        <f t="shared" si="20"/>
        <v>110.5953849407866</v>
      </c>
      <c r="DL42" s="196">
        <f>DM42+各项系数!$M$9*$NQ42</f>
        <v>115.2353962993389</v>
      </c>
      <c r="DM42" s="196">
        <f>DN42*(1+$EA42+(VLOOKUP($AM42,$A$12:$B$323,2,0))+各项系数!$J$6+各项系数!$M$5)*(1+$E$2)+各项系数!$M$9*$NK42</f>
        <v>114.59494351919561</v>
      </c>
      <c r="DN42" s="197">
        <f>DO42+各项系数!$L$9*$NQ42</f>
        <v>116.31621110898867</v>
      </c>
      <c r="DO42" s="197">
        <f>DP42*(1+$EB42+各项系数!$J$5+各项系数!$L$5)</f>
        <v>115.67575832884538</v>
      </c>
      <c r="DP42" s="197">
        <f t="shared" si="21"/>
        <v>112.30656148431589</v>
      </c>
      <c r="DQ42" s="196">
        <f>DR42+各项系数!$M$9*$NV42</f>
        <v>115.83376551307103</v>
      </c>
      <c r="DR42" s="196">
        <f t="shared" si="22"/>
        <v>115.18059154376871</v>
      </c>
      <c r="DS42" s="197">
        <f>DT42+各项系数!$L$9*$NV42</f>
        <v>117.53121586098848</v>
      </c>
      <c r="DT42" s="197">
        <f>DU42*(1+$EB42+各项系数!$J$5+各项系数!$L$5)</f>
        <v>116.87804189168617</v>
      </c>
      <c r="DU42" s="199">
        <f t="shared" si="23"/>
        <v>113.47382707930696</v>
      </c>
      <c r="DV42" s="196">
        <f>DW42+各项系数!$M$9*$NV42</f>
        <v>116.4827556721945</v>
      </c>
      <c r="DW42" s="196">
        <f t="shared" si="24"/>
        <v>115.82958170289218</v>
      </c>
      <c r="DX42" s="197">
        <f>DY42+各项系数!$L$9*$NV42</f>
        <v>118.19345071723693</v>
      </c>
      <c r="DY42" s="197">
        <f>DZ42*(1+$EB42+各项系数!$J$5+各项系数!$L$5)</f>
        <v>117.54027674793461</v>
      </c>
      <c r="DZ42" s="199">
        <f t="shared" si="25"/>
        <v>114.11677354168408</v>
      </c>
      <c r="EA42" s="213">
        <f t="shared" si="230"/>
        <v>0</v>
      </c>
      <c r="EB42" s="213">
        <f t="shared" si="27"/>
        <v>0.01</v>
      </c>
      <c r="EC42" s="235">
        <f t="shared" si="138"/>
        <v>2</v>
      </c>
      <c r="ED42" s="235" t="str">
        <f t="shared" si="180"/>
        <v>2*95</v>
      </c>
      <c r="EE42" s="189">
        <f t="shared" si="239"/>
        <v>95</v>
      </c>
      <c r="EF42" s="189" t="str">
        <f>LOOKUP(EH42,{1,7,10,14,19,24,30,37,48,61},{1,"1+6","2+8","4+10","1+6+12","2+8+14","4+10+16","1+6+12+18","3+9+15+21","1+6+12+18+24"})</f>
        <v>1+6+12</v>
      </c>
      <c r="EG42" s="188">
        <f t="shared" si="29"/>
        <v>2</v>
      </c>
      <c r="EH42" s="197">
        <f>VLOOKUP(EE42,各项系数!$B$87:$C$124,2,0)</f>
        <v>19</v>
      </c>
      <c r="EI42" s="188">
        <f>IF(EH42=0,0,VLOOKUP(EH42,各项系数!$D$142:$E$195,2,0))*1</f>
        <v>5</v>
      </c>
      <c r="EJ42" s="238">
        <f t="shared" si="141"/>
        <v>245.088056587712</v>
      </c>
      <c r="EK42" s="189">
        <f t="shared" si="245"/>
        <v>0</v>
      </c>
      <c r="EL42" s="189">
        <f t="shared" si="31"/>
        <v>0</v>
      </c>
      <c r="EM42" s="189">
        <f t="shared" si="182"/>
        <v>0</v>
      </c>
      <c r="EN42" s="189">
        <f>IF(EP42=0,0,LOOKUP(EP42,{1,7,10,14,19,24,30,37,48,61},{1,"1+6","2+8","4+10","1+6+12","2+8+14","4+10+16","1+6+12+18","3+9+15+21","1+6+12+18+24"}))</f>
        <v>0</v>
      </c>
      <c r="EO42" s="189">
        <f t="shared" si="246"/>
        <v>0</v>
      </c>
      <c r="EP42" s="189">
        <f>IF(EM42=0,0,IF(EM42&lt;10,1,IF(AND(EM42&gt;=10,EM42&lt;=35),7,LOOKUP(EM42,{50,70,95,120,150,185,240,300},{10,14,19,24,30,37,48,61})*1)))</f>
        <v>0</v>
      </c>
      <c r="EQ42" s="189">
        <f>IF(EP42=0,0,VLOOKUP(EP42,各项系数!$D$142:$E$195,2,0))*1</f>
        <v>0</v>
      </c>
      <c r="ER42" s="189">
        <f t="shared" si="247"/>
        <v>0</v>
      </c>
      <c r="ES42" s="235">
        <f t="shared" si="250"/>
        <v>2</v>
      </c>
      <c r="ET42" s="189">
        <f>VLOOKUP(ES42,各项系数!$D$142:$E$195,2,0)*1</f>
        <v>2</v>
      </c>
      <c r="EU42" s="243">
        <f>((各项系数!$F$76/4*$EJ42^2*$EG42*$EH42*1*10^-7)*(1-$H42)*AA42)*(VLOOKUP($EY$9,各项系数!$D$4:$F$143,3,0))*各项系数!$J$4</f>
        <v>1.606393955417444</v>
      </c>
      <c r="EV42" s="244">
        <f>EU42*(VLOOKUP($EY$9,各项系数!$D$4:$F$143,2,0))</f>
        <v>105.21880407984258</v>
      </c>
      <c r="EW42" s="252">
        <f>(IF($EO42=0,0,(各项系数!$F$76/4*$ER42^2*$EO42*$EP42*1*10^-7))*(1-$K42)*$AF42)*(VLOOKUP($EY$9,各项系数!$D$4:$F$143,3,0))*各项系数!$J$4</f>
        <v>0</v>
      </c>
      <c r="EX42" s="253">
        <f>EW42*(VLOOKUP($EY$9,各项系数!$D$4:$F$143,2,0))</f>
        <v>0</v>
      </c>
      <c r="EY42" s="189">
        <f>((各项系数!$F$76/4*$EJ42^2*$EG42*$EH42*1*10^-7)*(1-$H42)*AA42+IF($EO42=0,0,(各项系数!$F$76/4*$ER42^2*$EO42*$EP42*1*10^-7))*(1-$K42)*$AF42)*(VLOOKUP($EY$9,各项系数!$D$4:$F$143,3,0))*各项系数!$J$4</f>
        <v>1.606393955417444</v>
      </c>
      <c r="EZ42" s="102">
        <v>1</v>
      </c>
      <c r="FA42" s="189">
        <f t="shared" si="188"/>
        <v>1.606393955417444</v>
      </c>
      <c r="FB42" s="254">
        <f>FA42*(VLOOKUP($EY$9,各项系数!$D$4:$F$143,2,0))</f>
        <v>105.21880407984258</v>
      </c>
      <c r="FC42" s="255"/>
      <c r="FD42" s="235">
        <f>各项系数!$F$76/4*($MN42^2-MK42^2)*10^-2*(VLOOKUP(L42,各项系数!$D$1:$F$143,3,0))*10^-3*10^2*$EG42*各项系数!$J$4</f>
        <v>0.10102126266963711</v>
      </c>
      <c r="FE42" s="262">
        <f>FD42*VLOOKUP(L42,各项系数!$D$1:$F$143,2,0)</f>
        <v>1.0304168792302983</v>
      </c>
      <c r="FF42" s="188">
        <f>各项系数!$F$76/4*($MO42^2-ML42^2)*10^-2*(VLOOKUP(L42,各项系数!$D$1:$F$143,3,0))*10^-3*10^2*$EO42*各项系数!$J$4</f>
        <v>0</v>
      </c>
      <c r="FG42" s="262">
        <f>FF42*VLOOKUP(L42,各项系数!$D$1:$F$143,2,0)</f>
        <v>0</v>
      </c>
      <c r="FH42" s="235">
        <f t="shared" si="142"/>
        <v>0.10102126266963711</v>
      </c>
      <c r="FI42" s="102">
        <v>1</v>
      </c>
      <c r="FJ42" s="189">
        <f t="shared" si="189"/>
        <v>0.10102126266963711</v>
      </c>
      <c r="FK42" s="262">
        <f>FJ42*VLOOKUP(L42,各项系数!$D$1:$F$143,2,0)</f>
        <v>1.0304168792302983</v>
      </c>
      <c r="FL42" s="235"/>
      <c r="FM42" s="102"/>
      <c r="FN42" s="189"/>
      <c r="FO42" s="262"/>
      <c r="FP42" s="282">
        <f t="shared" si="190"/>
        <v>0.10102126266963711</v>
      </c>
      <c r="FQ42" s="282">
        <f t="shared" si="191"/>
        <v>1.0304168792302983</v>
      </c>
      <c r="FR42" s="283">
        <f>各项系数!$F$76/4*($MQ42^2-$MN42^2*$EG42-$MO42^2*$EO42)*10^-2</f>
        <v>3.2818610231517118</v>
      </c>
      <c r="FS42" s="284">
        <f t="shared" si="143"/>
        <v>0.05</v>
      </c>
      <c r="FT42" s="285">
        <f t="shared" si="40"/>
        <v>0.1640930511575856</v>
      </c>
      <c r="FU42" s="302">
        <f>$FT42*(VLOOKUP($FT$9,各项系数!$D$1:$F$143,3,0))*10^-3*10^2*各项系数!$J$55</f>
        <v>1.959271030821572E-2</v>
      </c>
      <c r="FV42" s="303">
        <v>1</v>
      </c>
      <c r="FW42" s="304">
        <f t="shared" si="192"/>
        <v>1.959271030821572E-2</v>
      </c>
      <c r="FX42" s="285">
        <f>FW42*(VLOOKUP($FT$9,各项系数!$D$1:$F$143,2,0))</f>
        <v>5.8778130924647162E-2</v>
      </c>
      <c r="FY42" s="302">
        <f>IF($BK42&lt;&gt;$FY$9,0,各项系数!$F$76/4*($MS42^2-$MQ42^2)*10^-2*(VLOOKUP($FY$9,各项系数!$D$1:$F$143,3,0))*10^-3*10^2)*各项系数!$J$4</f>
        <v>0</v>
      </c>
      <c r="FZ42" s="303">
        <v>1</v>
      </c>
      <c r="GA42" s="304">
        <f t="shared" si="193"/>
        <v>0</v>
      </c>
      <c r="GB42" s="285">
        <f>GA42*(VLOOKUP($FY$9,各项系数!$D$1:$F$143,2,0))</f>
        <v>0</v>
      </c>
      <c r="GC42" s="302">
        <f>IF($BK42&lt;&gt;$GC$9,0,各项系数!$F$76/4*($MS42^2-$MQ42^2)*10^-2*(VLOOKUP($GC$9,各项系数!$D$1:$F$143,3,0))*10^-3*10^2)*各项系数!$J$4</f>
        <v>4.8067380989880934E-3</v>
      </c>
      <c r="GD42" s="303">
        <v>1</v>
      </c>
      <c r="GE42" s="304">
        <f t="shared" si="194"/>
        <v>4.8067380989880934E-3</v>
      </c>
      <c r="GF42" s="285">
        <f>GE42*(VLOOKUP($GC$9,各项系数!$D$1:$F$143,2,0))</f>
        <v>6.2006921476946406E-2</v>
      </c>
      <c r="GG42" s="302">
        <f>IF($BK42&lt;&gt;$GG$9,0,各项系数!$F$76/4*($MS42^2-$MQ42^2)*10^-2*(VLOOKUP($GG$9,各项系数!$D$1:$F$143,3,0))*10^-3*10^2)*各项系数!$J$4</f>
        <v>0</v>
      </c>
      <c r="GH42" s="303">
        <v>1</v>
      </c>
      <c r="GI42" s="304">
        <f t="shared" si="195"/>
        <v>0</v>
      </c>
      <c r="GJ42" s="285">
        <f>GI42*(VLOOKUP($GG$9,各项系数!$D$1:$F$143,2,0))</f>
        <v>0</v>
      </c>
      <c r="GK42" s="302">
        <f>IF($BK42&lt;&gt;$GK$9,0,各项系数!$F$76/4*($MS42^2-$MQ42^2)*10^-2*(VLOOKUP($GK$9,各项系数!$D$1:$F$143,3,0))*10^-3*10^2)*各项系数!$J$4</f>
        <v>0</v>
      </c>
      <c r="GL42" s="303">
        <v>1</v>
      </c>
      <c r="GM42" s="304">
        <f t="shared" si="196"/>
        <v>0</v>
      </c>
      <c r="GN42" s="285">
        <f>GM42*(VLOOKUP($GK$9,各项系数!$D$1:$F$143,2,0))</f>
        <v>0</v>
      </c>
      <c r="GO42" s="304">
        <f t="shared" si="197"/>
        <v>4.8067380989880934E-3</v>
      </c>
      <c r="GP42" s="304">
        <f t="shared" si="198"/>
        <v>6.2006921476946406E-2</v>
      </c>
      <c r="GQ42" s="315">
        <f>各项系数!$F$76/4*($MU42^2-$MS42^2)*10^-2*(VLOOKUP($S42,各项系数!$D$1:$F$143,3,0))*10^-3*10^2*各项系数!$J$4</f>
        <v>0.54571061778633023</v>
      </c>
      <c r="GR42" s="303">
        <v>1</v>
      </c>
      <c r="GS42" s="304">
        <f t="shared" si="199"/>
        <v>0.54571061778633023</v>
      </c>
      <c r="GT42" s="304">
        <f t="shared" si="200"/>
        <v>0</v>
      </c>
      <c r="GU42" s="304">
        <f>ROUND($GS42*(VLOOKUP($S42,各项系数!$D$1:$F$143,2,0))+$E$3*GS42,GT42)</f>
        <v>3</v>
      </c>
      <c r="GV42" s="315">
        <f>各项系数!$F$76/4*($MT42^2-$MS42^2)*10^-2*(VLOOKUP($GV$9,各项系数!$D$1:$F$143,3,0))*10^-3*10^2*各项系数!$J$4*PI()/4*R42</f>
        <v>4.0642352323521529E-2</v>
      </c>
      <c r="GW42" s="303">
        <v>1</v>
      </c>
      <c r="GX42" s="304">
        <f t="shared" si="201"/>
        <v>4.0642352323521529E-2</v>
      </c>
      <c r="GY42" s="304">
        <f>$GX42*(VLOOKUP($GV$9,各项系数!$D$1:$F$143,2,0))</f>
        <v>2.7433587818377032</v>
      </c>
      <c r="GZ42" s="315">
        <f>各项系数!$F$76/4*($MV42^2-$MS42^2)*10^-2*(VLOOKUP($GZ$9,各项系数!$D$1:$F$143,3,0))*10^-3*10^2*各项系数!$J$4</f>
        <v>0.28116266901526582</v>
      </c>
      <c r="HA42" s="303">
        <v>1</v>
      </c>
      <c r="HB42" s="304">
        <f t="shared" si="144"/>
        <v>0.28116266901526582</v>
      </c>
      <c r="HC42" s="304">
        <f>HB42*(VLOOKUP($GZ$9,各项系数!$D$1:$F$143,2,0))</f>
        <v>4.7797653732595187</v>
      </c>
      <c r="HD42" s="315">
        <f>各项系数!$F$76/4*($MW42^2-$MT42^2)*10^-2*(VLOOKUP($HD$9,各项系数!$D$1:$F$143,3,0))*10^-3*10^2*各项系数!$J$4</f>
        <v>0.28261307951157477</v>
      </c>
      <c r="HE42" s="303">
        <v>1</v>
      </c>
      <c r="HF42" s="304">
        <f t="shared" si="145"/>
        <v>0.28261307951157477</v>
      </c>
      <c r="HG42" s="304">
        <f>HF42*(VLOOKUP($HD$9,各项系数!$D$1:$F$143,2,0))</f>
        <v>4.804422351696771</v>
      </c>
      <c r="HH42" s="315">
        <f>各项系数!$F$76/4*($MV42^2-$MS42^2)*10^-2*(VLOOKUP($HH$9,各项系数!$D$1:$F$143,3,0))*10^-3*10^2*各项系数!$J$4</f>
        <v>0.28116266901526582</v>
      </c>
      <c r="HI42" s="322">
        <v>1</v>
      </c>
      <c r="HJ42" s="304">
        <f t="shared" si="146"/>
        <v>0.28116266901526582</v>
      </c>
      <c r="HK42" s="304">
        <f>HJ42*(VLOOKUP($HH$9,各项系数!$D$1:$F$143,2,0))</f>
        <v>4.7797653732595187</v>
      </c>
      <c r="HL42" s="315">
        <f>各项系数!$F$76/4*($MW42^2-$MT42^2)*10^-2*(VLOOKUP($HL$9,各项系数!$D$1:$F$143,3,0))*10^-3*10^2*各项系数!$J$4</f>
        <v>0.28261307951157477</v>
      </c>
      <c r="HM42" s="322">
        <v>1</v>
      </c>
      <c r="HN42" s="304">
        <f t="shared" si="147"/>
        <v>0.28261307951157477</v>
      </c>
      <c r="HO42" s="304">
        <f>HN42*(VLOOKUP($HL$9,各项系数!$D$1:$F$143,2,0))</f>
        <v>4.804422351696771</v>
      </c>
      <c r="HP42" s="315">
        <f>各项系数!$F$76/4*($MV42^2-$MS42^2)*10^-2*(VLOOKUP(AN42,各项系数!$D$1:$F$143,3,0))*10^-3*10^2*各项系数!$J$4</f>
        <v>0.28504077479478673</v>
      </c>
      <c r="HQ42" s="303">
        <v>1</v>
      </c>
      <c r="HR42" s="304">
        <f t="shared" si="202"/>
        <v>0.28504077479478673</v>
      </c>
      <c r="HS42" s="304">
        <f>HR42*(VLOOKUP(AN42,各项系数!$D$1:$F$143,2,0))</f>
        <v>2.8504077479478673</v>
      </c>
      <c r="HT42" s="315">
        <f>各项系数!$F$76/4*($MW42^2-$MT42^2)*10^-2*(VLOOKUP(AN42,各项系数!$D$1:$F$143,3,0))*10^-3*10^2*各项系数!$J$4</f>
        <v>0.28651119095311378</v>
      </c>
      <c r="HU42" s="303">
        <v>1</v>
      </c>
      <c r="HV42" s="304">
        <f t="shared" si="203"/>
        <v>0.28651119095311378</v>
      </c>
      <c r="HW42" s="304">
        <f>HV42*(VLOOKUP(AN42,各项系数!$D$1:$F$143,2,0))</f>
        <v>2.8651119095311377</v>
      </c>
      <c r="HX42" s="315">
        <f>各项系数!$F$76/4*($MV42^2-$MS42^2)*10^-2*(VLOOKUP($HX$9,各项系数!$D$1:$F$143,3,0))*10^-3*10^2*各项系数!$J$4</f>
        <v>0.28504077479478673</v>
      </c>
      <c r="HY42" s="322">
        <v>1</v>
      </c>
      <c r="HZ42" s="304">
        <f t="shared" si="204"/>
        <v>0.28504077479478673</v>
      </c>
      <c r="IA42" s="304">
        <f>HZ42*(VLOOKUP($HX$9,各项系数!$D$1:$F$143,2,0))</f>
        <v>3.1354485227426538</v>
      </c>
      <c r="IB42" s="315">
        <f>各项系数!$F$76/4*($MW42^2-$MT42^2)*10^-2*(VLOOKUP($IB$9,各项系数!$D$1:$F$143,3,0))*10^-3*10^2*各项系数!$J$4</f>
        <v>0.28651119095311378</v>
      </c>
      <c r="IC42" s="322">
        <v>1</v>
      </c>
      <c r="ID42" s="304">
        <f t="shared" si="205"/>
        <v>0.28651119095311378</v>
      </c>
      <c r="IE42" s="304">
        <f>ID42*(VLOOKUP($IB$9,各项系数!$D$1:$F$143,2,0))</f>
        <v>3.1516231004842514</v>
      </c>
      <c r="IF42" s="328"/>
      <c r="IG42" s="315">
        <f t="shared" si="148"/>
        <v>3.5319254098453108E-2</v>
      </c>
      <c r="IH42" s="303">
        <v>1</v>
      </c>
      <c r="II42" s="304">
        <f t="shared" si="206"/>
        <v>3.5319254098453108E-2</v>
      </c>
      <c r="IJ42" s="304">
        <f>II42*(VLOOKUP($IG$8,各项系数!$D$1:$F$143,2,0))</f>
        <v>0.8829813524613277</v>
      </c>
      <c r="IK42" s="315">
        <f>(各项系数!$F$76/4*($MX42^2-$MK42^2)*$EG42)*10^-2*(VLOOKUP($IG$8,各项系数!$D$1:$F$143,3,0))*10^-3*10^2*各项系数!$J$4</f>
        <v>3.5319254098453108E-2</v>
      </c>
      <c r="IL42" s="303">
        <f>IK42*(VLOOKUP($IG$8,各项系数!$D$1:$F$143,2,0))</f>
        <v>0.8829813524613277</v>
      </c>
      <c r="IM42" s="304">
        <f>(各项系数!$F$76/4*(($MM42+3*$X42)^2-MM42^2)*$EO42)*10^-2*(VLOOKUP($IG$8,各项系数!$D$1:$F$143,3,0))*10^-3*10^2*各项系数!$J$4</f>
        <v>0</v>
      </c>
      <c r="IN42" s="303">
        <f>IM42*(VLOOKUP($IG$8,各项系数!$D$1:$F$143,2,0))</f>
        <v>0</v>
      </c>
      <c r="IO42" s="315">
        <f>各项系数!$F$76/4*($MZ42^2-$MX42^2)*10^-2*(VLOOKUP(L42,各项系数!$D$1:$F$143,3,0))*10^-3*10^2*$ES42*各项系数!$J$4</f>
        <v>0.10556004723998436</v>
      </c>
      <c r="IP42" s="303">
        <v>1</v>
      </c>
      <c r="IQ42" s="304">
        <f t="shared" si="207"/>
        <v>0.10556004723998436</v>
      </c>
      <c r="IR42" s="285">
        <f>IQ42*(VLOOKUP(L42,各项系数!$D$1:$F$143,2,0))</f>
        <v>1.0767124818478404</v>
      </c>
      <c r="IS42" s="315">
        <f>IF($L42&lt;&gt;$IS$9,0,各项系数!$F$76/4*($MZ42^2-$MX42^2)*10^-2*各项系数!$F$12*10^-3*10^2)*$ES42*各项系数!$J$4</f>
        <v>0</v>
      </c>
      <c r="IT42" s="303">
        <v>1</v>
      </c>
      <c r="IU42" s="304">
        <f t="shared" si="208"/>
        <v>0</v>
      </c>
      <c r="IV42" s="285">
        <f>IU42*各项系数!$E$12</f>
        <v>0</v>
      </c>
      <c r="IW42" s="302">
        <f t="shared" si="209"/>
        <v>0.10556004723998436</v>
      </c>
      <c r="IX42" s="302">
        <f t="shared" si="210"/>
        <v>1.0767124818478404</v>
      </c>
      <c r="IY42" s="339">
        <f>各项系数!$F$76/4*($NB42^2-$MZ42^2*$EG42-$NA42^2*$EO42)*10^-2</f>
        <v>3.5599749647617003</v>
      </c>
      <c r="IZ42" s="284">
        <f t="shared" si="231"/>
        <v>0.05</v>
      </c>
      <c r="JA42" s="285">
        <f t="shared" si="64"/>
        <v>0.17799874823808504</v>
      </c>
      <c r="JB42" s="282">
        <f>IF($DE42&lt;&gt;$JB$9,0,$JA42*各项系数!$F$32*10^-3*10^2)*各项系数!$J$4</f>
        <v>0</v>
      </c>
      <c r="JC42" s="102">
        <v>1</v>
      </c>
      <c r="JD42" s="189">
        <f t="shared" si="211"/>
        <v>0</v>
      </c>
      <c r="JE42" s="262">
        <f>JD42*各项系数!$E$32</f>
        <v>0</v>
      </c>
      <c r="JF42" s="282">
        <f>IF($DE42&lt;&gt;$JF$9,0,$JA42*VLOOKUP($JF$9,各项系数!$D$4:$F$540,2,0)*10^-3*10^2)*各项系数!$J$4</f>
        <v>8.8554377248447308E-2</v>
      </c>
      <c r="JG42" s="102">
        <v>1</v>
      </c>
      <c r="JH42" s="189">
        <f t="shared" si="66"/>
        <v>8.8554377248447308E-2</v>
      </c>
      <c r="JI42" s="262">
        <f>JH42*VLOOKUP($JF$9,各项系数!$D$4:$F$540,3,0)</f>
        <v>0.10626525269813676</v>
      </c>
      <c r="JJ42" s="282">
        <f t="shared" si="212"/>
        <v>8.8554377248447308E-2</v>
      </c>
      <c r="JK42" s="189">
        <f t="shared" si="213"/>
        <v>0.10626525269813676</v>
      </c>
      <c r="JL42" s="282">
        <f>IF($DF42&lt;&gt;$JL$9,0,各项系数!$F$76/4*($NE42^2-$NC42^2)*10^-2*各项系数!$F$39*10^-3*10^2)*各项系数!$J$4</f>
        <v>2.3841269700150417E-3</v>
      </c>
      <c r="JM42" s="102">
        <v>1</v>
      </c>
      <c r="JN42" s="189">
        <f t="shared" si="214"/>
        <v>2.3841269700150417E-3</v>
      </c>
      <c r="JO42" s="262">
        <f>JN42*各项系数!$E$39</f>
        <v>4.768253940030083E-2</v>
      </c>
      <c r="JP42" s="282">
        <f>IF($DF42&lt;&gt;$JP$9,0,各项系数!$F$76/4*($NE42^2-$NC42^2)*10^-2*各项系数!$F$36*10^-3*10^2)*各项系数!$J$4</f>
        <v>0</v>
      </c>
      <c r="JQ42" s="102">
        <v>1</v>
      </c>
      <c r="JR42" s="189">
        <f t="shared" si="215"/>
        <v>0</v>
      </c>
      <c r="JS42" s="262">
        <f>JR42*各项系数!$E$36</f>
        <v>0</v>
      </c>
      <c r="JT42" s="282">
        <f>IF($DF42&lt;&gt;$JT$9,0,各项系数!$F$76/4*($NE42^2-$NC42^2)*10^-2*各项系数!$F$40*10^-3*10^2)*各项系数!$J$4</f>
        <v>0</v>
      </c>
      <c r="JU42" s="102">
        <v>1</v>
      </c>
      <c r="JV42" s="189">
        <f t="shared" si="216"/>
        <v>0</v>
      </c>
      <c r="JW42" s="262">
        <f>JV42*各项系数!$E$40</f>
        <v>0</v>
      </c>
      <c r="JX42" s="282">
        <f>IF($DF42&lt;&gt;$JX$9,0,各项系数!$F$76/4*($NE42^2-$NC42^2)*10^-2*各项系数!$F$38*10^-3*10^2)*各项系数!$J$4</f>
        <v>0</v>
      </c>
      <c r="JY42" s="102">
        <v>1</v>
      </c>
      <c r="JZ42" s="189">
        <f t="shared" si="217"/>
        <v>0</v>
      </c>
      <c r="KA42" s="262">
        <f>JZ42*各项系数!$E$38</f>
        <v>0</v>
      </c>
      <c r="KB42" s="282">
        <f>IF($DF42&lt;&gt;$KB$9,0,各项系数!$F$76/4*($NE42^2-$NC42^2)*10^-2*各项系数!$F$41*10^-3*10^2)*各项系数!$J$4</f>
        <v>0</v>
      </c>
      <c r="KC42" s="102">
        <v>1</v>
      </c>
      <c r="KD42" s="189">
        <f t="shared" si="218"/>
        <v>0</v>
      </c>
      <c r="KE42" s="262">
        <f>KD42*各项系数!$E$41</f>
        <v>0</v>
      </c>
      <c r="KF42" s="189">
        <f t="shared" si="219"/>
        <v>2.3841269700150417E-3</v>
      </c>
      <c r="KG42" s="189">
        <f t="shared" si="220"/>
        <v>4.768253940030083E-2</v>
      </c>
      <c r="KH42" s="235">
        <f>各项系数!$F$76/4*($NG42^2-$NE42^2)*10^-2*各项系数!$F$44*10^-3*10^2*各项系数!$J$4*0.75*$U42</f>
        <v>0.85324742133025688</v>
      </c>
      <c r="KI42" s="102">
        <v>1</v>
      </c>
      <c r="KJ42" s="189">
        <f t="shared" si="221"/>
        <v>0.85324742133025688</v>
      </c>
      <c r="KK42" s="189">
        <f>ROUND(KJ42*各项系数!$E$43,GT42)</f>
        <v>5</v>
      </c>
      <c r="KL42" s="235">
        <f>各项系数!$F$76/4*($NF42^2-$NE42^2)*10^-2*各项系数!$F$46*10^-3*10^2*各项系数!$J$4*PI()/4*R42</f>
        <v>4.2403963863389071E-2</v>
      </c>
      <c r="KM42" s="102">
        <v>1</v>
      </c>
      <c r="KN42" s="189">
        <f t="shared" si="222"/>
        <v>4.2403963863389071E-2</v>
      </c>
      <c r="KO42" s="189">
        <f>KN42*各项系数!$E$46</f>
        <v>2.8622675607787622</v>
      </c>
      <c r="KP42" s="235">
        <f>各项系数!$F$76/4*($NH42^2-$NE42^2)*10^-2*(VLOOKUP($KP$9,各项系数!$D$1:$F$143,3,0))*10^-3*10^2*各项系数!$J$4</f>
        <v>0.29259504576857126</v>
      </c>
      <c r="KQ42" s="102">
        <v>1</v>
      </c>
      <c r="KR42" s="189">
        <f t="shared" si="150"/>
        <v>0.29259504576857126</v>
      </c>
      <c r="KS42" s="189">
        <f>KR42*(VLOOKUP($KP$9,各项系数!$D$1:$F$143,2,0))</f>
        <v>4.9741157780657117</v>
      </c>
      <c r="KT42" s="235">
        <f>各项系数!$F$76/4*($NI42^2-$NF42^2)*10^-2*(VLOOKUP($KT$9,各项系数!$D$1:$F$143,3,0))*10^-3*10^2*各项系数!$J$4</f>
        <v>0.29404545626488032</v>
      </c>
      <c r="KU42" s="102">
        <v>1</v>
      </c>
      <c r="KV42" s="189">
        <f t="shared" si="151"/>
        <v>0.29404545626488032</v>
      </c>
      <c r="KW42" s="189">
        <f>KV42*(VLOOKUP($KT$9,各项系数!$D$1:$F$143,2,0))</f>
        <v>4.9987727565029658</v>
      </c>
      <c r="KX42" s="189">
        <f>各项系数!$F$76/4*($NH42^2-$NE42^2)*10^-2*(VLOOKUP($KX$9,各项系数!$D$1:$F$143,3,0))*10^-3*10^2*各项系数!$J$4</f>
        <v>0.29259504576857126</v>
      </c>
      <c r="KY42" s="353">
        <v>1</v>
      </c>
      <c r="KZ42" s="189">
        <f t="shared" si="152"/>
        <v>0.29259504576857126</v>
      </c>
      <c r="LA42" s="189">
        <f>KZ42*(VLOOKUP($KX$9,各项系数!$D$1:$F$143,2,0))</f>
        <v>4.9741157780657117</v>
      </c>
      <c r="LB42" s="189">
        <f>各项系数!$F$76/4*($NI42^2-$NF42^2)*10^-2*(VLOOKUP($LB$9,各项系数!$D$1:$F$143,3,0))*10^-3*10^2*各项系数!$J$4</f>
        <v>0.29404545626488032</v>
      </c>
      <c r="LC42" s="353">
        <v>1</v>
      </c>
      <c r="LD42" s="189">
        <f t="shared" si="153"/>
        <v>0.29404545626488032</v>
      </c>
      <c r="LE42" s="189">
        <f>LD42*(VLOOKUP($LB$9,各项系数!$D$1:$F$143,2,0))</f>
        <v>4.9987727565029658</v>
      </c>
      <c r="LF42" s="235">
        <f>各项系数!$F$76/4*($NH42^2-$NE42^2)*10^-2*(VLOOKUP(AN42,各项系数!$D$1:$F$143,3,0))*10^-3*10^2*各项系数!$J$4</f>
        <v>0.29663083950331015</v>
      </c>
      <c r="LG42" s="102">
        <v>1</v>
      </c>
      <c r="LH42" s="189">
        <f t="shared" si="223"/>
        <v>0.29663083950331015</v>
      </c>
      <c r="LI42" s="189">
        <f>LH42*(VLOOKUP(AN42,各项系数!$D$1:$F$143,2,0))</f>
        <v>2.9663083950331015</v>
      </c>
      <c r="LJ42" s="235">
        <f>各项系数!$F$76/4*($NI42^2-$NF42^2)*10^-2*(VLOOKUP(AN42,各项系数!$D$1:$F$143,3,0))*10^-3*10^2*各项系数!$J$4</f>
        <v>0.29810125566163725</v>
      </c>
      <c r="LK42" s="102">
        <v>1</v>
      </c>
      <c r="LL42" s="189">
        <f t="shared" si="224"/>
        <v>0.29810125566163725</v>
      </c>
      <c r="LM42" s="189">
        <f>LL42*(VLOOKUP(AN42,各项系数!$D$1:$F$143,2,0))</f>
        <v>2.9810125566163723</v>
      </c>
      <c r="LN42" s="189">
        <f>各项系数!$F$76/4*($NH42^2-$NE42^2)*10^-2*(VLOOKUP($LN$9,各项系数!$D$1:$F$143,3,0))*10^-3*10^2*各项系数!$J$4</f>
        <v>0.29663083950331015</v>
      </c>
      <c r="LO42" s="353">
        <v>1</v>
      </c>
      <c r="LP42" s="189">
        <f t="shared" si="225"/>
        <v>0.29663083950331015</v>
      </c>
      <c r="LQ42" s="189">
        <f>LP42*(VLOOKUP($LN$9,各项系数!$D$1:$F$143,2,0))</f>
        <v>3.2629392345364119</v>
      </c>
      <c r="LR42" s="189">
        <f>各项系数!$F$76/4*($NI42^2-$NF42^2)*10^-2*(VLOOKUP($LR$9,各项系数!$D$1:$F$143,3,0))*10^-3*10^2*各项系数!$J$4</f>
        <v>0.29810125566163725</v>
      </c>
      <c r="LS42" s="353">
        <v>1</v>
      </c>
      <c r="LT42" s="189">
        <f t="shared" si="226"/>
        <v>0.29810125566163725</v>
      </c>
      <c r="LU42" s="189">
        <f>LT42*(VLOOKUP($LR$9,各项系数!$D$1:$F$143,2,0))</f>
        <v>3.2791138122780099</v>
      </c>
      <c r="LV42" s="227">
        <f t="shared" si="154"/>
        <v>235.88709575999999</v>
      </c>
      <c r="LW42" s="227">
        <f t="shared" si="155"/>
        <v>179.27419277999999</v>
      </c>
      <c r="LX42" s="227">
        <f t="shared" si="156"/>
        <v>15.10824250526748</v>
      </c>
      <c r="LY42" s="227">
        <f t="shared" si="157"/>
        <v>56.612902980000001</v>
      </c>
      <c r="LZ42" s="374">
        <f t="shared" si="86"/>
        <v>1</v>
      </c>
      <c r="MA42" s="375">
        <f t="shared" si="87"/>
        <v>235.88709575999999</v>
      </c>
      <c r="MB42" s="375">
        <f t="shared" si="158"/>
        <v>12.25440285</v>
      </c>
      <c r="MC42" s="227">
        <f t="shared" si="159"/>
        <v>0</v>
      </c>
      <c r="MD42" s="227">
        <f t="shared" si="160"/>
        <v>0</v>
      </c>
      <c r="ME42" s="227">
        <f t="shared" si="161"/>
        <v>0</v>
      </c>
      <c r="MF42" s="227">
        <f t="shared" si="162"/>
        <v>0</v>
      </c>
      <c r="MG42" s="374">
        <f t="shared" si="163"/>
        <v>1</v>
      </c>
      <c r="MH42" s="375">
        <f t="shared" si="88"/>
        <v>0</v>
      </c>
      <c r="MI42" s="375">
        <f t="shared" si="164"/>
        <v>0</v>
      </c>
      <c r="MJ42" s="189">
        <f t="shared" si="89"/>
        <v>12.25440285</v>
      </c>
      <c r="MK42" s="189">
        <f t="shared" si="165"/>
        <v>12.25440285</v>
      </c>
      <c r="ML42" s="189">
        <f t="shared" si="227"/>
        <v>0</v>
      </c>
      <c r="MM42" s="189">
        <f t="shared" si="91"/>
        <v>0</v>
      </c>
      <c r="MN42" s="189">
        <f t="shared" si="92"/>
        <v>14.454402850000001</v>
      </c>
      <c r="MO42" s="189">
        <f t="shared" si="166"/>
        <v>0</v>
      </c>
      <c r="MP42" s="189">
        <f t="shared" si="167"/>
        <v>28.908805699999998</v>
      </c>
      <c r="MQ42" s="189">
        <f t="shared" si="228"/>
        <v>28.908805699999998</v>
      </c>
      <c r="MR42" s="246">
        <f t="shared" si="168"/>
        <v>28.840065559999999</v>
      </c>
      <c r="MS42" s="380">
        <f t="shared" si="94"/>
        <v>29.016065559999998</v>
      </c>
      <c r="MT42" s="380">
        <f t="shared" si="95"/>
        <v>29.176065559999998</v>
      </c>
      <c r="MU42" s="380">
        <f t="shared" si="232"/>
        <v>30.516065559999998</v>
      </c>
      <c r="MV42" s="380">
        <f t="shared" si="97"/>
        <v>33.016065560000001</v>
      </c>
      <c r="MW42" s="380">
        <f t="shared" si="98"/>
        <v>33.176065559999998</v>
      </c>
      <c r="MX42" s="254">
        <f t="shared" si="233"/>
        <v>12.85440285</v>
      </c>
      <c r="MY42" s="254">
        <f t="shared" si="100"/>
        <v>0</v>
      </c>
      <c r="MZ42" s="189">
        <f t="shared" si="101"/>
        <v>15.054402849999999</v>
      </c>
      <c r="NA42" s="189">
        <f t="shared" si="102"/>
        <v>0</v>
      </c>
      <c r="NB42" s="189">
        <f t="shared" si="169"/>
        <v>30.108805700000001</v>
      </c>
      <c r="NC42" s="254">
        <f t="shared" si="229"/>
        <v>30.108805700000001</v>
      </c>
      <c r="ND42" s="246">
        <f t="shared" si="234"/>
        <v>30.03721217</v>
      </c>
      <c r="NE42" s="386">
        <f t="shared" si="235"/>
        <v>30.277212169999999</v>
      </c>
      <c r="NF42" s="380">
        <f t="shared" si="106"/>
        <v>30.437212169999999</v>
      </c>
      <c r="NG42" s="387">
        <f t="shared" si="236"/>
        <v>31.777212169999999</v>
      </c>
      <c r="NH42" s="254">
        <f t="shared" si="108"/>
        <v>34.277212169999999</v>
      </c>
      <c r="NI42" s="380">
        <f t="shared" si="109"/>
        <v>34.437212169999995</v>
      </c>
      <c r="NK42" s="388">
        <f t="shared" si="110"/>
        <v>2.0168554412890716</v>
      </c>
      <c r="NL42" s="388">
        <f t="shared" si="111"/>
        <v>109.22041375942236</v>
      </c>
      <c r="NM42" s="388">
        <f t="shared" si="112"/>
        <v>2.0168554412890716</v>
      </c>
      <c r="NN42" s="388">
        <f t="shared" si="113"/>
        <v>109.50545453421714</v>
      </c>
      <c r="NO42" s="388">
        <f t="shared" si="114"/>
        <v>2.1348426004776542</v>
      </c>
      <c r="NP42" s="388">
        <f t="shared" si="115"/>
        <v>110.29875410128329</v>
      </c>
      <c r="NQ42" s="388">
        <f t="shared" si="116"/>
        <v>2.1348426004776542</v>
      </c>
      <c r="NR42" s="388">
        <f t="shared" si="117"/>
        <v>110.5953849407866</v>
      </c>
      <c r="NS42" s="388">
        <f t="shared" si="118"/>
        <v>2.0574977936125931</v>
      </c>
      <c r="NT42" s="388">
        <f t="shared" si="119"/>
        <v>2.0574977936125931</v>
      </c>
      <c r="NU42" s="388">
        <f t="shared" si="120"/>
        <v>2.1772465643410435</v>
      </c>
      <c r="NV42" s="388">
        <f t="shared" si="121"/>
        <v>2.1772465643410435</v>
      </c>
      <c r="NW42">
        <f t="shared" si="122"/>
        <v>2.5625660590754018</v>
      </c>
      <c r="NX42">
        <f>各项系数!$M$9*NK42</f>
        <v>0.60505663238672147</v>
      </c>
      <c r="NY42">
        <f t="shared" si="123"/>
        <v>2.0574977936125931</v>
      </c>
    </row>
    <row r="43" spans="1:398" ht="15" hidden="1" customHeight="1">
      <c r="A43" s="74">
        <v>5</v>
      </c>
      <c r="B43" s="70">
        <v>1</v>
      </c>
      <c r="C43" s="67"/>
      <c r="D43" s="53" t="s">
        <v>215</v>
      </c>
      <c r="E43" s="61">
        <f t="shared" si="240"/>
        <v>38.485237260000005</v>
      </c>
      <c r="F43" s="68">
        <f>$F$27</f>
        <v>244.921136962963</v>
      </c>
      <c r="G43" s="58"/>
      <c r="H43" s="62"/>
      <c r="I43" s="62"/>
      <c r="J43" s="16"/>
      <c r="K43" s="62"/>
      <c r="L43" s="97" t="s">
        <v>467</v>
      </c>
      <c r="M43" s="103">
        <f t="shared" si="2"/>
        <v>1.2</v>
      </c>
      <c r="N43" s="103">
        <f t="shared" si="3"/>
        <v>0</v>
      </c>
      <c r="O43" s="105">
        <f t="shared" si="251"/>
        <v>0.08</v>
      </c>
      <c r="P43" s="99">
        <v>0.1</v>
      </c>
      <c r="Q43" s="133">
        <f t="shared" si="248"/>
        <v>0.1</v>
      </c>
      <c r="R43" s="70">
        <v>0.8</v>
      </c>
      <c r="S43" s="142" t="str">
        <f>各项系数!$D$43</f>
        <v>钢带</v>
      </c>
      <c r="T43" s="53">
        <v>0.5</v>
      </c>
      <c r="U43" s="102">
        <v>2</v>
      </c>
      <c r="V43" s="140"/>
      <c r="W43" s="141">
        <v>2.1</v>
      </c>
      <c r="X43" s="135">
        <f t="shared" si="249"/>
        <v>0.2</v>
      </c>
      <c r="Y43" s="135"/>
      <c r="Z43" s="168"/>
      <c r="AA43" s="153">
        <f>$AA$27</f>
        <v>1.0129999999999999</v>
      </c>
      <c r="AB43" s="153">
        <f>PI()*EJ43*EJ43/4*EH43*(1-H43)*AA43*各项系数!$F$5*各项系数!$J$4*10^-7</f>
        <v>1.013183115671781</v>
      </c>
      <c r="AC43" s="153">
        <f t="shared" si="241"/>
        <v>244.921136962963</v>
      </c>
      <c r="AD43" s="153">
        <f t="shared" si="5"/>
        <v>114.54156221736139</v>
      </c>
      <c r="AE43" s="153">
        <f>POWER(4*EU43/PI()/EG43/10^-7/EH43/(1-H43)/各项系数!$F$5/各项系数!$J$4,0.5)</f>
        <v>246.50798375415039</v>
      </c>
      <c r="AF43" s="69">
        <v>1</v>
      </c>
      <c r="AG43" s="69">
        <f>IF(EM43=0,0,PI()*ER43*ER43/4*EP43*(1-K43)*(1+AF43)*各项系数!$F$5*各项系数!$J$4*10^-7)</f>
        <v>0</v>
      </c>
      <c r="AH43" s="69">
        <f t="shared" si="242"/>
        <v>0</v>
      </c>
      <c r="AI43" s="69">
        <f t="shared" si="128"/>
        <v>0</v>
      </c>
      <c r="AJ43" s="69">
        <f>IF(OR(EP43="",EP43=0),0,POWER(4*EW43/PI()/EO43/10^-7/EP43/(1-K43)/各项系数!$F$5/各项系数!$J$4,0.5))</f>
        <v>0</v>
      </c>
      <c r="AK43" s="69" t="str">
        <f t="shared" si="8"/>
        <v>√</v>
      </c>
      <c r="AL43" s="69">
        <f t="shared" si="243"/>
        <v>141.96077054018042</v>
      </c>
      <c r="AM43" s="188">
        <f t="shared" si="244"/>
        <v>120</v>
      </c>
      <c r="AN43" s="97" t="s">
        <v>486</v>
      </c>
      <c r="AO43" s="196">
        <f>AP43+各项系数!$M$9*$NK43</f>
        <v>139.17722601978471</v>
      </c>
      <c r="AP43" s="196">
        <f>AQ43*(1+$BI43+(VLOOKUP($AM43,$A$12:$B$323,2,0))+各项系数!$J$6+各项系数!$M$5)*(1+$E$2)</f>
        <v>138.41490637334252</v>
      </c>
      <c r="AQ43" s="197">
        <f>AR43+各项系数!$L$9*$NK43</f>
        <v>141.23970038096175</v>
      </c>
      <c r="AR43" s="197">
        <f>AS43*(1+$BJ43+各项系数!$J$5+各项系数!$L$5)</f>
        <v>140.47738073451956</v>
      </c>
      <c r="AS43" s="197">
        <f t="shared" si="129"/>
        <v>137.72292228874466</v>
      </c>
      <c r="AT43" s="196">
        <f>AU43+各项系数!$M$9*$NM43</f>
        <v>141.55279030613679</v>
      </c>
      <c r="AU43" s="196">
        <f>AV43*(1+$BI43+(VLOOKUP($AM43,$A$12:$B$323,2,0))+各项系数!$J$6+各项系数!$M$5)*(1+$E$2)</f>
        <v>140.79047065969459</v>
      </c>
      <c r="AV43" s="197">
        <f>AW43+各项系数!$L$9*$NM43</f>
        <v>143.66374557111692</v>
      </c>
      <c r="AW43" s="197">
        <f>AX43*(1+$BJ43+各项系数!$J$5+各项系数!$L$5)</f>
        <v>142.90142592467473</v>
      </c>
      <c r="AX43" s="197">
        <f t="shared" si="130"/>
        <v>140.09943718105364</v>
      </c>
      <c r="AY43" s="196">
        <f>AZ43+各项系数!$M$9*$NS43</f>
        <v>142.46004583353965</v>
      </c>
      <c r="AZ43" s="196">
        <f>BA43*(1+$BI43+(VLOOKUP($AM43,$A$12:$B$214,2,0))+各项系数!$J$6+各项系数!$M$5)*(1+$E$2)</f>
        <v>141.6833254351038</v>
      </c>
      <c r="BA43" s="197">
        <f>BB43+各项系数!$L$9*$NS43</f>
        <v>144.57482187255491</v>
      </c>
      <c r="BB43" s="197">
        <f>BC43*(1+$BJ43+各项系数!$J$5+各项系数!$L$5)</f>
        <v>143.79810147411905</v>
      </c>
      <c r="BC43" s="199">
        <f t="shared" si="131"/>
        <v>140.97853085697946</v>
      </c>
      <c r="BD43" s="196">
        <f>BE43+各项系数!$M$9*$NS43</f>
        <v>144.84605639740533</v>
      </c>
      <c r="BE43" s="196">
        <f>BF43*(1+$BI43+(VLOOKUP($AM43,$A$12:$B$214,2,0))+各项系数!$J$6+各项系数!$M$5)*(1+$E$2)</f>
        <v>144.06933599896948</v>
      </c>
      <c r="BF43" s="197">
        <f>BG43+各项系数!$L$9*$NS43</f>
        <v>147.0095265295607</v>
      </c>
      <c r="BG43" s="197">
        <f>BH43*(1+$BJ43+各项系数!$J$5+各项系数!$L$5)</f>
        <v>146.23280613112485</v>
      </c>
      <c r="BH43" s="199">
        <f t="shared" si="132"/>
        <v>143.36549620698514</v>
      </c>
      <c r="BI43" s="213"/>
      <c r="BJ43" s="208"/>
      <c r="BK43" s="53" t="s">
        <v>514</v>
      </c>
      <c r="BL43" s="196">
        <f>BM43+各项系数!$M$9*$NM43</f>
        <v>140.88131423353863</v>
      </c>
      <c r="BM43" s="196">
        <f>BN43*(1+$CF43+(VLOOKUP($AM43,$A$12:$B$323,2,0))+各项系数!$J$6+各项系数!$M$5)*(1+$E$2)</f>
        <v>140.11899458709644</v>
      </c>
      <c r="BN43" s="197">
        <f>BO43+各项系数!$L$9*$NM43</f>
        <v>142.97856590520044</v>
      </c>
      <c r="BO43" s="197">
        <f>BP43*(1+$CG43+各项系数!$J$5+各项系数!$L$5)</f>
        <v>142.21624625875825</v>
      </c>
      <c r="BP43" s="197">
        <f t="shared" si="133"/>
        <v>138.07402549394004</v>
      </c>
      <c r="BQ43" s="196">
        <f>BR43+各项系数!$M$9*$NM43</f>
        <v>142.9257647905111</v>
      </c>
      <c r="BR43" s="196">
        <f>BS43*(1+$CF43+(VLOOKUP($AM43,$A$12:$B$323,2,0))+各项系数!$J$6+各项系数!$M$5)*(1+$E$2)</f>
        <v>142.1634451440689</v>
      </c>
      <c r="BS43" s="197">
        <f>BT43+各项系数!$L$9*$NM43</f>
        <v>145.06473994292745</v>
      </c>
      <c r="BT43" s="197">
        <f>BU43*(1+$CG43+各项系数!$J$5+各项系数!$L$5)</f>
        <v>144.30242029648525</v>
      </c>
      <c r="BU43" s="197">
        <f t="shared" si="134"/>
        <v>140.09943718105364</v>
      </c>
      <c r="BV43" s="196">
        <f>BW43+各项系数!$M$9*$NT43</f>
        <v>143.44450960586079</v>
      </c>
      <c r="BW43" s="196">
        <f>BX43*(1+$CF43+(VLOOKUP($AM43,$A$12:$B$214,2,0))+各项系数!$J$6+各项系数!$M$5)*(1+$E$2)</f>
        <v>142.66778920742493</v>
      </c>
      <c r="BX43" s="197">
        <f>BY43+各项系数!$L$9*$NT$12</f>
        <v>145.57937674227034</v>
      </c>
      <c r="BY43" s="197">
        <f>BZ43*(1+$CG43+各项系数!$J$5+各项系数!$L$5)</f>
        <v>145.57111333911536</v>
      </c>
      <c r="BZ43" s="199">
        <f t="shared" si="11"/>
        <v>141.33117799914112</v>
      </c>
      <c r="CA43" s="196">
        <f>CB43+各项系数!$M$9*$NT43</f>
        <v>145.49795040485853</v>
      </c>
      <c r="CB43" s="196">
        <f>CC43*(1+$CF43+(VLOOKUP($AM43,$A$12:$B$214,2,0))+各项系数!$J$6+各项系数!$M$5)*(1+$E$2)</f>
        <v>144.72123000642267</v>
      </c>
      <c r="CC43" s="197">
        <f>CD43+各项系数!$L$9*$NT$12</f>
        <v>147.67472449634968</v>
      </c>
      <c r="CD43" s="197">
        <f>CE43*(1+$CG43+各项系数!$J$5+各项系数!$L$5)</f>
        <v>147.6664610931947</v>
      </c>
      <c r="CE43" s="199">
        <f t="shared" si="135"/>
        <v>143.36549620698514</v>
      </c>
      <c r="CF43" s="213">
        <f t="shared" si="136"/>
        <v>0</v>
      </c>
      <c r="CG43" s="213">
        <f t="shared" si="12"/>
        <v>0.01</v>
      </c>
      <c r="CH43" s="102"/>
      <c r="CI43" s="196">
        <f>CJ43+各项系数!$M$9*$NO43</f>
        <v>141.30778870035041</v>
      </c>
      <c r="CJ43" s="196">
        <f>CK43*(1+$DC43+(VLOOKUP($AM43,$A$12:$B$323,2,0))+各项系数!$J$6+各项系数!$M$5)*(1+$E$2)+各项系数!$M$9*$NK43</f>
        <v>140.49992183136905</v>
      </c>
      <c r="CK43" s="197">
        <f>CL43+各项系数!$L$9*$NO43</f>
        <v>142.58938998461923</v>
      </c>
      <c r="CL43" s="197">
        <f>CM43*(1+$DD43+各项系数!$J$5+各项系数!$L$5)</f>
        <v>141.78152311563787</v>
      </c>
      <c r="CM43" s="197">
        <f t="shared" si="13"/>
        <v>139.00149325062534</v>
      </c>
      <c r="CN43" s="196">
        <f>CO43+各项系数!$M$9*$NO43</f>
        <v>143.5617059855347</v>
      </c>
      <c r="CO43" s="196">
        <f>CP43*(1+$DC43+(VLOOKUP($AM43,$A$12:$B$323,2,0))+各项系数!$J$6+各项系数!$M$5)*(1+$E$2)+各项系数!$M$9*$NK43</f>
        <v>142.75383911655334</v>
      </c>
      <c r="CP43" s="197">
        <f>CQ43+各项系数!$L$9*$NO43</f>
        <v>144.88930558174607</v>
      </c>
      <c r="CQ43" s="197">
        <f>CR43*(1+$DD43+各项系数!$J$5+各项系数!$L$5)</f>
        <v>144.08143871276471</v>
      </c>
      <c r="CR43" s="197">
        <f t="shared" si="14"/>
        <v>141.25631246349482</v>
      </c>
      <c r="CS43" s="196">
        <f>CT43+各项系数!$M$9*$NU43</f>
        <v>143.94819648034738</v>
      </c>
      <c r="CT43" s="196">
        <f t="shared" si="15"/>
        <v>143.1254003759104</v>
      </c>
      <c r="CU43" s="197">
        <f>CV43+各项系数!$L$9*$NU43</f>
        <v>146.04632691419428</v>
      </c>
      <c r="CV43" s="197">
        <f>CW43*(1+$DD43+各项系数!$J$5+各项系数!$L$5)</f>
        <v>145.22353080975731</v>
      </c>
      <c r="CW43" s="199">
        <f t="shared" si="16"/>
        <v>142.37601059780127</v>
      </c>
      <c r="CX43" s="196">
        <f>CY43+各项系数!$M$9*$NU43</f>
        <v>146.4165463409218</v>
      </c>
      <c r="CY43" s="196">
        <f t="shared" si="17"/>
        <v>145.59375023648482</v>
      </c>
      <c r="CZ43" s="197">
        <f>DA43+各项系数!$L$9*$NU43</f>
        <v>148.56505126171922</v>
      </c>
      <c r="DA43" s="197">
        <f>DB43*(1+$DD43+各项系数!$J$5+各项系数!$L$5)</f>
        <v>147.74225515728224</v>
      </c>
      <c r="DB43" s="199">
        <f t="shared" si="18"/>
        <v>144.84534819341397</v>
      </c>
      <c r="DC43" s="213">
        <f t="shared" si="137"/>
        <v>0</v>
      </c>
      <c r="DD43" s="213">
        <f t="shared" si="19"/>
        <v>0</v>
      </c>
      <c r="DE43" s="53" t="s">
        <v>498</v>
      </c>
      <c r="DF43" s="53" t="s">
        <v>513</v>
      </c>
      <c r="DG43" s="196">
        <f>DH43+各项系数!$M$9*$NQ43</f>
        <v>143.03669087141336</v>
      </c>
      <c r="DH43" s="196">
        <f>DI43*(1+$EA43+(VLOOKUP($AM43,$A$12:$B$323,2,0))+各项系数!$J$6+各项系数!$M$5)*(1+$E$2)+各项系数!$M$9*$NK43</f>
        <v>142.22882400243199</v>
      </c>
      <c r="DI43" s="197">
        <f>DJ43+各项系数!$L$9*$NQ43</f>
        <v>144.35357587345899</v>
      </c>
      <c r="DJ43" s="197">
        <f>DK43*(1+$EB43+各项系数!$J$5+各项系数!$L$5)</f>
        <v>143.54570900447763</v>
      </c>
      <c r="DK43" s="197">
        <f t="shared" si="20"/>
        <v>139.36476602376467</v>
      </c>
      <c r="DL43" s="196">
        <f>DM43+各项系数!$M$9*$NQ43</f>
        <v>145.15200401121893</v>
      </c>
      <c r="DM43" s="196">
        <f>DN43*(1+$EA43+(VLOOKUP($AM43,$A$12:$B$323,2,0))+各项系数!$J$6+各项系数!$M$5)*(1+$E$2)+各项系数!$M$9*$NK43</f>
        <v>144.34413714223757</v>
      </c>
      <c r="DN43" s="197">
        <f>DO43+各项系数!$L$9*$NQ43</f>
        <v>146.51205866917897</v>
      </c>
      <c r="DO43" s="197">
        <f>DP43*(1+$EB43+各项系数!$J$5+各项系数!$L$5)</f>
        <v>145.70419180019761</v>
      </c>
      <c r="DP43" s="197">
        <f t="shared" si="21"/>
        <v>141.46038038854135</v>
      </c>
      <c r="DQ43" s="196">
        <f>DR43+各项系数!$M$9*$NV43</f>
        <v>145.71172737138639</v>
      </c>
      <c r="DR43" s="196">
        <f t="shared" si="22"/>
        <v>144.88893126694941</v>
      </c>
      <c r="DS43" s="197">
        <f>DT43+各项系数!$L$9*$NV43</f>
        <v>147.84584823158104</v>
      </c>
      <c r="DT43" s="197">
        <f>DU43*(1+$EB43+各项系数!$J$5+各项系数!$L$5)</f>
        <v>147.02305212714407</v>
      </c>
      <c r="DU43" s="199">
        <f t="shared" si="23"/>
        <v>142.74082730790687</v>
      </c>
      <c r="DV43" s="196">
        <f>DW43+各项系数!$M$9*$NV43</f>
        <v>146.4345093507097</v>
      </c>
      <c r="DW43" s="196">
        <f t="shared" si="24"/>
        <v>145.61171324627273</v>
      </c>
      <c r="DX43" s="197">
        <f>DY43+各项系数!$L$9*$NV43</f>
        <v>148.5833808635436</v>
      </c>
      <c r="DY43" s="197">
        <f>DZ43*(1+$EB43+各项系数!$J$5+各项系数!$L$5)</f>
        <v>147.76058475910662</v>
      </c>
      <c r="DZ43" s="199">
        <f t="shared" si="25"/>
        <v>143.45687840689962</v>
      </c>
      <c r="EA43" s="213">
        <f t="shared" si="230"/>
        <v>0</v>
      </c>
      <c r="EB43" s="213">
        <f t="shared" si="27"/>
        <v>0.01</v>
      </c>
      <c r="EC43" s="235">
        <f t="shared" si="138"/>
        <v>2</v>
      </c>
      <c r="ED43" s="235" t="str">
        <f t="shared" si="180"/>
        <v>2*120</v>
      </c>
      <c r="EE43" s="189">
        <f t="shared" si="239"/>
        <v>120</v>
      </c>
      <c r="EF43" s="189" t="str">
        <f>LOOKUP(EH43,{1,7,10,14,19,24,30,37,48,61},{1,"1+6","2+8","4+10","1+6+12","2+8+14","4+10+16","1+6+12+18","3+9+15+21","1+6+12+18+24"})</f>
        <v>2+8+14</v>
      </c>
      <c r="EG43" s="188">
        <f t="shared" si="29"/>
        <v>2</v>
      </c>
      <c r="EH43" s="197">
        <f>VLOOKUP(EE43,各项系数!$B$87:$C$124,2,0)</f>
        <v>24</v>
      </c>
      <c r="EI43" s="188">
        <f>IF(EH43=0,0,VLOOKUP(EH43,各项系数!$D$142:$E$195,2,0))*1</f>
        <v>6</v>
      </c>
      <c r="EJ43" s="238">
        <f t="shared" si="141"/>
        <v>244.921136962963</v>
      </c>
      <c r="EK43" s="189">
        <f t="shared" si="245"/>
        <v>0</v>
      </c>
      <c r="EL43" s="189">
        <f t="shared" si="31"/>
        <v>0</v>
      </c>
      <c r="EM43" s="189">
        <f t="shared" si="182"/>
        <v>0</v>
      </c>
      <c r="EN43" s="189">
        <f>IF(EP43=0,0,LOOKUP(EP43,{1,7,10,14,19,24,30,37,48,61},{1,"1+6","2+8","4+10","1+6+12","2+8+14","4+10+16","1+6+12+18","3+9+15+21","1+6+12+18+24"}))</f>
        <v>0</v>
      </c>
      <c r="EO43" s="189">
        <f t="shared" si="246"/>
        <v>0</v>
      </c>
      <c r="EP43" s="189">
        <f>IF(EM43=0,0,IF(EM43&lt;10,1,IF(AND(EM43&gt;=10,EM43&lt;=35),7,LOOKUP(EM43,{50,70,95,120,150,185,240,300},{10,14,19,24,30,37,48,61})*1)))</f>
        <v>0</v>
      </c>
      <c r="EQ43" s="189">
        <f>IF(EP43=0,0,VLOOKUP(EP43,各项系数!$D$142:$E$195,2,0))*1</f>
        <v>0</v>
      </c>
      <c r="ER43" s="189">
        <f t="shared" si="247"/>
        <v>0</v>
      </c>
      <c r="ES43" s="235">
        <f t="shared" si="250"/>
        <v>2</v>
      </c>
      <c r="ET43" s="189">
        <f>VLOOKUP(ES43,各项系数!$D$142:$E$195,2,0)*1</f>
        <v>2</v>
      </c>
      <c r="EU43" s="243">
        <f>((各项系数!$F$76/4*$EJ43^2*$EG43*$EH43*1*10^-7)*(1-$H43)*AA43)*(VLOOKUP($EY$9,各项系数!$D$4:$F$143,3,0))*各项系数!$J$4</f>
        <v>2.026366231343562</v>
      </c>
      <c r="EV43" s="244">
        <f>EU43*(VLOOKUP($EY$9,各项系数!$D$4:$F$143,2,0))</f>
        <v>132.7269881530033</v>
      </c>
      <c r="EW43" s="252">
        <f>(IF($EO43=0,0,(各项系数!$F$76/4*$ER43^2*$EO43*$EP43*1*10^-7))*(1-$K43)*$AF43)*(VLOOKUP($EY$9,各项系数!$D$4:$F$143,3,0))*各项系数!$J$4</f>
        <v>0</v>
      </c>
      <c r="EX43" s="253">
        <f>EW43*(VLOOKUP($EY$9,各项系数!$D$4:$F$143,2,0))</f>
        <v>0</v>
      </c>
      <c r="EY43" s="189">
        <f>((各项系数!$F$76/4*$EJ43^2*$EG43*$EH43*1*10^-7)*(1-$H43)*AA43+IF($EO43=0,0,(各项系数!$F$76/4*$ER43^2*$EO43*$EP43*1*10^-7))*(1-$K43)*$AF43)*(VLOOKUP($EY$9,各项系数!$D$4:$F$143,3,0))*各项系数!$J$4</f>
        <v>2.026366231343562</v>
      </c>
      <c r="EZ43" s="102">
        <v>1</v>
      </c>
      <c r="FA43" s="189">
        <f t="shared" si="188"/>
        <v>2.026366231343562</v>
      </c>
      <c r="FB43" s="254">
        <f>FA43*(VLOOKUP($EY$9,各项系数!$D$4:$F$143,2,0))</f>
        <v>132.7269881530033</v>
      </c>
      <c r="FC43" s="255"/>
      <c r="FD43" s="235">
        <f>各项系数!$F$76/4*($MN43^2-MK43^2)*10^-2*(VLOOKUP(L43,各项系数!$D$1:$F$143,3,0))*10^-3*10^2*$EG43*各项系数!$J$4</f>
        <v>0.13117308752448747</v>
      </c>
      <c r="FE43" s="262">
        <f>FD43*VLOOKUP(L43,各项系数!$D$1:$F$143,2,0)</f>
        <v>1.3379654927497722</v>
      </c>
      <c r="FF43" s="188">
        <f>各项系数!$F$76/4*($MO43^2-ML43^2)*10^-2*(VLOOKUP(L43,各项系数!$D$1:$F$143,3,0))*10^-3*10^2*$EO43*各项系数!$J$4</f>
        <v>0</v>
      </c>
      <c r="FG43" s="262">
        <f>FF43*VLOOKUP(L43,各项系数!$D$1:$F$143,2,0)</f>
        <v>0</v>
      </c>
      <c r="FH43" s="235">
        <f t="shared" si="142"/>
        <v>0.13117308752448747</v>
      </c>
      <c r="FI43" s="102">
        <v>1</v>
      </c>
      <c r="FJ43" s="189">
        <f t="shared" si="189"/>
        <v>0.13117308752448747</v>
      </c>
      <c r="FK43" s="262">
        <f>FJ43*VLOOKUP(L43,各项系数!$D$1:$F$143,2,0)</f>
        <v>1.3379654927497722</v>
      </c>
      <c r="FL43" s="235"/>
      <c r="FM43" s="102"/>
      <c r="FN43" s="189"/>
      <c r="FO43" s="262"/>
      <c r="FP43" s="282">
        <f t="shared" si="190"/>
        <v>0.13117308752448747</v>
      </c>
      <c r="FQ43" s="282">
        <f t="shared" si="191"/>
        <v>1.3379654927497722</v>
      </c>
      <c r="FR43" s="283">
        <f>各项系数!$F$76/4*($MQ43^2-$MN43^2*$EG43-$MO43^2*$EO43)*10^-2</f>
        <v>4.5906239202542274</v>
      </c>
      <c r="FS43" s="284">
        <f t="shared" si="143"/>
        <v>0.05</v>
      </c>
      <c r="FT43" s="285">
        <f t="shared" si="40"/>
        <v>0.22953119601271138</v>
      </c>
      <c r="FU43" s="302">
        <f>$FT43*(VLOOKUP($FT$9,各项系数!$D$1:$F$143,3,0))*10^-3*10^2*各项系数!$J$55</f>
        <v>2.7406024803917739E-2</v>
      </c>
      <c r="FV43" s="303">
        <v>1</v>
      </c>
      <c r="FW43" s="304">
        <f t="shared" si="192"/>
        <v>2.7406024803917739E-2</v>
      </c>
      <c r="FX43" s="285">
        <f>FW43*(VLOOKUP($FT$9,各项系数!$D$1:$F$143,2,0))</f>
        <v>8.2218074411753217E-2</v>
      </c>
      <c r="FY43" s="302">
        <f>IF($BK43&lt;&gt;$FY$9,0,各项系数!$F$76/4*($MS43^2-$MQ43^2)*10^-2*(VLOOKUP($FY$9,各项系数!$D$1:$F$143,3,0))*10^-3*10^2)*各项系数!$J$4</f>
        <v>0</v>
      </c>
      <c r="FZ43" s="303">
        <v>1</v>
      </c>
      <c r="GA43" s="304">
        <f t="shared" si="193"/>
        <v>0</v>
      </c>
      <c r="GB43" s="285">
        <f>GA43*(VLOOKUP($FY$9,各项系数!$D$1:$F$143,2,0))</f>
        <v>0</v>
      </c>
      <c r="GC43" s="302">
        <f>IF($BK43&lt;&gt;$GC$9,0,各项系数!$F$76/4*($MS43^2-$MQ43^2)*10^-2*(VLOOKUP($GC$9,各项系数!$D$1:$F$143,3,0))*10^-3*10^2)*各项系数!$J$4</f>
        <v>5.0169392733212855E-3</v>
      </c>
      <c r="GD43" s="303">
        <v>1</v>
      </c>
      <c r="GE43" s="304">
        <f t="shared" si="194"/>
        <v>5.0169392733212855E-3</v>
      </c>
      <c r="GF43" s="285">
        <f>GE43*(VLOOKUP($GC$9,各项系数!$D$1:$F$143,2,0))</f>
        <v>6.4718516625844588E-2</v>
      </c>
      <c r="GG43" s="302">
        <f>IF($BK43&lt;&gt;$GG$9,0,各项系数!$F$76/4*($MS43^2-$MQ43^2)*10^-2*(VLOOKUP($GG$9,各项系数!$D$1:$F$143,3,0))*10^-3*10^2)*各项系数!$J$4</f>
        <v>0</v>
      </c>
      <c r="GH43" s="303">
        <v>1</v>
      </c>
      <c r="GI43" s="304">
        <f t="shared" si="195"/>
        <v>0</v>
      </c>
      <c r="GJ43" s="285">
        <f>GI43*(VLOOKUP($GG$9,各项系数!$D$1:$F$143,2,0))</f>
        <v>0</v>
      </c>
      <c r="GK43" s="302">
        <f>IF($BK43&lt;&gt;$GK$9,0,各项系数!$F$76/4*($MS43^2-$MQ43^2)*10^-2*(VLOOKUP($GK$9,各项系数!$D$1:$F$143,3,0))*10^-3*10^2)*各项系数!$J$4</f>
        <v>0</v>
      </c>
      <c r="GL43" s="303">
        <v>1</v>
      </c>
      <c r="GM43" s="304">
        <f t="shared" si="196"/>
        <v>0</v>
      </c>
      <c r="GN43" s="285">
        <f>GM43*(VLOOKUP($GK$9,各项系数!$D$1:$F$143,2,0))</f>
        <v>0</v>
      </c>
      <c r="GO43" s="304">
        <f t="shared" si="197"/>
        <v>5.0169392733212855E-3</v>
      </c>
      <c r="GP43" s="304">
        <f t="shared" si="198"/>
        <v>6.4718516625844588E-2</v>
      </c>
      <c r="GQ43" s="315">
        <f>各项系数!$F$76/4*($MU43^2-$MS43^2)*10^-2*(VLOOKUP($S43,各项系数!$D$1:$F$143,3,0))*10^-3*10^2*各项系数!$J$4</f>
        <v>0.64231199554763208</v>
      </c>
      <c r="GR43" s="303">
        <v>1</v>
      </c>
      <c r="GS43" s="304">
        <f t="shared" si="199"/>
        <v>0.64231199554763208</v>
      </c>
      <c r="GT43" s="304">
        <f t="shared" si="200"/>
        <v>0</v>
      </c>
      <c r="GU43" s="304">
        <f>ROUND($GS43*(VLOOKUP($S43,各项系数!$D$1:$F$143,2,0))+$E$3*GS43,GT43)</f>
        <v>4</v>
      </c>
      <c r="GV43" s="315">
        <f>各项系数!$F$76/4*($MT43^2-$MS43^2)*10^-2*(VLOOKUP($GV$9,各项系数!$D$1:$F$143,3,0))*10^-3*10^2*各项系数!$J$4*PI()/4*R43</f>
        <v>4.8002506645516863E-2</v>
      </c>
      <c r="GW43" s="303">
        <v>1</v>
      </c>
      <c r="GX43" s="304">
        <f t="shared" si="201"/>
        <v>4.8002506645516863E-2</v>
      </c>
      <c r="GY43" s="304">
        <f>$GX43*(VLOOKUP($GV$9,各项系数!$D$1:$F$143,2,0))</f>
        <v>3.2401691985723882</v>
      </c>
      <c r="GZ43" s="315">
        <f>各项系数!$F$76/4*($MV43^2-$MS43^2)*10^-2*(VLOOKUP($GZ$9,各项系数!$D$1:$F$143,3,0))*10^-3*10^2*各项系数!$J$4</f>
        <v>0.34632629083900029</v>
      </c>
      <c r="HA43" s="303">
        <v>1</v>
      </c>
      <c r="HB43" s="304">
        <f t="shared" si="144"/>
        <v>0.34632629083900029</v>
      </c>
      <c r="HC43" s="304">
        <f>HB43*(VLOOKUP($GZ$9,各项系数!$D$1:$F$143,2,0))</f>
        <v>5.8875469442630051</v>
      </c>
      <c r="HD43" s="315">
        <f>各项系数!$F$76/4*($MW43^2-$MT43^2)*10^-2*(VLOOKUP($HD$9,各项系数!$D$1:$F$143,3,0))*10^-3*10^2*各项系数!$J$4</f>
        <v>0.34784922186012524</v>
      </c>
      <c r="HE43" s="303">
        <v>1</v>
      </c>
      <c r="HF43" s="304">
        <f t="shared" si="145"/>
        <v>0.34784922186012524</v>
      </c>
      <c r="HG43" s="304">
        <f>HF43*(VLOOKUP($HD$9,各项系数!$D$1:$F$143,2,0))</f>
        <v>5.9134367716221288</v>
      </c>
      <c r="HH43" s="315">
        <f>各项系数!$F$76/4*($MV43^2-$MS43^2)*10^-2*(VLOOKUP($HH$9,各项系数!$D$1:$F$143,3,0))*10^-3*10^2*各项系数!$J$4</f>
        <v>0.34632629083900029</v>
      </c>
      <c r="HI43" s="322">
        <v>1</v>
      </c>
      <c r="HJ43" s="304">
        <f t="shared" si="146"/>
        <v>0.34632629083900029</v>
      </c>
      <c r="HK43" s="304">
        <f>HJ43*(VLOOKUP($HH$9,各项系数!$D$1:$F$143,2,0))</f>
        <v>5.8875469442630051</v>
      </c>
      <c r="HL43" s="315">
        <f>各项系数!$F$76/4*($MW43^2-$MT43^2)*10^-2*(VLOOKUP($HL$9,各项系数!$D$1:$F$143,3,0))*10^-3*10^2*各项系数!$J$4</f>
        <v>0.34784922186012524</v>
      </c>
      <c r="HM43" s="322">
        <v>1</v>
      </c>
      <c r="HN43" s="304">
        <f t="shared" si="147"/>
        <v>0.34784922186012524</v>
      </c>
      <c r="HO43" s="304">
        <f>HN43*(VLOOKUP($HL$9,各项系数!$D$1:$F$143,2,0))</f>
        <v>5.9134367716221288</v>
      </c>
      <c r="HP43" s="315">
        <f>各项系数!$F$76/4*($MV43^2-$MS43^2)*10^-2*(VLOOKUP(AN43,各项系数!$D$1:$F$143,3,0))*10^-3*10^2*各项系数!$J$4</f>
        <v>0.35110320519540034</v>
      </c>
      <c r="HQ43" s="303">
        <v>1</v>
      </c>
      <c r="HR43" s="304">
        <f t="shared" si="202"/>
        <v>0.35110320519540034</v>
      </c>
      <c r="HS43" s="304">
        <f>HR43*(VLOOKUP(AN43,各项系数!$D$1:$F$143,2,0))</f>
        <v>3.5110320519540035</v>
      </c>
      <c r="HT43" s="315">
        <f>各项系数!$F$76/4*($MW43^2-$MT43^2)*10^-2*(VLOOKUP(AN43,各项系数!$D$1:$F$143,3,0))*10^-3*10^2*各项系数!$J$4</f>
        <v>0.35264714216164422</v>
      </c>
      <c r="HU43" s="303">
        <v>1</v>
      </c>
      <c r="HV43" s="304">
        <f t="shared" si="203"/>
        <v>0.35264714216164422</v>
      </c>
      <c r="HW43" s="304">
        <f>HV43*(VLOOKUP(AN43,各项系数!$D$1:$F$143,2,0))</f>
        <v>3.5264714216164421</v>
      </c>
      <c r="HX43" s="315">
        <f>各项系数!$F$76/4*($MV43^2-$MS43^2)*10^-2*(VLOOKUP($HX$9,各项系数!$D$1:$F$143,3,0))*10^-3*10^2*各项系数!$J$4</f>
        <v>0.35110320519540034</v>
      </c>
      <c r="HY43" s="322">
        <v>1</v>
      </c>
      <c r="HZ43" s="304">
        <f t="shared" si="204"/>
        <v>0.35110320519540034</v>
      </c>
      <c r="IA43" s="304">
        <f>HZ43*(VLOOKUP($HX$9,各项系数!$D$1:$F$143,2,0))</f>
        <v>3.8621352571494039</v>
      </c>
      <c r="IB43" s="315">
        <f>各项系数!$F$76/4*($MW43^2-$MT43^2)*10^-2*(VLOOKUP($IB$9,各项系数!$D$1:$F$143,3,0))*10^-3*10^2*各项系数!$J$4</f>
        <v>0.35264714216164422</v>
      </c>
      <c r="IC43" s="322">
        <v>1</v>
      </c>
      <c r="ID43" s="304">
        <f t="shared" si="205"/>
        <v>0.35264714216164422</v>
      </c>
      <c r="IE43" s="304">
        <f>ID43*(VLOOKUP($IB$9,各项系数!$D$1:$F$143,2,0))</f>
        <v>3.8791185637780865</v>
      </c>
      <c r="IF43" s="328"/>
      <c r="IG43" s="315">
        <f t="shared" si="148"/>
        <v>4.2186131420550922E-2</v>
      </c>
      <c r="IH43" s="303">
        <v>1</v>
      </c>
      <c r="II43" s="304">
        <f t="shared" si="206"/>
        <v>4.2186131420550922E-2</v>
      </c>
      <c r="IJ43" s="304">
        <f>II43*(VLOOKUP($IG$8,各项系数!$D$1:$F$143,2,0))</f>
        <v>1.0546532855137731</v>
      </c>
      <c r="IK43" s="315">
        <f>(各项系数!$F$76/4*($MX43^2-$MK43^2)*$EG43)*10^-2*(VLOOKUP($IG$8,各项系数!$D$1:$F$143,3,0))*10^-3*10^2*各项系数!$J$4</f>
        <v>4.2186131420550922E-2</v>
      </c>
      <c r="IL43" s="303">
        <f>IK43*(VLOOKUP($IG$8,各项系数!$D$1:$F$143,2,0))</f>
        <v>1.0546532855137731</v>
      </c>
      <c r="IM43" s="304">
        <f>(各项系数!$F$76/4*(($MM43+3*$X43)^2-MM43^2)*$EO43)*10^-2*(VLOOKUP($IG$8,各项系数!$D$1:$F$143,3,0))*10^-3*10^2*各项系数!$J$4</f>
        <v>0</v>
      </c>
      <c r="IN43" s="303">
        <f>IM43*(VLOOKUP($IG$8,各项系数!$D$1:$F$143,2,0))</f>
        <v>0</v>
      </c>
      <c r="IO43" s="315">
        <f>各项系数!$F$76/4*($MZ43^2-$MX43^2)*10^-2*(VLOOKUP(L43,各项系数!$D$1:$F$143,3,0))*10^-3*10^2*$ES43*各项系数!$J$4</f>
        <v>0.13612448887395712</v>
      </c>
      <c r="IP43" s="303">
        <v>1</v>
      </c>
      <c r="IQ43" s="304">
        <f t="shared" si="207"/>
        <v>0.13612448887395712</v>
      </c>
      <c r="IR43" s="285">
        <f>IQ43*(VLOOKUP(L43,各项系数!$D$1:$F$143,2,0))</f>
        <v>1.3884697865143625</v>
      </c>
      <c r="IS43" s="315">
        <f>IF($L43&lt;&gt;$IS$9,0,各项系数!$F$76/4*($MZ43^2-$MX43^2)*10^-2*各项系数!$F$12*10^-3*10^2)*$ES43*各项系数!$J$4</f>
        <v>0</v>
      </c>
      <c r="IT43" s="303">
        <v>1</v>
      </c>
      <c r="IU43" s="304">
        <f t="shared" si="208"/>
        <v>0</v>
      </c>
      <c r="IV43" s="285">
        <f>IU43*各项系数!$E$12</f>
        <v>0</v>
      </c>
      <c r="IW43" s="302">
        <f t="shared" si="209"/>
        <v>0.13612448887395712</v>
      </c>
      <c r="IX43" s="302">
        <f t="shared" si="210"/>
        <v>1.3884697865143625</v>
      </c>
      <c r="IY43" s="339">
        <f>各项系数!$F$76/4*($NB43^2-$MZ43^2*$EG43-$NA43^2*$EO43)*10^-2</f>
        <v>4.9185170013372819</v>
      </c>
      <c r="IZ43" s="284">
        <f t="shared" si="231"/>
        <v>0.05</v>
      </c>
      <c r="JA43" s="285">
        <f t="shared" si="64"/>
        <v>0.2459258500668641</v>
      </c>
      <c r="JB43" s="282">
        <f>IF($DE43&lt;&gt;$JB$9,0,$JA43*各项系数!$F$32*10^-3*10^2)*各项系数!$J$4</f>
        <v>0</v>
      </c>
      <c r="JC43" s="102">
        <v>1</v>
      </c>
      <c r="JD43" s="189">
        <f t="shared" si="211"/>
        <v>0</v>
      </c>
      <c r="JE43" s="262">
        <f>JD43*各项系数!$E$32</f>
        <v>0</v>
      </c>
      <c r="JF43" s="282">
        <f>IF($DE43&lt;&gt;$JF$9,0,$JA43*VLOOKUP($JF$9,各项系数!$D$4:$F$540,2,0)*10^-3*10^2)*各项系数!$J$4</f>
        <v>0.12234811040826488</v>
      </c>
      <c r="JG43" s="102">
        <v>1</v>
      </c>
      <c r="JH43" s="189">
        <f t="shared" si="66"/>
        <v>0.12234811040826488</v>
      </c>
      <c r="JI43" s="262">
        <f>JH43*VLOOKUP($JF$9,各项系数!$D$4:$F$540,3,0)</f>
        <v>0.14681773248991783</v>
      </c>
      <c r="JJ43" s="282">
        <f t="shared" si="212"/>
        <v>0.12234811040826488</v>
      </c>
      <c r="JK43" s="189">
        <f t="shared" si="213"/>
        <v>0.14681773248991783</v>
      </c>
      <c r="JL43" s="282">
        <f>IF($DF43&lt;&gt;$JL$9,0,各项系数!$F$76/4*($NE43^2-$NC43^2)*10^-2*各项系数!$F$39*10^-3*10^2)*各项系数!$J$4</f>
        <v>2.5918280855243775E-3</v>
      </c>
      <c r="JM43" s="102">
        <v>1</v>
      </c>
      <c r="JN43" s="189">
        <f t="shared" si="214"/>
        <v>2.5918280855243775E-3</v>
      </c>
      <c r="JO43" s="262">
        <f>JN43*各项系数!$E$39</f>
        <v>5.1836561710487547E-2</v>
      </c>
      <c r="JP43" s="282">
        <f>IF($DF43&lt;&gt;$JP$9,0,各项系数!$F$76/4*($NE43^2-$NC43^2)*10^-2*各项系数!$F$36*10^-3*10^2)*各项系数!$J$4</f>
        <v>0</v>
      </c>
      <c r="JQ43" s="102">
        <v>1</v>
      </c>
      <c r="JR43" s="189">
        <f t="shared" si="215"/>
        <v>0</v>
      </c>
      <c r="JS43" s="262">
        <f>JR43*各项系数!$E$36</f>
        <v>0</v>
      </c>
      <c r="JT43" s="282">
        <f>IF($DF43&lt;&gt;$JT$9,0,各项系数!$F$76/4*($NE43^2-$NC43^2)*10^-2*各项系数!$F$40*10^-3*10^2)*各项系数!$J$4</f>
        <v>0</v>
      </c>
      <c r="JU43" s="102">
        <v>1</v>
      </c>
      <c r="JV43" s="189">
        <f t="shared" si="216"/>
        <v>0</v>
      </c>
      <c r="JW43" s="262">
        <f>JV43*各项系数!$E$40</f>
        <v>0</v>
      </c>
      <c r="JX43" s="282">
        <f>IF($DF43&lt;&gt;$JX$9,0,各项系数!$F$76/4*($NE43^2-$NC43^2)*10^-2*各项系数!$F$38*10^-3*10^2)*各项系数!$J$4</f>
        <v>0</v>
      </c>
      <c r="JY43" s="102">
        <v>1</v>
      </c>
      <c r="JZ43" s="189">
        <f t="shared" si="217"/>
        <v>0</v>
      </c>
      <c r="KA43" s="262">
        <f>JZ43*各项系数!$E$38</f>
        <v>0</v>
      </c>
      <c r="KB43" s="282">
        <f>IF($DF43&lt;&gt;$KB$9,0,各项系数!$F$76/4*($NE43^2-$NC43^2)*10^-2*各项系数!$F$41*10^-3*10^2)*各项系数!$J$4</f>
        <v>0</v>
      </c>
      <c r="KC43" s="102">
        <v>1</v>
      </c>
      <c r="KD43" s="189">
        <f t="shared" si="218"/>
        <v>0</v>
      </c>
      <c r="KE43" s="262">
        <f>KD43*各项系数!$E$41</f>
        <v>0</v>
      </c>
      <c r="KF43" s="189">
        <f t="shared" si="219"/>
        <v>2.5918280855243775E-3</v>
      </c>
      <c r="KG43" s="189">
        <f t="shared" si="220"/>
        <v>5.1836561710487547E-2</v>
      </c>
      <c r="KH43" s="235">
        <f>各项系数!$F$76/4*($NG43^2-$NE43^2)*10^-2*各项系数!$F$44*10^-3*10^2*各项系数!$J$4*0.75*$U43</f>
        <v>0.99814948797221104</v>
      </c>
      <c r="KI43" s="102">
        <v>1</v>
      </c>
      <c r="KJ43" s="189">
        <f t="shared" si="221"/>
        <v>0.99814948797221104</v>
      </c>
      <c r="KK43" s="189">
        <f>ROUND(KJ43*各项系数!$E$43,GT43)</f>
        <v>6</v>
      </c>
      <c r="KL43" s="235">
        <f>各项系数!$F$76/4*($NF43^2-$NE43^2)*10^-2*各项系数!$F$46*10^-3*10^2*各项系数!$J$4*PI()/4*R43</f>
        <v>4.9764118185384919E-2</v>
      </c>
      <c r="KM43" s="102">
        <v>1</v>
      </c>
      <c r="KN43" s="189">
        <f t="shared" si="222"/>
        <v>4.9764118185384919E-2</v>
      </c>
      <c r="KO43" s="189">
        <f>KN43*各项系数!$E$46</f>
        <v>3.3590779775134818</v>
      </c>
      <c r="KP43" s="235">
        <f>各项系数!$F$76/4*($NH43^2-$NE43^2)*10^-2*(VLOOKUP($KP$9,各项系数!$D$1:$F$143,3,0))*10^-3*10^2*各项系数!$J$4</f>
        <v>0.35833028642997161</v>
      </c>
      <c r="KQ43" s="102">
        <v>1</v>
      </c>
      <c r="KR43" s="189">
        <f t="shared" si="150"/>
        <v>0.35833028642997161</v>
      </c>
      <c r="KS43" s="189">
        <f>KR43*(VLOOKUP($KP$9,各项系数!$D$1:$F$143,2,0))</f>
        <v>6.0916148693095176</v>
      </c>
      <c r="KT43" s="235">
        <f>各项系数!$F$76/4*($NI43^2-$NF43^2)*10^-2*(VLOOKUP($KT$9,各项系数!$D$1:$F$143,3,0))*10^-3*10^2*各项系数!$J$4</f>
        <v>0.35985321745109622</v>
      </c>
      <c r="KU43" s="102">
        <v>1</v>
      </c>
      <c r="KV43" s="189">
        <f t="shared" si="151"/>
        <v>0.35985321745109622</v>
      </c>
      <c r="KW43" s="189">
        <f>KV43*(VLOOKUP($KT$9,各项系数!$D$1:$F$143,2,0))</f>
        <v>6.1175046966686359</v>
      </c>
      <c r="KX43" s="189">
        <f>各项系数!$F$76/4*($NH43^2-$NE43^2)*10^-2*(VLOOKUP($KX$9,各项系数!$D$1:$F$143,3,0))*10^-3*10^2*各项系数!$J$4</f>
        <v>0.35833028642997161</v>
      </c>
      <c r="KY43" s="353">
        <v>1</v>
      </c>
      <c r="KZ43" s="189">
        <f t="shared" si="152"/>
        <v>0.35833028642997161</v>
      </c>
      <c r="LA43" s="189">
        <f>KZ43*(VLOOKUP($KX$9,各项系数!$D$1:$F$143,2,0))</f>
        <v>6.0916148693095176</v>
      </c>
      <c r="LB43" s="189">
        <f>各项系数!$F$76/4*($NI43^2-$NF43^2)*10^-2*(VLOOKUP($LB$9,各项系数!$D$1:$F$143,3,0))*10^-3*10^2*各项系数!$J$4</f>
        <v>0.35985321745109622</v>
      </c>
      <c r="LC43" s="353">
        <v>1</v>
      </c>
      <c r="LD43" s="189">
        <f t="shared" si="153"/>
        <v>0.35985321745109622</v>
      </c>
      <c r="LE43" s="189">
        <f>LD43*(VLOOKUP($LB$9,各项系数!$D$1:$F$143,2,0))</f>
        <v>6.1175046966686359</v>
      </c>
      <c r="LF43" s="235">
        <f>各项系数!$F$76/4*($NH43^2-$NE43^2)*10^-2*(VLOOKUP(AN43,各项系数!$D$1:$F$143,3,0))*10^-3*10^2*各项系数!$J$4</f>
        <v>0.36327277313935052</v>
      </c>
      <c r="LG43" s="102">
        <v>1</v>
      </c>
      <c r="LH43" s="189">
        <f t="shared" si="223"/>
        <v>0.36327277313935052</v>
      </c>
      <c r="LI43" s="189">
        <f>LH43*(VLOOKUP(AN43,各项系数!$D$1:$F$143,2,0))</f>
        <v>3.6327277313935054</v>
      </c>
      <c r="LJ43" s="235">
        <f>各项系数!$F$76/4*($NI43^2-$NF43^2)*10^-2*(VLOOKUP(AN43,各项系数!$D$1:$F$143,3,0))*10^-3*10^2*各项系数!$J$4</f>
        <v>0.36481671010559413</v>
      </c>
      <c r="LK43" s="102">
        <v>1</v>
      </c>
      <c r="LL43" s="189">
        <f t="shared" si="224"/>
        <v>0.36481671010559413</v>
      </c>
      <c r="LM43" s="189">
        <f>LL43*(VLOOKUP(AN43,各项系数!$D$1:$F$143,2,0))</f>
        <v>3.6481671010559413</v>
      </c>
      <c r="LN43" s="189">
        <f>各项系数!$F$76/4*($NH43^2-$NE43^2)*10^-2*(VLOOKUP($LN$9,各项系数!$D$1:$F$143,3,0))*10^-3*10^2*各项系数!$J$4</f>
        <v>0.36327277313935052</v>
      </c>
      <c r="LO43" s="353">
        <v>1</v>
      </c>
      <c r="LP43" s="189">
        <f t="shared" si="225"/>
        <v>0.36327277313935052</v>
      </c>
      <c r="LQ43" s="189">
        <f>LP43*(VLOOKUP($LN$9,各项系数!$D$1:$F$143,2,0))</f>
        <v>3.9960005045328559</v>
      </c>
      <c r="LR43" s="189">
        <f>各项系数!$F$76/4*($NI43^2-$NF43^2)*10^-2*(VLOOKUP($LR$9,各项系数!$D$1:$F$143,3,0))*10^-3*10^2*各项系数!$J$4</f>
        <v>0.36481671010559413</v>
      </c>
      <c r="LS43" s="353">
        <v>1</v>
      </c>
      <c r="LT43" s="189">
        <f t="shared" si="226"/>
        <v>0.36481671010559413</v>
      </c>
      <c r="LU43" s="189">
        <f>LT43*(VLOOKUP($LR$9,各项系数!$D$1:$F$143,2,0))</f>
        <v>4.0129838111615355</v>
      </c>
      <c r="LV43" s="227">
        <f t="shared" si="154"/>
        <v>339.21489315000002</v>
      </c>
      <c r="LW43" s="227">
        <f t="shared" si="155"/>
        <v>226.14326209999999</v>
      </c>
      <c r="LX43" s="227">
        <f t="shared" si="156"/>
        <v>16.968634125383474</v>
      </c>
      <c r="LY43" s="227">
        <f t="shared" si="157"/>
        <v>113.07163105000004</v>
      </c>
      <c r="LZ43" s="374">
        <f t="shared" si="86"/>
        <v>1</v>
      </c>
      <c r="MA43" s="375">
        <f t="shared" si="87"/>
        <v>339.21489315000002</v>
      </c>
      <c r="MB43" s="375">
        <f t="shared" si="158"/>
        <v>14.695268220000001</v>
      </c>
      <c r="MC43" s="227">
        <f t="shared" si="159"/>
        <v>0</v>
      </c>
      <c r="MD43" s="227">
        <f t="shared" si="160"/>
        <v>0</v>
      </c>
      <c r="ME43" s="227">
        <f t="shared" si="161"/>
        <v>0</v>
      </c>
      <c r="MF43" s="227">
        <f t="shared" si="162"/>
        <v>0</v>
      </c>
      <c r="MG43" s="374">
        <f t="shared" si="163"/>
        <v>1</v>
      </c>
      <c r="MH43" s="375">
        <f t="shared" si="88"/>
        <v>0</v>
      </c>
      <c r="MI43" s="375">
        <f t="shared" si="164"/>
        <v>0</v>
      </c>
      <c r="MJ43" s="189">
        <f t="shared" si="89"/>
        <v>14.695268220000001</v>
      </c>
      <c r="MK43" s="189">
        <f t="shared" si="165"/>
        <v>14.695268220000001</v>
      </c>
      <c r="ML43" s="189">
        <f t="shared" si="227"/>
        <v>0</v>
      </c>
      <c r="MM43" s="189">
        <f t="shared" si="91"/>
        <v>0</v>
      </c>
      <c r="MN43" s="189">
        <f t="shared" si="92"/>
        <v>17.095268220000001</v>
      </c>
      <c r="MO43" s="189">
        <f t="shared" si="166"/>
        <v>0</v>
      </c>
      <c r="MP43" s="189">
        <f t="shared" si="167"/>
        <v>34.190536440000002</v>
      </c>
      <c r="MQ43" s="189">
        <f t="shared" si="228"/>
        <v>34.190536440000002</v>
      </c>
      <c r="MR43" s="246">
        <f t="shared" si="168"/>
        <v>34.10923726</v>
      </c>
      <c r="MS43" s="380">
        <f t="shared" si="94"/>
        <v>34.285237260000002</v>
      </c>
      <c r="MT43" s="380">
        <f t="shared" si="95"/>
        <v>34.445237259999999</v>
      </c>
      <c r="MU43" s="380">
        <f t="shared" si="232"/>
        <v>35.785237260000002</v>
      </c>
      <c r="MV43" s="380">
        <f t="shared" si="97"/>
        <v>38.485237260000005</v>
      </c>
      <c r="MW43" s="380">
        <f t="shared" si="98"/>
        <v>38.645237260000002</v>
      </c>
      <c r="MX43" s="254">
        <f t="shared" si="233"/>
        <v>15.295268220000001</v>
      </c>
      <c r="MY43" s="254">
        <f t="shared" si="100"/>
        <v>0</v>
      </c>
      <c r="MZ43" s="189">
        <f t="shared" si="101"/>
        <v>17.695268219999999</v>
      </c>
      <c r="NA43" s="189">
        <f t="shared" si="102"/>
        <v>0</v>
      </c>
      <c r="NB43" s="189">
        <f t="shared" si="169"/>
        <v>35.390536439999998</v>
      </c>
      <c r="NC43" s="254">
        <f t="shared" si="229"/>
        <v>35.390536439999998</v>
      </c>
      <c r="ND43" s="246">
        <f t="shared" si="234"/>
        <v>35.306383869999998</v>
      </c>
      <c r="NE43" s="386">
        <f t="shared" si="235"/>
        <v>35.54638387</v>
      </c>
      <c r="NF43" s="380">
        <f t="shared" si="106"/>
        <v>35.706383869999996</v>
      </c>
      <c r="NG43" s="387">
        <f t="shared" si="236"/>
        <v>37.04638387</v>
      </c>
      <c r="NH43" s="254">
        <f t="shared" si="108"/>
        <v>39.746383870000003</v>
      </c>
      <c r="NI43" s="380">
        <f t="shared" si="109"/>
        <v>39.906383869999999</v>
      </c>
      <c r="NK43" s="388">
        <f t="shared" si="110"/>
        <v>2.5410654881406889</v>
      </c>
      <c r="NL43" s="388">
        <f t="shared" si="111"/>
        <v>137.72292228874466</v>
      </c>
      <c r="NM43" s="388">
        <f t="shared" si="112"/>
        <v>2.5410654881406889</v>
      </c>
      <c r="NN43" s="388">
        <f t="shared" si="113"/>
        <v>138.07402549394004</v>
      </c>
      <c r="NO43" s="388">
        <f t="shared" si="114"/>
        <v>2.6928895632712098</v>
      </c>
      <c r="NP43" s="388">
        <f t="shared" si="115"/>
        <v>139.00149325062534</v>
      </c>
      <c r="NQ43" s="388">
        <f t="shared" si="116"/>
        <v>2.6928895632712098</v>
      </c>
      <c r="NR43" s="388">
        <f t="shared" si="117"/>
        <v>139.36476602376467</v>
      </c>
      <c r="NS43" s="388">
        <f t="shared" si="118"/>
        <v>2.5890679947862059</v>
      </c>
      <c r="NT43" s="388">
        <f t="shared" si="119"/>
        <v>2.5890679947862059</v>
      </c>
      <c r="NU43" s="388">
        <f t="shared" si="120"/>
        <v>2.7426536814565945</v>
      </c>
      <c r="NV43" s="388">
        <f t="shared" si="121"/>
        <v>2.7426536814565945</v>
      </c>
      <c r="NW43">
        <f t="shared" si="122"/>
        <v>3.1833774836883211</v>
      </c>
      <c r="NX43">
        <f>各项系数!$M$9*NK43</f>
        <v>0.76231964644220662</v>
      </c>
      <c r="NY43">
        <f t="shared" si="123"/>
        <v>2.5890679947862054</v>
      </c>
    </row>
    <row r="44" spans="1:398" ht="15" hidden="1" customHeight="1">
      <c r="A44" s="74" t="s">
        <v>914</v>
      </c>
      <c r="B44" s="70">
        <v>1</v>
      </c>
      <c r="C44" s="67"/>
      <c r="D44" s="53" t="s">
        <v>226</v>
      </c>
      <c r="E44" s="61">
        <f t="shared" si="240"/>
        <v>41.284164830000002</v>
      </c>
      <c r="F44" s="68">
        <f>$F$28</f>
        <v>243.33587022849699</v>
      </c>
      <c r="G44" s="58"/>
      <c r="H44" s="16"/>
      <c r="I44" s="62"/>
      <c r="J44" s="16"/>
      <c r="K44" s="16"/>
      <c r="L44" s="97" t="s">
        <v>467</v>
      </c>
      <c r="M44" s="103">
        <f t="shared" si="2"/>
        <v>1.4</v>
      </c>
      <c r="N44" s="103">
        <f t="shared" ref="N44:N75" si="252">IF(EM44=0,0,VLOOKUP(EM44,$A$12:$C$46,3,0))</f>
        <v>0</v>
      </c>
      <c r="O44" s="53">
        <f t="shared" si="251"/>
        <v>0.08</v>
      </c>
      <c r="P44" s="99">
        <v>0.1</v>
      </c>
      <c r="Q44" s="133">
        <f t="shared" ref="Q44:Q53" si="253">$Q$12</f>
        <v>0.1</v>
      </c>
      <c r="R44" s="70">
        <v>0.8</v>
      </c>
      <c r="S44" s="142" t="str">
        <f>各项系数!$D$43</f>
        <v>钢带</v>
      </c>
      <c r="T44" s="53">
        <v>0.5</v>
      </c>
      <c r="U44" s="102">
        <v>2</v>
      </c>
      <c r="V44" s="140"/>
      <c r="W44" s="141">
        <v>2.2000000000000002</v>
      </c>
      <c r="X44" s="135">
        <f t="shared" ref="X44:X53" si="254">$X$12</f>
        <v>0.2</v>
      </c>
      <c r="Y44" s="135"/>
      <c r="Z44" s="168"/>
      <c r="AA44" s="153">
        <f>$AA$28</f>
        <v>1.0149999999999999</v>
      </c>
      <c r="AB44" s="153">
        <f>PI()*EJ44*EJ44/4*EH44*(1-H44)*AA44*各项系数!$F$5*各项系数!$J$4*10^-7</f>
        <v>1.2526054194523586</v>
      </c>
      <c r="AC44" s="153">
        <f t="shared" si="241"/>
        <v>243.33587022849699</v>
      </c>
      <c r="AD44" s="153">
        <f t="shared" si="5"/>
        <v>141.60853982537648</v>
      </c>
      <c r="AE44" s="153">
        <f>POWER(4*EU44/PI()/EG44/10^-7/EH44/(1-H44)/各项系数!$F$5/各项系数!$J$4,0.5)</f>
        <v>245.15409628631096</v>
      </c>
      <c r="AF44" s="69">
        <v>1</v>
      </c>
      <c r="AG44" s="69">
        <f>IF(EM44=0,0,PI()*ER44*ER44/4*EP44*(1-K44)*(1+AF44)*各项系数!$F$5*各项系数!$J$4*10^-7)</f>
        <v>0</v>
      </c>
      <c r="AH44" s="69">
        <f t="shared" si="242"/>
        <v>0</v>
      </c>
      <c r="AI44" s="69">
        <f t="shared" si="128"/>
        <v>0</v>
      </c>
      <c r="AJ44" s="69">
        <f>IF(OR(EP44="",EP44=0),0,POWER(4*EW44/PI()/EO44/10^-7/EP44/(1-K44)/各项系数!$F$5/各项系数!$J$4,0.5))</f>
        <v>0</v>
      </c>
      <c r="AK44" s="69" t="str">
        <f t="shared" si="8"/>
        <v>√</v>
      </c>
      <c r="AL44" s="69">
        <f t="shared" si="243"/>
        <v>175.07872770429108</v>
      </c>
      <c r="AM44" s="188">
        <f t="shared" si="244"/>
        <v>150</v>
      </c>
      <c r="AN44" s="97" t="s">
        <v>486</v>
      </c>
      <c r="AO44" s="196">
        <f>AP44+各项系数!$M$9*$NK44</f>
        <v>171.64581147479518</v>
      </c>
      <c r="AP44" s="196">
        <f>AQ44*(1+$BI44+(VLOOKUP($AM44,$A$12:$B$323,2,0))+各项系数!$J$6+各项系数!$M$5)*(1+$E$2)</f>
        <v>170.71558526466777</v>
      </c>
      <c r="AQ44" s="197">
        <f>AR44+各项系数!$L$9*$NK44</f>
        <v>174.1995768006814</v>
      </c>
      <c r="AR44" s="197">
        <f>AS44*(1+$BJ44+各项系数!$J$5+各项系数!$L$5)</f>
        <v>173.26935059055398</v>
      </c>
      <c r="AS44" s="197">
        <f t="shared" si="129"/>
        <v>169.87191234368038</v>
      </c>
      <c r="AT44" s="196">
        <f>AU44+各项系数!$M$9*$NM44</f>
        <v>174.31909978087756</v>
      </c>
      <c r="AU44" s="196">
        <f>AV44*(1+$BI44+(VLOOKUP($AM44,$A$12:$B$323,2,0))+各项系数!$J$6+各项系数!$M$5)*(1+$E$2)</f>
        <v>173.38887357075015</v>
      </c>
      <c r="AV44" s="197">
        <f>AW44+各项系数!$L$9*$NM44</f>
        <v>176.92742201096954</v>
      </c>
      <c r="AW44" s="197">
        <f>AX44*(1+$BJ44+各项系数!$J$5+各项系数!$L$5)</f>
        <v>175.99719580084212</v>
      </c>
      <c r="AX44" s="197">
        <f t="shared" si="130"/>
        <v>172.54627039298248</v>
      </c>
      <c r="AY44" s="196">
        <f>AZ44+各项系数!$M$9*$NS44</f>
        <v>175.17646768780301</v>
      </c>
      <c r="AZ44" s="196">
        <f>BA44*(1+$BI44+(VLOOKUP($AM44,$A$12:$B$214,2,0))+各项系数!$J$6+各项系数!$M$5)*(1+$E$2)</f>
        <v>174.23075164513517</v>
      </c>
      <c r="BA44" s="197">
        <f>BB44+各项系数!$L$9*$NS44</f>
        <v>177.78648127054609</v>
      </c>
      <c r="BB44" s="197">
        <f>BC44*(1+$BJ44+各项系数!$J$5+各项系数!$L$5)</f>
        <v>176.84076522787825</v>
      </c>
      <c r="BC44" s="199">
        <f t="shared" si="131"/>
        <v>173.3732992430179</v>
      </c>
      <c r="BD44" s="196">
        <f>BE44+各项系数!$M$9*$NS44</f>
        <v>177.86069971318537</v>
      </c>
      <c r="BE44" s="196">
        <f>BF44*(1+$BI44+(VLOOKUP($AM44,$A$12:$B$214,2,0))+各项系数!$J$6+各项系数!$M$5)*(1+$E$2)</f>
        <v>176.91498367051753</v>
      </c>
      <c r="BF44" s="197">
        <f>BG44+各项系数!$L$9*$NS44</f>
        <v>180.52549354134442</v>
      </c>
      <c r="BG44" s="197">
        <f>BH44*(1+$BJ44+各项系数!$J$5+各项系数!$L$5)</f>
        <v>179.57977749867658</v>
      </c>
      <c r="BH44" s="199">
        <f t="shared" si="132"/>
        <v>176.05860539085938</v>
      </c>
      <c r="BI44" s="213"/>
      <c r="BJ44" s="208"/>
      <c r="BK44" s="53" t="s">
        <v>514</v>
      </c>
      <c r="BL44" s="196">
        <f>BM44+各项系数!$M$9*$NM44</f>
        <v>173.70937637777325</v>
      </c>
      <c r="BM44" s="196">
        <f>BN44*(1+$CF44+(VLOOKUP($AM44,$A$12:$B$323,2,0))+各项系数!$J$6+各项系数!$M$5)*(1+$E$2)</f>
        <v>172.77915016764584</v>
      </c>
      <c r="BN44" s="197">
        <f>BO44+各项系数!$L$9*$NM44</f>
        <v>176.305255273108</v>
      </c>
      <c r="BO44" s="197">
        <f>BP44*(1+$CG44+各项系数!$J$5+各项系数!$L$5)</f>
        <v>175.37502906298059</v>
      </c>
      <c r="BP44" s="197">
        <f t="shared" si="133"/>
        <v>170.26701850774813</v>
      </c>
      <c r="BQ44" s="196">
        <f>BR44+各项系数!$M$9*$NM44</f>
        <v>176.0100532307288</v>
      </c>
      <c r="BR44" s="196">
        <f>BS44*(1+$CF44+(VLOOKUP($AM44,$A$12:$B$323,2,0))+各项系数!$J$6+各项系数!$M$5)*(1+$E$2)</f>
        <v>175.07982702060139</v>
      </c>
      <c r="BS44" s="197">
        <f>BT44+各项系数!$L$9*$NM44</f>
        <v>178.65288471489939</v>
      </c>
      <c r="BT44" s="197">
        <f>BU44*(1+$CG44+各项系数!$J$5+各项系数!$L$5)</f>
        <v>177.72265850477197</v>
      </c>
      <c r="BU44" s="197">
        <f t="shared" si="134"/>
        <v>172.54627039298248</v>
      </c>
      <c r="BV44" s="196">
        <f>BW44+各项系数!$M$9*$NT44</f>
        <v>176.35727525754919</v>
      </c>
      <c r="BW44" s="196">
        <f>BX44*(1+$CF44+(VLOOKUP($AM44,$A$12:$B$214,2,0))+各项系数!$J$6+各项系数!$M$5)*(1+$E$2)</f>
        <v>175.41155921488135</v>
      </c>
      <c r="BX44" s="197">
        <f>BY44+各项系数!$L$9*$NT$12</f>
        <v>178.99138695396056</v>
      </c>
      <c r="BY44" s="197">
        <f>BZ44*(1+$CG44+各项系数!$J$5+各项系数!$L$5)</f>
        <v>178.98312355080557</v>
      </c>
      <c r="BZ44" s="199">
        <f t="shared" si="11"/>
        <v>173.77002286485978</v>
      </c>
      <c r="CA44" s="196">
        <f>CB44+各项系数!$M$9*$NT44</f>
        <v>178.66737045929318</v>
      </c>
      <c r="CB44" s="196">
        <f>CC44*(1+$CF44+(VLOOKUP($AM44,$A$12:$B$214,2,0))+各项系数!$J$6+各项系数!$M$5)*(1+$E$2)</f>
        <v>177.72165441662534</v>
      </c>
      <c r="CC44" s="197">
        <f>CD44+各项系数!$L$9*$NT$12</f>
        <v>181.34862695574014</v>
      </c>
      <c r="CD44" s="197">
        <f>CE44*(1+$CG44+各项系数!$J$5+各项系数!$L$5)</f>
        <v>181.34036355258516</v>
      </c>
      <c r="CE44" s="199">
        <f t="shared" si="135"/>
        <v>176.05860539085938</v>
      </c>
      <c r="CF44" s="213">
        <f t="shared" si="136"/>
        <v>0</v>
      </c>
      <c r="CG44" s="213">
        <f t="shared" si="12"/>
        <v>0.01</v>
      </c>
      <c r="CH44" s="102"/>
      <c r="CI44" s="196">
        <f>CJ44+各项系数!$M$9*$NO44</f>
        <v>174.04345980275471</v>
      </c>
      <c r="CJ44" s="196">
        <f>CK44*(1+$DC44+(VLOOKUP($AM44,$A$12:$B$323,2,0))+各项系数!$J$6+各项系数!$M$5)*(1+$E$2)+各项系数!$M$9*$NK44</f>
        <v>173.06218585904148</v>
      </c>
      <c r="CK44" s="197">
        <f>CL44+各项系数!$L$9*$NO44</f>
        <v>175.64485678460619</v>
      </c>
      <c r="CL44" s="197">
        <f>CM44*(1+$DD44+各项系数!$J$5+各项系数!$L$5)</f>
        <v>174.66358284089296</v>
      </c>
      <c r="CM44" s="197">
        <f t="shared" si="13"/>
        <v>171.2388067067578</v>
      </c>
      <c r="CN44" s="196">
        <f>CO44+各项系数!$M$9*$NO44</f>
        <v>176.58930839332805</v>
      </c>
      <c r="CO44" s="196">
        <f>CP44*(1+$DC44+(VLOOKUP($AM44,$A$12:$B$323,2,0))+各项系数!$J$6+各项系数!$M$5)*(1+$E$2)+各项系数!$M$9*$NK44</f>
        <v>175.60803444961482</v>
      </c>
      <c r="CP44" s="197">
        <f>CQ44+各项系数!$L$9*$NO44</f>
        <v>178.2426614688647</v>
      </c>
      <c r="CQ44" s="197">
        <f>CR44*(1+$DD44+各项系数!$J$5+各项系数!$L$5)</f>
        <v>177.26138752515146</v>
      </c>
      <c r="CR44" s="197">
        <f t="shared" si="14"/>
        <v>173.78567404426613</v>
      </c>
      <c r="CS44" s="196">
        <f>CT44+各项系数!$M$9*$NU44</f>
        <v>176.76379741831931</v>
      </c>
      <c r="CT44" s="196">
        <f t="shared" si="15"/>
        <v>175.76650515860368</v>
      </c>
      <c r="CU44" s="197">
        <f>CV44+各项系数!$L$9*$NU44</f>
        <v>179.35357669245275</v>
      </c>
      <c r="CV44" s="197">
        <f>CW44*(1+$DD44+各项系数!$J$5+各项系数!$L$5)</f>
        <v>178.35628443273711</v>
      </c>
      <c r="CW44" s="199">
        <f t="shared" si="16"/>
        <v>174.85910238503638</v>
      </c>
      <c r="CX44" s="196">
        <f>CY44+各项系数!$M$9*$NU44</f>
        <v>179.53428965930135</v>
      </c>
      <c r="CY44" s="196">
        <f t="shared" si="17"/>
        <v>178.53699739958572</v>
      </c>
      <c r="CZ44" s="197">
        <f>DA44+各项系数!$L$9*$NU44</f>
        <v>182.180609591414</v>
      </c>
      <c r="DA44" s="197">
        <f>DB44*(1+$DD44+各项系数!$J$5+各项系数!$L$5)</f>
        <v>181.18331733169836</v>
      </c>
      <c r="DB44" s="199">
        <f t="shared" si="18"/>
        <v>177.63070326637094</v>
      </c>
      <c r="DC44" s="213">
        <f t="shared" si="137"/>
        <v>0</v>
      </c>
      <c r="DD44" s="213">
        <f t="shared" si="19"/>
        <v>0</v>
      </c>
      <c r="DE44" s="53" t="s">
        <v>498</v>
      </c>
      <c r="DF44" s="53" t="s">
        <v>513</v>
      </c>
      <c r="DG44" s="196">
        <f>DH44+各项系数!$M$9*$NQ44</f>
        <v>176.13328918293939</v>
      </c>
      <c r="DH44" s="196">
        <f>DI44*(1+$EA44+(VLOOKUP($AM44,$A$12:$B$323,2,0))+各项系数!$J$6+各项系数!$M$5)*(1+$E$2)+各项系数!$M$9*$NK44</f>
        <v>175.15201523922616</v>
      </c>
      <c r="DI44" s="197">
        <f>DJ44+各项系数!$L$9*$NQ44</f>
        <v>177.77733574397831</v>
      </c>
      <c r="DJ44" s="197">
        <f>DK44*(1+$EB44+各项系数!$J$5+各项系数!$L$5)</f>
        <v>176.79606180026508</v>
      </c>
      <c r="DK44" s="197">
        <f t="shared" si="20"/>
        <v>171.64666194200493</v>
      </c>
      <c r="DL44" s="196">
        <f>DM44+各项系数!$M$9*$NQ44</f>
        <v>178.5082030274344</v>
      </c>
      <c r="DM44" s="196">
        <f>DN44*(1+$EA44+(VLOOKUP($AM44,$A$12:$B$323,2,0))+各项系数!$J$6+各项系数!$M$5)*(1+$E$2)+各项系数!$M$9*$NK44</f>
        <v>177.52692908372117</v>
      </c>
      <c r="DN44" s="197">
        <f>DO44+各项系数!$L$9*$NQ44</f>
        <v>180.20071721795281</v>
      </c>
      <c r="DO44" s="197">
        <f>DP44*(1+$EB44+各项系数!$J$5+各项系数!$L$5)</f>
        <v>179.21944327423958</v>
      </c>
      <c r="DP44" s="197">
        <f t="shared" si="21"/>
        <v>173.99945948955298</v>
      </c>
      <c r="DQ44" s="196">
        <f>DR44+各项系数!$M$9*$NV44</f>
        <v>178.89073835802836</v>
      </c>
      <c r="DR44" s="196">
        <f t="shared" si="22"/>
        <v>177.89344609831272</v>
      </c>
      <c r="DS44" s="197">
        <f>DT44+各项系数!$L$9*$NV44</f>
        <v>181.52392459011503</v>
      </c>
      <c r="DT44" s="197">
        <f>DU44*(1+$EB44+各项系数!$J$5+各项系数!$L$5)</f>
        <v>180.52663233039939</v>
      </c>
      <c r="DU44" s="199">
        <f t="shared" si="23"/>
        <v>175.26857507805767</v>
      </c>
      <c r="DV44" s="196">
        <f>DW44+各项系数!$M$9*$NV44</f>
        <v>179.5306698923425</v>
      </c>
      <c r="DW44" s="196">
        <f t="shared" si="24"/>
        <v>178.53337763262687</v>
      </c>
      <c r="DX44" s="197">
        <f>DY44+各项系数!$L$9*$NV44</f>
        <v>182.17691595166008</v>
      </c>
      <c r="DY44" s="197">
        <f>DZ44*(1+$EB44+各项系数!$J$5+各项系数!$L$5)</f>
        <v>181.17962369194444</v>
      </c>
      <c r="DZ44" s="199">
        <f t="shared" si="25"/>
        <v>175.90254727373247</v>
      </c>
      <c r="EA44" s="213">
        <f t="shared" si="230"/>
        <v>0</v>
      </c>
      <c r="EB44" s="213">
        <f t="shared" si="27"/>
        <v>0.01</v>
      </c>
      <c r="EC44" s="235">
        <f t="shared" si="138"/>
        <v>2</v>
      </c>
      <c r="ED44" s="235" t="str">
        <f t="shared" si="180"/>
        <v>2*150</v>
      </c>
      <c r="EE44" s="189">
        <f t="shared" si="239"/>
        <v>150</v>
      </c>
      <c r="EF44" s="189" t="str">
        <f>LOOKUP(EH44,{1,7,10,14,19,24,30,37,48,61},{1,"1+6","2+8","4+10","1+6+12","2+8+14","4+10+16","1+6+12+18","3+9+15+21","1+6+12+18+24"})</f>
        <v>4+10+16</v>
      </c>
      <c r="EG44" s="188">
        <f t="shared" si="29"/>
        <v>2</v>
      </c>
      <c r="EH44" s="197">
        <f>VLOOKUP(EE44,各项系数!$B$87:$C$124,2,0)</f>
        <v>30</v>
      </c>
      <c r="EI44" s="188">
        <f>IF(EH44=0,0,VLOOKUP(EH44,各项系数!$D$142:$E$195,2,0))*1</f>
        <v>6.41</v>
      </c>
      <c r="EJ44" s="238">
        <f t="shared" si="141"/>
        <v>243.33587022849699</v>
      </c>
      <c r="EK44" s="189">
        <f t="shared" si="245"/>
        <v>0</v>
      </c>
      <c r="EL44" s="189">
        <f t="shared" si="31"/>
        <v>0</v>
      </c>
      <c r="EM44" s="189">
        <f t="shared" si="182"/>
        <v>0</v>
      </c>
      <c r="EN44" s="189">
        <f>IF(EP44=0,0,LOOKUP(EP44,{1,7,10,14,19,24,30,37,48,61},{1,"1+6","2+8","4+10","1+6+12","2+8+14","4+10+16","1+6+12+18","3+9+15+21","1+6+12+18+24"}))</f>
        <v>0</v>
      </c>
      <c r="EO44" s="189">
        <f t="shared" si="246"/>
        <v>0</v>
      </c>
      <c r="EP44" s="189">
        <f>IF(EM44=0,0,IF(EM44&lt;10,1,IF(AND(EM44&gt;=10,EM44&lt;=35),7,LOOKUP(EM44,{50,70,95,120,150,185,240,300},{10,14,19,24,30,37,48,61})*1)))</f>
        <v>0</v>
      </c>
      <c r="EQ44" s="189">
        <f>IF(EP44=0,0,VLOOKUP(EP44,各项系数!$D$142:$E$195,2,0))*1</f>
        <v>0</v>
      </c>
      <c r="ER44" s="189">
        <f t="shared" si="247"/>
        <v>0</v>
      </c>
      <c r="ES44" s="235">
        <f t="shared" si="250"/>
        <v>2</v>
      </c>
      <c r="ET44" s="189">
        <f>VLOOKUP(ES44,各项系数!$D$142:$E$195,2,0)*1</f>
        <v>2</v>
      </c>
      <c r="EU44" s="243">
        <f>((各项系数!$F$76/4*$EJ44^2*$EG44*$EH44*1*10^-7)*(1-$H44)*AA44)*(VLOOKUP($EY$9,各项系数!$D$4:$F$143,3,0))*各项系数!$J$4</f>
        <v>2.5052108389047172</v>
      </c>
      <c r="EV44" s="244">
        <f>EU44*(VLOOKUP($EY$9,各项系数!$D$4:$F$143,2,0))</f>
        <v>164.09130994825898</v>
      </c>
      <c r="EW44" s="252">
        <f>(IF($EO44=0,0,(各项系数!$F$76/4*$ER44^2*$EO44*$EP44*1*10^-7))*(1-$K44)*$AF44)*(VLOOKUP($EY$9,各项系数!$D$4:$F$143,3,0))*各项系数!$J$4</f>
        <v>0</v>
      </c>
      <c r="EX44" s="253">
        <f>EW44*(VLOOKUP($EY$9,各项系数!$D$4:$F$143,2,0))</f>
        <v>0</v>
      </c>
      <c r="EY44" s="189">
        <f>((各项系数!$F$76/4*$EJ44^2*$EG44*$EH44*1*10^-7)*(1-$H44)*AA44+IF($EO44=0,0,(各项系数!$F$76/4*$ER44^2*$EO44*$EP44*1*10^-7))*(1-$K44)*$AF44)*(VLOOKUP($EY$9,各项系数!$D$4:$F$143,3,0))*各项系数!$J$4</f>
        <v>2.5052108389047172</v>
      </c>
      <c r="EZ44" s="102">
        <v>1</v>
      </c>
      <c r="FA44" s="189">
        <f t="shared" si="188"/>
        <v>2.5052108389047172</v>
      </c>
      <c r="FB44" s="254">
        <f>FA44*(VLOOKUP($EY$9,各项系数!$D$4:$F$143,2,0))</f>
        <v>164.09130994825898</v>
      </c>
      <c r="FC44" s="255"/>
      <c r="FD44" s="235">
        <f>各项系数!$F$76/4*($MN44^2-MK44^2)*10^-2*(VLOOKUP(L44,各项系数!$D$1:$F$143,3,0))*10^-3*10^2*$EG44*各项系数!$J$4</f>
        <v>0.16365042319409634</v>
      </c>
      <c r="FE44" s="262">
        <f>FD44*VLOOKUP(L44,各项系数!$D$1:$F$143,2,0)</f>
        <v>1.6692343165797825</v>
      </c>
      <c r="FF44" s="188">
        <f>各项系数!$F$76/4*($MO44^2-ML44^2)*10^-2*(VLOOKUP(L44,各项系数!$D$1:$F$143,3,0))*10^-3*10^2*$EO44*各项系数!$J$4</f>
        <v>0</v>
      </c>
      <c r="FG44" s="262">
        <f>FF44*VLOOKUP(L44,各项系数!$D$1:$F$143,2,0)</f>
        <v>0</v>
      </c>
      <c r="FH44" s="235">
        <f t="shared" si="142"/>
        <v>0.16365042319409634</v>
      </c>
      <c r="FI44" s="102">
        <v>1</v>
      </c>
      <c r="FJ44" s="189">
        <f t="shared" si="189"/>
        <v>0.16365042319409634</v>
      </c>
      <c r="FK44" s="262">
        <f>FJ44*VLOOKUP(L44,各项系数!$D$1:$F$143,2,0)</f>
        <v>1.6692343165797825</v>
      </c>
      <c r="FL44" s="235"/>
      <c r="FM44" s="102"/>
      <c r="FN44" s="189"/>
      <c r="FO44" s="262"/>
      <c r="FP44" s="282">
        <f t="shared" si="190"/>
        <v>0.16365042319409634</v>
      </c>
      <c r="FQ44" s="282">
        <f t="shared" si="191"/>
        <v>1.6692343165797825</v>
      </c>
      <c r="FR44" s="283">
        <f>各项系数!$F$76/4*($MQ44^2-$MN44^2*$EG44-$MO44^2*$EO44)*10^-2</f>
        <v>5.3168333209203524</v>
      </c>
      <c r="FS44" s="284">
        <f t="shared" si="143"/>
        <v>0.05</v>
      </c>
      <c r="FT44" s="285">
        <f t="shared" si="40"/>
        <v>0.26584166604601761</v>
      </c>
      <c r="FU44" s="302">
        <f>$FT44*(VLOOKUP($FT$9,各项系数!$D$1:$F$143,3,0))*10^-3*10^2*各项系数!$J$55</f>
        <v>3.1741494925894509E-2</v>
      </c>
      <c r="FV44" s="303">
        <v>1</v>
      </c>
      <c r="FW44" s="304">
        <f t="shared" si="192"/>
        <v>3.1741494925894509E-2</v>
      </c>
      <c r="FX44" s="285">
        <f>FW44*(VLOOKUP($FT$9,各项系数!$D$1:$F$143,2,0))</f>
        <v>9.5224484777683527E-2</v>
      </c>
      <c r="FY44" s="302">
        <f>IF($BK44&lt;&gt;$FY$9,0,各项系数!$F$76/4*($MS44^2-$MQ44^2)*10^-2*(VLOOKUP($FY$9,各项系数!$D$1:$F$143,3,0))*10^-3*10^2)*各项系数!$J$4</f>
        <v>0</v>
      </c>
      <c r="FZ44" s="303">
        <v>1</v>
      </c>
      <c r="GA44" s="304">
        <f t="shared" si="193"/>
        <v>0</v>
      </c>
      <c r="GB44" s="285">
        <f>GA44*(VLOOKUP($FY$9,各项系数!$D$1:$F$143,2,0))</f>
        <v>0</v>
      </c>
      <c r="GC44" s="302">
        <f>IF($BK44&lt;&gt;$GC$9,0,各项系数!$F$76/4*($MS44^2-$MQ44^2)*10^-2*(VLOOKUP($GC$9,各项系数!$D$1:$F$143,3,0))*10^-3*10^2)*各项系数!$J$4</f>
        <v>5.0451126656188717E-3</v>
      </c>
      <c r="GD44" s="303">
        <v>1</v>
      </c>
      <c r="GE44" s="304">
        <f t="shared" si="194"/>
        <v>5.0451126656188717E-3</v>
      </c>
      <c r="GF44" s="285">
        <f>GE44*(VLOOKUP($GC$9,各项系数!$D$1:$F$143,2,0))</f>
        <v>6.508195338648344E-2</v>
      </c>
      <c r="GG44" s="302">
        <f>IF($BK44&lt;&gt;$GG$9,0,各项系数!$F$76/4*($MS44^2-$MQ44^2)*10^-2*(VLOOKUP($GG$9,各项系数!$D$1:$F$143,3,0))*10^-3*10^2)*各项系数!$J$4</f>
        <v>0</v>
      </c>
      <c r="GH44" s="303">
        <v>1</v>
      </c>
      <c r="GI44" s="304">
        <f t="shared" si="195"/>
        <v>0</v>
      </c>
      <c r="GJ44" s="285">
        <f>GI44*(VLOOKUP($GG$9,各项系数!$D$1:$F$143,2,0))</f>
        <v>0</v>
      </c>
      <c r="GK44" s="302">
        <f>IF($BK44&lt;&gt;$GK$9,0,各项系数!$F$76/4*($MS44^2-$MQ44^2)*10^-2*(VLOOKUP($GK$9,各项系数!$D$1:$F$143,3,0))*10^-3*10^2)*各项系数!$J$4</f>
        <v>0</v>
      </c>
      <c r="GL44" s="303">
        <v>1</v>
      </c>
      <c r="GM44" s="304">
        <f t="shared" si="196"/>
        <v>0</v>
      </c>
      <c r="GN44" s="285">
        <f>GM44*(VLOOKUP($GK$9,各项系数!$D$1:$F$143,2,0))</f>
        <v>0</v>
      </c>
      <c r="GO44" s="304">
        <f t="shared" si="197"/>
        <v>5.0451126656188717E-3</v>
      </c>
      <c r="GP44" s="304">
        <f t="shared" si="198"/>
        <v>6.508195338648344E-2</v>
      </c>
      <c r="GQ44" s="315">
        <f>各项系数!$F$76/4*($MU44^2-$MS44^2)*10^-2*(VLOOKUP($S44,各项系数!$D$1:$F$143,3,0))*10^-3*10^2*各项系数!$J$4</f>
        <v>0.68995894999473006</v>
      </c>
      <c r="GR44" s="303">
        <v>1</v>
      </c>
      <c r="GS44" s="304">
        <f t="shared" si="199"/>
        <v>0.68995894999473006</v>
      </c>
      <c r="GT44" s="304">
        <f t="shared" si="200"/>
        <v>0</v>
      </c>
      <c r="GU44" s="304">
        <f>ROUND($GS44*(VLOOKUP($S44,各项系数!$D$1:$F$143,2,0))+$E$3*GS44,GT44)</f>
        <v>4</v>
      </c>
      <c r="GV44" s="315">
        <f>各项系数!$F$76/4*($MT44^2-$MS44^2)*10^-2*(VLOOKUP($GV$9,各项系数!$D$1:$F$143,3,0))*10^-3*10^2*各项系数!$J$4*PI()/4*R44</f>
        <v>5.1632775134754116E-2</v>
      </c>
      <c r="GW44" s="303">
        <v>1</v>
      </c>
      <c r="GX44" s="304">
        <f t="shared" si="201"/>
        <v>5.1632775134754116E-2</v>
      </c>
      <c r="GY44" s="304">
        <f>$GX44*(VLOOKUP($GV$9,各项系数!$D$1:$F$143,2,0))</f>
        <v>3.485212321595903</v>
      </c>
      <c r="GZ44" s="315">
        <f>各项系数!$F$76/4*($MV44^2-$MS44^2)*10^-2*(VLOOKUP($GZ$9,各项系数!$D$1:$F$143,3,0))*10^-3*10^2*各项系数!$J$4</f>
        <v>0.38973056999879857</v>
      </c>
      <c r="HA44" s="303">
        <v>1</v>
      </c>
      <c r="HB44" s="304">
        <f t="shared" si="144"/>
        <v>0.38973056999879857</v>
      </c>
      <c r="HC44" s="304">
        <f>HB44*(VLOOKUP($GZ$9,各项系数!$D$1:$F$143,2,0))</f>
        <v>6.6254196899795756</v>
      </c>
      <c r="HD44" s="315">
        <f>各项系数!$F$76/4*($MW44^2-$MT44^2)*10^-2*(VLOOKUP($HD$9,各项系数!$D$1:$F$143,3,0))*10^-3*10^2*各项系数!$J$4</f>
        <v>0.39132602154473917</v>
      </c>
      <c r="HE44" s="303">
        <v>1</v>
      </c>
      <c r="HF44" s="304">
        <f t="shared" si="145"/>
        <v>0.39132602154473917</v>
      </c>
      <c r="HG44" s="304">
        <f>HF44*(VLOOKUP($HD$9,各项系数!$D$1:$F$143,2,0))</f>
        <v>6.6525423662605654</v>
      </c>
      <c r="HH44" s="315">
        <f>各项系数!$F$76/4*($MV44^2-$MS44^2)*10^-2*(VLOOKUP($HH$9,各项系数!$D$1:$F$143,3,0))*10^-3*10^2*各项系数!$J$4</f>
        <v>0.38973056999879857</v>
      </c>
      <c r="HI44" s="322">
        <v>1</v>
      </c>
      <c r="HJ44" s="304">
        <f t="shared" si="146"/>
        <v>0.38973056999879857</v>
      </c>
      <c r="HK44" s="304">
        <f>HJ44*(VLOOKUP($HH$9,各项系数!$D$1:$F$143,2,0))</f>
        <v>6.6254196899795756</v>
      </c>
      <c r="HL44" s="315">
        <f>各项系数!$F$76/4*($MW44^2-$MT44^2)*10^-2*(VLOOKUP($HL$9,各项系数!$D$1:$F$143,3,0))*10^-3*10^2*各项系数!$J$4</f>
        <v>0.39132602154473917</v>
      </c>
      <c r="HM44" s="322">
        <v>1</v>
      </c>
      <c r="HN44" s="304">
        <f t="shared" si="147"/>
        <v>0.39132602154473917</v>
      </c>
      <c r="HO44" s="304">
        <f>HN44*(VLOOKUP($HL$9,各项系数!$D$1:$F$143,2,0))</f>
        <v>6.6525423662605654</v>
      </c>
      <c r="HP44" s="315">
        <f>各项系数!$F$76/4*($MV44^2-$MS44^2)*10^-2*(VLOOKUP(AN44,各项系数!$D$1:$F$143,3,0))*10^-3*10^2*各项系数!$J$4</f>
        <v>0.39510616406774757</v>
      </c>
      <c r="HQ44" s="303">
        <v>1</v>
      </c>
      <c r="HR44" s="304">
        <f t="shared" si="202"/>
        <v>0.39510616406774757</v>
      </c>
      <c r="HS44" s="304">
        <f>HR44*(VLOOKUP(AN44,各项系数!$D$1:$F$143,2,0))</f>
        <v>3.9510616406774757</v>
      </c>
      <c r="HT44" s="315">
        <f>各项系数!$F$76/4*($MW44^2-$MT44^2)*10^-2*(VLOOKUP(AN44,各项系数!$D$1:$F$143,3,0))*10^-3*10^2*各项系数!$J$4</f>
        <v>0.3967236218419079</v>
      </c>
      <c r="HU44" s="303">
        <v>1</v>
      </c>
      <c r="HV44" s="304">
        <f t="shared" si="203"/>
        <v>0.3967236218419079</v>
      </c>
      <c r="HW44" s="304">
        <f>HV44*(VLOOKUP(AN44,各项系数!$D$1:$F$143,2,0))</f>
        <v>3.967236218419079</v>
      </c>
      <c r="HX44" s="315">
        <f>各项系数!$F$76/4*($MV44^2-$MS44^2)*10^-2*(VLOOKUP($HX$9,各项系数!$D$1:$F$143,3,0))*10^-3*10^2*各项系数!$J$4</f>
        <v>0.39510616406774757</v>
      </c>
      <c r="HY44" s="322">
        <v>1</v>
      </c>
      <c r="HZ44" s="304">
        <f t="shared" si="204"/>
        <v>0.39510616406774757</v>
      </c>
      <c r="IA44" s="304">
        <f>HZ44*(VLOOKUP($HX$9,各项系数!$D$1:$F$143,2,0))</f>
        <v>4.3461678047452228</v>
      </c>
      <c r="IB44" s="315">
        <f>各项系数!$F$76/4*($MW44^2-$MT44^2)*10^-2*(VLOOKUP($IB$9,各项系数!$D$1:$F$143,3,0))*10^-3*10^2*各项系数!$J$4</f>
        <v>0.3967236218419079</v>
      </c>
      <c r="IC44" s="322">
        <v>1</v>
      </c>
      <c r="ID44" s="304">
        <f t="shared" si="205"/>
        <v>0.3967236218419079</v>
      </c>
      <c r="IE44" s="304">
        <f>ID44*(VLOOKUP($IB$9,各项系数!$D$1:$F$143,2,0))</f>
        <v>4.3639598402609874</v>
      </c>
      <c r="IF44" s="328"/>
      <c r="IG44" s="315">
        <f t="shared" si="148"/>
        <v>4.4725303011999208E-2</v>
      </c>
      <c r="IH44" s="303">
        <v>1</v>
      </c>
      <c r="II44" s="304">
        <f t="shared" si="206"/>
        <v>4.4725303011999208E-2</v>
      </c>
      <c r="IJ44" s="304">
        <f>II44*(VLOOKUP($IG$8,各项系数!$D$1:$F$143,2,0))</f>
        <v>1.1181325752999802</v>
      </c>
      <c r="IK44" s="315">
        <f>(各项系数!$F$76/4*($MX44^2-$MK44^2)*$EG44)*10^-2*(VLOOKUP($IG$8,各项系数!$D$1:$F$143,3,0))*10^-3*10^2*各项系数!$J$4</f>
        <v>4.4725303011999208E-2</v>
      </c>
      <c r="IL44" s="303">
        <f>IK44*(VLOOKUP($IG$8,各项系数!$D$1:$F$143,2,0))</f>
        <v>1.1181325752999802</v>
      </c>
      <c r="IM44" s="304">
        <f>(各项系数!$F$76/4*(($MM44+3*$X44)^2-MM44^2)*$EO44)*10^-2*(VLOOKUP($IG$8,各项系数!$D$1:$F$143,3,0))*10^-3*10^2*各项系数!$J$4</f>
        <v>0</v>
      </c>
      <c r="IN44" s="303">
        <f>IM44*(VLOOKUP($IG$8,各项系数!$D$1:$F$143,2,0))</f>
        <v>0</v>
      </c>
      <c r="IO44" s="315">
        <f>各项系数!$F$76/4*($MZ44^2-$MX44^2)*10^-2*(VLOOKUP(L44,各项系数!$D$1:$F$143,3,0))*10^-3*10^2*$ES44*各项系数!$J$4</f>
        <v>0.16942705810181119</v>
      </c>
      <c r="IP44" s="303">
        <v>1</v>
      </c>
      <c r="IQ44" s="304">
        <f t="shared" si="207"/>
        <v>0.16942705810181119</v>
      </c>
      <c r="IR44" s="285">
        <f>IQ44*(VLOOKUP(L44,各项系数!$D$1:$F$143,2,0))</f>
        <v>1.728155992638474</v>
      </c>
      <c r="IS44" s="315">
        <f>IF($L44&lt;&gt;$IS$9,0,各项系数!$F$76/4*($MZ44^2-$MX44^2)*10^-2*各项系数!$F$12*10^-3*10^2)*$ES44*各项系数!$J$4</f>
        <v>0</v>
      </c>
      <c r="IT44" s="303">
        <v>1</v>
      </c>
      <c r="IU44" s="304">
        <f t="shared" si="208"/>
        <v>0</v>
      </c>
      <c r="IV44" s="285">
        <f>IU44*各项系数!$E$12</f>
        <v>0</v>
      </c>
      <c r="IW44" s="302">
        <f t="shared" si="209"/>
        <v>0.16942705810181119</v>
      </c>
      <c r="IX44" s="302">
        <f t="shared" si="210"/>
        <v>1.728155992638474</v>
      </c>
      <c r="IY44" s="339">
        <f>各项系数!$F$76/4*($NB44^2-$MZ44^2*$EG44-$NA44^2*$EO44)*10^-2</f>
        <v>5.6692790993566042</v>
      </c>
      <c r="IZ44" s="284">
        <f t="shared" si="231"/>
        <v>0.05</v>
      </c>
      <c r="JA44" s="285">
        <f t="shared" si="64"/>
        <v>0.28346395496783022</v>
      </c>
      <c r="JB44" s="282">
        <f>IF($DE44&lt;&gt;$JB$9,0,$JA44*各项系数!$F$32*10^-3*10^2)*各项系数!$J$4</f>
        <v>0</v>
      </c>
      <c r="JC44" s="102">
        <v>1</v>
      </c>
      <c r="JD44" s="189">
        <f t="shared" si="211"/>
        <v>0</v>
      </c>
      <c r="JE44" s="262">
        <f>JD44*各项系数!$E$32</f>
        <v>0</v>
      </c>
      <c r="JF44" s="282">
        <f>IF($DE44&lt;&gt;$JF$9,0,$JA44*VLOOKUP($JF$9,各项系数!$D$4:$F$540,2,0)*10^-3*10^2)*各项系数!$J$4</f>
        <v>0.14102331759649553</v>
      </c>
      <c r="JG44" s="102">
        <v>1</v>
      </c>
      <c r="JH44" s="189">
        <f t="shared" si="66"/>
        <v>0.14102331759649553</v>
      </c>
      <c r="JI44" s="262">
        <f>JH44*VLOOKUP($JF$9,各项系数!$D$4:$F$540,3,0)</f>
        <v>0.16922798111579462</v>
      </c>
      <c r="JJ44" s="282">
        <f t="shared" si="212"/>
        <v>0.14102331759649553</v>
      </c>
      <c r="JK44" s="189">
        <f t="shared" si="213"/>
        <v>0.16922798111579462</v>
      </c>
      <c r="JL44" s="282">
        <f>IF($DF44&lt;&gt;$JL$9,0,各项系数!$F$76/4*($NE44^2-$NC44^2)*10^-2*各项系数!$F$39*10^-3*10^2)*各项系数!$J$4</f>
        <v>2.6713928486677037E-3</v>
      </c>
      <c r="JM44" s="102">
        <v>1</v>
      </c>
      <c r="JN44" s="189">
        <f t="shared" si="214"/>
        <v>2.6713928486677037E-3</v>
      </c>
      <c r="JO44" s="262">
        <f>JN44*各项系数!$E$39</f>
        <v>5.3427856973354074E-2</v>
      </c>
      <c r="JP44" s="282">
        <f>IF($DF44&lt;&gt;$JP$9,0,各项系数!$F$76/4*($NE44^2-$NC44^2)*10^-2*各项系数!$F$36*10^-3*10^2)*各项系数!$J$4</f>
        <v>0</v>
      </c>
      <c r="JQ44" s="102">
        <v>1</v>
      </c>
      <c r="JR44" s="189">
        <f t="shared" si="215"/>
        <v>0</v>
      </c>
      <c r="JS44" s="262">
        <f>JR44*各项系数!$E$36</f>
        <v>0</v>
      </c>
      <c r="JT44" s="282">
        <f>IF($DF44&lt;&gt;$JT$9,0,各项系数!$F$76/4*($NE44^2-$NC44^2)*10^-2*各项系数!$F$40*10^-3*10^2)*各项系数!$J$4</f>
        <v>0</v>
      </c>
      <c r="JU44" s="102">
        <v>1</v>
      </c>
      <c r="JV44" s="189">
        <f t="shared" si="216"/>
        <v>0</v>
      </c>
      <c r="JW44" s="262">
        <f>JV44*各项系数!$E$40</f>
        <v>0</v>
      </c>
      <c r="JX44" s="282">
        <f>IF($DF44&lt;&gt;$JX$9,0,各项系数!$F$76/4*($NE44^2-$NC44^2)*10^-2*各项系数!$F$38*10^-3*10^2)*各项系数!$J$4</f>
        <v>0</v>
      </c>
      <c r="JY44" s="102">
        <v>1</v>
      </c>
      <c r="JZ44" s="189">
        <f t="shared" si="217"/>
        <v>0</v>
      </c>
      <c r="KA44" s="262">
        <f>JZ44*各项系数!$E$38</f>
        <v>0</v>
      </c>
      <c r="KB44" s="282">
        <f>IF($DF44&lt;&gt;$KB$9,0,各项系数!$F$76/4*($NE44^2-$NC44^2)*10^-2*各项系数!$F$41*10^-3*10^2)*各项系数!$J$4</f>
        <v>0</v>
      </c>
      <c r="KC44" s="102">
        <v>1</v>
      </c>
      <c r="KD44" s="189">
        <f t="shared" si="218"/>
        <v>0</v>
      </c>
      <c r="KE44" s="262">
        <f>KD44*各项系数!$E$41</f>
        <v>0</v>
      </c>
      <c r="KF44" s="189">
        <f t="shared" si="219"/>
        <v>2.6713928486677037E-3</v>
      </c>
      <c r="KG44" s="189">
        <f t="shared" si="220"/>
        <v>5.3427856973354074E-2</v>
      </c>
      <c r="KH44" s="235">
        <f>各项系数!$F$76/4*($NG44^2-$NE44^2)*10^-2*各项系数!$F$44*10^-3*10^2*各项系数!$J$4*0.75*$U44</f>
        <v>1.0696199196428577</v>
      </c>
      <c r="KI44" s="102">
        <v>1</v>
      </c>
      <c r="KJ44" s="189">
        <f t="shared" si="221"/>
        <v>1.0696199196428577</v>
      </c>
      <c r="KK44" s="189">
        <f>ROUND(KJ44*各项系数!$E$43,GT44)</f>
        <v>6</v>
      </c>
      <c r="KL44" s="235">
        <f>各项系数!$F$76/4*($NF44^2-$NE44^2)*10^-2*各项系数!$F$46*10^-3*10^2*各项系数!$J$4*PI()/4*R44</f>
        <v>5.3394386674622166E-2</v>
      </c>
      <c r="KM44" s="102">
        <v>1</v>
      </c>
      <c r="KN44" s="189">
        <f t="shared" si="222"/>
        <v>5.3394386674622166E-2</v>
      </c>
      <c r="KO44" s="189">
        <f>KN44*各项系数!$E$46</f>
        <v>3.6041211005369962</v>
      </c>
      <c r="KP44" s="235">
        <f>各项系数!$F$76/4*($NH44^2-$NE44^2)*10^-2*(VLOOKUP($KP$9,各项系数!$D$1:$F$143,3,0))*10^-3*10^2*各项系数!$J$4</f>
        <v>0.4023061844274351</v>
      </c>
      <c r="KQ44" s="102">
        <v>1</v>
      </c>
      <c r="KR44" s="189">
        <f t="shared" si="150"/>
        <v>0.4023061844274351</v>
      </c>
      <c r="KS44" s="189">
        <f>KR44*(VLOOKUP($KP$9,各项系数!$D$1:$F$143,2,0))</f>
        <v>6.839205135266397</v>
      </c>
      <c r="KT44" s="235">
        <f>各项系数!$F$76/4*($NI44^2-$NF44^2)*10^-2*(VLOOKUP($KT$9,各项系数!$D$1:$F$143,3,0))*10^-3*10^2*各项系数!$J$4</f>
        <v>0.40390163597337525</v>
      </c>
      <c r="KU44" s="102">
        <v>1</v>
      </c>
      <c r="KV44" s="189">
        <f t="shared" si="151"/>
        <v>0.40390163597337525</v>
      </c>
      <c r="KW44" s="189">
        <f>KV44*(VLOOKUP($KT$9,各项系数!$D$1:$F$143,2,0))</f>
        <v>6.8663278115473796</v>
      </c>
      <c r="KX44" s="189">
        <f>各项系数!$F$76/4*($NH44^2-$NE44^2)*10^-2*(VLOOKUP($KX$9,各项系数!$D$1:$F$143,3,0))*10^-3*10^2*各项系数!$J$4</f>
        <v>0.4023061844274351</v>
      </c>
      <c r="KY44" s="353">
        <v>1</v>
      </c>
      <c r="KZ44" s="189">
        <f t="shared" si="152"/>
        <v>0.4023061844274351</v>
      </c>
      <c r="LA44" s="189">
        <f>KZ44*(VLOOKUP($KX$9,各项系数!$D$1:$F$143,2,0))</f>
        <v>6.839205135266397</v>
      </c>
      <c r="LB44" s="189">
        <f>各项系数!$F$76/4*($NI44^2-$NF44^2)*10^-2*(VLOOKUP($LB$9,各项系数!$D$1:$F$143,3,0))*10^-3*10^2*各项系数!$J$4</f>
        <v>0.40390163597337525</v>
      </c>
      <c r="LC44" s="353">
        <v>1</v>
      </c>
      <c r="LD44" s="189">
        <f t="shared" si="153"/>
        <v>0.40390163597337525</v>
      </c>
      <c r="LE44" s="189">
        <f>LD44*(VLOOKUP($LB$9,各项系数!$D$1:$F$143,2,0))</f>
        <v>6.8663278115473796</v>
      </c>
      <c r="LF44" s="235">
        <f>各项系数!$F$76/4*($NH44^2-$NE44^2)*10^-2*(VLOOKUP(AN44,各项系数!$D$1:$F$143,3,0))*10^-3*10^2*各项系数!$J$4</f>
        <v>0.4078552352471238</v>
      </c>
      <c r="LG44" s="102">
        <v>1</v>
      </c>
      <c r="LH44" s="189">
        <f t="shared" si="223"/>
        <v>0.4078552352471238</v>
      </c>
      <c r="LI44" s="189">
        <f>LH44*(VLOOKUP(AN44,各项系数!$D$1:$F$143,2,0))</f>
        <v>4.0785523524712382</v>
      </c>
      <c r="LJ44" s="235">
        <f>各项系数!$F$76/4*($NI44^2-$NF44^2)*10^-2*(VLOOKUP(AN44,各项系数!$D$1:$F$143,3,0))*10^-3*10^2*各项系数!$J$4</f>
        <v>0.40947269302128392</v>
      </c>
      <c r="LK44" s="102">
        <v>1</v>
      </c>
      <c r="LL44" s="189">
        <f t="shared" si="224"/>
        <v>0.40947269302128392</v>
      </c>
      <c r="LM44" s="189">
        <f>LL44*(VLOOKUP(AN44,各项系数!$D$1:$F$143,2,0))</f>
        <v>4.0947269302128388</v>
      </c>
      <c r="LN44" s="189">
        <f>各项系数!$F$76/4*($NH44^2-$NE44^2)*10^-2*(VLOOKUP($LN$9,各项系数!$D$1:$F$143,3,0))*10^-3*10^2*各项系数!$J$4</f>
        <v>0.4078552352471238</v>
      </c>
      <c r="LO44" s="353">
        <v>1</v>
      </c>
      <c r="LP44" s="189">
        <f t="shared" si="225"/>
        <v>0.4078552352471238</v>
      </c>
      <c r="LQ44" s="189">
        <f>LP44*(VLOOKUP($LN$9,各项系数!$D$1:$F$143,2,0))</f>
        <v>4.4864075877183618</v>
      </c>
      <c r="LR44" s="189">
        <f>各项系数!$F$76/4*($NI44^2-$NF44^2)*10^-2*(VLOOKUP($LR$9,各项系数!$D$1:$F$143,3,0))*10^-3*10^2*各项系数!$J$4</f>
        <v>0.40947269302128392</v>
      </c>
      <c r="LS44" s="353">
        <v>1</v>
      </c>
      <c r="LT44" s="189">
        <f t="shared" si="226"/>
        <v>0.40947269302128392</v>
      </c>
      <c r="LU44" s="189">
        <f>LT44*(VLOOKUP($LR$9,各项系数!$D$1:$F$143,2,0))</f>
        <v>4.5041996232341228</v>
      </c>
      <c r="LV44" s="227">
        <f t="shared" si="154"/>
        <v>382.16261651999997</v>
      </c>
      <c r="LW44" s="227">
        <f t="shared" si="155"/>
        <v>279.03160503999999</v>
      </c>
      <c r="LX44" s="227">
        <f t="shared" si="156"/>
        <v>18.848715440789363</v>
      </c>
      <c r="LY44" s="227">
        <f t="shared" si="157"/>
        <v>103.13101147999998</v>
      </c>
      <c r="LZ44" s="374">
        <f t="shared" si="86"/>
        <v>1</v>
      </c>
      <c r="MA44" s="375">
        <f t="shared" si="87"/>
        <v>382.16261651999997</v>
      </c>
      <c r="MB44" s="375">
        <f t="shared" si="158"/>
        <v>15.59782927</v>
      </c>
      <c r="MC44" s="227">
        <f t="shared" si="159"/>
        <v>0</v>
      </c>
      <c r="MD44" s="227">
        <f t="shared" si="160"/>
        <v>0</v>
      </c>
      <c r="ME44" s="227">
        <f t="shared" si="161"/>
        <v>0</v>
      </c>
      <c r="MF44" s="227">
        <f t="shared" si="162"/>
        <v>0</v>
      </c>
      <c r="MG44" s="374">
        <f t="shared" si="163"/>
        <v>1</v>
      </c>
      <c r="MH44" s="375">
        <f t="shared" si="88"/>
        <v>0</v>
      </c>
      <c r="MI44" s="375">
        <f t="shared" si="164"/>
        <v>0</v>
      </c>
      <c r="MJ44" s="189">
        <f t="shared" si="89"/>
        <v>15.59782927</v>
      </c>
      <c r="MK44" s="189">
        <f t="shared" si="165"/>
        <v>15.59782927</v>
      </c>
      <c r="ML44" s="189">
        <f t="shared" si="227"/>
        <v>0</v>
      </c>
      <c r="MM44" s="189">
        <f t="shared" si="91"/>
        <v>0</v>
      </c>
      <c r="MN44" s="189">
        <f t="shared" si="92"/>
        <v>18.397829269999999</v>
      </c>
      <c r="MO44" s="189">
        <f t="shared" si="166"/>
        <v>0</v>
      </c>
      <c r="MP44" s="189">
        <f t="shared" si="167"/>
        <v>36.795658539999998</v>
      </c>
      <c r="MQ44" s="189">
        <f t="shared" si="228"/>
        <v>36.795658539999998</v>
      </c>
      <c r="MR44" s="246">
        <f t="shared" si="168"/>
        <v>36.708164830000001</v>
      </c>
      <c r="MS44" s="380">
        <f t="shared" si="94"/>
        <v>36.884164830000003</v>
      </c>
      <c r="MT44" s="380">
        <f t="shared" si="95"/>
        <v>37.04416483</v>
      </c>
      <c r="MU44" s="380">
        <f t="shared" si="232"/>
        <v>38.384164830000003</v>
      </c>
      <c r="MV44" s="380">
        <f t="shared" si="97"/>
        <v>41.284164830000002</v>
      </c>
      <c r="MW44" s="380">
        <f t="shared" si="98"/>
        <v>41.444164829999998</v>
      </c>
      <c r="MX44" s="254">
        <f t="shared" si="233"/>
        <v>16.19782927</v>
      </c>
      <c r="MY44" s="254">
        <f t="shared" si="100"/>
        <v>0</v>
      </c>
      <c r="MZ44" s="189">
        <f t="shared" si="101"/>
        <v>18.99782927</v>
      </c>
      <c r="NA44" s="189">
        <f t="shared" si="102"/>
        <v>0</v>
      </c>
      <c r="NB44" s="189">
        <f t="shared" si="169"/>
        <v>37.995658540000001</v>
      </c>
      <c r="NC44" s="254">
        <f t="shared" si="229"/>
        <v>37.995658540000001</v>
      </c>
      <c r="ND44" s="246">
        <f t="shared" si="234"/>
        <v>37.905311439999998</v>
      </c>
      <c r="NE44" s="386">
        <f t="shared" si="235"/>
        <v>38.14531144</v>
      </c>
      <c r="NF44" s="380">
        <f t="shared" si="106"/>
        <v>38.305311439999997</v>
      </c>
      <c r="NG44" s="387">
        <f t="shared" si="236"/>
        <v>39.64531144</v>
      </c>
      <c r="NH44" s="254">
        <f t="shared" si="108"/>
        <v>42.545311439999999</v>
      </c>
      <c r="NI44" s="380">
        <f t="shared" si="109"/>
        <v>42.705311439999996</v>
      </c>
      <c r="NK44" s="388">
        <f t="shared" si="110"/>
        <v>3.1007540337580743</v>
      </c>
      <c r="NL44" s="388">
        <f t="shared" si="111"/>
        <v>169.87191234368038</v>
      </c>
      <c r="NM44" s="388">
        <f t="shared" si="112"/>
        <v>3.1007540337580743</v>
      </c>
      <c r="NN44" s="388">
        <f t="shared" si="113"/>
        <v>170.26701850774813</v>
      </c>
      <c r="NO44" s="388">
        <f t="shared" si="114"/>
        <v>3.2709131457108143</v>
      </c>
      <c r="NP44" s="388">
        <f t="shared" si="115"/>
        <v>171.23880670675783</v>
      </c>
      <c r="NQ44" s="388">
        <f t="shared" si="116"/>
        <v>3.2709131457108143</v>
      </c>
      <c r="NR44" s="388">
        <f t="shared" si="117"/>
        <v>171.64666194200493</v>
      </c>
      <c r="NS44" s="388">
        <f t="shared" si="118"/>
        <v>3.1523868088928286</v>
      </c>
      <c r="NT44" s="388">
        <f t="shared" si="119"/>
        <v>3.1523868088928286</v>
      </c>
      <c r="NU44" s="388">
        <f t="shared" si="120"/>
        <v>3.3243075323854363</v>
      </c>
      <c r="NV44" s="388">
        <f t="shared" si="121"/>
        <v>3.3243075323854363</v>
      </c>
      <c r="NW44">
        <f t="shared" si="122"/>
        <v>3.7907129837528046</v>
      </c>
      <c r="NX44">
        <f>各项系数!$M$9*NK44</f>
        <v>0.93022621012742224</v>
      </c>
      <c r="NY44">
        <f t="shared" si="123"/>
        <v>3.1523868088928286</v>
      </c>
    </row>
    <row r="45" spans="1:398" ht="15" hidden="1" customHeight="1">
      <c r="A45" s="74" t="s">
        <v>915</v>
      </c>
      <c r="B45" s="70">
        <v>1</v>
      </c>
      <c r="C45" s="67"/>
      <c r="D45" s="53" t="s">
        <v>321</v>
      </c>
      <c r="E45" s="54">
        <f t="shared" si="240"/>
        <v>45.592921410000002</v>
      </c>
      <c r="F45" s="68">
        <f>$F$29</f>
        <v>245.09808262108001</v>
      </c>
      <c r="G45" s="58"/>
      <c r="H45" s="16"/>
      <c r="I45" s="62"/>
      <c r="J45" s="16"/>
      <c r="K45" s="16"/>
      <c r="L45" s="97" t="s">
        <v>467</v>
      </c>
      <c r="M45" s="103">
        <f t="shared" si="2"/>
        <v>1.6</v>
      </c>
      <c r="N45" s="103">
        <f t="shared" si="252"/>
        <v>0</v>
      </c>
      <c r="O45" s="53">
        <f t="shared" si="251"/>
        <v>0.08</v>
      </c>
      <c r="P45" s="99">
        <v>0.1</v>
      </c>
      <c r="Q45" s="133">
        <f t="shared" si="253"/>
        <v>0.1</v>
      </c>
      <c r="R45" s="70">
        <v>0.8</v>
      </c>
      <c r="S45" s="142" t="str">
        <f>各项系数!$D$43</f>
        <v>钢带</v>
      </c>
      <c r="T45" s="53">
        <v>0.5</v>
      </c>
      <c r="U45" s="102">
        <v>2</v>
      </c>
      <c r="V45" s="140"/>
      <c r="W45" s="141">
        <v>2.4</v>
      </c>
      <c r="X45" s="135">
        <f t="shared" si="254"/>
        <v>0.2</v>
      </c>
      <c r="Y45" s="135"/>
      <c r="Z45" s="168"/>
      <c r="AA45" s="153">
        <f>$AA$29</f>
        <v>1.0149999999999999</v>
      </c>
      <c r="AB45" s="153">
        <f>PI()*EJ45*EJ45/4*EH45*(1-H45)*AA45*各项系数!$F$5*各项系数!$J$4*10^-7</f>
        <v>1.5673367508788369</v>
      </c>
      <c r="AC45" s="153">
        <f t="shared" si="241"/>
        <v>245.09808262108001</v>
      </c>
      <c r="AD45" s="153">
        <f t="shared" si="5"/>
        <v>177.18929302065297</v>
      </c>
      <c r="AE45" s="153">
        <f>POWER(4*EU45/PI()/EG45/10^-7/EH45/(1-H45)/各项系数!$F$5/各项系数!$J$4,0.5)</f>
        <v>246.92947607788284</v>
      </c>
      <c r="AF45" s="69">
        <v>1</v>
      </c>
      <c r="AG45" s="69">
        <f>IF(EM45=0,0,PI()*ER45*ER45/4*EP45*(1-K45)*(1+AF45)*各项系数!$F$5*各项系数!$J$4*10^-7)</f>
        <v>0</v>
      </c>
      <c r="AH45" s="69">
        <f t="shared" si="242"/>
        <v>0</v>
      </c>
      <c r="AI45" s="69">
        <f t="shared" si="128"/>
        <v>0</v>
      </c>
      <c r="AJ45" s="69">
        <f>IF(OR(EP45="",EP45=0),0,POWER(4*EW45/PI()/EO45/10^-7/EP45/(1-K45)/各项系数!$F$5/各项系数!$J$4,0.5))</f>
        <v>0</v>
      </c>
      <c r="AK45" s="69" t="str">
        <f t="shared" si="8"/>
        <v>√</v>
      </c>
      <c r="AL45" s="69">
        <f t="shared" si="243"/>
        <v>218.87081700284782</v>
      </c>
      <c r="AM45" s="188">
        <f t="shared" si="244"/>
        <v>185</v>
      </c>
      <c r="AN45" s="97" t="s">
        <v>486</v>
      </c>
      <c r="AO45" s="196">
        <f>AP45+各项系数!$M$9*$NK45</f>
        <v>214.57923235573315</v>
      </c>
      <c r="AP45" s="196">
        <f>AQ45*(1+$BI45+(VLOOKUP($AM45,$A$12:$B$323,2,0))+各项系数!$J$6+各项系数!$M$5)*(1+$E$2)</f>
        <v>213.42085766935682</v>
      </c>
      <c r="AQ45" s="197">
        <f>AR45+各项系数!$L$9*$NK45</f>
        <v>217.77638537689472</v>
      </c>
      <c r="AR45" s="197">
        <f>AS45*(1+$BJ45+各项系数!$J$5+各项系数!$L$5)</f>
        <v>216.61801069051839</v>
      </c>
      <c r="AS45" s="197">
        <f t="shared" si="129"/>
        <v>212.37059871619451</v>
      </c>
      <c r="AT45" s="196">
        <f>AU45+各项系数!$M$9*$NM45</f>
        <v>217.80212695339176</v>
      </c>
      <c r="AU45" s="196">
        <f>AV45*(1+$BI45+(VLOOKUP($AM45,$A$12:$B$323,2,0))+各项系数!$J$6+各项系数!$M$5)*(1+$E$2)</f>
        <v>216.64375226701543</v>
      </c>
      <c r="AV45" s="197">
        <f>AW45+各项系数!$L$9*$NM45</f>
        <v>221.06505333368921</v>
      </c>
      <c r="AW45" s="197">
        <f>AX45*(1+$BJ45+各项系数!$J$5+各项系数!$L$5)</f>
        <v>219.90667864731287</v>
      </c>
      <c r="AX45" s="197">
        <f t="shared" si="130"/>
        <v>215.59478298756164</v>
      </c>
      <c r="AY45" s="196">
        <f>AZ45+各项系数!$M$9*$NS45</f>
        <v>218.4829961320722</v>
      </c>
      <c r="AZ45" s="196">
        <f>BA45*(1+$BI45+(VLOOKUP($AM45,$A$12:$B$214,2,0))+各项系数!$J$6+各项系数!$M$5)*(1+$E$2)</f>
        <v>217.30749364878795</v>
      </c>
      <c r="BA45" s="197">
        <f>BB45+各项系数!$L$9*$NS45</f>
        <v>221.74234045794691</v>
      </c>
      <c r="BB45" s="197">
        <f>BC45*(1+$BJ45+各项系数!$J$5+各项系数!$L$5)</f>
        <v>220.56683797466266</v>
      </c>
      <c r="BC45" s="199">
        <f t="shared" si="131"/>
        <v>216.24199801437516</v>
      </c>
      <c r="BD45" s="196">
        <f>BE45+各项系数!$M$9*$NS45</f>
        <v>221.71782933260349</v>
      </c>
      <c r="BE45" s="196">
        <f>BF45*(1+$BI45+(VLOOKUP($AM45,$A$12:$B$214,2,0))+各项系数!$J$6+各项系数!$M$5)*(1+$E$2)</f>
        <v>220.54232684931924</v>
      </c>
      <c r="BF45" s="197">
        <f>BG45+各项系数!$L$9*$NS45</f>
        <v>225.04319066257065</v>
      </c>
      <c r="BG45" s="197">
        <f>BH45*(1+$BJ45+各项系数!$J$5+各项系数!$L$5)</f>
        <v>223.8676881792864</v>
      </c>
      <c r="BH45" s="199">
        <f t="shared" si="132"/>
        <v>219.47812566596707</v>
      </c>
      <c r="BI45" s="213"/>
      <c r="BJ45" s="208"/>
      <c r="BK45" s="53" t="s">
        <v>514</v>
      </c>
      <c r="BL45" s="196">
        <f>BM45+各项系数!$M$9*$NM45</f>
        <v>217.14127856055606</v>
      </c>
      <c r="BM45" s="196">
        <f>BN45*(1+$CF45+(VLOOKUP($AM45,$A$12:$B$323,2,0))+各项系数!$J$6+各项系数!$M$5)*(1+$E$2)</f>
        <v>215.98290387417973</v>
      </c>
      <c r="BN45" s="197">
        <f>BO45+各项系数!$L$9*$NM45</f>
        <v>220.3907182389589</v>
      </c>
      <c r="BO45" s="197">
        <f>BP45*(1+$CG45+各项系数!$J$5+各项系数!$L$5)</f>
        <v>219.23234355258256</v>
      </c>
      <c r="BP45" s="197">
        <f t="shared" si="133"/>
        <v>212.84693548794422</v>
      </c>
      <c r="BQ45" s="196">
        <f>BR45+各项系数!$M$9*$NM45</f>
        <v>219.91495582666988</v>
      </c>
      <c r="BR45" s="196">
        <f>BS45*(1+$CF45+(VLOOKUP($AM45,$A$12:$B$323,2,0))+各项系数!$J$6+各项系数!$M$5)*(1+$E$2)</f>
        <v>218.75658114029355</v>
      </c>
      <c r="BS45" s="197">
        <f>BT45+各项系数!$L$9*$NM45</f>
        <v>223.22100116356484</v>
      </c>
      <c r="BT45" s="197">
        <f>BU45*(1+$CG45+各项系数!$J$5+各项系数!$L$5)</f>
        <v>222.0626264771885</v>
      </c>
      <c r="BU45" s="197">
        <f t="shared" si="134"/>
        <v>215.59478298756164</v>
      </c>
      <c r="BV45" s="196">
        <f>BW45+各项系数!$M$9*$NT45</f>
        <v>219.94086883717483</v>
      </c>
      <c r="BW45" s="196">
        <f>BX45*(1+$CF45+(VLOOKUP($AM45,$A$12:$B$214,2,0))+各项系数!$J$6+各项系数!$M$5)*(1+$E$2)</f>
        <v>218.76536635389058</v>
      </c>
      <c r="BX45" s="197">
        <f>BY45+各项系数!$L$9*$NT$12</f>
        <v>223.22996566723529</v>
      </c>
      <c r="BY45" s="197">
        <f>BZ45*(1+$CG45+各项系数!$J$5+各项系数!$L$5)</f>
        <v>223.22170226408031</v>
      </c>
      <c r="BZ45" s="199">
        <f t="shared" si="11"/>
        <v>216.72009928551486</v>
      </c>
      <c r="CA45" s="196">
        <f>CB45+各项系数!$M$9*$NT45</f>
        <v>222.72482066560332</v>
      </c>
      <c r="CB45" s="196">
        <f>CC45*(1+$CF45+(VLOOKUP($AM45,$A$12:$B$214,2,0))+各项系数!$J$6+各项系数!$M$5)*(1+$E$2)</f>
        <v>221.54931818231907</v>
      </c>
      <c r="CC45" s="197">
        <f>CD45+各项系数!$L$9*$NT$12</f>
        <v>226.07073283910108</v>
      </c>
      <c r="CD45" s="197">
        <f>CE45*(1+$CG45+各项系数!$J$5+各项系数!$L$5)</f>
        <v>226.0624694359461</v>
      </c>
      <c r="CE45" s="199">
        <f t="shared" si="135"/>
        <v>219.47812566596707</v>
      </c>
      <c r="CF45" s="213">
        <f t="shared" si="136"/>
        <v>0</v>
      </c>
      <c r="CG45" s="213">
        <f t="shared" si="12"/>
        <v>0.01</v>
      </c>
      <c r="CH45" s="102"/>
      <c r="CI45" s="196">
        <f>CJ45+各项系数!$M$9*$NO45</f>
        <v>217.37026561332127</v>
      </c>
      <c r="CJ45" s="196">
        <f>CK45*(1+$DC45+(VLOOKUP($AM45,$A$12:$B$323,2,0))+各项系数!$J$6+各项系数!$M$5)*(1+$E$2)+各项系数!$M$9*$NK45</f>
        <v>216.15185001293469</v>
      </c>
      <c r="CK45" s="197">
        <f>CL45+各项系数!$L$9*$NO45</f>
        <v>219.38109727199833</v>
      </c>
      <c r="CL45" s="197">
        <f>CM45*(1+$DD45+各项系数!$J$5+各项系数!$L$5)</f>
        <v>218.16268167161175</v>
      </c>
      <c r="CM45" s="197">
        <f t="shared" si="13"/>
        <v>213.88498203099192</v>
      </c>
      <c r="CN45" s="196">
        <f>CO45+各项系数!$M$9*$NO45</f>
        <v>220.45413506678818</v>
      </c>
      <c r="CO45" s="196">
        <f>CP45*(1+$DC45+(VLOOKUP($AM45,$A$12:$B$323,2,0))+各项系数!$J$6+各项系数!$M$5)*(1+$E$2)+各项系数!$M$9*$NK45</f>
        <v>219.2357194664016</v>
      </c>
      <c r="CP45" s="197">
        <f>CQ45+各项系数!$L$9*$NO45</f>
        <v>222.52790283676049</v>
      </c>
      <c r="CQ45" s="197">
        <f>CR45*(1+$DD45+各项系数!$J$5+各项系数!$L$5)</f>
        <v>221.30948723637391</v>
      </c>
      <c r="CR45" s="197">
        <f t="shared" si="14"/>
        <v>216.97008552585677</v>
      </c>
      <c r="CS45" s="196">
        <f>CT45+各项系数!$M$9*$NU45</f>
        <v>220.23556231596814</v>
      </c>
      <c r="CT45" s="196">
        <f t="shared" si="15"/>
        <v>218.99949043521167</v>
      </c>
      <c r="CU45" s="197">
        <f>CV45+各项系数!$L$9*$NU45</f>
        <v>223.46886779103232</v>
      </c>
      <c r="CV45" s="197">
        <f>CW45*(1+$DD45+各项系数!$J$5+各项系数!$L$5)</f>
        <v>222.23279591027585</v>
      </c>
      <c r="CW45" s="199">
        <f t="shared" si="16"/>
        <v>217.87529010811357</v>
      </c>
      <c r="CX45" s="196">
        <f>CY45+各项系数!$M$9*$NU45</f>
        <v>223.56449756988087</v>
      </c>
      <c r="CY45" s="196">
        <f t="shared" si="17"/>
        <v>222.3284256891244</v>
      </c>
      <c r="CZ45" s="197">
        <f>DA45+各项系数!$L$9*$NU45</f>
        <v>226.86574049910655</v>
      </c>
      <c r="DA45" s="197">
        <f>DB45*(1+$DD45+各项系数!$J$5+各项系数!$L$5)</f>
        <v>225.62966861835008</v>
      </c>
      <c r="DB45" s="199">
        <f t="shared" si="18"/>
        <v>221.20555746897065</v>
      </c>
      <c r="DC45" s="213">
        <f t="shared" si="137"/>
        <v>0</v>
      </c>
      <c r="DD45" s="213">
        <f t="shared" si="19"/>
        <v>0</v>
      </c>
      <c r="DE45" s="53" t="s">
        <v>498</v>
      </c>
      <c r="DF45" s="53" t="s">
        <v>513</v>
      </c>
      <c r="DG45" s="196">
        <f>DH45+各项系数!$M$9*$NQ45</f>
        <v>219.96119158820932</v>
      </c>
      <c r="DH45" s="196">
        <f>DI45*(1+$EA45+(VLOOKUP($AM45,$A$12:$B$323,2,0))+各项系数!$J$6+各项系数!$M$5)*(1+$E$2)+各项系数!$M$9*$NK45</f>
        <v>218.74277598782274</v>
      </c>
      <c r="DI45" s="197">
        <f>DJ45+各项系数!$L$9*$NQ45</f>
        <v>222.02489928719021</v>
      </c>
      <c r="DJ45" s="197">
        <f>DK45*(1+$EB45+各项系数!$J$5+各项系数!$L$5)</f>
        <v>220.80648368680363</v>
      </c>
      <c r="DK45" s="197">
        <f t="shared" si="20"/>
        <v>214.37522688039186</v>
      </c>
      <c r="DL45" s="196">
        <f>DM45+各项系数!$M$9*$NQ45</f>
        <v>222.81585466327525</v>
      </c>
      <c r="DM45" s="196">
        <f>DN45*(1+$EA45+(VLOOKUP($AM45,$A$12:$B$323,2,0))+各项系数!$J$6+各项系数!$M$5)*(1+$E$2)+各项系数!$M$9*$NK45</f>
        <v>221.59743906288867</v>
      </c>
      <c r="DN45" s="197">
        <f>DO45+各项系数!$L$9*$NQ45</f>
        <v>224.93782079235953</v>
      </c>
      <c r="DO45" s="197">
        <f>DP45*(1+$EB45+各项系数!$J$5+各项系数!$L$5)</f>
        <v>223.71940519197295</v>
      </c>
      <c r="DP45" s="197">
        <f t="shared" si="21"/>
        <v>217.20330601162422</v>
      </c>
      <c r="DQ45" s="196">
        <f>DR45+各项系数!$M$9*$NV45</f>
        <v>222.8673743956962</v>
      </c>
      <c r="DR45" s="196">
        <f t="shared" si="22"/>
        <v>221.63130251493973</v>
      </c>
      <c r="DS45" s="197">
        <f>DT45+各项系数!$L$9*$NV45</f>
        <v>226.15439032136709</v>
      </c>
      <c r="DT45" s="197">
        <f>DU45*(1+$EB45+各项系数!$J$5+各项系数!$L$5)</f>
        <v>224.91831844061062</v>
      </c>
      <c r="DU45" s="199">
        <f t="shared" si="23"/>
        <v>218.36729945690351</v>
      </c>
      <c r="DV45" s="196">
        <f>DW45+各项系数!$M$9*$NV45</f>
        <v>223.53943576041013</v>
      </c>
      <c r="DW45" s="196">
        <f t="shared" si="24"/>
        <v>222.30336387965366</v>
      </c>
      <c r="DX45" s="197">
        <f>DY45+各项系数!$L$9*$NV45</f>
        <v>226.84016722413639</v>
      </c>
      <c r="DY45" s="197">
        <f>DZ45*(1+$EB45+各项系数!$J$5+各项系数!$L$5)</f>
        <v>225.60409534337992</v>
      </c>
      <c r="DZ45" s="199">
        <f t="shared" si="25"/>
        <v>219.03310227512614</v>
      </c>
      <c r="EA45" s="213">
        <f t="shared" si="230"/>
        <v>0</v>
      </c>
      <c r="EB45" s="213">
        <f t="shared" si="27"/>
        <v>0.01</v>
      </c>
      <c r="EC45" s="235">
        <f t="shared" si="138"/>
        <v>2</v>
      </c>
      <c r="ED45" s="235" t="str">
        <f t="shared" si="180"/>
        <v>2*185</v>
      </c>
      <c r="EE45" s="189">
        <f t="shared" si="239"/>
        <v>185</v>
      </c>
      <c r="EF45" s="189" t="str">
        <f>LOOKUP(EH45,{1,7,10,14,19,24,30,37,48,61},{1,"1+6","2+8","4+10","1+6+12","2+8+14","4+10+16","1+6+12+18","3+9+15+21","1+6+12+18+24"})</f>
        <v>1+6+12+18</v>
      </c>
      <c r="EG45" s="188">
        <f t="shared" si="29"/>
        <v>2</v>
      </c>
      <c r="EH45" s="197">
        <f>VLOOKUP(EE45,各项系数!$B$87:$C$124,2,0)</f>
        <v>37</v>
      </c>
      <c r="EI45" s="188">
        <f>IF(EH45=0,0,VLOOKUP(EH45,各项系数!$D$142:$E$195,2,0))*1</f>
        <v>7</v>
      </c>
      <c r="EJ45" s="238">
        <f t="shared" si="141"/>
        <v>245.09808262108001</v>
      </c>
      <c r="EK45" s="189">
        <f t="shared" si="245"/>
        <v>0</v>
      </c>
      <c r="EL45" s="189">
        <f t="shared" si="31"/>
        <v>0</v>
      </c>
      <c r="EM45" s="189">
        <f t="shared" si="182"/>
        <v>0</v>
      </c>
      <c r="EN45" s="189">
        <f>IF(EP45=0,0,LOOKUP(EP45,{1,7,10,14,19,24,30,37,48,61},{1,"1+6","2+8","4+10","1+6+12","2+8+14","4+10+16","1+6+12+18","3+9+15+21","1+6+12+18+24"}))</f>
        <v>0</v>
      </c>
      <c r="EO45" s="189">
        <f t="shared" si="246"/>
        <v>0</v>
      </c>
      <c r="EP45" s="189">
        <f>IF(EM45=0,0,IF(EM45&lt;10,1,IF(AND(EM45&gt;=10,EM45&lt;=35),7,LOOKUP(EM45,{50,70,95,120,150,185,240,300},{10,14,19,24,30,37,48,61})*1)))</f>
        <v>0</v>
      </c>
      <c r="EQ45" s="189">
        <f>IF(EP45=0,0,VLOOKUP(EP45,各项系数!$D$142:$E$195,2,0))*1</f>
        <v>0</v>
      </c>
      <c r="ER45" s="189">
        <f t="shared" si="247"/>
        <v>0</v>
      </c>
      <c r="ES45" s="235">
        <f t="shared" si="250"/>
        <v>2</v>
      </c>
      <c r="ET45" s="189">
        <f>VLOOKUP(ES45,各项系数!$D$142:$E$195,2,0)*1</f>
        <v>2</v>
      </c>
      <c r="EU45" s="243">
        <f>((各项系数!$F$76/4*$EJ45^2*$EG45*$EH45*1*10^-7)*(1-$H45)*AA45)*(VLOOKUP($EY$9,各项系数!$D$4:$F$143,3,0))*各项系数!$J$4</f>
        <v>3.1346735017576735</v>
      </c>
      <c r="EV45" s="244">
        <f>EU45*(VLOOKUP($EY$9,各项系数!$D$4:$F$143,2,0))</f>
        <v>205.32111436512761</v>
      </c>
      <c r="EW45" s="252">
        <f>(IF($EO45=0,0,(各项系数!$F$76/4*$ER45^2*$EO45*$EP45*1*10^-7))*(1-$K45)*$AF45)*(VLOOKUP($EY$9,各项系数!$D$4:$F$143,3,0))*各项系数!$J$4</f>
        <v>0</v>
      </c>
      <c r="EX45" s="253">
        <f>EW45*(VLOOKUP($EY$9,各项系数!$D$4:$F$143,2,0))</f>
        <v>0</v>
      </c>
      <c r="EY45" s="189">
        <f>((各项系数!$F$76/4*$EJ45^2*$EG45*$EH45*1*10^-7)*(1-$H45)*AA45+IF($EO45=0,0,(各项系数!$F$76/4*$ER45^2*$EO45*$EP45*1*10^-7))*(1-$K45)*$AF45)*(VLOOKUP($EY$9,各项系数!$D$4:$F$143,3,0))*各项系数!$J$4</f>
        <v>3.1346735017576735</v>
      </c>
      <c r="EZ45" s="102">
        <v>1</v>
      </c>
      <c r="FA45" s="189">
        <f t="shared" si="188"/>
        <v>3.1346735017576735</v>
      </c>
      <c r="FB45" s="254">
        <f>FA45*(VLOOKUP($EY$9,各项系数!$D$4:$F$143,2,0))</f>
        <v>205.32111436512761</v>
      </c>
      <c r="FC45" s="255"/>
      <c r="FD45" s="235">
        <f>各项系数!$F$76/4*($MN45^2-MK45^2)*10^-2*(VLOOKUP(L45,各项系数!$D$1:$F$143,3,0))*10^-3*10^2*$EG45*各项系数!$J$4</f>
        <v>0.20638393485212875</v>
      </c>
      <c r="FE45" s="262">
        <f>FD45*VLOOKUP(L45,各项系数!$D$1:$F$143,2,0)</f>
        <v>2.1051161354917132</v>
      </c>
      <c r="FF45" s="188">
        <f>各项系数!$F$76/4*($MO45^2-ML45^2)*10^-2*(VLOOKUP(L45,各项系数!$D$1:$F$143,3,0))*10^-3*10^2*$EO45*各项系数!$J$4</f>
        <v>0</v>
      </c>
      <c r="FG45" s="262">
        <f>FF45*VLOOKUP(L45,各项系数!$D$1:$F$143,2,0)</f>
        <v>0</v>
      </c>
      <c r="FH45" s="235">
        <f t="shared" si="142"/>
        <v>0.20638393485212875</v>
      </c>
      <c r="FI45" s="102">
        <v>1</v>
      </c>
      <c r="FJ45" s="189">
        <f t="shared" si="189"/>
        <v>0.20638393485212875</v>
      </c>
      <c r="FK45" s="262">
        <f>FJ45*VLOOKUP(L45,各项系数!$D$1:$F$143,2,0)</f>
        <v>2.1051161354917132</v>
      </c>
      <c r="FL45" s="235"/>
      <c r="FM45" s="102"/>
      <c r="FN45" s="189"/>
      <c r="FO45" s="262"/>
      <c r="FP45" s="282">
        <f t="shared" si="190"/>
        <v>0.20638393485212875</v>
      </c>
      <c r="FQ45" s="282">
        <f t="shared" si="191"/>
        <v>2.1051161354917132</v>
      </c>
      <c r="FR45" s="283">
        <f>各项系数!$F$76/4*($MQ45^2-$MN45^2*$EG45-$MO45^2*$EO45)*10^-2</f>
        <v>6.5094111680696134</v>
      </c>
      <c r="FS45" s="284">
        <f t="shared" si="143"/>
        <v>0.05</v>
      </c>
      <c r="FT45" s="285">
        <f t="shared" si="40"/>
        <v>0.32547055840348071</v>
      </c>
      <c r="FU45" s="302">
        <f>$FT45*(VLOOKUP($FT$9,各项系数!$D$1:$F$143,3,0))*10^-3*10^2*各项系数!$J$55</f>
        <v>3.8861184673375591E-2</v>
      </c>
      <c r="FV45" s="303">
        <v>1</v>
      </c>
      <c r="FW45" s="304">
        <f t="shared" si="192"/>
        <v>3.8861184673375591E-2</v>
      </c>
      <c r="FX45" s="285">
        <f>FW45*(VLOOKUP($FT$9,各项系数!$D$1:$F$143,2,0))</f>
        <v>0.11658355402012677</v>
      </c>
      <c r="FY45" s="302">
        <f>IF($BK45&lt;&gt;$FY$9,0,各项系数!$F$76/4*($MS45^2-$MQ45^2)*10^-2*(VLOOKUP($FY$9,各项系数!$D$1:$F$143,3,0))*10^-3*10^2)*各项系数!$J$4</f>
        <v>0</v>
      </c>
      <c r="FZ45" s="303">
        <v>1</v>
      </c>
      <c r="GA45" s="304">
        <f t="shared" si="193"/>
        <v>0</v>
      </c>
      <c r="GB45" s="285">
        <f>GA45*(VLOOKUP($FY$9,各项系数!$D$1:$F$143,2,0))</f>
        <v>0</v>
      </c>
      <c r="GC45" s="302">
        <f>IF($BK45&lt;&gt;$GC$9,0,各项系数!$F$76/4*($MS45^2-$MQ45^2)*10^-2*(VLOOKUP($GC$9,各项系数!$D$1:$F$143,3,0))*10^-3*10^2)*各项系数!$J$4</f>
        <v>4.9935615548704262E-3</v>
      </c>
      <c r="GD45" s="303">
        <v>1</v>
      </c>
      <c r="GE45" s="304">
        <f t="shared" si="194"/>
        <v>4.9935615548704262E-3</v>
      </c>
      <c r="GF45" s="285">
        <f>GE45*(VLOOKUP($GC$9,各项系数!$D$1:$F$143,2,0))</f>
        <v>6.4416944057828496E-2</v>
      </c>
      <c r="GG45" s="302">
        <f>IF($BK45&lt;&gt;$GG$9,0,各项系数!$F$76/4*($MS45^2-$MQ45^2)*10^-2*(VLOOKUP($GG$9,各项系数!$D$1:$F$143,3,0))*10^-3*10^2)*各项系数!$J$4</f>
        <v>0</v>
      </c>
      <c r="GH45" s="303">
        <v>1</v>
      </c>
      <c r="GI45" s="304">
        <f t="shared" si="195"/>
        <v>0</v>
      </c>
      <c r="GJ45" s="285">
        <f>GI45*(VLOOKUP($GG$9,各项系数!$D$1:$F$143,2,0))</f>
        <v>0</v>
      </c>
      <c r="GK45" s="302">
        <f>IF($BK45&lt;&gt;$GK$9,0,各项系数!$F$76/4*($MS45^2-$MQ45^2)*10^-2*(VLOOKUP($GK$9,各项系数!$D$1:$F$143,3,0))*10^-3*10^2)*各项系数!$J$4</f>
        <v>0</v>
      </c>
      <c r="GL45" s="303">
        <v>1</v>
      </c>
      <c r="GM45" s="304">
        <f t="shared" si="196"/>
        <v>0</v>
      </c>
      <c r="GN45" s="285">
        <f>GM45*(VLOOKUP($GK$9,各项系数!$D$1:$F$143,2,0))</f>
        <v>0</v>
      </c>
      <c r="GO45" s="304">
        <f t="shared" si="197"/>
        <v>4.9935615548704262E-3</v>
      </c>
      <c r="GP45" s="304">
        <f t="shared" si="198"/>
        <v>6.4416944057828496E-2</v>
      </c>
      <c r="GQ45" s="315">
        <f>各项系数!$F$76/4*($MU45^2-$MS45^2)*10^-2*(VLOOKUP($S45,各项系数!$D$1:$F$143,3,0))*10^-3*10^2*各项系数!$J$4</f>
        <v>0.76161941058696314</v>
      </c>
      <c r="GR45" s="303">
        <v>1</v>
      </c>
      <c r="GS45" s="304">
        <f t="shared" si="199"/>
        <v>0.76161941058696314</v>
      </c>
      <c r="GT45" s="304">
        <f t="shared" si="200"/>
        <v>0</v>
      </c>
      <c r="GU45" s="304">
        <f>ROUND($GS45*(VLOOKUP($S45,各项系数!$D$1:$F$143,2,0))+$E$3*GS45,GT45)</f>
        <v>4</v>
      </c>
      <c r="GV45" s="315">
        <f>各项系数!$F$76/4*($MT45^2-$MS45^2)*10^-2*(VLOOKUP($GV$9,各项系数!$D$1:$F$143,3,0))*10^-3*10^2*各项系数!$J$4*PI()/4*R45</f>
        <v>5.7092656359714306E-2</v>
      </c>
      <c r="GW45" s="303">
        <v>1</v>
      </c>
      <c r="GX45" s="304">
        <f t="shared" si="201"/>
        <v>5.7092656359714306E-2</v>
      </c>
      <c r="GY45" s="304">
        <f>$GX45*(VLOOKUP($GV$9,各项系数!$D$1:$F$143,2,0))</f>
        <v>3.8537543042807156</v>
      </c>
      <c r="GZ45" s="315">
        <f>各项系数!$F$76/4*($MV45^2-$MS45^2)*10^-2*(VLOOKUP($GZ$9,各项系数!$D$1:$F$143,3,0))*10^-3*10^2*各项系数!$J$4</f>
        <v>0.46985599934496186</v>
      </c>
      <c r="HA45" s="303">
        <v>1</v>
      </c>
      <c r="HB45" s="304">
        <f t="shared" si="144"/>
        <v>0.46985599934496186</v>
      </c>
      <c r="HC45" s="304">
        <f>HB45*(VLOOKUP($GZ$9,各项系数!$D$1:$F$143,2,0))</f>
        <v>7.987551988864352</v>
      </c>
      <c r="HD45" s="315">
        <f>各项系数!$F$76/4*($MW45^2-$MT45^2)*10^-2*(VLOOKUP($HD$9,各项系数!$D$1:$F$143,3,0))*10^-3*10^2*各项系数!$J$4</f>
        <v>0.47159649194053255</v>
      </c>
      <c r="HE45" s="303">
        <v>1</v>
      </c>
      <c r="HF45" s="304">
        <f t="shared" si="145"/>
        <v>0.47159649194053255</v>
      </c>
      <c r="HG45" s="304">
        <f>HF45*(VLOOKUP($HD$9,各项系数!$D$1:$F$143,2,0))</f>
        <v>8.0171403629890534</v>
      </c>
      <c r="HH45" s="315">
        <f>各项系数!$F$76/4*($MV45^2-$MS45^2)*10^-2*(VLOOKUP($HH$9,各项系数!$D$1:$F$143,3,0))*10^-3*10^2*各项系数!$J$4</f>
        <v>0.46985599934496186</v>
      </c>
      <c r="HI45" s="322">
        <v>1</v>
      </c>
      <c r="HJ45" s="304">
        <f t="shared" si="146"/>
        <v>0.46985599934496186</v>
      </c>
      <c r="HK45" s="304">
        <f>HJ45*(VLOOKUP($HH$9,各项系数!$D$1:$F$143,2,0))</f>
        <v>7.987551988864352</v>
      </c>
      <c r="HL45" s="315">
        <f>各项系数!$F$76/4*($MW45^2-$MT45^2)*10^-2*(VLOOKUP($HL$9,各项系数!$D$1:$F$143,3,0))*10^-3*10^2*各项系数!$J$4</f>
        <v>0.47159649194053255</v>
      </c>
      <c r="HM45" s="322">
        <v>1</v>
      </c>
      <c r="HN45" s="304">
        <f t="shared" si="147"/>
        <v>0.47159649194053255</v>
      </c>
      <c r="HO45" s="304">
        <f>HN45*(VLOOKUP($HL$9,各项系数!$D$1:$F$143,2,0))</f>
        <v>8.0171403629890534</v>
      </c>
      <c r="HP45" s="315">
        <f>各项系数!$F$76/4*($MV45^2-$MS45^2)*10^-2*(VLOOKUP(AN45,各项系数!$D$1:$F$143,3,0))*10^-3*10^2*各项系数!$J$4</f>
        <v>0.47633677174972</v>
      </c>
      <c r="HQ45" s="303">
        <v>1</v>
      </c>
      <c r="HR45" s="304">
        <f t="shared" si="202"/>
        <v>0.47633677174972</v>
      </c>
      <c r="HS45" s="304">
        <f>HR45*(VLOOKUP(AN45,各项系数!$D$1:$F$143,2,0))</f>
        <v>4.7633677174972</v>
      </c>
      <c r="HT45" s="315">
        <f>各项系数!$F$76/4*($MW45^2-$MT45^2)*10^-2*(VLOOKUP(AN45,各项系数!$D$1:$F$143,3,0))*10^-3*10^2*各项系数!$J$4</f>
        <v>0.47810127113971229</v>
      </c>
      <c r="HU45" s="303">
        <v>1</v>
      </c>
      <c r="HV45" s="304">
        <f t="shared" si="203"/>
        <v>0.47810127113971229</v>
      </c>
      <c r="HW45" s="304">
        <f>HV45*(VLOOKUP(AN45,各项系数!$D$1:$F$143,2,0))</f>
        <v>4.781012711397123</v>
      </c>
      <c r="HX45" s="315">
        <f>各项系数!$F$76/4*($MV45^2-$MS45^2)*10^-2*(VLOOKUP($HX$9,各项系数!$D$1:$F$143,3,0))*10^-3*10^2*各项系数!$J$4</f>
        <v>0.47633677174972</v>
      </c>
      <c r="HY45" s="322">
        <v>1</v>
      </c>
      <c r="HZ45" s="304">
        <f t="shared" si="204"/>
        <v>0.47633677174972</v>
      </c>
      <c r="IA45" s="304">
        <f>HZ45*(VLOOKUP($HX$9,各项系数!$D$1:$F$143,2,0))</f>
        <v>5.23970448924692</v>
      </c>
      <c r="IB45" s="315">
        <f>各项系数!$F$76/4*($MW45^2-$MT45^2)*10^-2*(VLOOKUP($IB$9,各项系数!$D$1:$F$143,3,0))*10^-3*10^2*各项系数!$J$4</f>
        <v>0.47810127113971229</v>
      </c>
      <c r="IC45" s="322">
        <v>1</v>
      </c>
      <c r="ID45" s="304">
        <f t="shared" si="205"/>
        <v>0.47810127113971229</v>
      </c>
      <c r="IE45" s="304">
        <f>ID45*(VLOOKUP($IB$9,各项系数!$D$1:$F$143,2,0))</f>
        <v>5.2591139825368352</v>
      </c>
      <c r="IF45" s="328"/>
      <c r="IG45" s="315">
        <f t="shared" si="148"/>
        <v>4.9111334618833685E-2</v>
      </c>
      <c r="IH45" s="303">
        <v>1</v>
      </c>
      <c r="II45" s="304">
        <f t="shared" si="206"/>
        <v>4.9111334618833685E-2</v>
      </c>
      <c r="IJ45" s="304">
        <f>II45*(VLOOKUP($IG$8,各项系数!$D$1:$F$143,2,0))</f>
        <v>1.2277833654708421</v>
      </c>
      <c r="IK45" s="315">
        <f>(各项系数!$F$76/4*($MX45^2-$MK45^2)*$EG45)*10^-2*(VLOOKUP($IG$8,各项系数!$D$1:$F$143,3,0))*10^-3*10^2*各项系数!$J$4</f>
        <v>4.9111334618833685E-2</v>
      </c>
      <c r="IL45" s="303">
        <f>IK45*(VLOOKUP($IG$8,各项系数!$D$1:$F$143,2,0))</f>
        <v>1.2277833654708421</v>
      </c>
      <c r="IM45" s="304">
        <f>(各项系数!$F$76/4*(($MM45+3*$X45)^2-MM45^2)*$EO45)*10^-2*(VLOOKUP($IG$8,各项系数!$D$1:$F$143,3,0))*10^-3*10^2*各项系数!$J$4</f>
        <v>0</v>
      </c>
      <c r="IN45" s="303">
        <f>IM45*(VLOOKUP($IG$8,各项系数!$D$1:$F$143,2,0))</f>
        <v>0</v>
      </c>
      <c r="IO45" s="315">
        <f>各项系数!$F$76/4*($MZ45^2-$MX45^2)*10^-2*(VLOOKUP(L45,各项系数!$D$1:$F$143,3,0))*10^-3*10^2*$ES45*各项系数!$J$4</f>
        <v>0.21298580331808856</v>
      </c>
      <c r="IP45" s="303">
        <v>1</v>
      </c>
      <c r="IQ45" s="304">
        <f t="shared" si="207"/>
        <v>0.21298580331808856</v>
      </c>
      <c r="IR45" s="285">
        <f>IQ45*(VLOOKUP(L45,各项系数!$D$1:$F$143,2,0))</f>
        <v>2.1724551938445029</v>
      </c>
      <c r="IS45" s="315">
        <f>IF($L45&lt;&gt;$IS$9,0,各项系数!$F$76/4*($MZ45^2-$MX45^2)*10^-2*各项系数!$F$12*10^-3*10^2)*$ES45*各项系数!$J$4</f>
        <v>0</v>
      </c>
      <c r="IT45" s="303">
        <v>1</v>
      </c>
      <c r="IU45" s="304">
        <f t="shared" si="208"/>
        <v>0</v>
      </c>
      <c r="IV45" s="285">
        <f>IU45*各项系数!$E$12</f>
        <v>0</v>
      </c>
      <c r="IW45" s="302">
        <f t="shared" si="209"/>
        <v>0.21298580331808856</v>
      </c>
      <c r="IX45" s="302">
        <f t="shared" si="210"/>
        <v>2.1724551938445029</v>
      </c>
      <c r="IY45" s="339">
        <f>各项系数!$F$76/4*($NB45^2-$MZ45^2*$EG45-$NA45^2*$EO45)*10^-2</f>
        <v>6.8987839153189308</v>
      </c>
      <c r="IZ45" s="284">
        <f t="shared" si="231"/>
        <v>0.05</v>
      </c>
      <c r="JA45" s="285">
        <f t="shared" si="64"/>
        <v>0.34493919576594656</v>
      </c>
      <c r="JB45" s="282">
        <f>IF($DE45&lt;&gt;$JB$9,0,$JA45*各项系数!$F$32*10^-3*10^2)*各项系数!$J$4</f>
        <v>0</v>
      </c>
      <c r="JC45" s="102">
        <v>1</v>
      </c>
      <c r="JD45" s="189">
        <f t="shared" si="211"/>
        <v>0</v>
      </c>
      <c r="JE45" s="262">
        <f>JD45*各项系数!$E$32</f>
        <v>0</v>
      </c>
      <c r="JF45" s="282">
        <f>IF($DE45&lt;&gt;$JF$9,0,$JA45*VLOOKUP($JF$9,各项系数!$D$4:$F$540,2,0)*10^-3*10^2)*各项系数!$J$4</f>
        <v>0.17160724989355844</v>
      </c>
      <c r="JG45" s="102">
        <v>1</v>
      </c>
      <c r="JH45" s="189">
        <f t="shared" si="66"/>
        <v>0.17160724989355844</v>
      </c>
      <c r="JI45" s="262">
        <f>JH45*VLOOKUP($JF$9,各项系数!$D$4:$F$540,3,0)</f>
        <v>0.20592869987227011</v>
      </c>
      <c r="JJ45" s="282">
        <f t="shared" si="212"/>
        <v>0.17160724989355844</v>
      </c>
      <c r="JK45" s="189">
        <f t="shared" si="213"/>
        <v>0.20592869987227011</v>
      </c>
      <c r="JL45" s="282">
        <f>IF($DF45&lt;&gt;$JL$9,0,各项系数!$F$76/4*($NE45^2-$NC45^2)*10^-2*各项系数!$F$39*10^-3*10^2)*各项系数!$J$4</f>
        <v>2.7625956338603371E-3</v>
      </c>
      <c r="JM45" s="102">
        <v>1</v>
      </c>
      <c r="JN45" s="189">
        <f t="shared" si="214"/>
        <v>2.7625956338603371E-3</v>
      </c>
      <c r="JO45" s="262">
        <f>JN45*各项系数!$E$39</f>
        <v>5.5251912677206742E-2</v>
      </c>
      <c r="JP45" s="282">
        <f>IF($DF45&lt;&gt;$JP$9,0,各项系数!$F$76/4*($NE45^2-$NC45^2)*10^-2*各项系数!$F$36*10^-3*10^2)*各项系数!$J$4</f>
        <v>0</v>
      </c>
      <c r="JQ45" s="102">
        <v>1</v>
      </c>
      <c r="JR45" s="189">
        <f t="shared" si="215"/>
        <v>0</v>
      </c>
      <c r="JS45" s="262">
        <f>JR45*各项系数!$E$36</f>
        <v>0</v>
      </c>
      <c r="JT45" s="282">
        <f>IF($DF45&lt;&gt;$JT$9,0,各项系数!$F$76/4*($NE45^2-$NC45^2)*10^-2*各项系数!$F$40*10^-3*10^2)*各项系数!$J$4</f>
        <v>0</v>
      </c>
      <c r="JU45" s="102">
        <v>1</v>
      </c>
      <c r="JV45" s="189">
        <f t="shared" si="216"/>
        <v>0</v>
      </c>
      <c r="JW45" s="262">
        <f>JV45*各项系数!$E$40</f>
        <v>0</v>
      </c>
      <c r="JX45" s="282">
        <f>IF($DF45&lt;&gt;$JX$9,0,各项系数!$F$76/4*($NE45^2-$NC45^2)*10^-2*各项系数!$F$38*10^-3*10^2)*各项系数!$J$4</f>
        <v>0</v>
      </c>
      <c r="JY45" s="102">
        <v>1</v>
      </c>
      <c r="JZ45" s="189">
        <f t="shared" si="217"/>
        <v>0</v>
      </c>
      <c r="KA45" s="262">
        <f>JZ45*各项系数!$E$38</f>
        <v>0</v>
      </c>
      <c r="KB45" s="282">
        <f>IF($DF45&lt;&gt;$KB$9,0,各项系数!$F$76/4*($NE45^2-$NC45^2)*10^-2*各项系数!$F$41*10^-3*10^2)*各项系数!$J$4</f>
        <v>0</v>
      </c>
      <c r="KC45" s="102">
        <v>1</v>
      </c>
      <c r="KD45" s="189">
        <f t="shared" si="218"/>
        <v>0</v>
      </c>
      <c r="KE45" s="262">
        <f>KD45*各项系数!$E$41</f>
        <v>0</v>
      </c>
      <c r="KF45" s="189">
        <f t="shared" si="219"/>
        <v>2.7625956338603371E-3</v>
      </c>
      <c r="KG45" s="189">
        <f t="shared" si="220"/>
        <v>5.5251912677206742E-2</v>
      </c>
      <c r="KH45" s="235">
        <f>各项系数!$F$76/4*($NG45^2-$NE45^2)*10^-2*各项系数!$F$44*10^-3*10^2*各项系数!$J$4*0.75*$U45</f>
        <v>1.1771106105312032</v>
      </c>
      <c r="KI45" s="102">
        <v>1</v>
      </c>
      <c r="KJ45" s="189">
        <f t="shared" si="221"/>
        <v>1.1771106105312032</v>
      </c>
      <c r="KK45" s="189">
        <f>ROUND(KJ45*各项系数!$E$43,GT45)</f>
        <v>7</v>
      </c>
      <c r="KL45" s="235">
        <f>各项系数!$F$76/4*($NF45^2-$NE45^2)*10^-2*各项系数!$F$46*10^-3*10^2*各项系数!$J$4*PI()/4*R45</f>
        <v>5.8854267899581349E-2</v>
      </c>
      <c r="KM45" s="102">
        <v>1</v>
      </c>
      <c r="KN45" s="189">
        <f t="shared" si="222"/>
        <v>5.8854267899581349E-2</v>
      </c>
      <c r="KO45" s="189">
        <f>KN45*各项系数!$E$46</f>
        <v>3.9726630832217409</v>
      </c>
      <c r="KP45" s="235">
        <f>各项系数!$F$76/4*($NH45^2-$NE45^2)*10^-2*(VLOOKUP($KP$9,各项系数!$D$1:$F$143,3,0))*10^-3*10^2*各项系数!$J$4</f>
        <v>0.48357485144892837</v>
      </c>
      <c r="KQ45" s="102">
        <v>1</v>
      </c>
      <c r="KR45" s="189">
        <f t="shared" si="150"/>
        <v>0.48357485144892837</v>
      </c>
      <c r="KS45" s="189">
        <f>KR45*(VLOOKUP($KP$9,各项系数!$D$1:$F$143,2,0))</f>
        <v>8.220772474631783</v>
      </c>
      <c r="KT45" s="235">
        <f>各项系数!$F$76/4*($NI45^2-$NF45^2)*10^-2*(VLOOKUP($KT$9,各项系数!$D$1:$F$143,3,0))*10^-3*10^2*各项系数!$J$4</f>
        <v>0.48531534404449966</v>
      </c>
      <c r="KU45" s="102">
        <v>1</v>
      </c>
      <c r="KV45" s="189">
        <f t="shared" si="151"/>
        <v>0.48531534404449966</v>
      </c>
      <c r="KW45" s="189">
        <f>KV45*(VLOOKUP($KT$9,各项系数!$D$1:$F$143,2,0))</f>
        <v>8.250360848756495</v>
      </c>
      <c r="KX45" s="189">
        <f>各项系数!$F$76/4*($NH45^2-$NE45^2)*10^-2*(VLOOKUP($KX$9,各项系数!$D$1:$F$143,3,0))*10^-3*10^2*各项系数!$J$4</f>
        <v>0.48357485144892837</v>
      </c>
      <c r="KY45" s="353">
        <v>1</v>
      </c>
      <c r="KZ45" s="189">
        <f t="shared" si="152"/>
        <v>0.48357485144892837</v>
      </c>
      <c r="LA45" s="189">
        <f>KZ45*(VLOOKUP($KX$9,各项系数!$D$1:$F$143,2,0))</f>
        <v>8.220772474631783</v>
      </c>
      <c r="LB45" s="189">
        <f>各项系数!$F$76/4*($NI45^2-$NF45^2)*10^-2*(VLOOKUP($LB$9,各项系数!$D$1:$F$143,3,0))*10^-3*10^2*各项系数!$J$4</f>
        <v>0.48531534404449966</v>
      </c>
      <c r="LC45" s="353">
        <v>1</v>
      </c>
      <c r="LD45" s="189">
        <f t="shared" si="153"/>
        <v>0.48531534404449966</v>
      </c>
      <c r="LE45" s="189">
        <f>LD45*(VLOOKUP($LB$9,各项系数!$D$1:$F$143,2,0))</f>
        <v>8.250360848756495</v>
      </c>
      <c r="LF45" s="235">
        <f>各项系数!$F$76/4*($NH45^2-$NE45^2)*10^-2*(VLOOKUP(AN45,各项系数!$D$1:$F$143,3,0))*10^-3*10^2*各项系数!$J$4</f>
        <v>0.49024484939994811</v>
      </c>
      <c r="LG45" s="102">
        <v>1</v>
      </c>
      <c r="LH45" s="189">
        <f t="shared" si="223"/>
        <v>0.49024484939994811</v>
      </c>
      <c r="LI45" s="189">
        <f>LH45*(VLOOKUP(AN45,各项系数!$D$1:$F$143,2,0))</f>
        <v>4.902448493999481</v>
      </c>
      <c r="LJ45" s="235">
        <f>各项系数!$F$76/4*($NI45^2-$NF45^2)*10^-2*(VLOOKUP(AN45,各项系数!$D$1:$F$143,3,0))*10^-3*10^2*各项系数!$J$4</f>
        <v>0.49200934878994096</v>
      </c>
      <c r="LK45" s="102">
        <v>1</v>
      </c>
      <c r="LL45" s="189">
        <f t="shared" si="224"/>
        <v>0.49200934878994096</v>
      </c>
      <c r="LM45" s="189">
        <f>LL45*(VLOOKUP(AN45,各项系数!$D$1:$F$143,2,0))</f>
        <v>4.9200934878994094</v>
      </c>
      <c r="LN45" s="189">
        <f>各项系数!$F$76/4*($NH45^2-$NE45^2)*10^-2*(VLOOKUP($LN$9,各项系数!$D$1:$F$143,3,0))*10^-3*10^2*各项系数!$J$4</f>
        <v>0.49024484939994811</v>
      </c>
      <c r="LO45" s="353">
        <v>1</v>
      </c>
      <c r="LP45" s="189">
        <f t="shared" si="225"/>
        <v>0.49024484939994811</v>
      </c>
      <c r="LQ45" s="189">
        <f>LP45*(VLOOKUP($LN$9,各项系数!$D$1:$F$143,2,0))</f>
        <v>5.3926933433994293</v>
      </c>
      <c r="LR45" s="189">
        <f>各项系数!$F$76/4*($NI45^2-$NF45^2)*10^-2*(VLOOKUP($LR$9,各项系数!$D$1:$F$143,3,0))*10^-3*10^2*各项系数!$J$4</f>
        <v>0.49200934878994096</v>
      </c>
      <c r="LS45" s="353">
        <v>1</v>
      </c>
      <c r="LT45" s="189">
        <f t="shared" si="226"/>
        <v>0.49200934878994096</v>
      </c>
      <c r="LU45" s="189">
        <f>LT45*(VLOOKUP($LR$9,各项系数!$D$1:$F$143,2,0))</f>
        <v>5.4121028366893507</v>
      </c>
      <c r="LV45" s="227">
        <f t="shared" si="154"/>
        <v>462.37653494</v>
      </c>
      <c r="LW45" s="227">
        <f t="shared" si="155"/>
        <v>349.14146516</v>
      </c>
      <c r="LX45" s="227">
        <f t="shared" si="156"/>
        <v>21.084134322956825</v>
      </c>
      <c r="LY45" s="227">
        <f t="shared" si="157"/>
        <v>113.23506978</v>
      </c>
      <c r="LZ45" s="374">
        <f t="shared" si="86"/>
        <v>1</v>
      </c>
      <c r="MA45" s="375">
        <f t="shared" si="87"/>
        <v>462.37653494</v>
      </c>
      <c r="MB45" s="375">
        <f t="shared" si="158"/>
        <v>17.156865809999999</v>
      </c>
      <c r="MC45" s="227">
        <f t="shared" si="159"/>
        <v>0</v>
      </c>
      <c r="MD45" s="227">
        <f t="shared" si="160"/>
        <v>0</v>
      </c>
      <c r="ME45" s="227">
        <f t="shared" si="161"/>
        <v>0</v>
      </c>
      <c r="MF45" s="227">
        <f t="shared" si="162"/>
        <v>0</v>
      </c>
      <c r="MG45" s="374">
        <f t="shared" si="163"/>
        <v>1</v>
      </c>
      <c r="MH45" s="375">
        <f t="shared" si="88"/>
        <v>0</v>
      </c>
      <c r="MI45" s="375">
        <f t="shared" si="164"/>
        <v>0</v>
      </c>
      <c r="MJ45" s="189">
        <f t="shared" si="89"/>
        <v>17.156865809999999</v>
      </c>
      <c r="MK45" s="189">
        <f t="shared" si="165"/>
        <v>17.156865809999999</v>
      </c>
      <c r="ML45" s="189">
        <f t="shared" si="227"/>
        <v>0</v>
      </c>
      <c r="MM45" s="189">
        <f t="shared" si="91"/>
        <v>0</v>
      </c>
      <c r="MN45" s="189">
        <f t="shared" si="92"/>
        <v>20.356865809999999</v>
      </c>
      <c r="MO45" s="189">
        <f t="shared" si="166"/>
        <v>0</v>
      </c>
      <c r="MP45" s="189">
        <f t="shared" si="167"/>
        <v>40.713731619999997</v>
      </c>
      <c r="MQ45" s="189">
        <f t="shared" si="228"/>
        <v>40.713731619999997</v>
      </c>
      <c r="MR45" s="246">
        <f t="shared" si="168"/>
        <v>40.616921410000003</v>
      </c>
      <c r="MS45" s="380">
        <f t="shared" si="94"/>
        <v>40.792921410000005</v>
      </c>
      <c r="MT45" s="380">
        <f t="shared" si="95"/>
        <v>40.952921410000002</v>
      </c>
      <c r="MU45" s="380">
        <f t="shared" si="232"/>
        <v>42.292921410000005</v>
      </c>
      <c r="MV45" s="380">
        <f t="shared" si="97"/>
        <v>45.592921410000002</v>
      </c>
      <c r="MW45" s="380">
        <f t="shared" si="98"/>
        <v>45.752921409999999</v>
      </c>
      <c r="MX45" s="254">
        <f t="shared" si="233"/>
        <v>17.756865810000001</v>
      </c>
      <c r="MY45" s="254">
        <f t="shared" si="100"/>
        <v>0</v>
      </c>
      <c r="MZ45" s="189">
        <f t="shared" si="101"/>
        <v>20.95686581</v>
      </c>
      <c r="NA45" s="189">
        <f t="shared" si="102"/>
        <v>0</v>
      </c>
      <c r="NB45" s="189">
        <f t="shared" si="169"/>
        <v>41.91373162</v>
      </c>
      <c r="NC45" s="254">
        <f t="shared" si="229"/>
        <v>41.91373162</v>
      </c>
      <c r="ND45" s="246">
        <f t="shared" si="234"/>
        <v>41.814068020000001</v>
      </c>
      <c r="NE45" s="386">
        <f t="shared" si="235"/>
        <v>42.054068020000003</v>
      </c>
      <c r="NF45" s="380">
        <f t="shared" si="106"/>
        <v>42.214068019999999</v>
      </c>
      <c r="NG45" s="387">
        <f t="shared" si="236"/>
        <v>43.554068020000003</v>
      </c>
      <c r="NH45" s="254">
        <f t="shared" si="108"/>
        <v>46.85406802</v>
      </c>
      <c r="NI45" s="380">
        <f t="shared" si="109"/>
        <v>47.014068019999996</v>
      </c>
      <c r="NK45" s="388">
        <f t="shared" si="110"/>
        <v>3.8612489545877682</v>
      </c>
      <c r="NL45" s="388">
        <f t="shared" si="111"/>
        <v>212.37059871619451</v>
      </c>
      <c r="NM45" s="388">
        <f t="shared" si="112"/>
        <v>3.8612489545877682</v>
      </c>
      <c r="NN45" s="388">
        <f t="shared" si="113"/>
        <v>212.84693548794422</v>
      </c>
      <c r="NO45" s="388">
        <f t="shared" si="114"/>
        <v>4.0613853346219626</v>
      </c>
      <c r="NP45" s="388">
        <f t="shared" si="115"/>
        <v>213.88498203099192</v>
      </c>
      <c r="NQ45" s="388">
        <f t="shared" si="116"/>
        <v>4.0613853346219626</v>
      </c>
      <c r="NR45" s="388">
        <f t="shared" si="117"/>
        <v>214.37522688039186</v>
      </c>
      <c r="NS45" s="388">
        <f t="shared" si="118"/>
        <v>3.9183416109474827</v>
      </c>
      <c r="NT45" s="388">
        <f t="shared" si="119"/>
        <v>3.9183416109474827</v>
      </c>
      <c r="NU45" s="388">
        <f t="shared" si="120"/>
        <v>4.1202396025215435</v>
      </c>
      <c r="NV45" s="388">
        <f t="shared" si="121"/>
        <v>4.1202396025215435</v>
      </c>
      <c r="NW45">
        <f t="shared" si="122"/>
        <v>4.6228683651747318</v>
      </c>
      <c r="NX45">
        <f>各项系数!$M$9*NK45</f>
        <v>1.1583746863763305</v>
      </c>
      <c r="NY45">
        <f t="shared" si="123"/>
        <v>3.9183416109474827</v>
      </c>
    </row>
    <row r="46" spans="1:398" ht="15" hidden="1" customHeight="1">
      <c r="A46" s="74" t="s">
        <v>916</v>
      </c>
      <c r="B46" s="70">
        <v>1</v>
      </c>
      <c r="C46" s="67"/>
      <c r="D46" s="53" t="s">
        <v>326</v>
      </c>
      <c r="E46" s="54">
        <f t="shared" ref="E46:E61" si="255">MV46</f>
        <v>52.276513040000005</v>
      </c>
      <c r="F46" s="68">
        <f>$F$30</f>
        <v>246.701228113631</v>
      </c>
      <c r="G46" s="58"/>
      <c r="H46" s="16"/>
      <c r="I46" s="62"/>
      <c r="J46" s="16"/>
      <c r="K46" s="16"/>
      <c r="L46" s="97" t="s">
        <v>467</v>
      </c>
      <c r="M46" s="103">
        <f t="shared" si="2"/>
        <v>1.7</v>
      </c>
      <c r="N46" s="103">
        <f t="shared" si="252"/>
        <v>0</v>
      </c>
      <c r="O46" s="53">
        <f t="shared" si="251"/>
        <v>0.08</v>
      </c>
      <c r="P46" s="99">
        <v>0.1</v>
      </c>
      <c r="Q46" s="133">
        <f t="shared" si="253"/>
        <v>0.1</v>
      </c>
      <c r="R46" s="70">
        <v>0.8</v>
      </c>
      <c r="S46" s="142" t="str">
        <f>各项系数!$D$43</f>
        <v>钢带</v>
      </c>
      <c r="T46" s="58">
        <v>0.5</v>
      </c>
      <c r="U46" s="62">
        <v>2</v>
      </c>
      <c r="V46" s="143"/>
      <c r="W46" s="141">
        <v>2.6</v>
      </c>
      <c r="X46" s="135">
        <f t="shared" si="254"/>
        <v>0.2</v>
      </c>
      <c r="Y46" s="135"/>
      <c r="Z46" s="168"/>
      <c r="AA46" s="153">
        <f>$AA$30</f>
        <v>1.0149999999999999</v>
      </c>
      <c r="AB46" s="153">
        <f>PI()*EJ46*EJ46/4*EH46*(1-H46)*AA46*各项系数!$F$5*各项系数!$J$4*10^-7</f>
        <v>2.05998769246807</v>
      </c>
      <c r="AC46" s="153">
        <f t="shared" ref="AC46:AC61" si="256">EJ46</f>
        <v>246.701228113631</v>
      </c>
      <c r="AD46" s="153">
        <f t="shared" si="5"/>
        <v>232.88407080035392</v>
      </c>
      <c r="AE46" s="153">
        <f>POWER(4*EU46/PI()/EG46/10^-7/EH46/(1-H46)/各项系数!$F$5/各项系数!$J$4,0.5)</f>
        <v>248.54460040818714</v>
      </c>
      <c r="AF46" s="69">
        <v>1</v>
      </c>
      <c r="AG46" s="69">
        <f>IF(EM46=0,0,PI()*ER46*ER46/4*EP46*(1-K46)*(1+AF46)*各项系数!$F$5*各项系数!$J$4*10^-7)</f>
        <v>0</v>
      </c>
      <c r="AH46" s="69">
        <f t="shared" ref="AH46:AH61" si="257">ER46</f>
        <v>0</v>
      </c>
      <c r="AI46" s="69">
        <f t="shared" si="128"/>
        <v>0</v>
      </c>
      <c r="AJ46" s="69">
        <f>IF(OR(EP46="",EP46=0),0,POWER(4*EW46/PI()/EO46/10^-7/EP46/(1-K46)/各项系数!$F$5/各项系数!$J$4,0.5))</f>
        <v>0</v>
      </c>
      <c r="AK46" s="69" t="str">
        <f t="shared" si="8"/>
        <v>√</v>
      </c>
      <c r="AL46" s="69">
        <f t="shared" ref="AL46:AL61" si="258">AO46*(1+0.02)</f>
        <v>287.11234411301132</v>
      </c>
      <c r="AM46" s="188">
        <f t="shared" ref="AM46:AM61" si="259">EE46*1</f>
        <v>240</v>
      </c>
      <c r="AN46" s="97" t="s">
        <v>486</v>
      </c>
      <c r="AO46" s="196">
        <f>AP46+各项系数!$M$9*$NK46</f>
        <v>281.48269030687385</v>
      </c>
      <c r="AP46" s="196">
        <f>AQ46*(1+$BI46+(VLOOKUP($AM46,$A$12:$B$323,2,0))+各项系数!$J$6+各项系数!$M$5)*(1+$E$2)</f>
        <v>279.97522386082733</v>
      </c>
      <c r="AQ46" s="197">
        <f>AR46+各项系数!$L$9*$NK46</f>
        <v>285.68900393961974</v>
      </c>
      <c r="AR46" s="197">
        <f>AS46*(1+$BJ46+各项系数!$J$5+各项系数!$L$5)</f>
        <v>284.18153749357322</v>
      </c>
      <c r="AS46" s="197">
        <f t="shared" si="129"/>
        <v>278.6093504838953</v>
      </c>
      <c r="AT46" s="196">
        <f>AU46+各项系数!$M$9*$NM46</f>
        <v>285.49825598223873</v>
      </c>
      <c r="AU46" s="196">
        <f>AV46*(1+$BI46+(VLOOKUP($AM46,$A$12:$B$323,2,0))+各项系数!$J$6+各项系数!$M$5)*(1+$E$2)</f>
        <v>283.99078953619221</v>
      </c>
      <c r="AV46" s="197">
        <f>AW46+各项系数!$L$9*$NM46</f>
        <v>289.78651993489001</v>
      </c>
      <c r="AW46" s="197">
        <f>AX46*(1+$BJ46+各项系数!$J$5+各项系数!$L$5)</f>
        <v>288.27905348884349</v>
      </c>
      <c r="AX46" s="197">
        <f t="shared" si="130"/>
        <v>282.62652302827792</v>
      </c>
      <c r="AY46" s="196">
        <f>AZ46+各项系数!$M$9*$NS46</f>
        <v>285.98535680715929</v>
      </c>
      <c r="AZ46" s="196">
        <f>BA46*(1+$BI46+(VLOOKUP($AM46,$A$12:$B$214,2,0))+各项系数!$J$6+各项系数!$M$5)*(1+$E$2)</f>
        <v>284.45812942525663</v>
      </c>
      <c r="BA46" s="197">
        <f>BB46+各项系数!$L$9*$NS46</f>
        <v>290.26339737271087</v>
      </c>
      <c r="BB46" s="197">
        <f>BC46*(1+$BJ46+各项系数!$J$5+各项系数!$L$5)</f>
        <v>288.73616999080821</v>
      </c>
      <c r="BC46" s="199">
        <f t="shared" si="131"/>
        <v>283.07467646157664</v>
      </c>
      <c r="BD46" s="196">
        <f>BE46+各项系数!$M$9*$NS46</f>
        <v>290.01385596896955</v>
      </c>
      <c r="BE46" s="196">
        <f>BF46*(1+$BI46+(VLOOKUP($AM46,$A$12:$B$214,2,0))+各项系数!$J$6+各项系数!$M$5)*(1+$E$2)</f>
        <v>288.48662858706689</v>
      </c>
      <c r="BF46" s="197">
        <f>BG46+各项系数!$L$9*$NS46</f>
        <v>294.3741108031295</v>
      </c>
      <c r="BG46" s="197">
        <f>BH46*(1+$BJ46+各项系数!$J$5+各项系数!$L$5)</f>
        <v>292.84688342122683</v>
      </c>
      <c r="BH46" s="199">
        <f t="shared" si="132"/>
        <v>287.10478766786946</v>
      </c>
      <c r="BI46" s="213"/>
      <c r="BJ46" s="208"/>
      <c r="BK46" s="53" t="s">
        <v>514</v>
      </c>
      <c r="BL46" s="196">
        <f>BM46+各项系数!$M$9*$NM46</f>
        <v>284.81213258789347</v>
      </c>
      <c r="BM46" s="196">
        <f>BN46*(1+$CF46+(VLOOKUP($AM46,$A$12:$B$323,2,0))+各项系数!$J$6+各项系数!$M$5)*(1+$E$2)</f>
        <v>283.30466614184695</v>
      </c>
      <c r="BN46" s="197">
        <f>BO46+各项系数!$L$9*$NM46</f>
        <v>289.08639402229284</v>
      </c>
      <c r="BO46" s="197">
        <f>BP46*(1+$CG46+各项系数!$J$5+各项系数!$L$5)</f>
        <v>287.57892757624631</v>
      </c>
      <c r="BP46" s="197">
        <f t="shared" si="133"/>
        <v>279.20284230703527</v>
      </c>
      <c r="BQ46" s="196">
        <f>BR46+各项系数!$M$9*$NM46</f>
        <v>288.26799590791586</v>
      </c>
      <c r="BR46" s="196">
        <f>BS46*(1+$CF46+(VLOOKUP($AM46,$A$12:$B$323,2,0))+各项系数!$J$6+各项系数!$M$5)*(1+$E$2)</f>
        <v>286.76052946186934</v>
      </c>
      <c r="BS46" s="197">
        <f>BT46+各项系数!$L$9*$NM46</f>
        <v>292.6127851651728</v>
      </c>
      <c r="BT46" s="197">
        <f>BU46*(1+$CG46+各项系数!$J$5+各项系数!$L$5)</f>
        <v>291.10531871912627</v>
      </c>
      <c r="BU46" s="197">
        <f t="shared" si="134"/>
        <v>282.62652302827792</v>
      </c>
      <c r="BV46" s="196">
        <f>BW46+各项系数!$M$9*$NT46</f>
        <v>287.8719040930788</v>
      </c>
      <c r="BW46" s="196">
        <f>BX46*(1+$CF46+(VLOOKUP($AM46,$A$12:$B$214,2,0))+各项系数!$J$6+各项系数!$M$5)*(1+$E$2)</f>
        <v>286.34467671117613</v>
      </c>
      <c r="BX46" s="197">
        <f>BY46+各项系数!$L$9*$NT$12</f>
        <v>292.1884456236491</v>
      </c>
      <c r="BY46" s="197">
        <f>BZ46*(1+$CG46+各项系数!$J$5+各项系数!$L$5)</f>
        <v>292.18018222049415</v>
      </c>
      <c r="BZ46" s="199">
        <f t="shared" si="11"/>
        <v>283.67007982572244</v>
      </c>
      <c r="CA46" s="196">
        <f>CB46+各项系数!$M$9*$NT46</f>
        <v>291.33889818894193</v>
      </c>
      <c r="CB46" s="196">
        <f>CC46*(1+$CF46+(VLOOKUP($AM46,$A$12:$B$214,2,0))+各项系数!$J$6+各项系数!$M$5)*(1+$E$2)</f>
        <v>289.81167080703926</v>
      </c>
      <c r="CC46" s="197">
        <f>CD46+各项系数!$L$9*$NT$12</f>
        <v>295.72619470106048</v>
      </c>
      <c r="CD46" s="197">
        <f>CE46*(1+$CG46+各项系数!$J$5+各项系数!$L$5)</f>
        <v>295.71793129790552</v>
      </c>
      <c r="CE46" s="199">
        <f t="shared" si="135"/>
        <v>287.10478766786946</v>
      </c>
      <c r="CF46" s="213">
        <f t="shared" si="136"/>
        <v>0</v>
      </c>
      <c r="CG46" s="213">
        <f t="shared" si="12"/>
        <v>0.01</v>
      </c>
      <c r="CH46" s="102"/>
      <c r="CI46" s="196">
        <f>CJ46+各项系数!$M$9*$NO46</f>
        <v>284.91058039585243</v>
      </c>
      <c r="CJ46" s="196">
        <f>CK46*(1+$DC46+(VLOOKUP($AM46,$A$12:$B$323,2,0))+各项系数!$J$6+各项系数!$M$5)*(1+$E$2)+各项系数!$M$9*$NK46</f>
        <v>283.32724478176425</v>
      </c>
      <c r="CK46" s="197">
        <f>CL46+各项系数!$L$9*$NO46</f>
        <v>287.57120238338547</v>
      </c>
      <c r="CL46" s="197">
        <f>CM46*(1+$DD46+各项系数!$J$5+各项系数!$L$5)</f>
        <v>285.98786676929728</v>
      </c>
      <c r="CM46" s="197">
        <f t="shared" si="13"/>
        <v>280.38026153852672</v>
      </c>
      <c r="CN46" s="196">
        <f>CO46+各项系数!$M$9*$NO46</f>
        <v>288.775535498343</v>
      </c>
      <c r="CO46" s="196">
        <f>CP46*(1+$DC46+(VLOOKUP($AM46,$A$12:$B$323,2,0))+各项系数!$J$6+各项系数!$M$5)*(1+$E$2)+各项系数!$M$9*$NK46</f>
        <v>287.19219988425482</v>
      </c>
      <c r="CP46" s="197">
        <f>CQ46+各项系数!$L$9*$NO46</f>
        <v>291.51503412062073</v>
      </c>
      <c r="CQ46" s="197">
        <f>CR46*(1+$DD46+各项系数!$J$5+各项系数!$L$5)</f>
        <v>289.93169850653254</v>
      </c>
      <c r="CR46" s="197">
        <f t="shared" si="14"/>
        <v>284.24676324169855</v>
      </c>
      <c r="CS46" s="196">
        <f>CT46+各项系数!$M$9*$NU46</f>
        <v>288.02568806277537</v>
      </c>
      <c r="CT46" s="196">
        <f t="shared" si="15"/>
        <v>286.4220630293691</v>
      </c>
      <c r="CU46" s="197">
        <f>CV46+各项系数!$L$9*$NU46</f>
        <v>292.2674112544583</v>
      </c>
      <c r="CV46" s="197">
        <f>CW46*(1+$DD46+各项系数!$J$5+各项系数!$L$5)</f>
        <v>290.66378622105202</v>
      </c>
      <c r="CW46" s="199">
        <f t="shared" si="16"/>
        <v>284.96449629514905</v>
      </c>
      <c r="CX46" s="196">
        <f>CY46+各项系数!$M$9*$NU46</f>
        <v>292.15613111574891</v>
      </c>
      <c r="CY46" s="196">
        <f t="shared" si="17"/>
        <v>290.55250608234263</v>
      </c>
      <c r="CZ46" s="197">
        <f>DA46+各项系数!$L$9*$NU46</f>
        <v>296.48214906361494</v>
      </c>
      <c r="DA46" s="197">
        <f>DB46*(1+$DD46+各项系数!$J$5+各项系数!$L$5)</f>
        <v>294.87852403020867</v>
      </c>
      <c r="DB46" s="199">
        <f t="shared" si="18"/>
        <v>289.09659218647909</v>
      </c>
      <c r="DC46" s="213">
        <f t="shared" si="137"/>
        <v>0</v>
      </c>
      <c r="DD46" s="213">
        <f t="shared" si="19"/>
        <v>0</v>
      </c>
      <c r="DE46" s="53" t="s">
        <v>498</v>
      </c>
      <c r="DF46" s="53" t="s">
        <v>513</v>
      </c>
      <c r="DG46" s="196">
        <f>DH46+各项系数!$M$9*$NQ46</f>
        <v>288.2725863199193</v>
      </c>
      <c r="DH46" s="196">
        <f>DI46*(1+$EA46+(VLOOKUP($AM46,$A$12:$B$323,2,0))+各项系数!$J$6+各项系数!$M$5)*(1+$E$2)+各项系数!$M$9*$NK46</f>
        <v>286.68925070583111</v>
      </c>
      <c r="DI46" s="197">
        <f>DJ46+各项系数!$L$9*$NQ46</f>
        <v>291.0018206732496</v>
      </c>
      <c r="DJ46" s="197">
        <f>DK46*(1+$EB46+各项系数!$J$5+各项系数!$L$5)</f>
        <v>289.41848505916141</v>
      </c>
      <c r="DK46" s="197">
        <f t="shared" si="20"/>
        <v>280.98882044578778</v>
      </c>
      <c r="DL46" s="196">
        <f>DM46+各项系数!$M$9*$NQ46</f>
        <v>291.81618426630644</v>
      </c>
      <c r="DM46" s="196">
        <f>DN46*(1+$EA46+(VLOOKUP($AM46,$A$12:$B$323,2,0))+各项系数!$J$6+各项系数!$M$5)*(1+$E$2)+各项系数!$M$9*$NK46</f>
        <v>290.23284865221825</v>
      </c>
      <c r="DN46" s="197">
        <f>DO46+各项系数!$L$9*$NQ46</f>
        <v>294.6177369450732</v>
      </c>
      <c r="DO46" s="197">
        <f>DP46*(1+$EB46+各项系数!$J$5+各项系数!$L$5)</f>
        <v>293.03440133098502</v>
      </c>
      <c r="DP46" s="197">
        <f t="shared" si="21"/>
        <v>284.49941876794662</v>
      </c>
      <c r="DQ46" s="196">
        <f>DR46+各项系数!$M$9*$NV46</f>
        <v>291.43454899694842</v>
      </c>
      <c r="DR46" s="196">
        <f t="shared" si="22"/>
        <v>289.83092396354215</v>
      </c>
      <c r="DS46" s="197">
        <f>DT46+各项系数!$L$9*$NV46</f>
        <v>295.74584077912465</v>
      </c>
      <c r="DT46" s="197">
        <f>DU46*(1+$EB46+各项系数!$J$5+各项系数!$L$5)</f>
        <v>294.14221574571837</v>
      </c>
      <c r="DU46" s="199">
        <f t="shared" si="23"/>
        <v>285.57496674341587</v>
      </c>
      <c r="DV46" s="196">
        <f>DW46+各项系数!$M$9*$NV46</f>
        <v>292.29231297993721</v>
      </c>
      <c r="DW46" s="196">
        <f t="shared" si="24"/>
        <v>290.68868794653093</v>
      </c>
      <c r="DX46" s="197">
        <f>DY46+各项系数!$L$9*$NV46</f>
        <v>296.62111014952137</v>
      </c>
      <c r="DY46" s="197">
        <f>DZ46*(1+$EB46+各项系数!$J$5+各项系数!$L$5)</f>
        <v>295.0174851161151</v>
      </c>
      <c r="DZ46" s="199">
        <f t="shared" si="25"/>
        <v>286.42474283117969</v>
      </c>
      <c r="EA46" s="213">
        <f t="shared" si="230"/>
        <v>0</v>
      </c>
      <c r="EB46" s="213">
        <f t="shared" si="27"/>
        <v>0.01</v>
      </c>
      <c r="EC46" s="235">
        <f t="shared" si="138"/>
        <v>2</v>
      </c>
      <c r="ED46" s="235" t="str">
        <f t="shared" ref="ED46:ED51" si="260">IF(COUNTIF($D46,"*+*")&gt;0,MID($D46,1,FIND("+",$D46)-1),MID($D46,1,LEN($D46)))</f>
        <v>2*240</v>
      </c>
      <c r="EE46" s="189">
        <f t="shared" si="239"/>
        <v>240</v>
      </c>
      <c r="EF46" s="189" t="str">
        <f>LOOKUP(EH46,{1,7,10,14,19,24,30,37,48,61},{1,"1+6","2+8","4+10","1+6+12","2+8+14","4+10+16","1+6+12+18","3+9+15+21","1+6+12+18+24"})</f>
        <v>3+9+15+21</v>
      </c>
      <c r="EG46" s="188">
        <f t="shared" si="29"/>
        <v>2</v>
      </c>
      <c r="EH46" s="197">
        <f>VLOOKUP(EE46,各项系数!$B$87:$C$124,2,0)</f>
        <v>48</v>
      </c>
      <c r="EI46" s="188">
        <f>IF(EH46=0,0,VLOOKUP(EH46,各项系数!$D$142:$E$195,2,0))*1</f>
        <v>8.15</v>
      </c>
      <c r="EJ46" s="238">
        <f t="shared" si="141"/>
        <v>246.701228113631</v>
      </c>
      <c r="EK46" s="189">
        <f t="shared" ref="EK46:EK61" si="261">IF(COUNTIF($D46,"*+*")&gt;0,MID($D46,FIND("+",$D46)+1,LEN($D46)),0)</f>
        <v>0</v>
      </c>
      <c r="EL46" s="189">
        <f t="shared" si="31"/>
        <v>0</v>
      </c>
      <c r="EM46" s="189">
        <f t="shared" ref="EM46:EM51" si="262">EL46/1</f>
        <v>0</v>
      </c>
      <c r="EN46" s="189">
        <f>IF(EP46=0,0,LOOKUP(EP46,{1,7,10,14,19,24,30,37,48,61},{1,"1+6","2+8","4+10","1+6+12","2+8+14","4+10+16","1+6+12+18","3+9+15+21","1+6+12+18+24"}))</f>
        <v>0</v>
      </c>
      <c r="EO46" s="189">
        <f t="shared" ref="EO46:EO61" si="263">IF(EK46=0,0,MID(EK46,1,1))</f>
        <v>0</v>
      </c>
      <c r="EP46" s="189">
        <f>IF(EM46=0,0,IF(EM46&lt;10,1,IF(AND(EM46&gt;=10,EM46&lt;=35),7,LOOKUP(EM46,{50,70,95,120,150,185,240,300},{10,14,19,24,30,37,48,61})*1)))</f>
        <v>0</v>
      </c>
      <c r="EQ46" s="189">
        <f>IF(EP46=0,0,VLOOKUP(EP46,各项系数!$D$142:$E$195,2,0))*1</f>
        <v>0</v>
      </c>
      <c r="ER46" s="189">
        <f t="shared" ref="ER46:ER61" si="264">$I46-$J46</f>
        <v>0</v>
      </c>
      <c r="ES46" s="235">
        <f t="shared" si="250"/>
        <v>2</v>
      </c>
      <c r="ET46" s="189">
        <f>VLOOKUP(ES46,各项系数!$D$142:$E$195,2,0)*1</f>
        <v>2</v>
      </c>
      <c r="EU46" s="243">
        <f>((各项系数!$F$76/4*$EJ46^2*$EG46*$EH46*1*10^-7)*(1-$H46)*AA46)*(VLOOKUP($EY$9,各项系数!$D$4:$F$143,3,0))*各项系数!$J$4</f>
        <v>4.11997538493614</v>
      </c>
      <c r="EV46" s="244">
        <f>EU46*(VLOOKUP($EY$9,各项系数!$D$4:$F$143,2,0))</f>
        <v>269.85838771331714</v>
      </c>
      <c r="EW46" s="252">
        <f>(IF($EO46=0,0,(各项系数!$F$76/4*$ER46^2*$EO46*$EP46*1*10^-7))*(1-$K46)*$AF46)*(VLOOKUP($EY$9,各项系数!$D$4:$F$143,3,0))*各项系数!$J$4</f>
        <v>0</v>
      </c>
      <c r="EX46" s="253">
        <f>EW46*(VLOOKUP($EY$9,各项系数!$D$4:$F$143,2,0))</f>
        <v>0</v>
      </c>
      <c r="EY46" s="189">
        <f>((各项系数!$F$76/4*$EJ46^2*$EG46*$EH46*1*10^-7)*(1-$H46)*AA46+IF($EO46=0,0,(各项系数!$F$76/4*$ER46^2*$EO46*$EP46*1*10^-7))*(1-$K46)*$AF46)*(VLOOKUP($EY$9,各项系数!$D$4:$F$143,3,0))*各项系数!$J$4</f>
        <v>4.11997538493614</v>
      </c>
      <c r="EZ46" s="102">
        <v>1</v>
      </c>
      <c r="FA46" s="189">
        <f t="shared" si="188"/>
        <v>4.11997538493614</v>
      </c>
      <c r="FB46" s="254">
        <f>FA46*(VLOOKUP($EY$9,各项系数!$D$4:$F$143,2,0))</f>
        <v>269.85838771331714</v>
      </c>
      <c r="FC46" s="255"/>
      <c r="FD46" s="235">
        <f>各项系数!$F$76/4*($MN46^2-MK46^2)*10^-2*(VLOOKUP(L46,各项系数!$D$1:$F$143,3,0))*10^-3*10^2*$EG46*各项系数!$J$4</f>
        <v>0.25493152998034735</v>
      </c>
      <c r="FE46" s="262">
        <f>FD46*VLOOKUP(L46,各项系数!$D$1:$F$143,2,0)</f>
        <v>2.6003016057995429</v>
      </c>
      <c r="FF46" s="188">
        <f>各项系数!$F$76/4*($MO46^2-ML46^2)*10^-2*(VLOOKUP(L46,各项系数!$D$1:$F$143,3,0))*10^-3*10^2*$EO46*各项系数!$J$4</f>
        <v>0</v>
      </c>
      <c r="FG46" s="262">
        <f>FF46*VLOOKUP(L46,各项系数!$D$1:$F$143,2,0)</f>
        <v>0</v>
      </c>
      <c r="FH46" s="235">
        <f t="shared" si="142"/>
        <v>0.25493152998034735</v>
      </c>
      <c r="FI46" s="102">
        <v>1</v>
      </c>
      <c r="FJ46" s="189">
        <f t="shared" si="189"/>
        <v>0.25493152998034735</v>
      </c>
      <c r="FK46" s="262">
        <f>FJ46*VLOOKUP(L46,各项系数!$D$1:$F$143,2,0)</f>
        <v>2.6003016057995429</v>
      </c>
      <c r="FL46" s="235"/>
      <c r="FM46" s="102"/>
      <c r="FN46" s="189"/>
      <c r="FO46" s="262"/>
      <c r="FP46" s="282">
        <f t="shared" si="190"/>
        <v>0.25493152998034735</v>
      </c>
      <c r="FQ46" s="282">
        <f t="shared" si="191"/>
        <v>2.6003016057995429</v>
      </c>
      <c r="FR46" s="283">
        <f>各项系数!$F$76/4*($MQ46^2-$MN46^2*$EG46-$MO46^2*$EO46)*10^-2</f>
        <v>8.6792637546992584</v>
      </c>
      <c r="FS46" s="284">
        <f t="shared" si="143"/>
        <v>0.05</v>
      </c>
      <c r="FT46" s="285">
        <f t="shared" si="40"/>
        <v>0.43396318773496295</v>
      </c>
      <c r="FU46" s="302">
        <f>$FT46*(VLOOKUP($FT$9,各项系数!$D$1:$F$143,3,0))*10^-3*10^2*各项系数!$J$55</f>
        <v>5.1815204615554576E-2</v>
      </c>
      <c r="FV46" s="303">
        <v>1</v>
      </c>
      <c r="FW46" s="304">
        <f t="shared" si="192"/>
        <v>5.1815204615554576E-2</v>
      </c>
      <c r="FX46" s="285">
        <f>FW46*(VLOOKUP($FT$9,各项系数!$D$1:$F$143,2,0))</f>
        <v>0.15544561384666372</v>
      </c>
      <c r="FY46" s="302">
        <f>IF($BK46&lt;&gt;$FY$9,0,各项系数!$F$76/4*($MS46^2-$MQ46^2)*10^-2*(VLOOKUP($FY$9,各项系数!$D$1:$F$143,3,0))*10^-3*10^2)*各项系数!$J$4</f>
        <v>0</v>
      </c>
      <c r="FZ46" s="303">
        <v>1</v>
      </c>
      <c r="GA46" s="304">
        <f t="shared" si="193"/>
        <v>0</v>
      </c>
      <c r="GB46" s="285">
        <f>GA46*(VLOOKUP($FY$9,各项系数!$D$1:$F$143,2,0))</f>
        <v>0</v>
      </c>
      <c r="GC46" s="302">
        <f>IF($BK46&lt;&gt;$GC$9,0,各项系数!$F$76/4*($MS46^2-$MQ46^2)*10^-2*(VLOOKUP($GC$9,各项系数!$D$1:$F$143,3,0))*10^-3*10^2)*各项系数!$J$4</f>
        <v>4.6742108164769631E-3</v>
      </c>
      <c r="GD46" s="303">
        <v>1</v>
      </c>
      <c r="GE46" s="304">
        <f t="shared" si="194"/>
        <v>4.6742108164769631E-3</v>
      </c>
      <c r="GF46" s="285">
        <f>GE46*(VLOOKUP($GC$9,各项系数!$D$1:$F$143,2,0))</f>
        <v>6.0297319532552823E-2</v>
      </c>
      <c r="GG46" s="302">
        <f>IF($BK46&lt;&gt;$GG$9,0,各项系数!$F$76/4*($MS46^2-$MQ46^2)*10^-2*(VLOOKUP($GG$9,各项系数!$D$1:$F$143,3,0))*10^-3*10^2)*各项系数!$J$4</f>
        <v>0</v>
      </c>
      <c r="GH46" s="303">
        <v>1</v>
      </c>
      <c r="GI46" s="304">
        <f t="shared" si="195"/>
        <v>0</v>
      </c>
      <c r="GJ46" s="285">
        <f>GI46*(VLOOKUP($GG$9,各项系数!$D$1:$F$143,2,0))</f>
        <v>0</v>
      </c>
      <c r="GK46" s="302">
        <f>IF($BK46&lt;&gt;$GK$9,0,各项系数!$F$76/4*($MS46^2-$MQ46^2)*10^-2*(VLOOKUP($GK$9,各项系数!$D$1:$F$143,3,0))*10^-3*10^2)*各项系数!$J$4</f>
        <v>0</v>
      </c>
      <c r="GL46" s="303">
        <v>1</v>
      </c>
      <c r="GM46" s="304">
        <f t="shared" si="196"/>
        <v>0</v>
      </c>
      <c r="GN46" s="285">
        <f>GM46*(VLOOKUP($GK$9,各项系数!$D$1:$F$143,2,0))</f>
        <v>0</v>
      </c>
      <c r="GO46" s="304">
        <f t="shared" si="197"/>
        <v>4.6742108164769631E-3</v>
      </c>
      <c r="GP46" s="304">
        <f t="shared" si="198"/>
        <v>6.0297319532552823E-2</v>
      </c>
      <c r="GQ46" s="315">
        <f>各项系数!$F$76/4*($MU46^2-$MS46^2)*10^-2*(VLOOKUP($S46,各项系数!$D$1:$F$143,3,0))*10^-3*10^2*各项系数!$J$4</f>
        <v>0.87681846715735046</v>
      </c>
      <c r="GR46" s="303">
        <v>1</v>
      </c>
      <c r="GS46" s="304">
        <f t="shared" si="199"/>
        <v>0.87681846715735046</v>
      </c>
      <c r="GT46" s="304">
        <f t="shared" si="200"/>
        <v>0</v>
      </c>
      <c r="GU46" s="304">
        <f>ROUND($GS46*(VLOOKUP($S46,各项系数!$D$1:$F$143,2,0))+$E$3*GS46,GT46)</f>
        <v>5</v>
      </c>
      <c r="GV46" s="315">
        <f>各项系数!$F$76/4*($MT46^2-$MS46^2)*10^-2*(VLOOKUP($GV$9,各项系数!$D$1:$F$143,3,0))*10^-3*10^2*各项系数!$J$4*PI()/4*R46</f>
        <v>6.5869786187009158E-2</v>
      </c>
      <c r="GW46" s="303">
        <v>1</v>
      </c>
      <c r="GX46" s="304">
        <f t="shared" si="201"/>
        <v>6.5869786187009158E-2</v>
      </c>
      <c r="GY46" s="304">
        <f>$GX46*(VLOOKUP($GV$9,各项系数!$D$1:$F$143,2,0))</f>
        <v>4.4462105676231181</v>
      </c>
      <c r="GZ46" s="315">
        <f>各项系数!$F$76/4*($MV46^2-$MS46^2)*10^-2*(VLOOKUP($GZ$9,各项系数!$D$1:$F$143,3,0))*10^-3*10^2*各项系数!$J$4</f>
        <v>0.58541710445776696</v>
      </c>
      <c r="HA46" s="303">
        <v>1</v>
      </c>
      <c r="HB46" s="304">
        <f t="shared" si="144"/>
        <v>0.58541710445776696</v>
      </c>
      <c r="HC46" s="304">
        <f>HB46*(VLOOKUP($GZ$9,各项系数!$D$1:$F$143,2,0))</f>
        <v>9.9520907757820378</v>
      </c>
      <c r="HD46" s="315">
        <f>各项系数!$F$76/4*($MW46^2-$MT46^2)*10^-2*(VLOOKUP($HD$9,各项系数!$D$1:$F$143,3,0))*10^-3*10^2*各项系数!$J$4</f>
        <v>0.58730263810296912</v>
      </c>
      <c r="HE46" s="303">
        <v>1</v>
      </c>
      <c r="HF46" s="304">
        <f t="shared" si="145"/>
        <v>0.58730263810296912</v>
      </c>
      <c r="HG46" s="304">
        <f>HF46*(VLOOKUP($HD$9,各项系数!$D$1:$F$143,2,0))</f>
        <v>9.9841448477504748</v>
      </c>
      <c r="HH46" s="315">
        <f>各项系数!$F$76/4*($MV46^2-$MS46^2)*10^-2*(VLOOKUP($HH$9,各项系数!$D$1:$F$143,3,0))*10^-3*10^2*各项系数!$J$4</f>
        <v>0.58541710445776696</v>
      </c>
      <c r="HI46" s="322">
        <v>1</v>
      </c>
      <c r="HJ46" s="304">
        <f t="shared" si="146"/>
        <v>0.58541710445776696</v>
      </c>
      <c r="HK46" s="304">
        <f>HJ46*(VLOOKUP($HH$9,各项系数!$D$1:$F$143,2,0))</f>
        <v>9.9520907757820378</v>
      </c>
      <c r="HL46" s="315">
        <f>各项系数!$F$76/4*($MW46^2-$MT46^2)*10^-2*(VLOOKUP($HL$9,各项系数!$D$1:$F$143,3,0))*10^-3*10^2*各项系数!$J$4</f>
        <v>0.58730263810296912</v>
      </c>
      <c r="HM46" s="322">
        <v>1</v>
      </c>
      <c r="HN46" s="304">
        <f t="shared" si="147"/>
        <v>0.58730263810296912</v>
      </c>
      <c r="HO46" s="304">
        <f>HN46*(VLOOKUP($HL$9,各项系数!$D$1:$F$143,2,0))</f>
        <v>9.9841448477504748</v>
      </c>
      <c r="HP46" s="315">
        <f>各项系数!$F$76/4*($MV46^2-$MS46^2)*10^-2*(VLOOKUP(AN46,各项系数!$D$1:$F$143,3,0))*10^-3*10^2*各项系数!$J$4</f>
        <v>0.59349182313994298</v>
      </c>
      <c r="HQ46" s="303">
        <v>1</v>
      </c>
      <c r="HR46" s="304">
        <f t="shared" si="202"/>
        <v>0.59349182313994298</v>
      </c>
      <c r="HS46" s="304">
        <f>HR46*(VLOOKUP(AN46,各项系数!$D$1:$F$143,2,0))</f>
        <v>5.93491823139943</v>
      </c>
      <c r="HT46" s="315">
        <f>各项系数!$F$76/4*($MW46^2-$MT46^2)*10^-2*(VLOOKUP(AN46,各项系数!$D$1:$F$143,3,0))*10^-3*10^2*各项系数!$J$4</f>
        <v>0.59540336414576867</v>
      </c>
      <c r="HU46" s="303">
        <v>1</v>
      </c>
      <c r="HV46" s="304">
        <f t="shared" si="203"/>
        <v>0.59540336414576867</v>
      </c>
      <c r="HW46" s="304">
        <f>HV46*(VLOOKUP(AN46,各项系数!$D$1:$F$143,2,0))</f>
        <v>5.9540336414576869</v>
      </c>
      <c r="HX46" s="315">
        <f>各项系数!$F$76/4*($MV46^2-$MS46^2)*10^-2*(VLOOKUP($HX$9,各项系数!$D$1:$F$143,3,0))*10^-3*10^2*各项系数!$J$4</f>
        <v>0.59349182313994298</v>
      </c>
      <c r="HY46" s="322">
        <v>1</v>
      </c>
      <c r="HZ46" s="304">
        <f t="shared" si="204"/>
        <v>0.59349182313994298</v>
      </c>
      <c r="IA46" s="304">
        <f>HZ46*(VLOOKUP($HX$9,各项系数!$D$1:$F$143,2,0))</f>
        <v>6.5284100545393731</v>
      </c>
      <c r="IB46" s="315">
        <f>各项系数!$F$76/4*($MW46^2-$MT46^2)*10^-2*(VLOOKUP($IB$9,各项系数!$D$1:$F$143,3,0))*10^-3*10^2*各项系数!$J$4</f>
        <v>0.59540336414576867</v>
      </c>
      <c r="IC46" s="322">
        <v>1</v>
      </c>
      <c r="ID46" s="304">
        <f t="shared" si="205"/>
        <v>0.59540336414576867</v>
      </c>
      <c r="IE46" s="304">
        <f>ID46*(VLOOKUP($IB$9,各项系数!$D$1:$F$143,2,0))</f>
        <v>6.5494370056034557</v>
      </c>
      <c r="IF46" s="328"/>
      <c r="IG46" s="315">
        <f t="shared" si="148"/>
        <v>5.740854491113391E-2</v>
      </c>
      <c r="IH46" s="303">
        <v>1</v>
      </c>
      <c r="II46" s="304">
        <f t="shared" si="206"/>
        <v>5.740854491113391E-2</v>
      </c>
      <c r="IJ46" s="304">
        <f>II46*(VLOOKUP($IG$8,各项系数!$D$1:$F$143,2,0))</f>
        <v>1.4352136227783479</v>
      </c>
      <c r="IK46" s="315">
        <f>(各项系数!$F$76/4*($MX46^2-$MK46^2)*$EG46)*10^-2*(VLOOKUP($IG$8,各项系数!$D$1:$F$143,3,0))*10^-3*10^2*各项系数!$J$4</f>
        <v>5.740854491113391E-2</v>
      </c>
      <c r="IL46" s="303">
        <f>IK46*(VLOOKUP($IG$8,各项系数!$D$1:$F$143,2,0))</f>
        <v>1.4352136227783479</v>
      </c>
      <c r="IM46" s="304">
        <f>(各项系数!$F$76/4*(($MM46+3*$X46)^2-MM46^2)*$EO46)*10^-2*(VLOOKUP($IG$8,各项系数!$D$1:$F$143,3,0))*10^-3*10^2*各项系数!$J$4</f>
        <v>0</v>
      </c>
      <c r="IN46" s="303">
        <f>IM46*(VLOOKUP($IG$8,各项系数!$D$1:$F$143,2,0))</f>
        <v>0</v>
      </c>
      <c r="IO46" s="315">
        <f>各项系数!$F$76/4*($MZ46^2-$MX46^2)*10^-2*(VLOOKUP(L46,各项系数!$D$1:$F$143,3,0))*10^-3*10^2*$ES46*各项系数!$J$4</f>
        <v>0.2619460152254296</v>
      </c>
      <c r="IP46" s="303">
        <v>1</v>
      </c>
      <c r="IQ46" s="304">
        <f t="shared" si="207"/>
        <v>0.2619460152254296</v>
      </c>
      <c r="IR46" s="285">
        <f>IQ46*(VLOOKUP(L46,各项系数!$D$1:$F$143,2,0))</f>
        <v>2.6718493552993818</v>
      </c>
      <c r="IS46" s="315">
        <f>IF($L46&lt;&gt;$IS$9,0,各项系数!$F$76/4*($MZ46^2-$MX46^2)*10^-2*各项系数!$F$12*10^-3*10^2)*$ES46*各项系数!$J$4</f>
        <v>0</v>
      </c>
      <c r="IT46" s="303">
        <v>1</v>
      </c>
      <c r="IU46" s="304">
        <f t="shared" si="208"/>
        <v>0</v>
      </c>
      <c r="IV46" s="285">
        <f>IU46*各项系数!$E$12</f>
        <v>0</v>
      </c>
      <c r="IW46" s="302">
        <f t="shared" si="209"/>
        <v>0.2619460152254296</v>
      </c>
      <c r="IX46" s="302">
        <f t="shared" si="210"/>
        <v>2.6718493552993818</v>
      </c>
      <c r="IY46" s="339">
        <f>各项系数!$F$76/4*($NB46^2-$MZ46^2*$EG46-$NA46^2*$EO46)*10^-2</f>
        <v>9.1279991119087605</v>
      </c>
      <c r="IZ46" s="284">
        <f t="shared" si="231"/>
        <v>0.05</v>
      </c>
      <c r="JA46" s="285">
        <f t="shared" si="64"/>
        <v>0.45639995559543806</v>
      </c>
      <c r="JB46" s="282">
        <f>IF($DE46&lt;&gt;$JB$9,0,$JA46*各项系数!$F$32*10^-3*10^2)*各项系数!$J$4</f>
        <v>0</v>
      </c>
      <c r="JC46" s="102">
        <v>1</v>
      </c>
      <c r="JD46" s="189">
        <f t="shared" si="211"/>
        <v>0</v>
      </c>
      <c r="JE46" s="262">
        <f>JD46*各项系数!$E$32</f>
        <v>0</v>
      </c>
      <c r="JF46" s="282">
        <f>IF($DE46&lt;&gt;$JF$9,0,$JA46*VLOOKUP($JF$9,各项系数!$D$4:$F$540,2,0)*10^-3*10^2)*各项系数!$J$4</f>
        <v>0.22705897790873042</v>
      </c>
      <c r="JG46" s="102">
        <v>1</v>
      </c>
      <c r="JH46" s="189">
        <f t="shared" si="66"/>
        <v>0.22705897790873042</v>
      </c>
      <c r="JI46" s="262">
        <f>JH46*VLOOKUP($JF$9,各项系数!$D$4:$F$540,3,0)</f>
        <v>0.27247077349047649</v>
      </c>
      <c r="JJ46" s="282">
        <f t="shared" si="212"/>
        <v>0.22705897790873042</v>
      </c>
      <c r="JK46" s="189">
        <f t="shared" si="213"/>
        <v>0.27247077349047649</v>
      </c>
      <c r="JL46" s="282">
        <f>IF($DF46&lt;&gt;$JL$9,0,各项系数!$F$76/4*($NE46^2-$NC46^2)*10^-2*各项系数!$F$39*10^-3*10^2)*各项系数!$J$4</f>
        <v>2.8375500515578191E-3</v>
      </c>
      <c r="JM46" s="102">
        <v>1</v>
      </c>
      <c r="JN46" s="189">
        <f t="shared" si="214"/>
        <v>2.8375500515578191E-3</v>
      </c>
      <c r="JO46" s="262">
        <f>JN46*各项系数!$E$39</f>
        <v>5.6751001031156378E-2</v>
      </c>
      <c r="JP46" s="282">
        <f>IF($DF46&lt;&gt;$JP$9,0,各项系数!$F$76/4*($NE46^2-$NC46^2)*10^-2*各项系数!$F$36*10^-3*10^2)*各项系数!$J$4</f>
        <v>0</v>
      </c>
      <c r="JQ46" s="102">
        <v>1</v>
      </c>
      <c r="JR46" s="189">
        <f t="shared" si="215"/>
        <v>0</v>
      </c>
      <c r="JS46" s="262">
        <f>JR46*各项系数!$E$36</f>
        <v>0</v>
      </c>
      <c r="JT46" s="282">
        <f>IF($DF46&lt;&gt;$JT$9,0,各项系数!$F$76/4*($NE46^2-$NC46^2)*10^-2*各项系数!$F$40*10^-3*10^2)*各项系数!$J$4</f>
        <v>0</v>
      </c>
      <c r="JU46" s="102">
        <v>1</v>
      </c>
      <c r="JV46" s="189">
        <f t="shared" si="216"/>
        <v>0</v>
      </c>
      <c r="JW46" s="262">
        <f>JV46*各项系数!$E$40</f>
        <v>0</v>
      </c>
      <c r="JX46" s="282">
        <f>IF($DF46&lt;&gt;$JX$9,0,各项系数!$F$76/4*($NE46^2-$NC46^2)*10^-2*各项系数!$F$38*10^-3*10^2)*各项系数!$J$4</f>
        <v>0</v>
      </c>
      <c r="JY46" s="102">
        <v>1</v>
      </c>
      <c r="JZ46" s="189">
        <f t="shared" si="217"/>
        <v>0</v>
      </c>
      <c r="KA46" s="262">
        <f>JZ46*各项系数!$E$38</f>
        <v>0</v>
      </c>
      <c r="KB46" s="282">
        <f>IF($DF46&lt;&gt;$KB$9,0,各项系数!$F$76/4*($NE46^2-$NC46^2)*10^-2*各项系数!$F$41*10^-3*10^2)*各项系数!$J$4</f>
        <v>0</v>
      </c>
      <c r="KC46" s="102">
        <v>1</v>
      </c>
      <c r="KD46" s="189">
        <f t="shared" si="218"/>
        <v>0</v>
      </c>
      <c r="KE46" s="262">
        <f>KD46*各项系数!$E$41</f>
        <v>0</v>
      </c>
      <c r="KF46" s="189">
        <f t="shared" si="219"/>
        <v>2.8375500515578191E-3</v>
      </c>
      <c r="KG46" s="189">
        <f t="shared" si="220"/>
        <v>5.6751001031156378E-2</v>
      </c>
      <c r="KH46" s="235">
        <f>各项系数!$F$76/4*($NG46^2-$NE46^2)*10^-2*各项系数!$F$44*10^-3*10^2*各项系数!$J$4*0.75*$U46</f>
        <v>1.3499091953867843</v>
      </c>
      <c r="KI46" s="102">
        <v>1</v>
      </c>
      <c r="KJ46" s="189">
        <f t="shared" si="221"/>
        <v>1.3499091953867843</v>
      </c>
      <c r="KK46" s="189">
        <f>ROUND(KJ46*各项系数!$E$43,GT46)</f>
        <v>8</v>
      </c>
      <c r="KL46" s="235">
        <f>各项系数!$F$76/4*($NF46^2-$NE46^2)*10^-2*各项系数!$F$46*10^-3*10^2*各项系数!$J$4*PI()/4*R46</f>
        <v>6.7631397726874237E-2</v>
      </c>
      <c r="KM46" s="102">
        <v>1</v>
      </c>
      <c r="KN46" s="189">
        <f t="shared" si="222"/>
        <v>6.7631397726874237E-2</v>
      </c>
      <c r="KO46" s="189">
        <f>KN46*各项系数!$E$46</f>
        <v>4.5651193465640114</v>
      </c>
      <c r="KP46" s="235">
        <f>各项系数!$F$76/4*($NH46^2-$NE46^2)*10^-2*(VLOOKUP($KP$9,各项系数!$D$1:$F$143,3,0))*10^-3*10^2*各项系数!$J$4</f>
        <v>0.60027919423706444</v>
      </c>
      <c r="KQ46" s="102">
        <v>1</v>
      </c>
      <c r="KR46" s="189">
        <f t="shared" si="150"/>
        <v>0.60027919423706444</v>
      </c>
      <c r="KS46" s="189">
        <f>KR46*(VLOOKUP($KP$9,各项系数!$D$1:$F$143,2,0))</f>
        <v>10.204746302030095</v>
      </c>
      <c r="KT46" s="235">
        <f>各项系数!$F$76/4*($NI46^2-$NF46^2)*10^-2*(VLOOKUP($KT$9,各项系数!$D$1:$F$143,3,0))*10^-3*10^2*各项系数!$J$4</f>
        <v>0.60216472788226694</v>
      </c>
      <c r="KU46" s="102">
        <v>1</v>
      </c>
      <c r="KV46" s="189">
        <f t="shared" si="151"/>
        <v>0.60216472788226694</v>
      </c>
      <c r="KW46" s="189">
        <f>KV46*(VLOOKUP($KT$9,各项系数!$D$1:$F$143,2,0))</f>
        <v>10.236800373998538</v>
      </c>
      <c r="KX46" s="189">
        <f>各项系数!$F$76/4*($NH46^2-$NE46^2)*10^-2*(VLOOKUP($KX$9,各项系数!$D$1:$F$143,3,0))*10^-3*10^2*各项系数!$J$4</f>
        <v>0.60027919423706444</v>
      </c>
      <c r="KY46" s="353">
        <v>1</v>
      </c>
      <c r="KZ46" s="189">
        <f t="shared" si="152"/>
        <v>0.60027919423706444</v>
      </c>
      <c r="LA46" s="189">
        <f>KZ46*(VLOOKUP($KX$9,各项系数!$D$1:$F$143,2,0))</f>
        <v>10.204746302030095</v>
      </c>
      <c r="LB46" s="189">
        <f>各项系数!$F$76/4*($NI46^2-$NF46^2)*10^-2*(VLOOKUP($LB$9,各项系数!$D$1:$F$143,3,0))*10^-3*10^2*各项系数!$J$4</f>
        <v>0.60216472788226694</v>
      </c>
      <c r="LC46" s="353">
        <v>1</v>
      </c>
      <c r="LD46" s="189">
        <f t="shared" si="153"/>
        <v>0.60216472788226694</v>
      </c>
      <c r="LE46" s="189">
        <f>LD46*(VLOOKUP($LB$9,各项系数!$D$1:$F$143,2,0))</f>
        <v>10.236800373998538</v>
      </c>
      <c r="LF46" s="235">
        <f>各项系数!$F$76/4*($NH46^2-$NE46^2)*10^-2*(VLOOKUP(AN46,各项系数!$D$1:$F$143,3,0))*10^-3*10^2*各项系数!$J$4</f>
        <v>0.60855890726102391</v>
      </c>
      <c r="LG46" s="102">
        <v>1</v>
      </c>
      <c r="LH46" s="189">
        <f t="shared" si="223"/>
        <v>0.60855890726102391</v>
      </c>
      <c r="LI46" s="189">
        <f>LH46*(VLOOKUP(AN46,各项系数!$D$1:$F$143,2,0))</f>
        <v>6.0855890726102393</v>
      </c>
      <c r="LJ46" s="235">
        <f>各项系数!$F$76/4*($NI46^2-$NF46^2)*10^-2*(VLOOKUP(AN46,各项系数!$D$1:$F$143,3,0))*10^-3*10^2*各项系数!$J$4</f>
        <v>0.61047044826684993</v>
      </c>
      <c r="LK46" s="102">
        <v>1</v>
      </c>
      <c r="LL46" s="189">
        <f t="shared" si="224"/>
        <v>0.61047044826684993</v>
      </c>
      <c r="LM46" s="189">
        <f>LL46*(VLOOKUP(AN46,各项系数!$D$1:$F$143,2,0))</f>
        <v>6.1047044826684989</v>
      </c>
      <c r="LN46" s="189">
        <f>各项系数!$F$76/4*($NH46^2-$NE46^2)*10^-2*(VLOOKUP($LN$9,各项系数!$D$1:$F$143,3,0))*10^-3*10^2*各项系数!$J$4</f>
        <v>0.60855890726102391</v>
      </c>
      <c r="LO46" s="353">
        <v>1</v>
      </c>
      <c r="LP46" s="189">
        <f t="shared" si="225"/>
        <v>0.60855890726102391</v>
      </c>
      <c r="LQ46" s="189">
        <f>LP46*(VLOOKUP($LN$9,各项系数!$D$1:$F$143,2,0))</f>
        <v>6.6941479798712633</v>
      </c>
      <c r="LR46" s="189">
        <f>各项系数!$F$76/4*($NI46^2-$NF46^2)*10^-2*(VLOOKUP($LR$9,各项系数!$D$1:$F$143,3,0))*10^-3*10^2*各项系数!$J$4</f>
        <v>0.61047044826684993</v>
      </c>
      <c r="LS46" s="353">
        <v>1</v>
      </c>
      <c r="LT46" s="189">
        <f t="shared" si="226"/>
        <v>0.61047044826684993</v>
      </c>
      <c r="LU46" s="189">
        <f>LT46*(VLOOKUP($LR$9,各项系数!$D$1:$F$143,2,0))</f>
        <v>6.7151749309353495</v>
      </c>
      <c r="LV46" s="227">
        <f t="shared" si="154"/>
        <v>635.00583643000004</v>
      </c>
      <c r="LW46" s="227">
        <f t="shared" si="155"/>
        <v>458.88486814999999</v>
      </c>
      <c r="LX46" s="227">
        <f t="shared" si="156"/>
        <v>24.171685100736379</v>
      </c>
      <c r="LY46" s="227">
        <f t="shared" si="157"/>
        <v>176.12096828000006</v>
      </c>
      <c r="LZ46" s="374">
        <f t="shared" si="86"/>
        <v>1</v>
      </c>
      <c r="MA46" s="375">
        <f t="shared" si="87"/>
        <v>635.00583643000004</v>
      </c>
      <c r="MB46" s="375">
        <f t="shared" si="158"/>
        <v>20.106150079999999</v>
      </c>
      <c r="MC46" s="227">
        <f t="shared" si="159"/>
        <v>0</v>
      </c>
      <c r="MD46" s="227">
        <f t="shared" si="160"/>
        <v>0</v>
      </c>
      <c r="ME46" s="227">
        <f t="shared" si="161"/>
        <v>0</v>
      </c>
      <c r="MF46" s="227">
        <f t="shared" si="162"/>
        <v>0</v>
      </c>
      <c r="MG46" s="374">
        <f t="shared" si="163"/>
        <v>1</v>
      </c>
      <c r="MH46" s="375">
        <f t="shared" si="88"/>
        <v>0</v>
      </c>
      <c r="MI46" s="375">
        <f t="shared" si="164"/>
        <v>0</v>
      </c>
      <c r="MJ46" s="189">
        <f t="shared" si="89"/>
        <v>20.106150079999999</v>
      </c>
      <c r="MK46" s="189">
        <f t="shared" si="165"/>
        <v>20.106150079999999</v>
      </c>
      <c r="ML46" s="189">
        <f t="shared" si="227"/>
        <v>0</v>
      </c>
      <c r="MM46" s="189">
        <f t="shared" si="91"/>
        <v>0</v>
      </c>
      <c r="MN46" s="189">
        <f t="shared" si="92"/>
        <v>23.506150079999998</v>
      </c>
      <c r="MO46" s="189">
        <f t="shared" si="166"/>
        <v>0</v>
      </c>
      <c r="MP46" s="189">
        <f t="shared" si="167"/>
        <v>47.012300160000002</v>
      </c>
      <c r="MQ46" s="189">
        <f t="shared" si="228"/>
        <v>47.012300160000002</v>
      </c>
      <c r="MR46" s="246">
        <f t="shared" si="168"/>
        <v>46.90051304</v>
      </c>
      <c r="MS46" s="380">
        <f t="shared" si="94"/>
        <v>47.076513040000002</v>
      </c>
      <c r="MT46" s="380">
        <f t="shared" si="95"/>
        <v>47.236513039999998</v>
      </c>
      <c r="MU46" s="380">
        <f t="shared" si="232"/>
        <v>48.576513040000002</v>
      </c>
      <c r="MV46" s="380">
        <f t="shared" si="97"/>
        <v>52.276513040000005</v>
      </c>
      <c r="MW46" s="380">
        <f t="shared" si="98"/>
        <v>52.436513040000001</v>
      </c>
      <c r="MX46" s="254">
        <f t="shared" si="233"/>
        <v>20.70615008</v>
      </c>
      <c r="MY46" s="254">
        <f t="shared" si="100"/>
        <v>0</v>
      </c>
      <c r="MZ46" s="189">
        <f t="shared" si="101"/>
        <v>24.106150079999999</v>
      </c>
      <c r="NA46" s="189">
        <f t="shared" si="102"/>
        <v>0</v>
      </c>
      <c r="NB46" s="189">
        <f t="shared" si="169"/>
        <v>48.212300159999998</v>
      </c>
      <c r="NC46" s="254">
        <f t="shared" si="229"/>
        <v>48.212300159999998</v>
      </c>
      <c r="ND46" s="246">
        <f t="shared" si="234"/>
        <v>48.097659649999997</v>
      </c>
      <c r="NE46" s="386">
        <f t="shared" si="235"/>
        <v>48.337659649999999</v>
      </c>
      <c r="NF46" s="380">
        <f t="shared" si="106"/>
        <v>48.497659649999996</v>
      </c>
      <c r="NG46" s="387">
        <f t="shared" si="236"/>
        <v>49.837659649999999</v>
      </c>
      <c r="NH46" s="254">
        <f t="shared" si="108"/>
        <v>53.537659650000002</v>
      </c>
      <c r="NI46" s="380">
        <f t="shared" si="109"/>
        <v>53.697659649999999</v>
      </c>
      <c r="NK46" s="388">
        <f t="shared" si="110"/>
        <v>5.0248881534884617</v>
      </c>
      <c r="NL46" s="388">
        <f t="shared" si="111"/>
        <v>278.6093504838953</v>
      </c>
      <c r="NM46" s="388">
        <f t="shared" si="112"/>
        <v>5.0248881534884617</v>
      </c>
      <c r="NN46" s="388">
        <f t="shared" si="113"/>
        <v>279.20284230703527</v>
      </c>
      <c r="NO46" s="388">
        <f t="shared" si="114"/>
        <v>5.2777853802940156</v>
      </c>
      <c r="NP46" s="388">
        <f t="shared" si="115"/>
        <v>280.38026153852672</v>
      </c>
      <c r="NQ46" s="388">
        <f t="shared" si="116"/>
        <v>5.2777853802940156</v>
      </c>
      <c r="NR46" s="388">
        <f t="shared" si="117"/>
        <v>280.98882044578778</v>
      </c>
      <c r="NS46" s="388">
        <f t="shared" si="118"/>
        <v>5.0907579396754707</v>
      </c>
      <c r="NT46" s="388">
        <f t="shared" si="119"/>
        <v>5.0907579396754707</v>
      </c>
      <c r="NU46" s="388">
        <f t="shared" si="120"/>
        <v>5.3454167780208897</v>
      </c>
      <c r="NV46" s="388">
        <f t="shared" si="121"/>
        <v>5.3454167780208897</v>
      </c>
      <c r="NW46">
        <f t="shared" si="122"/>
        <v>5.901706620645812</v>
      </c>
      <c r="NX46">
        <f>各项系数!$M$9*NK46</f>
        <v>1.5074664460465386</v>
      </c>
      <c r="NY46">
        <f t="shared" si="123"/>
        <v>5.0907579396754707</v>
      </c>
    </row>
    <row r="47" spans="1:398" s="9" customFormat="1" ht="15" hidden="1" customHeight="1">
      <c r="A47" s="75">
        <v>6</v>
      </c>
      <c r="B47" s="76">
        <v>1</v>
      </c>
      <c r="C47" s="77"/>
      <c r="D47" s="78" t="s">
        <v>333</v>
      </c>
      <c r="E47" s="79">
        <f t="shared" si="255"/>
        <v>56.975231750000006</v>
      </c>
      <c r="F47" s="80">
        <f>$F$31</f>
        <v>245.118138379664</v>
      </c>
      <c r="G47" s="78"/>
      <c r="H47" s="79"/>
      <c r="I47" s="106"/>
      <c r="J47" s="79"/>
      <c r="K47" s="79"/>
      <c r="L47" s="107" t="s">
        <v>467</v>
      </c>
      <c r="M47" s="108">
        <f t="shared" si="2"/>
        <v>1.8</v>
      </c>
      <c r="N47" s="108">
        <f t="shared" si="252"/>
        <v>0</v>
      </c>
      <c r="O47" s="78">
        <f t="shared" si="251"/>
        <v>0.08</v>
      </c>
      <c r="P47" s="99">
        <v>0.1</v>
      </c>
      <c r="Q47" s="146">
        <f t="shared" si="253"/>
        <v>0.1</v>
      </c>
      <c r="R47" s="76">
        <v>0.8</v>
      </c>
      <c r="S47" s="147" t="str">
        <f>各项系数!$D$43</f>
        <v>钢带</v>
      </c>
      <c r="T47" s="78">
        <v>0.5</v>
      </c>
      <c r="U47" s="106">
        <v>2</v>
      </c>
      <c r="V47" s="148"/>
      <c r="W47" s="149">
        <v>2.8</v>
      </c>
      <c r="X47" s="150">
        <f t="shared" si="254"/>
        <v>0.2</v>
      </c>
      <c r="Y47" s="150"/>
      <c r="Z47" s="171"/>
      <c r="AA47" s="172">
        <f>$AA$31</f>
        <v>1.02</v>
      </c>
      <c r="AB47" s="153">
        <f>PI()*EJ47*EJ47/4*EH47*(1-H47)*AA47*各项系数!$F$5*各项系数!$J$4*10^-7</f>
        <v>2.5971416022939482</v>
      </c>
      <c r="AC47" s="172">
        <f t="shared" si="256"/>
        <v>245.118138379664</v>
      </c>
      <c r="AD47" s="172">
        <f t="shared" si="5"/>
        <v>293.60996233065771</v>
      </c>
      <c r="AE47" s="172">
        <f>POWER(4*EU47/PI()/EG47/10^-7/EH47/(1-H47)/各项系数!$F$5/各项系数!$J$4,0.5)</f>
        <v>247.5571849047536</v>
      </c>
      <c r="AF47" s="79">
        <v>1</v>
      </c>
      <c r="AG47" s="79">
        <f>IF(EM47=0,0,PI()*ER47*ER47/4*EP47*(1-K47)*(1+AF47)*各项系数!$F$5*各项系数!$J$4*10^-7)</f>
        <v>0</v>
      </c>
      <c r="AH47" s="79">
        <f t="shared" si="257"/>
        <v>0</v>
      </c>
      <c r="AI47" s="79">
        <f t="shared" si="128"/>
        <v>0</v>
      </c>
      <c r="AJ47" s="79">
        <f>IF(OR(EP47="",EP47=0),0,POWER(4*EW47/PI()/EO47/10^-7/EP47/(1-K47)/各项系数!$F$5/各项系数!$J$4,0.5))</f>
        <v>0</v>
      </c>
      <c r="AK47" s="79" t="str">
        <f t="shared" si="8"/>
        <v>√</v>
      </c>
      <c r="AL47" s="79">
        <f t="shared" si="258"/>
        <v>361.1034178657257</v>
      </c>
      <c r="AM47" s="106">
        <f t="shared" si="259"/>
        <v>300</v>
      </c>
      <c r="AN47" s="107" t="s">
        <v>486</v>
      </c>
      <c r="AO47" s="146">
        <f>AP47+各项系数!$M$9*$NK47</f>
        <v>354.02295869188794</v>
      </c>
      <c r="AP47" s="146">
        <f>AQ47*(1+$BI47+(VLOOKUP($AM47,$A$12:$B$323,2,0))+各项系数!$J$6+各项系数!$M$5)*(1+$E$2)</f>
        <v>352.1471472099384</v>
      </c>
      <c r="AQ47" s="199">
        <f>AR47+各项系数!$L$9*$NK47</f>
        <v>359.3338236836106</v>
      </c>
      <c r="AR47" s="199">
        <f>AS47*(1+$BJ47+各项系数!$J$5+各项系数!$L$5)</f>
        <v>357.45801220166106</v>
      </c>
      <c r="AS47" s="199">
        <f t="shared" si="129"/>
        <v>350.44903157025595</v>
      </c>
      <c r="AT47" s="146">
        <f>AU47+各项系数!$M$9*$NM47</f>
        <v>358.73903790209113</v>
      </c>
      <c r="AU47" s="146">
        <f>AV47*(1+$BI47+(VLOOKUP($AM47,$A$12:$B$323,2,0))+各项系数!$J$6+各项系数!$M$5)*(1+$E$2)</f>
        <v>356.86322642014159</v>
      </c>
      <c r="AV47" s="199">
        <f>AW47+各项系数!$L$9*$NM47</f>
        <v>364.14614940830774</v>
      </c>
      <c r="AW47" s="199">
        <f>AX47*(1+$BJ47+各项系数!$J$5+各项系数!$L$5)</f>
        <v>362.2703379263582</v>
      </c>
      <c r="AX47" s="199">
        <f t="shared" si="130"/>
        <v>355.16699796701783</v>
      </c>
      <c r="AY47" s="146">
        <f>AZ47+各项系数!$M$9*$NS47</f>
        <v>358.93580967239478</v>
      </c>
      <c r="AZ47" s="146">
        <f>BA47*(1+$BI47+(VLOOKUP($AM47,$A$12:$B$214,2,0))+各项系数!$J$6+各项系数!$M$5)*(1+$E$2)</f>
        <v>357.03843587659884</v>
      </c>
      <c r="BA47" s="199">
        <f>BB47+各项系数!$L$9*$NS47</f>
        <v>364.324934567958</v>
      </c>
      <c r="BB47" s="199">
        <f>BC47*(1+$BJ47+各项系数!$J$5+各项系数!$L$5)</f>
        <v>362.42756077216205</v>
      </c>
      <c r="BC47" s="199">
        <f t="shared" si="131"/>
        <v>355.32113801192355</v>
      </c>
      <c r="BD47" s="146">
        <f>BE47+各项系数!$M$9*$NS47</f>
        <v>363.66581725261608</v>
      </c>
      <c r="BE47" s="146">
        <f>BF47*(1+$BI47+(VLOOKUP($AM47,$A$12:$B$214,2,0))+各项系数!$J$6+各项系数!$M$5)*(1+$E$2)</f>
        <v>361.76844345682014</v>
      </c>
      <c r="BF47" s="199">
        <f>BG47+各项系数!$L$9*$NS47</f>
        <v>369.15147291512261</v>
      </c>
      <c r="BG47" s="199">
        <f>BH47*(1+$BJ47+各项系数!$J$5+各项系数!$L$5)</f>
        <v>367.25409911932667</v>
      </c>
      <c r="BH47" s="199">
        <f t="shared" si="132"/>
        <v>360.05303835228102</v>
      </c>
      <c r="BI47" s="214"/>
      <c r="BJ47" s="215"/>
      <c r="BK47" s="78" t="s">
        <v>514</v>
      </c>
      <c r="BL47" s="146">
        <f>BM47+各项系数!$M$9*$NM47</f>
        <v>358.16093743875484</v>
      </c>
      <c r="BM47" s="146">
        <f>BN47*(1+$CF47+(VLOOKUP($AM47,$A$12:$B$323,2,0))+各项系数!$J$6+各项系数!$M$5)*(1+$E$2)</f>
        <v>356.2851259568053</v>
      </c>
      <c r="BN47" s="199">
        <f>BO47+各项系数!$L$9*$NM47</f>
        <v>363.55625097633197</v>
      </c>
      <c r="BO47" s="199">
        <f>BP47*(1+$CG47+各项系数!$J$5+各项系数!$L$5)</f>
        <v>361.68043949438243</v>
      </c>
      <c r="BP47" s="199">
        <f t="shared" si="133"/>
        <v>351.14605776153633</v>
      </c>
      <c r="BQ47" s="146">
        <f>BR47+各项系数!$M$9*$NM47</f>
        <v>362.21967448216787</v>
      </c>
      <c r="BR47" s="146">
        <f>BS47*(1+$CF47+(VLOOKUP($AM47,$A$12:$B$323,2,0))+各项系数!$J$6+各项系数!$M$5)*(1+$E$2)</f>
        <v>360.34386300021833</v>
      </c>
      <c r="BS47" s="199">
        <f>BT47+各项系数!$L$9*$NM47</f>
        <v>367.69781938797792</v>
      </c>
      <c r="BT47" s="199">
        <f>BU47*(1+$CG47+各项系数!$J$5+各项系数!$L$5)</f>
        <v>365.82200790602838</v>
      </c>
      <c r="BU47" s="199">
        <f t="shared" si="134"/>
        <v>355.16699796701783</v>
      </c>
      <c r="BV47" s="146">
        <f>BW47+各项系数!$M$9*$NT47</f>
        <v>361.27228481090015</v>
      </c>
      <c r="BW47" s="146">
        <f>BX47*(1+$CF47+(VLOOKUP($AM47,$A$12:$B$214,2,0))+各项系数!$J$6+各项系数!$M$5)*(1+$E$2)</f>
        <v>359.3749110151042</v>
      </c>
      <c r="BX47" s="199">
        <f>BY47+各项系数!$L$9*$NT$12</f>
        <v>366.70909287255529</v>
      </c>
      <c r="BY47" s="199">
        <f>BZ47*(1+$CG47+各项系数!$J$5+各项系数!$L$5)</f>
        <v>366.70082946940033</v>
      </c>
      <c r="BZ47" s="199">
        <f t="shared" si="11"/>
        <v>356.02022278582558</v>
      </c>
      <c r="CA47" s="146">
        <f>CB47+各项系数!$M$9*$NT47</f>
        <v>365.34300884368025</v>
      </c>
      <c r="CB47" s="146">
        <f>CC47*(1+$CF47+(VLOOKUP($AM47,$A$12:$B$214,2,0))+各项系数!$J$6+各项系数!$M$5)*(1+$E$2)</f>
        <v>363.44563504788431</v>
      </c>
      <c r="CC47" s="199">
        <f>CD47+各项系数!$L$9*$NT$12</f>
        <v>370.86289290600439</v>
      </c>
      <c r="CD47" s="199">
        <f>CE47*(1+$CG47+各项系数!$J$5+各项系数!$L$5)</f>
        <v>370.85462950284943</v>
      </c>
      <c r="CE47" s="199">
        <f t="shared" si="135"/>
        <v>360.05303835228102</v>
      </c>
      <c r="CF47" s="214">
        <f t="shared" si="136"/>
        <v>0</v>
      </c>
      <c r="CG47" s="214">
        <f t="shared" si="12"/>
        <v>0.01</v>
      </c>
      <c r="CH47" s="106"/>
      <c r="CI47" s="146">
        <f>CJ47+各项系数!$M$9*$NO47</f>
        <v>358.02217119788446</v>
      </c>
      <c r="CJ47" s="146">
        <f>CK47*(1+$DC47+(VLOOKUP($AM47,$A$12:$B$323,2,0))+各项系数!$J$6+各项系数!$M$5)*(1+$E$2)+各项系数!$M$9*$NK47</f>
        <v>356.05851342436347</v>
      </c>
      <c r="CK47" s="199">
        <f>CL47+各项系数!$L$9*$NO47</f>
        <v>361.41092034940198</v>
      </c>
      <c r="CL47" s="199">
        <f>CM47*(1+$DD47+各项系数!$J$5+各项系数!$L$5)</f>
        <v>359.44726257588098</v>
      </c>
      <c r="CM47" s="199">
        <f t="shared" si="13"/>
        <v>352.39927703517742</v>
      </c>
      <c r="CN47" s="146">
        <f>CO47+各项系数!$M$9*$NO47</f>
        <v>362.57605440653066</v>
      </c>
      <c r="CO47" s="146">
        <f>CP47*(1+$DC47+(VLOOKUP($AM47,$A$12:$B$323,2,0))+各项系数!$J$6+各项系数!$M$5)*(1+$E$2)+各项系数!$M$9*$NK47</f>
        <v>360.61239663300967</v>
      </c>
      <c r="CP47" s="199">
        <f>CQ47+各项系数!$L$9*$NO47</f>
        <v>366.05773995006138</v>
      </c>
      <c r="CQ47" s="199">
        <f>CR47*(1+$DD47+各项系数!$J$5+各项系数!$L$5)</f>
        <v>364.09408217654038</v>
      </c>
      <c r="CR47" s="199">
        <f t="shared" si="14"/>
        <v>356.95498252601999</v>
      </c>
      <c r="CS47" s="146">
        <f>CT47+各项系数!$M$9*$NU47</f>
        <v>361.17911830912595</v>
      </c>
      <c r="CT47" s="146">
        <f t="shared" si="15"/>
        <v>359.19336973829655</v>
      </c>
      <c r="CU47" s="199">
        <f>CV47+各项系数!$L$9*$NU47</f>
        <v>366.52384667173118</v>
      </c>
      <c r="CV47" s="199">
        <f>CW47*(1+$DD47+各项系数!$J$5+各项系数!$L$5)</f>
        <v>364.53809810090178</v>
      </c>
      <c r="CW47" s="199">
        <f t="shared" si="16"/>
        <v>357.39029225578605</v>
      </c>
      <c r="CX47" s="146">
        <f>CY47+各项系数!$M$9*$NU47</f>
        <v>366.01891161829229</v>
      </c>
      <c r="CY47" s="146">
        <f t="shared" si="17"/>
        <v>364.03316304746289</v>
      </c>
      <c r="CZ47" s="199">
        <f>DA47+各项系数!$L$9*$NU47</f>
        <v>371.46241127292132</v>
      </c>
      <c r="DA47" s="199">
        <f>DB47*(1+$DD47+各项系数!$J$5+各项系数!$L$5)</f>
        <v>369.47666270209191</v>
      </c>
      <c r="DB47" s="199">
        <f t="shared" si="18"/>
        <v>362.23202225695286</v>
      </c>
      <c r="DC47" s="214">
        <f t="shared" si="137"/>
        <v>0</v>
      </c>
      <c r="DD47" s="214">
        <f t="shared" si="19"/>
        <v>0</v>
      </c>
      <c r="DE47" s="78" t="s">
        <v>498</v>
      </c>
      <c r="DF47" s="78" t="s">
        <v>513</v>
      </c>
      <c r="DG47" s="146">
        <f>DH47+各项系数!$M$9*$NQ47</f>
        <v>362.19564096615113</v>
      </c>
      <c r="DH47" s="146">
        <f>DI47*(1+$EA47+(VLOOKUP($AM47,$A$12:$B$323,2,0))+各项系数!$J$6+各项系数!$M$5)*(1+$E$2)+各项系数!$M$9*$NK47</f>
        <v>360.23198319263014</v>
      </c>
      <c r="DI47" s="199">
        <f>DJ47+各项系数!$L$9*$NQ47</f>
        <v>365.66956297008227</v>
      </c>
      <c r="DJ47" s="199">
        <f>DK47*(1+$EB47+各项系数!$J$5+各项系数!$L$5)</f>
        <v>363.70590519656128</v>
      </c>
      <c r="DK47" s="199">
        <f t="shared" si="20"/>
        <v>353.11252931704979</v>
      </c>
      <c r="DL47" s="146">
        <f>DM47+各项系数!$M$9*$NQ47</f>
        <v>366.34886145334161</v>
      </c>
      <c r="DM47" s="146">
        <f>DN47*(1+$EA47+(VLOOKUP($AM47,$A$12:$B$323,2,0))+各项系数!$J$6+各项系数!$M$5)*(1+$E$2)+各项系数!$M$9*$NK47</f>
        <v>364.38520367982062</v>
      </c>
      <c r="DN47" s="199">
        <f>DO47+各项系数!$L$9*$NQ47</f>
        <v>369.9075430590521</v>
      </c>
      <c r="DO47" s="199">
        <f>DP47*(1+$EB47+各项系数!$J$5+各项系数!$L$5)</f>
        <v>367.94388528553111</v>
      </c>
      <c r="DP47" s="199">
        <f t="shared" si="21"/>
        <v>357.22707309274864</v>
      </c>
      <c r="DQ47" s="146">
        <f>DR47+各项系数!$M$9*$NV47</f>
        <v>365.4035779598529</v>
      </c>
      <c r="DR47" s="146">
        <f t="shared" si="22"/>
        <v>363.4178293890235</v>
      </c>
      <c r="DS47" s="199">
        <f>DT47+各项系数!$L$9*$NV47</f>
        <v>370.83451978471788</v>
      </c>
      <c r="DT47" s="199">
        <f>DU47*(1+$EB47+各项系数!$J$5+各项系数!$L$5)</f>
        <v>368.84877121388848</v>
      </c>
      <c r="DU47" s="199">
        <f t="shared" si="23"/>
        <v>358.10560312028008</v>
      </c>
      <c r="DV47" s="146">
        <f>DW47+各项系数!$M$9*$NV47</f>
        <v>366.45133689920488</v>
      </c>
      <c r="DW47" s="146">
        <f t="shared" si="24"/>
        <v>364.46558832837547</v>
      </c>
      <c r="DX47" s="199">
        <f>DY47+各项系数!$L$9*$NV47</f>
        <v>371.90366155956684</v>
      </c>
      <c r="DY47" s="199">
        <f>DZ47*(1+$EB47+各项系数!$J$5+各项系数!$L$5)</f>
        <v>369.91791298873744</v>
      </c>
      <c r="DZ47" s="199">
        <f t="shared" si="25"/>
        <v>359.14360484343439</v>
      </c>
      <c r="EA47" s="214">
        <f t="shared" si="230"/>
        <v>0</v>
      </c>
      <c r="EB47" s="214">
        <f t="shared" si="27"/>
        <v>0.01</v>
      </c>
      <c r="EC47" s="237">
        <f t="shared" si="138"/>
        <v>2</v>
      </c>
      <c r="ED47" s="237" t="str">
        <f t="shared" si="260"/>
        <v>2*300</v>
      </c>
      <c r="EE47" s="78">
        <f t="shared" si="239"/>
        <v>300</v>
      </c>
      <c r="EF47" s="78" t="str">
        <f>LOOKUP(EH47,{1,7,10,14,19,24,30,37,48,61},{1,"1+6","2+8","4+10","1+6+12","2+8+14","4+10+16","1+6+12+18","3+9+15+21","1+6+12+18+24"})</f>
        <v>1+6+12+18+24</v>
      </c>
      <c r="EG47" s="106">
        <f t="shared" si="29"/>
        <v>2</v>
      </c>
      <c r="EH47" s="199">
        <f>VLOOKUP(EE47,各项系数!$B$87:$C$124,2,0)</f>
        <v>61</v>
      </c>
      <c r="EI47" s="106">
        <f>IF(EH47=0,0,VLOOKUP(EH47,各项系数!$D$142:$E$195,2,0))*1</f>
        <v>9</v>
      </c>
      <c r="EJ47" s="240">
        <f t="shared" si="141"/>
        <v>245.118138379664</v>
      </c>
      <c r="EK47" s="78">
        <f t="shared" si="261"/>
        <v>0</v>
      </c>
      <c r="EL47" s="78">
        <f t="shared" si="31"/>
        <v>0</v>
      </c>
      <c r="EM47" s="78">
        <f t="shared" si="262"/>
        <v>0</v>
      </c>
      <c r="EN47" s="78">
        <f>IF(EP47=0,0,LOOKUP(EP47,{1,7,10,14,19,24,30,37,48,61},{1,"1+6","2+8","4+10","1+6+12","2+8+14","4+10+16","1+6+12+18","3+9+15+21","1+6+12+18+24"}))</f>
        <v>0</v>
      </c>
      <c r="EO47" s="78">
        <f t="shared" si="263"/>
        <v>0</v>
      </c>
      <c r="EP47" s="78">
        <f>IF(EM47=0,0,IF(EM47&lt;10,1,IF(AND(EM47&gt;=10,EM47&lt;=35),7,LOOKUP(EM47,{50,70,95,120,150,185,240,300},{10,14,19,24,30,37,48,61})*1)))</f>
        <v>0</v>
      </c>
      <c r="EQ47" s="78">
        <f>IF(EP47=0,0,VLOOKUP(EP47,各项系数!$D$142:$E$195,2,0))*1</f>
        <v>0</v>
      </c>
      <c r="ER47" s="78">
        <f t="shared" si="264"/>
        <v>0</v>
      </c>
      <c r="ES47" s="237">
        <f t="shared" si="250"/>
        <v>2</v>
      </c>
      <c r="ET47" s="78">
        <f>VLOOKUP(ES47,各项系数!$D$142:$E$195,2,0)*1</f>
        <v>2</v>
      </c>
      <c r="EU47" s="243">
        <f>((各项系数!$F$76/4*$EJ47^2*$EG47*$EH47*1*10^-7)*(1-$H47)*AA47)*(VLOOKUP($EY$9,各项系数!$D$4:$F$143,3,0))*各项系数!$J$4</f>
        <v>5.1942832045878964</v>
      </c>
      <c r="EV47" s="246">
        <f>EU47*(VLOOKUP($EY$9,各项系数!$D$4:$F$143,2,0))</f>
        <v>340.22554990050719</v>
      </c>
      <c r="EW47" s="252">
        <f>(IF($EO47=0,0,(各项系数!$F$76/4*$ER47^2*$EO47*$EP47*1*10^-7))*(1-$K47)*$AF47)*(VLOOKUP($EY$9,各项系数!$D$4:$F$143,3,0))*各项系数!$J$4</f>
        <v>0</v>
      </c>
      <c r="EX47" s="246">
        <f>EW47*(VLOOKUP($EY$9,各项系数!$D$4:$F$143,2,0))</f>
        <v>0</v>
      </c>
      <c r="EY47" s="189">
        <f>((各项系数!$F$76/4*$EJ47^2*$EG47*$EH47*1*10^-7)*(1-$H47)*AA47+IF($EO47=0,0,(各项系数!$F$76/4*$ER47^2*$EO47*$EP47*1*10^-7))*(1-$K47)*$AF47)*(VLOOKUP($EY$9,各项系数!$D$4:$F$143,3,0))*各项系数!$J$4</f>
        <v>5.1942832045878964</v>
      </c>
      <c r="EZ47" s="106">
        <v>1</v>
      </c>
      <c r="FA47" s="78">
        <f t="shared" si="188"/>
        <v>5.1942832045878964</v>
      </c>
      <c r="FB47" s="246">
        <f>FA47*(VLOOKUP($EY$9,各项系数!$D$4:$F$143,2,0))</f>
        <v>340.22554990050719</v>
      </c>
      <c r="FC47" s="257"/>
      <c r="FD47" s="237">
        <f>各项系数!$F$76/4*($MN47^2-MK47^2)*10^-2*(VLOOKUP(L47,各项系数!$D$1:$F$143,3,0))*10^-3*10^2*$EG47*各项系数!$J$4</f>
        <v>0.29535891890897736</v>
      </c>
      <c r="FE47" s="264">
        <f>FD47*VLOOKUP(L47,各项系数!$D$1:$F$143,2,0)</f>
        <v>3.012660972871569</v>
      </c>
      <c r="FF47" s="106">
        <f>各项系数!$F$76/4*($MO47^2-ML47^2)*10^-2*(VLOOKUP(L47,各项系数!$D$1:$F$143,3,0))*10^-3*10^2*$EO47*各项系数!$J$4</f>
        <v>0</v>
      </c>
      <c r="FG47" s="264">
        <f>FF47*VLOOKUP(L47,各项系数!$D$1:$F$143,2,0)</f>
        <v>0</v>
      </c>
      <c r="FH47" s="237">
        <f t="shared" si="142"/>
        <v>0.29535891890897736</v>
      </c>
      <c r="FI47" s="106">
        <v>1</v>
      </c>
      <c r="FJ47" s="78">
        <f t="shared" si="189"/>
        <v>0.29535891890897736</v>
      </c>
      <c r="FK47" s="264">
        <f>FJ47*VLOOKUP(L47,各项系数!$D$1:$F$143,2,0)</f>
        <v>3.012660972871569</v>
      </c>
      <c r="FL47" s="237"/>
      <c r="FM47" s="106"/>
      <c r="FN47" s="78"/>
      <c r="FO47" s="264"/>
      <c r="FP47" s="289">
        <f t="shared" si="190"/>
        <v>0.29535891890897736</v>
      </c>
      <c r="FQ47" s="289">
        <f t="shared" si="191"/>
        <v>3.012660972871569</v>
      </c>
      <c r="FR47" s="283">
        <f>各项系数!$F$76/4*($MQ47^2-$MN47^2*$EG47-$MO47^2*$EO47)*10^-2</f>
        <v>10.34319203981868</v>
      </c>
      <c r="FS47" s="284">
        <f t="shared" si="143"/>
        <v>0.05</v>
      </c>
      <c r="FT47" s="290">
        <f t="shared" si="40"/>
        <v>0.51715960199093403</v>
      </c>
      <c r="FU47" s="309">
        <f>$FT47*(VLOOKUP($FT$9,各项系数!$D$1:$F$143,3,0))*10^-3*10^2*各项系数!$J$55</f>
        <v>6.174885647771753E-2</v>
      </c>
      <c r="FV47" s="310">
        <v>1</v>
      </c>
      <c r="FW47" s="311">
        <f t="shared" si="192"/>
        <v>6.174885647771753E-2</v>
      </c>
      <c r="FX47" s="290">
        <f>FW47*(VLOOKUP($FT$9,各项系数!$D$1:$F$143,2,0))</f>
        <v>0.1852465694331526</v>
      </c>
      <c r="FY47" s="309">
        <f>IF($BK47&lt;&gt;$FY$9,0,各项系数!$F$76/4*($MS47^2-$MQ47^2)*10^-2*(VLOOKUP($FY$9,各项系数!$D$1:$F$143,3,0))*10^-3*10^2)*各项系数!$J$4</f>
        <v>0</v>
      </c>
      <c r="FZ47" s="310">
        <v>1</v>
      </c>
      <c r="GA47" s="311">
        <f t="shared" si="193"/>
        <v>0</v>
      </c>
      <c r="GB47" s="290">
        <f>GA47*(VLOOKUP($FY$9,各项系数!$D$1:$F$143,2,0))</f>
        <v>0</v>
      </c>
      <c r="GC47" s="309">
        <f>IF($BK47&lt;&gt;$GC$9,0,各项系数!$F$76/4*($MS47^2-$MQ47^2)*10^-2*(VLOOKUP($GC$9,各项系数!$D$1:$F$143,3,0))*10^-3*10^2)*各项系数!$J$4</f>
        <v>4.2877685767462471E-3</v>
      </c>
      <c r="GD47" s="310">
        <v>1</v>
      </c>
      <c r="GE47" s="311">
        <f t="shared" si="194"/>
        <v>4.2877685767462471E-3</v>
      </c>
      <c r="GF47" s="290">
        <f>GE47*(VLOOKUP($GC$9,各项系数!$D$1:$F$143,2,0))</f>
        <v>5.5312214640026586E-2</v>
      </c>
      <c r="GG47" s="309">
        <f>IF($BK47&lt;&gt;$GG$9,0,各项系数!$F$76/4*($MS47^2-$MQ47^2)*10^-2*(VLOOKUP($GG$9,各项系数!$D$1:$F$143,3,0))*10^-3*10^2)*各项系数!$J$4</f>
        <v>0</v>
      </c>
      <c r="GH47" s="310">
        <v>1</v>
      </c>
      <c r="GI47" s="311">
        <f t="shared" si="195"/>
        <v>0</v>
      </c>
      <c r="GJ47" s="290">
        <f>GI47*(VLOOKUP($GG$9,各项系数!$D$1:$F$143,2,0))</f>
        <v>0</v>
      </c>
      <c r="GK47" s="309">
        <f>IF($BK47&lt;&gt;$GK$9,0,各项系数!$F$76/4*($MS47^2-$MQ47^2)*10^-2*(VLOOKUP($GK$9,各项系数!$D$1:$F$143,3,0))*10^-3*10^2)*各项系数!$J$4</f>
        <v>0</v>
      </c>
      <c r="GL47" s="310">
        <v>1</v>
      </c>
      <c r="GM47" s="311">
        <f t="shared" si="196"/>
        <v>0</v>
      </c>
      <c r="GN47" s="290">
        <f>GM47*(VLOOKUP($GK$9,各项系数!$D$1:$F$143,2,0))</f>
        <v>0</v>
      </c>
      <c r="GO47" s="311">
        <f t="shared" si="197"/>
        <v>4.2877685767462471E-3</v>
      </c>
      <c r="GP47" s="311">
        <f t="shared" si="198"/>
        <v>5.5312214640026586E-2</v>
      </c>
      <c r="GQ47" s="317">
        <f>各项系数!$F$76/4*($MU47^2-$MS47^2)*10^-2*(VLOOKUP($S47,各项系数!$D$1:$F$143,3,0))*10^-3*10^2*各项系数!$J$4</f>
        <v>0.9556282258134019</v>
      </c>
      <c r="GR47" s="310">
        <v>1</v>
      </c>
      <c r="GS47" s="311">
        <f t="shared" si="199"/>
        <v>0.9556282258134019</v>
      </c>
      <c r="GT47" s="311">
        <f t="shared" si="200"/>
        <v>0</v>
      </c>
      <c r="GU47" s="311">
        <f>ROUND($GS47*(VLOOKUP($S47,各项系数!$D$1:$F$143,2,0))+$E$3*GS47,GT47)</f>
        <v>6</v>
      </c>
      <c r="GV47" s="315">
        <f>各项系数!$F$76/4*($MT47^2-$MS47^2)*10^-2*(VLOOKUP($GV$9,各项系数!$D$1:$F$143,3,0))*10^-3*10^2*各项系数!$J$4*PI()/4*R47</f>
        <v>7.1874379488163317E-2</v>
      </c>
      <c r="GW47" s="310">
        <v>1</v>
      </c>
      <c r="GX47" s="311">
        <f t="shared" si="201"/>
        <v>7.1874379488163317E-2</v>
      </c>
      <c r="GY47" s="311">
        <f>$GX47*(VLOOKUP($GV$9,各项系数!$D$1:$F$143,2,0))</f>
        <v>4.8515206154510242</v>
      </c>
      <c r="GZ47" s="317">
        <f>各项系数!$F$76/4*($MV47^2-$MS47^2)*10^-2*(VLOOKUP($GZ$9,各项系数!$D$1:$F$143,3,0))*10^-3*10^2*各项系数!$J$4</f>
        <v>0.68754284173916957</v>
      </c>
      <c r="HA47" s="310">
        <v>1</v>
      </c>
      <c r="HB47" s="311">
        <f t="shared" si="144"/>
        <v>0.68754284173916957</v>
      </c>
      <c r="HC47" s="311">
        <f>HB47*(VLOOKUP($GZ$9,各项系数!$D$1:$F$143,2,0))</f>
        <v>11.688228309565883</v>
      </c>
      <c r="HD47" s="317">
        <f>各项系数!$F$76/4*($MW47^2-$MT47^2)*10^-2*(VLOOKUP($HD$9,各项系数!$D$1:$F$143,3,0))*10^-3*10^2*各项系数!$J$4</f>
        <v>0.6895734164340025</v>
      </c>
      <c r="HE47" s="310">
        <v>1</v>
      </c>
      <c r="HF47" s="311">
        <f t="shared" si="145"/>
        <v>0.6895734164340025</v>
      </c>
      <c r="HG47" s="311">
        <f>HF47*(VLOOKUP($HD$9,各项系数!$D$1:$F$143,2,0))</f>
        <v>11.722748079378043</v>
      </c>
      <c r="HH47" s="317">
        <f>各项系数!$F$76/4*($MV47^2-$MS47^2)*10^-2*(VLOOKUP($HH$9,各项系数!$D$1:$F$143,3,0))*10^-3*10^2*各项系数!$J$4</f>
        <v>0.68754284173916957</v>
      </c>
      <c r="HI47" s="311">
        <v>1</v>
      </c>
      <c r="HJ47" s="311">
        <f t="shared" si="146"/>
        <v>0.68754284173916957</v>
      </c>
      <c r="HK47" s="311">
        <f>HJ47*(VLOOKUP($HH$9,各项系数!$D$1:$F$143,2,0))</f>
        <v>11.688228309565883</v>
      </c>
      <c r="HL47" s="317">
        <f>各项系数!$F$76/4*($MW47^2-$MT47^2)*10^-2*(VLOOKUP($HL$9,各项系数!$D$1:$F$143,3,0))*10^-3*10^2*各项系数!$J$4</f>
        <v>0.6895734164340025</v>
      </c>
      <c r="HM47" s="311">
        <v>1</v>
      </c>
      <c r="HN47" s="311">
        <f t="shared" si="147"/>
        <v>0.6895734164340025</v>
      </c>
      <c r="HO47" s="311">
        <f>HN47*(VLOOKUP($HL$9,各项系数!$D$1:$F$143,2,0))</f>
        <v>11.722748079378043</v>
      </c>
      <c r="HP47" s="317">
        <f>各项系数!$F$76/4*($MV47^2-$MS47^2)*10^-2*(VLOOKUP(AN47,各项系数!$D$1:$F$143,3,0))*10^-3*10^2*各项系数!$J$4</f>
        <v>0.69702619128039955</v>
      </c>
      <c r="HQ47" s="310">
        <v>1</v>
      </c>
      <c r="HR47" s="311">
        <f t="shared" si="202"/>
        <v>0.69702619128039955</v>
      </c>
      <c r="HS47" s="311">
        <f>HR47*(VLOOKUP(AN47,各项系数!$D$1:$F$143,2,0))</f>
        <v>6.9702619128039958</v>
      </c>
      <c r="HT47" s="317">
        <f>各项系数!$F$76/4*($MW47^2-$MT47^2)*10^-2*(VLOOKUP(AN47,各项系数!$D$1:$F$143,3,0))*10^-3*10^2*各项系数!$J$4</f>
        <v>0.69908477390205759</v>
      </c>
      <c r="HU47" s="310">
        <v>1</v>
      </c>
      <c r="HV47" s="311">
        <f t="shared" si="203"/>
        <v>0.69908477390205759</v>
      </c>
      <c r="HW47" s="311">
        <f>HV47*(VLOOKUP(AN47,各项系数!$D$1:$F$143,2,0))</f>
        <v>6.9908477390205759</v>
      </c>
      <c r="HX47" s="317">
        <f>各项系数!$F$76/4*($MV47^2-$MS47^2)*10^-2*(VLOOKUP($HX$9,各项系数!$D$1:$F$143,3,0))*10^-3*10^2*各项系数!$J$4</f>
        <v>0.69702619128039955</v>
      </c>
      <c r="HY47" s="311">
        <v>1</v>
      </c>
      <c r="HZ47" s="311">
        <f t="shared" si="204"/>
        <v>0.69702619128039955</v>
      </c>
      <c r="IA47" s="311">
        <f>HZ47*(VLOOKUP($HX$9,各项系数!$D$1:$F$143,2,0))</f>
        <v>7.6672881040843954</v>
      </c>
      <c r="IB47" s="317">
        <f>各项系数!$F$76/4*($MW47^2-$MT47^2)*10^-2*(VLOOKUP($IB$9,各项系数!$D$1:$F$143,3,0))*10^-3*10^2*各项系数!$J$4</f>
        <v>0.69908477390205759</v>
      </c>
      <c r="IC47" s="311">
        <v>1</v>
      </c>
      <c r="ID47" s="311">
        <f t="shared" si="205"/>
        <v>0.69908477390205759</v>
      </c>
      <c r="IE47" s="311">
        <f>ID47*(VLOOKUP($IB$9,各项系数!$D$1:$F$143,2,0))</f>
        <v>7.689932512922633</v>
      </c>
      <c r="IF47" s="309"/>
      <c r="IG47" s="317">
        <f t="shared" si="148"/>
        <v>6.2907082692833058E-2</v>
      </c>
      <c r="IH47" s="310">
        <v>1</v>
      </c>
      <c r="II47" s="311">
        <f t="shared" si="206"/>
        <v>6.2907082692833058E-2</v>
      </c>
      <c r="IJ47" s="311">
        <f>II47*(VLOOKUP($IG$8,各项系数!$D$1:$F$143,2,0))</f>
        <v>1.5726770673208263</v>
      </c>
      <c r="IK47" s="317">
        <f>(各项系数!$F$76/4*($MX47^2-$MK47^2)*$EG47)*10^-2*(VLOOKUP($IG$8,各项系数!$D$1:$F$143,3,0))*10^-3*10^2*各项系数!$J$4</f>
        <v>6.2907082692833058E-2</v>
      </c>
      <c r="IL47" s="310">
        <f>IK47*(VLOOKUP($IG$8,各项系数!$D$1:$F$143,2,0))</f>
        <v>1.5726770673208263</v>
      </c>
      <c r="IM47" s="311">
        <f>(各项系数!$F$76/4*(($MM47+3*$X47)^2-MM47^2)*$EO47)*10^-2*(VLOOKUP($IG$8,各项系数!$D$1:$F$143,3,0))*10^-3*10^2*各项系数!$J$4</f>
        <v>0</v>
      </c>
      <c r="IN47" s="310">
        <f>IM47*(VLOOKUP($IG$8,各项系数!$D$1:$F$143,2,0))</f>
        <v>0</v>
      </c>
      <c r="IO47" s="317">
        <f>各项系数!$F$76/4*($MZ47^2-$MX47^2)*10^-2*(VLOOKUP(L47,各项系数!$D$1:$F$143,3,0))*10^-3*10^2*$ES47*各项系数!$J$4</f>
        <v>0.30278602093318213</v>
      </c>
      <c r="IP47" s="310">
        <v>1</v>
      </c>
      <c r="IQ47" s="311">
        <f t="shared" si="207"/>
        <v>0.30278602093318213</v>
      </c>
      <c r="IR47" s="290">
        <f>IQ47*(VLOOKUP(L47,各项系数!$D$1:$F$143,2,0))</f>
        <v>3.0884174135184574</v>
      </c>
      <c r="IS47" s="317">
        <f>IF($L47&lt;&gt;$IS$9,0,各项系数!$F$76/4*($MZ47^2-$MX47^2)*10^-2*各项系数!$F$12*10^-3*10^2)*$ES47*各项系数!$J$4</f>
        <v>0</v>
      </c>
      <c r="IT47" s="310">
        <v>1</v>
      </c>
      <c r="IU47" s="311">
        <f t="shared" si="208"/>
        <v>0</v>
      </c>
      <c r="IV47" s="290">
        <f>IU47*各项系数!$E$12</f>
        <v>0</v>
      </c>
      <c r="IW47" s="309">
        <f t="shared" si="209"/>
        <v>0.30278602093318213</v>
      </c>
      <c r="IX47" s="309">
        <f t="shared" si="210"/>
        <v>3.0884174135184574</v>
      </c>
      <c r="IY47" s="339">
        <f>各项系数!$F$76/4*($NB47^2-$MZ47^2*$EG47-$NA47^2*$EO47)*10^-2</f>
        <v>10.832538432377984</v>
      </c>
      <c r="IZ47" s="284">
        <f t="shared" si="231"/>
        <v>0.05</v>
      </c>
      <c r="JA47" s="290">
        <f t="shared" si="64"/>
        <v>0.54162692161889925</v>
      </c>
      <c r="JB47" s="289">
        <f>IF($DE47&lt;&gt;$JB$9,0,$JA47*各项系数!$F$32*10^-3*10^2)*各项系数!$J$4</f>
        <v>0</v>
      </c>
      <c r="JC47" s="106">
        <v>1</v>
      </c>
      <c r="JD47" s="78">
        <f t="shared" si="211"/>
        <v>0</v>
      </c>
      <c r="JE47" s="264">
        <f>JD47*各项系数!$E$32</f>
        <v>0</v>
      </c>
      <c r="JF47" s="289">
        <f>IF($DE47&lt;&gt;$JF$9,0,$JA47*VLOOKUP($JF$9,各项系数!$D$4:$F$540,2,0)*10^-3*10^2)*各项系数!$J$4</f>
        <v>0.26945939350540238</v>
      </c>
      <c r="JG47" s="106">
        <v>1</v>
      </c>
      <c r="JH47" s="78">
        <f t="shared" si="66"/>
        <v>0.26945939350540238</v>
      </c>
      <c r="JI47" s="264">
        <f>JH47*VLOOKUP($JF$9,各项系数!$D$4:$F$540,3,0)</f>
        <v>0.32335127220648285</v>
      </c>
      <c r="JJ47" s="289">
        <f t="shared" si="212"/>
        <v>0.26945939350540238</v>
      </c>
      <c r="JK47" s="78">
        <f t="shared" si="213"/>
        <v>0.32335127220648285</v>
      </c>
      <c r="JL47" s="289">
        <f>IF($DF47&lt;&gt;$JL$9,0,各项系数!$F$76/4*($NE47^2-$NC47^2)*10^-2*各项系数!$F$39*10^-3*10^2)*各项系数!$J$4</f>
        <v>2.8379281450553913E-3</v>
      </c>
      <c r="JM47" s="106">
        <v>1</v>
      </c>
      <c r="JN47" s="78">
        <f t="shared" si="214"/>
        <v>2.8379281450553913E-3</v>
      </c>
      <c r="JO47" s="264">
        <f>JN47*各项系数!$E$39</f>
        <v>5.6758562901107826E-2</v>
      </c>
      <c r="JP47" s="289">
        <f>IF($DF47&lt;&gt;$JP$9,0,各项系数!$F$76/4*($NE47^2-$NC47^2)*10^-2*各项系数!$F$36*10^-3*10^2)*各项系数!$J$4</f>
        <v>0</v>
      </c>
      <c r="JQ47" s="106">
        <v>1</v>
      </c>
      <c r="JR47" s="78">
        <f t="shared" si="215"/>
        <v>0</v>
      </c>
      <c r="JS47" s="264">
        <f>JR47*各项系数!$E$36</f>
        <v>0</v>
      </c>
      <c r="JT47" s="289">
        <f>IF($DF47&lt;&gt;$JT$9,0,各项系数!$F$76/4*($NE47^2-$NC47^2)*10^-2*各项系数!$F$40*10^-3*10^2)*各项系数!$J$4</f>
        <v>0</v>
      </c>
      <c r="JU47" s="106">
        <v>1</v>
      </c>
      <c r="JV47" s="78">
        <f t="shared" si="216"/>
        <v>0</v>
      </c>
      <c r="JW47" s="264">
        <f>JV47*各项系数!$E$40</f>
        <v>0</v>
      </c>
      <c r="JX47" s="289">
        <f>IF($DF47&lt;&gt;$JX$9,0,各项系数!$F$76/4*($NE47^2-$NC47^2)*10^-2*各项系数!$F$38*10^-3*10^2)*各项系数!$J$4</f>
        <v>0</v>
      </c>
      <c r="JY47" s="106">
        <v>1</v>
      </c>
      <c r="JZ47" s="78">
        <f t="shared" si="217"/>
        <v>0</v>
      </c>
      <c r="KA47" s="264">
        <f>JZ47*各项系数!$E$38</f>
        <v>0</v>
      </c>
      <c r="KB47" s="289">
        <f>IF($DF47&lt;&gt;$KB$9,0,各项系数!$F$76/4*($NE47^2-$NC47^2)*10^-2*各项系数!$F$41*10^-3*10^2)*各项系数!$J$4</f>
        <v>0</v>
      </c>
      <c r="KC47" s="106">
        <v>1</v>
      </c>
      <c r="KD47" s="78">
        <f t="shared" si="218"/>
        <v>0</v>
      </c>
      <c r="KE47" s="264">
        <f>KD47*各项系数!$E$41</f>
        <v>0</v>
      </c>
      <c r="KF47" s="78">
        <f t="shared" si="219"/>
        <v>2.8379281450553913E-3</v>
      </c>
      <c r="KG47" s="78">
        <f t="shared" si="220"/>
        <v>5.6758562901107826E-2</v>
      </c>
      <c r="KH47" s="237">
        <f>各项系数!$F$76/4*($NG47^2-$NE47^2)*10^-2*各项系数!$F$44*10^-3*10^2*各项系数!$J$4*0.75*$U47</f>
        <v>1.4681238333708613</v>
      </c>
      <c r="KI47" s="106">
        <v>1</v>
      </c>
      <c r="KJ47" s="78">
        <f t="shared" si="221"/>
        <v>1.4681238333708613</v>
      </c>
      <c r="KK47" s="78">
        <f>ROUND(KJ47*各项系数!$E$43,GT47)</f>
        <v>9</v>
      </c>
      <c r="KL47" s="235">
        <f>各项系数!$F$76/4*($NF47^2-$NE47^2)*10^-2*各项系数!$F$46*10^-3*10^2*各项系数!$J$4*PI()/4*R47</f>
        <v>7.3635991028030381E-2</v>
      </c>
      <c r="KM47" s="106">
        <v>1</v>
      </c>
      <c r="KN47" s="78">
        <f t="shared" si="222"/>
        <v>7.3635991028030381E-2</v>
      </c>
      <c r="KO47" s="78">
        <f>KN47*各项系数!$E$46</f>
        <v>4.9704293943920508</v>
      </c>
      <c r="KP47" s="237">
        <f>各项系数!$F$76/4*($NH47^2-$NE47^2)*10^-2*(VLOOKUP($KP$9,各项系数!$D$1:$F$143,3,0))*10^-3*10^2*各项系数!$J$4</f>
        <v>0.70354816919379759</v>
      </c>
      <c r="KQ47" s="106">
        <v>1</v>
      </c>
      <c r="KR47" s="78">
        <f t="shared" si="150"/>
        <v>0.70354816919379759</v>
      </c>
      <c r="KS47" s="78">
        <f>KR47*(VLOOKUP($KP$9,各项系数!$D$1:$F$143,2,0))</f>
        <v>11.96031887629456</v>
      </c>
      <c r="KT47" s="237">
        <f>各项系数!$F$76/4*($NI47^2-$NF47^2)*10^-2*(VLOOKUP($KT$9,各项系数!$D$1:$F$143,3,0))*10^-3*10^2*各项系数!$J$4</f>
        <v>0.70557874388863095</v>
      </c>
      <c r="KU47" s="106">
        <v>1</v>
      </c>
      <c r="KV47" s="78">
        <f t="shared" si="151"/>
        <v>0.70557874388863095</v>
      </c>
      <c r="KW47" s="78">
        <f>KV47*(VLOOKUP($KT$9,各项系数!$D$1:$F$143,2,0))</f>
        <v>11.994838646106727</v>
      </c>
      <c r="KX47" s="78">
        <f>各项系数!$F$76/4*($NH47^2-$NE47^2)*10^-2*(VLOOKUP($KX$9,各项系数!$D$1:$F$143,3,0))*10^-3*10^2*各项系数!$J$4</f>
        <v>0.70354816919379759</v>
      </c>
      <c r="KY47" s="355">
        <v>1</v>
      </c>
      <c r="KZ47" s="78">
        <f t="shared" si="152"/>
        <v>0.70354816919379759</v>
      </c>
      <c r="LA47" s="78">
        <f>KZ47*(VLOOKUP($KX$9,各项系数!$D$1:$F$143,2,0))</f>
        <v>11.96031887629456</v>
      </c>
      <c r="LB47" s="78">
        <f>各项系数!$F$76/4*($NI47^2-$NF47^2)*10^-2*(VLOOKUP($LB$9,各项系数!$D$1:$F$143,3,0))*10^-3*10^2*各项系数!$J$4</f>
        <v>0.70557874388863095</v>
      </c>
      <c r="LC47" s="355">
        <v>1</v>
      </c>
      <c r="LD47" s="78">
        <f t="shared" si="153"/>
        <v>0.70557874388863095</v>
      </c>
      <c r="LE47" s="78">
        <f>LD47*(VLOOKUP($LB$9,各项系数!$D$1:$F$143,2,0))</f>
        <v>11.994838646106727</v>
      </c>
      <c r="LF47" s="237">
        <f>各项系数!$F$76/4*($NH47^2-$NE47^2)*10^-2*(VLOOKUP(AN47,各项系数!$D$1:$F$143,3,0))*10^-3*10^2*各项系数!$J$4</f>
        <v>0.71325228187233281</v>
      </c>
      <c r="LG47" s="106">
        <v>1</v>
      </c>
      <c r="LH47" s="78">
        <f t="shared" si="223"/>
        <v>0.71325228187233281</v>
      </c>
      <c r="LI47" s="78">
        <f>LH47*(VLOOKUP(AN47,各项系数!$D$1:$F$143,2,0))</f>
        <v>7.1325228187233281</v>
      </c>
      <c r="LJ47" s="237">
        <f>各项系数!$F$76/4*($NI47^2-$NF47^2)*10^-2*(VLOOKUP(AN47,各项系数!$D$1:$F$143,3,0))*10^-3*10^2*各项系数!$J$4</f>
        <v>0.71531086449399139</v>
      </c>
      <c r="LK47" s="106">
        <v>1</v>
      </c>
      <c r="LL47" s="78">
        <f t="shared" si="224"/>
        <v>0.71531086449399139</v>
      </c>
      <c r="LM47" s="78">
        <f>LL47*(VLOOKUP(AN47,各项系数!$D$1:$F$143,2,0))</f>
        <v>7.1531086449399144</v>
      </c>
      <c r="LN47" s="78">
        <f>各项系数!$F$76/4*($NH47^2-$NE47^2)*10^-2*(VLOOKUP($LN$9,各项系数!$D$1:$F$143,3,0))*10^-3*10^2*各项系数!$J$4</f>
        <v>0.71325228187233281</v>
      </c>
      <c r="LO47" s="355">
        <v>1</v>
      </c>
      <c r="LP47" s="78">
        <f t="shared" si="225"/>
        <v>0.71325228187233281</v>
      </c>
      <c r="LQ47" s="78">
        <f>LP47*(VLOOKUP($LN$9,各项系数!$D$1:$F$143,2,0))</f>
        <v>7.8457751005956613</v>
      </c>
      <c r="LR47" s="78">
        <f>各项系数!$F$76/4*($NI47^2-$NF47^2)*10^-2*(VLOOKUP($LR$9,各项系数!$D$1:$F$143,3,0))*10^-3*10^2*各项系数!$J$4</f>
        <v>0.71531086449399139</v>
      </c>
      <c r="LS47" s="355">
        <v>1</v>
      </c>
      <c r="LT47" s="78">
        <f t="shared" si="226"/>
        <v>0.71531086449399139</v>
      </c>
      <c r="LU47" s="78">
        <f>LT47*(VLOOKUP($LR$9,各项系数!$D$1:$F$143,2,0))</f>
        <v>7.8684195094339051</v>
      </c>
      <c r="LV47" s="367">
        <f t="shared" si="154"/>
        <v>764.46180890999995</v>
      </c>
      <c r="LW47" s="367">
        <f t="shared" si="155"/>
        <v>575.70580671000005</v>
      </c>
      <c r="LX47" s="367">
        <f t="shared" si="156"/>
        <v>27.074183260752854</v>
      </c>
      <c r="LY47" s="367">
        <f t="shared" si="157"/>
        <v>188.7560021999999</v>
      </c>
      <c r="LZ47" s="374">
        <f t="shared" si="86"/>
        <v>1</v>
      </c>
      <c r="MA47" s="367">
        <f t="shared" si="87"/>
        <v>764.46180890999995</v>
      </c>
      <c r="MB47" s="367">
        <f t="shared" si="158"/>
        <v>22.060632420000001</v>
      </c>
      <c r="MC47" s="367">
        <f t="shared" si="159"/>
        <v>0</v>
      </c>
      <c r="MD47" s="367">
        <f t="shared" si="160"/>
        <v>0</v>
      </c>
      <c r="ME47" s="367">
        <f t="shared" si="161"/>
        <v>0</v>
      </c>
      <c r="MF47" s="367">
        <f t="shared" si="162"/>
        <v>0</v>
      </c>
      <c r="MG47" s="379">
        <f t="shared" si="163"/>
        <v>1</v>
      </c>
      <c r="MH47" s="367">
        <f t="shared" si="88"/>
        <v>0</v>
      </c>
      <c r="MI47" s="367">
        <f t="shared" si="164"/>
        <v>0</v>
      </c>
      <c r="MJ47" s="78">
        <f t="shared" si="89"/>
        <v>22.060632420000001</v>
      </c>
      <c r="MK47" s="78">
        <f t="shared" si="165"/>
        <v>22.060632420000001</v>
      </c>
      <c r="ML47" s="78">
        <f t="shared" si="227"/>
        <v>0</v>
      </c>
      <c r="MM47" s="78">
        <f t="shared" si="91"/>
        <v>0</v>
      </c>
      <c r="MN47" s="78">
        <f t="shared" si="92"/>
        <v>25.660632420000002</v>
      </c>
      <c r="MO47" s="78">
        <f t="shared" si="166"/>
        <v>0</v>
      </c>
      <c r="MP47" s="78">
        <f t="shared" si="167"/>
        <v>51.321264839999998</v>
      </c>
      <c r="MQ47" s="78">
        <f t="shared" si="228"/>
        <v>51.321264839999998</v>
      </c>
      <c r="MR47" s="246">
        <f t="shared" si="168"/>
        <v>51.199231750000003</v>
      </c>
      <c r="MS47" s="380">
        <f t="shared" si="94"/>
        <v>51.375231750000005</v>
      </c>
      <c r="MT47" s="382">
        <f t="shared" si="95"/>
        <v>51.535231750000001</v>
      </c>
      <c r="MU47" s="382">
        <f t="shared" si="232"/>
        <v>52.875231750000005</v>
      </c>
      <c r="MV47" s="382">
        <f t="shared" si="97"/>
        <v>56.975231750000006</v>
      </c>
      <c r="MW47" s="382">
        <f t="shared" si="98"/>
        <v>57.135231750000003</v>
      </c>
      <c r="MX47" s="246">
        <f t="shared" si="233"/>
        <v>22.660632420000002</v>
      </c>
      <c r="MY47" s="246">
        <f t="shared" si="100"/>
        <v>0</v>
      </c>
      <c r="MZ47" s="78">
        <f t="shared" si="101"/>
        <v>26.260632420000004</v>
      </c>
      <c r="NA47" s="78">
        <f t="shared" si="102"/>
        <v>0</v>
      </c>
      <c r="NB47" s="78">
        <f t="shared" si="169"/>
        <v>52.521264840000001</v>
      </c>
      <c r="NC47" s="246">
        <f t="shared" si="229"/>
        <v>52.521264840000001</v>
      </c>
      <c r="ND47" s="246">
        <f t="shared" si="234"/>
        <v>52.39637836</v>
      </c>
      <c r="NE47" s="389">
        <f t="shared" si="235"/>
        <v>52.636378360000002</v>
      </c>
      <c r="NF47" s="382">
        <f t="shared" si="106"/>
        <v>52.796378359999999</v>
      </c>
      <c r="NG47" s="150">
        <f t="shared" si="236"/>
        <v>54.136378360000002</v>
      </c>
      <c r="NH47" s="246">
        <f t="shared" si="108"/>
        <v>58.236378360000003</v>
      </c>
      <c r="NI47" s="382">
        <f t="shared" si="109"/>
        <v>58.39637836</v>
      </c>
      <c r="NK47" s="390">
        <f t="shared" si="110"/>
        <v>6.2527049398317374</v>
      </c>
      <c r="NL47" s="390">
        <f t="shared" si="111"/>
        <v>350.44903157025595</v>
      </c>
      <c r="NM47" s="390">
        <f t="shared" si="112"/>
        <v>6.2527049398317374</v>
      </c>
      <c r="NN47" s="390">
        <f t="shared" si="113"/>
        <v>351.14605776153633</v>
      </c>
      <c r="NO47" s="390">
        <f t="shared" si="114"/>
        <v>6.5455259117367017</v>
      </c>
      <c r="NP47" s="390">
        <f t="shared" si="115"/>
        <v>352.39927703517742</v>
      </c>
      <c r="NQ47" s="390">
        <f t="shared" si="116"/>
        <v>6.5455259117367017</v>
      </c>
      <c r="NR47" s="390">
        <f t="shared" si="117"/>
        <v>353.11252931704979</v>
      </c>
      <c r="NS47" s="390">
        <f t="shared" si="118"/>
        <v>6.3245793193199003</v>
      </c>
      <c r="NT47" s="390">
        <f t="shared" si="119"/>
        <v>6.3245793193199003</v>
      </c>
      <c r="NU47" s="390">
        <f t="shared" si="120"/>
        <v>6.6191619027647324</v>
      </c>
      <c r="NV47" s="390">
        <f t="shared" si="121"/>
        <v>6.6191619027647324</v>
      </c>
      <c r="NW47" s="9">
        <f t="shared" si="122"/>
        <v>7.208333165645139</v>
      </c>
      <c r="NX47" s="9">
        <f>各项系数!$M$9*NK47</f>
        <v>1.8758114819495211</v>
      </c>
      <c r="NY47" s="9">
        <f t="shared" si="123"/>
        <v>6.3245793193199003</v>
      </c>
    </row>
    <row r="48" spans="1:398" ht="15" hidden="1" customHeight="1">
      <c r="A48" s="74">
        <v>7</v>
      </c>
      <c r="B48" s="70">
        <v>1</v>
      </c>
      <c r="C48" s="67"/>
      <c r="D48" s="53" t="s">
        <v>339</v>
      </c>
      <c r="E48" s="54">
        <f t="shared" si="255"/>
        <v>64.130955760000006</v>
      </c>
      <c r="F48" s="68">
        <f>$F$32</f>
        <v>277.18119106381198</v>
      </c>
      <c r="G48" s="58"/>
      <c r="H48" s="16"/>
      <c r="I48" s="62"/>
      <c r="J48" s="16"/>
      <c r="K48" s="16"/>
      <c r="L48" s="97" t="s">
        <v>467</v>
      </c>
      <c r="M48" s="103">
        <f t="shared" si="2"/>
        <v>2</v>
      </c>
      <c r="N48" s="103">
        <f t="shared" si="252"/>
        <v>0</v>
      </c>
      <c r="O48" s="53">
        <f t="shared" ref="O48:O57" si="265">$O$36</f>
        <v>0.08</v>
      </c>
      <c r="P48" s="99">
        <v>0.1</v>
      </c>
      <c r="Q48" s="133">
        <f t="shared" si="253"/>
        <v>0.1</v>
      </c>
      <c r="R48" s="70">
        <v>0.8</v>
      </c>
      <c r="S48" s="142" t="str">
        <f>各项系数!$D$43</f>
        <v>钢带</v>
      </c>
      <c r="T48" s="58">
        <v>0.5</v>
      </c>
      <c r="U48" s="62">
        <v>2</v>
      </c>
      <c r="V48" s="143"/>
      <c r="W48" s="141">
        <v>3.1</v>
      </c>
      <c r="X48" s="135">
        <f t="shared" si="254"/>
        <v>0.2</v>
      </c>
      <c r="Y48" s="135"/>
      <c r="Z48" s="168"/>
      <c r="AA48" s="153">
        <f>$AA$32</f>
        <v>1.02</v>
      </c>
      <c r="AB48" s="153">
        <f>PI()*EJ48*EJ48/4*EH48*(1-H48)*AA48*各项系数!$F$5*各项系数!$J$4*10^-7</f>
        <v>3.3210257510184449</v>
      </c>
      <c r="AC48" s="153">
        <f t="shared" si="256"/>
        <v>277.18119106381198</v>
      </c>
      <c r="AD48" s="153">
        <f t="shared" si="5"/>
        <v>375.44593055473609</v>
      </c>
      <c r="AE48" s="153">
        <f>POWER(4*EU48/PI()/EG48/10^-7/EH48/(1-H48)/各项系数!$F$5/各项系数!$J$4,0.5)</f>
        <v>279.93928079700521</v>
      </c>
      <c r="AF48" s="69">
        <v>1</v>
      </c>
      <c r="AG48" s="69">
        <f>IF(EM48=0,0,PI()*ER48*ER48/4*EP48*(1-K48)*(1+AF48)*各项系数!$F$5*各项系数!$J$4*10^-7)</f>
        <v>0</v>
      </c>
      <c r="AH48" s="69">
        <f t="shared" si="257"/>
        <v>0</v>
      </c>
      <c r="AI48" s="69">
        <f t="shared" si="128"/>
        <v>0</v>
      </c>
      <c r="AJ48" s="69">
        <f>IF(OR(EP48="",EP48=0),0,POWER(4*EW48/PI()/EO48/10^-7/EP48/(1-K48)/各项系数!$F$5/各项系数!$J$4,0.5))</f>
        <v>0</v>
      </c>
      <c r="AK48" s="69" t="str">
        <f t="shared" si="8"/>
        <v>√</v>
      </c>
      <c r="AL48" s="69">
        <f t="shared" si="258"/>
        <v>461.40707184141121</v>
      </c>
      <c r="AM48" s="188">
        <f t="shared" si="259"/>
        <v>400</v>
      </c>
      <c r="AN48" s="97" t="s">
        <v>486</v>
      </c>
      <c r="AO48" s="196">
        <f>AP48+各项系数!$M$9*$NK48</f>
        <v>452.35987435432469</v>
      </c>
      <c r="AP48" s="196">
        <f>AQ48*(1+$BI48+(VLOOKUP($AM48,$A$12:$B$323,2,0))+各项系数!$J$6+各项系数!$M$5)*(1+$E$2)</f>
        <v>449.97066142261417</v>
      </c>
      <c r="AQ48" s="197">
        <f>AR48+各项系数!$L$9*$NK48</f>
        <v>459.15373614552465</v>
      </c>
      <c r="AR48" s="197">
        <f>AS48*(1+$BJ48+各项系数!$J$5+各项系数!$L$5)</f>
        <v>456.76452321381413</v>
      </c>
      <c r="AS48" s="197">
        <f t="shared" si="129"/>
        <v>447.80835609197464</v>
      </c>
      <c r="AT48" s="196">
        <f>AU48+各项系数!$M$9*$NM48</f>
        <v>458.24199796279947</v>
      </c>
      <c r="AU48" s="196">
        <f>AV48*(1+$BI48+(VLOOKUP($AM48,$A$12:$B$323,2,0))+各项系数!$J$6+各项系数!$M$5)*(1+$E$2)</f>
        <v>455.85278503108896</v>
      </c>
      <c r="AV48" s="197">
        <f>AW48+各项系数!$L$9*$NM48</f>
        <v>465.15590309294794</v>
      </c>
      <c r="AW48" s="197">
        <f>AX48*(1+$BJ48+各项系数!$J$5+各项系数!$L$5)</f>
        <v>462.76669016123742</v>
      </c>
      <c r="AX48" s="197">
        <f t="shared" si="130"/>
        <v>453.6928334914092</v>
      </c>
      <c r="AY48" s="196">
        <f>AZ48+各项系数!$M$9*$NS48</f>
        <v>457.89823684323511</v>
      </c>
      <c r="AZ48" s="196">
        <f>BA48*(1+$BI48+(VLOOKUP($AM48,$A$12:$B$214,2,0))+各项系数!$J$6+各项系数!$M$5)*(1+$E$2)</f>
        <v>455.48471442166152</v>
      </c>
      <c r="BA48" s="197">
        <f>BB48+各项系数!$L$9*$NS48</f>
        <v>464.78032083843016</v>
      </c>
      <c r="BB48" s="197">
        <f>BC48*(1+$BJ48+各项系数!$J$5+各项系数!$L$5)</f>
        <v>462.36679841685657</v>
      </c>
      <c r="BC48" s="199">
        <f t="shared" si="131"/>
        <v>453.30078276162408</v>
      </c>
      <c r="BD48" s="196">
        <f>BE48+各项系数!$M$9*$NS48</f>
        <v>463.79578114708715</v>
      </c>
      <c r="BE48" s="196">
        <f>BF48*(1+$BI48+(VLOOKUP($AM48,$A$12:$B$214,2,0))+各项系数!$J$6+各项系数!$M$5)*(1+$E$2)</f>
        <v>461.38225872551357</v>
      </c>
      <c r="BF48" s="197">
        <f>BG48+各项系数!$L$9*$NS48</f>
        <v>470.79822318929956</v>
      </c>
      <c r="BG48" s="197">
        <f>BH48*(1+$BJ48+各项系数!$J$5+各项系数!$L$5)</f>
        <v>468.38470076772597</v>
      </c>
      <c r="BH48" s="199">
        <f t="shared" si="132"/>
        <v>459.20068702718231</v>
      </c>
      <c r="BI48" s="213"/>
      <c r="BJ48" s="208"/>
      <c r="BK48" s="53" t="s">
        <v>514</v>
      </c>
      <c r="BL48" s="196">
        <f>BM48+各项系数!$M$9*$NM48</f>
        <v>457.62593327778222</v>
      </c>
      <c r="BM48" s="196">
        <f>BN48*(1+$CF48+(VLOOKUP($AM48,$A$12:$B$323,2,0))+各项系数!$J$6+各项系数!$M$5)*(1+$E$2)</f>
        <v>455.23672034607171</v>
      </c>
      <c r="BN48" s="197">
        <f>BO48+各项系数!$L$9*$NM48</f>
        <v>464.52726565925684</v>
      </c>
      <c r="BO48" s="197">
        <f>BP48*(1+$CG48+各项系数!$J$5+各项系数!$L$5)</f>
        <v>462.13805272754632</v>
      </c>
      <c r="BP48" s="197">
        <f t="shared" si="133"/>
        <v>448.67772109470513</v>
      </c>
      <c r="BQ48" s="196">
        <f>BR48+各项系数!$M$9*$NM48</f>
        <v>462.68818773101526</v>
      </c>
      <c r="BR48" s="196">
        <f>BS48*(1+$CF48+(VLOOKUP($AM48,$A$12:$B$323,2,0))+各项系数!$J$6+各项系数!$M$5)*(1+$E$2)</f>
        <v>460.29897479930474</v>
      </c>
      <c r="BS48" s="197">
        <f>BT48+各项系数!$L$9*$NM48</f>
        <v>469.69283142786202</v>
      </c>
      <c r="BT48" s="197">
        <f>BU48*(1+$CG48+各项系数!$J$5+各项系数!$L$5)</f>
        <v>467.3036184961515</v>
      </c>
      <c r="BU48" s="197">
        <f t="shared" si="134"/>
        <v>453.6928334914092</v>
      </c>
      <c r="BV48" s="196">
        <f>BW48+各项系数!$M$9*$NT48</f>
        <v>460.86326827901382</v>
      </c>
      <c r="BW48" s="196">
        <f>BX48*(1+$CF48+(VLOOKUP($AM48,$A$12:$B$214,2,0))+各项系数!$J$6+各项系数!$M$5)*(1+$E$2)</f>
        <v>458.44974585744023</v>
      </c>
      <c r="BX48" s="197">
        <f>BY48+各项系数!$L$9*$NT$12</f>
        <v>467.805863119837</v>
      </c>
      <c r="BY48" s="197">
        <f>BZ48*(1+$CG48+各项系数!$J$5+各项系数!$L$5)</f>
        <v>467.79759971668204</v>
      </c>
      <c r="BZ48" s="199">
        <f t="shared" si="11"/>
        <v>454.17242690940003</v>
      </c>
      <c r="CA48" s="196">
        <f>CB48+各项系数!$M$9*$NT48</f>
        <v>465.93879404190324</v>
      </c>
      <c r="CB48" s="196">
        <f>CC48*(1+$CF48+(VLOOKUP($AM48,$A$12:$B$214,2,0))+各项系数!$J$6+各项系数!$M$5)*(1+$E$2)</f>
        <v>463.52527162032965</v>
      </c>
      <c r="CC48" s="197">
        <f>CD48+各项系数!$L$9*$NT$12</f>
        <v>472.98497104115273</v>
      </c>
      <c r="CD48" s="197">
        <f>CE48*(1+$CG48+各项系数!$J$5+各项系数!$L$5)</f>
        <v>472.97670763799778</v>
      </c>
      <c r="CE48" s="199">
        <f t="shared" si="135"/>
        <v>459.20068702718231</v>
      </c>
      <c r="CF48" s="213">
        <f t="shared" si="136"/>
        <v>0</v>
      </c>
      <c r="CG48" s="213">
        <f t="shared" si="12"/>
        <v>0.01</v>
      </c>
      <c r="CH48" s="102"/>
      <c r="CI48" s="196">
        <f>CJ48+各项系数!$M$9*$NO48</f>
        <v>457.18541650381695</v>
      </c>
      <c r="CJ48" s="196">
        <f>CK48*(1+$DC48+(VLOOKUP($AM48,$A$12:$B$323,2,0))+各项系数!$J$6+各项系数!$M$5)*(1+$E$2)+各项系数!$M$9*$NK48</f>
        <v>454.68847441341472</v>
      </c>
      <c r="CK48" s="197">
        <f>CL48+各项系数!$L$9*$NO48</f>
        <v>461.52985865480019</v>
      </c>
      <c r="CL48" s="197">
        <f>CM48*(1+$DD48+各项系数!$J$5+各项系数!$L$5)</f>
        <v>459.03291656439796</v>
      </c>
      <c r="CM48" s="197">
        <f t="shared" si="13"/>
        <v>450.03227114156664</v>
      </c>
      <c r="CN48" s="196">
        <f>CO48+各项系数!$M$9*$NO48</f>
        <v>462.88796596913477</v>
      </c>
      <c r="CO48" s="196">
        <f>CP48*(1+$DC48+(VLOOKUP($AM48,$A$12:$B$323,2,0))+各项系数!$J$6+各项系数!$M$5)*(1+$E$2)+各项系数!$M$9*$NK48</f>
        <v>460.39102387873254</v>
      </c>
      <c r="CP48" s="197">
        <f>CQ48+各项系数!$L$9*$NO48</f>
        <v>467.3487866806347</v>
      </c>
      <c r="CQ48" s="197">
        <f>CR48*(1+$DD48+各项系数!$J$5+各项系数!$L$5)</f>
        <v>464.85184459023247</v>
      </c>
      <c r="CR48" s="197">
        <f t="shared" si="14"/>
        <v>455.73710253944358</v>
      </c>
      <c r="CS48" s="196">
        <f>CT48+各项系数!$M$9*$NU48</f>
        <v>460.45447367275017</v>
      </c>
      <c r="CT48" s="196">
        <f t="shared" si="15"/>
        <v>457.93269360902707</v>
      </c>
      <c r="CU48" s="197">
        <f>CV48+各项系数!$L$9*$NU48</f>
        <v>467.27825878472152</v>
      </c>
      <c r="CV48" s="197">
        <f>CW48*(1+$DD48+各项系数!$J$5+各项系数!$L$5)</f>
        <v>464.75647872099842</v>
      </c>
      <c r="CW48" s="199">
        <f t="shared" si="16"/>
        <v>455.64360658921413</v>
      </c>
      <c r="CX48" s="196">
        <f>CY48+各项系数!$M$9*$NU48</f>
        <v>466.47356646125615</v>
      </c>
      <c r="CY48" s="196">
        <f t="shared" si="17"/>
        <v>463.95178639753306</v>
      </c>
      <c r="CZ48" s="197">
        <f>DA48+各项系数!$L$9*$NU48</f>
        <v>473.42019020156437</v>
      </c>
      <c r="DA48" s="197">
        <f>DB48*(1+$DD48+各项系数!$J$5+各项系数!$L$5)</f>
        <v>470.89841013784127</v>
      </c>
      <c r="DB48" s="199">
        <f t="shared" si="18"/>
        <v>461.66510797827573</v>
      </c>
      <c r="DC48" s="213">
        <f t="shared" si="137"/>
        <v>0</v>
      </c>
      <c r="DD48" s="213">
        <f t="shared" si="19"/>
        <v>0</v>
      </c>
      <c r="DE48" s="53" t="s">
        <v>498</v>
      </c>
      <c r="DF48" s="53" t="s">
        <v>513</v>
      </c>
      <c r="DG48" s="196">
        <f>DH48+各项系数!$M$9*$NQ48</f>
        <v>462.49140326215775</v>
      </c>
      <c r="DH48" s="196">
        <f>DI48*(1+$EA48+(VLOOKUP($AM48,$A$12:$B$323,2,0))+各项系数!$J$6+各项系数!$M$5)*(1+$E$2)+各项系数!$M$9*$NK48</f>
        <v>459.99446117175552</v>
      </c>
      <c r="DI48" s="197">
        <f>DJ48+各项系数!$L$9*$NQ48</f>
        <v>466.94413085718878</v>
      </c>
      <c r="DJ48" s="197">
        <f>DK48*(1+$EB48+各项系数!$J$5+各项系数!$L$5)</f>
        <v>464.44718876678655</v>
      </c>
      <c r="DK48" s="197">
        <f t="shared" si="20"/>
        <v>450.91960074445296</v>
      </c>
      <c r="DL48" s="196">
        <f>DM48+各项系数!$M$9*$NQ48</f>
        <v>467.65826438445782</v>
      </c>
      <c r="DM48" s="196">
        <f>DN48*(1+$EA48+(VLOOKUP($AM48,$A$12:$B$323,2,0))+各项系数!$J$6+各项系数!$M$5)*(1+$E$2)+各项系数!$M$9*$NK48</f>
        <v>465.16132229405559</v>
      </c>
      <c r="DN48" s="197">
        <f>DO48+各项系数!$L$9*$NQ48</f>
        <v>472.21643812484194</v>
      </c>
      <c r="DO48" s="197">
        <f>DP48*(1+$EB48+各项系数!$J$5+各项系数!$L$5)</f>
        <v>469.71949603443971</v>
      </c>
      <c r="DP48" s="197">
        <f t="shared" si="21"/>
        <v>456.03834566450456</v>
      </c>
      <c r="DQ48" s="196">
        <f>DR48+各项系数!$M$9*$NV48</f>
        <v>465.81775208748678</v>
      </c>
      <c r="DR48" s="196">
        <f t="shared" si="22"/>
        <v>463.29597202376368</v>
      </c>
      <c r="DS48" s="197">
        <f>DT48+各项系数!$L$9*$NV48</f>
        <v>472.75099186098333</v>
      </c>
      <c r="DT48" s="197">
        <f>DU48*(1+$EB48+各项系数!$J$5+各项系数!$L$5)</f>
        <v>470.22921179726023</v>
      </c>
      <c r="DU48" s="199">
        <f t="shared" si="23"/>
        <v>456.53321533714586</v>
      </c>
      <c r="DV48" s="196">
        <f>DW48+各项系数!$M$9*$NV48</f>
        <v>467.09709525754408</v>
      </c>
      <c r="DW48" s="196">
        <f t="shared" si="24"/>
        <v>464.57531519382098</v>
      </c>
      <c r="DX48" s="197">
        <f>DY48+各项系数!$L$9*$NV48</f>
        <v>474.05644407532753</v>
      </c>
      <c r="DY48" s="197">
        <f>DZ48*(1+$EB48+各项系数!$J$5+各项系数!$L$5)</f>
        <v>471.53466401160443</v>
      </c>
      <c r="DZ48" s="199">
        <f t="shared" si="25"/>
        <v>457.80064467146059</v>
      </c>
      <c r="EA48" s="213">
        <f t="shared" si="230"/>
        <v>0</v>
      </c>
      <c r="EB48" s="213">
        <f t="shared" si="27"/>
        <v>0.01</v>
      </c>
      <c r="EC48" s="235">
        <f t="shared" si="138"/>
        <v>2</v>
      </c>
      <c r="ED48" s="235" t="str">
        <f t="shared" si="260"/>
        <v>2*400</v>
      </c>
      <c r="EE48" s="189">
        <f t="shared" si="239"/>
        <v>400</v>
      </c>
      <c r="EF48" s="189" t="str">
        <f>LOOKUP(EH48,{1,7,10,14,19,24,30,37,48,61},{1,"1+6","2+8","4+10","1+6+12","2+8+14","4+10+16","1+6+12+18","3+9+15+21","1+6+12+18+24"})</f>
        <v>1+6+12+18+24</v>
      </c>
      <c r="EG48" s="188">
        <f t="shared" si="29"/>
        <v>2</v>
      </c>
      <c r="EH48" s="197">
        <f>VLOOKUP(EE48,各项系数!$B$87:$C$124,2,0)</f>
        <v>61</v>
      </c>
      <c r="EI48" s="188">
        <f>IF(EH48=0,0,VLOOKUP(EH48,各项系数!$D$142:$E$195,2,0))*1</f>
        <v>9</v>
      </c>
      <c r="EJ48" s="238">
        <f t="shared" si="141"/>
        <v>277.18119106381198</v>
      </c>
      <c r="EK48" s="189">
        <f t="shared" si="261"/>
        <v>0</v>
      </c>
      <c r="EL48" s="189">
        <f t="shared" si="31"/>
        <v>0</v>
      </c>
      <c r="EM48" s="189">
        <f t="shared" si="262"/>
        <v>0</v>
      </c>
      <c r="EN48" s="189">
        <f>IF(EP48=0,0,LOOKUP(EP48,{1,7,10,14,19,24,30,37,48,61},{1,"1+6","2+8","4+10","1+6+12","2+8+14","4+10+16","1+6+12+18","3+9+15+21","1+6+12+18+24"}))</f>
        <v>0</v>
      </c>
      <c r="EO48" s="189">
        <f t="shared" si="263"/>
        <v>0</v>
      </c>
      <c r="EP48" s="189">
        <f>IF(EM48=0,0,IF(EM48&lt;10,1,IF(AND(EM48&gt;=10,EM48&lt;=35),7,LOOKUP(EM48,{50,70,95,120,150,185,240,300},{10,14,19,24,30,37,48,61})*1)))</f>
        <v>0</v>
      </c>
      <c r="EQ48" s="189">
        <f>IF(EP48=0,0,VLOOKUP(EP48,各项系数!$D$142:$E$195,2,0))*1</f>
        <v>0</v>
      </c>
      <c r="ER48" s="189">
        <f t="shared" si="264"/>
        <v>0</v>
      </c>
      <c r="ES48" s="235">
        <f t="shared" si="250"/>
        <v>2</v>
      </c>
      <c r="ET48" s="189">
        <f>VLOOKUP(ES48,各项系数!$D$142:$E$195,2,0)*1</f>
        <v>2</v>
      </c>
      <c r="EU48" s="243">
        <f>((各项系数!$F$76/4*$EJ48^2*$EG48*$EH48*1*10^-7)*(1-$H48)*AA48)*(VLOOKUP($EY$9,各项系数!$D$4:$F$143,3,0))*各项系数!$J$4</f>
        <v>6.6420515020368889</v>
      </c>
      <c r="EV48" s="244">
        <f>EU48*(VLOOKUP($EY$9,各项系数!$D$4:$F$143,2,0))</f>
        <v>435.05437338341625</v>
      </c>
      <c r="EW48" s="252">
        <f>(IF($EO48=0,0,(各项系数!$F$76/4*$ER48^2*$EO48*$EP48*1*10^-7))*(1-$K48)*$AF48)*(VLOOKUP($EY$9,各项系数!$D$4:$F$143,3,0))*各项系数!$J$4</f>
        <v>0</v>
      </c>
      <c r="EX48" s="253">
        <f>EW48*(VLOOKUP($EY$9,各项系数!$D$4:$F$143,2,0))</f>
        <v>0</v>
      </c>
      <c r="EY48" s="189">
        <f>((各项系数!$F$76/4*$EJ48^2*$EG48*$EH48*1*10^-7)*(1-$H48)*AA48+IF($EO48=0,0,(各项系数!$F$76/4*$ER48^2*$EO48*$EP48*1*10^-7))*(1-$K48)*$AF48)*(VLOOKUP($EY$9,各项系数!$D$4:$F$143,3,0))*各项系数!$J$4</f>
        <v>6.6420515020368889</v>
      </c>
      <c r="EZ48" s="102">
        <v>1</v>
      </c>
      <c r="FA48" s="189">
        <f t="shared" si="188"/>
        <v>6.6420515020368889</v>
      </c>
      <c r="FB48" s="254">
        <f>FA48*(VLOOKUP($EY$9,各项系数!$D$4:$F$143,2,0))</f>
        <v>435.05437338341625</v>
      </c>
      <c r="FC48" s="255"/>
      <c r="FD48" s="235">
        <f>各项系数!$F$76/4*($MN48^2-MK48^2)*10^-2*(VLOOKUP(L48,各项系数!$D$1:$F$143,3,0))*10^-3*10^2*$EG48*各项系数!$J$4</f>
        <v>0.37061661606609392</v>
      </c>
      <c r="FE48" s="262">
        <f>FD48*VLOOKUP(L48,各项系数!$D$1:$F$143,2,0)</f>
        <v>3.7802894838741579</v>
      </c>
      <c r="FF48" s="188">
        <f>各项系数!$F$76/4*($MO48^2-ML48^2)*10^-2*(VLOOKUP(L48,各项系数!$D$1:$F$143,3,0))*10^-3*10^2*$EO48*各项系数!$J$4</f>
        <v>0</v>
      </c>
      <c r="FG48" s="262">
        <f>FF48*VLOOKUP(L48,各项系数!$D$1:$F$143,2,0)</f>
        <v>0</v>
      </c>
      <c r="FH48" s="235">
        <f t="shared" si="142"/>
        <v>0.37061661606609392</v>
      </c>
      <c r="FI48" s="102">
        <v>1</v>
      </c>
      <c r="FJ48" s="189">
        <f t="shared" si="189"/>
        <v>0.37061661606609392</v>
      </c>
      <c r="FK48" s="262">
        <f>FJ48*VLOOKUP(L48,各项系数!$D$1:$F$143,2,0)</f>
        <v>3.7802894838741579</v>
      </c>
      <c r="FL48" s="235"/>
      <c r="FM48" s="102"/>
      <c r="FN48" s="189"/>
      <c r="FO48" s="262"/>
      <c r="FP48" s="282">
        <f t="shared" si="190"/>
        <v>0.37061661606609392</v>
      </c>
      <c r="FQ48" s="282">
        <f t="shared" si="191"/>
        <v>3.7802894838741579</v>
      </c>
      <c r="FR48" s="283">
        <f>各项系数!$F$76/4*($MQ48^2-$MN48^2*$EG48-$MO48^2*$EO48)*10^-2</f>
        <v>13.161524921253193</v>
      </c>
      <c r="FS48" s="284">
        <f t="shared" si="143"/>
        <v>0.05</v>
      </c>
      <c r="FT48" s="285">
        <f t="shared" si="40"/>
        <v>0.65807624606265969</v>
      </c>
      <c r="FU48" s="302">
        <f>$FT48*(VLOOKUP($FT$9,各项系数!$D$1:$F$143,3,0))*10^-3*10^2*各项系数!$J$55</f>
        <v>7.857430377988156E-2</v>
      </c>
      <c r="FV48" s="303">
        <v>1</v>
      </c>
      <c r="FW48" s="304">
        <f t="shared" si="192"/>
        <v>7.857430377988156E-2</v>
      </c>
      <c r="FX48" s="285">
        <f>FW48*(VLOOKUP($FT$9,各项系数!$D$1:$F$143,2,0))</f>
        <v>0.23572291133964468</v>
      </c>
      <c r="FY48" s="302">
        <f>IF($BK48&lt;&gt;$FY$9,0,各项系数!$F$76/4*($MS48^2-$MQ48^2)*10^-2*(VLOOKUP($FY$9,各项系数!$D$1:$F$143,3,0))*10^-3*10^2)*各项系数!$J$4</f>
        <v>0</v>
      </c>
      <c r="FZ48" s="303">
        <v>1</v>
      </c>
      <c r="GA48" s="304">
        <f t="shared" si="193"/>
        <v>0</v>
      </c>
      <c r="GB48" s="285">
        <f>GA48*(VLOOKUP($FY$9,各项系数!$D$1:$F$143,2,0))</f>
        <v>0</v>
      </c>
      <c r="GC48" s="302">
        <f>IF($BK48&lt;&gt;$GC$9,0,各项系数!$F$76/4*($MS48^2-$MQ48^2)*10^-2*(VLOOKUP($GC$9,各项系数!$D$1:$F$143,3,0))*10^-3*10^2)*各项系数!$J$4</f>
        <v>3.4356810883100592E-3</v>
      </c>
      <c r="GD48" s="303">
        <v>1</v>
      </c>
      <c r="GE48" s="304">
        <f t="shared" si="194"/>
        <v>3.4356810883100592E-3</v>
      </c>
      <c r="GF48" s="285">
        <f>GE48*(VLOOKUP($GC$9,各项系数!$D$1:$F$143,2,0))</f>
        <v>4.4320286039199769E-2</v>
      </c>
      <c r="GG48" s="302">
        <f>IF($BK48&lt;&gt;$GG$9,0,各项系数!$F$76/4*($MS48^2-$MQ48^2)*10^-2*(VLOOKUP($GG$9,各项系数!$D$1:$F$143,3,0))*10^-3*10^2)*各项系数!$J$4</f>
        <v>0</v>
      </c>
      <c r="GH48" s="303">
        <v>1</v>
      </c>
      <c r="GI48" s="304">
        <f t="shared" si="195"/>
        <v>0</v>
      </c>
      <c r="GJ48" s="285">
        <f>GI48*(VLOOKUP($GG$9,各项系数!$D$1:$F$143,2,0))</f>
        <v>0</v>
      </c>
      <c r="GK48" s="302">
        <f>IF($BK48&lt;&gt;$GK$9,0,各项系数!$F$76/4*($MS48^2-$MQ48^2)*10^-2*(VLOOKUP($GK$9,各项系数!$D$1:$F$143,3,0))*10^-3*10^2)*各项系数!$J$4</f>
        <v>0</v>
      </c>
      <c r="GL48" s="303">
        <v>1</v>
      </c>
      <c r="GM48" s="304">
        <f t="shared" si="196"/>
        <v>0</v>
      </c>
      <c r="GN48" s="285">
        <f>GM48*(VLOOKUP($GK$9,各项系数!$D$1:$F$143,2,0))</f>
        <v>0</v>
      </c>
      <c r="GO48" s="304">
        <f t="shared" si="197"/>
        <v>3.4356810883100592E-3</v>
      </c>
      <c r="GP48" s="304">
        <f t="shared" si="198"/>
        <v>4.4320286039199769E-2</v>
      </c>
      <c r="GQ48" s="315">
        <f>各项系数!$F$76/4*($MU48^2-$MS48^2)*10^-2*(VLOOKUP($S48,各项系数!$D$1:$F$143,3,0))*10^-3*10^2*各项系数!$J$4</f>
        <v>1.0758163706766355</v>
      </c>
      <c r="GR48" s="303">
        <v>1</v>
      </c>
      <c r="GS48" s="304">
        <f t="shared" si="199"/>
        <v>1.0758163706766355</v>
      </c>
      <c r="GT48" s="304">
        <f t="shared" si="200"/>
        <v>0</v>
      </c>
      <c r="GU48" s="304">
        <f>ROUND($GS48*(VLOOKUP($S48,各项系数!$D$1:$F$143,2,0))+$E$3*GS48,GT48)</f>
        <v>6</v>
      </c>
      <c r="GV48" s="315">
        <f>各项系数!$F$76/4*($MT48^2-$MS48^2)*10^-2*(VLOOKUP($GV$9,各项系数!$D$1:$F$143,3,0))*10^-3*10^2*各项系数!$J$4*PI()/4*R48</f>
        <v>8.1031632876968698E-2</v>
      </c>
      <c r="GW48" s="303">
        <v>1</v>
      </c>
      <c r="GX48" s="304">
        <f t="shared" si="201"/>
        <v>8.1031632876968698E-2</v>
      </c>
      <c r="GY48" s="304">
        <f>$GX48*(VLOOKUP($GV$9,各项系数!$D$1:$F$143,2,0))</f>
        <v>5.4696352191953874</v>
      </c>
      <c r="GZ48" s="315">
        <f>各项系数!$F$76/4*($MV48^2-$MS48^2)*10^-2*(VLOOKUP($GZ$9,各项系数!$D$1:$F$143,3,0))*10^-3*10^2*各项系数!$J$4</f>
        <v>0.85753690745529332</v>
      </c>
      <c r="HA48" s="303">
        <v>1</v>
      </c>
      <c r="HB48" s="304">
        <f t="shared" si="144"/>
        <v>0.85753690745529332</v>
      </c>
      <c r="HC48" s="304">
        <f>HB48*(VLOOKUP($GZ$9,各项系数!$D$1:$F$143,2,0))</f>
        <v>14.578127426739986</v>
      </c>
      <c r="HD48" s="315">
        <f>各项系数!$F$76/4*($MW48^2-$MT48^2)*10^-2*(VLOOKUP($HD$9,各项系数!$D$1:$F$143,3,0))*10^-3*10^2*各项系数!$J$4</f>
        <v>0.85978504372457221</v>
      </c>
      <c r="HE48" s="303">
        <v>1</v>
      </c>
      <c r="HF48" s="304">
        <f t="shared" si="145"/>
        <v>0.85978504372457221</v>
      </c>
      <c r="HG48" s="304">
        <f>HF48*(VLOOKUP($HD$9,各项系数!$D$1:$F$143,2,0))</f>
        <v>14.616345743317728</v>
      </c>
      <c r="HH48" s="315">
        <f>各项系数!$F$76/4*($MV48^2-$MS48^2)*10^-2*(VLOOKUP($HH$9,各项系数!$D$1:$F$143,3,0))*10^-3*10^2*各项系数!$J$4</f>
        <v>0.85753690745529332</v>
      </c>
      <c r="HI48" s="322">
        <v>1</v>
      </c>
      <c r="HJ48" s="304">
        <f t="shared" si="146"/>
        <v>0.85753690745529332</v>
      </c>
      <c r="HK48" s="304">
        <f>HJ48*(VLOOKUP($HH$9,各项系数!$D$1:$F$143,2,0))</f>
        <v>14.578127426739986</v>
      </c>
      <c r="HL48" s="315">
        <f>各项系数!$F$76/4*($MW48^2-$MT48^2)*10^-2*(VLOOKUP($HL$9,各项系数!$D$1:$F$143,3,0))*10^-3*10^2*各项系数!$J$4</f>
        <v>0.85978504372457221</v>
      </c>
      <c r="HM48" s="322">
        <v>1</v>
      </c>
      <c r="HN48" s="304">
        <f t="shared" si="147"/>
        <v>0.85978504372457221</v>
      </c>
      <c r="HO48" s="304">
        <f>HN48*(VLOOKUP($HL$9,各项系数!$D$1:$F$143,2,0))</f>
        <v>14.616345743317728</v>
      </c>
      <c r="HP48" s="315">
        <f>各项系数!$F$76/4*($MV48^2-$MS48^2)*10^-2*(VLOOKUP(AN48,各项系数!$D$1:$F$143,3,0))*10^-3*10^2*各项系数!$J$4</f>
        <v>0.86936500273053874</v>
      </c>
      <c r="HQ48" s="303">
        <v>1</v>
      </c>
      <c r="HR48" s="304">
        <f t="shared" si="202"/>
        <v>0.86936500273053874</v>
      </c>
      <c r="HS48" s="304">
        <f>HR48*(VLOOKUP(AN48,各项系数!$D$1:$F$143,2,0))</f>
        <v>8.6936500273053881</v>
      </c>
      <c r="HT48" s="315">
        <f>各项系数!$F$76/4*($MW48^2-$MT48^2)*10^-2*(VLOOKUP(AN48,各项系数!$D$1:$F$143,3,0))*10^-3*10^2*各项系数!$J$4</f>
        <v>0.87164414777594568</v>
      </c>
      <c r="HU48" s="303">
        <v>1</v>
      </c>
      <c r="HV48" s="304">
        <f t="shared" si="203"/>
        <v>0.87164414777594568</v>
      </c>
      <c r="HW48" s="304">
        <f>HV48*(VLOOKUP(AN48,各项系数!$D$1:$F$143,2,0))</f>
        <v>8.7164414777594565</v>
      </c>
      <c r="HX48" s="315">
        <f>各项系数!$F$76/4*($MV48^2-$MS48^2)*10^-2*(VLOOKUP($HX$9,各项系数!$D$1:$F$143,3,0))*10^-3*10^2*各项系数!$J$4</f>
        <v>0.86936500273053874</v>
      </c>
      <c r="HY48" s="322">
        <v>1</v>
      </c>
      <c r="HZ48" s="304">
        <f t="shared" si="204"/>
        <v>0.86936500273053874</v>
      </c>
      <c r="IA48" s="304">
        <f>HZ48*(VLOOKUP($HX$9,各项系数!$D$1:$F$143,2,0))</f>
        <v>9.5630150300359258</v>
      </c>
      <c r="IB48" s="315">
        <f>各项系数!$F$76/4*($MW48^2-$MT48^2)*10^-2*(VLOOKUP($IB$9,各项系数!$D$1:$F$143,3,0))*10^-3*10^2*各项系数!$J$4</f>
        <v>0.87164414777594568</v>
      </c>
      <c r="IC48" s="322">
        <v>1</v>
      </c>
      <c r="ID48" s="304">
        <f t="shared" si="205"/>
        <v>0.87164414777594568</v>
      </c>
      <c r="IE48" s="304">
        <f>ID48*(VLOOKUP($IB$9,各项系数!$D$1:$F$143,2,0))</f>
        <v>9.5880856255354026</v>
      </c>
      <c r="IF48" s="328"/>
      <c r="IG48" s="315">
        <f t="shared" si="148"/>
        <v>7.102534061914513E-2</v>
      </c>
      <c r="IH48" s="303">
        <v>1</v>
      </c>
      <c r="II48" s="304">
        <f t="shared" si="206"/>
        <v>7.102534061914513E-2</v>
      </c>
      <c r="IJ48" s="304">
        <f>II48*(VLOOKUP($IG$8,各项系数!$D$1:$F$143,2,0))</f>
        <v>1.7756335154786282</v>
      </c>
      <c r="IK48" s="315">
        <f>(各项系数!$F$76/4*($MX48^2-$MK48^2)*$EG48)*10^-2*(VLOOKUP($IG$8,各项系数!$D$1:$F$143,3,0))*10^-3*10^2*各项系数!$J$4</f>
        <v>7.102534061914513E-2</v>
      </c>
      <c r="IL48" s="303">
        <f>IK48*(VLOOKUP($IG$8,各项系数!$D$1:$F$143,2,0))</f>
        <v>1.7756335154786282</v>
      </c>
      <c r="IM48" s="304">
        <f>(各项系数!$F$76/4*(($MM48+3*$X48)^2-MM48^2)*$EO48)*10^-2*(VLOOKUP($IG$8,各项系数!$D$1:$F$143,3,0))*10^-3*10^2*各项系数!$J$4</f>
        <v>0</v>
      </c>
      <c r="IN48" s="303">
        <f>IM48*(VLOOKUP($IG$8,各项系数!$D$1:$F$143,2,0))</f>
        <v>0</v>
      </c>
      <c r="IO48" s="315">
        <f>各项系数!$F$76/4*($MZ48^2-$MX48^2)*10^-2*(VLOOKUP(L48,各项系数!$D$1:$F$143,3,0))*10^-3*10^2*$ES48*各项系数!$J$4</f>
        <v>0.37886895164854351</v>
      </c>
      <c r="IP48" s="303">
        <v>1</v>
      </c>
      <c r="IQ48" s="304">
        <f t="shared" si="207"/>
        <v>0.37886895164854351</v>
      </c>
      <c r="IR48" s="285">
        <f>IQ48*(VLOOKUP(L48,各项系数!$D$1:$F$143,2,0))</f>
        <v>3.8644633068151433</v>
      </c>
      <c r="IS48" s="315">
        <f>IF($L48&lt;&gt;$IS$9,0,各项系数!$F$76/4*($MZ48^2-$MX48^2)*10^-2*各项系数!$F$12*10^-3*10^2)*$ES48*各项系数!$J$4</f>
        <v>0</v>
      </c>
      <c r="IT48" s="303">
        <v>1</v>
      </c>
      <c r="IU48" s="304">
        <f t="shared" si="208"/>
        <v>0</v>
      </c>
      <c r="IV48" s="285">
        <f>IU48*各项系数!$E$12</f>
        <v>0</v>
      </c>
      <c r="IW48" s="302">
        <f t="shared" si="209"/>
        <v>0.37886895164854351</v>
      </c>
      <c r="IX48" s="302">
        <f t="shared" si="210"/>
        <v>3.8644633068151433</v>
      </c>
      <c r="IY48" s="339">
        <f>各项系数!$F$76/4*($NB48^2-$MZ48^2*$EG48-$NA48^2*$EO48)*10^-2</f>
        <v>13.712804824129599</v>
      </c>
      <c r="IZ48" s="284">
        <f t="shared" si="231"/>
        <v>0.05</v>
      </c>
      <c r="JA48" s="285">
        <f t="shared" si="64"/>
        <v>0.68564024120647993</v>
      </c>
      <c r="JB48" s="282">
        <f>IF($DE48&lt;&gt;$JB$9,0,$JA48*各项系数!$F$32*10^-3*10^2)*各项系数!$J$4</f>
        <v>0</v>
      </c>
      <c r="JC48" s="102">
        <v>1</v>
      </c>
      <c r="JD48" s="189">
        <f t="shared" si="211"/>
        <v>0</v>
      </c>
      <c r="JE48" s="262">
        <f>JD48*各项系数!$E$32</f>
        <v>0</v>
      </c>
      <c r="JF48" s="282">
        <f>IF($DE48&lt;&gt;$JF$9,0,$JA48*VLOOKUP($JF$9,各项系数!$D$4:$F$540,2,0)*10^-3*10^2)*各项系数!$J$4</f>
        <v>0.34110602000022378</v>
      </c>
      <c r="JG48" s="102">
        <v>1</v>
      </c>
      <c r="JH48" s="189">
        <f t="shared" si="66"/>
        <v>0.34110602000022378</v>
      </c>
      <c r="JI48" s="262">
        <f>JH48*VLOOKUP($JF$9,各项系数!$D$4:$F$540,3,0)</f>
        <v>0.4093272240002685</v>
      </c>
      <c r="JJ48" s="282">
        <f t="shared" si="212"/>
        <v>0.34110602000022378</v>
      </c>
      <c r="JK48" s="189">
        <f t="shared" si="213"/>
        <v>0.4093272240002685</v>
      </c>
      <c r="JL48" s="282">
        <f>IF($DF48&lt;&gt;$JL$9,0,各项系数!$F$76/4*($NE48^2-$NC48^2)*10^-2*各项系数!$F$39*10^-3*10^2)*各项系数!$J$4</f>
        <v>2.7588841496680974E-3</v>
      </c>
      <c r="JM48" s="102">
        <v>1</v>
      </c>
      <c r="JN48" s="189">
        <f t="shared" si="214"/>
        <v>2.7588841496680974E-3</v>
      </c>
      <c r="JO48" s="262">
        <f>JN48*各项系数!$E$39</f>
        <v>5.5177682993361947E-2</v>
      </c>
      <c r="JP48" s="282">
        <f>IF($DF48&lt;&gt;$JP$9,0,各项系数!$F$76/4*($NE48^2-$NC48^2)*10^-2*各项系数!$F$36*10^-3*10^2)*各项系数!$J$4</f>
        <v>0</v>
      </c>
      <c r="JQ48" s="102">
        <v>1</v>
      </c>
      <c r="JR48" s="189">
        <f t="shared" si="215"/>
        <v>0</v>
      </c>
      <c r="JS48" s="262">
        <f>JR48*各项系数!$E$36</f>
        <v>0</v>
      </c>
      <c r="JT48" s="282">
        <f>IF($DF48&lt;&gt;$JT$9,0,各项系数!$F$76/4*($NE48^2-$NC48^2)*10^-2*各项系数!$F$40*10^-3*10^2)*各项系数!$J$4</f>
        <v>0</v>
      </c>
      <c r="JU48" s="102">
        <v>1</v>
      </c>
      <c r="JV48" s="189">
        <f t="shared" si="216"/>
        <v>0</v>
      </c>
      <c r="JW48" s="262">
        <f>JV48*各项系数!$E$40</f>
        <v>0</v>
      </c>
      <c r="JX48" s="282">
        <f>IF($DF48&lt;&gt;$JX$9,0,各项系数!$F$76/4*($NE48^2-$NC48^2)*10^-2*各项系数!$F$38*10^-3*10^2)*各项系数!$J$4</f>
        <v>0</v>
      </c>
      <c r="JY48" s="102">
        <v>1</v>
      </c>
      <c r="JZ48" s="189">
        <f t="shared" si="217"/>
        <v>0</v>
      </c>
      <c r="KA48" s="262">
        <f>JZ48*各项系数!$E$38</f>
        <v>0</v>
      </c>
      <c r="KB48" s="282">
        <f>IF($DF48&lt;&gt;$KB$9,0,各项系数!$F$76/4*($NE48^2-$NC48^2)*10^-2*各项系数!$F$41*10^-3*10^2)*各项系数!$J$4</f>
        <v>0</v>
      </c>
      <c r="KC48" s="102">
        <v>1</v>
      </c>
      <c r="KD48" s="189">
        <f t="shared" si="218"/>
        <v>0</v>
      </c>
      <c r="KE48" s="262">
        <f>KD48*各项系数!$E$41</f>
        <v>0</v>
      </c>
      <c r="KF48" s="189">
        <f t="shared" si="219"/>
        <v>2.7588841496680974E-3</v>
      </c>
      <c r="KG48" s="189">
        <f t="shared" si="220"/>
        <v>5.5177682993361947E-2</v>
      </c>
      <c r="KH48" s="235">
        <f>各项系数!$F$76/4*($NG48^2-$NE48^2)*10^-2*各项系数!$F$44*10^-3*10^2*各项系数!$J$4*0.75*$U48</f>
        <v>1.6484060503907112</v>
      </c>
      <c r="KI48" s="102">
        <v>1</v>
      </c>
      <c r="KJ48" s="189">
        <f t="shared" si="221"/>
        <v>1.6484060503907112</v>
      </c>
      <c r="KK48" s="189">
        <f>ROUND(KJ48*各项系数!$E$43,GT48)</f>
        <v>10</v>
      </c>
      <c r="KL48" s="235">
        <f>各项系数!$F$76/4*($NF48^2-$NE48^2)*10^-2*各项系数!$F$46*10^-3*10^2*各项系数!$J$4*PI()/4*R48</f>
        <v>8.2793244402865174E-2</v>
      </c>
      <c r="KM48" s="102">
        <v>1</v>
      </c>
      <c r="KN48" s="189">
        <f t="shared" si="222"/>
        <v>8.2793244402865174E-2</v>
      </c>
      <c r="KO48" s="189">
        <f>KN48*各项系数!$E$46</f>
        <v>5.5885439971933994</v>
      </c>
      <c r="KP48" s="235">
        <f>各项系数!$F$76/4*($NH48^2-$NE48^2)*10^-2*(VLOOKUP($KP$9,各项系数!$D$1:$F$143,3,0))*10^-3*10^2*各项系数!$J$4</f>
        <v>0.87525709128240781</v>
      </c>
      <c r="KQ48" s="102">
        <v>1</v>
      </c>
      <c r="KR48" s="189">
        <f t="shared" si="150"/>
        <v>0.87525709128240781</v>
      </c>
      <c r="KS48" s="189">
        <f>KR48*(VLOOKUP($KP$9,各项系数!$D$1:$F$143,2,0))</f>
        <v>14.879370551800932</v>
      </c>
      <c r="KT48" s="235">
        <f>各项系数!$F$76/4*($NI48^2-$NF48^2)*10^-2*(VLOOKUP($KT$9,各项系数!$D$1:$F$143,3,0))*10^-3*10^2*各项系数!$J$4</f>
        <v>0.87750522755168658</v>
      </c>
      <c r="KU48" s="102">
        <v>1</v>
      </c>
      <c r="KV48" s="189">
        <f t="shared" si="151"/>
        <v>0.87750522755168658</v>
      </c>
      <c r="KW48" s="189">
        <f>KV48*(VLOOKUP($KT$9,各项系数!$D$1:$F$143,2,0))</f>
        <v>14.917588868378672</v>
      </c>
      <c r="KX48" s="189">
        <f>各项系数!$F$76/4*($NH48^2-$NE48^2)*10^-2*(VLOOKUP($KX$9,各项系数!$D$1:$F$143,3,0))*10^-3*10^2*各项系数!$J$4</f>
        <v>0.87525709128240781</v>
      </c>
      <c r="KY48" s="353">
        <v>1</v>
      </c>
      <c r="KZ48" s="189">
        <f t="shared" si="152"/>
        <v>0.87525709128240781</v>
      </c>
      <c r="LA48" s="189">
        <f>KZ48*(VLOOKUP($KX$9,各项系数!$D$1:$F$143,2,0))</f>
        <v>14.879370551800932</v>
      </c>
      <c r="LB48" s="189">
        <f>各项系数!$F$76/4*($NI48^2-$NF48^2)*10^-2*(VLOOKUP($LB$9,各项系数!$D$1:$F$143,3,0))*10^-3*10^2*各项系数!$J$4</f>
        <v>0.87750522755168658</v>
      </c>
      <c r="LC48" s="353">
        <v>1</v>
      </c>
      <c r="LD48" s="189">
        <f t="shared" si="153"/>
        <v>0.87750522755168658</v>
      </c>
      <c r="LE48" s="189">
        <f>LD48*(VLOOKUP($LB$9,各项系数!$D$1:$F$143,2,0))</f>
        <v>14.917588868378672</v>
      </c>
      <c r="LF48" s="235">
        <f>各项系数!$F$76/4*($NH48^2-$NE48^2)*10^-2*(VLOOKUP(AN48,各项系数!$D$1:$F$143,3,0))*10^-3*10^2*各项系数!$J$4</f>
        <v>0.88732960288630292</v>
      </c>
      <c r="LG48" s="102">
        <v>1</v>
      </c>
      <c r="LH48" s="189">
        <f t="shared" si="223"/>
        <v>0.88732960288630292</v>
      </c>
      <c r="LI48" s="189">
        <f>LH48*(VLOOKUP(AN48,各项系数!$D$1:$F$143,2,0))</f>
        <v>8.8732960288630292</v>
      </c>
      <c r="LJ48" s="235">
        <f>各项系数!$F$76/4*($NI48^2-$NF48^2)*10^-2*(VLOOKUP(AN48,各项系数!$D$1:$F$143,3,0))*10^-3*10^2*各项系数!$J$4</f>
        <v>0.88960874793170985</v>
      </c>
      <c r="LK48" s="102">
        <v>1</v>
      </c>
      <c r="LL48" s="189">
        <f t="shared" si="224"/>
        <v>0.88960874793170985</v>
      </c>
      <c r="LM48" s="189">
        <f>LL48*(VLOOKUP(AN48,各项系数!$D$1:$F$143,2,0))</f>
        <v>8.8960874793170994</v>
      </c>
      <c r="LN48" s="189">
        <f>各项系数!$F$76/4*($NH48^2-$NE48^2)*10^-2*(VLOOKUP($LN$9,各项系数!$D$1:$F$143,3,0))*10^-3*10^2*各项系数!$J$4</f>
        <v>0.88732960288630292</v>
      </c>
      <c r="LO48" s="353">
        <v>1</v>
      </c>
      <c r="LP48" s="189">
        <f t="shared" si="225"/>
        <v>0.88732960288630292</v>
      </c>
      <c r="LQ48" s="189">
        <f>LP48*(VLOOKUP($LN$9,各项系数!$D$1:$F$143,2,0))</f>
        <v>9.7606256317493312</v>
      </c>
      <c r="LR48" s="189">
        <f>各项系数!$F$76/4*($NI48^2-$NF48^2)*10^-2*(VLOOKUP($LR$9,各项系数!$D$1:$F$143,3,0))*10^-3*10^2*各项系数!$J$4</f>
        <v>0.88960874793170985</v>
      </c>
      <c r="LS48" s="353">
        <v>1</v>
      </c>
      <c r="LT48" s="189">
        <f t="shared" si="226"/>
        <v>0.88960874793170985</v>
      </c>
      <c r="LU48" s="189">
        <f>LT48*(VLOOKUP($LR$9,各项系数!$D$1:$F$143,2,0))</f>
        <v>9.7856962272488079</v>
      </c>
      <c r="LV48" s="227">
        <f t="shared" si="154"/>
        <v>977.53520929000001</v>
      </c>
      <c r="LW48" s="227">
        <f t="shared" si="155"/>
        <v>736.16849093999997</v>
      </c>
      <c r="LX48" s="227">
        <f t="shared" si="156"/>
        <v>30.615663217588757</v>
      </c>
      <c r="LY48" s="227">
        <f t="shared" si="157"/>
        <v>241.36671835000004</v>
      </c>
      <c r="LZ48" s="374">
        <f t="shared" si="86"/>
        <v>1</v>
      </c>
      <c r="MA48" s="375">
        <f t="shared" si="87"/>
        <v>977.53520929000001</v>
      </c>
      <c r="MB48" s="375">
        <f t="shared" si="158"/>
        <v>24.946307189999999</v>
      </c>
      <c r="MC48" s="227">
        <f t="shared" si="159"/>
        <v>0</v>
      </c>
      <c r="MD48" s="227">
        <f t="shared" si="160"/>
        <v>0</v>
      </c>
      <c r="ME48" s="227">
        <f t="shared" si="161"/>
        <v>0</v>
      </c>
      <c r="MF48" s="227">
        <f t="shared" si="162"/>
        <v>0</v>
      </c>
      <c r="MG48" s="374">
        <f t="shared" si="163"/>
        <v>1</v>
      </c>
      <c r="MH48" s="375">
        <f t="shared" si="88"/>
        <v>0</v>
      </c>
      <c r="MI48" s="375">
        <f t="shared" si="164"/>
        <v>0</v>
      </c>
      <c r="MJ48" s="189">
        <f t="shared" si="89"/>
        <v>24.946307189999999</v>
      </c>
      <c r="MK48" s="189">
        <f t="shared" si="165"/>
        <v>24.946307189999999</v>
      </c>
      <c r="ML48" s="189">
        <f t="shared" si="227"/>
        <v>0</v>
      </c>
      <c r="MM48" s="189">
        <f t="shared" si="91"/>
        <v>0</v>
      </c>
      <c r="MN48" s="189">
        <f t="shared" si="92"/>
        <v>28.946307189999999</v>
      </c>
      <c r="MO48" s="189">
        <f t="shared" si="166"/>
        <v>0</v>
      </c>
      <c r="MP48" s="189">
        <f t="shared" si="167"/>
        <v>57.892614379999998</v>
      </c>
      <c r="MQ48" s="189">
        <f t="shared" si="228"/>
        <v>57.892614379999998</v>
      </c>
      <c r="MR48" s="246">
        <f t="shared" si="168"/>
        <v>57.754955760000001</v>
      </c>
      <c r="MS48" s="380">
        <f t="shared" si="94"/>
        <v>57.930955760000003</v>
      </c>
      <c r="MT48" s="380">
        <f t="shared" si="95"/>
        <v>58.09095576</v>
      </c>
      <c r="MU48" s="380">
        <f t="shared" si="232"/>
        <v>59.430955760000003</v>
      </c>
      <c r="MV48" s="380">
        <f t="shared" si="97"/>
        <v>64.130955760000006</v>
      </c>
      <c r="MW48" s="380">
        <f t="shared" si="98"/>
        <v>64.290955760000003</v>
      </c>
      <c r="MX48" s="254">
        <f t="shared" si="233"/>
        <v>25.54630719</v>
      </c>
      <c r="MY48" s="254">
        <f t="shared" si="100"/>
        <v>0</v>
      </c>
      <c r="MZ48" s="189">
        <f t="shared" si="101"/>
        <v>29.54630719</v>
      </c>
      <c r="NA48" s="189">
        <f t="shared" si="102"/>
        <v>0</v>
      </c>
      <c r="NB48" s="189">
        <f t="shared" si="169"/>
        <v>59.092614380000001</v>
      </c>
      <c r="NC48" s="254">
        <f t="shared" si="229"/>
        <v>59.092614380000001</v>
      </c>
      <c r="ND48" s="246">
        <f t="shared" si="234"/>
        <v>58.952102359999998</v>
      </c>
      <c r="NE48" s="386">
        <f t="shared" si="235"/>
        <v>59.19210236</v>
      </c>
      <c r="NF48" s="380">
        <f t="shared" si="106"/>
        <v>59.352102359999996</v>
      </c>
      <c r="NG48" s="387">
        <f t="shared" si="236"/>
        <v>60.69210236</v>
      </c>
      <c r="NH48" s="254">
        <f t="shared" si="108"/>
        <v>65.392102359999996</v>
      </c>
      <c r="NI48" s="380">
        <f t="shared" si="109"/>
        <v>65.552102359999992</v>
      </c>
      <c r="NK48" s="388">
        <f t="shared" si="110"/>
        <v>7.9640431057017134</v>
      </c>
      <c r="NL48" s="388">
        <f t="shared" si="111"/>
        <v>447.80835609197464</v>
      </c>
      <c r="NM48" s="388">
        <f t="shared" si="112"/>
        <v>7.9640431057017134</v>
      </c>
      <c r="NN48" s="388">
        <f t="shared" si="113"/>
        <v>448.67772109470513</v>
      </c>
      <c r="NO48" s="388">
        <f t="shared" si="114"/>
        <v>8.3231403013407714</v>
      </c>
      <c r="NP48" s="388">
        <f t="shared" si="115"/>
        <v>450.0322711415667</v>
      </c>
      <c r="NQ48" s="388">
        <f t="shared" si="116"/>
        <v>8.3231403013407714</v>
      </c>
      <c r="NR48" s="388">
        <f t="shared" si="117"/>
        <v>450.91960074445296</v>
      </c>
      <c r="NS48" s="388">
        <f t="shared" si="118"/>
        <v>8.0450747385786823</v>
      </c>
      <c r="NT48" s="388">
        <f t="shared" si="119"/>
        <v>8.0450747385786823</v>
      </c>
      <c r="NU48" s="388">
        <f t="shared" si="120"/>
        <v>8.4059335457436362</v>
      </c>
      <c r="NV48" s="388">
        <f t="shared" si="121"/>
        <v>8.4059335457436362</v>
      </c>
      <c r="NW48">
        <f t="shared" si="122"/>
        <v>9.0398594763783482</v>
      </c>
      <c r="NX48">
        <f>各项系数!$M$9*NK48</f>
        <v>2.3892129317105137</v>
      </c>
      <c r="NY48">
        <f t="shared" si="123"/>
        <v>8.0450747385786823</v>
      </c>
    </row>
    <row r="49" spans="1:389" ht="15" hidden="1" customHeight="1">
      <c r="A49" s="74">
        <v>8</v>
      </c>
      <c r="B49" s="70">
        <v>1</v>
      </c>
      <c r="C49" s="67"/>
      <c r="D49" s="58" t="s">
        <v>917</v>
      </c>
      <c r="E49" s="54">
        <f t="shared" si="255"/>
        <v>71.959183799999991</v>
      </c>
      <c r="F49" s="68">
        <f>$F$33</f>
        <v>314.10304232929502</v>
      </c>
      <c r="G49" s="58"/>
      <c r="H49" s="16"/>
      <c r="I49" s="62"/>
      <c r="J49" s="16"/>
      <c r="K49" s="16"/>
      <c r="L49" s="97" t="s">
        <v>467</v>
      </c>
      <c r="M49" s="103">
        <f t="shared" si="2"/>
        <v>2.2000000000000002</v>
      </c>
      <c r="N49" s="103">
        <f t="shared" si="252"/>
        <v>0</v>
      </c>
      <c r="O49" s="53">
        <f t="shared" si="265"/>
        <v>0.08</v>
      </c>
      <c r="P49" s="99">
        <v>0.1</v>
      </c>
      <c r="Q49" s="133">
        <f t="shared" si="253"/>
        <v>0.1</v>
      </c>
      <c r="R49" s="70">
        <v>0.8</v>
      </c>
      <c r="S49" s="142" t="str">
        <f>各项系数!$D$43</f>
        <v>钢带</v>
      </c>
      <c r="T49" s="62">
        <v>0.5</v>
      </c>
      <c r="U49" s="62">
        <v>2</v>
      </c>
      <c r="V49" s="143"/>
      <c r="W49" s="145">
        <v>3.3</v>
      </c>
      <c r="X49" s="135">
        <f t="shared" si="254"/>
        <v>0.2</v>
      </c>
      <c r="Y49" s="135"/>
      <c r="Z49" s="168"/>
      <c r="AA49" s="153">
        <f>$AA$33</f>
        <v>1.02</v>
      </c>
      <c r="AB49" s="153">
        <f>PI()*EJ49*EJ49/4*EH49*(1-H49)*AA49*各项系数!$F$5*各项系数!$J$4*10^-7</f>
        <v>4.2647051993952481</v>
      </c>
      <c r="AC49" s="153">
        <f t="shared" si="256"/>
        <v>314.10304232929502</v>
      </c>
      <c r="AD49" s="153">
        <f t="shared" si="5"/>
        <v>482.13002011127043</v>
      </c>
      <c r="AE49" s="153">
        <f>POWER(4*EU49/PI()/EG49/10^-7/EH49/(1-H49)/各项系数!$F$5/各项系数!$J$4,0.5)</f>
        <v>317.22852271592683</v>
      </c>
      <c r="AF49" s="69">
        <v>1</v>
      </c>
      <c r="AG49" s="69">
        <f>IF(EM49=0,0,PI()*ER49*ER49/4*EP49*(1-K49)*(1+AF49)*各项系数!$F$5*各项系数!$J$4*10^-7)</f>
        <v>0</v>
      </c>
      <c r="AH49" s="69">
        <f t="shared" si="257"/>
        <v>0</v>
      </c>
      <c r="AI49" s="69">
        <f t="shared" si="128"/>
        <v>0</v>
      </c>
      <c r="AJ49" s="69">
        <f>IF(OR(EP49="",EP49=0),0,POWER(4*EW49/PI()/EO49/10^-7/EP49/(1-K49)/各项系数!$F$5/各项系数!$J$4,0.5))</f>
        <v>0</v>
      </c>
      <c r="AK49" s="69" t="str">
        <f t="shared" si="8"/>
        <v>√</v>
      </c>
      <c r="AL49" s="69">
        <f t="shared" si="258"/>
        <v>591.50467816709079</v>
      </c>
      <c r="AM49" s="106">
        <f t="shared" si="259"/>
        <v>500</v>
      </c>
      <c r="AN49" s="97" t="s">
        <v>486</v>
      </c>
      <c r="AO49" s="196">
        <f>AP49+各项系数!$M$9*$NK49</f>
        <v>579.90654722263798</v>
      </c>
      <c r="AP49" s="196">
        <f>AQ49*(1+$BI49+(VLOOKUP($AM49,$A$12:$B$323,2,0))+各项系数!$J$6+各项系数!$M$5)*(1+$E$2)</f>
        <v>576.86644136137295</v>
      </c>
      <c r="AQ49" s="197">
        <f>AR49+各项系数!$L$9*$NK49</f>
        <v>588.63922587895195</v>
      </c>
      <c r="AR49" s="197">
        <f>AS49*(1+$BJ49+各项系数!$J$5+各项系数!$L$5)</f>
        <v>585.59912001768691</v>
      </c>
      <c r="AS49" s="197">
        <f t="shared" si="129"/>
        <v>574.11678433106556</v>
      </c>
      <c r="AT49" s="196">
        <f>AU49+各项系数!$M$9*$NM49</f>
        <v>586.9507987995637</v>
      </c>
      <c r="AU49" s="196">
        <f>AV49*(1+$BI49+(VLOOKUP($AM49,$A$12:$B$323,2,0))+各项系数!$J$6+各项系数!$M$5)*(1+$E$2)</f>
        <v>583.91069293829867</v>
      </c>
      <c r="AV49" s="197">
        <f>AW49+各项系数!$L$9*$NM49</f>
        <v>595.82723769214147</v>
      </c>
      <c r="AW49" s="197">
        <f>AX49*(1+$BJ49+各项系数!$J$5+各项系数!$L$5)</f>
        <v>592.78713183087643</v>
      </c>
      <c r="AX49" s="197">
        <f t="shared" si="130"/>
        <v>581.16385473615333</v>
      </c>
      <c r="AY49" s="196">
        <f>AZ49+各项系数!$M$9*$NS49</f>
        <v>586.15264246225468</v>
      </c>
      <c r="AZ49" s="196">
        <f>BA49*(1+$BI49+(VLOOKUP($AM49,$A$12:$B$214,2,0))+各项系数!$J$6+各项系数!$M$5)*(1+$E$2)</f>
        <v>583.08511431231341</v>
      </c>
      <c r="BA49" s="197">
        <f>BB49+各项系数!$L$9*$NS49</f>
        <v>594.98481052276884</v>
      </c>
      <c r="BB49" s="197">
        <f>BC49*(1+$BJ49+各项系数!$J$5+各项系数!$L$5)</f>
        <v>591.91728237282757</v>
      </c>
      <c r="BC49" s="199">
        <f t="shared" si="131"/>
        <v>580.31106114983095</v>
      </c>
      <c r="BD49" s="196">
        <f>BE49+各项系数!$M$9*$NS49</f>
        <v>593.21330961813044</v>
      </c>
      <c r="BE49" s="196">
        <f>BF49*(1+$BI49+(VLOOKUP($AM49,$A$12:$B$214,2,0))+各项系数!$J$6+各项系数!$M$5)*(1+$E$2)</f>
        <v>590.14578146818917</v>
      </c>
      <c r="BF49" s="197">
        <f>BG49+各项系数!$L$9*$NS49</f>
        <v>602.1895729267236</v>
      </c>
      <c r="BG49" s="197">
        <f>BH49*(1+$BJ49+各项系数!$J$5+各项系数!$L$5)</f>
        <v>599.12204477678233</v>
      </c>
      <c r="BH49" s="199">
        <f t="shared" si="132"/>
        <v>587.37455370272778</v>
      </c>
      <c r="BI49" s="213"/>
      <c r="BJ49" s="208"/>
      <c r="BK49" s="53" t="s">
        <v>514</v>
      </c>
      <c r="BL49" s="196">
        <f>BM49+各项系数!$M$9*$NM49</f>
        <v>586.58380325826192</v>
      </c>
      <c r="BM49" s="196">
        <f>BN49*(1+$CF49+(VLOOKUP($AM49,$A$12:$B$323,2,0))+各项系数!$J$6+各项系数!$M$5)*(1+$E$2)</f>
        <v>583.54369739699689</v>
      </c>
      <c r="BN49" s="197">
        <f>BO49+各项系数!$L$9*$NM49</f>
        <v>595.45275244591517</v>
      </c>
      <c r="BO49" s="197">
        <f>BP49*(1+$CG49+各项系数!$J$5+各项系数!$L$5)</f>
        <v>592.41264658465013</v>
      </c>
      <c r="BP49" s="197">
        <f t="shared" si="133"/>
        <v>575.15790930548553</v>
      </c>
      <c r="BQ49" s="196">
        <f>BR49+各项系数!$M$9*$NM49</f>
        <v>592.646204575978</v>
      </c>
      <c r="BR49" s="196">
        <f>BS49*(1+$CF49+(VLOOKUP($AM49,$A$12:$B$323,2,0))+各项系数!$J$6+各项系数!$M$5)*(1+$E$2)</f>
        <v>589.60609871471297</v>
      </c>
      <c r="BS49" s="197">
        <f>BT49+各项系数!$L$9*$NM49</f>
        <v>601.63887623950302</v>
      </c>
      <c r="BT49" s="197">
        <f>BU49*(1+$CG49+各项系数!$J$5+各项系数!$L$5)</f>
        <v>598.59877037823799</v>
      </c>
      <c r="BU49" s="197">
        <f t="shared" si="134"/>
        <v>581.16385473615333</v>
      </c>
      <c r="BV49" s="196">
        <f>BW49+各项系数!$M$9*$NT49</f>
        <v>589.89497195166791</v>
      </c>
      <c r="BW49" s="196">
        <f>BX49*(1+$CF49+(VLOOKUP($AM49,$A$12:$B$214,2,0))+各项系数!$J$6+各项系数!$M$5)*(1+$E$2)</f>
        <v>586.82744380172664</v>
      </c>
      <c r="BX49" s="197">
        <f>BY49+各项系数!$L$9*$NT$12</f>
        <v>598.80351408339459</v>
      </c>
      <c r="BY49" s="197">
        <f>BZ49*(1+$CG49+各项系数!$J$5+各项系数!$L$5)</f>
        <v>598.79525068023963</v>
      </c>
      <c r="BZ49" s="199">
        <f t="shared" si="11"/>
        <v>581.35461231091222</v>
      </c>
      <c r="CA49" s="196">
        <f>CB49+各项系数!$M$9*$NT49</f>
        <v>595.97150079256653</v>
      </c>
      <c r="CB49" s="196">
        <f>CC49*(1+$CF49+(VLOOKUP($AM49,$A$12:$B$214,2,0))+各项系数!$J$6+各项系数!$M$5)*(1+$E$2)</f>
        <v>592.90397264262526</v>
      </c>
      <c r="CC49" s="197">
        <f>CD49+各项系数!$L$9*$NT$12</f>
        <v>605.00405371696456</v>
      </c>
      <c r="CD49" s="197">
        <f>CE49*(1+$CG49+各项系数!$J$5+各项系数!$L$5)</f>
        <v>604.99579031380961</v>
      </c>
      <c r="CE49" s="199">
        <f t="shared" si="135"/>
        <v>587.37455370272778</v>
      </c>
      <c r="CF49" s="213">
        <f t="shared" si="136"/>
        <v>0</v>
      </c>
      <c r="CG49" s="213">
        <f t="shared" si="12"/>
        <v>0.01</v>
      </c>
      <c r="CH49" s="106"/>
      <c r="CI49" s="196">
        <f>CJ49+各项系数!$M$9*$NO49</f>
        <v>585.74389312275582</v>
      </c>
      <c r="CJ49" s="196">
        <f>CK49*(1+$DC49+(VLOOKUP($AM49,$A$12:$B$323,2,0))+各项系数!$J$6+各项系数!$M$5)*(1+$E$2)+各项系数!$M$9*$NK49</f>
        <v>582.57135554213653</v>
      </c>
      <c r="CK49" s="197">
        <f>CL49+各项系数!$L$9*$NO49</f>
        <v>591.35841804170559</v>
      </c>
      <c r="CL49" s="197">
        <f>CM49*(1+$DD49+各项系数!$J$5+各项系数!$L$5)</f>
        <v>588.1858804610863</v>
      </c>
      <c r="CM49" s="197">
        <f t="shared" si="13"/>
        <v>576.65282398145712</v>
      </c>
      <c r="CN49" s="196">
        <f>CO49+各项系数!$M$9*$NO49</f>
        <v>592.59698512793364</v>
      </c>
      <c r="CO49" s="196">
        <f>CP49*(1+$DC49+(VLOOKUP($AM49,$A$12:$B$323,2,0))+各项系数!$J$6+各项系数!$M$5)*(1+$E$2)+各项系数!$M$9*$NK49</f>
        <v>589.42444754731434</v>
      </c>
      <c r="CP49" s="197">
        <f>CQ49+各项系数!$L$9*$NO49</f>
        <v>598.35136906739729</v>
      </c>
      <c r="CQ49" s="197">
        <f>CR49*(1+$DD49+各项系数!$J$5+各项系数!$L$5)</f>
        <v>595.17883148677799</v>
      </c>
      <c r="CR49" s="197">
        <f t="shared" si="14"/>
        <v>583.50865832037061</v>
      </c>
      <c r="CS49" s="196">
        <f>CT49+各项系数!$M$9*$NU49</f>
        <v>589.06979011284102</v>
      </c>
      <c r="CT49" s="196">
        <f t="shared" si="15"/>
        <v>585.86930176008764</v>
      </c>
      <c r="CU49" s="197">
        <f>CV49+各项系数!$L$9*$NU49</f>
        <v>597.82581812253841</v>
      </c>
      <c r="CV49" s="197">
        <f>CW49*(1+$DD49+各项系数!$J$5+各项系数!$L$5)</f>
        <v>594.62532976978503</v>
      </c>
      <c r="CW49" s="199">
        <f t="shared" si="16"/>
        <v>582.96600957822056</v>
      </c>
      <c r="CX49" s="196">
        <f>CY49+各项系数!$M$9*$NU49</f>
        <v>596.25984759109008</v>
      </c>
      <c r="CY49" s="196">
        <f t="shared" si="17"/>
        <v>593.0593592383367</v>
      </c>
      <c r="CZ49" s="197">
        <f>DA49+各项系数!$L$9*$NU49</f>
        <v>605.16261146769057</v>
      </c>
      <c r="DA49" s="197">
        <f>DB49*(1+$DD49+各项系数!$J$5+各项系数!$L$5)</f>
        <v>601.96212311493719</v>
      </c>
      <c r="DB49" s="199">
        <f t="shared" si="18"/>
        <v>590.15894423033058</v>
      </c>
      <c r="DC49" s="213">
        <f t="shared" si="137"/>
        <v>0</v>
      </c>
      <c r="DD49" s="213">
        <f t="shared" si="19"/>
        <v>0</v>
      </c>
      <c r="DE49" s="53" t="s">
        <v>498</v>
      </c>
      <c r="DF49" s="53" t="s">
        <v>513</v>
      </c>
      <c r="DG49" s="196">
        <f>DH49+各项系数!$M$9*$NQ49</f>
        <v>592.46530571547316</v>
      </c>
      <c r="DH49" s="196">
        <f>DI49*(1+$EA49+(VLOOKUP($AM49,$A$12:$B$323,2,0))+各项系数!$J$6+各项系数!$M$5)*(1+$E$2)+各项系数!$M$9*$NK49</f>
        <v>589.29276813485387</v>
      </c>
      <c r="DI49" s="197">
        <f>DJ49+各项系数!$L$9*$NQ49</f>
        <v>598.21700231998864</v>
      </c>
      <c r="DJ49" s="197">
        <f>DK49*(1+$EB49+各项系数!$J$5+各项系数!$L$5)</f>
        <v>595.04446473936935</v>
      </c>
      <c r="DK49" s="197">
        <f t="shared" si="20"/>
        <v>577.71307256249452</v>
      </c>
      <c r="DL49" s="196">
        <f>DM49+各项系数!$M$9*$NQ49</f>
        <v>598.63906251961544</v>
      </c>
      <c r="DM49" s="196">
        <f>DN49*(1+$EA49+(VLOOKUP($AM49,$A$12:$B$323,2,0))+各项系数!$J$6+各项系数!$M$5)*(1+$E$2)+各项系数!$M$9*$NK49</f>
        <v>595.46652493899614</v>
      </c>
      <c r="DN49" s="197">
        <f>DO49+各项系数!$L$9*$NQ49</f>
        <v>604.51675416095009</v>
      </c>
      <c r="DO49" s="197">
        <f>DP49*(1+$EB49+各项系数!$J$5+各项系数!$L$5)</f>
        <v>601.34421658033079</v>
      </c>
      <c r="DP49" s="197">
        <f t="shared" si="21"/>
        <v>583.82933648575806</v>
      </c>
      <c r="DQ49" s="196">
        <f>DR49+各项系数!$M$9*$NV49</f>
        <v>595.85552091722263</v>
      </c>
      <c r="DR49" s="196">
        <f t="shared" si="22"/>
        <v>592.65503256446925</v>
      </c>
      <c r="DS49" s="197">
        <f>DT49+各项系数!$L$9*$NV49</f>
        <v>604.75003322905025</v>
      </c>
      <c r="DT49" s="197">
        <f>DU49*(1+$EB49+各项系数!$J$5+各项系数!$L$5)</f>
        <v>601.54954487629686</v>
      </c>
      <c r="DU49" s="199">
        <f t="shared" si="23"/>
        <v>584.02868434591926</v>
      </c>
      <c r="DV49" s="196">
        <f>DW49+各项系数!$M$9*$NV49</f>
        <v>597.2037671191863</v>
      </c>
      <c r="DW49" s="196">
        <f t="shared" si="24"/>
        <v>594.00327876643291</v>
      </c>
      <c r="DX49" s="197">
        <f>DY49+各项系数!$L$9*$NV49</f>
        <v>606.1257946596254</v>
      </c>
      <c r="DY49" s="197">
        <f>DZ49*(1+$EB49+各项系数!$J$5+各项系数!$L$5)</f>
        <v>602.92530630687202</v>
      </c>
      <c r="DZ49" s="199">
        <f t="shared" si="25"/>
        <v>585.36437505521553</v>
      </c>
      <c r="EA49" s="213">
        <f t="shared" si="230"/>
        <v>0</v>
      </c>
      <c r="EB49" s="213">
        <f t="shared" si="27"/>
        <v>0.01</v>
      </c>
      <c r="EC49" s="235">
        <f t="shared" si="138"/>
        <v>2</v>
      </c>
      <c r="ED49" s="237" t="str">
        <f t="shared" si="260"/>
        <v>2*500</v>
      </c>
      <c r="EE49" s="189">
        <f t="shared" si="239"/>
        <v>500</v>
      </c>
      <c r="EF49" s="78" t="str">
        <f>LOOKUP(EH49,{1,7,10,14,19,24,30,37,48,61},{1,"1+6","2+8","4+10","1+6+12","2+8+14","4+10+16","1+6+12+18","3+9+15+21","1+6+12+18+24"})</f>
        <v>1+6+12+18+24</v>
      </c>
      <c r="EG49" s="188">
        <f t="shared" si="29"/>
        <v>2</v>
      </c>
      <c r="EH49" s="197">
        <f>VLOOKUP(EE49,各项系数!$B$87:$C$124,2,0)</f>
        <v>61</v>
      </c>
      <c r="EI49" s="188">
        <f>IF(EH49=0,0,VLOOKUP(EH49,各项系数!$D$142:$E$195,2,0))*1</f>
        <v>9</v>
      </c>
      <c r="EJ49" s="238">
        <f t="shared" si="141"/>
        <v>314.10304232929502</v>
      </c>
      <c r="EK49" s="78">
        <f t="shared" si="261"/>
        <v>0</v>
      </c>
      <c r="EL49" s="189">
        <f t="shared" si="31"/>
        <v>0</v>
      </c>
      <c r="EM49" s="78">
        <f t="shared" si="262"/>
        <v>0</v>
      </c>
      <c r="EN49" s="78">
        <f>IF(EP49=0,0,LOOKUP(EP49,{1,7,10,14,19,24,30,37,48,61},{1,"1+6","2+8","4+10","1+6+12","2+8+14","4+10+16","1+6+12+18","3+9+15+21","1+6+12+18+24"}))</f>
        <v>0</v>
      </c>
      <c r="EO49" s="78">
        <f t="shared" si="263"/>
        <v>0</v>
      </c>
      <c r="EP49" s="78">
        <f>IF(EM49=0,0,IF(EM49&lt;10,1,IF(AND(EM49&gt;=10,EM49&lt;=35),7,LOOKUP(EM49,{50,70,95,120,150,185,240,300},{10,14,19,24,30,37,48,61})*1)))</f>
        <v>0</v>
      </c>
      <c r="EQ49" s="189">
        <f>IF(EP49=0,0,VLOOKUP(EP49,各项系数!$D$142:$E$195,2,0))*1</f>
        <v>0</v>
      </c>
      <c r="ER49" s="78">
        <f t="shared" si="264"/>
        <v>0</v>
      </c>
      <c r="ES49" s="237">
        <f t="shared" si="250"/>
        <v>2</v>
      </c>
      <c r="ET49" s="189">
        <f>VLOOKUP(ES49,各项系数!$D$142:$E$195,2,0)*1</f>
        <v>2</v>
      </c>
      <c r="EU49" s="243">
        <f>((各项系数!$F$76/4*$EJ49^2*$EG49*$EH49*1*10^-7)*(1-$H49)*AA49)*(VLOOKUP($EY$9,各项系数!$D$4:$F$143,3,0))*各项系数!$J$4</f>
        <v>8.5294103987904943</v>
      </c>
      <c r="EV49" s="244">
        <f>EU49*(VLOOKUP($EY$9,各项系数!$D$4:$F$143,2,0))</f>
        <v>558.67638112077736</v>
      </c>
      <c r="EW49" s="252">
        <f>(IF($EO49=0,0,(各项系数!$F$76/4*$ER49^2*$EO49*$EP49*1*10^-7))*(1-$K49)*$AF49)*(VLOOKUP($EY$9,各项系数!$D$4:$F$143,3,0))*各项系数!$J$4</f>
        <v>0</v>
      </c>
      <c r="EX49" s="253">
        <f>EW49*(VLOOKUP($EY$9,各项系数!$D$4:$F$143,2,0))</f>
        <v>0</v>
      </c>
      <c r="EY49" s="189">
        <f>((各项系数!$F$76/4*$EJ49^2*$EG49*$EH49*1*10^-7)*(1-$H49)*AA49+IF($EO49=0,0,(各项系数!$F$76/4*$ER49^2*$EO49*$EP49*1*10^-7))*(1-$K49)*$AF49)*(VLOOKUP($EY$9,各项系数!$D$4:$F$143,3,0))*各项系数!$J$4</f>
        <v>8.5294103987904943</v>
      </c>
      <c r="EZ49" s="102">
        <v>1</v>
      </c>
      <c r="FA49" s="189">
        <f t="shared" si="188"/>
        <v>8.5294103987904943</v>
      </c>
      <c r="FB49" s="254">
        <f>FA49*(VLOOKUP($EY$9,各项系数!$D$4:$F$143,2,0))</f>
        <v>558.67638112077736</v>
      </c>
      <c r="FC49" s="257"/>
      <c r="FD49" s="235">
        <f>各项系数!$F$76/4*($MN49^2-MK49^2)*10^-2*(VLOOKUP(L49,各项系数!$D$1:$F$143,3,0))*10^-3*10^2*$EG49*各项系数!$J$4</f>
        <v>0.4609782323411733</v>
      </c>
      <c r="FE49" s="262">
        <f>FD49*VLOOKUP(L49,各项系数!$D$1:$F$143,2,0)</f>
        <v>4.7019779698799677</v>
      </c>
      <c r="FF49" s="188">
        <f>各项系数!$F$76/4*($MO49^2-ML49^2)*10^-2*(VLOOKUP(L49,各项系数!$D$1:$F$143,3,0))*10^-3*10^2*$EO49*各项系数!$J$4</f>
        <v>0</v>
      </c>
      <c r="FG49" s="262">
        <f>FF49*VLOOKUP(L49,各项系数!$D$1:$F$143,2,0)</f>
        <v>0</v>
      </c>
      <c r="FH49" s="235">
        <f t="shared" si="142"/>
        <v>0.4609782323411733</v>
      </c>
      <c r="FI49" s="102">
        <v>1</v>
      </c>
      <c r="FJ49" s="189">
        <f t="shared" si="189"/>
        <v>0.4609782323411733</v>
      </c>
      <c r="FK49" s="262">
        <f>FJ49*VLOOKUP(L49,各项系数!$D$1:$F$143,2,0)</f>
        <v>4.7019779698799677</v>
      </c>
      <c r="FL49" s="237"/>
      <c r="FM49" s="106"/>
      <c r="FN49" s="189"/>
      <c r="FO49" s="262"/>
      <c r="FP49" s="282">
        <f t="shared" si="190"/>
        <v>0.4609782323411733</v>
      </c>
      <c r="FQ49" s="282">
        <f t="shared" si="191"/>
        <v>4.7019779698799677</v>
      </c>
      <c r="FR49" s="283">
        <f>各项系数!$F$76/4*($MQ49^2-$MN49^2*$EG49-$MO49^2*$EO49)*10^-2</f>
        <v>16.764817802365581</v>
      </c>
      <c r="FS49" s="284">
        <f t="shared" si="143"/>
        <v>0.05</v>
      </c>
      <c r="FT49" s="285">
        <f t="shared" si="40"/>
        <v>0.83824089011827907</v>
      </c>
      <c r="FU49" s="302">
        <f>$FT49*(VLOOKUP($FT$9,各项系数!$D$1:$F$143,3,0))*10^-3*10^2*各项系数!$J$55</f>
        <v>0.10008596228012251</v>
      </c>
      <c r="FV49" s="303">
        <v>1</v>
      </c>
      <c r="FW49" s="304">
        <f t="shared" si="192"/>
        <v>0.10008596228012251</v>
      </c>
      <c r="FX49" s="285">
        <f>FW49*(VLOOKUP($FT$9,各项系数!$D$1:$F$143,2,0))</f>
        <v>0.30025788684036753</v>
      </c>
      <c r="FY49" s="302">
        <f>IF($BK49&lt;&gt;$FY$9,0,各项系数!$F$76/4*($MS49^2-$MQ49^2)*10^-2*(VLOOKUP($FY$9,各项系数!$D$1:$F$143,3,0))*10^-3*10^2)*各项系数!$J$4</f>
        <v>0</v>
      </c>
      <c r="FZ49" s="303">
        <v>1</v>
      </c>
      <c r="GA49" s="304">
        <f t="shared" si="193"/>
        <v>0</v>
      </c>
      <c r="GB49" s="285">
        <f>GA49*(VLOOKUP($FY$9,各项系数!$D$1:$F$143,2,0))</f>
        <v>0</v>
      </c>
      <c r="GC49" s="302">
        <f>IF($BK49&lt;&gt;$GC$9,0,各项系数!$F$76/4*($MS49^2-$MQ49^2)*10^-2*(VLOOKUP($GC$9,各项系数!$D$1:$F$143,3,0))*10^-3*10^2)*各项系数!$J$4</f>
        <v>2.0866363851147732E-3</v>
      </c>
      <c r="GD49" s="303">
        <v>1</v>
      </c>
      <c r="GE49" s="304">
        <f t="shared" si="194"/>
        <v>2.0866363851147732E-3</v>
      </c>
      <c r="GF49" s="285">
        <f>GE49*(VLOOKUP($GC$9,各项系数!$D$1:$F$143,2,0))</f>
        <v>2.6917609367980575E-2</v>
      </c>
      <c r="GG49" s="302">
        <f>IF($BK49&lt;&gt;$GG$9,0,各项系数!$F$76/4*($MS49^2-$MQ49^2)*10^-2*(VLOOKUP($GG$9,各项系数!$D$1:$F$143,3,0))*10^-3*10^2)*各项系数!$J$4</f>
        <v>0</v>
      </c>
      <c r="GH49" s="303">
        <v>1</v>
      </c>
      <c r="GI49" s="304">
        <f t="shared" si="195"/>
        <v>0</v>
      </c>
      <c r="GJ49" s="285">
        <f>GI49*(VLOOKUP($GG$9,各项系数!$D$1:$F$143,2,0))</f>
        <v>0</v>
      </c>
      <c r="GK49" s="302">
        <f>IF($BK49&lt;&gt;$GK$9,0,各项系数!$F$76/4*($MS49^2-$MQ49^2)*10^-2*(VLOOKUP($GK$9,各项系数!$D$1:$F$143,3,0))*10^-3*10^2)*各项系数!$J$4</f>
        <v>0</v>
      </c>
      <c r="GL49" s="303">
        <v>1</v>
      </c>
      <c r="GM49" s="304">
        <f t="shared" si="196"/>
        <v>0</v>
      </c>
      <c r="GN49" s="285">
        <f>GM49*(VLOOKUP($GK$9,各项系数!$D$1:$F$143,2,0))</f>
        <v>0</v>
      </c>
      <c r="GO49" s="304">
        <f t="shared" si="197"/>
        <v>2.0866363851147732E-3</v>
      </c>
      <c r="GP49" s="304">
        <f t="shared" si="198"/>
        <v>2.6917609367980575E-2</v>
      </c>
      <c r="GQ49" s="315">
        <f>各项系数!$F$76/4*($MU49^2-$MS49^2)*10^-2*(VLOOKUP($S49,各项系数!$D$1:$F$143,3,0))*10^-3*10^2*各项系数!$J$4</f>
        <v>1.2120004056339988</v>
      </c>
      <c r="GR49" s="303">
        <v>1</v>
      </c>
      <c r="GS49" s="304">
        <f t="shared" si="199"/>
        <v>1.2120004056339988</v>
      </c>
      <c r="GT49" s="304">
        <f t="shared" si="200"/>
        <v>0</v>
      </c>
      <c r="GU49" s="304">
        <f>ROUND($GS49*(VLOOKUP($S49,各项系数!$D$1:$F$143,2,0))+$E$3*GS49,GT49)</f>
        <v>7</v>
      </c>
      <c r="GV49" s="315">
        <f>各项系数!$F$76/4*($MT49^2-$MS49^2)*10^-2*(VLOOKUP($GV$9,各项系数!$D$1:$F$143,3,0))*10^-3*10^2*各项系数!$J$4*PI()/4*R49</f>
        <v>9.1407628920785494E-2</v>
      </c>
      <c r="GW49" s="303">
        <v>1</v>
      </c>
      <c r="GX49" s="304">
        <f t="shared" si="201"/>
        <v>9.1407628920785494E-2</v>
      </c>
      <c r="GY49" s="304">
        <f>$GX49*(VLOOKUP($GV$9,各项系数!$D$1:$F$143,2,0))</f>
        <v>6.1700149521530205</v>
      </c>
      <c r="GZ49" s="315">
        <f>各项系数!$F$76/4*($MV49^2-$MS49^2)*10^-2*(VLOOKUP($GZ$9,各项系数!$D$1:$F$143,3,0))*10^-3*10^2*各项系数!$J$4</f>
        <v>1.0269600087816289</v>
      </c>
      <c r="HA49" s="303">
        <v>1</v>
      </c>
      <c r="HB49" s="304">
        <f t="shared" si="144"/>
        <v>1.0269600087816289</v>
      </c>
      <c r="HC49" s="304">
        <f>HB49*(VLOOKUP($GZ$9,各项系数!$D$1:$F$143,2,0))</f>
        <v>17.45832014928769</v>
      </c>
      <c r="HD49" s="315">
        <f>各项系数!$F$76/4*($MW49^2-$MT49^2)*10^-2*(VLOOKUP($HD$9,各项系数!$D$1:$F$143,3,0))*10^-3*10^2*各项系数!$J$4</f>
        <v>1.0293531861005385</v>
      </c>
      <c r="HE49" s="303">
        <v>1</v>
      </c>
      <c r="HF49" s="304">
        <f t="shared" si="145"/>
        <v>1.0293531861005385</v>
      </c>
      <c r="HG49" s="304">
        <f>HF49*(VLOOKUP($HD$9,各项系数!$D$1:$F$143,2,0))</f>
        <v>17.499004163709156</v>
      </c>
      <c r="HH49" s="315">
        <f>各项系数!$F$76/4*($MV49^2-$MS49^2)*10^-2*(VLOOKUP($HH$9,各项系数!$D$1:$F$143,3,0))*10^-3*10^2*各项系数!$J$4</f>
        <v>1.0269600087816289</v>
      </c>
      <c r="HI49" s="322">
        <v>1</v>
      </c>
      <c r="HJ49" s="304">
        <f t="shared" si="146"/>
        <v>1.0269600087816289</v>
      </c>
      <c r="HK49" s="304">
        <f>HJ49*(VLOOKUP($HH$9,各项系数!$D$1:$F$143,2,0))</f>
        <v>17.45832014928769</v>
      </c>
      <c r="HL49" s="315">
        <f>各项系数!$F$76/4*($MW49^2-$MT49^2)*10^-2*(VLOOKUP($HL$9,各项系数!$D$1:$F$143,3,0))*10^-3*10^2*各项系数!$J$4</f>
        <v>1.0293531861005385</v>
      </c>
      <c r="HM49" s="322">
        <v>1</v>
      </c>
      <c r="HN49" s="304">
        <f t="shared" si="147"/>
        <v>1.0293531861005385</v>
      </c>
      <c r="HO49" s="304">
        <f>HN49*(VLOOKUP($HL$9,各项系数!$D$1:$F$143,2,0))</f>
        <v>17.499004163709156</v>
      </c>
      <c r="HP49" s="315">
        <f>各项系数!$F$76/4*($MV49^2-$MS49^2)*10^-2*(VLOOKUP(AN49,各项系数!$D$1:$F$143,3,0))*10^-3*10^2*各项系数!$J$4</f>
        <v>1.0411249744199962</v>
      </c>
      <c r="HQ49" s="303">
        <v>1</v>
      </c>
      <c r="HR49" s="304">
        <f t="shared" si="202"/>
        <v>1.0411249744199962</v>
      </c>
      <c r="HS49" s="304">
        <f>HR49*(VLOOKUP(AN49,各项系数!$D$1:$F$143,2,0))</f>
        <v>10.411249744199962</v>
      </c>
      <c r="HT49" s="315">
        <f>各项系数!$F$76/4*($MW49^2-$MT49^2)*10^-2*(VLOOKUP(AN49,各项系数!$D$1:$F$143,3,0))*10^-3*10^2*各项系数!$J$4</f>
        <v>1.0435511610812354</v>
      </c>
      <c r="HU49" s="303">
        <v>1</v>
      </c>
      <c r="HV49" s="304">
        <f t="shared" si="203"/>
        <v>1.0435511610812354</v>
      </c>
      <c r="HW49" s="304">
        <f>HV49*(VLOOKUP(AN49,各项系数!$D$1:$F$143,2,0))</f>
        <v>10.435511610812354</v>
      </c>
      <c r="HX49" s="315">
        <f>各项系数!$F$76/4*($MV49^2-$MS49^2)*10^-2*(VLOOKUP($HX$9,各项系数!$D$1:$F$143,3,0))*10^-3*10^2*各项系数!$J$4</f>
        <v>1.0411249744199962</v>
      </c>
      <c r="HY49" s="322">
        <v>1</v>
      </c>
      <c r="HZ49" s="304">
        <f t="shared" si="204"/>
        <v>1.0411249744199962</v>
      </c>
      <c r="IA49" s="304">
        <f>HZ49*(VLOOKUP($HX$9,各项系数!$D$1:$F$143,2,0))</f>
        <v>11.452374718619957</v>
      </c>
      <c r="IB49" s="315">
        <f>各项系数!$F$76/4*($MW49^2-$MT49^2)*10^-2*(VLOOKUP($IB$9,各项系数!$D$1:$F$143,3,0))*10^-3*10^2*各项系数!$J$4</f>
        <v>1.0435511610812354</v>
      </c>
      <c r="IC49" s="322">
        <v>1</v>
      </c>
      <c r="ID49" s="304">
        <f t="shared" si="205"/>
        <v>1.0435511610812354</v>
      </c>
      <c r="IE49" s="304">
        <f>ID49*(VLOOKUP($IB$9,各项系数!$D$1:$F$143,2,0))</f>
        <v>11.479062771893588</v>
      </c>
      <c r="IF49" s="309"/>
      <c r="IG49" s="315">
        <f t="shared" si="148"/>
        <v>8.0373829970263877E-2</v>
      </c>
      <c r="IH49" s="303">
        <v>1</v>
      </c>
      <c r="II49" s="304">
        <f t="shared" si="206"/>
        <v>8.0373829970263877E-2</v>
      </c>
      <c r="IJ49" s="304">
        <f>II49*(VLOOKUP($IG$8,各项系数!$D$1:$F$143,2,0))</f>
        <v>2.0093457492565969</v>
      </c>
      <c r="IK49" s="315">
        <f>(各项系数!$F$76/4*($MX49^2-$MK49^2)*$EG49)*10^-2*(VLOOKUP($IG$8,各项系数!$D$1:$F$143,3,0))*10^-3*10^2*各项系数!$J$4</f>
        <v>8.0373829970263877E-2</v>
      </c>
      <c r="IL49" s="303">
        <f>IK49*(VLOOKUP($IG$8,各项系数!$D$1:$F$143,2,0))</f>
        <v>2.0093457492565969</v>
      </c>
      <c r="IM49" s="304">
        <f>(各项系数!$F$76/4*(($MM49+3*$X49)^2-MM49^2)*$EO49)*10^-2*(VLOOKUP($IG$8,各项系数!$D$1:$F$143,3,0))*10^-3*10^2*各项系数!$J$4</f>
        <v>0</v>
      </c>
      <c r="IN49" s="303">
        <f>IM49*(VLOOKUP($IG$8,各项系数!$D$1:$F$143,2,0))</f>
        <v>0</v>
      </c>
      <c r="IO49" s="315">
        <f>各项系数!$F$76/4*($MZ49^2-$MX49^2)*10^-2*(VLOOKUP(L49,各项系数!$D$1:$F$143,3,0))*10^-3*10^2*$ES49*各项系数!$J$4</f>
        <v>0.47005580148186832</v>
      </c>
      <c r="IP49" s="303">
        <v>1</v>
      </c>
      <c r="IQ49" s="304">
        <f t="shared" si="207"/>
        <v>0.47005580148186832</v>
      </c>
      <c r="IR49" s="285">
        <f>IQ49*(VLOOKUP(L49,各项系数!$D$1:$F$143,2,0))</f>
        <v>4.7945691751150568</v>
      </c>
      <c r="IS49" s="315">
        <f>IF($L49&lt;&gt;$IS$9,0,各项系数!$F$76/4*($MZ49^2-$MX49^2)*10^-2*各项系数!$F$12*10^-3*10^2)*$ES49*各项系数!$J$4</f>
        <v>0</v>
      </c>
      <c r="IT49" s="310">
        <v>1</v>
      </c>
      <c r="IU49" s="304">
        <f t="shared" si="208"/>
        <v>0</v>
      </c>
      <c r="IV49" s="285">
        <f>IU49*各项系数!$E$12</f>
        <v>0</v>
      </c>
      <c r="IW49" s="302">
        <f t="shared" si="209"/>
        <v>0.47005580148186832</v>
      </c>
      <c r="IX49" s="302">
        <f t="shared" si="210"/>
        <v>4.7945691751150568</v>
      </c>
      <c r="IY49" s="339">
        <f>各项系数!$F$76/4*($NB49^2-$MZ49^2*$EG49-$NA49^2*$EO49)*10^-2</f>
        <v>17.386273972174219</v>
      </c>
      <c r="IZ49" s="284">
        <f t="shared" si="231"/>
        <v>0.05</v>
      </c>
      <c r="JA49" s="285">
        <f t="shared" si="64"/>
        <v>0.86931369860871099</v>
      </c>
      <c r="JB49" s="282">
        <f>IF($DE49&lt;&gt;$JB$9,0,$JA49*各项系数!$F$32*10^-3*10^2)*各项系数!$J$4</f>
        <v>0</v>
      </c>
      <c r="JC49" s="102">
        <v>1</v>
      </c>
      <c r="JD49" s="189">
        <f t="shared" si="211"/>
        <v>0</v>
      </c>
      <c r="JE49" s="262">
        <f>JD49*各项系数!$E$32</f>
        <v>0</v>
      </c>
      <c r="JF49" s="282">
        <f>IF($DE49&lt;&gt;$JF$9,0,$JA49*VLOOKUP($JF$9,各项系数!$D$4:$F$540,2,0)*10^-3*10^2)*各项系数!$J$4</f>
        <v>0.4324835650578337</v>
      </c>
      <c r="JG49" s="102">
        <v>1</v>
      </c>
      <c r="JH49" s="189">
        <f t="shared" si="66"/>
        <v>0.4324835650578337</v>
      </c>
      <c r="JI49" s="262">
        <f>JH49*VLOOKUP($JF$9,各项系数!$D$4:$F$540,3,0)</f>
        <v>0.51898027806940039</v>
      </c>
      <c r="JJ49" s="282">
        <f t="shared" si="212"/>
        <v>0.4324835650578337</v>
      </c>
      <c r="JK49" s="189">
        <f t="shared" si="213"/>
        <v>0.51898027806940039</v>
      </c>
      <c r="JL49" s="282">
        <f>IF($DF49&lt;&gt;$JL$9,0,各项系数!$F$76/4*($NE49^2-$NC49^2)*10^-2*各项系数!$F$39*10^-3*10^2)*各项系数!$J$4</f>
        <v>2.5530923932265189E-3</v>
      </c>
      <c r="JM49" s="102">
        <v>1</v>
      </c>
      <c r="JN49" s="189">
        <f t="shared" si="214"/>
        <v>2.5530923932265189E-3</v>
      </c>
      <c r="JO49" s="262">
        <f>JN49*各项系数!$E$39</f>
        <v>5.1061847864530378E-2</v>
      </c>
      <c r="JP49" s="282">
        <f>IF($DF49&lt;&gt;$JP$9,0,各项系数!$F$76/4*($NE49^2-$NC49^2)*10^-2*各项系数!$F$36*10^-3*10^2)*各项系数!$J$4</f>
        <v>0</v>
      </c>
      <c r="JQ49" s="102">
        <v>1</v>
      </c>
      <c r="JR49" s="189">
        <f t="shared" si="215"/>
        <v>0</v>
      </c>
      <c r="JS49" s="262">
        <f>JR49*各项系数!$E$36</f>
        <v>0</v>
      </c>
      <c r="JT49" s="282">
        <f>IF($DF49&lt;&gt;$JT$9,0,各项系数!$F$76/4*($NE49^2-$NC49^2)*10^-2*各项系数!$F$40*10^-3*10^2)*各项系数!$J$4</f>
        <v>0</v>
      </c>
      <c r="JU49" s="102">
        <v>1</v>
      </c>
      <c r="JV49" s="189">
        <f t="shared" si="216"/>
        <v>0</v>
      </c>
      <c r="JW49" s="262">
        <f>JV49*各项系数!$E$40</f>
        <v>0</v>
      </c>
      <c r="JX49" s="282">
        <f>IF($DF49&lt;&gt;$JX$9,0,各项系数!$F$76/4*($NE49^2-$NC49^2)*10^-2*各项系数!$F$38*10^-3*10^2)*各项系数!$J$4</f>
        <v>0</v>
      </c>
      <c r="JY49" s="102">
        <v>1</v>
      </c>
      <c r="JZ49" s="189">
        <f t="shared" si="217"/>
        <v>0</v>
      </c>
      <c r="KA49" s="262">
        <f>JZ49*各项系数!$E$38</f>
        <v>0</v>
      </c>
      <c r="KB49" s="282">
        <f>IF($DF49&lt;&gt;$KB$9,0,各项系数!$F$76/4*($NE49^2-$NC49^2)*10^-2*各项系数!$F$41*10^-3*10^2)*各项系数!$J$4</f>
        <v>0</v>
      </c>
      <c r="KC49" s="102">
        <v>1</v>
      </c>
      <c r="KD49" s="189">
        <f t="shared" si="218"/>
        <v>0</v>
      </c>
      <c r="KE49" s="262">
        <f>KD49*各项系数!$E$41</f>
        <v>0</v>
      </c>
      <c r="KF49" s="189">
        <f t="shared" si="219"/>
        <v>2.5530923932265189E-3</v>
      </c>
      <c r="KG49" s="189">
        <f t="shared" si="220"/>
        <v>5.1061847864530378E-2</v>
      </c>
      <c r="KH49" s="235">
        <f>各项系数!$F$76/4*($NG49^2-$NE49^2)*10^-2*各项系数!$F$44*10^-3*10^2*各项系数!$J$4*0.75*$U49</f>
        <v>1.8526821028267562</v>
      </c>
      <c r="KI49" s="102">
        <v>1</v>
      </c>
      <c r="KJ49" s="189">
        <f t="shared" si="221"/>
        <v>1.8526821028267562</v>
      </c>
      <c r="KK49" s="189">
        <f>ROUND(KJ49*各项系数!$E$43,GT49)</f>
        <v>11</v>
      </c>
      <c r="KL49" s="235">
        <f>各项系数!$F$76/4*($NF49^2-$NE49^2)*10^-2*各项系数!$F$46*10^-3*10^2*各项系数!$J$4*PI()/4*R49</f>
        <v>9.316924044668197E-2</v>
      </c>
      <c r="KM49" s="102">
        <v>1</v>
      </c>
      <c r="KN49" s="189">
        <f t="shared" si="222"/>
        <v>9.316924044668197E-2</v>
      </c>
      <c r="KO49" s="189">
        <f>KN49*各项系数!$E$46</f>
        <v>6.2889237301510326</v>
      </c>
      <c r="KP49" s="235">
        <f>各项系数!$F$76/4*($NH49^2-$NE49^2)*10^-2*(VLOOKUP($KP$9,各项系数!$D$1:$F$143,3,0))*10^-3*10^2*各项系数!$J$4</f>
        <v>1.0458234302750093</v>
      </c>
      <c r="KQ49" s="102">
        <v>1</v>
      </c>
      <c r="KR49" s="189">
        <f t="shared" si="150"/>
        <v>1.0458234302750093</v>
      </c>
      <c r="KS49" s="189">
        <f>KR49*(VLOOKUP($KP$9,各项系数!$D$1:$F$143,2,0))</f>
        <v>17.77899831467516</v>
      </c>
      <c r="KT49" s="235">
        <f>各项系数!$F$76/4*($NI49^2-$NF49^2)*10^-2*(VLOOKUP($KT$9,各项系数!$D$1:$F$143,3,0))*10^-3*10^2*各项系数!$J$4</f>
        <v>1.0482166075939192</v>
      </c>
      <c r="KU49" s="102">
        <v>1</v>
      </c>
      <c r="KV49" s="189">
        <f t="shared" si="151"/>
        <v>1.0482166075939192</v>
      </c>
      <c r="KW49" s="189">
        <f>KV49*(VLOOKUP($KT$9,各项系数!$D$1:$F$143,2,0))</f>
        <v>17.819682329096626</v>
      </c>
      <c r="KX49" s="189">
        <f>各项系数!$F$76/4*($NH49^2-$NE49^2)*10^-2*(VLOOKUP($KX$9,各项系数!$D$1:$F$143,3,0))*10^-3*10^2*各项系数!$J$4</f>
        <v>1.0458234302750093</v>
      </c>
      <c r="KY49" s="353">
        <v>1</v>
      </c>
      <c r="KZ49" s="189">
        <f t="shared" si="152"/>
        <v>1.0458234302750093</v>
      </c>
      <c r="LA49" s="189">
        <f>KZ49*(VLOOKUP($KX$9,各项系数!$D$1:$F$143,2,0))</f>
        <v>17.77899831467516</v>
      </c>
      <c r="LB49" s="189">
        <f>各项系数!$F$76/4*($NI49^2-$NF49^2)*10^-2*(VLOOKUP($LB$9,各项系数!$D$1:$F$143,3,0))*10^-3*10^2*各项系数!$J$4</f>
        <v>1.0482166075939192</v>
      </c>
      <c r="LC49" s="353">
        <v>1</v>
      </c>
      <c r="LD49" s="189">
        <f t="shared" si="153"/>
        <v>1.0482166075939192</v>
      </c>
      <c r="LE49" s="189">
        <f>LD49*(VLOOKUP($LB$9,各项系数!$D$1:$F$143,2,0))</f>
        <v>17.819682329096626</v>
      </c>
      <c r="LF49" s="235">
        <f>各项系数!$F$76/4*($NH49^2-$NE49^2)*10^-2*(VLOOKUP(AN49,各项系数!$D$1:$F$143,3,0))*10^-3*10^2*各项系数!$J$4</f>
        <v>1.0602485810374234</v>
      </c>
      <c r="LG49" s="102">
        <v>1</v>
      </c>
      <c r="LH49" s="189">
        <f t="shared" si="223"/>
        <v>1.0602485810374234</v>
      </c>
      <c r="LI49" s="189">
        <f>LH49*(VLOOKUP(AN49,各项系数!$D$1:$F$143,2,0))</f>
        <v>10.602485810374233</v>
      </c>
      <c r="LJ49" s="235">
        <f>各项系数!$F$76/4*($NI49^2-$NF49^2)*10^-2*(VLOOKUP(AN49,各项系数!$D$1:$F$143,3,0))*10^-3*10^2*各项系数!$J$4</f>
        <v>1.0626747676986625</v>
      </c>
      <c r="LK49" s="102">
        <v>1</v>
      </c>
      <c r="LL49" s="189">
        <f t="shared" si="224"/>
        <v>1.0626747676986625</v>
      </c>
      <c r="LM49" s="189">
        <f>LL49*(VLOOKUP(AN49,各项系数!$D$1:$F$143,2,0))</f>
        <v>10.626747676986625</v>
      </c>
      <c r="LN49" s="189">
        <f>各项系数!$F$76/4*($NH49^2-$NE49^2)*10^-2*(VLOOKUP($LN$9,各项系数!$D$1:$F$143,3,0))*10^-3*10^2*各项系数!$J$4</f>
        <v>1.0602485810374234</v>
      </c>
      <c r="LO49" s="353">
        <v>1</v>
      </c>
      <c r="LP49" s="189">
        <f t="shared" si="225"/>
        <v>1.0602485810374234</v>
      </c>
      <c r="LQ49" s="189">
        <f>LP49*(VLOOKUP($LN$9,各项系数!$D$1:$F$143,2,0))</f>
        <v>11.662734391411657</v>
      </c>
      <c r="LR49" s="189">
        <f>各项系数!$F$76/4*($NI49^2-$NF49^2)*10^-2*(VLOOKUP($LR$9,各项系数!$D$1:$F$143,3,0))*10^-3*10^2*各项系数!$J$4</f>
        <v>1.0626747676986625</v>
      </c>
      <c r="LS49" s="353">
        <v>1</v>
      </c>
      <c r="LT49" s="189">
        <f t="shared" si="226"/>
        <v>1.0626747676986625</v>
      </c>
      <c r="LU49" s="189">
        <f>LT49*(VLOOKUP($LR$9,各项系数!$D$1:$F$143,2,0))</f>
        <v>11.689422444685288</v>
      </c>
      <c r="LV49" s="227">
        <f t="shared" si="154"/>
        <v>1255.3047749</v>
      </c>
      <c r="LW49" s="227">
        <f t="shared" si="155"/>
        <v>945.35297863000005</v>
      </c>
      <c r="LX49" s="227">
        <f t="shared" si="156"/>
        <v>34.693814954900695</v>
      </c>
      <c r="LY49" s="227">
        <f t="shared" si="157"/>
        <v>309.95179626999993</v>
      </c>
      <c r="LZ49" s="374">
        <f t="shared" si="86"/>
        <v>1</v>
      </c>
      <c r="MA49" s="375">
        <f t="shared" si="87"/>
        <v>1255.3047749</v>
      </c>
      <c r="MB49" s="375">
        <f t="shared" si="158"/>
        <v>28.269273779999999</v>
      </c>
      <c r="MC49" s="227">
        <f t="shared" si="159"/>
        <v>0</v>
      </c>
      <c r="MD49" s="227">
        <f t="shared" si="160"/>
        <v>0</v>
      </c>
      <c r="ME49" s="227">
        <f t="shared" si="161"/>
        <v>0</v>
      </c>
      <c r="MF49" s="227">
        <f t="shared" si="162"/>
        <v>0</v>
      </c>
      <c r="MG49" s="374">
        <f t="shared" si="163"/>
        <v>1</v>
      </c>
      <c r="MH49" s="375">
        <f t="shared" si="88"/>
        <v>0</v>
      </c>
      <c r="MI49" s="375">
        <f t="shared" si="164"/>
        <v>0</v>
      </c>
      <c r="MJ49" s="189">
        <f t="shared" si="89"/>
        <v>28.269273779999999</v>
      </c>
      <c r="MK49" s="189">
        <f t="shared" si="165"/>
        <v>28.269273779999999</v>
      </c>
      <c r="ML49" s="189">
        <f t="shared" si="227"/>
        <v>0</v>
      </c>
      <c r="MM49" s="189">
        <f t="shared" si="91"/>
        <v>0</v>
      </c>
      <c r="MN49" s="189">
        <f t="shared" si="92"/>
        <v>32.669273779999997</v>
      </c>
      <c r="MO49" s="189">
        <f t="shared" si="166"/>
        <v>0</v>
      </c>
      <c r="MP49" s="189">
        <f t="shared" si="167"/>
        <v>65.338547559999995</v>
      </c>
      <c r="MQ49" s="189">
        <f t="shared" si="228"/>
        <v>65.338547559999995</v>
      </c>
      <c r="MR49" s="246">
        <f t="shared" si="168"/>
        <v>65.183183799999995</v>
      </c>
      <c r="MS49" s="380">
        <f t="shared" si="94"/>
        <v>65.359183799999997</v>
      </c>
      <c r="MT49" s="380">
        <f t="shared" si="95"/>
        <v>65.519183799999993</v>
      </c>
      <c r="MU49" s="380">
        <f t="shared" si="232"/>
        <v>66.859183799999997</v>
      </c>
      <c r="MV49" s="380">
        <f t="shared" si="97"/>
        <v>71.959183799999991</v>
      </c>
      <c r="MW49" s="380">
        <f t="shared" si="98"/>
        <v>72.119183799999988</v>
      </c>
      <c r="MX49" s="254">
        <f t="shared" si="233"/>
        <v>28.86927378</v>
      </c>
      <c r="MY49" s="254">
        <f t="shared" si="100"/>
        <v>0</v>
      </c>
      <c r="MZ49" s="189">
        <f t="shared" si="101"/>
        <v>33.269273779999999</v>
      </c>
      <c r="NA49" s="189">
        <f t="shared" si="102"/>
        <v>0</v>
      </c>
      <c r="NB49" s="189">
        <f t="shared" si="169"/>
        <v>66.538547559999998</v>
      </c>
      <c r="NC49" s="254">
        <f t="shared" si="229"/>
        <v>66.538547559999998</v>
      </c>
      <c r="ND49" s="246">
        <f t="shared" si="234"/>
        <v>66.380330400000005</v>
      </c>
      <c r="NE49" s="386">
        <f t="shared" si="235"/>
        <v>66.6203304</v>
      </c>
      <c r="NF49" s="380">
        <f t="shared" si="106"/>
        <v>66.780330399999997</v>
      </c>
      <c r="NG49" s="387">
        <f t="shared" si="236"/>
        <v>68.1203304</v>
      </c>
      <c r="NH49" s="254">
        <f t="shared" si="108"/>
        <v>73.220330399999995</v>
      </c>
      <c r="NI49" s="380">
        <f t="shared" si="109"/>
        <v>73.380330399999991</v>
      </c>
      <c r="NK49" s="388">
        <f t="shared" si="110"/>
        <v>10.1336862042169</v>
      </c>
      <c r="NL49" s="388">
        <f t="shared" si="111"/>
        <v>574.11678433106556</v>
      </c>
      <c r="NM49" s="388">
        <f t="shared" si="112"/>
        <v>10.1336862042169</v>
      </c>
      <c r="NN49" s="388">
        <f t="shared" si="113"/>
        <v>575.15790930548553</v>
      </c>
      <c r="NO49" s="388">
        <f t="shared" si="114"/>
        <v>10.57512526873111</v>
      </c>
      <c r="NP49" s="388">
        <f t="shared" si="115"/>
        <v>576.65282398145723</v>
      </c>
      <c r="NQ49" s="388">
        <f t="shared" si="116"/>
        <v>10.57512526873111</v>
      </c>
      <c r="NR49" s="388">
        <f t="shared" si="117"/>
        <v>577.71307256249452</v>
      </c>
      <c r="NS49" s="388">
        <f t="shared" si="118"/>
        <v>10.225093833137686</v>
      </c>
      <c r="NT49" s="388">
        <f t="shared" si="119"/>
        <v>10.225093833137686</v>
      </c>
      <c r="NU49" s="388">
        <f t="shared" si="120"/>
        <v>10.668294509177793</v>
      </c>
      <c r="NV49" s="388">
        <f t="shared" si="121"/>
        <v>10.668294509177793</v>
      </c>
      <c r="NW49">
        <f t="shared" si="122"/>
        <v>11.345686609850899</v>
      </c>
      <c r="NX49">
        <f>各项系数!$M$9*NK49</f>
        <v>3.04010586126507</v>
      </c>
      <c r="NY49">
        <f t="shared" si="123"/>
        <v>10.225093833137686</v>
      </c>
    </row>
    <row r="50" spans="1:389" ht="15" hidden="1" customHeight="1">
      <c r="A50" s="74">
        <v>10</v>
      </c>
      <c r="B50" s="70">
        <v>1</v>
      </c>
      <c r="C50" s="67"/>
      <c r="D50" s="58" t="s">
        <v>918</v>
      </c>
      <c r="E50" s="54">
        <f t="shared" si="255"/>
        <v>80.897472190000002</v>
      </c>
      <c r="F50" s="68">
        <f>$F$34</f>
        <v>357.20659441456399</v>
      </c>
      <c r="G50" s="58"/>
      <c r="H50" s="16"/>
      <c r="I50" s="62"/>
      <c r="J50" s="16"/>
      <c r="K50" s="16"/>
      <c r="L50" s="97" t="s">
        <v>467</v>
      </c>
      <c r="M50" s="103">
        <f t="shared" si="2"/>
        <v>2.4</v>
      </c>
      <c r="N50" s="103">
        <f t="shared" si="252"/>
        <v>0</v>
      </c>
      <c r="O50" s="53">
        <f t="shared" si="265"/>
        <v>0.08</v>
      </c>
      <c r="P50" s="99">
        <v>0.1</v>
      </c>
      <c r="Q50" s="133">
        <f t="shared" si="253"/>
        <v>0.1</v>
      </c>
      <c r="R50" s="70">
        <v>0.8</v>
      </c>
      <c r="S50" s="142" t="str">
        <f>各项系数!$D$43</f>
        <v>钢带</v>
      </c>
      <c r="T50" s="62">
        <v>0.5</v>
      </c>
      <c r="U50" s="62">
        <v>2</v>
      </c>
      <c r="V50" s="143"/>
      <c r="W50" s="145">
        <v>3.5</v>
      </c>
      <c r="X50" s="135">
        <f t="shared" si="254"/>
        <v>0.2</v>
      </c>
      <c r="Y50" s="135"/>
      <c r="Z50" s="168"/>
      <c r="AA50" s="153">
        <f>$AA$34</f>
        <v>1.03</v>
      </c>
      <c r="AB50" s="153">
        <f>PI()*EJ50*EJ50/4*EH50*(1-H50)*AA50*各项系数!$F$5*各项系数!$J$4*10^-7</f>
        <v>5.5695578399086223</v>
      </c>
      <c r="AC50" s="153">
        <f t="shared" si="256"/>
        <v>357.20659441456399</v>
      </c>
      <c r="AD50" s="153">
        <f t="shared" si="5"/>
        <v>629.64517072523745</v>
      </c>
      <c r="AE50" s="153">
        <f>POWER(4*EU50/PI()/EG50/10^-7/EH50/(1-H50)/各项系数!$F$5/各项系数!$J$4,0.5)</f>
        <v>362.52509930492863</v>
      </c>
      <c r="AF50" s="69">
        <v>1</v>
      </c>
      <c r="AG50" s="69">
        <f>IF(EM50=0,0,PI()*ER50*ER50/4*EP50*(1-K50)*(1+AF50)*各项系数!$F$5*各项系数!$J$4*10^-7)</f>
        <v>0</v>
      </c>
      <c r="AH50" s="69">
        <f t="shared" si="257"/>
        <v>0</v>
      </c>
      <c r="AI50" s="69">
        <f t="shared" si="128"/>
        <v>0</v>
      </c>
      <c r="AJ50" s="69">
        <f>IF(OR(EP50="",EP50=0),0,POWER(4*EW50/PI()/EO50/10^-7/EP50/(1-K50)/各项系数!$F$5/各项系数!$J$4,0.5))</f>
        <v>0</v>
      </c>
      <c r="AK50" s="69" t="str">
        <f t="shared" si="8"/>
        <v>√</v>
      </c>
      <c r="AL50" s="69">
        <f t="shared" si="258"/>
        <v>770.84645374120464</v>
      </c>
      <c r="AM50" s="106">
        <f t="shared" si="259"/>
        <v>630</v>
      </c>
      <c r="AN50" s="97" t="s">
        <v>486</v>
      </c>
      <c r="AO50" s="196">
        <f>AP50+各项系数!$M$9*$NK50</f>
        <v>755.73181739333791</v>
      </c>
      <c r="AP50" s="196">
        <f>AQ50*(1+$BI50+(VLOOKUP($AM50,$A$12:$B$323,2,0))+各项系数!$J$6+各项系数!$M$5)*(1+$E$2)</f>
        <v>751.80717431459573</v>
      </c>
      <c r="AQ50" s="197">
        <f>AR50+各项系数!$L$9*$NK50</f>
        <v>767.15017787203647</v>
      </c>
      <c r="AR50" s="197">
        <f>AS50*(1+$BJ50+各项系数!$J$5+各项系数!$L$5)</f>
        <v>763.22553479329429</v>
      </c>
      <c r="AS50" s="197">
        <f t="shared" si="129"/>
        <v>748.26032822871991</v>
      </c>
      <c r="AT50" s="196">
        <f>AU50+各项系数!$M$9*$NM50</f>
        <v>764.15385357404944</v>
      </c>
      <c r="AU50" s="196">
        <f>AV50*(1+$BI50+(VLOOKUP($AM50,$A$12:$B$323,2,0))+各项系数!$J$6+各项系数!$M$5)*(1+$E$2)</f>
        <v>760.22921049530726</v>
      </c>
      <c r="AV50" s="197">
        <f>AW50+各项系数!$L$9*$NM50</f>
        <v>775.74409234215022</v>
      </c>
      <c r="AW50" s="197">
        <f>AX50*(1+$BJ50+各项系数!$J$5+各项系数!$L$5)</f>
        <v>771.81944926340805</v>
      </c>
      <c r="AX50" s="197">
        <f t="shared" si="130"/>
        <v>756.68573457196862</v>
      </c>
      <c r="AY50" s="196">
        <f>AZ50+各项系数!$M$9*$NS50</f>
        <v>762.79118797914396</v>
      </c>
      <c r="AZ50" s="196">
        <f>BA50*(1+$BI50+(VLOOKUP($AM50,$A$12:$B$214,2,0))+各项系数!$J$6+各项系数!$M$5)*(1+$E$2)</f>
        <v>758.83554464214467</v>
      </c>
      <c r="BA50" s="197">
        <f>BB50+各项系数!$L$9*$NS50</f>
        <v>774.32198432871905</v>
      </c>
      <c r="BB50" s="197">
        <f>BC50*(1+$BJ50+各项系数!$J$5+各项系数!$L$5)</f>
        <v>770.36634099171977</v>
      </c>
      <c r="BC50" s="199">
        <f t="shared" si="131"/>
        <v>755.26111861933305</v>
      </c>
      <c r="BD50" s="196">
        <f>BE50+各项系数!$M$9*$NS50</f>
        <v>771.23063462237803</v>
      </c>
      <c r="BE50" s="196">
        <f>BF50*(1+$BI50+(VLOOKUP($AM50,$A$12:$B$214,2,0))+各项系数!$J$6+各项系数!$M$5)*(1+$E$2)</f>
        <v>767.27499128537875</v>
      </c>
      <c r="BF50" s="197">
        <f>BG50+各项系数!$L$9*$NS50</f>
        <v>782.93366457691707</v>
      </c>
      <c r="BG50" s="197">
        <f>BH50*(1+$BJ50+各项系数!$J$5+各项系数!$L$5)</f>
        <v>778.97802123991778</v>
      </c>
      <c r="BH50" s="199">
        <f t="shared" si="132"/>
        <v>763.70394239207621</v>
      </c>
      <c r="BI50" s="213"/>
      <c r="BJ50" s="208"/>
      <c r="BK50" s="53" t="s">
        <v>514</v>
      </c>
      <c r="BL50" s="196">
        <f>BM50+各项系数!$M$9*$NM50</f>
        <v>764.32122786519813</v>
      </c>
      <c r="BM50" s="196">
        <f>BN50*(1+$CF50+(VLOOKUP($AM50,$A$12:$B$323,2,0))+各项系数!$J$6+各项系数!$M$5)*(1+$E$2)</f>
        <v>760.39658478645595</v>
      </c>
      <c r="BN50" s="197">
        <f>BO50+各项系数!$L$9*$NM50</f>
        <v>775.91488243515914</v>
      </c>
      <c r="BO50" s="197">
        <f>BP50*(1+$CG50+各项系数!$J$5+各项系数!$L$5)</f>
        <v>771.99023935641696</v>
      </c>
      <c r="BP50" s="197">
        <f t="shared" si="133"/>
        <v>749.50508675380286</v>
      </c>
      <c r="BQ50" s="196">
        <f>BR50+各项系数!$M$9*$NM50</f>
        <v>771.56937377285465</v>
      </c>
      <c r="BR50" s="196">
        <f>BS50*(1+$CF50+(VLOOKUP($AM50,$A$12:$B$323,2,0))+各项系数!$J$6+各项系数!$M$5)*(1+$E$2)</f>
        <v>767.64473069411247</v>
      </c>
      <c r="BS50" s="197">
        <f>BT50+各项系数!$L$9*$NM50</f>
        <v>783.31094968786988</v>
      </c>
      <c r="BT50" s="197">
        <f>BU50*(1+$CG50+各项系数!$J$5+各项系数!$L$5)</f>
        <v>779.3863066091277</v>
      </c>
      <c r="BU50" s="197">
        <f t="shared" si="134"/>
        <v>756.68573457196862</v>
      </c>
      <c r="BV50" s="196">
        <f>BW50+各项系数!$M$9*$NT50</f>
        <v>767.58337127828759</v>
      </c>
      <c r="BW50" s="196">
        <f>BX50*(1+$CF50+(VLOOKUP($AM50,$A$12:$B$214,2,0))+各项系数!$J$6+各项系数!$M$5)*(1+$E$2)</f>
        <v>763.6277279412883</v>
      </c>
      <c r="BX50" s="197">
        <f>BY50+各项系数!$L$9*$NT$12</f>
        <v>779.21196728702887</v>
      </c>
      <c r="BY50" s="197">
        <f>BZ50*(1+$CG50+各项系数!$J$5+各项系数!$L$5)</f>
        <v>779.20370388387391</v>
      </c>
      <c r="BZ50" s="199">
        <f t="shared" si="11"/>
        <v>756.50845037269312</v>
      </c>
      <c r="CA50" s="196">
        <f>CB50+各项系数!$M$9*$NT50</f>
        <v>774.84650092265292</v>
      </c>
      <c r="CB50" s="196">
        <f>CC50*(1+$CF50+(VLOOKUP($AM50,$A$12:$B$214,2,0))+各项系数!$J$6+各项系数!$M$5)*(1+$E$2)</f>
        <v>770.89085758565363</v>
      </c>
      <c r="CC50" s="197">
        <f>CD50+各项系数!$L$9*$NT$12</f>
        <v>786.62332406699352</v>
      </c>
      <c r="CD50" s="197">
        <f>CE50*(1+$CG50+各项系数!$J$5+各项系数!$L$5)</f>
        <v>786.61506066383856</v>
      </c>
      <c r="CE50" s="199">
        <f t="shared" si="135"/>
        <v>763.70394239207621</v>
      </c>
      <c r="CF50" s="213">
        <f t="shared" si="136"/>
        <v>0</v>
      </c>
      <c r="CG50" s="213">
        <f t="shared" si="12"/>
        <v>0.01</v>
      </c>
      <c r="CH50" s="106"/>
      <c r="CI50" s="196">
        <f>CJ50+各项系数!$M$9*$NO50</f>
        <v>762.88579304915459</v>
      </c>
      <c r="CJ50" s="196">
        <f>CK50*(1+$DC50+(VLOOKUP($AM50,$A$12:$B$323,2,0))+各项系数!$J$6+各项系数!$M$5)*(1+$E$2)+各项系数!$M$9*$NK50</f>
        <v>758.79720669185156</v>
      </c>
      <c r="CK50" s="197">
        <f>CL50+各项系数!$L$9*$NO50</f>
        <v>770.27812613582591</v>
      </c>
      <c r="CL50" s="197">
        <f>CM50*(1+$DD50+各项系数!$J$5+各项系数!$L$5)</f>
        <v>766.18953977852289</v>
      </c>
      <c r="CM50" s="197">
        <f t="shared" si="13"/>
        <v>751.16621546914007</v>
      </c>
      <c r="CN50" s="196">
        <f>CO50+各项系数!$M$9*$NO50</f>
        <v>771.10508422791975</v>
      </c>
      <c r="CO50" s="196">
        <f>CP50*(1+$DC50+(VLOOKUP($AM50,$A$12:$B$323,2,0))+各项系数!$J$6+各项系数!$M$5)*(1+$E$2)+各项系数!$M$9*$NK50</f>
        <v>767.01649787061672</v>
      </c>
      <c r="CP50" s="197">
        <f>CQ50+各项系数!$L$9*$NO50</f>
        <v>778.66515795089242</v>
      </c>
      <c r="CQ50" s="197">
        <f>CR50*(1+$DD50+各项系数!$J$5+各项系数!$L$5)</f>
        <v>774.57657159358939</v>
      </c>
      <c r="CR50" s="197">
        <f t="shared" si="14"/>
        <v>759.38879567998958</v>
      </c>
      <c r="CS50" s="196">
        <f>CT50+各项系数!$M$9*$NU50</f>
        <v>766.14042816890219</v>
      </c>
      <c r="CT50" s="196">
        <f t="shared" si="15"/>
        <v>762.0203130698801</v>
      </c>
      <c r="CU50" s="197">
        <f>CV50+各项系数!$L$9*$NU50</f>
        <v>777.57174803048997</v>
      </c>
      <c r="CV50" s="197">
        <f>CW50*(1+$DD50+各项系数!$J$5+各项系数!$L$5)</f>
        <v>773.45163293146788</v>
      </c>
      <c r="CW50" s="199">
        <f t="shared" si="16"/>
        <v>758.28591463869395</v>
      </c>
      <c r="CX50" s="196">
        <f>CY50+各项系数!$M$9*$NU50</f>
        <v>774.71710697331753</v>
      </c>
      <c r="CY50" s="196">
        <f t="shared" si="17"/>
        <v>770.59699187429544</v>
      </c>
      <c r="CZ50" s="197">
        <f>DA50+各项系数!$L$9*$NU50</f>
        <v>786.32346109621983</v>
      </c>
      <c r="DA50" s="197">
        <f>DB50*(1+$DD50+各项系数!$J$5+各项系数!$L$5)</f>
        <v>782.20334599719774</v>
      </c>
      <c r="DB50" s="199">
        <f t="shared" si="18"/>
        <v>766.86602548744872</v>
      </c>
      <c r="DC50" s="213">
        <f t="shared" si="137"/>
        <v>0</v>
      </c>
      <c r="DD50" s="213">
        <f t="shared" si="19"/>
        <v>0</v>
      </c>
      <c r="DE50" s="53" t="s">
        <v>498</v>
      </c>
      <c r="DF50" s="53" t="s">
        <v>513</v>
      </c>
      <c r="DG50" s="196">
        <f>DH50+各项系数!$M$9*$NQ50</f>
        <v>771.52415448577528</v>
      </c>
      <c r="DH50" s="196">
        <f>DI50*(1+$EA50+(VLOOKUP($AM50,$A$12:$B$323,2,0))+各项系数!$J$6+各项系数!$M$5)*(1+$E$2)+各项系数!$M$9*$NK50</f>
        <v>767.43556812847226</v>
      </c>
      <c r="DI50" s="197">
        <f>DJ50+各项系数!$L$9*$NQ50</f>
        <v>779.09278066298987</v>
      </c>
      <c r="DJ50" s="197">
        <f>DK50*(1+$EB50+各项系数!$J$5+各项系数!$L$5)</f>
        <v>775.00419430568684</v>
      </c>
      <c r="DK50" s="197">
        <f t="shared" si="20"/>
        <v>752.43125660746296</v>
      </c>
      <c r="DL50" s="196">
        <f>DM50+各项系数!$M$9*$NQ50</f>
        <v>778.89040469815359</v>
      </c>
      <c r="DM50" s="196">
        <f>DN50*(1+$EA50+(VLOOKUP($AM50,$A$12:$B$323,2,0))+各项系数!$J$6+各项系数!$M$5)*(1+$E$2)+各项系数!$M$9*$NK50</f>
        <v>774.80181834085056</v>
      </c>
      <c r="DN50" s="197">
        <f>DO50+各项系数!$L$9*$NQ50</f>
        <v>786.60936251235546</v>
      </c>
      <c r="DO50" s="197">
        <f>DP50*(1+$EB50+各项系数!$J$5+各项系数!$L$5)</f>
        <v>782.52077615505243</v>
      </c>
      <c r="DP50" s="197">
        <f t="shared" si="21"/>
        <v>759.72890888840038</v>
      </c>
      <c r="DQ50" s="196">
        <f>DR50+各项系数!$M$9*$NV50</f>
        <v>774.85116007400734</v>
      </c>
      <c r="DR50" s="196">
        <f t="shared" si="22"/>
        <v>770.73104497498525</v>
      </c>
      <c r="DS50" s="197">
        <f>DT50+各项系数!$L$9*$NV50</f>
        <v>786.46024997447478</v>
      </c>
      <c r="DT50" s="197">
        <f>DU50*(1+$EB50+各项系数!$J$5+各项系数!$L$5)</f>
        <v>782.34013487545269</v>
      </c>
      <c r="DU50" s="199">
        <f t="shared" si="23"/>
        <v>759.55352900529385</v>
      </c>
      <c r="DV50" s="196">
        <f>DW50+各项系数!$M$9*$NV50</f>
        <v>776.25958953816951</v>
      </c>
      <c r="DW50" s="196">
        <f t="shared" si="24"/>
        <v>772.13947443914742</v>
      </c>
      <c r="DX50" s="197">
        <f>DY50+各项系数!$L$9*$NV50</f>
        <v>787.8974228970892</v>
      </c>
      <c r="DY50" s="197">
        <f>DZ50*(1+$EB50+各项系数!$J$5+各项系数!$L$5)</f>
        <v>783.77730779806711</v>
      </c>
      <c r="DZ50" s="199">
        <f t="shared" si="25"/>
        <v>760.94884252239524</v>
      </c>
      <c r="EA50" s="213">
        <f t="shared" si="230"/>
        <v>0</v>
      </c>
      <c r="EB50" s="213">
        <f t="shared" si="27"/>
        <v>0.01</v>
      </c>
      <c r="EC50" s="235">
        <f t="shared" si="138"/>
        <v>2</v>
      </c>
      <c r="ED50" s="237" t="str">
        <f t="shared" si="260"/>
        <v>2*630</v>
      </c>
      <c r="EE50" s="189">
        <f t="shared" si="239"/>
        <v>630</v>
      </c>
      <c r="EF50" s="78" t="str">
        <f>LOOKUP(EH50,{1,7,10,14,19,24,30,37,48,61},{1,"1+6","2+8","4+10","1+6+12","2+8+14","4+10+16","1+6+12+18","3+9+15+21","1+6+12+18+24"})</f>
        <v>1+6+12+18+24</v>
      </c>
      <c r="EG50" s="188">
        <f t="shared" si="29"/>
        <v>2</v>
      </c>
      <c r="EH50" s="197">
        <f>VLOOKUP(EE50,各项系数!$B$87:$C$124,2,0)</f>
        <v>61</v>
      </c>
      <c r="EI50" s="188">
        <f>IF(EH50=0,0,VLOOKUP(EH50,各项系数!$D$142:$E$195,2,0))*1</f>
        <v>9</v>
      </c>
      <c r="EJ50" s="238">
        <f t="shared" si="141"/>
        <v>357.20659441456399</v>
      </c>
      <c r="EK50" s="78">
        <f t="shared" si="261"/>
        <v>0</v>
      </c>
      <c r="EL50" s="189">
        <f t="shared" si="31"/>
        <v>0</v>
      </c>
      <c r="EM50" s="78">
        <f t="shared" si="262"/>
        <v>0</v>
      </c>
      <c r="EN50" s="78">
        <f>IF(EP50=0,0,LOOKUP(EP50,{1,7,10,14,19,24,30,37,48,61},{1,"1+6","2+8","4+10","1+6+12","2+8+14","4+10+16","1+6+12+18","3+9+15+21","1+6+12+18+24"}))</f>
        <v>0</v>
      </c>
      <c r="EO50" s="78">
        <f t="shared" si="263"/>
        <v>0</v>
      </c>
      <c r="EP50" s="78">
        <f>IF(EM50=0,0,IF(EM50&lt;10,1,IF(AND(EM50&gt;=10,EM50&lt;=35),7,LOOKUP(EM50,{50,70,95,120,150,185,240,300},{10,14,19,24,30,37,48,61})*1)))</f>
        <v>0</v>
      </c>
      <c r="EQ50" s="189">
        <f>IF(EP50=0,0,VLOOKUP(EP50,各项系数!$D$142:$E$195,2,0))*1</f>
        <v>0</v>
      </c>
      <c r="ER50" s="78">
        <f t="shared" si="264"/>
        <v>0</v>
      </c>
      <c r="ES50" s="237">
        <f t="shared" si="250"/>
        <v>2</v>
      </c>
      <c r="ET50" s="189">
        <f>VLOOKUP(ES50,各项系数!$D$142:$E$195,2,0)*1</f>
        <v>2</v>
      </c>
      <c r="EU50" s="243">
        <f>((各项系数!$F$76/4*$EJ50^2*$EG50*$EH50*1*10^-7)*(1-$H50)*AA50)*(VLOOKUP($EY$9,各项系数!$D$4:$F$143,3,0))*各项系数!$J$4</f>
        <v>11.139115679817245</v>
      </c>
      <c r="EV50" s="244">
        <f>EU50*(VLOOKUP($EY$9,各项系数!$D$4:$F$143,2,0))</f>
        <v>729.61207702802949</v>
      </c>
      <c r="EW50" s="252">
        <f>(IF($EO50=0,0,(各项系数!$F$76/4*$ER50^2*$EO50*$EP50*1*10^-7))*(1-$K50)*$AF50)*(VLOOKUP($EY$9,各项系数!$D$4:$F$143,3,0))*各项系数!$J$4</f>
        <v>0</v>
      </c>
      <c r="EX50" s="253">
        <f>EW50*(VLOOKUP($EY$9,各项系数!$D$4:$F$143,2,0))</f>
        <v>0</v>
      </c>
      <c r="EY50" s="189">
        <f>((各项系数!$F$76/4*$EJ50^2*$EG50*$EH50*1*10^-7)*(1-$H50)*AA50+IF($EO50=0,0,(各项系数!$F$76/4*$ER50^2*$EO50*$EP50*1*10^-7))*(1-$K50)*$AF50)*(VLOOKUP($EY$9,各项系数!$D$4:$F$143,3,0))*各项系数!$J$4</f>
        <v>11.139115679817245</v>
      </c>
      <c r="EZ50" s="102">
        <v>1</v>
      </c>
      <c r="FA50" s="189">
        <f t="shared" si="188"/>
        <v>11.139115679817245</v>
      </c>
      <c r="FB50" s="254">
        <f>FA50*(VLOOKUP($EY$9,各项系数!$D$4:$F$143,2,0))</f>
        <v>729.61207702802949</v>
      </c>
      <c r="FC50" s="257"/>
      <c r="FD50" s="235">
        <f>各项系数!$F$76/4*($MN50^2-MK50^2)*10^-2*(VLOOKUP(L50,各项系数!$D$1:$F$143,3,0))*10^-3*10^2*$EG50*各项系数!$J$4</f>
        <v>0.57021317426709184</v>
      </c>
      <c r="FE50" s="262">
        <f>FD50*VLOOKUP(L50,各项系数!$D$1:$F$143,2,0)</f>
        <v>5.8161743775243364</v>
      </c>
      <c r="FF50" s="188">
        <f>各项系数!$F$76/4*($MO50^2-ML50^2)*10^-2*(VLOOKUP(L50,各项系数!$D$1:$F$143,3,0))*10^-3*10^2*$EO50*各项系数!$J$4</f>
        <v>0</v>
      </c>
      <c r="FG50" s="262">
        <f>FF50*VLOOKUP(L50,各项系数!$D$1:$F$143,2,0)</f>
        <v>0</v>
      </c>
      <c r="FH50" s="235">
        <f t="shared" si="142"/>
        <v>0.57021317426709184</v>
      </c>
      <c r="FI50" s="102">
        <v>1</v>
      </c>
      <c r="FJ50" s="189">
        <f t="shared" si="189"/>
        <v>0.57021317426709184</v>
      </c>
      <c r="FK50" s="262">
        <f>FJ50*VLOOKUP(L50,各项系数!$D$1:$F$143,2,0)</f>
        <v>5.8161743775243364</v>
      </c>
      <c r="FL50" s="237"/>
      <c r="FM50" s="106"/>
      <c r="FN50" s="189"/>
      <c r="FO50" s="262"/>
      <c r="FP50" s="282">
        <f t="shared" si="190"/>
        <v>0.57021317426709184</v>
      </c>
      <c r="FQ50" s="282">
        <f t="shared" si="191"/>
        <v>5.8161743775243364</v>
      </c>
      <c r="FR50" s="283">
        <f>各项系数!$F$76/4*($MQ50^2-$MN50^2*$EG50-$MO50^2*$EO50)*10^-2</f>
        <v>21.444488813082216</v>
      </c>
      <c r="FS50" s="284">
        <f t="shared" si="143"/>
        <v>0.05</v>
      </c>
      <c r="FT50" s="285">
        <f t="shared" si="40"/>
        <v>1.0722244406541108</v>
      </c>
      <c r="FU50" s="302">
        <f>$FT50*(VLOOKUP($FT$9,各项系数!$D$1:$F$143,3,0))*10^-3*10^2*各项系数!$J$55</f>
        <v>0.12802359821410081</v>
      </c>
      <c r="FV50" s="303">
        <v>1</v>
      </c>
      <c r="FW50" s="304">
        <f t="shared" si="192"/>
        <v>0.12802359821410081</v>
      </c>
      <c r="FX50" s="285">
        <f>FW50*(VLOOKUP($FT$9,各项系数!$D$1:$F$143,2,0))</f>
        <v>0.38407079464230243</v>
      </c>
      <c r="FY50" s="302">
        <f>IF($BK50&lt;&gt;$FY$9,0,各项系数!$F$76/4*($MS50^2-$MQ50^2)*10^-2*(VLOOKUP($FY$9,各项系数!$D$1:$F$143,3,0))*10^-3*10^2)*各项系数!$J$4</f>
        <v>0</v>
      </c>
      <c r="FZ50" s="303">
        <v>1</v>
      </c>
      <c r="GA50" s="304">
        <f t="shared" si="193"/>
        <v>0</v>
      </c>
      <c r="GB50" s="285">
        <f>GA50*(VLOOKUP($FY$9,各项系数!$D$1:$F$143,2,0))</f>
        <v>0</v>
      </c>
      <c r="GC50" s="302">
        <f>IF($BK50&lt;&gt;$GC$9,0,各项系数!$F$76/4*($MS50^2-$MQ50^2)*10^-2*(VLOOKUP($GC$9,各项系数!$D$1:$F$143,3,0))*10^-3*10^2)*各项系数!$J$4</f>
        <v>3.2618425895905035E-5</v>
      </c>
      <c r="GD50" s="303">
        <v>1</v>
      </c>
      <c r="GE50" s="304">
        <f t="shared" si="194"/>
        <v>3.2618425895905035E-5</v>
      </c>
      <c r="GF50" s="285">
        <f>GE50*(VLOOKUP($GC$9,各项系数!$D$1:$F$143,2,0))</f>
        <v>4.2077769405717496E-4</v>
      </c>
      <c r="GG50" s="302">
        <f>IF($BK50&lt;&gt;$GG$9,0,各项系数!$F$76/4*($MS50^2-$MQ50^2)*10^-2*(VLOOKUP($GG$9,各项系数!$D$1:$F$143,3,0))*10^-3*10^2)*各项系数!$J$4</f>
        <v>0</v>
      </c>
      <c r="GH50" s="303">
        <v>1</v>
      </c>
      <c r="GI50" s="304">
        <f t="shared" si="195"/>
        <v>0</v>
      </c>
      <c r="GJ50" s="285">
        <f>GI50*(VLOOKUP($GG$9,各项系数!$D$1:$F$143,2,0))</f>
        <v>0</v>
      </c>
      <c r="GK50" s="302">
        <f>IF($BK50&lt;&gt;$GK$9,0,各项系数!$F$76/4*($MS50^2-$MQ50^2)*10^-2*(VLOOKUP($GK$9,各项系数!$D$1:$F$143,3,0))*10^-3*10^2)*各项系数!$J$4</f>
        <v>0</v>
      </c>
      <c r="GL50" s="303">
        <v>1</v>
      </c>
      <c r="GM50" s="304">
        <f t="shared" si="196"/>
        <v>0</v>
      </c>
      <c r="GN50" s="285">
        <f>GM50*(VLOOKUP($GK$9,各项系数!$D$1:$F$143,2,0))</f>
        <v>0</v>
      </c>
      <c r="GO50" s="304">
        <f t="shared" si="197"/>
        <v>3.2618425895905035E-5</v>
      </c>
      <c r="GP50" s="304">
        <f t="shared" si="198"/>
        <v>4.2077769405717496E-4</v>
      </c>
      <c r="GQ50" s="315">
        <f>各项系数!$F$76/4*($MU50^2-$MS50^2)*10^-2*(VLOOKUP($S50,各项系数!$D$1:$F$143,3,0))*10^-3*10^2*各项系数!$J$4</f>
        <v>1.3685355252235381</v>
      </c>
      <c r="GR50" s="303">
        <v>1</v>
      </c>
      <c r="GS50" s="304">
        <f t="shared" si="199"/>
        <v>1.3685355252235381</v>
      </c>
      <c r="GT50" s="304">
        <f t="shared" si="200"/>
        <v>0</v>
      </c>
      <c r="GU50" s="304">
        <f>ROUND($GS50*(VLOOKUP($S50,各项系数!$D$1:$F$143,2,0))+$E$3*GS50,GT50)</f>
        <v>8</v>
      </c>
      <c r="GV50" s="315">
        <f>各项系数!$F$76/4*($MT50^2-$MS50^2)*10^-2*(VLOOKUP($GV$9,各项系数!$D$1:$F$143,3,0))*10^-3*10^2*各项系数!$J$4*PI()/4*R50</f>
        <v>0.10333419419025823</v>
      </c>
      <c r="GW50" s="303">
        <v>1</v>
      </c>
      <c r="GX50" s="304">
        <f t="shared" si="201"/>
        <v>0.10333419419025823</v>
      </c>
      <c r="GY50" s="304">
        <f>$GX50*(VLOOKUP($GV$9,各项系数!$D$1:$F$143,2,0))</f>
        <v>6.9750581078424307</v>
      </c>
      <c r="GZ50" s="315">
        <f>各项系数!$F$76/4*($MV50^2-$MS50^2)*10^-2*(VLOOKUP($GZ$9,各项系数!$D$1:$F$143,3,0))*10^-3*10^2*各项系数!$J$4</f>
        <v>1.2278230349457839</v>
      </c>
      <c r="HA50" s="303">
        <v>1</v>
      </c>
      <c r="HB50" s="304">
        <f t="shared" si="144"/>
        <v>1.2278230349457839</v>
      </c>
      <c r="HC50" s="304">
        <f>HB50*(VLOOKUP($GZ$9,各项系数!$D$1:$F$143,2,0))</f>
        <v>20.872991594078329</v>
      </c>
      <c r="HD50" s="315">
        <f>各项系数!$F$76/4*($MW50^2-$MT50^2)*10^-2*(VLOOKUP($HD$9,各项系数!$D$1:$F$143,3,0))*10^-3*10^2*各项系数!$J$4</f>
        <v>1.2303612533143242</v>
      </c>
      <c r="HE50" s="303">
        <v>1</v>
      </c>
      <c r="HF50" s="304">
        <f t="shared" si="145"/>
        <v>1.2303612533143242</v>
      </c>
      <c r="HG50" s="304">
        <f>HF50*(VLOOKUP($HD$9,各项系数!$D$1:$F$143,2,0))</f>
        <v>20.916141306343512</v>
      </c>
      <c r="HH50" s="315">
        <f>各项系数!$F$76/4*($MV50^2-$MS50^2)*10^-2*(VLOOKUP($HH$9,各项系数!$D$1:$F$143,3,0))*10^-3*10^2*各项系数!$J$4</f>
        <v>1.2278230349457839</v>
      </c>
      <c r="HI50" s="322">
        <v>1</v>
      </c>
      <c r="HJ50" s="304">
        <f t="shared" si="146"/>
        <v>1.2278230349457839</v>
      </c>
      <c r="HK50" s="304">
        <f>HJ50*(VLOOKUP($HH$9,各项系数!$D$1:$F$143,2,0))</f>
        <v>20.872991594078329</v>
      </c>
      <c r="HL50" s="315">
        <f>各项系数!$F$76/4*($MW50^2-$MT50^2)*10^-2*(VLOOKUP($HL$9,各项系数!$D$1:$F$143,3,0))*10^-3*10^2*各项系数!$J$4</f>
        <v>1.2303612533143242</v>
      </c>
      <c r="HM50" s="322">
        <v>1</v>
      </c>
      <c r="HN50" s="304">
        <f t="shared" si="147"/>
        <v>1.2303612533143242</v>
      </c>
      <c r="HO50" s="304">
        <f>HN50*(VLOOKUP($HL$9,各项系数!$D$1:$F$143,2,0))</f>
        <v>20.916141306343512</v>
      </c>
      <c r="HP50" s="315">
        <f>各项系数!$F$76/4*($MV50^2-$MS50^2)*10^-2*(VLOOKUP(AN50,各项系数!$D$1:$F$143,3,0))*10^-3*10^2*各项系数!$J$4</f>
        <v>1.2447585250829671</v>
      </c>
      <c r="HQ50" s="303">
        <v>1</v>
      </c>
      <c r="HR50" s="304">
        <f t="shared" si="202"/>
        <v>1.2447585250829671</v>
      </c>
      <c r="HS50" s="304">
        <f>HR50*(VLOOKUP(AN50,各项系数!$D$1:$F$143,2,0))</f>
        <v>12.447585250829672</v>
      </c>
      <c r="HT50" s="315">
        <f>各项系数!$F$76/4*($MW50^2-$MT50^2)*10^-2*(VLOOKUP(AN50,各项系数!$D$1:$F$143,3,0))*10^-3*10^2*各项系数!$J$4</f>
        <v>1.247331753360039</v>
      </c>
      <c r="HU50" s="303">
        <v>1</v>
      </c>
      <c r="HV50" s="304">
        <f t="shared" si="203"/>
        <v>1.247331753360039</v>
      </c>
      <c r="HW50" s="304">
        <f>HV50*(VLOOKUP(AN50,各项系数!$D$1:$F$143,2,0))</f>
        <v>12.47331753360039</v>
      </c>
      <c r="HX50" s="315">
        <f>各项系数!$F$76/4*($MV50^2-$MS50^2)*10^-2*(VLOOKUP($HX$9,各项系数!$D$1:$F$143,3,0))*10^-3*10^2*各项系数!$J$4</f>
        <v>1.2447585250829671</v>
      </c>
      <c r="HY50" s="322">
        <v>1</v>
      </c>
      <c r="HZ50" s="304">
        <f t="shared" si="204"/>
        <v>1.2447585250829671</v>
      </c>
      <c r="IA50" s="304">
        <f>HZ50*(VLOOKUP($HX$9,各项系数!$D$1:$F$143,2,0))</f>
        <v>13.692343775912638</v>
      </c>
      <c r="IB50" s="315">
        <f>各项系数!$F$76/4*($MW50^2-$MT50^2)*10^-2*(VLOOKUP($IB$9,各项系数!$D$1:$F$143,3,0))*10^-3*10^2*各项系数!$J$4</f>
        <v>1.247331753360039</v>
      </c>
      <c r="IC50" s="322">
        <v>1</v>
      </c>
      <c r="ID50" s="304">
        <f t="shared" si="205"/>
        <v>1.247331753360039</v>
      </c>
      <c r="IE50" s="304">
        <f>ID50*(VLOOKUP($IB$9,各项系数!$D$1:$F$143,2,0))</f>
        <v>13.720649286960429</v>
      </c>
      <c r="IF50" s="309"/>
      <c r="IG50" s="315">
        <f t="shared" si="148"/>
        <v>9.1287505367182858E-2</v>
      </c>
      <c r="IH50" s="303">
        <v>1</v>
      </c>
      <c r="II50" s="304">
        <f t="shared" si="206"/>
        <v>9.1287505367182858E-2</v>
      </c>
      <c r="IJ50" s="304">
        <f>II50*(VLOOKUP($IG$8,各项系数!$D$1:$F$143,2,0))</f>
        <v>2.2821876341795715</v>
      </c>
      <c r="IK50" s="315">
        <f>(各项系数!$F$76/4*($MX50^2-$MK50^2)*$EG50)*10^-2*(VLOOKUP($IG$8,各项系数!$D$1:$F$143,3,0))*10^-3*10^2*各项系数!$J$4</f>
        <v>9.1287505367182858E-2</v>
      </c>
      <c r="IL50" s="303">
        <f>IK50*(VLOOKUP($IG$8,各项系数!$D$1:$F$143,2,0))</f>
        <v>2.2821876341795715</v>
      </c>
      <c r="IM50" s="304">
        <f>(各项系数!$F$76/4*(($MM50+3*$X50)^2-MM50^2)*$EO50)*10^-2*(VLOOKUP($IG$8,各项系数!$D$1:$F$143,3,0))*10^-3*10^2*各项系数!$J$4</f>
        <v>0</v>
      </c>
      <c r="IN50" s="303">
        <f>IM50*(VLOOKUP($IG$8,各项系数!$D$1:$F$143,2,0))</f>
        <v>0</v>
      </c>
      <c r="IO50" s="315">
        <f>各项系数!$F$76/4*($MZ50^2-$MX50^2)*10^-2*(VLOOKUP(L50,各项系数!$D$1:$F$143,3,0))*10^-3*10^2*$ES50*各项系数!$J$4</f>
        <v>0.5801159769660309</v>
      </c>
      <c r="IP50" s="303">
        <v>1</v>
      </c>
      <c r="IQ50" s="304">
        <f t="shared" si="207"/>
        <v>0.5801159769660309</v>
      </c>
      <c r="IR50" s="285">
        <f>IQ50*(VLOOKUP(L50,各项系数!$D$1:$F$143,2,0))</f>
        <v>5.9171829650535148</v>
      </c>
      <c r="IS50" s="315">
        <f>IF($L50&lt;&gt;$IS$9,0,各项系数!$F$76/4*($MZ50^2-$MX50^2)*10^-2*各项系数!$F$12*10^-3*10^2)*$ES50*各项系数!$J$4</f>
        <v>0</v>
      </c>
      <c r="IT50" s="310">
        <v>1</v>
      </c>
      <c r="IU50" s="304">
        <f t="shared" si="208"/>
        <v>0</v>
      </c>
      <c r="IV50" s="285">
        <f>IU50*各项系数!$E$12</f>
        <v>0</v>
      </c>
      <c r="IW50" s="302">
        <f t="shared" si="209"/>
        <v>0.5801159769660309</v>
      </c>
      <c r="IX50" s="302">
        <f t="shared" si="210"/>
        <v>5.9171829650535148</v>
      </c>
      <c r="IY50" s="339">
        <f>各项系数!$F$76/4*($NB50^2-$MZ50^2*$EG50-$NA50^2*$EO50)*10^-2</f>
        <v>22.146608258505154</v>
      </c>
      <c r="IZ50" s="284">
        <f t="shared" si="231"/>
        <v>0.05</v>
      </c>
      <c r="JA50" s="285">
        <f t="shared" si="64"/>
        <v>1.1073304129252577</v>
      </c>
      <c r="JB50" s="282">
        <f>IF($DE50&lt;&gt;$JB$9,0,$JA50*各项系数!$F$32*10^-3*10^2)*各项系数!$J$4</f>
        <v>0</v>
      </c>
      <c r="JC50" s="102">
        <v>1</v>
      </c>
      <c r="JD50" s="189">
        <f t="shared" si="211"/>
        <v>0</v>
      </c>
      <c r="JE50" s="262">
        <f>JD50*各项系数!$E$32</f>
        <v>0</v>
      </c>
      <c r="JF50" s="282">
        <f>IF($DE50&lt;&gt;$JF$9,0,$JA50*VLOOKUP($JF$9,各项系数!$D$4:$F$540,2,0)*10^-3*10^2)*各项系数!$J$4</f>
        <v>0.55089688043031571</v>
      </c>
      <c r="JG50" s="102">
        <v>1</v>
      </c>
      <c r="JH50" s="189">
        <f t="shared" si="66"/>
        <v>0.55089688043031571</v>
      </c>
      <c r="JI50" s="262">
        <f>JH50*VLOOKUP($JF$9,各项系数!$D$4:$F$540,3,0)</f>
        <v>0.6610762565163788</v>
      </c>
      <c r="JJ50" s="282">
        <f t="shared" si="212"/>
        <v>0.55089688043031571</v>
      </c>
      <c r="JK50" s="189">
        <f t="shared" si="213"/>
        <v>0.6610762565163788</v>
      </c>
      <c r="JL50" s="282">
        <f>IF($DF50&lt;&gt;$JL$9,0,各项系数!$F$76/4*($NE50^2-$NC50^2)*10^-2*各项系数!$F$39*10^-3*10^2)*各项系数!$J$4</f>
        <v>2.1640101066151183E-3</v>
      </c>
      <c r="JM50" s="102">
        <v>1</v>
      </c>
      <c r="JN50" s="189">
        <f t="shared" si="214"/>
        <v>2.1640101066151183E-3</v>
      </c>
      <c r="JO50" s="262">
        <f>JN50*各项系数!$E$39</f>
        <v>4.3280202132302367E-2</v>
      </c>
      <c r="JP50" s="282">
        <f>IF($DF50&lt;&gt;$JP$9,0,各项系数!$F$76/4*($NE50^2-$NC50^2)*10^-2*各项系数!$F$36*10^-3*10^2)*各项系数!$J$4</f>
        <v>0</v>
      </c>
      <c r="JQ50" s="102">
        <v>1</v>
      </c>
      <c r="JR50" s="189">
        <f t="shared" si="215"/>
        <v>0</v>
      </c>
      <c r="JS50" s="262">
        <f>JR50*各项系数!$E$36</f>
        <v>0</v>
      </c>
      <c r="JT50" s="282">
        <f>IF($DF50&lt;&gt;$JT$9,0,各项系数!$F$76/4*($NE50^2-$NC50^2)*10^-2*各项系数!$F$40*10^-3*10^2)*各项系数!$J$4</f>
        <v>0</v>
      </c>
      <c r="JU50" s="102">
        <v>1</v>
      </c>
      <c r="JV50" s="189">
        <f t="shared" si="216"/>
        <v>0</v>
      </c>
      <c r="JW50" s="262">
        <f>JV50*各项系数!$E$40</f>
        <v>0</v>
      </c>
      <c r="JX50" s="282">
        <f>IF($DF50&lt;&gt;$JX$9,0,各项系数!$F$76/4*($NE50^2-$NC50^2)*10^-2*各项系数!$F$38*10^-3*10^2)*各项系数!$J$4</f>
        <v>0</v>
      </c>
      <c r="JY50" s="102">
        <v>1</v>
      </c>
      <c r="JZ50" s="189">
        <f t="shared" si="217"/>
        <v>0</v>
      </c>
      <c r="KA50" s="262">
        <f>JZ50*各项系数!$E$38</f>
        <v>0</v>
      </c>
      <c r="KB50" s="282">
        <f>IF($DF50&lt;&gt;$KB$9,0,各项系数!$F$76/4*($NE50^2-$NC50^2)*10^-2*各项系数!$F$41*10^-3*10^2)*各项系数!$J$4</f>
        <v>0</v>
      </c>
      <c r="KC50" s="102">
        <v>1</v>
      </c>
      <c r="KD50" s="189">
        <f t="shared" si="218"/>
        <v>0</v>
      </c>
      <c r="KE50" s="262">
        <f>KD50*各项系数!$E$41</f>
        <v>0</v>
      </c>
      <c r="KF50" s="189">
        <f t="shared" si="219"/>
        <v>2.1640101066151183E-3</v>
      </c>
      <c r="KG50" s="189">
        <f t="shared" si="220"/>
        <v>4.3280202132302367E-2</v>
      </c>
      <c r="KH50" s="235">
        <f>各项系数!$F$76/4*($NG50^2-$NE50^2)*10^-2*各项系数!$F$44*10^-3*10^2*各项系数!$J$4*0.75*$U50</f>
        <v>2.0874847824860705</v>
      </c>
      <c r="KI50" s="102">
        <v>1</v>
      </c>
      <c r="KJ50" s="189">
        <f t="shared" si="221"/>
        <v>2.0874847824860705</v>
      </c>
      <c r="KK50" s="189">
        <f>ROUND(KJ50*各项系数!$E$43,GT50)</f>
        <v>12</v>
      </c>
      <c r="KL50" s="235">
        <f>各项系数!$F$76/4*($NF50^2-$NE50^2)*10^-2*各项系数!$F$46*10^-3*10^2*各项系数!$J$4*PI()/4*R50</f>
        <v>0.1050958057301213</v>
      </c>
      <c r="KM50" s="102">
        <v>1</v>
      </c>
      <c r="KN50" s="189">
        <f t="shared" si="222"/>
        <v>0.1050958057301213</v>
      </c>
      <c r="KO50" s="189">
        <f>KN50*各项系数!$E$46</f>
        <v>7.0939668867831873</v>
      </c>
      <c r="KP50" s="235">
        <f>各项系数!$F$76/4*($NH50^2-$NE50^2)*10^-2*(VLOOKUP($KP$9,各项系数!$D$1:$F$143,3,0))*10^-3*10^2*各项系数!$J$4</f>
        <v>1.2478296942640685</v>
      </c>
      <c r="KQ50" s="102">
        <v>1</v>
      </c>
      <c r="KR50" s="189">
        <f t="shared" si="150"/>
        <v>1.2478296942640685</v>
      </c>
      <c r="KS50" s="189">
        <f>KR50*(VLOOKUP($KP$9,各项系数!$D$1:$F$143,2,0))</f>
        <v>21.213104802489166</v>
      </c>
      <c r="KT50" s="235">
        <f>各项系数!$F$76/4*($NI50^2-$NF50^2)*10^-2*(VLOOKUP($KT$9,各项系数!$D$1:$F$143,3,0))*10^-3*10^2*各项系数!$J$4</f>
        <v>1.2503679126326104</v>
      </c>
      <c r="KU50" s="102">
        <v>1</v>
      </c>
      <c r="KV50" s="189">
        <f t="shared" si="151"/>
        <v>1.2503679126326104</v>
      </c>
      <c r="KW50" s="189">
        <f>KV50*(VLOOKUP($KT$9,各项系数!$D$1:$F$143,2,0))</f>
        <v>21.256254514754378</v>
      </c>
      <c r="KX50" s="189">
        <f>各项系数!$F$76/4*($NH50^2-$NE50^2)*10^-2*(VLOOKUP($KX$9,各项系数!$D$1:$F$143,3,0))*10^-3*10^2*各项系数!$J$4</f>
        <v>1.2478296942640685</v>
      </c>
      <c r="KY50" s="353">
        <v>1</v>
      </c>
      <c r="KZ50" s="189">
        <f t="shared" si="152"/>
        <v>1.2478296942640685</v>
      </c>
      <c r="LA50" s="189">
        <f>KZ50*(VLOOKUP($KX$9,各项系数!$D$1:$F$143,2,0))</f>
        <v>21.213104802489166</v>
      </c>
      <c r="LB50" s="189">
        <f>各项系数!$F$76/4*($NI50^2-$NF50^2)*10^-2*(VLOOKUP($LB$9,各项系数!$D$1:$F$143,3,0))*10^-3*10^2*各项系数!$J$4</f>
        <v>1.2503679126326104</v>
      </c>
      <c r="LC50" s="353">
        <v>1</v>
      </c>
      <c r="LD50" s="189">
        <f t="shared" si="153"/>
        <v>1.2503679126326104</v>
      </c>
      <c r="LE50" s="189">
        <f>LD50*(VLOOKUP($LB$9,各项系数!$D$1:$F$143,2,0))</f>
        <v>21.256254514754378</v>
      </c>
      <c r="LF50" s="235">
        <f>各项系数!$F$76/4*($NH50^2-$NE50^2)*10^-2*(VLOOKUP(AN50,各项系数!$D$1:$F$143,3,0))*10^-3*10^2*各项系数!$J$4</f>
        <v>1.265041138322883</v>
      </c>
      <c r="LG50" s="102">
        <v>1</v>
      </c>
      <c r="LH50" s="189">
        <f t="shared" si="223"/>
        <v>1.265041138322883</v>
      </c>
      <c r="LI50" s="189">
        <f>LH50*(VLOOKUP(AN50,各项系数!$D$1:$F$143,2,0))</f>
        <v>12.65041138322883</v>
      </c>
      <c r="LJ50" s="235">
        <f>各项系数!$F$76/4*($NI50^2-$NF50^2)*10^-2*(VLOOKUP(AN50,各项系数!$D$1:$F$143,3,0))*10^-3*10^2*各项系数!$J$4</f>
        <v>1.2676143665999566</v>
      </c>
      <c r="LK50" s="102">
        <v>1</v>
      </c>
      <c r="LL50" s="189">
        <f t="shared" si="224"/>
        <v>1.2676143665999566</v>
      </c>
      <c r="LM50" s="189">
        <f>LL50*(VLOOKUP(AN50,各项系数!$D$1:$F$143,2,0))</f>
        <v>12.676143665999566</v>
      </c>
      <c r="LN50" s="189">
        <f>各项系数!$F$76/4*($NH50^2-$NE50^2)*10^-2*(VLOOKUP($LN$9,各项系数!$D$1:$F$143,3,0))*10^-3*10^2*各项系数!$J$4</f>
        <v>1.265041138322883</v>
      </c>
      <c r="LO50" s="353">
        <v>1</v>
      </c>
      <c r="LP50" s="189">
        <f t="shared" si="225"/>
        <v>1.265041138322883</v>
      </c>
      <c r="LQ50" s="189">
        <f>LP50*(VLOOKUP($LN$9,各项系数!$D$1:$F$143,2,0))</f>
        <v>13.915452521551714</v>
      </c>
      <c r="LR50" s="189">
        <f>各项系数!$F$76/4*($NI50^2-$NF50^2)*10^-2*(VLOOKUP($LR$9,各项系数!$D$1:$F$143,3,0))*10^-3*10^2*各项系数!$J$4</f>
        <v>1.2676143665999566</v>
      </c>
      <c r="LS50" s="353">
        <v>1</v>
      </c>
      <c r="LT50" s="189">
        <f t="shared" si="226"/>
        <v>1.2676143665999566</v>
      </c>
      <c r="LU50" s="189">
        <f>LT50*(VLOOKUP($LR$9,各项系数!$D$1:$F$143,2,0))</f>
        <v>13.943758032599522</v>
      </c>
      <c r="LV50" s="227">
        <f t="shared" si="154"/>
        <v>1623.4683657600001</v>
      </c>
      <c r="LW50" s="227">
        <f t="shared" si="155"/>
        <v>1222.61197915</v>
      </c>
      <c r="LX50" s="227">
        <f t="shared" si="156"/>
        <v>39.454757884451681</v>
      </c>
      <c r="LY50" s="227">
        <f t="shared" si="157"/>
        <v>400.85638661000007</v>
      </c>
      <c r="LZ50" s="374">
        <f t="shared" si="86"/>
        <v>1</v>
      </c>
      <c r="MA50" s="375">
        <f t="shared" si="87"/>
        <v>1623.4683657600001</v>
      </c>
      <c r="MB50" s="375">
        <f t="shared" si="158"/>
        <v>32.148593460000001</v>
      </c>
      <c r="MC50" s="227">
        <f t="shared" si="159"/>
        <v>0</v>
      </c>
      <c r="MD50" s="227">
        <f t="shared" si="160"/>
        <v>0</v>
      </c>
      <c r="ME50" s="227">
        <f t="shared" si="161"/>
        <v>0</v>
      </c>
      <c r="MF50" s="227">
        <f t="shared" si="162"/>
        <v>0</v>
      </c>
      <c r="MG50" s="374">
        <f t="shared" si="163"/>
        <v>1</v>
      </c>
      <c r="MH50" s="375">
        <f t="shared" si="88"/>
        <v>0</v>
      </c>
      <c r="MI50" s="375">
        <f t="shared" si="164"/>
        <v>0</v>
      </c>
      <c r="MJ50" s="189">
        <f t="shared" si="89"/>
        <v>32.148593460000001</v>
      </c>
      <c r="MK50" s="189">
        <f t="shared" si="165"/>
        <v>32.148593460000001</v>
      </c>
      <c r="ML50" s="189">
        <f t="shared" si="227"/>
        <v>0</v>
      </c>
      <c r="MM50" s="189">
        <f t="shared" si="91"/>
        <v>0</v>
      </c>
      <c r="MN50" s="189">
        <f t="shared" si="92"/>
        <v>36.948593459999998</v>
      </c>
      <c r="MO50" s="189">
        <f t="shared" si="166"/>
        <v>0</v>
      </c>
      <c r="MP50" s="189">
        <f t="shared" si="167"/>
        <v>73.897186919999996</v>
      </c>
      <c r="MQ50" s="189">
        <f t="shared" si="228"/>
        <v>73.897186919999996</v>
      </c>
      <c r="MR50" s="246">
        <f t="shared" si="168"/>
        <v>73.72147219</v>
      </c>
      <c r="MS50" s="380">
        <f t="shared" si="94"/>
        <v>73.897472190000002</v>
      </c>
      <c r="MT50" s="380">
        <f t="shared" si="95"/>
        <v>74.057472189999999</v>
      </c>
      <c r="MU50" s="380">
        <f t="shared" si="232"/>
        <v>75.397472190000002</v>
      </c>
      <c r="MV50" s="380">
        <f t="shared" si="97"/>
        <v>80.897472190000002</v>
      </c>
      <c r="MW50" s="380">
        <f t="shared" si="98"/>
        <v>81.057472189999999</v>
      </c>
      <c r="MX50" s="254">
        <f t="shared" si="233"/>
        <v>32.748593460000002</v>
      </c>
      <c r="MY50" s="254">
        <f t="shared" si="100"/>
        <v>0</v>
      </c>
      <c r="MZ50" s="189">
        <f t="shared" si="101"/>
        <v>37.548593459999999</v>
      </c>
      <c r="NA50" s="189">
        <f t="shared" si="102"/>
        <v>0</v>
      </c>
      <c r="NB50" s="189">
        <f t="shared" si="169"/>
        <v>75.097186919999999</v>
      </c>
      <c r="NC50" s="254">
        <f t="shared" si="229"/>
        <v>75.097186919999999</v>
      </c>
      <c r="ND50" s="246">
        <f t="shared" si="234"/>
        <v>74.918618800000004</v>
      </c>
      <c r="NE50" s="386">
        <f t="shared" si="235"/>
        <v>75.158618799999999</v>
      </c>
      <c r="NF50" s="380">
        <f t="shared" si="106"/>
        <v>75.318618799999996</v>
      </c>
      <c r="NG50" s="387">
        <f t="shared" si="236"/>
        <v>76.658618799999999</v>
      </c>
      <c r="NH50" s="254">
        <f t="shared" si="108"/>
        <v>82.158618799999999</v>
      </c>
      <c r="NI50" s="380">
        <f t="shared" si="109"/>
        <v>82.318618799999996</v>
      </c>
      <c r="NK50" s="388">
        <f t="shared" si="110"/>
        <v>13.082143595807301</v>
      </c>
      <c r="NL50" s="388">
        <f t="shared" si="111"/>
        <v>748.26032822871991</v>
      </c>
      <c r="NM50" s="388">
        <f t="shared" si="112"/>
        <v>13.082143595807301</v>
      </c>
      <c r="NN50" s="388">
        <f t="shared" si="113"/>
        <v>749.50508675380286</v>
      </c>
      <c r="NO50" s="388">
        <f t="shared" si="114"/>
        <v>13.628621191010271</v>
      </c>
      <c r="NP50" s="388">
        <f t="shared" si="115"/>
        <v>751.16621546914007</v>
      </c>
      <c r="NQ50" s="388">
        <f t="shared" si="116"/>
        <v>13.628621191010271</v>
      </c>
      <c r="NR50" s="388">
        <f t="shared" si="117"/>
        <v>752.43125660746296</v>
      </c>
      <c r="NS50" s="388">
        <f t="shared" si="118"/>
        <v>13.185477789997559</v>
      </c>
      <c r="NT50" s="388">
        <f t="shared" si="119"/>
        <v>13.185477789997559</v>
      </c>
      <c r="NU50" s="388">
        <f t="shared" si="120"/>
        <v>13.733716996740393</v>
      </c>
      <c r="NV50" s="388">
        <f t="shared" si="121"/>
        <v>13.733716996740393</v>
      </c>
      <c r="NW50">
        <f t="shared" si="122"/>
        <v>14.450679121030838</v>
      </c>
      <c r="NX50">
        <f>各项系数!$M$9*NK50</f>
        <v>3.9246430787421902</v>
      </c>
      <c r="NY50">
        <f t="shared" si="123"/>
        <v>13.185477789997558</v>
      </c>
    </row>
    <row r="51" spans="1:389" ht="15" hidden="1" customHeight="1">
      <c r="A51" s="74">
        <v>12</v>
      </c>
      <c r="B51" s="70">
        <v>1</v>
      </c>
      <c r="C51" s="67"/>
      <c r="D51" s="58" t="s">
        <v>919</v>
      </c>
      <c r="E51" s="54">
        <f t="shared" si="255"/>
        <v>90.537652190000003</v>
      </c>
      <c r="F51" s="68">
        <f>$F$35</f>
        <v>404.21883750578098</v>
      </c>
      <c r="G51" s="58"/>
      <c r="H51" s="16"/>
      <c r="I51" s="62"/>
      <c r="J51" s="16"/>
      <c r="K51" s="16"/>
      <c r="L51" s="97" t="s">
        <v>467</v>
      </c>
      <c r="M51" s="103">
        <f t="shared" si="2"/>
        <v>2.6</v>
      </c>
      <c r="N51" s="103">
        <f t="shared" si="252"/>
        <v>0</v>
      </c>
      <c r="O51" s="53">
        <f t="shared" si="265"/>
        <v>0.08</v>
      </c>
      <c r="P51" s="99">
        <v>0.1</v>
      </c>
      <c r="Q51" s="133">
        <f t="shared" si="253"/>
        <v>0.1</v>
      </c>
      <c r="R51" s="70">
        <v>0.8</v>
      </c>
      <c r="S51" s="142" t="str">
        <f>各项系数!$D$43</f>
        <v>钢带</v>
      </c>
      <c r="T51" s="62">
        <v>0.5</v>
      </c>
      <c r="U51" s="62">
        <v>2</v>
      </c>
      <c r="V51" s="143"/>
      <c r="W51" s="145">
        <v>3.7</v>
      </c>
      <c r="X51" s="135">
        <f t="shared" si="254"/>
        <v>0.2</v>
      </c>
      <c r="Y51" s="135"/>
      <c r="Z51" s="168"/>
      <c r="AA51" s="153">
        <f>$AA$35</f>
        <v>1.03</v>
      </c>
      <c r="AB51" s="153">
        <f>PI()*EJ51*EJ51/4*EH51*(1-H51)*AA51*各项系数!$F$5*各项系数!$J$4*10^-7</f>
        <v>7.1320582293852581</v>
      </c>
      <c r="AC51" s="153">
        <f t="shared" si="256"/>
        <v>404.21883750578098</v>
      </c>
      <c r="AD51" s="153">
        <f t="shared" si="5"/>
        <v>806.28770730878898</v>
      </c>
      <c r="AE51" s="153">
        <f>POWER(4*EU51/PI()/EG51/10^-7/EH51/(1-H51)/各项系数!$F$5/各项系数!$J$4,0.5)</f>
        <v>410.23731504138033</v>
      </c>
      <c r="AF51" s="69">
        <v>1</v>
      </c>
      <c r="AG51" s="69">
        <f>IF(EM51=0,0,PI()*ER51*ER51/4*EP51*(1-K51)*(1+AF51)*各项系数!$F$5*各项系数!$J$4*10^-7)</f>
        <v>0</v>
      </c>
      <c r="AH51" s="69">
        <f t="shared" si="257"/>
        <v>0</v>
      </c>
      <c r="AI51" s="69">
        <f t="shared" si="128"/>
        <v>0</v>
      </c>
      <c r="AJ51" s="69">
        <f>IF(OR(EP51="",EP51=0),0,POWER(4*EW51/PI()/EO51/10^-7/EP51/(1-K51)/各项系数!$F$5/各项系数!$J$4,0.5))</f>
        <v>0</v>
      </c>
      <c r="AK51" s="69" t="str">
        <f t="shared" si="8"/>
        <v>√</v>
      </c>
      <c r="AL51" s="69">
        <f t="shared" si="258"/>
        <v>985.42060081934903</v>
      </c>
      <c r="AM51" s="106">
        <f t="shared" si="259"/>
        <v>800</v>
      </c>
      <c r="AN51" s="97" t="s">
        <v>486</v>
      </c>
      <c r="AO51" s="196">
        <f>AP51+各项系数!$M$9*$NK51</f>
        <v>966.09862825426376</v>
      </c>
      <c r="AP51" s="196">
        <f>AQ51*(1+$BI51+(VLOOKUP($AM51,$A$12:$B$323,2,0))+各项系数!$J$6+各项系数!$M$5)*(1+$E$2)</f>
        <v>961.11959033636651</v>
      </c>
      <c r="AQ51" s="197">
        <f>AR51+各项系数!$L$9*$NK51</f>
        <v>980.73427585343518</v>
      </c>
      <c r="AR51" s="197">
        <f>AS51*(1+$BJ51+各项系数!$J$5+各项系数!$L$5)</f>
        <v>975.75523793553793</v>
      </c>
      <c r="AS51" s="197">
        <f t="shared" si="129"/>
        <v>956.6227822897431</v>
      </c>
      <c r="AT51" s="196">
        <f>AU51+各项系数!$M$9*$NM51</f>
        <v>976.08785977094442</v>
      </c>
      <c r="AU51" s="196">
        <f>AV51*(1+$BI51+(VLOOKUP($AM51,$A$12:$B$323,2,0))+各项系数!$J$6+各项系数!$M$5)*(1+$E$2)</f>
        <v>971.10882185304717</v>
      </c>
      <c r="AV51" s="197">
        <f>AW51+各项系数!$L$9*$NM51</f>
        <v>990.9273692378033</v>
      </c>
      <c r="AW51" s="197">
        <f>AX51*(1+$BJ51+各项系数!$J$5+各项系数!$L$5)</f>
        <v>985.94833131990606</v>
      </c>
      <c r="AX51" s="197">
        <f t="shared" si="130"/>
        <v>966.61601109794708</v>
      </c>
      <c r="AY51" s="196">
        <f>AZ51+各项系数!$M$9*$NS51</f>
        <v>974.03800881223367</v>
      </c>
      <c r="AZ51" s="196">
        <f>BA51*(1+$BI51+(VLOOKUP($AM51,$A$12:$B$214,2,0))+各项系数!$J$6+各项系数!$M$5)*(1+$E$2)</f>
        <v>969.02409853883319</v>
      </c>
      <c r="BA51" s="197">
        <f>BB51+各项系数!$L$9*$NS51</f>
        <v>988.80010054982984</v>
      </c>
      <c r="BB51" s="197">
        <f>BC51*(1+$BJ51+各项系数!$J$5+各项系数!$L$5)</f>
        <v>983.78619027642935</v>
      </c>
      <c r="BC51" s="199">
        <f t="shared" si="131"/>
        <v>964.49626497689155</v>
      </c>
      <c r="BD51" s="196">
        <f>BE51+各项系数!$M$9*$NS51</f>
        <v>984.04564567500984</v>
      </c>
      <c r="BE51" s="196">
        <f>BF51*(1+$BI51+(VLOOKUP($AM51,$A$12:$B$214,2,0))+各项系数!$J$6+各项系数!$M$5)*(1+$E$2)</f>
        <v>979.03173540160935</v>
      </c>
      <c r="BF51" s="197">
        <f>BG51+各项系数!$L$9*$NS51</f>
        <v>999.01197489960134</v>
      </c>
      <c r="BG51" s="197">
        <f>BH51*(1+$BJ51+各项系数!$J$5+各项系数!$L$5)</f>
        <v>993.99806462620086</v>
      </c>
      <c r="BH51" s="199">
        <f t="shared" si="132"/>
        <v>974.50790649627538</v>
      </c>
      <c r="BI51" s="213"/>
      <c r="BJ51" s="208"/>
      <c r="BK51" s="53" t="s">
        <v>514</v>
      </c>
      <c r="BL51" s="196">
        <f>BM51+各项系数!$M$9*$NM51</f>
        <v>976.96379612208341</v>
      </c>
      <c r="BM51" s="196">
        <f>BN51*(1+$CF51+(VLOOKUP($AM51,$A$12:$B$323,2,0))+各项系数!$J$6+各项系数!$M$5)*(1+$E$2)</f>
        <v>971.98475820418616</v>
      </c>
      <c r="BN51" s="197">
        <f>BO51+各项系数!$L$9*$NM51</f>
        <v>991.82118184100625</v>
      </c>
      <c r="BO51" s="197">
        <f>BP51*(1+$CG51+各项系数!$J$5+各项系数!$L$5)</f>
        <v>986.84214392310901</v>
      </c>
      <c r="BP51" s="197">
        <f t="shared" si="133"/>
        <v>958.09916885738733</v>
      </c>
      <c r="BQ51" s="196">
        <f>BR51+各项系数!$M$9*$NM51</f>
        <v>985.56069667970439</v>
      </c>
      <c r="BR51" s="196">
        <f>BS51*(1+$CF51+(VLOOKUP($AM51,$A$12:$B$323,2,0))+各项系数!$J$6+各项系数!$M$5)*(1+$E$2)</f>
        <v>980.58165876180715</v>
      </c>
      <c r="BS51" s="197">
        <f>BT51+各项系数!$L$9*$NM51</f>
        <v>1000.5935293487828</v>
      </c>
      <c r="BT51" s="197">
        <f>BU51*(1+$CG51+各项系数!$J$5+各项系数!$L$5)</f>
        <v>995.61449143088555</v>
      </c>
      <c r="BU51" s="197">
        <f t="shared" si="134"/>
        <v>966.61601109794708</v>
      </c>
      <c r="BV51" s="196">
        <f>BW51+各项系数!$M$9*$NT51</f>
        <v>980.07754871797658</v>
      </c>
      <c r="BW51" s="196">
        <f>BX51*(1+$CF51+(VLOOKUP($AM51,$A$12:$B$214,2,0))+各项系数!$J$6+各项系数!$M$5)*(1+$E$2)</f>
        <v>975.0636384445761</v>
      </c>
      <c r="BX51" s="197">
        <f>BY51+各项系数!$L$9*$NT$12</f>
        <v>994.96289637201642</v>
      </c>
      <c r="BY51" s="197">
        <f>BZ51*(1+$CG51+各项系数!$J$5+各项系数!$L$5)</f>
        <v>994.95463296886146</v>
      </c>
      <c r="BZ51" s="199">
        <f t="shared" si="11"/>
        <v>965.97537181442863</v>
      </c>
      <c r="CA51" s="196">
        <f>CB51+各项系数!$M$9*$NT51</f>
        <v>988.69028922583277</v>
      </c>
      <c r="CB51" s="196">
        <f>CC51*(1+$CF51+(VLOOKUP($AM51,$A$12:$B$214,2,0))+各项系数!$J$6+各项系数!$M$5)*(1+$E$2)</f>
        <v>983.67637895243229</v>
      </c>
      <c r="CC51" s="197">
        <f>CD51+各项系数!$L$9*$NT$12</f>
        <v>1003.7514070943187</v>
      </c>
      <c r="CD51" s="197">
        <f>CE51*(1+$CG51+各项系数!$J$5+各项系数!$L$5)</f>
        <v>1003.7431436911637</v>
      </c>
      <c r="CE51" s="199">
        <f t="shared" si="135"/>
        <v>974.50790649627538</v>
      </c>
      <c r="CF51" s="213">
        <f t="shared" si="136"/>
        <v>0</v>
      </c>
      <c r="CG51" s="213">
        <f t="shared" si="12"/>
        <v>0.01</v>
      </c>
      <c r="CH51" s="106"/>
      <c r="CI51" s="196">
        <f>CJ51+各项系数!$M$9*$NO51</f>
        <v>974.79465053430602</v>
      </c>
      <c r="CJ51" s="196">
        <f>CK51*(1+$DC51+(VLOOKUP($AM51,$A$12:$B$323,2,0))+各项系数!$J$6+各项系数!$M$5)*(1+$E$2)+各项系数!$M$9*$NK51</f>
        <v>969.61378550746656</v>
      </c>
      <c r="CK51" s="197">
        <f>CL51+各项系数!$L$9*$NO51</f>
        <v>984.32117100976461</v>
      </c>
      <c r="CL51" s="197">
        <f>CM51*(1+$DD51+各项系数!$J$5+各项系数!$L$5)</f>
        <v>979.14030598292516</v>
      </c>
      <c r="CM51" s="197">
        <f t="shared" si="13"/>
        <v>959.94147645384817</v>
      </c>
      <c r="CN51" s="196">
        <f>CO51+各项系数!$M$9*$NO51</f>
        <v>984.56955162035786</v>
      </c>
      <c r="CO51" s="196">
        <f>CP51*(1+$DC51+(VLOOKUP($AM51,$A$12:$B$323,2,0))+各项系数!$J$6+各项系数!$M$5)*(1+$E$2)+各项系数!$M$9*$NK51</f>
        <v>979.3886865935184</v>
      </c>
      <c r="CP51" s="197">
        <f>CQ51+各项系数!$L$9*$NO51</f>
        <v>994.29555987308288</v>
      </c>
      <c r="CQ51" s="197">
        <f>CR51*(1+$DD51+各项系数!$J$5+各项系数!$L$5)</f>
        <v>989.11469484624342</v>
      </c>
      <c r="CR51" s="197">
        <f t="shared" si="14"/>
        <v>969.7202890649445</v>
      </c>
      <c r="CS51" s="196">
        <f>CT51+各项系数!$M$9*$NU51</f>
        <v>977.87490078706276</v>
      </c>
      <c r="CT51" s="196">
        <f t="shared" si="15"/>
        <v>972.65863492125811</v>
      </c>
      <c r="CU51" s="197">
        <f>CV51+各项系数!$L$9*$NU51</f>
        <v>992.50881114414096</v>
      </c>
      <c r="CV51" s="197">
        <f>CW51*(1+$DD51+各项系数!$J$5+各项系数!$L$5)</f>
        <v>987.29254527833632</v>
      </c>
      <c r="CW51" s="199">
        <f t="shared" si="16"/>
        <v>967.9338679199376</v>
      </c>
      <c r="CX51" s="196">
        <f>CY51+各项系数!$M$9*$NU51</f>
        <v>988.02761164880189</v>
      </c>
      <c r="CY51" s="196">
        <f t="shared" si="17"/>
        <v>982.81134578299725</v>
      </c>
      <c r="CZ51" s="197">
        <f>DA51+各项系数!$L$9*$NU51</f>
        <v>1002.8687201867319</v>
      </c>
      <c r="DA51" s="197">
        <f>DB51*(1+$DD51+各项系数!$J$5+各项系数!$L$5)</f>
        <v>997.65245432092729</v>
      </c>
      <c r="DB51" s="199">
        <f t="shared" si="18"/>
        <v>978.0906414911052</v>
      </c>
      <c r="DC51" s="213">
        <f t="shared" si="137"/>
        <v>0</v>
      </c>
      <c r="DD51" s="213">
        <f t="shared" si="19"/>
        <v>0</v>
      </c>
      <c r="DE51" s="53" t="s">
        <v>498</v>
      </c>
      <c r="DF51" s="53" t="s">
        <v>513</v>
      </c>
      <c r="DG51" s="196">
        <f>DH51+各项系数!$M$9*$NQ51</f>
        <v>985.7139847758699</v>
      </c>
      <c r="DH51" s="196">
        <f>DI51*(1+$EA51+(VLOOKUP($AM51,$A$12:$B$323,2,0))+各项系数!$J$6+各项系数!$M$5)*(1+$E$2)+各项系数!$M$9*$NK51</f>
        <v>980.53311974903045</v>
      </c>
      <c r="DI51" s="197">
        <f>DJ51+各项系数!$L$9*$NQ51</f>
        <v>995.46334880727875</v>
      </c>
      <c r="DJ51" s="197">
        <f>DK51*(1+$EB51+各项系数!$J$5+各项系数!$L$5)</f>
        <v>990.28248378043929</v>
      </c>
      <c r="DK51" s="197">
        <f t="shared" si="20"/>
        <v>961.43930464120319</v>
      </c>
      <c r="DL51" s="196">
        <f>DM51+各项系数!$M$9*$NQ51</f>
        <v>994.43573845562537</v>
      </c>
      <c r="DM51" s="196">
        <f>DN51*(1+$EA51+(VLOOKUP($AM51,$A$12:$B$323,2,0))+各项系数!$J$6+各项系数!$M$5)*(1+$E$2)+各项系数!$M$9*$NK51</f>
        <v>989.25487342878591</v>
      </c>
      <c r="DN51" s="197">
        <f>DO51+各项系数!$L$9*$NQ51</f>
        <v>1004.3630974600904</v>
      </c>
      <c r="DO51" s="197">
        <f>DP51*(1+$EB51+各项系数!$J$5+各项系数!$L$5)</f>
        <v>999.18223243325099</v>
      </c>
      <c r="DP51" s="197">
        <f t="shared" si="21"/>
        <v>970.07983731383592</v>
      </c>
      <c r="DQ51" s="196">
        <f>DR51+各项系数!$M$9*$NV51</f>
        <v>988.87530630542426</v>
      </c>
      <c r="DR51" s="196">
        <f t="shared" si="22"/>
        <v>983.65904043961962</v>
      </c>
      <c r="DS51" s="197">
        <f>DT51+各项系数!$L$9*$NV51</f>
        <v>1003.7337147343057</v>
      </c>
      <c r="DT51" s="197">
        <f>DU51*(1+$EB51+各项系数!$J$5+各项系数!$L$5)</f>
        <v>998.51744886850111</v>
      </c>
      <c r="DU51" s="199">
        <f t="shared" si="23"/>
        <v>969.43441637718547</v>
      </c>
      <c r="DV51" s="196">
        <f>DW51+各项系数!$M$9*$NV51</f>
        <v>990.32663594495466</v>
      </c>
      <c r="DW51" s="196">
        <f t="shared" si="24"/>
        <v>985.11037007915002</v>
      </c>
      <c r="DX51" s="197">
        <f>DY51+各项系数!$L$9*$NV51</f>
        <v>1005.2146633460715</v>
      </c>
      <c r="DY51" s="197">
        <f>DZ51*(1+$EB51+各项系数!$J$5+各项系数!$L$5)</f>
        <v>999.99839748026682</v>
      </c>
      <c r="DZ51" s="199">
        <f t="shared" si="25"/>
        <v>970.87223056336586</v>
      </c>
      <c r="EA51" s="213">
        <f t="shared" si="230"/>
        <v>0</v>
      </c>
      <c r="EB51" s="213">
        <f t="shared" si="27"/>
        <v>0.01</v>
      </c>
      <c r="EC51" s="235">
        <f t="shared" si="138"/>
        <v>2</v>
      </c>
      <c r="ED51" s="237" t="str">
        <f t="shared" si="260"/>
        <v>2*800</v>
      </c>
      <c r="EE51" s="189">
        <f t="shared" si="239"/>
        <v>800</v>
      </c>
      <c r="EF51" s="78" t="str">
        <f>LOOKUP(EH51,{1,7,10,14,19,24,30,37,48,61},{1,"1+6","2+8","4+10","1+6+12","2+8+14","4+10+16","1+6+12+18","3+9+15+21","1+6+12+18+24"})</f>
        <v>1+6+12+18+24</v>
      </c>
      <c r="EG51" s="188">
        <f t="shared" si="29"/>
        <v>2</v>
      </c>
      <c r="EH51" s="197">
        <f>VLOOKUP(EE51,各项系数!$B$87:$C$124,2,0)</f>
        <v>61</v>
      </c>
      <c r="EI51" s="188">
        <f>IF(EH51=0,0,VLOOKUP(EH51,各项系数!$D$142:$E$195,2,0))*1</f>
        <v>9</v>
      </c>
      <c r="EJ51" s="238">
        <f t="shared" si="141"/>
        <v>404.21883750578098</v>
      </c>
      <c r="EK51" s="78">
        <f t="shared" si="261"/>
        <v>0</v>
      </c>
      <c r="EL51" s="189">
        <f t="shared" si="31"/>
        <v>0</v>
      </c>
      <c r="EM51" s="78">
        <f t="shared" si="262"/>
        <v>0</v>
      </c>
      <c r="EN51" s="78">
        <f>IF(EP51=0,0,LOOKUP(EP51,{1,7,10,14,19,24,30,37,48,61},{1,"1+6","2+8","4+10","1+6+12","2+8+14","4+10+16","1+6+12+18","3+9+15+21","1+6+12+18+24"}))</f>
        <v>0</v>
      </c>
      <c r="EO51" s="78">
        <f t="shared" si="263"/>
        <v>0</v>
      </c>
      <c r="EP51" s="78">
        <f>IF(EM51=0,0,IF(EM51&lt;10,1,IF(AND(EM51&gt;=10,EM51&lt;=35),7,LOOKUP(EM51,{50,70,95,120,150,185,240,300},{10,14,19,24,30,37,48,61})*1)))</f>
        <v>0</v>
      </c>
      <c r="EQ51" s="189">
        <f>IF(EP51=0,0,VLOOKUP(EP51,各项系数!$D$142:$E$195,2,0))*1</f>
        <v>0</v>
      </c>
      <c r="ER51" s="78">
        <f t="shared" si="264"/>
        <v>0</v>
      </c>
      <c r="ES51" s="237">
        <f t="shared" si="250"/>
        <v>2</v>
      </c>
      <c r="ET51" s="189">
        <f>VLOOKUP(ES51,各项系数!$D$142:$E$195,2,0)*1</f>
        <v>2</v>
      </c>
      <c r="EU51" s="243">
        <f>((各项系数!$F$76/4*$EJ51^2*$EG51*$EH51*1*10^-7)*(1-$H51)*AA51)*(VLOOKUP($EY$9,各项系数!$D$4:$F$143,3,0))*各项系数!$J$4</f>
        <v>14.264116458770516</v>
      </c>
      <c r="EV51" s="244">
        <f>EU51*(VLOOKUP($EY$9,各项系数!$D$4:$F$143,2,0))</f>
        <v>934.29962804946877</v>
      </c>
      <c r="EW51" s="252">
        <f>(IF($EO51=0,0,(各项系数!$F$76/4*$ER51^2*$EO51*$EP51*1*10^-7))*(1-$K51)*$AF51)*(VLOOKUP($EY$9,各项系数!$D$4:$F$143,3,0))*各项系数!$J$4</f>
        <v>0</v>
      </c>
      <c r="EX51" s="253">
        <f>EW51*(VLOOKUP($EY$9,各项系数!$D$4:$F$143,2,0))</f>
        <v>0</v>
      </c>
      <c r="EY51" s="189">
        <f>((各项系数!$F$76/4*$EJ51^2*$EG51*$EH51*1*10^-7)*(1-$H51)*AA51+IF($EO51=0,0,(各项系数!$F$76/4*$ER51^2*$EO51*$EP51*1*10^-7))*(1-$K51)*$AF51)*(VLOOKUP($EY$9,各项系数!$D$4:$F$143,3,0))*各项系数!$J$4</f>
        <v>14.264116458770516</v>
      </c>
      <c r="EZ51" s="102">
        <v>1</v>
      </c>
      <c r="FA51" s="189">
        <f t="shared" si="188"/>
        <v>14.264116458770516</v>
      </c>
      <c r="FB51" s="254">
        <f>FA51*(VLOOKUP($EY$9,各项系数!$D$4:$F$143,2,0))</f>
        <v>934.29962804946877</v>
      </c>
      <c r="FC51" s="257"/>
      <c r="FD51" s="235">
        <f>各项系数!$F$76/4*($MN51^2-MK51^2)*10^-2*(VLOOKUP(L51,各项系数!$D$1:$F$143,3,0))*10^-3*10^2*$EG51*各项系数!$J$4</f>
        <v>0.69695930959961938</v>
      </c>
      <c r="FE51" s="262">
        <f>FD51*VLOOKUP(L51,各项系数!$D$1:$F$143,2,0)</f>
        <v>7.1089849579161175</v>
      </c>
      <c r="FF51" s="188">
        <f>各项系数!$F$76/4*($MO51^2-ML51^2)*10^-2*(VLOOKUP(L51,各项系数!$D$1:$F$143,3,0))*10^-3*10^2*$EO51*各项系数!$J$4</f>
        <v>0</v>
      </c>
      <c r="FG51" s="262">
        <f>FF51*VLOOKUP(L51,各项系数!$D$1:$F$143,2,0)</f>
        <v>0</v>
      </c>
      <c r="FH51" s="235">
        <f t="shared" si="142"/>
        <v>0.69695930959961938</v>
      </c>
      <c r="FI51" s="102">
        <v>1</v>
      </c>
      <c r="FJ51" s="189">
        <f t="shared" si="189"/>
        <v>0.69695930959961938</v>
      </c>
      <c r="FK51" s="262">
        <f>FJ51*VLOOKUP(L51,各项系数!$D$1:$F$143,2,0)</f>
        <v>7.1089849579161175</v>
      </c>
      <c r="FL51" s="237"/>
      <c r="FM51" s="106"/>
      <c r="FN51" s="189"/>
      <c r="FO51" s="262"/>
      <c r="FP51" s="282">
        <f t="shared" si="190"/>
        <v>0.69695930959961938</v>
      </c>
      <c r="FQ51" s="282">
        <f t="shared" si="191"/>
        <v>7.1089849579161175</v>
      </c>
      <c r="FR51" s="283">
        <f>各项系数!$F$76/4*($MQ51^2-$MN51^2*$EG51-$MO51^2*$EO51)*10^-2</f>
        <v>27.157043281742855</v>
      </c>
      <c r="FS51" s="284">
        <f t="shared" si="143"/>
        <v>0.05</v>
      </c>
      <c r="FT51" s="285">
        <f t="shared" si="40"/>
        <v>1.3578521640871428</v>
      </c>
      <c r="FU51" s="302">
        <f>$FT51*(VLOOKUP($FT$9,各项系数!$D$1:$F$143,3,0))*10^-3*10^2*各项系数!$J$55</f>
        <v>0.16212754839200486</v>
      </c>
      <c r="FV51" s="303">
        <v>1</v>
      </c>
      <c r="FW51" s="304">
        <f t="shared" si="192"/>
        <v>0.16212754839200486</v>
      </c>
      <c r="FX51" s="285">
        <f>FW51*(VLOOKUP($FT$9,各项系数!$D$1:$F$143,2,0))</f>
        <v>0.48638264517601459</v>
      </c>
      <c r="FY51" s="302">
        <f>IF($BK51&lt;&gt;$FY$9,0,各项系数!$F$76/4*($MS51^2-$MQ51^2)*10^-2*(VLOOKUP($FY$9,各项系数!$D$1:$F$143,3,0))*10^-3*10^2)*各项系数!$J$4</f>
        <v>0</v>
      </c>
      <c r="FZ51" s="303">
        <v>1</v>
      </c>
      <c r="GA51" s="304">
        <f t="shared" si="193"/>
        <v>0</v>
      </c>
      <c r="GB51" s="285">
        <f>GA51*(VLOOKUP($FY$9,各项系数!$D$1:$F$143,2,0))</f>
        <v>0</v>
      </c>
      <c r="GC51" s="302">
        <f>IF($BK51&lt;&gt;$GC$9,0,各项系数!$F$76/4*($MS51^2-$MQ51^2)*10^-2*(VLOOKUP($GC$9,各项系数!$D$1:$F$143,3,0))*10^-3*10^2)*各项系数!$J$4</f>
        <v>-2.7968247488335788E-3</v>
      </c>
      <c r="GD51" s="303">
        <v>1</v>
      </c>
      <c r="GE51" s="304">
        <f t="shared" si="194"/>
        <v>-2.7968247488335788E-3</v>
      </c>
      <c r="GF51" s="285">
        <f>GE51*(VLOOKUP($GC$9,各项系数!$D$1:$F$143,2,0))</f>
        <v>-3.6079039259953163E-2</v>
      </c>
      <c r="GG51" s="302">
        <f>IF($BK51&lt;&gt;$GG$9,0,各项系数!$F$76/4*($MS51^2-$MQ51^2)*10^-2*(VLOOKUP($GG$9,各项系数!$D$1:$F$143,3,0))*10^-3*10^2)*各项系数!$J$4</f>
        <v>0</v>
      </c>
      <c r="GH51" s="303">
        <v>1</v>
      </c>
      <c r="GI51" s="304">
        <f t="shared" si="195"/>
        <v>0</v>
      </c>
      <c r="GJ51" s="285">
        <f>GI51*(VLOOKUP($GG$9,各项系数!$D$1:$F$143,2,0))</f>
        <v>0</v>
      </c>
      <c r="GK51" s="302">
        <f>IF($BK51&lt;&gt;$GK$9,0,各项系数!$F$76/4*($MS51^2-$MQ51^2)*10^-2*(VLOOKUP($GK$9,各项系数!$D$1:$F$143,3,0))*10^-3*10^2)*各项系数!$J$4</f>
        <v>0</v>
      </c>
      <c r="GL51" s="303">
        <v>1</v>
      </c>
      <c r="GM51" s="304">
        <f t="shared" si="196"/>
        <v>0</v>
      </c>
      <c r="GN51" s="285">
        <f>GM51*(VLOOKUP($GK$9,各项系数!$D$1:$F$143,2,0))</f>
        <v>0</v>
      </c>
      <c r="GO51" s="304">
        <f t="shared" si="197"/>
        <v>-2.7968247488335788E-3</v>
      </c>
      <c r="GP51" s="304">
        <f t="shared" si="198"/>
        <v>-3.6079039259953163E-2</v>
      </c>
      <c r="GQ51" s="315">
        <f>各项系数!$F$76/4*($MU51^2-$MS51^2)*10^-2*(VLOOKUP($S51,各项系数!$D$1:$F$143,3,0))*10^-3*10^2*各项系数!$J$4</f>
        <v>1.5379386438887432</v>
      </c>
      <c r="GR51" s="303">
        <v>1</v>
      </c>
      <c r="GS51" s="304">
        <f t="shared" si="199"/>
        <v>1.5379386438887432</v>
      </c>
      <c r="GT51" s="304">
        <f t="shared" si="200"/>
        <v>0</v>
      </c>
      <c r="GU51" s="304">
        <f>ROUND($GS51*(VLOOKUP($S51,各项系数!$D$1:$F$143,2,0))+$E$3*GS51,GT51)</f>
        <v>9</v>
      </c>
      <c r="GV51" s="315">
        <f>各项系数!$F$76/4*($MT51^2-$MS51^2)*10^-2*(VLOOKUP($GV$9,各项系数!$D$1:$F$143,3,0))*10^-3*10^2*各项系数!$J$4*PI()/4*R51</f>
        <v>0.11624118501065771</v>
      </c>
      <c r="GW51" s="303">
        <v>1</v>
      </c>
      <c r="GX51" s="304">
        <f t="shared" si="201"/>
        <v>0.11624118501065771</v>
      </c>
      <c r="GY51" s="304">
        <f>$GX51*(VLOOKUP($GV$9,各项系数!$D$1:$F$143,2,0))</f>
        <v>7.8462799882193952</v>
      </c>
      <c r="GZ51" s="315">
        <f>各项系数!$F$76/4*($MV51^2-$MS51^2)*10^-2*(VLOOKUP($GZ$9,各项系数!$D$1:$F$143,3,0))*10^-3*10^2*各项系数!$J$4</f>
        <v>1.4562996755674105</v>
      </c>
      <c r="HA51" s="303">
        <v>1</v>
      </c>
      <c r="HB51" s="304">
        <f t="shared" si="144"/>
        <v>1.4562996755674105</v>
      </c>
      <c r="HC51" s="304">
        <f>HB51*(VLOOKUP($GZ$9,各项系数!$D$1:$F$143,2,0))</f>
        <v>24.757094484645979</v>
      </c>
      <c r="HD51" s="315">
        <f>各项系数!$F$76/4*($MW51^2-$MT51^2)*10^-2*(VLOOKUP($HD$9,各项系数!$D$1:$F$143,3,0))*10^-3*10^2*各项系数!$J$4</f>
        <v>1.4589829349855818</v>
      </c>
      <c r="HE51" s="303">
        <v>1</v>
      </c>
      <c r="HF51" s="304">
        <f t="shared" si="145"/>
        <v>1.4589829349855818</v>
      </c>
      <c r="HG51" s="304">
        <f>HF51*(VLOOKUP($HD$9,各项系数!$D$1:$F$143,2,0))</f>
        <v>24.802709894754891</v>
      </c>
      <c r="HH51" s="315">
        <f>各项系数!$F$76/4*($MV51^2-$MS51^2)*10^-2*(VLOOKUP($HH$9,各项系数!$D$1:$F$143,3,0))*10^-3*10^2*各项系数!$J$4</f>
        <v>1.4562996755674105</v>
      </c>
      <c r="HI51" s="322">
        <v>1</v>
      </c>
      <c r="HJ51" s="304">
        <f t="shared" si="146"/>
        <v>1.4562996755674105</v>
      </c>
      <c r="HK51" s="304">
        <f>HJ51*(VLOOKUP($HH$9,各项系数!$D$1:$F$143,2,0))</f>
        <v>24.757094484645979</v>
      </c>
      <c r="HL51" s="315">
        <f>各项系数!$F$76/4*($MW51^2-$MT51^2)*10^-2*(VLOOKUP($HL$9,各项系数!$D$1:$F$143,3,0))*10^-3*10^2*各项系数!$J$4</f>
        <v>1.4589829349855818</v>
      </c>
      <c r="HM51" s="322">
        <v>1</v>
      </c>
      <c r="HN51" s="304">
        <f t="shared" si="147"/>
        <v>1.4589829349855818</v>
      </c>
      <c r="HO51" s="304">
        <f>HN51*(VLOOKUP($HL$9,各项系数!$D$1:$F$143,2,0))</f>
        <v>24.802709894754891</v>
      </c>
      <c r="HP51" s="315">
        <f>各项系数!$F$76/4*($MV51^2-$MS51^2)*10^-2*(VLOOKUP(AN51,各项系数!$D$1:$F$143,3,0))*10^-3*10^2*各项系数!$J$4</f>
        <v>1.4763865676442021</v>
      </c>
      <c r="HQ51" s="303">
        <v>1</v>
      </c>
      <c r="HR51" s="304">
        <f t="shared" si="202"/>
        <v>1.4763865676442021</v>
      </c>
      <c r="HS51" s="304">
        <f>HR51*(VLOOKUP(AN51,各项系数!$D$1:$F$143,2,0))</f>
        <v>14.76386567644202</v>
      </c>
      <c r="HT51" s="315">
        <f>各项系数!$F$76/4*($MW51^2-$MT51^2)*10^-2*(VLOOKUP(AN51,各项系数!$D$1:$F$143,3,0))*10^-3*10^2*各项系数!$J$4</f>
        <v>1.479106837537107</v>
      </c>
      <c r="HU51" s="303">
        <v>1</v>
      </c>
      <c r="HV51" s="304">
        <f t="shared" si="203"/>
        <v>1.479106837537107</v>
      </c>
      <c r="HW51" s="304">
        <f>HV51*(VLOOKUP(AN51,各项系数!$D$1:$F$143,2,0))</f>
        <v>14.79106837537107</v>
      </c>
      <c r="HX51" s="315">
        <f>各项系数!$F$76/4*($MV51^2-$MS51^2)*10^-2*(VLOOKUP($HX$9,各项系数!$D$1:$F$143,3,0))*10^-3*10^2*各项系数!$J$4</f>
        <v>1.4763865676442021</v>
      </c>
      <c r="HY51" s="322">
        <v>1</v>
      </c>
      <c r="HZ51" s="304">
        <f t="shared" si="204"/>
        <v>1.4763865676442021</v>
      </c>
      <c r="IA51" s="304">
        <f>HZ51*(VLOOKUP($HX$9,各项系数!$D$1:$F$143,2,0))</f>
        <v>16.240252244086221</v>
      </c>
      <c r="IB51" s="315">
        <f>各项系数!$F$76/4*($MW51^2-$MT51^2)*10^-2*(VLOOKUP($IB$9,各项系数!$D$1:$F$143,3,0))*10^-3*10^2*各项系数!$J$4</f>
        <v>1.479106837537107</v>
      </c>
      <c r="IC51" s="322">
        <v>1</v>
      </c>
      <c r="ID51" s="304">
        <f t="shared" si="205"/>
        <v>1.479106837537107</v>
      </c>
      <c r="IE51" s="304">
        <f>ID51*(VLOOKUP($IB$9,各项系数!$D$1:$F$143,2,0))</f>
        <v>16.270175212908178</v>
      </c>
      <c r="IF51" s="309"/>
      <c r="IG51" s="315">
        <f t="shared" si="148"/>
        <v>0.10319084852314214</v>
      </c>
      <c r="IH51" s="303">
        <v>1</v>
      </c>
      <c r="II51" s="304">
        <f t="shared" si="206"/>
        <v>0.10319084852314214</v>
      </c>
      <c r="IJ51" s="304">
        <f>II51*(VLOOKUP($IG$8,各项系数!$D$1:$F$143,2,0))</f>
        <v>2.5797712130785535</v>
      </c>
      <c r="IK51" s="315">
        <f>(各项系数!$F$76/4*($MX51^2-$MK51^2)*$EG51)*10^-2*(VLOOKUP($IG$8,各项系数!$D$1:$F$143,3,0))*10^-3*10^2*各项系数!$J$4</f>
        <v>0.10319084852314214</v>
      </c>
      <c r="IL51" s="303">
        <f>IK51*(VLOOKUP($IG$8,各项系数!$D$1:$F$143,2,0))</f>
        <v>2.5797712130785535</v>
      </c>
      <c r="IM51" s="304">
        <f>(各项系数!$F$76/4*(($MM51+3*$X51)^2-MM51^2)*$EO51)*10^-2*(VLOOKUP($IG$8,各项系数!$D$1:$F$143,3,0))*10^-3*10^2*各项系数!$J$4</f>
        <v>0</v>
      </c>
      <c r="IN51" s="303">
        <f>IM51*(VLOOKUP($IG$8,各项系数!$D$1:$F$143,2,0))</f>
        <v>0</v>
      </c>
      <c r="IO51" s="315">
        <f>各项系数!$F$76/4*($MZ51^2-$MX51^2)*10^-2*(VLOOKUP(L51,各项系数!$D$1:$F$143,3,0))*10^-3*10^2*$ES51*各项系数!$J$4</f>
        <v>0.70768734585680371</v>
      </c>
      <c r="IP51" s="303">
        <v>1</v>
      </c>
      <c r="IQ51" s="304">
        <f t="shared" si="207"/>
        <v>0.70768734585680371</v>
      </c>
      <c r="IR51" s="285">
        <f>IQ51*(VLOOKUP(L51,各项系数!$D$1:$F$143,2,0))</f>
        <v>7.2184109277393977</v>
      </c>
      <c r="IS51" s="315">
        <f>IF($L51&lt;&gt;$IS$9,0,各项系数!$F$76/4*($MZ51^2-$MX51^2)*10^-2*各项系数!$F$12*10^-3*10^2)*$ES51*各项系数!$J$4</f>
        <v>0</v>
      </c>
      <c r="IT51" s="310">
        <v>1</v>
      </c>
      <c r="IU51" s="304">
        <f t="shared" si="208"/>
        <v>0</v>
      </c>
      <c r="IV51" s="285">
        <f>IU51*各项系数!$E$12</f>
        <v>0</v>
      </c>
      <c r="IW51" s="302">
        <f t="shared" si="209"/>
        <v>0.70768734585680371</v>
      </c>
      <c r="IX51" s="302">
        <f t="shared" si="210"/>
        <v>7.2184109277393977</v>
      </c>
      <c r="IY51" s="339">
        <f>各项系数!$F$76/4*($NB51^2-$MZ51^2*$EG51-$NA51^2*$EO51)*10^-2</f>
        <v>27.946456942539154</v>
      </c>
      <c r="IZ51" s="284">
        <f t="shared" si="231"/>
        <v>0.05</v>
      </c>
      <c r="JA51" s="285">
        <f t="shared" si="64"/>
        <v>1.3973228471269579</v>
      </c>
      <c r="JB51" s="282">
        <f>IF($DE51&lt;&gt;$JB$9,0,$JA51*各项系数!$F$32*10^-3*10^2)*各项系数!$J$4</f>
        <v>0</v>
      </c>
      <c r="JC51" s="102">
        <v>1</v>
      </c>
      <c r="JD51" s="189">
        <f t="shared" si="211"/>
        <v>0</v>
      </c>
      <c r="JE51" s="262">
        <f>JD51*各项系数!$E$32</f>
        <v>0</v>
      </c>
      <c r="JF51" s="282">
        <f>IF($DE51&lt;&gt;$JF$9,0,$JA51*VLOOKUP($JF$9,各项系数!$D$4:$F$540,2,0)*10^-3*10^2)*各项系数!$J$4</f>
        <v>0.69516811644566157</v>
      </c>
      <c r="JG51" s="102">
        <v>1</v>
      </c>
      <c r="JH51" s="189">
        <f t="shared" si="66"/>
        <v>0.69516811644566157</v>
      </c>
      <c r="JI51" s="262">
        <f>JH51*VLOOKUP($JF$9,各项系数!$D$4:$F$540,3,0)</f>
        <v>0.83420173973479383</v>
      </c>
      <c r="JJ51" s="282">
        <f t="shared" si="212"/>
        <v>0.69516811644566157</v>
      </c>
      <c r="JK51" s="189">
        <f t="shared" si="213"/>
        <v>0.83420173973479383</v>
      </c>
      <c r="JL51" s="282">
        <f>IF($DF51&lt;&gt;$JL$9,0,各项系数!$F$76/4*($NE51^2-$NC51^2)*10^-2*各项系数!$F$39*10^-3*10^2)*各项系数!$J$4</f>
        <v>1.5591325138537072E-3</v>
      </c>
      <c r="JM51" s="102">
        <v>1</v>
      </c>
      <c r="JN51" s="189">
        <f t="shared" si="214"/>
        <v>1.5591325138537072E-3</v>
      </c>
      <c r="JO51" s="262">
        <f>JN51*各项系数!$E$39</f>
        <v>3.1182650277074144E-2</v>
      </c>
      <c r="JP51" s="282">
        <f>IF($DF51&lt;&gt;$JP$9,0,各项系数!$F$76/4*($NE51^2-$NC51^2)*10^-2*各项系数!$F$36*10^-3*10^2)*各项系数!$J$4</f>
        <v>0</v>
      </c>
      <c r="JQ51" s="102">
        <v>1</v>
      </c>
      <c r="JR51" s="189">
        <f t="shared" si="215"/>
        <v>0</v>
      </c>
      <c r="JS51" s="262">
        <f>JR51*各项系数!$E$36</f>
        <v>0</v>
      </c>
      <c r="JT51" s="282">
        <f>IF($DF51&lt;&gt;$JT$9,0,各项系数!$F$76/4*($NE51^2-$NC51^2)*10^-2*各项系数!$F$40*10^-3*10^2)*各项系数!$J$4</f>
        <v>0</v>
      </c>
      <c r="JU51" s="102">
        <v>1</v>
      </c>
      <c r="JV51" s="189">
        <f t="shared" si="216"/>
        <v>0</v>
      </c>
      <c r="JW51" s="262">
        <f>JV51*各项系数!$E$40</f>
        <v>0</v>
      </c>
      <c r="JX51" s="282">
        <f>IF($DF51&lt;&gt;$JX$9,0,各项系数!$F$76/4*($NE51^2-$NC51^2)*10^-2*各项系数!$F$38*10^-3*10^2)*各项系数!$J$4</f>
        <v>0</v>
      </c>
      <c r="JY51" s="102">
        <v>1</v>
      </c>
      <c r="JZ51" s="189">
        <f t="shared" si="217"/>
        <v>0</v>
      </c>
      <c r="KA51" s="262">
        <f>JZ51*各项系数!$E$38</f>
        <v>0</v>
      </c>
      <c r="KB51" s="282">
        <f>IF($DF51&lt;&gt;$KB$9,0,各项系数!$F$76/4*($NE51^2-$NC51^2)*10^-2*各项系数!$F$41*10^-3*10^2)*各项系数!$J$4</f>
        <v>0</v>
      </c>
      <c r="KC51" s="102">
        <v>1</v>
      </c>
      <c r="KD51" s="189">
        <f t="shared" si="218"/>
        <v>0</v>
      </c>
      <c r="KE51" s="262">
        <f>KD51*各项系数!$E$41</f>
        <v>0</v>
      </c>
      <c r="KF51" s="189">
        <f t="shared" si="219"/>
        <v>1.5591325138537072E-3</v>
      </c>
      <c r="KG51" s="189">
        <f t="shared" si="220"/>
        <v>3.1182650277074144E-2</v>
      </c>
      <c r="KH51" s="235">
        <f>各项系数!$F$76/4*($NG51^2-$NE51^2)*10^-2*各项系数!$F$44*10^-3*10^2*各项系数!$J$4*0.75*$U51</f>
        <v>2.3415894604838687</v>
      </c>
      <c r="KI51" s="102">
        <v>1</v>
      </c>
      <c r="KJ51" s="189">
        <f t="shared" si="221"/>
        <v>2.3415894604838687</v>
      </c>
      <c r="KK51" s="189">
        <f>ROUND(KJ51*各项系数!$E$43,GT51)</f>
        <v>14</v>
      </c>
      <c r="KL51" s="235">
        <f>各项系数!$F$76/4*($NF51^2-$NE51^2)*10^-2*各项系数!$F$46*10^-3*10^2*各项系数!$J$4*PI()/4*R51</f>
        <v>0.11800279655052476</v>
      </c>
      <c r="KM51" s="102">
        <v>1</v>
      </c>
      <c r="KN51" s="189">
        <f t="shared" si="222"/>
        <v>0.11800279655052476</v>
      </c>
      <c r="KO51" s="189">
        <f>KN51*各项系数!$E$46</f>
        <v>7.9651887671604209</v>
      </c>
      <c r="KP51" s="235">
        <f>各项系数!$F$76/4*($NH51^2-$NE51^2)*10^-2*(VLOOKUP($KP$9,各项系数!$D$1:$F$143,3,0))*10^-3*10^2*各项系数!$J$4</f>
        <v>1.4774495725610259</v>
      </c>
      <c r="KQ51" s="102">
        <v>1</v>
      </c>
      <c r="KR51" s="189">
        <f t="shared" si="150"/>
        <v>1.4774495725610259</v>
      </c>
      <c r="KS51" s="189">
        <f>KR51*(VLOOKUP($KP$9,各项系数!$D$1:$F$143,2,0))</f>
        <v>25.116642733537439</v>
      </c>
      <c r="KT51" s="235">
        <f>各项系数!$F$76/4*($NI51^2-$NF51^2)*10^-2*(VLOOKUP($KT$9,各项系数!$D$1:$F$143,3,0))*10^-3*10^2*各项系数!$J$4</f>
        <v>1.4801328319791975</v>
      </c>
      <c r="KU51" s="102">
        <v>1</v>
      </c>
      <c r="KV51" s="189">
        <f t="shared" si="151"/>
        <v>1.4801328319791975</v>
      </c>
      <c r="KW51" s="189">
        <f>KV51*(VLOOKUP($KT$9,各项系数!$D$1:$F$143,2,0))</f>
        <v>25.162258143646358</v>
      </c>
      <c r="KX51" s="189">
        <f>各项系数!$F$76/4*($NH51^2-$NE51^2)*10^-2*(VLOOKUP($KX$9,各项系数!$D$1:$F$143,3,0))*10^-3*10^2*各项系数!$J$4</f>
        <v>1.4774495725610259</v>
      </c>
      <c r="KY51" s="353">
        <v>1</v>
      </c>
      <c r="KZ51" s="189">
        <f t="shared" si="152"/>
        <v>1.4774495725610259</v>
      </c>
      <c r="LA51" s="189">
        <f>KZ51*(VLOOKUP($KX$9,各项系数!$D$1:$F$143,2,0))</f>
        <v>25.116642733537439</v>
      </c>
      <c r="LB51" s="189">
        <f>各项系数!$F$76/4*($NI51^2-$NF51^2)*10^-2*(VLOOKUP($LB$9,各项系数!$D$1:$F$143,3,0))*10^-3*10^2*各项系数!$J$4</f>
        <v>1.4801328319791975</v>
      </c>
      <c r="LC51" s="353">
        <v>1</v>
      </c>
      <c r="LD51" s="189">
        <f t="shared" si="153"/>
        <v>1.4801328319791975</v>
      </c>
      <c r="LE51" s="189">
        <f>LD51*(VLOOKUP($LB$9,各项系数!$D$1:$F$143,2,0))</f>
        <v>25.162258143646358</v>
      </c>
      <c r="LF51" s="235">
        <f>各项系数!$F$76/4*($NH51^2-$NE51^2)*10^-2*(VLOOKUP(AN51,各项系数!$D$1:$F$143,3,0))*10^-3*10^2*各项系数!$J$4</f>
        <v>1.497828187354971</v>
      </c>
      <c r="LG51" s="102">
        <v>1</v>
      </c>
      <c r="LH51" s="189">
        <f t="shared" si="223"/>
        <v>1.497828187354971</v>
      </c>
      <c r="LI51" s="189">
        <f>LH51*(VLOOKUP(AN51,各项系数!$D$1:$F$143,2,0))</f>
        <v>14.97828187354971</v>
      </c>
      <c r="LJ51" s="235">
        <f>各项系数!$F$76/4*($NI51^2-$NF51^2)*10^-2*(VLOOKUP(AN51,各项系数!$D$1:$F$143,3,0))*10^-3*10^2*各项系数!$J$4</f>
        <v>1.5005484572478762</v>
      </c>
      <c r="LK51" s="102">
        <v>1</v>
      </c>
      <c r="LL51" s="189">
        <f t="shared" si="224"/>
        <v>1.5005484572478762</v>
      </c>
      <c r="LM51" s="189">
        <f>LL51*(VLOOKUP(AN51,各项系数!$D$1:$F$143,2,0))</f>
        <v>15.005484572478762</v>
      </c>
      <c r="LN51" s="189">
        <f>各项系数!$F$76/4*($NH51^2-$NE51^2)*10^-2*(VLOOKUP($LN$9,各项系数!$D$1:$F$143,3,0))*10^-3*10^2*各项系数!$J$4</f>
        <v>1.497828187354971</v>
      </c>
      <c r="LO51" s="353">
        <v>1</v>
      </c>
      <c r="LP51" s="189">
        <f t="shared" si="225"/>
        <v>1.497828187354971</v>
      </c>
      <c r="LQ51" s="189">
        <f>LP51*(VLOOKUP($LN$9,各项系数!$D$1:$F$143,2,0))</f>
        <v>16.476110060904681</v>
      </c>
      <c r="LR51" s="189">
        <f>各项系数!$F$76/4*($NI51^2-$NF51^2)*10^-2*(VLOOKUP($LR$9,各项系数!$D$1:$F$143,3,0))*10^-3*10^2*各项系数!$J$4</f>
        <v>1.5005484572478762</v>
      </c>
      <c r="LS51" s="353">
        <v>1</v>
      </c>
      <c r="LT51" s="189">
        <f t="shared" si="226"/>
        <v>1.5005484572478762</v>
      </c>
      <c r="LU51" s="189">
        <f>LT51*(VLOOKUP($LR$9,各项系数!$D$1:$F$143,2,0))</f>
        <v>16.506033029726638</v>
      </c>
      <c r="LV51" s="227">
        <f t="shared" si="154"/>
        <v>2078.92103937</v>
      </c>
      <c r="LW51" s="227">
        <f t="shared" si="155"/>
        <v>1565.60720249</v>
      </c>
      <c r="LX51" s="227">
        <f t="shared" si="156"/>
        <v>44.647429956633104</v>
      </c>
      <c r="LY51" s="227">
        <f t="shared" si="157"/>
        <v>513.31383688000005</v>
      </c>
      <c r="LZ51" s="374">
        <f t="shared" si="86"/>
        <v>1</v>
      </c>
      <c r="MA51" s="375">
        <f t="shared" si="87"/>
        <v>2078.92103937</v>
      </c>
      <c r="MB51" s="375">
        <f t="shared" si="158"/>
        <v>36.379695419999997</v>
      </c>
      <c r="MC51" s="227">
        <f t="shared" si="159"/>
        <v>0</v>
      </c>
      <c r="MD51" s="227">
        <f t="shared" si="160"/>
        <v>0</v>
      </c>
      <c r="ME51" s="227">
        <f t="shared" si="161"/>
        <v>0</v>
      </c>
      <c r="MF51" s="227">
        <f t="shared" si="162"/>
        <v>0</v>
      </c>
      <c r="MG51" s="374">
        <f t="shared" si="163"/>
        <v>1</v>
      </c>
      <c r="MH51" s="375">
        <f t="shared" si="88"/>
        <v>0</v>
      </c>
      <c r="MI51" s="375">
        <f t="shared" si="164"/>
        <v>0</v>
      </c>
      <c r="MJ51" s="189">
        <f t="shared" si="89"/>
        <v>36.379695419999997</v>
      </c>
      <c r="MK51" s="189">
        <f t="shared" si="165"/>
        <v>36.379695419999997</v>
      </c>
      <c r="ML51" s="189">
        <f t="shared" si="227"/>
        <v>0</v>
      </c>
      <c r="MM51" s="189">
        <f t="shared" si="91"/>
        <v>0</v>
      </c>
      <c r="MN51" s="189">
        <f t="shared" si="92"/>
        <v>41.57969542</v>
      </c>
      <c r="MO51" s="189">
        <f t="shared" si="166"/>
        <v>0</v>
      </c>
      <c r="MP51" s="189">
        <f t="shared" si="167"/>
        <v>83.15939084</v>
      </c>
      <c r="MQ51" s="189">
        <f t="shared" si="228"/>
        <v>83.15939084</v>
      </c>
      <c r="MR51" s="246">
        <f t="shared" si="168"/>
        <v>82.961652189999995</v>
      </c>
      <c r="MS51" s="380">
        <f t="shared" si="94"/>
        <v>83.137652189999997</v>
      </c>
      <c r="MT51" s="380">
        <f t="shared" si="95"/>
        <v>83.297652189999994</v>
      </c>
      <c r="MU51" s="380">
        <f t="shared" si="232"/>
        <v>84.637652189999997</v>
      </c>
      <c r="MV51" s="380">
        <f t="shared" si="97"/>
        <v>90.537652190000003</v>
      </c>
      <c r="MW51" s="380">
        <f t="shared" si="98"/>
        <v>90.697652189999999</v>
      </c>
      <c r="MX51" s="254">
        <f t="shared" si="233"/>
        <v>36.979695419999999</v>
      </c>
      <c r="MY51" s="254">
        <f t="shared" si="100"/>
        <v>0</v>
      </c>
      <c r="MZ51" s="189">
        <f t="shared" si="101"/>
        <v>42.179695420000002</v>
      </c>
      <c r="NA51" s="189">
        <f t="shared" si="102"/>
        <v>0</v>
      </c>
      <c r="NB51" s="189">
        <f t="shared" si="169"/>
        <v>84.359390840000003</v>
      </c>
      <c r="NC51" s="254">
        <f t="shared" si="229"/>
        <v>84.359390840000003</v>
      </c>
      <c r="ND51" s="246">
        <f t="shared" si="234"/>
        <v>84.1587988</v>
      </c>
      <c r="NE51" s="386">
        <f t="shared" si="235"/>
        <v>84.398798799999994</v>
      </c>
      <c r="NF51" s="380">
        <f t="shared" si="106"/>
        <v>84.558798799999991</v>
      </c>
      <c r="NG51" s="387">
        <f t="shared" si="236"/>
        <v>85.898798799999994</v>
      </c>
      <c r="NH51" s="254">
        <f t="shared" si="108"/>
        <v>91.7987988</v>
      </c>
      <c r="NI51" s="380">
        <f t="shared" si="109"/>
        <v>91.958798799999997</v>
      </c>
      <c r="NK51" s="388">
        <f t="shared" si="110"/>
        <v>16.596793059657507</v>
      </c>
      <c r="NL51" s="388">
        <f t="shared" si="111"/>
        <v>956.6227822897431</v>
      </c>
      <c r="NM51" s="388">
        <f t="shared" si="112"/>
        <v>16.596793059657507</v>
      </c>
      <c r="NN51" s="388">
        <f t="shared" si="113"/>
        <v>958.09916885738733</v>
      </c>
      <c r="NO51" s="388">
        <f t="shared" si="114"/>
        <v>17.26955008946495</v>
      </c>
      <c r="NP51" s="388">
        <f t="shared" si="115"/>
        <v>959.94147645384828</v>
      </c>
      <c r="NQ51" s="388">
        <f t="shared" si="116"/>
        <v>17.26955008946495</v>
      </c>
      <c r="NR51" s="388">
        <f t="shared" si="117"/>
        <v>961.43930464120319</v>
      </c>
      <c r="NS51" s="388">
        <f t="shared" si="118"/>
        <v>16.713034244668165</v>
      </c>
      <c r="NT51" s="388">
        <f t="shared" si="119"/>
        <v>16.713034244668165</v>
      </c>
      <c r="NU51" s="388">
        <f t="shared" si="120"/>
        <v>17.387552886015474</v>
      </c>
      <c r="NV51" s="388">
        <f t="shared" si="121"/>
        <v>17.387552886015474</v>
      </c>
      <c r="NW51">
        <f t="shared" si="122"/>
        <v>18.134731703546251</v>
      </c>
      <c r="NX51">
        <f>各项系数!$M$9*NK51</f>
        <v>4.9790379178972524</v>
      </c>
      <c r="NY51">
        <f t="shared" si="123"/>
        <v>16.713034244668165</v>
      </c>
    </row>
    <row r="52" spans="1:389" ht="15" hidden="1" customHeight="1">
      <c r="A52" s="74">
        <v>14</v>
      </c>
      <c r="B52" s="70">
        <v>1</v>
      </c>
      <c r="C52" s="67"/>
      <c r="D52" s="53" t="s">
        <v>197</v>
      </c>
      <c r="E52" s="54">
        <f t="shared" si="255"/>
        <v>15.297243119999999</v>
      </c>
      <c r="F52" s="68">
        <f>$F$20</f>
        <v>131.13029499843299</v>
      </c>
      <c r="G52" s="58"/>
      <c r="H52" s="62"/>
      <c r="I52" s="62"/>
      <c r="J52" s="62"/>
      <c r="K52" s="62"/>
      <c r="L52" s="97" t="s">
        <v>467</v>
      </c>
      <c r="M52" s="103">
        <f t="shared" si="2"/>
        <v>0.7</v>
      </c>
      <c r="N52" s="103">
        <f t="shared" si="252"/>
        <v>0</v>
      </c>
      <c r="O52" s="53">
        <f t="shared" si="265"/>
        <v>0.08</v>
      </c>
      <c r="P52" s="99">
        <v>0.1</v>
      </c>
      <c r="Q52" s="133">
        <f t="shared" si="253"/>
        <v>0.1</v>
      </c>
      <c r="R52" s="70">
        <v>0.8</v>
      </c>
      <c r="S52" s="142" t="str">
        <f>各项系数!$D$43</f>
        <v>钢带</v>
      </c>
      <c r="T52" s="58">
        <v>0.2</v>
      </c>
      <c r="U52" s="62">
        <v>2</v>
      </c>
      <c r="V52" s="137"/>
      <c r="W52" s="103">
        <v>1.8</v>
      </c>
      <c r="X52" s="135">
        <f t="shared" si="254"/>
        <v>0.2</v>
      </c>
      <c r="Y52" s="135"/>
      <c r="Z52" s="168"/>
      <c r="AA52" s="153">
        <f>$AA$20</f>
        <v>1.0109999999999999</v>
      </c>
      <c r="AB52" s="153">
        <f>PI()*EJ52*EJ52/4*EH52*(1-H52)*AA52*各项系数!$F$5*各项系数!$J$4*10^-7</f>
        <v>8.4541508952717087E-2</v>
      </c>
      <c r="AC52" s="153">
        <f t="shared" si="256"/>
        <v>131.13029499843299</v>
      </c>
      <c r="AD52" s="153">
        <f t="shared" si="5"/>
        <v>9.5575186339704263</v>
      </c>
      <c r="AE52" s="153">
        <f>POWER(4*EU52/PI()/EG52/10^-7/EH52/(1-H52)/各项系数!$F$5/各项系数!$J$4,0.5)</f>
        <v>131.84953910919143</v>
      </c>
      <c r="AF52" s="69">
        <v>1</v>
      </c>
      <c r="AG52" s="69">
        <f>IF(EM52=0,0,PI()*ER52*ER52/4*EP52*(1-K52)*(1+AF52)*各项系数!$F$5*各项系数!$J$4*10^-7)</f>
        <v>0</v>
      </c>
      <c r="AH52" s="69">
        <f t="shared" si="257"/>
        <v>0</v>
      </c>
      <c r="AI52" s="69">
        <f t="shared" si="128"/>
        <v>0</v>
      </c>
      <c r="AJ52" s="69">
        <f>IF(OR(EP52="",EP52=0),0,POWER(4*EW52/PI()/EO52/10^-7/EP52/(1-K52)/各项系数!$F$5/各项系数!$J$4,0.5))</f>
        <v>0</v>
      </c>
      <c r="AK52" s="69" t="str">
        <f t="shared" si="8"/>
        <v>√</v>
      </c>
      <c r="AL52" s="69">
        <f t="shared" si="258"/>
        <v>18.872027976704516</v>
      </c>
      <c r="AM52" s="188">
        <f t="shared" si="259"/>
        <v>10</v>
      </c>
      <c r="AN52" s="97" t="s">
        <v>486</v>
      </c>
      <c r="AO52" s="196">
        <f>AP52+各项系数!$M$9*$NK52</f>
        <v>18.501988212455409</v>
      </c>
      <c r="AP52" s="196">
        <f>AQ52*(1+$BI52+(VLOOKUP($AM52,$A$12:$B$323,2,0))+各项系数!$J$6+各项系数!$M$5)*(1+$E$2)</f>
        <v>18.368091724790617</v>
      </c>
      <c r="AQ52" s="197">
        <f>AR52+各项系数!$L$9*$NK52</f>
        <v>18.742950739582263</v>
      </c>
      <c r="AR52" s="197">
        <f>AS52*(1+$BJ52+各项系数!$J$5+各项系数!$L$5)</f>
        <v>18.60905425191747</v>
      </c>
      <c r="AS52" s="197">
        <f t="shared" si="129"/>
        <v>18.244170835213207</v>
      </c>
      <c r="AT52" s="196">
        <f>AU52+各项系数!$M$9*$NM52</f>
        <v>19.257323644420339</v>
      </c>
      <c r="AU52" s="196">
        <f>AV52*(1+$BI52+(VLOOKUP($AM52,$A$12:$B$323,2,0))+各项系数!$J$6+各项系数!$M$5)*(1+$E$2)</f>
        <v>19.123427156755547</v>
      </c>
      <c r="AV52" s="197">
        <f>AW52+各项系数!$L$9*$NM52</f>
        <v>19.513701180362805</v>
      </c>
      <c r="AW52" s="197">
        <f>AX52*(1+$BJ52+各项系数!$J$5+各项系数!$L$5)</f>
        <v>19.379804692698013</v>
      </c>
      <c r="AX52" s="197">
        <f t="shared" si="130"/>
        <v>18.999808522252952</v>
      </c>
      <c r="AY52" s="196">
        <f>AZ52+各项系数!$M$9*$NS52</f>
        <v>19.634976330167682</v>
      </c>
      <c r="AZ52" s="196">
        <f>BA52*(1+$BI52+(VLOOKUP($AM52,$A$12:$B$214,2,0))+各项系数!$J$6+各项系数!$M$5)*(1+$E$2)</f>
        <v>19.496144589006544</v>
      </c>
      <c r="BA52" s="197">
        <f>BB52+各项系数!$L$9*$NS52</f>
        <v>19.894025090823003</v>
      </c>
      <c r="BB52" s="197">
        <f>BC52*(1+$BJ52+各项系数!$J$5+各项系数!$L$5)</f>
        <v>19.755193349661866</v>
      </c>
      <c r="BC52" s="199">
        <f t="shared" si="131"/>
        <v>19.367836617315554</v>
      </c>
      <c r="BD52" s="196">
        <f>BE52+各项系数!$M$9*$NS52</f>
        <v>20.399265714287125</v>
      </c>
      <c r="BE52" s="196">
        <f>BF52*(1+$BI52+(VLOOKUP($AM52,$A$12:$B$214,2,0))+各项系数!$J$6+各项系数!$M$5)*(1+$E$2)</f>
        <v>20.260433973125988</v>
      </c>
      <c r="BF52" s="197">
        <f>BG52+各项系数!$L$9*$NS52</f>
        <v>20.673912217475497</v>
      </c>
      <c r="BG52" s="197">
        <f>BH52*(1+$BJ52+各项系数!$J$5+各项系数!$L$5)</f>
        <v>20.535080476314359</v>
      </c>
      <c r="BH52" s="199">
        <f t="shared" si="132"/>
        <v>20.132431839523882</v>
      </c>
      <c r="BI52" s="211">
        <v>0</v>
      </c>
      <c r="BJ52" s="208"/>
      <c r="BK52" s="53" t="s">
        <v>514</v>
      </c>
      <c r="BL52" s="196">
        <f>BM52+各项系数!$M$9*$NM52</f>
        <v>18.793467398349843</v>
      </c>
      <c r="BM52" s="196">
        <f>BN52*(1+$CF52+(VLOOKUP($AM52,$A$12:$B$323,2,0))+各项系数!$J$6+各项系数!$M$5)*(1+$E$2)</f>
        <v>18.659570910685051</v>
      </c>
      <c r="BN52" s="197">
        <f>BO52+各项系数!$L$9*$NM52</f>
        <v>19.040378480290869</v>
      </c>
      <c r="BO52" s="197">
        <f>BP52*(1+$CG52+各项系数!$J$5+各项系数!$L$5)</f>
        <v>18.906481992626077</v>
      </c>
      <c r="BP52" s="197">
        <f t="shared" si="133"/>
        <v>18.355807759831141</v>
      </c>
      <c r="BQ52" s="196">
        <f>BR52+各项系数!$M$9*$NM52</f>
        <v>19.443521767938417</v>
      </c>
      <c r="BR52" s="196">
        <f>BS52*(1+$CF52+(VLOOKUP($AM52,$A$12:$B$323,2,0))+各项系数!$J$6+各项系数!$M$5)*(1+$E$2)</f>
        <v>19.309625280273625</v>
      </c>
      <c r="BS52" s="197">
        <f>BT52+各项系数!$L$9*$NM52</f>
        <v>19.703699265585332</v>
      </c>
      <c r="BT52" s="197">
        <f>BU52*(1+$CG52+各项系数!$J$5+各项系数!$L$5)</f>
        <v>19.56980277792054</v>
      </c>
      <c r="BU52" s="197">
        <f t="shared" si="134"/>
        <v>18.999808522252952</v>
      </c>
      <c r="BV52" s="196">
        <f>BW52+各项系数!$M$9*$NT52</f>
        <v>19.810846283743864</v>
      </c>
      <c r="BW52" s="196">
        <f>BX52*(1+$CF52+(VLOOKUP($AM52,$A$12:$B$214,2,0))+各项系数!$J$6+各项系数!$M$5)*(1+$E$2)</f>
        <v>19.672014542582726</v>
      </c>
      <c r="BX52" s="197">
        <f>BY52+各项系数!$L$9*$NT$12</f>
        <v>20.073484227125231</v>
      </c>
      <c r="BY52" s="197">
        <f>BZ52*(1+$CG52+各项系数!$J$5+各项系数!$L$5)</f>
        <v>20.065220823970257</v>
      </c>
      <c r="BZ52" s="199">
        <f t="shared" si="11"/>
        <v>19.480796916475978</v>
      </c>
      <c r="CA52" s="196">
        <f>CB52+各项系数!$M$9*$NT52</f>
        <v>20.468606575068421</v>
      </c>
      <c r="CB52" s="196">
        <f>CC52*(1+$CF52+(VLOOKUP($AM52,$A$12:$B$214,2,0))+各项系数!$J$6+各项系数!$M$5)*(1+$E$2)</f>
        <v>20.329774833907283</v>
      </c>
      <c r="CC52" s="197">
        <f>CD52+各项系数!$L$9*$NT$12</f>
        <v>20.744668197864574</v>
      </c>
      <c r="CD52" s="197">
        <f>CE52*(1+$CG52+各项系数!$J$5+各项系数!$L$5)</f>
        <v>20.7364047947096</v>
      </c>
      <c r="CE52" s="199">
        <f t="shared" si="135"/>
        <v>20.132431839523882</v>
      </c>
      <c r="CF52" s="211">
        <f>(BI52+$CF$2)-BI52/1.3</f>
        <v>0</v>
      </c>
      <c r="CG52" s="213">
        <f t="shared" si="12"/>
        <v>0.01</v>
      </c>
      <c r="CH52" s="102"/>
      <c r="CI52" s="196">
        <f>CJ52+各项系数!$M$9*$NO52</f>
        <v>19.497528515881481</v>
      </c>
      <c r="CJ52" s="196">
        <f>CK52*(1+$DC52+(VLOOKUP($AM52,$A$12:$B$323,2,0))+各项系数!$J$6+各项系数!$M$5)*(1+$E$2)+各项系数!$M$9*$NK52</f>
        <v>19.298693306192394</v>
      </c>
      <c r="CK52" s="197">
        <f>CL52+各项系数!$L$9*$NO52</f>
        <v>19.555915120946533</v>
      </c>
      <c r="CL52" s="197">
        <f>CM52*(1+$DD52+各项系数!$J$5+各项系数!$L$5)</f>
        <v>19.357079911257447</v>
      </c>
      <c r="CM52" s="197">
        <f t="shared" si="13"/>
        <v>18.977529324762202</v>
      </c>
      <c r="CN52" s="196">
        <f>CO52+各项系数!$M$9*$NO52</f>
        <v>20.140422106468804</v>
      </c>
      <c r="CO52" s="196">
        <f>CP52*(1+$DC52+(VLOOKUP($AM52,$A$12:$B$323,2,0))+各项系数!$J$6+各项系数!$M$5)*(1+$E$2)+各项系数!$M$9*$NK52</f>
        <v>19.941586896779718</v>
      </c>
      <c r="CP52" s="197">
        <f>CQ52+各项系数!$L$9*$NO52</f>
        <v>20.211928988892783</v>
      </c>
      <c r="CQ52" s="197">
        <f>CR52*(1+$DD52+各项系数!$J$5+各项系数!$L$5)</f>
        <v>20.013093779203697</v>
      </c>
      <c r="CR52" s="197">
        <f t="shared" si="14"/>
        <v>19.620680175689898</v>
      </c>
      <c r="CS52" s="196">
        <f>CT52+各项系数!$M$9*$NU52</f>
        <v>20.625926565941807</v>
      </c>
      <c r="CT52" s="196">
        <f t="shared" si="15"/>
        <v>20.421586194783291</v>
      </c>
      <c r="CU52" s="197">
        <f>CV52+各项系数!$L$9*$NU52</f>
        <v>20.838353259982952</v>
      </c>
      <c r="CV52" s="197">
        <f>CW52*(1+$DD52+各项系数!$J$5+各项系数!$L$5)</f>
        <v>20.634012888824437</v>
      </c>
      <c r="CW52" s="199">
        <f t="shared" si="16"/>
        <v>20.22942440080827</v>
      </c>
      <c r="CX52" s="196">
        <f>CY52+各项系数!$M$9*$NU52</f>
        <v>21.466324543374668</v>
      </c>
      <c r="CY52" s="196">
        <f t="shared" si="17"/>
        <v>21.261984172216152</v>
      </c>
      <c r="CZ52" s="197">
        <f>DA52+各项系数!$L$9*$NU52</f>
        <v>21.695902216547093</v>
      </c>
      <c r="DA52" s="197">
        <f>DB52*(1+$DD52+各项系数!$J$5+各项系数!$L$5)</f>
        <v>21.491561845388578</v>
      </c>
      <c r="DB52" s="199">
        <f t="shared" si="18"/>
        <v>21.070158671949585</v>
      </c>
      <c r="DC52" s="211">
        <f>(BI52+$DC$2)-BI52/1.3</f>
        <v>0</v>
      </c>
      <c r="DD52" s="213">
        <f t="shared" si="19"/>
        <v>0</v>
      </c>
      <c r="DE52" s="53" t="s">
        <v>498</v>
      </c>
      <c r="DF52" s="53" t="s">
        <v>513</v>
      </c>
      <c r="DG52" s="196">
        <f>DH52+各项系数!$M$9*$NQ52</f>
        <v>19.807549036210638</v>
      </c>
      <c r="DH52" s="196">
        <f>DI52*(1+$EA52+(VLOOKUP($AM52,$A$12:$B$323,2,0))+各项系数!$J$6+各项系数!$M$5)*(1+$E$2)+各项系数!$M$9*$NK52</f>
        <v>19.608713826521551</v>
      </c>
      <c r="DI52" s="197">
        <f>DJ52+各项系数!$L$9*$NQ52</f>
        <v>19.872262590670164</v>
      </c>
      <c r="DJ52" s="197">
        <f>DK52*(1+$EB52+各项系数!$J$5+各项系数!$L$5)</f>
        <v>19.673427380981078</v>
      </c>
      <c r="DK52" s="197">
        <f t="shared" si="20"/>
        <v>19.100414932991338</v>
      </c>
      <c r="DL52" s="196">
        <f>DM52+各项系数!$M$9*$NQ52</f>
        <v>20.523103740555023</v>
      </c>
      <c r="DM52" s="196">
        <f>DN52*(1+$EA52+(VLOOKUP($AM52,$A$12:$B$323,2,0))+各项系数!$J$6+各项系数!$M$5)*(1+$E$2)+各项系数!$M$9*$NK52</f>
        <v>20.324268530865936</v>
      </c>
      <c r="DN52" s="197">
        <f>DO52+各项系数!$L$9*$NQ52</f>
        <v>20.602420452246065</v>
      </c>
      <c r="DO52" s="197">
        <f>DP52*(1+$EB52+各项系数!$J$5+各项系数!$L$5)</f>
        <v>20.403585242556979</v>
      </c>
      <c r="DP52" s="197">
        <f t="shared" si="21"/>
        <v>19.809306060734929</v>
      </c>
      <c r="DQ52" s="196">
        <f>DR52+各项系数!$M$9*$NV52</f>
        <v>20.949551472279413</v>
      </c>
      <c r="DR52" s="196">
        <f t="shared" si="22"/>
        <v>20.745211101120898</v>
      </c>
      <c r="DS52" s="197">
        <f>DT52+各项系数!$L$9*$NV52</f>
        <v>21.168582756245815</v>
      </c>
      <c r="DT52" s="197">
        <f>DU52*(1+$EB52+各项系数!$J$5+各项系数!$L$5)</f>
        <v>20.964242385087299</v>
      </c>
      <c r="DU52" s="199">
        <f t="shared" si="23"/>
        <v>20.353633383579901</v>
      </c>
      <c r="DV52" s="196">
        <f>DW52+各项系数!$M$9*$NV52</f>
        <v>21.283700155623333</v>
      </c>
      <c r="DW52" s="196">
        <f t="shared" si="24"/>
        <v>21.079359784464817</v>
      </c>
      <c r="DX52" s="197">
        <f>DY52+各项系数!$L$9*$NV52</f>
        <v>21.509550800474305</v>
      </c>
      <c r="DY52" s="197">
        <f>DZ52*(1+$EB52+各项系数!$J$5+各项系数!$L$5)</f>
        <v>21.305210429315789</v>
      </c>
      <c r="DZ52" s="199">
        <f t="shared" si="25"/>
        <v>20.684670319724066</v>
      </c>
      <c r="EA52" s="211">
        <f>(BI52+$EA$2)-BI52/1.3</f>
        <v>0</v>
      </c>
      <c r="EB52" s="213">
        <f t="shared" si="27"/>
        <v>0.01</v>
      </c>
      <c r="EC52" s="235">
        <f t="shared" si="138"/>
        <v>3</v>
      </c>
      <c r="ED52" s="235" t="str">
        <f t="shared" ref="ED52:ED67" si="266">IF(COUNTIF($D52,"*+*")&gt;0,MID($D52,1,FIND("+",$D52)-1),MID($D52,1,LEN($D52)))</f>
        <v>3*10</v>
      </c>
      <c r="EE52" s="189">
        <f t="shared" si="239"/>
        <v>10</v>
      </c>
      <c r="EF52" s="189" t="str">
        <f>LOOKUP(EH52,{1,7,10,14,19,24,30,37,48,61},{1,"1+6","2+8","4+10","1+6+12","2+8+14","4+10+16","1+6+12+18","3+9+15+21","1+6+12+18+24"})</f>
        <v>1+6</v>
      </c>
      <c r="EG52" s="188">
        <f t="shared" si="29"/>
        <v>3</v>
      </c>
      <c r="EH52" s="197">
        <f>VLOOKUP(EE52,各项系数!$B$87:$C$124,2,0)</f>
        <v>7</v>
      </c>
      <c r="EI52" s="188">
        <f>IF(EH52=0,0,VLOOKUP(EH52,各项系数!$D$142:$E$195,2,0))*1</f>
        <v>3</v>
      </c>
      <c r="EJ52" s="238">
        <f t="shared" si="141"/>
        <v>131.13029499843299</v>
      </c>
      <c r="EK52" s="189">
        <f t="shared" si="261"/>
        <v>0</v>
      </c>
      <c r="EL52" s="189">
        <f t="shared" si="31"/>
        <v>0</v>
      </c>
      <c r="EM52" s="189">
        <f t="shared" ref="EM52:EM67" si="267">EL52/1</f>
        <v>0</v>
      </c>
      <c r="EN52" s="189">
        <f>IF(EP52=0,0,LOOKUP(EP52,{1,7,10,14,19,24,30,37,48,61},{1,"1+6","2+8","4+10","1+6+12","2+8+14","4+10+16","1+6+12+18","3+9+15+21","1+6+12+18+24"}))</f>
        <v>0</v>
      </c>
      <c r="EO52" s="189">
        <f t="shared" si="263"/>
        <v>0</v>
      </c>
      <c r="EP52" s="189">
        <f>IF(EM52=0,0,IF(EM52&lt;10,1,IF(AND(EM52&gt;=10,EM52&lt;=35),7,LOOKUP(EM52,{50,70,95,120,150,185,240,300},{10,14,19,24,30,37,48,61})*1)))</f>
        <v>0</v>
      </c>
      <c r="EQ52" s="189">
        <f>IF(EP52=0,0,VLOOKUP(EP52,各项系数!$D$142:$E$195,2,0))*1</f>
        <v>0</v>
      </c>
      <c r="ER52" s="189">
        <f t="shared" si="264"/>
        <v>0</v>
      </c>
      <c r="ES52" s="235">
        <f t="shared" si="250"/>
        <v>3</v>
      </c>
      <c r="ET52" s="189">
        <f>VLOOKUP(ES52,各项系数!$D$142:$E$195,2,0)*1</f>
        <v>2.16</v>
      </c>
      <c r="EU52" s="243">
        <f>((各项系数!$F$76/4*$EJ52^2*$EG52*$EH52*1*10^-7)*(1-$H52)*AA52)*(VLOOKUP($EY$9,各项系数!$D$4:$F$143,3,0))*各项系数!$J$4</f>
        <v>0.25362452685815129</v>
      </c>
      <c r="EV52" s="244">
        <f>EU52*(VLOOKUP($EY$9,各项系数!$D$4:$F$143,2,0))</f>
        <v>16.61240650920891</v>
      </c>
      <c r="EW52" s="252">
        <f>(IF($EO52=0,0,(各项系数!$F$76/4*$ER52^2*$EO52*$EP52*1*10^-7))*(1-$K52)*$AF52)*(VLOOKUP($EY$9,各项系数!$D$4:$F$143,3,0))*各项系数!$J$4</f>
        <v>0</v>
      </c>
      <c r="EX52" s="253">
        <f>EW52*(VLOOKUP($EY$9,各项系数!$D$4:$F$143,2,0))</f>
        <v>0</v>
      </c>
      <c r="EY52" s="189">
        <f>((各项系数!$F$76/4*$EJ52^2*$EG52*$EH52*1*10^-7)*(1-$H52)*AA52+IF($EO52=0,0,(各项系数!$F$76/4*$ER52^2*$EO52*$EP52*1*10^-7))*(1-$K52)*$AF52)*(VLOOKUP($EY$9,各项系数!$D$4:$F$143,3,0))*各项系数!$J$4</f>
        <v>0.25362452685815129</v>
      </c>
      <c r="EZ52" s="102">
        <v>1</v>
      </c>
      <c r="FA52" s="189">
        <f t="shared" si="188"/>
        <v>0.25362452685815129</v>
      </c>
      <c r="FB52" s="254">
        <f>FA52*(VLOOKUP($EY$9,各项系数!$D$4:$F$143,2,0))</f>
        <v>16.61240650920891</v>
      </c>
      <c r="FC52" s="255"/>
      <c r="FD52" s="235">
        <f>各项系数!$F$76/4*($MN52^2-MK52^2)*10^-2*(VLOOKUP(L52,各项系数!$D$1:$F$143,3,0))*10^-3*10^2*$EG52*各项系数!$J$4</f>
        <v>3.3460499527598012E-2</v>
      </c>
      <c r="FE52" s="262">
        <f>FD52*VLOOKUP(L52,各项系数!$D$1:$F$143,2,0)</f>
        <v>0.3412970951814997</v>
      </c>
      <c r="FF52" s="188">
        <f>各项系数!$F$76/4*($MO52^2-ML52^2)*10^-2*(VLOOKUP(L52,各项系数!$D$1:$F$143,3,0))*10^-3*10^2*$EO52*各项系数!$J$4</f>
        <v>0</v>
      </c>
      <c r="FG52" s="262">
        <f>FF52*VLOOKUP(L52,各项系数!$D$1:$F$143,2,0)</f>
        <v>0</v>
      </c>
      <c r="FH52" s="235">
        <f t="shared" si="142"/>
        <v>3.3460499527598012E-2</v>
      </c>
      <c r="FI52" s="102">
        <v>1</v>
      </c>
      <c r="FJ52" s="189">
        <f t="shared" si="189"/>
        <v>3.3460499527598012E-2</v>
      </c>
      <c r="FK52" s="262">
        <f>FJ52*VLOOKUP(L52,各项系数!$D$1:$F$143,2,0)</f>
        <v>0.3412970951814997</v>
      </c>
      <c r="FL52" s="235"/>
      <c r="FM52" s="102"/>
      <c r="FN52" s="189"/>
      <c r="FO52" s="262"/>
      <c r="FP52" s="282">
        <f t="shared" si="190"/>
        <v>3.3460499527598012E-2</v>
      </c>
      <c r="FQ52" s="282">
        <f t="shared" si="191"/>
        <v>0.3412970951814997</v>
      </c>
      <c r="FR52" s="283">
        <f>各项系数!$F$76/4*($MQ52^2-$MN52^2*$EG52-$MO52^2*$EO52)*10^-2</f>
        <v>0.37217892238556743</v>
      </c>
      <c r="FS52" s="284">
        <f t="shared" si="143"/>
        <v>1</v>
      </c>
      <c r="FT52" s="285">
        <f t="shared" si="40"/>
        <v>0.37217892238556743</v>
      </c>
      <c r="FU52" s="302">
        <f>$FT52*(VLOOKUP($FT$9,各项系数!$D$1:$F$143,3,0))*10^-3*10^2*各项系数!$J$55</f>
        <v>4.4438163332836754E-2</v>
      </c>
      <c r="FV52" s="303">
        <v>1</v>
      </c>
      <c r="FW52" s="304">
        <f t="shared" si="192"/>
        <v>4.4438163332836754E-2</v>
      </c>
      <c r="FX52" s="285">
        <f>FW52*(VLOOKUP($FT$9,各项系数!$D$1:$F$143,2,0))</f>
        <v>0.13331448999851025</v>
      </c>
      <c r="FY52" s="302">
        <f>IF($BK52&lt;&gt;$FY$9,0,各项系数!$F$76/4*($MS52^2-$MQ52^2)*10^-2*(VLOOKUP($FY$9,各项系数!$D$1:$F$143,3,0))*10^-3*10^2)*各项系数!$J$4</f>
        <v>0</v>
      </c>
      <c r="FZ52" s="303">
        <v>1</v>
      </c>
      <c r="GA52" s="304">
        <f t="shared" si="193"/>
        <v>0</v>
      </c>
      <c r="GB52" s="285">
        <f>GA52*(VLOOKUP($FY$9,各项系数!$D$1:$F$143,2,0))</f>
        <v>0</v>
      </c>
      <c r="GC52" s="302">
        <f>IF($BK52&lt;&gt;$GC$9,0,各项系数!$F$76/4*($MS52^2-$MQ52^2)*10^-2*(VLOOKUP($GC$9,各项系数!$D$1:$F$143,3,0))*10^-3*10^2)*各项系数!$J$4</f>
        <v>3.1615112127880035E-3</v>
      </c>
      <c r="GD52" s="303">
        <v>1</v>
      </c>
      <c r="GE52" s="304">
        <f t="shared" si="194"/>
        <v>3.1615112127880035E-3</v>
      </c>
      <c r="GF52" s="285">
        <f>GE52*(VLOOKUP($GC$9,各项系数!$D$1:$F$143,2,0))</f>
        <v>4.0783494644965244E-2</v>
      </c>
      <c r="GG52" s="302">
        <f>IF($BK52&lt;&gt;$GG$9,0,各项系数!$F$76/4*($MS52^2-$MQ52^2)*10^-2*(VLOOKUP($GG$9,各项系数!$D$1:$F$143,3,0))*10^-3*10^2)*各项系数!$J$4</f>
        <v>0</v>
      </c>
      <c r="GH52" s="303">
        <v>1</v>
      </c>
      <c r="GI52" s="304">
        <f t="shared" si="195"/>
        <v>0</v>
      </c>
      <c r="GJ52" s="285">
        <f>GI52*(VLOOKUP($GG$9,各项系数!$D$1:$F$143,2,0))</f>
        <v>0</v>
      </c>
      <c r="GK52" s="302">
        <f>IF($BK52&lt;&gt;$GK$9,0,各项系数!$F$76/4*($MS52^2-$MQ52^2)*10^-2*(VLOOKUP($GK$9,各项系数!$D$1:$F$143,3,0))*10^-3*10^2)*各项系数!$J$4</f>
        <v>0</v>
      </c>
      <c r="GL52" s="303">
        <v>1</v>
      </c>
      <c r="GM52" s="304">
        <f t="shared" si="196"/>
        <v>0</v>
      </c>
      <c r="GN52" s="285">
        <f>GM52*(VLOOKUP($GK$9,各项系数!$D$1:$F$143,2,0))</f>
        <v>0</v>
      </c>
      <c r="GO52" s="304">
        <f t="shared" si="197"/>
        <v>3.1615112127880035E-3</v>
      </c>
      <c r="GP52" s="304">
        <f t="shared" si="198"/>
        <v>4.0783494644965244E-2</v>
      </c>
      <c r="GQ52" s="315">
        <f>各项系数!$F$76/4*($MU52^2-$MS52^2)*10^-2*(VLOOKUP($S52,各项系数!$D$1:$F$143,3,0))*10^-3*10^2*各项系数!$J$4</f>
        <v>8.7979688703581679E-2</v>
      </c>
      <c r="GR52" s="303">
        <v>1</v>
      </c>
      <c r="GS52" s="304">
        <f t="shared" si="199"/>
        <v>8.7979688703581679E-2</v>
      </c>
      <c r="GT52" s="304">
        <f t="shared" si="200"/>
        <v>0</v>
      </c>
      <c r="GU52" s="304">
        <f>ROUND($GS52*(VLOOKUP($S52,各项系数!$D$1:$F$143,2,0))+$E$3*GS52,GT52)</f>
        <v>1</v>
      </c>
      <c r="GV52" s="315">
        <f>各项系数!$F$76/4*($MT52^2-$MS52^2)*10^-2*(VLOOKUP($GV$9,各项系数!$D$1:$F$143,3,0))*10^-3*10^2*各项系数!$J$4*PI()/4*R52</f>
        <v>1.6450844987813313E-2</v>
      </c>
      <c r="GW52" s="303">
        <v>1</v>
      </c>
      <c r="GX52" s="304">
        <f t="shared" si="201"/>
        <v>1.6450844987813313E-2</v>
      </c>
      <c r="GY52" s="304">
        <f>$GX52*(VLOOKUP($GV$9,各项系数!$D$1:$F$143,2,0))</f>
        <v>1.1104320366773985</v>
      </c>
      <c r="GZ52" s="315">
        <f>各项系数!$F$76/4*($MV52^2-$MS52^2)*10^-2*(VLOOKUP($GZ$9,各项系数!$D$1:$F$143,3,0))*10^-3*10^2*各项系数!$J$4</f>
        <v>0.1101180548952392</v>
      </c>
      <c r="HA52" s="303">
        <v>1</v>
      </c>
      <c r="HB52" s="304">
        <f t="shared" si="144"/>
        <v>0.1101180548952392</v>
      </c>
      <c r="HC52" s="304">
        <f>HB52*(VLOOKUP($GZ$9,各项系数!$D$1:$F$143,2,0))</f>
        <v>1.8720069332190663</v>
      </c>
      <c r="HD52" s="315">
        <f>各项系数!$F$76/4*($MW52^2-$MT52^2)*10^-2*(VLOOKUP($HD$9,各项系数!$D$1:$F$143,3,0))*10^-3*10^2*各项系数!$J$4</f>
        <v>0.11142342434191756</v>
      </c>
      <c r="HE52" s="303">
        <v>1</v>
      </c>
      <c r="HF52" s="304">
        <f t="shared" si="145"/>
        <v>0.11142342434191756</v>
      </c>
      <c r="HG52" s="304">
        <f>HF52*(VLOOKUP($HD$9,各项系数!$D$1:$F$143,2,0))</f>
        <v>1.8941982138125986</v>
      </c>
      <c r="HH52" s="315">
        <f>各项系数!$F$76/4*($MV52^2-$MS52^2)*10^-2*(VLOOKUP($HH$9,各项系数!$D$1:$F$143,3,0))*10^-3*10^2*各项系数!$J$4</f>
        <v>0.1101180548952392</v>
      </c>
      <c r="HI52" s="322">
        <v>1</v>
      </c>
      <c r="HJ52" s="304">
        <f t="shared" si="146"/>
        <v>0.1101180548952392</v>
      </c>
      <c r="HK52" s="304">
        <f>HJ52*(VLOOKUP($HH$9,各项系数!$D$1:$F$143,2,0))</f>
        <v>1.8720069332190663</v>
      </c>
      <c r="HL52" s="315">
        <f>各项系数!$F$76/4*($MW52^2-$MT52^2)*10^-2*(VLOOKUP($HL$9,各项系数!$D$1:$F$143,3,0))*10^-3*10^2*各项系数!$J$4</f>
        <v>0.11142342434191756</v>
      </c>
      <c r="HM52" s="322">
        <v>1</v>
      </c>
      <c r="HN52" s="304">
        <f t="shared" si="147"/>
        <v>0.11142342434191756</v>
      </c>
      <c r="HO52" s="304">
        <f>HN52*(VLOOKUP($HL$9,各项系数!$D$1:$F$143,2,0))</f>
        <v>1.8941982138125986</v>
      </c>
      <c r="HP52" s="315">
        <f>各项系数!$F$76/4*($MV52^2-$MS52^2)*10^-2*(VLOOKUP(AN52,各项系数!$D$1:$F$143,3,0))*10^-3*10^2*各项系数!$J$4</f>
        <v>0.11163692461793213</v>
      </c>
      <c r="HQ52" s="303">
        <v>1</v>
      </c>
      <c r="HR52" s="304">
        <f t="shared" si="202"/>
        <v>0.11163692461793213</v>
      </c>
      <c r="HS52" s="304">
        <f>HR52*(VLOOKUP(AN52,各项系数!$D$1:$F$143,2,0))</f>
        <v>1.1163692461793213</v>
      </c>
      <c r="HT52" s="315">
        <f>各项系数!$F$76/4*($MW52^2-$MT52^2)*10^-2*(VLOOKUP(AN52,各项系数!$D$1:$F$143,3,0))*10^-3*10^2*各项系数!$J$4</f>
        <v>0.11296029916042677</v>
      </c>
      <c r="HU52" s="303">
        <v>1</v>
      </c>
      <c r="HV52" s="304">
        <f t="shared" si="203"/>
        <v>0.11296029916042677</v>
      </c>
      <c r="HW52" s="304">
        <f>HV52*(VLOOKUP(AN52,各项系数!$D$1:$F$143,2,0))</f>
        <v>1.1296029916042678</v>
      </c>
      <c r="HX52" s="315">
        <f>各项系数!$F$76/4*($MV52^2-$MS52^2)*10^-2*(VLOOKUP($HX$9,各项系数!$D$1:$F$143,3,0))*10^-3*10^2*各项系数!$J$4</f>
        <v>0.11163692461793213</v>
      </c>
      <c r="HY52" s="322">
        <v>1</v>
      </c>
      <c r="HZ52" s="304">
        <f t="shared" si="204"/>
        <v>0.11163692461793213</v>
      </c>
      <c r="IA52" s="304">
        <f>HZ52*(VLOOKUP($HX$9,各项系数!$D$1:$F$143,2,0))</f>
        <v>1.2280061707972534</v>
      </c>
      <c r="IB52" s="315">
        <f>各项系数!$F$76/4*($MW52^2-$MT52^2)*10^-2*(VLOOKUP($IB$9,各项系数!$D$1:$F$143,3,0))*10^-3*10^2*各项系数!$J$4</f>
        <v>0.11296029916042677</v>
      </c>
      <c r="IC52" s="322">
        <v>1</v>
      </c>
      <c r="ID52" s="304">
        <f t="shared" si="205"/>
        <v>0.11296029916042677</v>
      </c>
      <c r="IE52" s="304">
        <f>ID52*(VLOOKUP($IB$9,各项系数!$D$1:$F$143,2,0))</f>
        <v>1.2425632907646944</v>
      </c>
      <c r="IF52" s="328"/>
      <c r="IG52" s="315">
        <f t="shared" si="148"/>
        <v>1.7866859653484762E-2</v>
      </c>
      <c r="IH52" s="303">
        <v>1</v>
      </c>
      <c r="II52" s="304">
        <f t="shared" si="206"/>
        <v>1.7866859653484762E-2</v>
      </c>
      <c r="IJ52" s="304">
        <f>II52*(VLOOKUP($IG$8,各项系数!$D$1:$F$143,2,0))</f>
        <v>0.44667149133711903</v>
      </c>
      <c r="IK52" s="315">
        <f>(各项系数!$F$76/4*($MX52^2-$MK52^2)*$EG52)*10^-2*(VLOOKUP($IG$8,各项系数!$D$1:$F$143,3,0))*10^-3*10^2*各项系数!$J$4</f>
        <v>1.7866859653484762E-2</v>
      </c>
      <c r="IL52" s="303">
        <f>IK52*(VLOOKUP($IG$8,各项系数!$D$1:$F$143,2,0))</f>
        <v>0.44667149133711903</v>
      </c>
      <c r="IM52" s="304">
        <f>(各项系数!$F$76/4*(($MM52+3*$X52)^2-MM52^2)*$EO52)*10^-2*(VLOOKUP($IG$8,各项系数!$D$1:$F$143,3,0))*10^-3*10^2*各项系数!$J$4</f>
        <v>0</v>
      </c>
      <c r="IN52" s="303">
        <f>IM52*(VLOOKUP($IG$8,各项系数!$D$1:$F$143,2,0))</f>
        <v>0</v>
      </c>
      <c r="IO52" s="315">
        <f>各项系数!$F$76/4*($MZ52^2-$MX52^2)*10^-2*(VLOOKUP(L52,各项系数!$D$1:$F$143,3,0))*10^-3*10^2*$ES52*各项系数!$J$4</f>
        <v>3.7792975708384094E-2</v>
      </c>
      <c r="IP52" s="303">
        <v>1</v>
      </c>
      <c r="IQ52" s="304">
        <f t="shared" si="207"/>
        <v>3.7792975708384094E-2</v>
      </c>
      <c r="IR52" s="285">
        <f>IQ52*(VLOOKUP(L52,各项系数!$D$1:$F$143,2,0))</f>
        <v>0.38548835222551775</v>
      </c>
      <c r="IS52" s="315">
        <f>IF($L52&lt;&gt;$IS$9,0,各项系数!$F$76/4*($MZ52^2-$MX52^2)*10^-2*各项系数!$F$12*10^-3*10^2)*$ES52*各项系数!$J$4</f>
        <v>0</v>
      </c>
      <c r="IT52" s="303">
        <v>1</v>
      </c>
      <c r="IU52" s="304">
        <f t="shared" si="208"/>
        <v>0</v>
      </c>
      <c r="IV52" s="285">
        <f>IU52*各项系数!$E$12</f>
        <v>0</v>
      </c>
      <c r="IW52" s="302">
        <f t="shared" si="209"/>
        <v>3.7792975708384094E-2</v>
      </c>
      <c r="IX52" s="302">
        <f t="shared" si="210"/>
        <v>0.38548835222551775</v>
      </c>
      <c r="IY52" s="339">
        <f>各项系数!$F$76/4*($NB52^2-$MZ52^2*$EG52-$NA52^2*$EO52)*10^-2</f>
        <v>0.46061951750847718</v>
      </c>
      <c r="IZ52" s="284">
        <f t="shared" si="231"/>
        <v>1</v>
      </c>
      <c r="JA52" s="285">
        <f t="shared" si="64"/>
        <v>0.46061951750847718</v>
      </c>
      <c r="JB52" s="282">
        <f>IF($DE52&lt;&gt;$JB$9,0,$JA52*各项系数!$F$32*10^-3*10^2)*各项系数!$J$4</f>
        <v>0</v>
      </c>
      <c r="JC52" s="102">
        <v>1</v>
      </c>
      <c r="JD52" s="189">
        <f t="shared" si="211"/>
        <v>0</v>
      </c>
      <c r="JE52" s="262">
        <f>JD52*各项系数!$E$32</f>
        <v>0</v>
      </c>
      <c r="JF52" s="282">
        <f>IF($DE52&lt;&gt;$JF$9,0,$JA52*VLOOKUP($JF$9,各项系数!$D$4:$F$540,2,0)*10^-3*10^2)*各项系数!$J$4</f>
        <v>0.2291582099604674</v>
      </c>
      <c r="JG52" s="102">
        <v>1</v>
      </c>
      <c r="JH52" s="189">
        <f t="shared" si="66"/>
        <v>0.2291582099604674</v>
      </c>
      <c r="JI52" s="262">
        <f>JH52*VLOOKUP($JF$9,各项系数!$D$4:$F$540,3,0)</f>
        <v>0.27498985195256087</v>
      </c>
      <c r="JJ52" s="282">
        <f t="shared" si="212"/>
        <v>0.2291582099604674</v>
      </c>
      <c r="JK52" s="189">
        <f t="shared" si="213"/>
        <v>0.27498985195256087</v>
      </c>
      <c r="JL52" s="282">
        <f>IF($DF52&lt;&gt;$JL$9,0,各项系数!$F$76/4*($NE52^2-$NC52^2)*10^-2*各项系数!$F$39*10^-3*10^2)*各项系数!$J$4</f>
        <v>1.4558518873360679E-3</v>
      </c>
      <c r="JM52" s="102">
        <v>1</v>
      </c>
      <c r="JN52" s="189">
        <f t="shared" si="214"/>
        <v>1.4558518873360679E-3</v>
      </c>
      <c r="JO52" s="262">
        <f>JN52*各项系数!$E$39</f>
        <v>2.9117037746721357E-2</v>
      </c>
      <c r="JP52" s="282">
        <f>IF($DF52&lt;&gt;$JP$9,0,各项系数!$F$76/4*($NE52^2-$NC52^2)*10^-2*各项系数!$F$36*10^-3*10^2)*各项系数!$J$4</f>
        <v>0</v>
      </c>
      <c r="JQ52" s="102">
        <v>1</v>
      </c>
      <c r="JR52" s="189">
        <f t="shared" si="215"/>
        <v>0</v>
      </c>
      <c r="JS52" s="262">
        <f>JR52*各项系数!$E$36</f>
        <v>0</v>
      </c>
      <c r="JT52" s="282">
        <f>IF($DF52&lt;&gt;$JT$9,0,各项系数!$F$76/4*($NE52^2-$NC52^2)*10^-2*各项系数!$F$40*10^-3*10^2)*各项系数!$J$4</f>
        <v>0</v>
      </c>
      <c r="JU52" s="102">
        <v>1</v>
      </c>
      <c r="JV52" s="189">
        <f t="shared" si="216"/>
        <v>0</v>
      </c>
      <c r="JW52" s="262">
        <f>JV52*各项系数!$E$40</f>
        <v>0</v>
      </c>
      <c r="JX52" s="282">
        <f>IF($DF52&lt;&gt;$JX$9,0,各项系数!$F$76/4*($NE52^2-$NC52^2)*10^-2*各项系数!$F$38*10^-3*10^2)*各项系数!$J$4</f>
        <v>0</v>
      </c>
      <c r="JY52" s="102">
        <v>1</v>
      </c>
      <c r="JZ52" s="189">
        <f t="shared" si="217"/>
        <v>0</v>
      </c>
      <c r="KA52" s="262">
        <f>JZ52*各项系数!$E$38</f>
        <v>0</v>
      </c>
      <c r="KB52" s="282">
        <f>IF($DF52&lt;&gt;$KB$9,0,各项系数!$F$76/4*($NE52^2-$NC52^2)*10^-2*各项系数!$F$41*10^-3*10^2)*各项系数!$J$4</f>
        <v>0</v>
      </c>
      <c r="KC52" s="102">
        <v>1</v>
      </c>
      <c r="KD52" s="189">
        <f t="shared" si="218"/>
        <v>0</v>
      </c>
      <c r="KE52" s="262">
        <f>KD52*各项系数!$E$41</f>
        <v>0</v>
      </c>
      <c r="KF52" s="189">
        <f t="shared" si="219"/>
        <v>1.4558518873360679E-3</v>
      </c>
      <c r="KG52" s="189">
        <f t="shared" si="220"/>
        <v>2.9117037746721357E-2</v>
      </c>
      <c r="KH52" s="235">
        <f>各项系数!$F$76/4*($NG52^2-$NE52^2)*10^-2*各项系数!$F$44*10^-3*10^2*各项系数!$J$4*0.75*$U52</f>
        <v>0.14692951704170221</v>
      </c>
      <c r="KI52" s="102">
        <v>1</v>
      </c>
      <c r="KJ52" s="189">
        <f t="shared" si="221"/>
        <v>0.14692951704170221</v>
      </c>
      <c r="KK52" s="189">
        <f>ROUND(KJ52*各项系数!$E$43,GT52)</f>
        <v>1</v>
      </c>
      <c r="KL52" s="235">
        <f>各项系数!$F$76/4*($NF52^2-$NE52^2)*10^-2*各项系数!$F$46*10^-3*10^2*各项系数!$J$4*PI()/4*R52</f>
        <v>1.8350538231424046E-2</v>
      </c>
      <c r="KM52" s="102">
        <v>1</v>
      </c>
      <c r="KN52" s="189">
        <f t="shared" si="222"/>
        <v>1.8350538231424046E-2</v>
      </c>
      <c r="KO52" s="189">
        <f>KN52*各项系数!$E$46</f>
        <v>1.2386613306211232</v>
      </c>
      <c r="KP52" s="235">
        <f>各项系数!$F$76/4*($NH52^2-$NE52^2)*10^-2*(VLOOKUP($KP$9,各项系数!$D$1:$F$143,3,0))*10^-3*10^2*各项系数!$J$4</f>
        <v>0.12121369519200562</v>
      </c>
      <c r="KQ52" s="102">
        <v>1</v>
      </c>
      <c r="KR52" s="189">
        <f t="shared" si="150"/>
        <v>0.12121369519200562</v>
      </c>
      <c r="KS52" s="189">
        <f>KR52*(VLOOKUP($KP$9,各项系数!$D$1:$F$143,2,0))</f>
        <v>2.0606328182640956</v>
      </c>
      <c r="KT52" s="235">
        <f>各项系数!$F$76/4*($NI52^2-$NF52^2)*10^-2*(VLOOKUP($KT$9,各项系数!$D$1:$F$143,3,0))*10^-3*10^2*各项系数!$J$4</f>
        <v>0.12251906463868398</v>
      </c>
      <c r="KU52" s="102">
        <v>1</v>
      </c>
      <c r="KV52" s="189">
        <f t="shared" si="151"/>
        <v>0.12251906463868398</v>
      </c>
      <c r="KW52" s="189">
        <f>KV52*(VLOOKUP($KT$9,各项系数!$D$1:$F$143,2,0))</f>
        <v>2.0828240988576274</v>
      </c>
      <c r="KX52" s="189">
        <f>各项系数!$F$76/4*($NH52^2-$NE52^2)*10^-2*(VLOOKUP($KX$9,各项系数!$D$1:$F$143,3,0))*10^-3*10^2*各项系数!$J$4</f>
        <v>0.12121369519200562</v>
      </c>
      <c r="KY52" s="353">
        <v>1</v>
      </c>
      <c r="KZ52" s="189">
        <f t="shared" si="152"/>
        <v>0.12121369519200562</v>
      </c>
      <c r="LA52" s="189">
        <f>KZ52*(VLOOKUP($KX$9,各项系数!$D$1:$F$143,2,0))</f>
        <v>2.0606328182640956</v>
      </c>
      <c r="LB52" s="189">
        <f>各项系数!$F$76/4*($NI52^2-$NF52^2)*10^-2*(VLOOKUP($LB$9,各项系数!$D$1:$F$143,3,0))*10^-3*10^2*各项系数!$J$4</f>
        <v>0.12251906463868398</v>
      </c>
      <c r="LC52" s="353">
        <v>1</v>
      </c>
      <c r="LD52" s="189">
        <f t="shared" si="153"/>
        <v>0.12251906463868398</v>
      </c>
      <c r="LE52" s="189">
        <f>LD52*(VLOOKUP($LB$9,各项系数!$D$1:$F$143,2,0))</f>
        <v>2.0828240988576274</v>
      </c>
      <c r="LF52" s="235">
        <f>各项系数!$F$76/4*($NH52^2-$NE52^2)*10^-2*(VLOOKUP(AN52,各项系数!$D$1:$F$143,3,0))*10^-3*10^2*各项系数!$J$4</f>
        <v>0.12288560822913673</v>
      </c>
      <c r="LG52" s="102">
        <v>1</v>
      </c>
      <c r="LH52" s="189">
        <f t="shared" si="223"/>
        <v>0.12288560822913673</v>
      </c>
      <c r="LI52" s="189">
        <f>LH52*(VLOOKUP(AN52,各项系数!$D$1:$F$143,2,0))</f>
        <v>1.2288560822913672</v>
      </c>
      <c r="LJ52" s="235">
        <f>各项系数!$F$76/4*($NI52^2-$NF52^2)*10^-2*(VLOOKUP(AN52,各项系数!$D$1:$F$143,3,0))*10^-3*10^2*各项系数!$J$4</f>
        <v>0.12420898277163135</v>
      </c>
      <c r="LK52" s="102">
        <v>1</v>
      </c>
      <c r="LL52" s="189">
        <f t="shared" si="224"/>
        <v>0.12420898277163135</v>
      </c>
      <c r="LM52" s="189">
        <f>LL52*(VLOOKUP(AN52,各项系数!$D$1:$F$143,2,0))</f>
        <v>1.2420898277163135</v>
      </c>
      <c r="LN52" s="189">
        <f>各项系数!$F$76/4*($NH52^2-$NE52^2)*10^-2*(VLOOKUP($LN$9,各项系数!$D$1:$F$143,3,0))*10^-3*10^2*各项系数!$J$4</f>
        <v>0.12288560822913673</v>
      </c>
      <c r="LO52" s="353">
        <v>1</v>
      </c>
      <c r="LP52" s="189">
        <f t="shared" si="225"/>
        <v>0.12288560822913673</v>
      </c>
      <c r="LQ52" s="189">
        <f>LP52*(VLOOKUP($LN$9,各项系数!$D$1:$F$143,2,0))</f>
        <v>1.351741690520504</v>
      </c>
      <c r="LR52" s="189">
        <f>各项系数!$F$76/4*($NI52^2-$NF52^2)*10^-2*(VLOOKUP($LR$9,各项系数!$D$1:$F$143,3,0))*10^-3*10^2*各项系数!$J$4</f>
        <v>0.12420898277163135</v>
      </c>
      <c r="LS52" s="353">
        <v>1</v>
      </c>
      <c r="LT52" s="189">
        <f t="shared" si="226"/>
        <v>0.12420898277163135</v>
      </c>
      <c r="LU52" s="189">
        <f>LT52*(VLOOKUP($LR$9,各项系数!$D$1:$F$143,2,0))</f>
        <v>1.3662988104879448</v>
      </c>
      <c r="LV52" s="227">
        <f t="shared" si="154"/>
        <v>36.463614970000002</v>
      </c>
      <c r="LW52" s="227">
        <f t="shared" si="155"/>
        <v>28.36058942</v>
      </c>
      <c r="LX52" s="227">
        <f t="shared" si="156"/>
        <v>6.0091450275011393</v>
      </c>
      <c r="LY52" s="227">
        <f t="shared" si="157"/>
        <v>8.1030255500000017</v>
      </c>
      <c r="LZ52" s="374">
        <f t="shared" si="86"/>
        <v>1</v>
      </c>
      <c r="MA52" s="375">
        <f t="shared" si="87"/>
        <v>36.463614970000002</v>
      </c>
      <c r="MB52" s="375">
        <f t="shared" si="158"/>
        <v>3.9339088499999999</v>
      </c>
      <c r="MC52" s="227">
        <f t="shared" si="159"/>
        <v>0</v>
      </c>
      <c r="MD52" s="227">
        <f t="shared" si="160"/>
        <v>0</v>
      </c>
      <c r="ME52" s="227">
        <f t="shared" si="161"/>
        <v>0</v>
      </c>
      <c r="MF52" s="227">
        <f t="shared" si="162"/>
        <v>0</v>
      </c>
      <c r="MG52" s="374">
        <f t="shared" si="163"/>
        <v>1</v>
      </c>
      <c r="MH52" s="375">
        <f t="shared" si="88"/>
        <v>0</v>
      </c>
      <c r="MI52" s="375">
        <f t="shared" si="164"/>
        <v>0</v>
      </c>
      <c r="MJ52" s="189">
        <f t="shared" si="89"/>
        <v>3.9339088499999999</v>
      </c>
      <c r="MK52" s="189">
        <f t="shared" si="165"/>
        <v>3.9339088499999999</v>
      </c>
      <c r="ML52" s="189">
        <f t="shared" si="227"/>
        <v>0</v>
      </c>
      <c r="MM52" s="189">
        <f t="shared" si="91"/>
        <v>0</v>
      </c>
      <c r="MN52" s="189">
        <f t="shared" si="92"/>
        <v>5.3339088500000003</v>
      </c>
      <c r="MO52" s="189">
        <f t="shared" si="166"/>
        <v>0</v>
      </c>
      <c r="MP52" s="189">
        <f t="shared" si="167"/>
        <v>11.521243119999999</v>
      </c>
      <c r="MQ52" s="189">
        <f t="shared" si="228"/>
        <v>11.521243119999999</v>
      </c>
      <c r="MR52" s="246">
        <f t="shared" si="168"/>
        <v>11.521243119999999</v>
      </c>
      <c r="MS52" s="380">
        <f t="shared" si="94"/>
        <v>11.69724312</v>
      </c>
      <c r="MT52" s="380">
        <f t="shared" si="95"/>
        <v>11.85724312</v>
      </c>
      <c r="MU52" s="380">
        <f t="shared" si="232"/>
        <v>12.297243119999999</v>
      </c>
      <c r="MV52" s="380">
        <f t="shared" si="97"/>
        <v>15.297243119999999</v>
      </c>
      <c r="MW52" s="380">
        <f t="shared" si="98"/>
        <v>15.457243119999999</v>
      </c>
      <c r="MX52" s="254">
        <f t="shared" si="233"/>
        <v>4.5339088499999995</v>
      </c>
      <c r="MY52" s="254">
        <f t="shared" si="100"/>
        <v>0</v>
      </c>
      <c r="MZ52" s="189">
        <f t="shared" si="101"/>
        <v>5.9339088499999999</v>
      </c>
      <c r="NA52" s="189">
        <f t="shared" si="102"/>
        <v>0</v>
      </c>
      <c r="NB52" s="189">
        <f t="shared" si="169"/>
        <v>12.817243120000001</v>
      </c>
      <c r="NC52" s="254">
        <f t="shared" si="229"/>
        <v>12.817243120000001</v>
      </c>
      <c r="ND52" s="246">
        <f t="shared" si="234"/>
        <v>12.817243120000001</v>
      </c>
      <c r="NE52" s="386">
        <f t="shared" si="235"/>
        <v>13.057243120000001</v>
      </c>
      <c r="NF52" s="380">
        <f t="shared" si="106"/>
        <v>13.217243120000001</v>
      </c>
      <c r="NG52" s="387">
        <f t="shared" si="236"/>
        <v>13.65724312</v>
      </c>
      <c r="NH52" s="254">
        <f t="shared" si="108"/>
        <v>16.65724312</v>
      </c>
      <c r="NI52" s="380">
        <f t="shared" si="109"/>
        <v>16.817243120000001</v>
      </c>
      <c r="NK52" s="388">
        <f t="shared" si="110"/>
        <v>0.44632162554930621</v>
      </c>
      <c r="NL52" s="388">
        <f t="shared" si="111"/>
        <v>18.244170835213207</v>
      </c>
      <c r="NM52" s="388">
        <f t="shared" si="112"/>
        <v>0.44632162554930621</v>
      </c>
      <c r="NN52" s="388">
        <f t="shared" si="113"/>
        <v>18.355807759831141</v>
      </c>
      <c r="NO52" s="388">
        <f t="shared" si="114"/>
        <v>0.66278403229696037</v>
      </c>
      <c r="NP52" s="388">
        <f t="shared" si="115"/>
        <v>18.977529324762195</v>
      </c>
      <c r="NQ52" s="388">
        <f t="shared" si="116"/>
        <v>0.66278403229696037</v>
      </c>
      <c r="NR52" s="388">
        <f t="shared" si="117"/>
        <v>19.100414932991338</v>
      </c>
      <c r="NS52" s="388">
        <f t="shared" si="118"/>
        <v>0.46277247053711951</v>
      </c>
      <c r="NT52" s="388">
        <f t="shared" si="119"/>
        <v>0.46277247053711951</v>
      </c>
      <c r="NU52" s="388">
        <f t="shared" si="120"/>
        <v>0.68113457052838444</v>
      </c>
      <c r="NV52" s="388">
        <f t="shared" si="121"/>
        <v>0.68113457052838444</v>
      </c>
      <c r="NW52">
        <f t="shared" si="122"/>
        <v>0.53430131425288785</v>
      </c>
      <c r="NX52">
        <f>各项系数!$M$9*NK52</f>
        <v>0.13389648766479187</v>
      </c>
      <c r="NY52">
        <f t="shared" si="123"/>
        <v>0.46277247053711951</v>
      </c>
    </row>
    <row r="53" spans="1:389" ht="15" hidden="1" customHeight="1">
      <c r="A53" s="74">
        <v>16</v>
      </c>
      <c r="B53" s="70">
        <v>1</v>
      </c>
      <c r="C53" s="67"/>
      <c r="D53" s="53" t="s">
        <v>207</v>
      </c>
      <c r="E53" s="54">
        <f t="shared" si="255"/>
        <v>17.51900981</v>
      </c>
      <c r="F53" s="68">
        <f>$F$21</f>
        <v>165.41681820668899</v>
      </c>
      <c r="G53" s="58"/>
      <c r="H53" s="62"/>
      <c r="I53" s="62"/>
      <c r="J53" s="62"/>
      <c r="K53" s="62"/>
      <c r="L53" s="97" t="s">
        <v>467</v>
      </c>
      <c r="M53" s="103">
        <f t="shared" si="2"/>
        <v>0.7</v>
      </c>
      <c r="N53" s="103">
        <f t="shared" si="252"/>
        <v>0</v>
      </c>
      <c r="O53" s="53">
        <f t="shared" si="265"/>
        <v>0.08</v>
      </c>
      <c r="P53" s="99">
        <v>0.1</v>
      </c>
      <c r="Q53" s="133">
        <f t="shared" si="253"/>
        <v>0.1</v>
      </c>
      <c r="R53" s="70">
        <v>0.8</v>
      </c>
      <c r="S53" s="142" t="str">
        <f>各项系数!$D$43</f>
        <v>钢带</v>
      </c>
      <c r="T53" s="58">
        <v>0.2</v>
      </c>
      <c r="U53" s="62">
        <v>2</v>
      </c>
      <c r="V53" s="143"/>
      <c r="W53" s="141">
        <v>1.8</v>
      </c>
      <c r="X53" s="135">
        <f t="shared" si="254"/>
        <v>0.2</v>
      </c>
      <c r="Y53" s="135"/>
      <c r="Z53" s="168"/>
      <c r="AA53" s="153">
        <f>$AA$21</f>
        <v>1.0109999999999999</v>
      </c>
      <c r="AB53" s="153">
        <f>PI()*EJ53*EJ53/4*EH53*(1-H53)*AA53*各项系数!$F$5*各项系数!$J$4*10^-7</f>
        <v>0.13453127076823812</v>
      </c>
      <c r="AC53" s="153">
        <f t="shared" si="256"/>
        <v>165.41681820668899</v>
      </c>
      <c r="AD53" s="153">
        <f t="shared" si="5"/>
        <v>15.208920956666137</v>
      </c>
      <c r="AE53" s="153">
        <f>POWER(4*EU53/PI()/EG53/10^-7/EH53/(1-H53)/各项系数!$F$5/各项系数!$J$4,0.5)</f>
        <v>166.32412244418026</v>
      </c>
      <c r="AF53" s="69">
        <v>1</v>
      </c>
      <c r="AG53" s="69">
        <f>IF(EM53=0,0,PI()*ER53*ER53/4*EP53*(1-K53)*(1+AF53)*各项系数!$F$5*各项系数!$J$4*10^-7)</f>
        <v>0</v>
      </c>
      <c r="AH53" s="69">
        <f t="shared" si="257"/>
        <v>0</v>
      </c>
      <c r="AI53" s="69">
        <f t="shared" si="128"/>
        <v>0</v>
      </c>
      <c r="AJ53" s="69">
        <f>IF(OR(EP53="",EP53=0),0,POWER(4*EW53/PI()/EO53/10^-7/EP53/(1-K53)/各项系数!$F$5/各项系数!$J$4,0.5))</f>
        <v>0</v>
      </c>
      <c r="AK53" s="69" t="str">
        <f t="shared" si="8"/>
        <v>√</v>
      </c>
      <c r="AL53" s="69">
        <f t="shared" si="258"/>
        <v>29.335761773511255</v>
      </c>
      <c r="AM53" s="188">
        <f t="shared" si="259"/>
        <v>16</v>
      </c>
      <c r="AN53" s="97" t="s">
        <v>486</v>
      </c>
      <c r="AO53" s="196">
        <f>AP53+各项系数!$M$9*$NK53</f>
        <v>28.760550758344365</v>
      </c>
      <c r="AP53" s="196">
        <f>AQ53*(1+$BI53+(VLOOKUP($AM53,$A$12:$B$323,2,0))+各项系数!$J$6+各项系数!$M$5)*(1+$E$2)</f>
        <v>28.568103396001742</v>
      </c>
      <c r="AQ53" s="197">
        <f>AR53+各项系数!$L$9*$NK53</f>
        <v>29.151125914287494</v>
      </c>
      <c r="AR53" s="197">
        <f>AS53*(1+$BJ53+各项系数!$J$5+各项系数!$L$5)</f>
        <v>28.958678551944871</v>
      </c>
      <c r="AS53" s="197">
        <f t="shared" si="129"/>
        <v>28.390861325436148</v>
      </c>
      <c r="AT53" s="196">
        <f>AU53+各项系数!$M$9*$NM53</f>
        <v>29.640221144314072</v>
      </c>
      <c r="AU53" s="196">
        <f>AV53*(1+$BI53+(VLOOKUP($AM53,$A$12:$B$323,2,0))+各项系数!$J$6+各项系数!$M$5)*(1+$E$2)</f>
        <v>29.447773781971449</v>
      </c>
      <c r="AV53" s="197">
        <f>AW53+各项系数!$L$9*$NM53</f>
        <v>30.048748757113724</v>
      </c>
      <c r="AW53" s="197">
        <f>AX53*(1+$BJ53+各项系数!$J$5+各项系数!$L$5)</f>
        <v>29.856301394771101</v>
      </c>
      <c r="AX53" s="197">
        <f t="shared" si="130"/>
        <v>29.270883720363823</v>
      </c>
      <c r="AY53" s="196">
        <f>AZ53+各项系数!$M$9*$NS53</f>
        <v>30.104780564871131</v>
      </c>
      <c r="AZ53" s="196">
        <f>BA53*(1+$BI53+(VLOOKUP($AM53,$A$12:$B$214,2,0))+各项系数!$J$6+各项系数!$M$5)*(1+$E$2)</f>
        <v>29.906466917744691</v>
      </c>
      <c r="BA53" s="197">
        <f>BB53+各项系数!$L$9*$NS53</f>
        <v>30.516802977290503</v>
      </c>
      <c r="BB53" s="197">
        <f>BC53*(1+$BJ53+各项系数!$J$5+各项系数!$L$5)</f>
        <v>30.318489330164063</v>
      </c>
      <c r="BC53" s="199">
        <f t="shared" si="131"/>
        <v>29.724009147219668</v>
      </c>
      <c r="BD53" s="196">
        <f>BE53+各项系数!$M$9*$NS53</f>
        <v>30.993404902995351</v>
      </c>
      <c r="BE53" s="196">
        <f>BF53*(1+$BI53+(VLOOKUP($AM53,$A$12:$B$214,2,0))+各项系数!$J$6+各项系数!$M$5)*(1+$E$2)</f>
        <v>30.795091255868911</v>
      </c>
      <c r="BF53" s="197">
        <f>BG53+各项系数!$L$9*$NS53</f>
        <v>31.423562505988684</v>
      </c>
      <c r="BG53" s="197">
        <f>BH53*(1+$BJ53+各项系数!$J$5+各项系数!$L$5)</f>
        <v>31.225248858862244</v>
      </c>
      <c r="BH53" s="199">
        <f t="shared" si="132"/>
        <v>30.612989077315927</v>
      </c>
      <c r="BI53" s="213"/>
      <c r="BJ53" s="208"/>
      <c r="BK53" s="53" t="s">
        <v>514</v>
      </c>
      <c r="BL53" s="196">
        <f>BM53+各项系数!$M$9*$NM53</f>
        <v>29.170016683755431</v>
      </c>
      <c r="BM53" s="196">
        <f>BN53*(1+$CF53+(VLOOKUP($AM53,$A$12:$B$323,2,0))+各项系数!$J$6+各项系数!$M$5)*(1+$E$2)</f>
        <v>28.977569321412808</v>
      </c>
      <c r="BN53" s="197">
        <f>BO53+各项系数!$L$9*$NM53</f>
        <v>29.568948287155926</v>
      </c>
      <c r="BO53" s="197">
        <f>BP53*(1+$CG53+各项系数!$J$5+各项系数!$L$5)</f>
        <v>29.376500924813303</v>
      </c>
      <c r="BP53" s="197">
        <f t="shared" si="133"/>
        <v>28.52087468428476</v>
      </c>
      <c r="BQ53" s="196">
        <f>BR53+各项系数!$M$9*$NM53</f>
        <v>29.927075804773636</v>
      </c>
      <c r="BR53" s="196">
        <f>BS53*(1+$CF53+(VLOOKUP($AM53,$A$12:$B$323,2,0))+各项系数!$J$6+各项系数!$M$5)*(1+$E$2)</f>
        <v>29.734628442431013</v>
      </c>
      <c r="BS53" s="197">
        <f>BT53+各项系数!$L$9*$NM53</f>
        <v>30.341457594317362</v>
      </c>
      <c r="BT53" s="197">
        <f>BU53*(1+$CG53+各项系数!$J$5+各项系数!$L$5)</f>
        <v>30.149010231974739</v>
      </c>
      <c r="BU53" s="197">
        <f t="shared" si="134"/>
        <v>29.270883720363823</v>
      </c>
      <c r="BV53" s="196">
        <f>BW53+各项系数!$M$9*$NT53</f>
        <v>30.342397914106829</v>
      </c>
      <c r="BW53" s="196">
        <f>BX53*(1+$CF53+(VLOOKUP($AM53,$A$12:$B$214,2,0))+各项系数!$J$6+各项系数!$M$5)*(1+$E$2)</f>
        <v>30.144084266980389</v>
      </c>
      <c r="BX53" s="197">
        <f>BY53+各项系数!$L$9*$NT$12</f>
        <v>30.759269660184071</v>
      </c>
      <c r="BY53" s="197">
        <f>BZ53*(1+$CG53+各项系数!$J$5+各项系数!$L$5)</f>
        <v>30.751006257029097</v>
      </c>
      <c r="BZ53" s="199">
        <f t="shared" si="11"/>
        <v>29.855345880610773</v>
      </c>
      <c r="CA53" s="196">
        <f>CB53+各项系数!$M$9*$NT53</f>
        <v>31.107162956861011</v>
      </c>
      <c r="CB53" s="196">
        <f>CC53*(1+$CF53+(VLOOKUP($AM53,$A$12:$B$214,2,0))+各项系数!$J$6+各项系数!$M$5)*(1+$E$2)</f>
        <v>30.90884930973457</v>
      </c>
      <c r="CC53" s="197">
        <f>CD53+各项系数!$L$9*$NT$12</f>
        <v>31.539642152790378</v>
      </c>
      <c r="CD53" s="197">
        <f>CE53*(1+$CG53+各项系数!$J$5+各项系数!$L$5)</f>
        <v>31.531378749635405</v>
      </c>
      <c r="CE53" s="199">
        <f t="shared" si="135"/>
        <v>30.612989077315927</v>
      </c>
      <c r="CF53" s="213">
        <f t="shared" si="136"/>
        <v>0</v>
      </c>
      <c r="CG53" s="213">
        <f t="shared" si="12"/>
        <v>0.01</v>
      </c>
      <c r="CH53" s="102"/>
      <c r="CI53" s="196">
        <f>CJ53+各项系数!$M$9*$NO53</f>
        <v>30.010000120952153</v>
      </c>
      <c r="CJ53" s="196">
        <f>CK53*(1+$DC53+(VLOOKUP($AM53,$A$12:$B$323,2,0))+各项系数!$J$6+各项系数!$M$5)*(1+$E$2)+各项系数!$M$9*$NK53</f>
        <v>29.731156488382485</v>
      </c>
      <c r="CK53" s="197">
        <f>CL53+各项系数!$L$9*$NO53</f>
        <v>30.141539924530473</v>
      </c>
      <c r="CL53" s="197">
        <f>CM53*(1+$DD53+各项系数!$J$5+各项系数!$L$5)</f>
        <v>29.862696291960805</v>
      </c>
      <c r="CM53" s="197">
        <f t="shared" si="13"/>
        <v>29.277153227412555</v>
      </c>
      <c r="CN53" s="196">
        <f>CO53+各项系数!$M$9*$NO53</f>
        <v>30.777228665544257</v>
      </c>
      <c r="CO53" s="196">
        <f>CP53*(1+$DC53+(VLOOKUP($AM53,$A$12:$B$323,2,0))+各项系数!$J$6+各项系数!$M$5)*(1+$E$2)+各项系数!$M$9*$NK53</f>
        <v>30.498385032974589</v>
      </c>
      <c r="CP53" s="197">
        <f>CQ53+各项系数!$L$9*$NO53</f>
        <v>30.924426194522415</v>
      </c>
      <c r="CQ53" s="197">
        <f>CR53*(1+$DD53+各项系数!$J$5+各项系数!$L$5)</f>
        <v>30.645582561952747</v>
      </c>
      <c r="CR53" s="197">
        <f t="shared" si="14"/>
        <v>30.044688786228182</v>
      </c>
      <c r="CS53" s="196">
        <f>CT53+各项系数!$M$9*$NU53</f>
        <v>31.291088985149155</v>
      </c>
      <c r="CT53" s="196">
        <f t="shared" si="15"/>
        <v>31.005809159822586</v>
      </c>
      <c r="CU53" s="197">
        <f>CV53+各项系数!$L$9*$NU53</f>
        <v>31.638580775329171</v>
      </c>
      <c r="CV53" s="197">
        <f>CW53*(1+$DD53+各项系数!$J$5+各项系数!$L$5)</f>
        <v>31.353300950002602</v>
      </c>
      <c r="CW53" s="199">
        <f t="shared" si="16"/>
        <v>30.738530343139804</v>
      </c>
      <c r="CX53" s="196">
        <f>CY53+各项系数!$M$9*$NU53</f>
        <v>32.255821916586783</v>
      </c>
      <c r="CY53" s="196">
        <f t="shared" si="17"/>
        <v>31.970542091260217</v>
      </c>
      <c r="CZ53" s="197">
        <f>DA53+各项系数!$L$9*$NU53</f>
        <v>32.623002133938996</v>
      </c>
      <c r="DA53" s="197">
        <f>DB53*(1+$DD53+各项系数!$J$5+各项系数!$L$5)</f>
        <v>32.337722308612427</v>
      </c>
      <c r="DB53" s="199">
        <f t="shared" si="18"/>
        <v>31.703649322169049</v>
      </c>
      <c r="DC53" s="213">
        <f t="shared" si="137"/>
        <v>0</v>
      </c>
      <c r="DD53" s="213">
        <f t="shared" si="19"/>
        <v>0</v>
      </c>
      <c r="DE53" s="53" t="s">
        <v>498</v>
      </c>
      <c r="DF53" s="53" t="s">
        <v>513</v>
      </c>
      <c r="DG53" s="196">
        <f>DH53+各项系数!$M$9*$NQ53</f>
        <v>30.439506128239735</v>
      </c>
      <c r="DH53" s="196">
        <f>DI53*(1+$EA53+(VLOOKUP($AM53,$A$12:$B$323,2,0))+各项系数!$J$6+各项系数!$M$5)*(1+$E$2)+各项系数!$M$9*$NK53</f>
        <v>30.160662495670067</v>
      </c>
      <c r="DI53" s="197">
        <f>DJ53+各项系数!$L$9*$NQ53</f>
        <v>30.579811360538208</v>
      </c>
      <c r="DJ53" s="197">
        <f>DK53*(1+$EB53+各项系数!$J$5+各项系数!$L$5)</f>
        <v>30.300967727968541</v>
      </c>
      <c r="DK53" s="197">
        <f t="shared" si="20"/>
        <v>29.418415269872369</v>
      </c>
      <c r="DL53" s="196">
        <f>DM53+各项系数!$M$9*$NQ53</f>
        <v>31.262065584013744</v>
      </c>
      <c r="DM53" s="196">
        <f>DN53*(1+$EA53+(VLOOKUP($AM53,$A$12:$B$323,2,0))+各项系数!$J$6+各项系数!$M$5)*(1+$E$2)+各项系数!$M$9*$NK53</f>
        <v>30.983221951444076</v>
      </c>
      <c r="DN53" s="197">
        <f>DO53+各项系数!$L$9*$NQ53</f>
        <v>31.419157743981074</v>
      </c>
      <c r="DO53" s="197">
        <f>DP53*(1+$EB53+各项系数!$J$5+各项系数!$L$5)</f>
        <v>31.140314111411406</v>
      </c>
      <c r="DP53" s="197">
        <f t="shared" si="21"/>
        <v>30.233314671273209</v>
      </c>
      <c r="DQ53" s="196">
        <f>DR53+各项系数!$M$9*$NV53</f>
        <v>31.736252302434057</v>
      </c>
      <c r="DR53" s="196">
        <f t="shared" si="22"/>
        <v>31.450972477107488</v>
      </c>
      <c r="DS53" s="197">
        <f>DT53+各项系数!$L$9*$NV53</f>
        <v>32.092829058272947</v>
      </c>
      <c r="DT53" s="197">
        <f>DU53*(1+$EB53+各项系数!$J$5+各项系数!$L$5)</f>
        <v>31.807549232946378</v>
      </c>
      <c r="DU53" s="199">
        <f t="shared" si="23"/>
        <v>30.881115760142116</v>
      </c>
      <c r="DV53" s="196">
        <f>DW53+各项系数!$M$9*$NV53</f>
        <v>32.100935382316692</v>
      </c>
      <c r="DW53" s="196">
        <f t="shared" si="24"/>
        <v>31.815655556990123</v>
      </c>
      <c r="DX53" s="197">
        <f>DY53+各项系数!$L$9*$NV53</f>
        <v>32.46495464998992</v>
      </c>
      <c r="DY53" s="197">
        <f>DZ53*(1+$EB53+各项系数!$J$5+各项系数!$L$5)</f>
        <v>32.179674824663351</v>
      </c>
      <c r="DZ53" s="199">
        <f t="shared" si="25"/>
        <v>31.242402742391601</v>
      </c>
      <c r="EA53" s="213">
        <f t="shared" si="230"/>
        <v>0</v>
      </c>
      <c r="EB53" s="213">
        <f t="shared" si="27"/>
        <v>0.01</v>
      </c>
      <c r="EC53" s="235">
        <f t="shared" si="138"/>
        <v>3</v>
      </c>
      <c r="ED53" s="235" t="str">
        <f t="shared" si="266"/>
        <v>3*16</v>
      </c>
      <c r="EE53" s="189">
        <f t="shared" si="239"/>
        <v>16</v>
      </c>
      <c r="EF53" s="189" t="str">
        <f>LOOKUP(EH53,{1,7,10,14,19,24,30,37,48,61},{1,"1+6","2+8","4+10","1+6+12","2+8+14","4+10+16","1+6+12+18","3+9+15+21","1+6+12+18+24"})</f>
        <v>1+6</v>
      </c>
      <c r="EG53" s="188">
        <f t="shared" si="29"/>
        <v>3</v>
      </c>
      <c r="EH53" s="197">
        <f>VLOOKUP(EE53,各项系数!$B$87:$C$124,2,0)</f>
        <v>7</v>
      </c>
      <c r="EI53" s="188">
        <f>IF(EH53=0,0,VLOOKUP(EH53,各项系数!$D$142:$E$195,2,0))*1</f>
        <v>3</v>
      </c>
      <c r="EJ53" s="238">
        <f t="shared" si="141"/>
        <v>165.41681820668899</v>
      </c>
      <c r="EK53" s="189">
        <f t="shared" si="261"/>
        <v>0</v>
      </c>
      <c r="EL53" s="189">
        <f t="shared" si="31"/>
        <v>0</v>
      </c>
      <c r="EM53" s="189">
        <f t="shared" si="267"/>
        <v>0</v>
      </c>
      <c r="EN53" s="189">
        <f>IF(EP53=0,0,LOOKUP(EP53,{1,7,10,14,19,24,30,37,48,61},{1,"1+6","2+8","4+10","1+6+12","2+8+14","4+10+16","1+6+12+18","3+9+15+21","1+6+12+18+24"}))</f>
        <v>0</v>
      </c>
      <c r="EO53" s="189">
        <f t="shared" si="263"/>
        <v>0</v>
      </c>
      <c r="EP53" s="189">
        <f>IF(EM53=0,0,IF(EM53&lt;10,1,IF(AND(EM53&gt;=10,EM53&lt;=35),7,LOOKUP(EM53,{50,70,95,120,150,185,240,300},{10,14,19,24,30,37,48,61})*1)))</f>
        <v>0</v>
      </c>
      <c r="EQ53" s="189">
        <f>IF(EP53=0,0,VLOOKUP(EP53,各项系数!$D$142:$E$195,2,0))*1</f>
        <v>0</v>
      </c>
      <c r="ER53" s="189">
        <f t="shared" si="264"/>
        <v>0</v>
      </c>
      <c r="ES53" s="235">
        <f t="shared" si="250"/>
        <v>3</v>
      </c>
      <c r="ET53" s="189">
        <f>VLOOKUP(ES53,各项系数!$D$142:$E$195,2,0)*1</f>
        <v>2.16</v>
      </c>
      <c r="EU53" s="243">
        <f>((各项系数!$F$76/4*$EJ53^2*$EG53*$EH53*1*10^-7)*(1-$H53)*AA53)*(VLOOKUP($EY$9,各项系数!$D$4:$F$143,3,0))*各项系数!$J$4</f>
        <v>0.40359381230471436</v>
      </c>
      <c r="EV53" s="244">
        <f>EU53*(VLOOKUP($EY$9,各项系数!$D$4:$F$143,2,0))</f>
        <v>26.435394705958792</v>
      </c>
      <c r="EW53" s="252">
        <f>(IF($EO53=0,0,(各项系数!$F$76/4*$ER53^2*$EO53*$EP53*1*10^-7))*(1-$K53)*$AF53)*(VLOOKUP($EY$9,各项系数!$D$4:$F$143,3,0))*各项系数!$J$4</f>
        <v>0</v>
      </c>
      <c r="EX53" s="253">
        <f>EW53*(VLOOKUP($EY$9,各项系数!$D$4:$F$143,2,0))</f>
        <v>0</v>
      </c>
      <c r="EY53" s="189">
        <f>((各项系数!$F$76/4*$EJ53^2*$EG53*$EH53*1*10^-7)*(1-$H53)*AA53+IF($EO53=0,0,(各项系数!$F$76/4*$ER53^2*$EO53*$EP53*1*10^-7))*(1-$K53)*$AF53)*(VLOOKUP($EY$9,各项系数!$D$4:$F$143,3,0))*各项系数!$J$4</f>
        <v>0.40359381230471436</v>
      </c>
      <c r="EZ53" s="102">
        <v>1</v>
      </c>
      <c r="FA53" s="189">
        <f t="shared" ref="FA53:FA84" si="268">EZ53*EY53</f>
        <v>0.40359381230471436</v>
      </c>
      <c r="FB53" s="254">
        <f>FA53*(VLOOKUP($EY$9,各项系数!$D$4:$F$143,2,0))</f>
        <v>26.435394705958792</v>
      </c>
      <c r="FC53" s="255"/>
      <c r="FD53" s="235">
        <f>各项系数!$F$76/4*($MN53^2-MK53^2)*10^-2*(VLOOKUP(L53,各项系数!$D$1:$F$143,3,0))*10^-3*10^2*$EG53*各项系数!$J$4</f>
        <v>4.0887776738571677E-2</v>
      </c>
      <c r="FE53" s="262">
        <f>FD53*VLOOKUP(L53,各项系数!$D$1:$F$143,2,0)</f>
        <v>0.4170553227334311</v>
      </c>
      <c r="FF53" s="188">
        <f>各项系数!$F$76/4*($MO53^2-ML53^2)*10^-2*(VLOOKUP(L53,各项系数!$D$1:$F$143,3,0))*10^-3*10^2*$EO53*各项系数!$J$4</f>
        <v>0</v>
      </c>
      <c r="FG53" s="262">
        <f>FF53*VLOOKUP(L53,各项系数!$D$1:$F$143,2,0)</f>
        <v>0</v>
      </c>
      <c r="FH53" s="235">
        <f t="shared" si="142"/>
        <v>4.0887776738571677E-2</v>
      </c>
      <c r="FI53" s="102">
        <v>1</v>
      </c>
      <c r="FJ53" s="189">
        <f t="shared" ref="FJ53:FJ84" si="269">FI53*FH53</f>
        <v>4.0887776738571677E-2</v>
      </c>
      <c r="FK53" s="262">
        <f>FJ53*VLOOKUP(L53,各项系数!$D$1:$F$143,2,0)</f>
        <v>0.4170553227334311</v>
      </c>
      <c r="FL53" s="235"/>
      <c r="FM53" s="102"/>
      <c r="FN53" s="189"/>
      <c r="FO53" s="262"/>
      <c r="FP53" s="282">
        <f t="shared" ref="FP53:FP84" si="270">FJ53</f>
        <v>4.0887776738571677E-2</v>
      </c>
      <c r="FQ53" s="282">
        <f t="shared" ref="FQ53:FQ84" si="271">FK53</f>
        <v>0.4170553227334311</v>
      </c>
      <c r="FR53" s="283">
        <f>各项系数!$F$76/4*($MQ53^2-$MN53^2*$EG53-$MO53^2*$EO53)*10^-2</f>
        <v>0.52956198895958095</v>
      </c>
      <c r="FS53" s="284">
        <f t="shared" si="143"/>
        <v>1</v>
      </c>
      <c r="FT53" s="285">
        <f t="shared" si="40"/>
        <v>0.52956198895958095</v>
      </c>
      <c r="FU53" s="302">
        <f>$FT53*(VLOOKUP($FT$9,各项系数!$D$1:$F$143,3,0))*10^-3*10^2*各项系数!$J$55</f>
        <v>6.3229701481773967E-2</v>
      </c>
      <c r="FV53" s="303">
        <v>1</v>
      </c>
      <c r="FW53" s="304">
        <f t="shared" ref="FW53:FW84" si="272">FV53*FU53</f>
        <v>6.3229701481773967E-2</v>
      </c>
      <c r="FX53" s="285">
        <f>FW53*(VLOOKUP($FT$9,各项系数!$D$1:$F$143,2,0))</f>
        <v>0.18968910444532189</v>
      </c>
      <c r="FY53" s="302">
        <f>IF($BK53&lt;&gt;$FY$9,0,各项系数!$F$76/4*($MS53^2-$MQ53^2)*10^-2*(VLOOKUP($FY$9,各项系数!$D$1:$F$143,3,0))*10^-3*10^2)*各项系数!$J$4</f>
        <v>0</v>
      </c>
      <c r="FZ53" s="303">
        <v>1</v>
      </c>
      <c r="GA53" s="304">
        <f t="shared" ref="GA53:GA84" si="273">FZ53*FY53</f>
        <v>0</v>
      </c>
      <c r="GB53" s="285">
        <f>GA53*(VLOOKUP($FY$9,各项系数!$D$1:$F$143,2,0))</f>
        <v>0</v>
      </c>
      <c r="GC53" s="302">
        <f>IF($BK53&lt;&gt;$GC$9,0,各项系数!$F$76/4*($MS53^2-$MQ53^2)*10^-2*(VLOOKUP($GC$9,各项系数!$D$1:$F$143,3,0))*10^-3*10^2)*各项系数!$J$4</f>
        <v>3.7665584350770314E-3</v>
      </c>
      <c r="GD53" s="303">
        <v>1</v>
      </c>
      <c r="GE53" s="304">
        <f t="shared" ref="GE53:GE84" si="274">GD53*GC53</f>
        <v>3.7665584350770314E-3</v>
      </c>
      <c r="GF53" s="285">
        <f>GE53*(VLOOKUP($GC$9,各项系数!$D$1:$F$143,2,0))</f>
        <v>4.8588603812493705E-2</v>
      </c>
      <c r="GG53" s="302">
        <f>IF($BK53&lt;&gt;$GG$9,0,各项系数!$F$76/4*($MS53^2-$MQ53^2)*10^-2*(VLOOKUP($GG$9,各项系数!$D$1:$F$143,3,0))*10^-3*10^2)*各项系数!$J$4</f>
        <v>0</v>
      </c>
      <c r="GH53" s="303">
        <v>1</v>
      </c>
      <c r="GI53" s="304">
        <f t="shared" ref="GI53:GI84" si="275">GH53*GG53</f>
        <v>0</v>
      </c>
      <c r="GJ53" s="285">
        <f>GI53*(VLOOKUP($GG$9,各项系数!$D$1:$F$143,2,0))</f>
        <v>0</v>
      </c>
      <c r="GK53" s="302">
        <f>IF($BK53&lt;&gt;$GK$9,0,各项系数!$F$76/4*($MS53^2-$MQ53^2)*10^-2*(VLOOKUP($GK$9,各项系数!$D$1:$F$143,3,0))*10^-3*10^2)*各项系数!$J$4</f>
        <v>0</v>
      </c>
      <c r="GL53" s="303">
        <v>1</v>
      </c>
      <c r="GM53" s="304">
        <f t="shared" ref="GM53:GM84" si="276">GL53*GK53</f>
        <v>0</v>
      </c>
      <c r="GN53" s="285">
        <f>GM53*(VLOOKUP($GK$9,各项系数!$D$1:$F$143,2,0))</f>
        <v>0</v>
      </c>
      <c r="GO53" s="304">
        <f t="shared" ref="GO53:GO84" si="277">GM53+GI53+GE53+GA53</f>
        <v>3.7665584350770314E-3</v>
      </c>
      <c r="GP53" s="304">
        <f t="shared" ref="GP53:GP84" si="278">GN53+GJ53+GF53+GB53</f>
        <v>4.8588603812493705E-2</v>
      </c>
      <c r="GQ53" s="315">
        <f>各项系数!$F$76/4*($MU53^2-$MS53^2)*10^-2*(VLOOKUP($S53,各项系数!$D$1:$F$143,3,0))*10^-3*10^2*各项系数!$J$4</f>
        <v>0.1042726269897389</v>
      </c>
      <c r="GR53" s="303">
        <v>1</v>
      </c>
      <c r="GS53" s="304">
        <f t="shared" ref="GS53:GS84" si="279">$GR53*$GQ53</f>
        <v>0.1042726269897389</v>
      </c>
      <c r="GT53" s="304">
        <f t="shared" si="200"/>
        <v>0</v>
      </c>
      <c r="GU53" s="304">
        <f>ROUND($GS53*(VLOOKUP($S53,各项系数!$D$1:$F$143,2,0))+$E$3*GS53,GT53)</f>
        <v>1</v>
      </c>
      <c r="GV53" s="315">
        <f>各项系数!$F$76/4*($MT53^2-$MS53^2)*10^-2*(VLOOKUP($GV$9,各项系数!$D$1:$F$143,3,0))*10^-3*10^2*各项系数!$J$4*PI()/4*R53</f>
        <v>1.9554282612719558E-2</v>
      </c>
      <c r="GW53" s="303">
        <v>1</v>
      </c>
      <c r="GX53" s="304">
        <f t="shared" ref="GX53:GX84" si="280">$GW53*$GV53</f>
        <v>1.9554282612719558E-2</v>
      </c>
      <c r="GY53" s="304">
        <f>$GX53*(VLOOKUP($GV$9,各项系数!$D$1:$F$143,2,0))</f>
        <v>1.3199140763585702</v>
      </c>
      <c r="GZ53" s="315">
        <f>各项系数!$F$76/4*($MV53^2-$MS53^2)*10^-2*(VLOOKUP($GZ$9,各项系数!$D$1:$F$143,3,0))*10^-3*10^2*各项系数!$J$4</f>
        <v>0.12824446961257543</v>
      </c>
      <c r="HA53" s="303">
        <v>1</v>
      </c>
      <c r="HB53" s="304">
        <f t="shared" si="144"/>
        <v>0.12824446961257543</v>
      </c>
      <c r="HC53" s="304">
        <f>HB53*(VLOOKUP($GZ$9,各项系数!$D$1:$F$143,2,0))</f>
        <v>2.1801559834137825</v>
      </c>
      <c r="HD53" s="315">
        <f>各项系数!$F$76/4*($MW53^2-$MT53^2)*10^-2*(VLOOKUP($HD$9,各项系数!$D$1:$F$143,3,0))*10^-3*10^2*各项系数!$J$4</f>
        <v>0.12954983905925385</v>
      </c>
      <c r="HE53" s="303">
        <v>1</v>
      </c>
      <c r="HF53" s="304">
        <f t="shared" si="145"/>
        <v>0.12954983905925385</v>
      </c>
      <c r="HG53" s="304">
        <f>HF53*(VLOOKUP($HD$9,各项系数!$D$1:$F$143,2,0))</f>
        <v>2.2023472640073156</v>
      </c>
      <c r="HH53" s="315">
        <f>各项系数!$F$76/4*($MV53^2-$MS53^2)*10^-2*(VLOOKUP($HH$9,各项系数!$D$1:$F$143,3,0))*10^-3*10^2*各项系数!$J$4</f>
        <v>0.12824446961257543</v>
      </c>
      <c r="HI53" s="322">
        <v>1</v>
      </c>
      <c r="HJ53" s="304">
        <f t="shared" si="146"/>
        <v>0.12824446961257543</v>
      </c>
      <c r="HK53" s="304">
        <f>HJ53*(VLOOKUP($HH$9,各项系数!$D$1:$F$143,2,0))</f>
        <v>2.1801559834137825</v>
      </c>
      <c r="HL53" s="315">
        <f>各项系数!$F$76/4*($MW53^2-$MT53^2)*10^-2*(VLOOKUP($HL$9,各项系数!$D$1:$F$143,3,0))*10^-3*10^2*各项系数!$J$4</f>
        <v>0.12954983905925385</v>
      </c>
      <c r="HM53" s="322">
        <v>1</v>
      </c>
      <c r="HN53" s="304">
        <f t="shared" si="147"/>
        <v>0.12954983905925385</v>
      </c>
      <c r="HO53" s="304">
        <f>HN53*(VLOOKUP($HL$9,各项系数!$D$1:$F$143,2,0))</f>
        <v>2.2023472640073156</v>
      </c>
      <c r="HP53" s="315">
        <f>各项系数!$F$76/4*($MV53^2-$MS53^2)*10^-2*(VLOOKUP(AN53,各项系数!$D$1:$F$143,3,0))*10^-3*10^2*各项系数!$J$4</f>
        <v>0.13001335884861095</v>
      </c>
      <c r="HQ53" s="303">
        <v>1</v>
      </c>
      <c r="HR53" s="304">
        <f t="shared" ref="HR53:HR84" si="281">HQ53*HP53</f>
        <v>0.13001335884861095</v>
      </c>
      <c r="HS53" s="304">
        <f>HR53*(VLOOKUP(AN53,各项系数!$D$1:$F$143,2,0))</f>
        <v>1.3001335884861096</v>
      </c>
      <c r="HT53" s="315">
        <f>各项系数!$F$76/4*($MW53^2-$MT53^2)*10^-2*(VLOOKUP(AN53,各项系数!$D$1:$F$143,3,0))*10^-3*10^2*各项系数!$J$4</f>
        <v>0.13133673339110563</v>
      </c>
      <c r="HU53" s="303">
        <v>1</v>
      </c>
      <c r="HV53" s="304">
        <f t="shared" ref="HV53:HV84" si="282">HU53*HT53</f>
        <v>0.13133673339110563</v>
      </c>
      <c r="HW53" s="304">
        <f>HV53*(VLOOKUP(AN53,各项系数!$D$1:$F$143,2,0))</f>
        <v>1.3133673339110563</v>
      </c>
      <c r="HX53" s="315">
        <f>各项系数!$F$76/4*($MV53^2-$MS53^2)*10^-2*(VLOOKUP($HX$9,各项系数!$D$1:$F$143,3,0))*10^-3*10^2*各项系数!$J$4</f>
        <v>0.13001335884861095</v>
      </c>
      <c r="HY53" s="322">
        <v>1</v>
      </c>
      <c r="HZ53" s="304">
        <f t="shared" ref="HZ53:HZ84" si="283">HY53*HX53</f>
        <v>0.13001335884861095</v>
      </c>
      <c r="IA53" s="304">
        <f>HZ53*(VLOOKUP($HX$9,各项系数!$D$1:$F$143,2,0))</f>
        <v>1.4301469473347206</v>
      </c>
      <c r="IB53" s="315">
        <f>各项系数!$F$76/4*($MW53^2-$MT53^2)*10^-2*(VLOOKUP($IB$9,各项系数!$D$1:$F$143,3,0))*10^-3*10^2*各项系数!$J$4</f>
        <v>0.13133673339110563</v>
      </c>
      <c r="IC53" s="322">
        <v>1</v>
      </c>
      <c r="ID53" s="304">
        <f t="shared" ref="ID53:ID84" si="284">IC53*IB53</f>
        <v>0.13133673339110563</v>
      </c>
      <c r="IE53" s="304">
        <f>ID53*(VLOOKUP($IB$9,各项系数!$D$1:$F$143,2,0))</f>
        <v>1.4447040673021618</v>
      </c>
      <c r="IF53" s="328"/>
      <c r="IG53" s="315">
        <f t="shared" si="148"/>
        <v>2.2207476205352534E-2</v>
      </c>
      <c r="IH53" s="303">
        <v>1</v>
      </c>
      <c r="II53" s="304">
        <f t="shared" ref="II53:II84" si="285">IH53*IG53</f>
        <v>2.2207476205352534E-2</v>
      </c>
      <c r="IJ53" s="304">
        <f>II53*(VLOOKUP($IG$8,各项系数!$D$1:$F$143,2,0))</f>
        <v>0.5551869051338133</v>
      </c>
      <c r="IK53" s="315">
        <f>(各项系数!$F$76/4*($MX53^2-$MK53^2)*$EG53)*10^-2*(VLOOKUP($IG$8,各项系数!$D$1:$F$143,3,0))*10^-3*10^2*各项系数!$J$4</f>
        <v>2.2207476205352534E-2</v>
      </c>
      <c r="IL53" s="303">
        <f>IK53*(VLOOKUP($IG$8,各项系数!$D$1:$F$143,2,0))</f>
        <v>0.5551869051338133</v>
      </c>
      <c r="IM53" s="304">
        <f>(各项系数!$F$76/4*(($MM53+3*$X53)^2-MM53^2)*$EO53)*10^-2*(VLOOKUP($IG$8,各项系数!$D$1:$F$143,3,0))*10^-3*10^2*各项系数!$J$4</f>
        <v>0</v>
      </c>
      <c r="IN53" s="303">
        <f>IM53*(VLOOKUP($IG$8,各项系数!$D$1:$F$143,2,0))</f>
        <v>0</v>
      </c>
      <c r="IO53" s="315">
        <f>各项系数!$F$76/4*($MZ53^2-$MX53^2)*10^-2*(VLOOKUP(L53,各项系数!$D$1:$F$143,3,0))*10^-3*10^2*$ES53*各项系数!$J$4</f>
        <v>4.5220252919357801E-2</v>
      </c>
      <c r="IP53" s="303">
        <v>1</v>
      </c>
      <c r="IQ53" s="304">
        <f t="shared" ref="IQ53:IQ84" si="286">IP53*IO53</f>
        <v>4.5220252919357801E-2</v>
      </c>
      <c r="IR53" s="285">
        <f>IQ53*(VLOOKUP(L53,各项系数!$D$1:$F$143,2,0))</f>
        <v>0.46124657977744954</v>
      </c>
      <c r="IS53" s="315">
        <f>IF($L53&lt;&gt;$IS$9,0,各项系数!$F$76/4*($MZ53^2-$MX53^2)*10^-2*各项系数!$F$12*10^-3*10^2)*$ES53*各项系数!$J$4</f>
        <v>0</v>
      </c>
      <c r="IT53" s="303">
        <v>1</v>
      </c>
      <c r="IU53" s="304">
        <f t="shared" ref="IU53:IU84" si="287">IT53*IS53</f>
        <v>0</v>
      </c>
      <c r="IV53" s="285">
        <f>IU53*各项系数!$E$12</f>
        <v>0</v>
      </c>
      <c r="IW53" s="302">
        <f t="shared" ref="IW53:IW84" si="288">IQ53</f>
        <v>4.5220252919357801E-2</v>
      </c>
      <c r="IX53" s="302">
        <f t="shared" ref="IX53:IX84" si="289">IR53</f>
        <v>0.46124657977744954</v>
      </c>
      <c r="IY53" s="339">
        <f>各项系数!$F$76/4*($NB53^2-$MZ53^2*$EG53-$NA53^2*$EO53)*10^-2</f>
        <v>0.63414938681871502</v>
      </c>
      <c r="IZ53" s="284">
        <f t="shared" si="231"/>
        <v>1</v>
      </c>
      <c r="JA53" s="285">
        <f t="shared" si="64"/>
        <v>0.63414938681871502</v>
      </c>
      <c r="JB53" s="282">
        <f>IF($DE53&lt;&gt;$JB$9,0,$JA53*各项系数!$F$32*10^-3*10^2)*各项系数!$J$4</f>
        <v>0</v>
      </c>
      <c r="JC53" s="102">
        <v>1</v>
      </c>
      <c r="JD53" s="189">
        <f t="shared" ref="JD53:JD84" si="290">JC53*JB53</f>
        <v>0</v>
      </c>
      <c r="JE53" s="262">
        <f>JD53*各项系数!$E$32</f>
        <v>0</v>
      </c>
      <c r="JF53" s="282">
        <f>IF($DE53&lt;&gt;$JF$9,0,$JA53*VLOOKUP($JF$9,各项系数!$D$4:$F$540,2,0)*10^-3*10^2)*各项系数!$J$4</f>
        <v>0.31548931994231078</v>
      </c>
      <c r="JG53" s="102">
        <v>1</v>
      </c>
      <c r="JH53" s="189">
        <f t="shared" si="66"/>
        <v>0.31548931994231078</v>
      </c>
      <c r="JI53" s="262">
        <f>JH53*VLOOKUP($JF$9,各项系数!$D$4:$F$540,3,0)</f>
        <v>0.3785871839307729</v>
      </c>
      <c r="JJ53" s="282">
        <f t="shared" ref="JJ53:JJ84" si="291">JH53+JD53</f>
        <v>0.31548931994231078</v>
      </c>
      <c r="JK53" s="189">
        <f t="shared" ref="JK53:JK84" si="292">JI53+JE53</f>
        <v>0.3785871839307729</v>
      </c>
      <c r="JL53" s="282">
        <f>IF($DF53&lt;&gt;$JL$9,0,各项系数!$F$76/4*($NE53^2-$NC53^2)*10^-2*各项系数!$F$39*10^-3*10^2)*各项系数!$J$4</f>
        <v>1.7058714006786329E-3</v>
      </c>
      <c r="JM53" s="102">
        <v>1</v>
      </c>
      <c r="JN53" s="189">
        <f t="shared" ref="JN53:JN84" si="293">JM53*JL53</f>
        <v>1.7058714006786329E-3</v>
      </c>
      <c r="JO53" s="262">
        <f>JN53*各项系数!$E$39</f>
        <v>3.4117428013572662E-2</v>
      </c>
      <c r="JP53" s="282">
        <f>IF($DF53&lt;&gt;$JP$9,0,各项系数!$F$76/4*($NE53^2-$NC53^2)*10^-2*各项系数!$F$36*10^-3*10^2)*各项系数!$J$4</f>
        <v>0</v>
      </c>
      <c r="JQ53" s="102">
        <v>1</v>
      </c>
      <c r="JR53" s="189">
        <f t="shared" ref="JR53:JR84" si="294">JQ53*JP53</f>
        <v>0</v>
      </c>
      <c r="JS53" s="262">
        <f>JR53*各项系数!$E$36</f>
        <v>0</v>
      </c>
      <c r="JT53" s="282">
        <f>IF($DF53&lt;&gt;$JT$9,0,各项系数!$F$76/4*($NE53^2-$NC53^2)*10^-2*各项系数!$F$40*10^-3*10^2)*各项系数!$J$4</f>
        <v>0</v>
      </c>
      <c r="JU53" s="102">
        <v>1</v>
      </c>
      <c r="JV53" s="189">
        <f t="shared" ref="JV53:JV84" si="295">JU53*JT53</f>
        <v>0</v>
      </c>
      <c r="JW53" s="262">
        <f>JV53*各项系数!$E$40</f>
        <v>0</v>
      </c>
      <c r="JX53" s="282">
        <f>IF($DF53&lt;&gt;$JX$9,0,各项系数!$F$76/4*($NE53^2-$NC53^2)*10^-2*各项系数!$F$38*10^-3*10^2)*各项系数!$J$4</f>
        <v>0</v>
      </c>
      <c r="JY53" s="102">
        <v>1</v>
      </c>
      <c r="JZ53" s="189">
        <f t="shared" ref="JZ53:JZ84" si="296">JY53*JX53</f>
        <v>0</v>
      </c>
      <c r="KA53" s="262">
        <f>JZ53*各项系数!$E$38</f>
        <v>0</v>
      </c>
      <c r="KB53" s="282">
        <f>IF($DF53&lt;&gt;$KB$9,0,各项系数!$F$76/4*($NE53^2-$NC53^2)*10^-2*各项系数!$F$41*10^-3*10^2)*各项系数!$J$4</f>
        <v>0</v>
      </c>
      <c r="KC53" s="102">
        <v>1</v>
      </c>
      <c r="KD53" s="189">
        <f t="shared" ref="KD53:KD84" si="297">KC53*KB53</f>
        <v>0</v>
      </c>
      <c r="KE53" s="262">
        <f>KD53*各项系数!$E$41</f>
        <v>0</v>
      </c>
      <c r="KF53" s="189">
        <f t="shared" ref="KF53:KF84" si="298">KD53+JZ53+JV53+JR53+JN53</f>
        <v>1.7058714006786329E-3</v>
      </c>
      <c r="KG53" s="189">
        <f t="shared" ref="KG53:KG84" si="299">KE53+KA53+JW53+JS53+JO53</f>
        <v>3.4117428013572662E-2</v>
      </c>
      <c r="KH53" s="235">
        <f>各项系数!$F$76/4*($NG53^2-$NE53^2)*10^-2*各项系数!$F$44*10^-3*10^2*各项系数!$J$4*0.75*$U53</f>
        <v>0.17136892447093857</v>
      </c>
      <c r="KI53" s="102">
        <v>1</v>
      </c>
      <c r="KJ53" s="189">
        <f t="shared" ref="KJ53:KJ84" si="300">KI53*KH53</f>
        <v>0.17136892447093857</v>
      </c>
      <c r="KK53" s="189">
        <f>ROUND(KJ53*各项系数!$E$43,GT53)</f>
        <v>1</v>
      </c>
      <c r="KL53" s="235">
        <f>各项系数!$F$76/4*($NF53^2-$NE53^2)*10^-2*各项系数!$F$46*10^-3*10^2*各项系数!$J$4*PI()/4*R53</f>
        <v>2.1453975856330416E-2</v>
      </c>
      <c r="KM53" s="102">
        <v>1</v>
      </c>
      <c r="KN53" s="189">
        <f t="shared" ref="KN53:KN84" si="301">$KL53*$KM53</f>
        <v>2.1453975856330416E-2</v>
      </c>
      <c r="KO53" s="189">
        <f>KN53*各项系数!$E$46</f>
        <v>1.448143370302303</v>
      </c>
      <c r="KP53" s="235">
        <f>各项系数!$F$76/4*($NH53^2-$NE53^2)*10^-2*(VLOOKUP($KP$9,各项系数!$D$1:$F$143,3,0))*10^-3*10^2*各项系数!$J$4</f>
        <v>0.13934010990934184</v>
      </c>
      <c r="KQ53" s="102">
        <v>1</v>
      </c>
      <c r="KR53" s="189">
        <f t="shared" si="150"/>
        <v>0.13934010990934184</v>
      </c>
      <c r="KS53" s="189">
        <f>KR53*(VLOOKUP($KP$9,各项系数!$D$1:$F$143,2,0))</f>
        <v>2.3687818684588113</v>
      </c>
      <c r="KT53" s="235">
        <f>各项系数!$F$76/4*($NI53^2-$NF53^2)*10^-2*(VLOOKUP($KT$9,各项系数!$D$1:$F$143,3,0))*10^-3*10^2*各项系数!$J$4</f>
        <v>0.14064547935602029</v>
      </c>
      <c r="KU53" s="102">
        <v>1</v>
      </c>
      <c r="KV53" s="189">
        <f t="shared" si="151"/>
        <v>0.14064547935602029</v>
      </c>
      <c r="KW53" s="189">
        <f>KV53*(VLOOKUP($KT$9,各项系数!$D$1:$F$143,2,0))</f>
        <v>2.3909731490523449</v>
      </c>
      <c r="KX53" s="189">
        <f>各项系数!$F$76/4*($NH53^2-$NE53^2)*10^-2*(VLOOKUP($KX$9,各项系数!$D$1:$F$143,3,0))*10^-3*10^2*各项系数!$J$4</f>
        <v>0.13934010990934184</v>
      </c>
      <c r="KY53" s="353">
        <v>1</v>
      </c>
      <c r="KZ53" s="189">
        <f t="shared" si="152"/>
        <v>0.13934010990934184</v>
      </c>
      <c r="LA53" s="189">
        <f>KZ53*(VLOOKUP($KX$9,各项系数!$D$1:$F$143,2,0))</f>
        <v>2.3687818684588113</v>
      </c>
      <c r="LB53" s="189">
        <f>各项系数!$F$76/4*($NI53^2-$NF53^2)*10^-2*(VLOOKUP($LB$9,各项系数!$D$1:$F$143,3,0))*10^-3*10^2*各项系数!$J$4</f>
        <v>0.14064547935602029</v>
      </c>
      <c r="LC53" s="353">
        <v>1</v>
      </c>
      <c r="LD53" s="189">
        <f t="shared" si="153"/>
        <v>0.14064547935602029</v>
      </c>
      <c r="LE53" s="189">
        <f>LD53*(VLOOKUP($LB$9,各项系数!$D$1:$F$143,2,0))</f>
        <v>2.3909731490523449</v>
      </c>
      <c r="LF53" s="235">
        <f>各项系数!$F$76/4*($NH53^2-$NE53^2)*10^-2*(VLOOKUP(AN53,各项系数!$D$1:$F$143,3,0))*10^-3*10^2*各项系数!$J$4</f>
        <v>0.14126204245981555</v>
      </c>
      <c r="LG53" s="102">
        <v>1</v>
      </c>
      <c r="LH53" s="189">
        <f t="shared" ref="LH53:LH84" si="302">LG53*LF53</f>
        <v>0.14126204245981555</v>
      </c>
      <c r="LI53" s="189">
        <f>LH53*(VLOOKUP(AN53,各项系数!$D$1:$F$143,2,0))</f>
        <v>1.4126204245981555</v>
      </c>
      <c r="LJ53" s="235">
        <f>各项系数!$F$76/4*($NI53^2-$NF53^2)*10^-2*(VLOOKUP(AN53,各项系数!$D$1:$F$143,3,0))*10^-3*10^2*各项系数!$J$4</f>
        <v>0.1425854170023102</v>
      </c>
      <c r="LK53" s="102">
        <v>1</v>
      </c>
      <c r="LL53" s="189">
        <f t="shared" ref="LL53:LL84" si="303">LK53*LJ53</f>
        <v>0.1425854170023102</v>
      </c>
      <c r="LM53" s="189">
        <f>LL53*(VLOOKUP(AN53,各项系数!$D$1:$F$143,2,0))</f>
        <v>1.425854170023102</v>
      </c>
      <c r="LN53" s="189">
        <f>各项系数!$F$76/4*($NH53^2-$NE53^2)*10^-2*(VLOOKUP($LN$9,各项系数!$D$1:$F$143,3,0))*10^-3*10^2*各项系数!$J$4</f>
        <v>0.14126204245981555</v>
      </c>
      <c r="LO53" s="353">
        <v>1</v>
      </c>
      <c r="LP53" s="189">
        <f t="shared" ref="LP53:LP84" si="304">LO53*LN53</f>
        <v>0.14126204245981555</v>
      </c>
      <c r="LQ53" s="189">
        <f>LP53*(VLOOKUP($LN$9,各项系数!$D$1:$F$143,2,0))</f>
        <v>1.5538824670579712</v>
      </c>
      <c r="LR53" s="189">
        <f>各项系数!$F$76/4*($NI53^2-$NF53^2)*10^-2*(VLOOKUP($LR$9,各项系数!$D$1:$F$143,3,0))*10^-3*10^2*各项系数!$J$4</f>
        <v>0.1425854170023102</v>
      </c>
      <c r="LS53" s="353">
        <v>1</v>
      </c>
      <c r="LT53" s="189">
        <f t="shared" ref="LT53:LT84" si="305">LS53*LR53</f>
        <v>0.1425854170023102</v>
      </c>
      <c r="LU53" s="189">
        <f>LT53*(VLOOKUP($LR$9,各项系数!$D$1:$F$143,2,0))</f>
        <v>1.5684395870254122</v>
      </c>
      <c r="LV53" s="227">
        <f t="shared" si="154"/>
        <v>58.024708889999999</v>
      </c>
      <c r="LW53" s="227">
        <f t="shared" si="155"/>
        <v>45.130329140000001</v>
      </c>
      <c r="LX53" s="227">
        <f t="shared" si="156"/>
        <v>7.5803508974164018</v>
      </c>
      <c r="LY53" s="227">
        <f t="shared" si="157"/>
        <v>12.894379749999999</v>
      </c>
      <c r="LZ53" s="374">
        <f t="shared" si="86"/>
        <v>1</v>
      </c>
      <c r="MA53" s="375">
        <f t="shared" si="87"/>
        <v>58.024708889999999</v>
      </c>
      <c r="MB53" s="375">
        <f t="shared" si="158"/>
        <v>4.9625045400000003</v>
      </c>
      <c r="MC53" s="227">
        <f t="shared" si="159"/>
        <v>0</v>
      </c>
      <c r="MD53" s="227">
        <f t="shared" si="160"/>
        <v>0</v>
      </c>
      <c r="ME53" s="227">
        <f t="shared" si="161"/>
        <v>0</v>
      </c>
      <c r="MF53" s="227">
        <f t="shared" si="162"/>
        <v>0</v>
      </c>
      <c r="MG53" s="374">
        <f t="shared" si="163"/>
        <v>1</v>
      </c>
      <c r="MH53" s="375">
        <f t="shared" si="88"/>
        <v>0</v>
      </c>
      <c r="MI53" s="375">
        <f t="shared" si="164"/>
        <v>0</v>
      </c>
      <c r="MJ53" s="189">
        <f t="shared" si="89"/>
        <v>4.9625045400000003</v>
      </c>
      <c r="MK53" s="189">
        <f t="shared" si="165"/>
        <v>4.9625045400000003</v>
      </c>
      <c r="ML53" s="189">
        <f t="shared" ref="ML53:ML84" si="306">$ER53*$EQ53*10^-2</f>
        <v>0</v>
      </c>
      <c r="MM53" s="189">
        <f t="shared" si="91"/>
        <v>0</v>
      </c>
      <c r="MN53" s="189">
        <f t="shared" si="92"/>
        <v>6.3625045399999998</v>
      </c>
      <c r="MO53" s="189">
        <f t="shared" si="166"/>
        <v>0</v>
      </c>
      <c r="MP53" s="189">
        <f t="shared" si="167"/>
        <v>13.74300981</v>
      </c>
      <c r="MQ53" s="189">
        <f t="shared" ref="MQ53:MQ84" si="307">MP53</f>
        <v>13.74300981</v>
      </c>
      <c r="MR53" s="246">
        <f t="shared" si="168"/>
        <v>13.74300981</v>
      </c>
      <c r="MS53" s="380">
        <f t="shared" si="94"/>
        <v>13.91900981</v>
      </c>
      <c r="MT53" s="380">
        <f t="shared" si="95"/>
        <v>14.079009810000001</v>
      </c>
      <c r="MU53" s="380">
        <f t="shared" si="232"/>
        <v>14.51900981</v>
      </c>
      <c r="MV53" s="380">
        <f t="shared" si="97"/>
        <v>17.51900981</v>
      </c>
      <c r="MW53" s="380">
        <f t="shared" si="98"/>
        <v>17.67900981</v>
      </c>
      <c r="MX53" s="254">
        <f t="shared" si="233"/>
        <v>5.5625045400000008</v>
      </c>
      <c r="MY53" s="254">
        <f t="shared" si="100"/>
        <v>0</v>
      </c>
      <c r="MZ53" s="189">
        <f t="shared" si="101"/>
        <v>6.9625045400000012</v>
      </c>
      <c r="NA53" s="189">
        <f t="shared" si="102"/>
        <v>0</v>
      </c>
      <c r="NB53" s="189">
        <f t="shared" si="169"/>
        <v>15.03900981</v>
      </c>
      <c r="NC53" s="254">
        <f t="shared" ref="NC53:NC84" si="308">NB53</f>
        <v>15.03900981</v>
      </c>
      <c r="ND53" s="246">
        <f t="shared" si="234"/>
        <v>15.03900981</v>
      </c>
      <c r="NE53" s="386">
        <f t="shared" si="235"/>
        <v>15.27900981</v>
      </c>
      <c r="NF53" s="380">
        <f t="shared" si="106"/>
        <v>15.43900981</v>
      </c>
      <c r="NG53" s="387">
        <f t="shared" si="236"/>
        <v>15.879009809999999</v>
      </c>
      <c r="NH53" s="254">
        <f t="shared" si="108"/>
        <v>18.879009809999999</v>
      </c>
      <c r="NI53" s="380">
        <f t="shared" si="109"/>
        <v>19.03900981</v>
      </c>
      <c r="NK53" s="388">
        <f t="shared" si="110"/>
        <v>0.64149120780874802</v>
      </c>
      <c r="NL53" s="388">
        <f t="shared" si="111"/>
        <v>28.390861325436148</v>
      </c>
      <c r="NM53" s="388">
        <f t="shared" si="112"/>
        <v>0.64149120780874802</v>
      </c>
      <c r="NN53" s="388">
        <f t="shared" si="113"/>
        <v>28.52087468428476</v>
      </c>
      <c r="NO53" s="388">
        <f t="shared" si="114"/>
        <v>0.92947877523222966</v>
      </c>
      <c r="NP53" s="388">
        <f t="shared" si="115"/>
        <v>29.277153227412555</v>
      </c>
      <c r="NQ53" s="388">
        <f t="shared" si="116"/>
        <v>0.92947877523222966</v>
      </c>
      <c r="NR53" s="388">
        <f t="shared" si="117"/>
        <v>29.418415269872369</v>
      </c>
      <c r="NS53" s="388">
        <f t="shared" si="118"/>
        <v>0.66104549042146754</v>
      </c>
      <c r="NT53" s="388">
        <f t="shared" si="119"/>
        <v>0.66104549042146754</v>
      </c>
      <c r="NU53" s="388">
        <f t="shared" si="120"/>
        <v>0.95093275108856012</v>
      </c>
      <c r="NV53" s="388">
        <f t="shared" si="121"/>
        <v>0.95093275108856012</v>
      </c>
      <c r="NW53">
        <f t="shared" si="122"/>
        <v>0.74576383479848696</v>
      </c>
      <c r="NX53">
        <f>各项系数!$M$9*NK53</f>
        <v>0.19244736234262441</v>
      </c>
      <c r="NY53">
        <f t="shared" si="123"/>
        <v>0.66104549042146754</v>
      </c>
    </row>
    <row r="54" spans="1:389" ht="15" hidden="1" customHeight="1">
      <c r="A54" s="74">
        <v>19</v>
      </c>
      <c r="B54" s="70">
        <v>1</v>
      </c>
      <c r="C54" s="67"/>
      <c r="D54" s="53" t="s">
        <v>162</v>
      </c>
      <c r="E54" s="61">
        <f t="shared" si="255"/>
        <v>21.145443140000001</v>
      </c>
      <c r="F54" s="68">
        <f>$F$22</f>
        <v>208.046961644752</v>
      </c>
      <c r="G54" s="58"/>
      <c r="H54" s="16"/>
      <c r="I54" s="62"/>
      <c r="J54" s="16"/>
      <c r="K54" s="16"/>
      <c r="L54" s="97" t="s">
        <v>467</v>
      </c>
      <c r="M54" s="103">
        <f t="shared" si="2"/>
        <v>0.9</v>
      </c>
      <c r="N54" s="103">
        <f t="shared" si="252"/>
        <v>0</v>
      </c>
      <c r="O54" s="53">
        <f t="shared" si="265"/>
        <v>0.08</v>
      </c>
      <c r="P54" s="99">
        <v>0.1</v>
      </c>
      <c r="Q54" s="133">
        <f t="shared" ref="Q54:Q63" si="309">$Q$12</f>
        <v>0.1</v>
      </c>
      <c r="R54" s="70">
        <v>0.8</v>
      </c>
      <c r="S54" s="142" t="str">
        <f>各项系数!$D$43</f>
        <v>钢带</v>
      </c>
      <c r="T54" s="58">
        <v>0.2</v>
      </c>
      <c r="U54" s="62">
        <v>2</v>
      </c>
      <c r="V54" s="143"/>
      <c r="W54" s="141">
        <v>1.8</v>
      </c>
      <c r="X54" s="135">
        <f t="shared" ref="X54:X63" si="310">$X$12</f>
        <v>0.2</v>
      </c>
      <c r="Y54" s="135"/>
      <c r="Z54" s="168"/>
      <c r="AA54" s="153">
        <f>$AA$22</f>
        <v>1.0109999999999999</v>
      </c>
      <c r="AB54" s="153">
        <f>PI()*EJ54*EJ54/4*EH54*(1-H54)*AA54*各项系数!$F$5*各项系数!$J$4*10^-7</f>
        <v>0.21280737466777744</v>
      </c>
      <c r="AC54" s="153">
        <f t="shared" si="256"/>
        <v>208.046961644752</v>
      </c>
      <c r="AD54" s="153">
        <f t="shared" si="5"/>
        <v>24.058128060751155</v>
      </c>
      <c r="AE54" s="153">
        <f>POWER(4*EU54/PI()/EG54/10^-7/EH54/(1-H54)/各项系数!$F$5/各项系数!$J$4,0.5)</f>
        <v>209.18809041233357</v>
      </c>
      <c r="AF54" s="69">
        <v>1</v>
      </c>
      <c r="AG54" s="69">
        <f>IF(EM54=0,0,PI()*ER54*ER54/4*EP54*(1-K54)*(1+AF54)*各项系数!$F$5*各项系数!$J$4*10^-7)</f>
        <v>0</v>
      </c>
      <c r="AH54" s="69">
        <f t="shared" si="257"/>
        <v>0</v>
      </c>
      <c r="AI54" s="69">
        <f t="shared" si="128"/>
        <v>0</v>
      </c>
      <c r="AJ54" s="69">
        <f>IF(OR(EP54="",EP54=0),0,POWER(4*EW54/PI()/EO54/10^-7/EP54/(1-K54)/各项系数!$F$5/各项系数!$J$4,0.5))</f>
        <v>0</v>
      </c>
      <c r="AK54" s="69" t="str">
        <f t="shared" si="8"/>
        <v>√</v>
      </c>
      <c r="AL54" s="69">
        <f t="shared" si="258"/>
        <v>45.916327637302828</v>
      </c>
      <c r="AM54" s="188">
        <f t="shared" si="259"/>
        <v>25</v>
      </c>
      <c r="AN54" s="97" t="s">
        <v>486</v>
      </c>
      <c r="AO54" s="196">
        <f>AP54+各项系数!$M$9*$NK54</f>
        <v>45.016007487551789</v>
      </c>
      <c r="AP54" s="196">
        <f>AQ54*(1+$BI54+(VLOOKUP($AM54,$A$12:$B$323,2,0))+各项系数!$J$6+各项系数!$M$5)*(1+$E$2)</f>
        <v>44.724861698249342</v>
      </c>
      <c r="AQ54" s="197">
        <f>AR54+各项系数!$L$9*$NK54</f>
        <v>45.637613977805451</v>
      </c>
      <c r="AR54" s="197">
        <f>AS54*(1+$BJ54+各项系数!$J$5+各项系数!$L$5)</f>
        <v>45.346468188503003</v>
      </c>
      <c r="AS54" s="197">
        <f t="shared" si="129"/>
        <v>44.457321753434314</v>
      </c>
      <c r="AT54" s="196">
        <f>AU54+各项系数!$M$9*$NM54</f>
        <v>46.098621064323815</v>
      </c>
      <c r="AU54" s="196">
        <f>AV54*(1+$BI54+(VLOOKUP($AM54,$A$12:$B$323,2,0))+各项系数!$J$6+各项系数!$M$5)*(1+$E$2)</f>
        <v>45.807475275021368</v>
      </c>
      <c r="AV54" s="197">
        <f>AW54+各项系数!$L$9*$NM54</f>
        <v>46.742321709205477</v>
      </c>
      <c r="AW54" s="197">
        <f>AX54*(1+$BJ54+各项系数!$J$5+各项系数!$L$5)</f>
        <v>46.451175919903029</v>
      </c>
      <c r="AX54" s="197">
        <f t="shared" si="130"/>
        <v>45.54036854892454</v>
      </c>
      <c r="AY54" s="196">
        <f>AZ54+各项系数!$M$9*$NS54</f>
        <v>46.705032228870913</v>
      </c>
      <c r="AZ54" s="196">
        <f>BA54*(1+$BI54+(VLOOKUP($AM54,$A$12:$B$214,2,0))+各项系数!$J$6+各项系数!$M$5)*(1+$E$2)</f>
        <v>46.406500497969482</v>
      </c>
      <c r="BA54" s="197">
        <f>BB54+各项系数!$L$9*$NS54</f>
        <v>47.353571936703553</v>
      </c>
      <c r="BB54" s="197">
        <f>BC54*(1+$BJ54+各项系数!$J$5+各项系数!$L$5)</f>
        <v>47.055040205802122</v>
      </c>
      <c r="BC54" s="199">
        <f t="shared" si="131"/>
        <v>46.132392358629531</v>
      </c>
      <c r="BD54" s="196">
        <f>BE54+各项系数!$M$9*$NS54</f>
        <v>47.796599757797459</v>
      </c>
      <c r="BE54" s="196">
        <f>BF54*(1+$BI54+(VLOOKUP($AM54,$A$12:$B$214,2,0))+各项系数!$J$6+各项系数!$M$5)*(1+$E$2)</f>
        <v>47.498068026896028</v>
      </c>
      <c r="BF54" s="197">
        <f>BG54+各项系数!$L$9*$NS54</f>
        <v>48.467416353975537</v>
      </c>
      <c r="BG54" s="197">
        <f>BH54*(1+$BJ54+各项系数!$J$5+各项系数!$L$5)</f>
        <v>48.168884623074106</v>
      </c>
      <c r="BH54" s="199">
        <f t="shared" si="132"/>
        <v>47.224396689288341</v>
      </c>
      <c r="BI54" s="213"/>
      <c r="BJ54" s="208"/>
      <c r="BK54" s="53" t="s">
        <v>514</v>
      </c>
      <c r="BL54" s="196">
        <f>BM54+各项系数!$M$9*$NM54</f>
        <v>45.613201233699336</v>
      </c>
      <c r="BM54" s="196">
        <f>BN54*(1+$CF54+(VLOOKUP($AM54,$A$12:$B$323,2,0))+各项系数!$J$6+各项系数!$M$5)*(1+$E$2)</f>
        <v>45.322055444396888</v>
      </c>
      <c r="BN54" s="197">
        <f>BO54+各项系数!$L$9*$NM54</f>
        <v>46.246995351425397</v>
      </c>
      <c r="BO54" s="197">
        <f>BP54*(1+$CG54+各项系数!$J$5+各项系数!$L$5)</f>
        <v>45.95584956212295</v>
      </c>
      <c r="BP54" s="197">
        <f t="shared" si="133"/>
        <v>44.617329671964029</v>
      </c>
      <c r="BQ54" s="196">
        <f>BR54+各项系数!$M$9*$NM54</f>
        <v>46.544916676103284</v>
      </c>
      <c r="BR54" s="196">
        <f>BS54*(1+$CF54+(VLOOKUP($AM54,$A$12:$B$323,2,0))+各项系数!$J$6+各项系数!$M$5)*(1+$E$2)</f>
        <v>46.253770886800837</v>
      </c>
      <c r="BS54" s="197">
        <f>BT54+各项系数!$L$9*$NM54</f>
        <v>47.197725394694729</v>
      </c>
      <c r="BT54" s="197">
        <f>BU54*(1+$CG54+各项系数!$J$5+各项系数!$L$5)</f>
        <v>46.906579605392281</v>
      </c>
      <c r="BU54" s="197">
        <f t="shared" si="134"/>
        <v>45.54036854892454</v>
      </c>
      <c r="BV54" s="196">
        <f>BW54+各项系数!$M$9*$NT54</f>
        <v>47.035514520021032</v>
      </c>
      <c r="BW54" s="196">
        <f>BX54*(1+$CF54+(VLOOKUP($AM54,$A$12:$B$214,2,0))+各项系数!$J$6+各项系数!$M$5)*(1+$E$2)</f>
        <v>46.736982789119601</v>
      </c>
      <c r="BX54" s="197">
        <f>BY54+各项系数!$L$9*$NT$12</f>
        <v>47.690798764407759</v>
      </c>
      <c r="BY54" s="197">
        <f>BZ54*(1+$CG54+各项系数!$J$5+各项系数!$L$5)</f>
        <v>47.682535361252789</v>
      </c>
      <c r="BZ54" s="199">
        <f t="shared" si="11"/>
        <v>46.293723651701733</v>
      </c>
      <c r="CA54" s="196">
        <f>CB54+各项系数!$M$9*$NT54</f>
        <v>47.974935884160949</v>
      </c>
      <c r="CB54" s="196">
        <f>CC54*(1+$CF54+(VLOOKUP($AM54,$A$12:$B$214,2,0))+各项系数!$J$6+各项系数!$M$5)*(1+$E$2)</f>
        <v>47.676404153259519</v>
      </c>
      <c r="CC54" s="197">
        <f>CD54+各项系数!$L$9*$NT$12</f>
        <v>48.649391993121959</v>
      </c>
      <c r="CD54" s="197">
        <f>CE54*(1+$CG54+各项系数!$J$5+各项系数!$L$5)</f>
        <v>48.641128589966989</v>
      </c>
      <c r="CE54" s="199">
        <f t="shared" si="135"/>
        <v>47.224396689288341</v>
      </c>
      <c r="CF54" s="213">
        <f t="shared" si="136"/>
        <v>0</v>
      </c>
      <c r="CG54" s="213">
        <f t="shared" si="12"/>
        <v>0.01</v>
      </c>
      <c r="CH54" s="102"/>
      <c r="CI54" s="196">
        <f>CJ54+各项系数!$M$9*$NO54</f>
        <v>46.680745252437006</v>
      </c>
      <c r="CJ54" s="196">
        <f>CK54*(1+$DC54+(VLOOKUP($AM54,$A$12:$B$323,2,0))+各项系数!$J$6+各项系数!$M$5)*(1+$E$2)+各项系数!$M$9*$NK54</f>
        <v>46.261569570774974</v>
      </c>
      <c r="CK54" s="197">
        <f>CL54+各项系数!$L$9*$NO54</f>
        <v>46.908595695380129</v>
      </c>
      <c r="CL54" s="197">
        <f>CM54*(1+$DD54+各项系数!$J$5+各项系数!$L$5)</f>
        <v>46.489420013718096</v>
      </c>
      <c r="CM54" s="197">
        <f t="shared" si="13"/>
        <v>45.577862758547155</v>
      </c>
      <c r="CN54" s="196">
        <f>CO54+各项系数!$M$9*$NO54</f>
        <v>47.650916987831437</v>
      </c>
      <c r="CO54" s="196">
        <f>CP54*(1+$DC54+(VLOOKUP($AM54,$A$12:$B$323,2,0))+各项系数!$J$6+各项系数!$M$5)*(1+$E$2)+各项系数!$M$9*$NK54</f>
        <v>47.231741306169404</v>
      </c>
      <c r="CP54" s="197">
        <f>CQ54+各项系数!$L$9*$NO54</f>
        <v>47.898566853945873</v>
      </c>
      <c r="CQ54" s="197">
        <f>CR54*(1+$DD54+各项系数!$J$5+各项系数!$L$5)</f>
        <v>47.47939117228384</v>
      </c>
      <c r="CR54" s="197">
        <f t="shared" si="14"/>
        <v>46.548422717925334</v>
      </c>
      <c r="CS54" s="196">
        <f>CT54+各项系数!$M$9*$NU54</f>
        <v>48.207930624466535</v>
      </c>
      <c r="CT54" s="196">
        <f t="shared" si="15"/>
        <v>47.780799093232439</v>
      </c>
      <c r="CU54" s="197">
        <f>CV54+各项系数!$L$9*$NU54</f>
        <v>48.755917442073915</v>
      </c>
      <c r="CV54" s="197">
        <f>CW54*(1+$DD54+各项系数!$J$5+各项系数!$L$5)</f>
        <v>48.328785910839819</v>
      </c>
      <c r="CW54" s="199">
        <f t="shared" si="16"/>
        <v>47.381162657686097</v>
      </c>
      <c r="CX54" s="196">
        <f>CY54+各项系数!$M$9*$NU54</f>
        <v>49.375606746706495</v>
      </c>
      <c r="CY54" s="196">
        <f t="shared" si="17"/>
        <v>48.948475215472399</v>
      </c>
      <c r="CZ54" s="197">
        <f>DA54+各项系数!$L$9*$NU54</f>
        <v>49.947423689257548</v>
      </c>
      <c r="DA54" s="197">
        <f>DB54*(1+$DD54+各项系数!$J$5+各项系数!$L$5)</f>
        <v>49.520292158023452</v>
      </c>
      <c r="DB54" s="199">
        <f t="shared" si="18"/>
        <v>48.549306037277894</v>
      </c>
      <c r="DC54" s="213">
        <f t="shared" si="137"/>
        <v>0</v>
      </c>
      <c r="DD54" s="213">
        <f t="shared" si="19"/>
        <v>0</v>
      </c>
      <c r="DE54" s="53" t="s">
        <v>498</v>
      </c>
      <c r="DF54" s="53" t="s">
        <v>513</v>
      </c>
      <c r="DG54" s="196">
        <f>DH54+各项系数!$M$9*$NQ54</f>
        <v>47.300274721671812</v>
      </c>
      <c r="DH54" s="196">
        <f>DI54*(1+$EA54+(VLOOKUP($AM54,$A$12:$B$323,2,0))+各项系数!$J$6+各项系数!$M$5)*(1+$E$2)+各项系数!$M$9*$NK54</f>
        <v>46.881099040009779</v>
      </c>
      <c r="DI54" s="197">
        <f>DJ54+各项系数!$L$9*$NQ54</f>
        <v>47.540768623170749</v>
      </c>
      <c r="DJ54" s="197">
        <f>DK54*(1+$EB54+各项系数!$J$5+各项系数!$L$5)</f>
        <v>47.121592941508716</v>
      </c>
      <c r="DK54" s="197">
        <f t="shared" si="20"/>
        <v>45.74911936068807</v>
      </c>
      <c r="DL54" s="196">
        <f>DM54+各项系数!$M$9*$NQ54</f>
        <v>48.29749049883155</v>
      </c>
      <c r="DM54" s="196">
        <f>DN54*(1+$EA54+(VLOOKUP($AM54,$A$12:$B$323,2,0))+各项系数!$J$6+各项系数!$M$5)*(1+$E$2)+各项系数!$M$9*$NK54</f>
        <v>47.878314817169517</v>
      </c>
      <c r="DN54" s="197">
        <f>DO54+各项系数!$L$9*$NQ54</f>
        <v>48.558335742721503</v>
      </c>
      <c r="DO54" s="197">
        <f>DP54*(1+$EB54+各项系数!$J$5+各项系数!$L$5)</f>
        <v>48.139160061059471</v>
      </c>
      <c r="DP54" s="197">
        <f t="shared" si="21"/>
        <v>46.737048602970361</v>
      </c>
      <c r="DQ54" s="196">
        <f>DR54+各项系数!$M$9*$NV54</f>
        <v>48.846468246976094</v>
      </c>
      <c r="DR54" s="196">
        <f t="shared" si="22"/>
        <v>48.419336715741998</v>
      </c>
      <c r="DS54" s="197">
        <f>DT54+各项系数!$L$9*$NV54</f>
        <v>49.407486444634692</v>
      </c>
      <c r="DT54" s="197">
        <f>DU54*(1+$EB54+各项系数!$J$5+各项系数!$L$5)</f>
        <v>48.980354913400596</v>
      </c>
      <c r="DU54" s="199">
        <f t="shared" si="23"/>
        <v>47.553742634369513</v>
      </c>
      <c r="DV54" s="196">
        <f>DW54+各项系数!$M$9*$NV54</f>
        <v>49.111422046264757</v>
      </c>
      <c r="DW54" s="196">
        <f t="shared" si="24"/>
        <v>48.684290515030661</v>
      </c>
      <c r="DX54" s="197">
        <f>DY54+各项系数!$L$9*$NV54</f>
        <v>49.677847464317004</v>
      </c>
      <c r="DY54" s="197">
        <f>DZ54*(1+$EB54+各项系数!$J$5+各项系数!$L$5)</f>
        <v>49.250715933082908</v>
      </c>
      <c r="DZ54" s="199">
        <f t="shared" si="25"/>
        <v>47.816229061245544</v>
      </c>
      <c r="EA54" s="213">
        <f t="shared" ref="EA54:EA66" si="311">BI54+$EA$2</f>
        <v>0</v>
      </c>
      <c r="EB54" s="213">
        <f t="shared" si="27"/>
        <v>0.01</v>
      </c>
      <c r="EC54" s="235">
        <f t="shared" si="138"/>
        <v>3</v>
      </c>
      <c r="ED54" s="235" t="str">
        <f t="shared" si="266"/>
        <v>3*25</v>
      </c>
      <c r="EE54" s="189">
        <f t="shared" si="239"/>
        <v>25</v>
      </c>
      <c r="EF54" s="189" t="str">
        <f>LOOKUP(EH54,{1,7,10,14,19,24,30,37,48,61},{1,"1+6","2+8","4+10","1+6+12","2+8+14","4+10+16","1+6+12+18","3+9+15+21","1+6+12+18+24"})</f>
        <v>1+6</v>
      </c>
      <c r="EG54" s="188">
        <f t="shared" si="29"/>
        <v>3</v>
      </c>
      <c r="EH54" s="197">
        <f>VLOOKUP(EE54,各项系数!$B$87:$C$124,2,0)</f>
        <v>7</v>
      </c>
      <c r="EI54" s="188">
        <f>IF(EH54=0,0,VLOOKUP(EH54,各项系数!$D$142:$E$195,2,0))*1</f>
        <v>3</v>
      </c>
      <c r="EJ54" s="238">
        <f t="shared" si="141"/>
        <v>208.046961644752</v>
      </c>
      <c r="EK54" s="189">
        <f t="shared" si="261"/>
        <v>0</v>
      </c>
      <c r="EL54" s="189">
        <f t="shared" si="31"/>
        <v>0</v>
      </c>
      <c r="EM54" s="189">
        <f t="shared" si="267"/>
        <v>0</v>
      </c>
      <c r="EN54" s="189">
        <f>IF(EP54=0,0,LOOKUP(EP54,{1,7,10,14,19,24,30,37,48,61},{1,"1+6","2+8","4+10","1+6+12","2+8+14","4+10+16","1+6+12+18","3+9+15+21","1+6+12+18+24"}))</f>
        <v>0</v>
      </c>
      <c r="EO54" s="189">
        <f t="shared" si="263"/>
        <v>0</v>
      </c>
      <c r="EP54" s="189">
        <f>IF(EM54=0,0,IF(EM54&lt;10,1,IF(AND(EM54&gt;=10,EM54&lt;=35),7,LOOKUP(EM54,{50,70,95,120,150,185,240,300},{10,14,19,24,30,37,48,61})*1)))</f>
        <v>0</v>
      </c>
      <c r="EQ54" s="189">
        <f>IF(EP54=0,0,VLOOKUP(EP54,各项系数!$D$142:$E$195,2,0))*1</f>
        <v>0</v>
      </c>
      <c r="ER54" s="189">
        <f t="shared" si="264"/>
        <v>0</v>
      </c>
      <c r="ES54" s="235">
        <f t="shared" si="250"/>
        <v>3</v>
      </c>
      <c r="ET54" s="189">
        <f>VLOOKUP(ES54,各项系数!$D$142:$E$195,2,0)*1</f>
        <v>2.16</v>
      </c>
      <c r="EU54" s="243">
        <f>((各项系数!$F$76/4*$EJ54^2*$EG54*$EH54*1*10^-7)*(1-$H54)*AA54)*(VLOOKUP($EY$9,各项系数!$D$4:$F$143,3,0))*各项系数!$J$4</f>
        <v>0.63842212400333231</v>
      </c>
      <c r="EV54" s="244">
        <f>EU54*(VLOOKUP($EY$9,各项系数!$D$4:$F$143,2,0))</f>
        <v>41.816649122218266</v>
      </c>
      <c r="EW54" s="252">
        <f>(IF($EO54=0,0,(各项系数!$F$76/4*$ER54^2*$EO54*$EP54*1*10^-7))*(1-$K54)*$AF54)*(VLOOKUP($EY$9,各项系数!$D$4:$F$143,3,0))*各项系数!$J$4</f>
        <v>0</v>
      </c>
      <c r="EX54" s="253">
        <f>EW54*(VLOOKUP($EY$9,各项系数!$D$4:$F$143,2,0))</f>
        <v>0</v>
      </c>
      <c r="EY54" s="189">
        <f>((各项系数!$F$76/4*$EJ54^2*$EG54*$EH54*1*10^-7)*(1-$H54)*AA54+IF($EO54=0,0,(各项系数!$F$76/4*$ER54^2*$EO54*$EP54*1*10^-7))*(1-$K54)*$AF54)*(VLOOKUP($EY$9,各项系数!$D$4:$F$143,3,0))*各项系数!$J$4</f>
        <v>0.63842212400333231</v>
      </c>
      <c r="EZ54" s="102">
        <v>1</v>
      </c>
      <c r="FA54" s="189">
        <f t="shared" si="268"/>
        <v>0.63842212400333231</v>
      </c>
      <c r="FB54" s="254">
        <f>FA54*(VLOOKUP($EY$9,各项系数!$D$4:$F$143,2,0))</f>
        <v>41.816649122218266</v>
      </c>
      <c r="FC54" s="255"/>
      <c r="FD54" s="235">
        <f>各项系数!$F$76/4*($MN54^2-MK54^2)*10^-2*(VLOOKUP(L54,各项系数!$D$1:$F$143,3,0))*10^-3*10^2*$EG54*各项系数!$J$4</f>
        <v>6.6299965249724258E-2</v>
      </c>
      <c r="FE54" s="262">
        <f>FD54*VLOOKUP(L54,各项系数!$D$1:$F$143,2,0)</f>
        <v>0.67625964554718743</v>
      </c>
      <c r="FF54" s="188">
        <f>各项系数!$F$76/4*($MO54^2-ML54^2)*10^-2*(VLOOKUP(L54,各项系数!$D$1:$F$143,3,0))*10^-3*10^2*$EO54*各项系数!$J$4</f>
        <v>0</v>
      </c>
      <c r="FG54" s="262">
        <f>FF54*VLOOKUP(L54,各项系数!$D$1:$F$143,2,0)</f>
        <v>0</v>
      </c>
      <c r="FH54" s="235">
        <f t="shared" si="142"/>
        <v>6.6299965249724258E-2</v>
      </c>
      <c r="FI54" s="102">
        <v>1</v>
      </c>
      <c r="FJ54" s="189">
        <f t="shared" si="269"/>
        <v>6.6299965249724258E-2</v>
      </c>
      <c r="FK54" s="262">
        <f>FJ54*VLOOKUP(L54,各项系数!$D$1:$F$143,2,0)</f>
        <v>0.67625964554718743</v>
      </c>
      <c r="FL54" s="235"/>
      <c r="FM54" s="102"/>
      <c r="FN54" s="189"/>
      <c r="FO54" s="262"/>
      <c r="FP54" s="282">
        <f t="shared" si="270"/>
        <v>6.6299965249724258E-2</v>
      </c>
      <c r="FQ54" s="282">
        <f t="shared" si="271"/>
        <v>0.67625964554718743</v>
      </c>
      <c r="FR54" s="283">
        <f>各项系数!$F$76/4*($MQ54^2-$MN54^2*$EG54-$MO54^2*$EO54)*10^-2</f>
        <v>0.84591140824986311</v>
      </c>
      <c r="FS54" s="284">
        <f t="shared" si="143"/>
        <v>1</v>
      </c>
      <c r="FT54" s="285">
        <f t="shared" si="40"/>
        <v>0.84591140824986311</v>
      </c>
      <c r="FU54" s="302">
        <f>$FT54*(VLOOKUP($FT$9,各项系数!$D$1:$F$143,3,0))*10^-3*10^2*各项系数!$J$55</f>
        <v>0.10100182214503366</v>
      </c>
      <c r="FV54" s="303">
        <v>1</v>
      </c>
      <c r="FW54" s="304">
        <f t="shared" si="272"/>
        <v>0.10100182214503366</v>
      </c>
      <c r="FX54" s="285">
        <f>FW54*(VLOOKUP($FT$9,各项系数!$D$1:$F$143,2,0))</f>
        <v>0.30300546643510096</v>
      </c>
      <c r="FY54" s="302">
        <f>IF($BK54&lt;&gt;$FY$9,0,各项系数!$F$76/4*($MS54^2-$MQ54^2)*10^-2*(VLOOKUP($FY$9,各项系数!$D$1:$F$143,3,0))*10^-3*10^2)*各项系数!$J$4</f>
        <v>0</v>
      </c>
      <c r="FZ54" s="303">
        <v>1</v>
      </c>
      <c r="GA54" s="304">
        <f t="shared" si="273"/>
        <v>0</v>
      </c>
      <c r="GB54" s="285">
        <f>GA54*(VLOOKUP($FY$9,各项系数!$D$1:$F$143,2,0))</f>
        <v>0</v>
      </c>
      <c r="GC54" s="302">
        <f>IF($BK54&lt;&gt;$GC$9,0,各项系数!$F$76/4*($MS54^2-$MQ54^2)*10^-2*(VLOOKUP($GC$9,各项系数!$D$1:$F$143,3,0))*10^-3*10^2)*各项系数!$J$4</f>
        <v>4.7541344136928032E-3</v>
      </c>
      <c r="GD54" s="303">
        <v>1</v>
      </c>
      <c r="GE54" s="304">
        <f t="shared" si="274"/>
        <v>4.7541344136928032E-3</v>
      </c>
      <c r="GF54" s="285">
        <f>GE54*(VLOOKUP($GC$9,各项系数!$D$1:$F$143,2,0))</f>
        <v>6.1328333936637162E-2</v>
      </c>
      <c r="GG54" s="302">
        <f>IF($BK54&lt;&gt;$GG$9,0,各项系数!$F$76/4*($MS54^2-$MQ54^2)*10^-2*(VLOOKUP($GG$9,各项系数!$D$1:$F$143,3,0))*10^-3*10^2)*各项系数!$J$4</f>
        <v>0</v>
      </c>
      <c r="GH54" s="303">
        <v>1</v>
      </c>
      <c r="GI54" s="304">
        <f t="shared" si="275"/>
        <v>0</v>
      </c>
      <c r="GJ54" s="285">
        <f>GI54*(VLOOKUP($GG$9,各项系数!$D$1:$F$143,2,0))</f>
        <v>0</v>
      </c>
      <c r="GK54" s="302">
        <f>IF($BK54&lt;&gt;$GK$9,0,各项系数!$F$76/4*($MS54^2-$MQ54^2)*10^-2*(VLOOKUP($GK$9,各项系数!$D$1:$F$143,3,0))*10^-3*10^2)*各项系数!$J$4</f>
        <v>0</v>
      </c>
      <c r="GL54" s="303">
        <v>1</v>
      </c>
      <c r="GM54" s="304">
        <f t="shared" si="276"/>
        <v>0</v>
      </c>
      <c r="GN54" s="285">
        <f>GM54*(VLOOKUP($GK$9,各项系数!$D$1:$F$143,2,0))</f>
        <v>0</v>
      </c>
      <c r="GO54" s="304">
        <f t="shared" si="277"/>
        <v>4.7541344136928032E-3</v>
      </c>
      <c r="GP54" s="304">
        <f t="shared" si="278"/>
        <v>6.1328333936637162E-2</v>
      </c>
      <c r="GQ54" s="315">
        <f>各项系数!$F$76/4*($MU54^2-$MS54^2)*10^-2*(VLOOKUP($S54,各项系数!$D$1:$F$143,3,0))*10^-3*10^2*各项系数!$J$4</f>
        <v>0.13086644294282396</v>
      </c>
      <c r="GR54" s="303">
        <v>1</v>
      </c>
      <c r="GS54" s="304">
        <f t="shared" si="279"/>
        <v>0.13086644294282396</v>
      </c>
      <c r="GT54" s="304">
        <f t="shared" si="200"/>
        <v>0</v>
      </c>
      <c r="GU54" s="304">
        <f>ROUND($GS54*(VLOOKUP($S54,各项系数!$D$1:$F$143,2,0))+$E$3*GS54,GT54)</f>
        <v>1</v>
      </c>
      <c r="GV54" s="315">
        <f>各项系数!$F$76/4*($MT54^2-$MS54^2)*10^-2*(VLOOKUP($GV$9,各项系数!$D$1:$F$143,3,0))*10^-3*10^2*各项系数!$J$4*PI()/4*R54</f>
        <v>2.4619805329929925E-2</v>
      </c>
      <c r="GW54" s="303">
        <v>1</v>
      </c>
      <c r="GX54" s="304">
        <f t="shared" si="280"/>
        <v>2.4619805329929925E-2</v>
      </c>
      <c r="GY54" s="304">
        <f>$GX54*(VLOOKUP($GV$9,各项系数!$D$1:$F$143,2,0))</f>
        <v>1.66183685977027</v>
      </c>
      <c r="GZ54" s="315">
        <f>各项系数!$F$76/4*($MV54^2-$MS54^2)*10^-2*(VLOOKUP($GZ$9,各项系数!$D$1:$F$143,3,0))*10^-3*10^2*各项系数!$J$4</f>
        <v>0.15783094004631437</v>
      </c>
      <c r="HA54" s="303">
        <v>1</v>
      </c>
      <c r="HB54" s="304">
        <f t="shared" si="144"/>
        <v>0.15783094004631437</v>
      </c>
      <c r="HC54" s="304">
        <f>HB54*(VLOOKUP($GZ$9,各项系数!$D$1:$F$143,2,0))</f>
        <v>2.6831259807873442</v>
      </c>
      <c r="HD54" s="315">
        <f>各项系数!$F$76/4*($MW54^2-$MT54^2)*10^-2*(VLOOKUP($HD$9,各项系数!$D$1:$F$143,3,0))*10^-3*10^2*各项系数!$J$4</f>
        <v>0.15913630949299273</v>
      </c>
      <c r="HE54" s="303">
        <v>1</v>
      </c>
      <c r="HF54" s="304">
        <f t="shared" si="145"/>
        <v>0.15913630949299273</v>
      </c>
      <c r="HG54" s="304">
        <f>HF54*(VLOOKUP($HD$9,各项系数!$D$1:$F$143,2,0))</f>
        <v>2.7053172613808765</v>
      </c>
      <c r="HH54" s="315">
        <f>各项系数!$F$76/4*($MV54^2-$MS54^2)*10^-2*(VLOOKUP($HH$9,各项系数!$D$1:$F$143,3,0))*10^-3*10^2*各项系数!$J$4</f>
        <v>0.15783094004631437</v>
      </c>
      <c r="HI54" s="322">
        <v>1</v>
      </c>
      <c r="HJ54" s="304">
        <f t="shared" si="146"/>
        <v>0.15783094004631437</v>
      </c>
      <c r="HK54" s="304">
        <f>HJ54*(VLOOKUP($HH$9,各项系数!$D$1:$F$143,2,0))</f>
        <v>2.6831259807873442</v>
      </c>
      <c r="HL54" s="315">
        <f>各项系数!$F$76/4*($MW54^2-$MT54^2)*10^-2*(VLOOKUP($HL$9,各项系数!$D$1:$F$143,3,0))*10^-3*10^2*各项系数!$J$4</f>
        <v>0.15913630949299273</v>
      </c>
      <c r="HM54" s="322">
        <v>1</v>
      </c>
      <c r="HN54" s="304">
        <f t="shared" si="147"/>
        <v>0.15913630949299273</v>
      </c>
      <c r="HO54" s="304">
        <f>HN54*(VLOOKUP($HL$9,各项系数!$D$1:$F$143,2,0))</f>
        <v>2.7053172613808765</v>
      </c>
      <c r="HP54" s="315">
        <f>各项系数!$F$76/4*($MV54^2-$MS54^2)*10^-2*(VLOOKUP(AN54,各项系数!$D$1:$F$143,3,0))*10^-3*10^2*各项系数!$J$4</f>
        <v>0.16000791852971183</v>
      </c>
      <c r="HQ54" s="303">
        <v>1</v>
      </c>
      <c r="HR54" s="304">
        <f t="shared" si="281"/>
        <v>0.16000791852971183</v>
      </c>
      <c r="HS54" s="304">
        <f>HR54*(VLOOKUP(AN54,各项系数!$D$1:$F$143,2,0))</f>
        <v>1.6000791852971183</v>
      </c>
      <c r="HT54" s="315">
        <f>各项系数!$F$76/4*($MW54^2-$MT54^2)*10^-2*(VLOOKUP(AN54,各项系数!$D$1:$F$143,3,0))*10^-3*10^2*各项系数!$J$4</f>
        <v>0.16133129307220648</v>
      </c>
      <c r="HU54" s="303">
        <v>1</v>
      </c>
      <c r="HV54" s="304">
        <f t="shared" si="282"/>
        <v>0.16133129307220648</v>
      </c>
      <c r="HW54" s="304">
        <f>HV54*(VLOOKUP(AN54,各项系数!$D$1:$F$143,2,0))</f>
        <v>1.6133129307220648</v>
      </c>
      <c r="HX54" s="315">
        <f>各项系数!$F$76/4*($MV54^2-$MS54^2)*10^-2*(VLOOKUP($HX$9,各项系数!$D$1:$F$143,3,0))*10^-3*10^2*各项系数!$J$4</f>
        <v>0.16000791852971183</v>
      </c>
      <c r="HY54" s="322">
        <v>1</v>
      </c>
      <c r="HZ54" s="304">
        <f t="shared" si="283"/>
        <v>0.16000791852971183</v>
      </c>
      <c r="IA54" s="304">
        <f>HZ54*(VLOOKUP($HX$9,各项系数!$D$1:$F$143,2,0))</f>
        <v>1.7600871038268302</v>
      </c>
      <c r="IB54" s="315">
        <f>各项系数!$F$76/4*($MW54^2-$MT54^2)*10^-2*(VLOOKUP($IB$9,各项系数!$D$1:$F$143,3,0))*10^-3*10^2*各项系数!$J$4</f>
        <v>0.16133129307220648</v>
      </c>
      <c r="IC54" s="322">
        <v>1</v>
      </c>
      <c r="ID54" s="304">
        <f t="shared" si="284"/>
        <v>0.16133129307220648</v>
      </c>
      <c r="IE54" s="304">
        <f>ID54*(VLOOKUP($IB$9,各项系数!$D$1:$F$143,2,0))</f>
        <v>1.7746442237942712</v>
      </c>
      <c r="IF54" s="328"/>
      <c r="IG54" s="315">
        <f t="shared" si="148"/>
        <v>2.7604381241623014E-2</v>
      </c>
      <c r="IH54" s="303">
        <v>1</v>
      </c>
      <c r="II54" s="304">
        <f t="shared" si="285"/>
        <v>2.7604381241623014E-2</v>
      </c>
      <c r="IJ54" s="304">
        <f>II54*(VLOOKUP($IG$8,各项系数!$D$1:$F$143,2,0))</f>
        <v>0.69010953104057537</v>
      </c>
      <c r="IK54" s="315">
        <f>(各项系数!$F$76/4*($MX54^2-$MK54^2)*$EG54)*10^-2*(VLOOKUP($IG$8,各项系数!$D$1:$F$143,3,0))*10^-3*10^2*各项系数!$J$4</f>
        <v>2.7604381241623014E-2</v>
      </c>
      <c r="IL54" s="303">
        <f>IK54*(VLOOKUP($IG$8,各项系数!$D$1:$F$143,2,0))</f>
        <v>0.69010953104057537</v>
      </c>
      <c r="IM54" s="304">
        <f>(各项系数!$F$76/4*(($MM54+3*$X54)^2-MM54^2)*$EO54)*10^-2*(VLOOKUP($IG$8,各项系数!$D$1:$F$143,3,0))*10^-3*10^2*各项系数!$J$4</f>
        <v>0</v>
      </c>
      <c r="IN54" s="303">
        <f>IM54*(VLOOKUP($IG$8,各项系数!$D$1:$F$143,2,0))</f>
        <v>0</v>
      </c>
      <c r="IO54" s="315">
        <f>各项系数!$F$76/4*($MZ54^2-$MX54^2)*10^-2*(VLOOKUP(L54,各项系数!$D$1:$F$143,3,0))*10^-3*10^2*$ES54*各项系数!$J$4</f>
        <v>7.1870291767877792E-2</v>
      </c>
      <c r="IP54" s="303">
        <v>1</v>
      </c>
      <c r="IQ54" s="304">
        <f t="shared" si="286"/>
        <v>7.1870291767877792E-2</v>
      </c>
      <c r="IR54" s="285">
        <f>IQ54*(VLOOKUP(L54,各项系数!$D$1:$F$143,2,0))</f>
        <v>0.73307697603235344</v>
      </c>
      <c r="IS54" s="315">
        <f>IF($L54&lt;&gt;$IS$9,0,各项系数!$F$76/4*($MZ54^2-$MX54^2)*10^-2*各项系数!$F$12*10^-3*10^2)*$ES54*各项系数!$J$4</f>
        <v>0</v>
      </c>
      <c r="IT54" s="303">
        <v>1</v>
      </c>
      <c r="IU54" s="304">
        <f t="shared" si="287"/>
        <v>0</v>
      </c>
      <c r="IV54" s="285">
        <f>IU54*各项系数!$E$12</f>
        <v>0</v>
      </c>
      <c r="IW54" s="302">
        <f t="shared" si="288"/>
        <v>7.1870291767877792E-2</v>
      </c>
      <c r="IX54" s="302">
        <f t="shared" si="289"/>
        <v>0.73307697603235344</v>
      </c>
      <c r="IY54" s="339">
        <f>各项系数!$F$76/4*($NB54^2-$MZ54^2*$EG54-$NA54^2*$EO54)*10^-2</f>
        <v>0.97685409528640021</v>
      </c>
      <c r="IZ54" s="284">
        <f t="shared" si="231"/>
        <v>1</v>
      </c>
      <c r="JA54" s="285">
        <f t="shared" si="64"/>
        <v>0.97685409528640021</v>
      </c>
      <c r="JB54" s="282">
        <f>IF($DE54&lt;&gt;$JB$9,0,$JA54*各项系数!$F$32*10^-3*10^2)*各项系数!$J$4</f>
        <v>0</v>
      </c>
      <c r="JC54" s="102">
        <v>1</v>
      </c>
      <c r="JD54" s="189">
        <f t="shared" si="290"/>
        <v>0</v>
      </c>
      <c r="JE54" s="262">
        <f>JD54*各项系数!$E$32</f>
        <v>0</v>
      </c>
      <c r="JF54" s="282">
        <f>IF($DE54&lt;&gt;$JF$9,0,$JA54*VLOOKUP($JF$9,各项系数!$D$4:$F$540,2,0)*10^-3*10^2)*各项系数!$J$4</f>
        <v>0.48598491240498409</v>
      </c>
      <c r="JG54" s="102">
        <v>1</v>
      </c>
      <c r="JH54" s="189">
        <f t="shared" si="66"/>
        <v>0.48598491240498409</v>
      </c>
      <c r="JI54" s="262">
        <f>JH54*VLOOKUP($JF$9,各项系数!$D$4:$F$540,3,0)</f>
        <v>0.58318189488598093</v>
      </c>
      <c r="JJ54" s="282">
        <f t="shared" si="291"/>
        <v>0.48598491240498409</v>
      </c>
      <c r="JK54" s="189">
        <f t="shared" si="292"/>
        <v>0.58318189488598093</v>
      </c>
      <c r="JL54" s="282">
        <f>IF($DF54&lt;&gt;$JL$9,0,各项系数!$F$76/4*($NE54^2-$NC54^2)*10^-2*各项系数!$F$39*10^-3*10^2)*各项系数!$J$4</f>
        <v>2.1139606480405429E-3</v>
      </c>
      <c r="JM54" s="102">
        <v>1</v>
      </c>
      <c r="JN54" s="189">
        <f t="shared" si="293"/>
        <v>2.1139606480405429E-3</v>
      </c>
      <c r="JO54" s="262">
        <f>JN54*各项系数!$E$39</f>
        <v>4.2279212960810858E-2</v>
      </c>
      <c r="JP54" s="282">
        <f>IF($DF54&lt;&gt;$JP$9,0,各项系数!$F$76/4*($NE54^2-$NC54^2)*10^-2*各项系数!$F$36*10^-3*10^2)*各项系数!$J$4</f>
        <v>0</v>
      </c>
      <c r="JQ54" s="102">
        <v>1</v>
      </c>
      <c r="JR54" s="189">
        <f t="shared" si="294"/>
        <v>0</v>
      </c>
      <c r="JS54" s="262">
        <f>JR54*各项系数!$E$36</f>
        <v>0</v>
      </c>
      <c r="JT54" s="282">
        <f>IF($DF54&lt;&gt;$JT$9,0,各项系数!$F$76/4*($NE54^2-$NC54^2)*10^-2*各项系数!$F$40*10^-3*10^2)*各项系数!$J$4</f>
        <v>0</v>
      </c>
      <c r="JU54" s="102">
        <v>1</v>
      </c>
      <c r="JV54" s="189">
        <f t="shared" si="295"/>
        <v>0</v>
      </c>
      <c r="JW54" s="262">
        <f>JV54*各项系数!$E$40</f>
        <v>0</v>
      </c>
      <c r="JX54" s="282">
        <f>IF($DF54&lt;&gt;$JX$9,0,各项系数!$F$76/4*($NE54^2-$NC54^2)*10^-2*各项系数!$F$38*10^-3*10^2)*各项系数!$J$4</f>
        <v>0</v>
      </c>
      <c r="JY54" s="102">
        <v>1</v>
      </c>
      <c r="JZ54" s="189">
        <f t="shared" si="296"/>
        <v>0</v>
      </c>
      <c r="KA54" s="262">
        <f>JZ54*各项系数!$E$38</f>
        <v>0</v>
      </c>
      <c r="KB54" s="282">
        <f>IF($DF54&lt;&gt;$KB$9,0,各项系数!$F$76/4*($NE54^2-$NC54^2)*10^-2*各项系数!$F$41*10^-3*10^2)*各项系数!$J$4</f>
        <v>0</v>
      </c>
      <c r="KC54" s="102">
        <v>1</v>
      </c>
      <c r="KD54" s="189">
        <f t="shared" si="297"/>
        <v>0</v>
      </c>
      <c r="KE54" s="262">
        <f>KD54*各项系数!$E$41</f>
        <v>0</v>
      </c>
      <c r="KF54" s="189">
        <f t="shared" si="298"/>
        <v>2.1139606480405429E-3</v>
      </c>
      <c r="KG54" s="189">
        <f t="shared" si="299"/>
        <v>4.2279212960810858E-2</v>
      </c>
      <c r="KH54" s="235">
        <f>各项系数!$F$76/4*($NG54^2-$NE54^2)*10^-2*各项系数!$F$44*10^-3*10^2*各项系数!$J$4*0.75*$U54</f>
        <v>0.21125964840056596</v>
      </c>
      <c r="KI54" s="102">
        <v>1</v>
      </c>
      <c r="KJ54" s="189">
        <f t="shared" si="300"/>
        <v>0.21125964840056596</v>
      </c>
      <c r="KK54" s="189">
        <f>ROUND(KJ54*各项系数!$E$43,GT54)</f>
        <v>1</v>
      </c>
      <c r="KL54" s="235">
        <f>各项系数!$F$76/4*($NF54^2-$NE54^2)*10^-2*各项系数!$F$46*10^-3*10^2*各项系数!$J$4*PI()/4*R54</f>
        <v>2.6519498573540787E-2</v>
      </c>
      <c r="KM54" s="102">
        <v>1</v>
      </c>
      <c r="KN54" s="189">
        <f t="shared" si="301"/>
        <v>2.6519498573540787E-2</v>
      </c>
      <c r="KO54" s="189">
        <f>KN54*各项系数!$E$46</f>
        <v>1.790066153714003</v>
      </c>
      <c r="KP54" s="235">
        <f>各项系数!$F$76/4*($NH54^2-$NE54^2)*10^-2*(VLOOKUP($KP$9,各项系数!$D$1:$F$143,3,0))*10^-3*10^2*各项系数!$J$4</f>
        <v>0.16892658034308075</v>
      </c>
      <c r="KQ54" s="102">
        <v>1</v>
      </c>
      <c r="KR54" s="189">
        <f t="shared" si="150"/>
        <v>0.16892658034308075</v>
      </c>
      <c r="KS54" s="189">
        <f>KR54*(VLOOKUP($KP$9,各项系数!$D$1:$F$143,2,0))</f>
        <v>2.8717518658323726</v>
      </c>
      <c r="KT54" s="235">
        <f>各项系数!$F$76/4*($NI54^2-$NF54^2)*10^-2*(VLOOKUP($KT$9,各项系数!$D$1:$F$143,3,0))*10^-3*10^2*各项系数!$J$4</f>
        <v>0.17023194978975914</v>
      </c>
      <c r="KU54" s="102">
        <v>1</v>
      </c>
      <c r="KV54" s="189">
        <f t="shared" si="151"/>
        <v>0.17023194978975914</v>
      </c>
      <c r="KW54" s="189">
        <f>KV54*(VLOOKUP($KT$9,各项系数!$D$1:$F$143,2,0))</f>
        <v>2.8939431464259053</v>
      </c>
      <c r="KX54" s="189">
        <f>各项系数!$F$76/4*($NH54^2-$NE54^2)*10^-2*(VLOOKUP($KX$9,各项系数!$D$1:$F$143,3,0))*10^-3*10^2*各项系数!$J$4</f>
        <v>0.16892658034308075</v>
      </c>
      <c r="KY54" s="353">
        <v>1</v>
      </c>
      <c r="KZ54" s="189">
        <f t="shared" si="152"/>
        <v>0.16892658034308075</v>
      </c>
      <c r="LA54" s="189">
        <f>KZ54*(VLOOKUP($KX$9,各项系数!$D$1:$F$143,2,0))</f>
        <v>2.8717518658323726</v>
      </c>
      <c r="LB54" s="189">
        <f>各项系数!$F$76/4*($NI54^2-$NF54^2)*10^-2*(VLOOKUP($LB$9,各项系数!$D$1:$F$143,3,0))*10^-3*10^2*各项系数!$J$4</f>
        <v>0.17023194978975914</v>
      </c>
      <c r="LC54" s="353">
        <v>1</v>
      </c>
      <c r="LD54" s="189">
        <f t="shared" si="153"/>
        <v>0.17023194978975914</v>
      </c>
      <c r="LE54" s="189">
        <f>LD54*(VLOOKUP($LB$9,各项系数!$D$1:$F$143,2,0))</f>
        <v>2.8939431464259053</v>
      </c>
      <c r="LF54" s="235">
        <f>各项系数!$F$76/4*($NH54^2-$NE54^2)*10^-2*(VLOOKUP(AN54,各项系数!$D$1:$F$143,3,0))*10^-3*10^2*各项系数!$J$4</f>
        <v>0.17125660214091637</v>
      </c>
      <c r="LG54" s="102">
        <v>1</v>
      </c>
      <c r="LH54" s="189">
        <f t="shared" si="302"/>
        <v>0.17125660214091637</v>
      </c>
      <c r="LI54" s="189">
        <f>LH54*(VLOOKUP(AN54,各项系数!$D$1:$F$143,2,0))</f>
        <v>1.7125660214091636</v>
      </c>
      <c r="LJ54" s="235">
        <f>各项系数!$F$76/4*($NI54^2-$NF54^2)*10^-2*(VLOOKUP(AN54,各项系数!$D$1:$F$143,3,0))*10^-3*10^2*各项系数!$J$4</f>
        <v>0.17257997668341099</v>
      </c>
      <c r="LK54" s="102">
        <v>1</v>
      </c>
      <c r="LL54" s="189">
        <f t="shared" si="303"/>
        <v>0.17257997668341099</v>
      </c>
      <c r="LM54" s="189">
        <f>LL54*(VLOOKUP(AN54,各项系数!$D$1:$F$143,2,0))</f>
        <v>1.7257997668341098</v>
      </c>
      <c r="LN54" s="189">
        <f>各项系数!$F$76/4*($NH54^2-$NE54^2)*10^-2*(VLOOKUP($LN$9,各项系数!$D$1:$F$143,3,0))*10^-3*10^2*各项系数!$J$4</f>
        <v>0.17125660214091637</v>
      </c>
      <c r="LO54" s="353">
        <v>1</v>
      </c>
      <c r="LP54" s="189">
        <f t="shared" si="304"/>
        <v>0.17125660214091637</v>
      </c>
      <c r="LQ54" s="189">
        <f>LP54*(VLOOKUP($LN$9,各项系数!$D$1:$F$143,2,0))</f>
        <v>1.8838226235500801</v>
      </c>
      <c r="LR54" s="189">
        <f>各项系数!$F$76/4*($NI54^2-$NF54^2)*10^-2*(VLOOKUP($LR$9,各项系数!$D$1:$F$143,3,0))*10^-3*10^2*各项系数!$J$4</f>
        <v>0.17257997668341099</v>
      </c>
      <c r="LS54" s="353">
        <v>1</v>
      </c>
      <c r="LT54" s="189">
        <f t="shared" si="305"/>
        <v>0.17257997668341099</v>
      </c>
      <c r="LU54" s="189">
        <f>LT54*(VLOOKUP($LR$9,各项系数!$D$1:$F$143,2,0))</f>
        <v>1.8983797435175209</v>
      </c>
      <c r="LV54" s="227">
        <f t="shared" si="154"/>
        <v>91.78599122</v>
      </c>
      <c r="LW54" s="227">
        <f t="shared" si="155"/>
        <v>71.389104279999998</v>
      </c>
      <c r="LX54" s="227">
        <f t="shared" si="156"/>
        <v>9.5339095145967399</v>
      </c>
      <c r="LY54" s="227">
        <f t="shared" si="157"/>
        <v>20.396886940000002</v>
      </c>
      <c r="LZ54" s="374">
        <f t="shared" si="86"/>
        <v>1</v>
      </c>
      <c r="MA54" s="375">
        <f t="shared" si="87"/>
        <v>91.78599122</v>
      </c>
      <c r="MB54" s="375">
        <f t="shared" si="158"/>
        <v>6.2414088599999999</v>
      </c>
      <c r="MC54" s="227">
        <f t="shared" si="159"/>
        <v>0</v>
      </c>
      <c r="MD54" s="227">
        <f t="shared" si="160"/>
        <v>0</v>
      </c>
      <c r="ME54" s="227">
        <f t="shared" si="161"/>
        <v>0</v>
      </c>
      <c r="MF54" s="227">
        <f t="shared" si="162"/>
        <v>0</v>
      </c>
      <c r="MG54" s="374">
        <f t="shared" si="163"/>
        <v>1</v>
      </c>
      <c r="MH54" s="375">
        <f t="shared" si="88"/>
        <v>0</v>
      </c>
      <c r="MI54" s="375">
        <f t="shared" si="164"/>
        <v>0</v>
      </c>
      <c r="MJ54" s="189">
        <f t="shared" si="89"/>
        <v>6.2414088599999999</v>
      </c>
      <c r="MK54" s="189">
        <f t="shared" si="165"/>
        <v>6.2414088599999999</v>
      </c>
      <c r="ML54" s="189">
        <f t="shared" si="306"/>
        <v>0</v>
      </c>
      <c r="MM54" s="189">
        <f t="shared" si="91"/>
        <v>0</v>
      </c>
      <c r="MN54" s="189">
        <f t="shared" si="92"/>
        <v>8.0414088600000007</v>
      </c>
      <c r="MO54" s="189">
        <f t="shared" si="166"/>
        <v>0</v>
      </c>
      <c r="MP54" s="189">
        <f t="shared" si="167"/>
        <v>17.369443140000001</v>
      </c>
      <c r="MQ54" s="189">
        <f t="shared" si="307"/>
        <v>17.369443140000001</v>
      </c>
      <c r="MR54" s="246">
        <f t="shared" si="168"/>
        <v>17.369443140000001</v>
      </c>
      <c r="MS54" s="380">
        <f t="shared" si="94"/>
        <v>17.54544314</v>
      </c>
      <c r="MT54" s="380">
        <f t="shared" si="95"/>
        <v>17.70544314</v>
      </c>
      <c r="MU54" s="380">
        <f t="shared" si="232"/>
        <v>18.145443140000001</v>
      </c>
      <c r="MV54" s="380">
        <f t="shared" si="97"/>
        <v>21.145443140000001</v>
      </c>
      <c r="MW54" s="380">
        <f t="shared" si="98"/>
        <v>21.305443140000001</v>
      </c>
      <c r="MX54" s="254">
        <f t="shared" si="233"/>
        <v>6.8414088599999996</v>
      </c>
      <c r="MY54" s="254">
        <f t="shared" si="100"/>
        <v>0</v>
      </c>
      <c r="MZ54" s="189">
        <f t="shared" si="101"/>
        <v>8.6414088600000003</v>
      </c>
      <c r="NA54" s="189">
        <f t="shared" si="102"/>
        <v>0</v>
      </c>
      <c r="NB54" s="189">
        <f t="shared" si="169"/>
        <v>18.665443140000001</v>
      </c>
      <c r="NC54" s="254">
        <f t="shared" si="308"/>
        <v>18.665443140000001</v>
      </c>
      <c r="ND54" s="246">
        <f t="shared" si="234"/>
        <v>18.665443140000001</v>
      </c>
      <c r="NE54" s="386">
        <f t="shared" si="235"/>
        <v>18.905443139999999</v>
      </c>
      <c r="NF54" s="380">
        <f t="shared" si="106"/>
        <v>19.065443139999999</v>
      </c>
      <c r="NG54" s="387">
        <f t="shared" si="236"/>
        <v>19.505443140000001</v>
      </c>
      <c r="NH54" s="254">
        <f t="shared" si="108"/>
        <v>22.505443140000001</v>
      </c>
      <c r="NI54" s="380">
        <f t="shared" si="109"/>
        <v>22.665443140000001</v>
      </c>
      <c r="NK54" s="388">
        <f t="shared" si="110"/>
        <v>0.97048596434149492</v>
      </c>
      <c r="NL54" s="388">
        <f t="shared" si="111"/>
        <v>44.457321753434314</v>
      </c>
      <c r="NM54" s="388">
        <f t="shared" si="112"/>
        <v>0.97048596434149492</v>
      </c>
      <c r="NN54" s="388">
        <f t="shared" si="113"/>
        <v>44.617329671964029</v>
      </c>
      <c r="NO54" s="388">
        <f t="shared" si="114"/>
        <v>1.3972522722067739</v>
      </c>
      <c r="NP54" s="388">
        <f t="shared" si="115"/>
        <v>45.577862758547148</v>
      </c>
      <c r="NQ54" s="388">
        <f t="shared" si="116"/>
        <v>1.3972522722067739</v>
      </c>
      <c r="NR54" s="388">
        <f t="shared" si="117"/>
        <v>45.74911936068807</v>
      </c>
      <c r="NS54" s="388">
        <f t="shared" si="118"/>
        <v>0.99510576967142483</v>
      </c>
      <c r="NT54" s="388">
        <f t="shared" si="119"/>
        <v>0.99510576967142483</v>
      </c>
      <c r="NU54" s="388">
        <f t="shared" si="120"/>
        <v>1.4237717707803148</v>
      </c>
      <c r="NV54" s="388">
        <f t="shared" si="121"/>
        <v>1.4237717707803148</v>
      </c>
      <c r="NW54">
        <f t="shared" si="122"/>
        <v>1.1013524072843188</v>
      </c>
      <c r="NX54">
        <f>各项系数!$M$9*NK54</f>
        <v>0.29114578930244844</v>
      </c>
      <c r="NY54">
        <f t="shared" si="123"/>
        <v>0.99510576967142472</v>
      </c>
    </row>
    <row r="55" spans="1:389" ht="15" hidden="1" customHeight="1">
      <c r="A55" s="74">
        <v>20</v>
      </c>
      <c r="B55" s="70">
        <v>1</v>
      </c>
      <c r="C55" s="67"/>
      <c r="D55" s="53" t="s">
        <v>177</v>
      </c>
      <c r="E55" s="61">
        <f t="shared" si="255"/>
        <v>23.543541000000001</v>
      </c>
      <c r="F55" s="68">
        <f>$F$23</f>
        <v>245.05464536042999</v>
      </c>
      <c r="G55" s="58"/>
      <c r="H55" s="16"/>
      <c r="I55" s="62"/>
      <c r="J55" s="16"/>
      <c r="K55" s="16"/>
      <c r="L55" s="97" t="s">
        <v>467</v>
      </c>
      <c r="M55" s="103">
        <f t="shared" si="2"/>
        <v>0.9</v>
      </c>
      <c r="N55" s="103">
        <f t="shared" si="252"/>
        <v>0</v>
      </c>
      <c r="O55" s="53">
        <f t="shared" si="265"/>
        <v>0.08</v>
      </c>
      <c r="P55" s="99">
        <v>0.1</v>
      </c>
      <c r="Q55" s="133">
        <f t="shared" si="309"/>
        <v>0.1</v>
      </c>
      <c r="R55" s="70">
        <v>0.8</v>
      </c>
      <c r="S55" s="142" t="str">
        <f>各项系数!$D$43</f>
        <v>钢带</v>
      </c>
      <c r="T55" s="53">
        <v>0.2</v>
      </c>
      <c r="U55" s="102">
        <v>2</v>
      </c>
      <c r="V55" s="140"/>
      <c r="W55" s="141">
        <v>1.8</v>
      </c>
      <c r="X55" s="135">
        <f t="shared" si="310"/>
        <v>0.2</v>
      </c>
      <c r="Y55" s="135"/>
      <c r="Z55" s="168"/>
      <c r="AA55" s="153">
        <f>$AA$23</f>
        <v>1.0109999999999999</v>
      </c>
      <c r="AB55" s="153">
        <f>PI()*EJ55*EJ55/4*EH55*(1-H55)*AA55*各项系数!$F$5*各项系数!$J$4*10^-7</f>
        <v>0.29524992630433911</v>
      </c>
      <c r="AC55" s="153">
        <f t="shared" si="256"/>
        <v>245.05464536042999</v>
      </c>
      <c r="AD55" s="153">
        <f t="shared" si="5"/>
        <v>33.378357061385572</v>
      </c>
      <c r="AE55" s="153">
        <f>POWER(4*EU55/PI()/EG55/10^-7/EH55/(1-H55)/各项系数!$F$5/各项系数!$J$4,0.5)</f>
        <v>246.39875970480472</v>
      </c>
      <c r="AF55" s="69">
        <v>1</v>
      </c>
      <c r="AG55" s="69">
        <f>IF(EM55=0,0,PI()*ER55*ER55/4*EP55*(1-K55)*(1+AF55)*各项系数!$F$5*各项系数!$J$4*10^-7)</f>
        <v>0</v>
      </c>
      <c r="AH55" s="69">
        <f t="shared" si="257"/>
        <v>0</v>
      </c>
      <c r="AI55" s="69">
        <f t="shared" si="128"/>
        <v>0</v>
      </c>
      <c r="AJ55" s="69">
        <f>IF(OR(EP55="",EP55=0),0,POWER(4*EW55/PI()/EO55/10^-7/EP55/(1-K55)/各项系数!$F$5/各项系数!$J$4,0.5))</f>
        <v>0</v>
      </c>
      <c r="AK55" s="69" t="str">
        <f t="shared" si="8"/>
        <v>√</v>
      </c>
      <c r="AL55" s="69">
        <f t="shared" si="258"/>
        <v>63.029466691138232</v>
      </c>
      <c r="AM55" s="188">
        <f t="shared" si="259"/>
        <v>35</v>
      </c>
      <c r="AN55" s="97" t="s">
        <v>486</v>
      </c>
      <c r="AO55" s="196">
        <f>AP55+各项系数!$M$9*$NK55</f>
        <v>61.79359479523356</v>
      </c>
      <c r="AP55" s="196">
        <f>AQ55*(1+$BI55+(VLOOKUP($AM55,$A$12:$B$323,2,0))+各项系数!$J$6+各项系数!$M$5)*(1+$E$2)</f>
        <v>61.410067730111514</v>
      </c>
      <c r="AQ55" s="197">
        <f>AR55+各项系数!$L$9*$NK55</f>
        <v>62.663334418481135</v>
      </c>
      <c r="AR55" s="197">
        <f>AS55*(1+$BJ55+各项系数!$J$5+各项系数!$L$5)</f>
        <v>62.279807353359089</v>
      </c>
      <c r="AS55" s="197">
        <f t="shared" si="129"/>
        <v>61.058634660155967</v>
      </c>
      <c r="AT55" s="196">
        <f>AU55+各项系数!$M$9*$NM55</f>
        <v>63.010411206382422</v>
      </c>
      <c r="AU55" s="196">
        <f>AV55*(1+$BI55+(VLOOKUP($AM55,$A$12:$B$323,2,0))+各项系数!$J$6+各项系数!$M$5)*(1+$E$2)</f>
        <v>62.626884141260376</v>
      </c>
      <c r="AV55" s="197">
        <f>AW55+各项系数!$L$9*$NM55</f>
        <v>63.904983817612631</v>
      </c>
      <c r="AW55" s="197">
        <f>AX55*(1+$BJ55+各项系数!$J$5+各项系数!$L$5)</f>
        <v>63.521456752490586</v>
      </c>
      <c r="AX55" s="197">
        <f t="shared" si="130"/>
        <v>62.275937992637829</v>
      </c>
      <c r="AY55" s="196">
        <f>AZ55+各项系数!$M$9*$NS55</f>
        <v>63.710626484432893</v>
      </c>
      <c r="AZ55" s="196">
        <f>BA55*(1+$BI55+(VLOOKUP($AM55,$A$12:$B$214,2,0))+各项系数!$J$6+各项系数!$M$5)*(1+$E$2)</f>
        <v>63.318708554851099</v>
      </c>
      <c r="BA55" s="197">
        <f>BB55+各项系数!$L$9*$NS55</f>
        <v>64.610927096786838</v>
      </c>
      <c r="BB55" s="197">
        <f>BC55*(1+$BJ55+各项系数!$J$5+各项系数!$L$5)</f>
        <v>64.219009167205044</v>
      </c>
      <c r="BC55" s="199">
        <f t="shared" si="131"/>
        <v>62.959812909024556</v>
      </c>
      <c r="BD55" s="196">
        <f>BE55+各项系数!$M$9*$NS55</f>
        <v>64.936396847736276</v>
      </c>
      <c r="BE55" s="196">
        <f>BF55*(1+$BI55+(VLOOKUP($AM55,$A$12:$B$214,2,0))+各项系数!$J$6+各项系数!$M$5)*(1+$E$2)</f>
        <v>64.544478918154482</v>
      </c>
      <c r="BF55" s="197">
        <f>BG55+各项系数!$L$9*$NS55</f>
        <v>65.861713181790293</v>
      </c>
      <c r="BG55" s="197">
        <f>BH55*(1+$BJ55+各项系数!$J$5+各项系数!$L$5)</f>
        <v>65.469795252208499</v>
      </c>
      <c r="BH55" s="199">
        <f t="shared" si="132"/>
        <v>64.186073776675002</v>
      </c>
      <c r="BI55" s="213"/>
      <c r="BJ55" s="208"/>
      <c r="BK55" s="53" t="s">
        <v>514</v>
      </c>
      <c r="BL55" s="196">
        <f>BM55+各项系数!$M$9*$NM55</f>
        <v>62.573502741153995</v>
      </c>
      <c r="BM55" s="196">
        <f>BN55*(1+$CF55+(VLOOKUP($AM55,$A$12:$B$323,2,0))+各项系数!$J$6+各项系数!$M$5)*(1+$E$2)</f>
        <v>62.189975676031949</v>
      </c>
      <c r="BN55" s="197">
        <f>BO55+各项系数!$L$9*$NM55</f>
        <v>63.459158853093825</v>
      </c>
      <c r="BO55" s="197">
        <f>BP55*(1+$CG55+各项系数!$J$5+各项系数!$L$5)</f>
        <v>63.07563178797178</v>
      </c>
      <c r="BP55" s="197">
        <f t="shared" si="133"/>
        <v>61.23847746405027</v>
      </c>
      <c r="BQ55" s="196">
        <f>BR55+各项系数!$M$9*$NM55</f>
        <v>63.620715398710288</v>
      </c>
      <c r="BR55" s="196">
        <f>BS55*(1+$CF55+(VLOOKUP($AM55,$A$12:$B$323,2,0))+各项系数!$J$6+各项系数!$M$5)*(1+$E$2)</f>
        <v>63.237188333588243</v>
      </c>
      <c r="BS55" s="197">
        <f>BT55+各项系数!$L$9*$NM55</f>
        <v>64.527743197539024</v>
      </c>
      <c r="BT55" s="197">
        <f>BU55*(1+$CG55+各项系数!$J$5+各项系数!$L$5)</f>
        <v>64.144216132416972</v>
      </c>
      <c r="BU55" s="197">
        <f t="shared" si="134"/>
        <v>62.275937992637829</v>
      </c>
      <c r="BV55" s="196">
        <f>BW55+各项系数!$M$9*$NT55</f>
        <v>64.134520355557157</v>
      </c>
      <c r="BW55" s="196">
        <f>BX55*(1+$CF55+(VLOOKUP($AM55,$A$12:$B$214,2,0))+各项系数!$J$6+各项系数!$M$5)*(1+$E$2)</f>
        <v>63.742602425975363</v>
      </c>
      <c r="BX55" s="197">
        <f>BY55+各项系数!$L$9*$NT$12</f>
        <v>65.043471863240171</v>
      </c>
      <c r="BY55" s="197">
        <f>BZ55*(1+$CG55+各项系数!$J$5+各项系数!$L$5)</f>
        <v>65.035208460085201</v>
      </c>
      <c r="BZ55" s="199">
        <f t="shared" si="11"/>
        <v>63.140979087461353</v>
      </c>
      <c r="CA55" s="196">
        <f>CB55+各项系数!$M$9*$NT55</f>
        <v>65.189438934849406</v>
      </c>
      <c r="CB55" s="196">
        <f>CC55*(1+$CF55+(VLOOKUP($AM55,$A$12:$B$214,2,0))+各项系数!$J$6+各项系数!$M$5)*(1+$E$2)</f>
        <v>64.797521005267612</v>
      </c>
      <c r="CC55" s="197">
        <f>CD55+各项系数!$L$9*$NT$12</f>
        <v>66.119919393130218</v>
      </c>
      <c r="CD55" s="197">
        <f>CE55*(1+$CG55+各项系数!$J$5+各项系数!$L$5)</f>
        <v>66.111655989975247</v>
      </c>
      <c r="CE55" s="199">
        <f t="shared" si="135"/>
        <v>64.186073776675002</v>
      </c>
      <c r="CF55" s="213">
        <f t="shared" si="136"/>
        <v>0</v>
      </c>
      <c r="CG55" s="213">
        <f t="shared" si="12"/>
        <v>0.01</v>
      </c>
      <c r="CH55" s="102"/>
      <c r="CI55" s="196">
        <f>CJ55+各项系数!$M$9*$NO55</f>
        <v>63.798561973839995</v>
      </c>
      <c r="CJ55" s="196">
        <f>CK55*(1+$DC55+(VLOOKUP($AM55,$A$12:$B$323,2,0))+各项系数!$J$6+各项系数!$M$5)*(1+$E$2)+各项系数!$M$9*$NK55</f>
        <v>63.254789272747772</v>
      </c>
      <c r="CK55" s="197">
        <f>CL55+各项系数!$L$9*$NO55</f>
        <v>64.154349191454827</v>
      </c>
      <c r="CL55" s="197">
        <f>CM55*(1+$DD55+各项系数!$J$5+各项系数!$L$5)</f>
        <v>63.610576490362597</v>
      </c>
      <c r="CM55" s="197">
        <f t="shared" si="13"/>
        <v>62.363310284669211</v>
      </c>
      <c r="CN55" s="196">
        <f>CO55+各项系数!$M$9*$NO55</f>
        <v>64.902936543611261</v>
      </c>
      <c r="CO55" s="196">
        <f>CP55*(1+$DC55+(VLOOKUP($AM55,$A$12:$B$323,2,0))+各项系数!$J$6+各项系数!$M$5)*(1+$E$2)+各项系数!$M$9*$NK55</f>
        <v>64.359163842519038</v>
      </c>
      <c r="CP55" s="197">
        <f>CQ55+各项系数!$L$9*$NO55</f>
        <v>65.281262017752027</v>
      </c>
      <c r="CQ55" s="197">
        <f>CR55*(1+$DD55+各项系数!$J$5+各项系数!$L$5)</f>
        <v>64.737489316659804</v>
      </c>
      <c r="CR55" s="197">
        <f t="shared" si="14"/>
        <v>63.468126781039025</v>
      </c>
      <c r="CS55" s="196">
        <f>CT55+各项系数!$M$9*$NU55</f>
        <v>65.461373017930114</v>
      </c>
      <c r="CT55" s="196">
        <f t="shared" si="15"/>
        <v>64.908639544405062</v>
      </c>
      <c r="CU55" s="197">
        <f>CV55+各项系数!$L$9*$NU55</f>
        <v>66.233305657556187</v>
      </c>
      <c r="CV55" s="197">
        <f>CW55*(1+$DD55+各项系数!$J$5+各项系数!$L$5)</f>
        <v>65.680572184031135</v>
      </c>
      <c r="CW55" s="199">
        <f t="shared" si="16"/>
        <v>64.392717827481505</v>
      </c>
      <c r="CX55" s="196">
        <f>CY55+各项系数!$M$9*$NU55</f>
        <v>66.763251974546932</v>
      </c>
      <c r="CY55" s="196">
        <f t="shared" si="17"/>
        <v>66.21051850102188</v>
      </c>
      <c r="CZ55" s="197">
        <f>DA55+各项系数!$L$9*$NU55</f>
        <v>67.561753572471304</v>
      </c>
      <c r="DA55" s="197">
        <f>DB55*(1+$DD55+各项系数!$J$5+各项系数!$L$5)</f>
        <v>67.009020098946252</v>
      </c>
      <c r="DB55" s="199">
        <f t="shared" si="18"/>
        <v>65.695117744064945</v>
      </c>
      <c r="DC55" s="213">
        <f t="shared" si="137"/>
        <v>0</v>
      </c>
      <c r="DD55" s="213">
        <f t="shared" si="19"/>
        <v>0</v>
      </c>
      <c r="DE55" s="53" t="s">
        <v>498</v>
      </c>
      <c r="DF55" s="53" t="s">
        <v>513</v>
      </c>
      <c r="DG55" s="196">
        <f>DH55+各项系数!$M$9*$NQ55</f>
        <v>64.602610162117799</v>
      </c>
      <c r="DH55" s="196">
        <f>DI55*(1+$EA55+(VLOOKUP($AM55,$A$12:$B$323,2,0))+各项系数!$J$6+各项系数!$M$5)*(1+$E$2)+各项系数!$M$9*$NK55</f>
        <v>64.058837461025576</v>
      </c>
      <c r="DI55" s="197">
        <f>DJ55+各项系数!$L$9*$NQ55</f>
        <v>64.974806526432175</v>
      </c>
      <c r="DJ55" s="197">
        <f>DK55*(1+$EB55+各项系数!$J$5+各项系数!$L$5)</f>
        <v>64.431033825339952</v>
      </c>
      <c r="DK55" s="197">
        <f t="shared" si="20"/>
        <v>62.554401772174714</v>
      </c>
      <c r="DL55" s="196">
        <f>DM55+各项系数!$M$9*$NQ55</f>
        <v>65.715323154429896</v>
      </c>
      <c r="DM55" s="196">
        <f>DN55*(1+$EA55+(VLOOKUP($AM55,$A$12:$B$323,2,0))+各项系数!$J$6+各项系数!$M$5)*(1+$E$2)+各项系数!$M$9*$NK55</f>
        <v>65.171550453337673</v>
      </c>
      <c r="DN55" s="197">
        <f>DO55+各项系数!$L$9*$NQ55</f>
        <v>66.110227947158805</v>
      </c>
      <c r="DO55" s="197">
        <f>DP55*(1+$EB55+各项系数!$J$5+各项系数!$L$5)</f>
        <v>65.566455246066582</v>
      </c>
      <c r="DP55" s="197">
        <f t="shared" si="21"/>
        <v>63.656752666084053</v>
      </c>
      <c r="DQ55" s="196">
        <f>DR55+各项系数!$M$9*$NV55</f>
        <v>66.286645214390703</v>
      </c>
      <c r="DR55" s="196">
        <f t="shared" si="22"/>
        <v>65.733911740865651</v>
      </c>
      <c r="DS55" s="197">
        <f>DT55+各项系数!$L$9*$NV55</f>
        <v>67.075420143740459</v>
      </c>
      <c r="DT55" s="197">
        <f>DU55*(1+$EB55+各项系数!$J$5+各项系数!$L$5)</f>
        <v>66.522686670215407</v>
      </c>
      <c r="DU55" s="199">
        <f t="shared" si="23"/>
        <v>64.585132689529516</v>
      </c>
      <c r="DV55" s="196">
        <f>DW55+各项系数!$M$9*$NV55</f>
        <v>66.560974082511549</v>
      </c>
      <c r="DW55" s="196">
        <f t="shared" si="24"/>
        <v>66.008240608986497</v>
      </c>
      <c r="DX55" s="197">
        <f>DY55+各项系数!$L$9*$NV55</f>
        <v>67.35534756019031</v>
      </c>
      <c r="DY55" s="197">
        <f>DZ55*(1+$EB55+各项系数!$J$5+各项系数!$L$5)</f>
        <v>66.802614086665258</v>
      </c>
      <c r="DZ55" s="199">
        <f t="shared" si="25"/>
        <v>64.856906880257526</v>
      </c>
      <c r="EA55" s="213">
        <f t="shared" si="311"/>
        <v>0</v>
      </c>
      <c r="EB55" s="213">
        <f t="shared" si="27"/>
        <v>0.01</v>
      </c>
      <c r="EC55" s="235">
        <f t="shared" si="138"/>
        <v>3</v>
      </c>
      <c r="ED55" s="235" t="str">
        <f t="shared" si="266"/>
        <v>3*35</v>
      </c>
      <c r="EE55" s="189">
        <f t="shared" si="239"/>
        <v>35</v>
      </c>
      <c r="EF55" s="189" t="str">
        <f>LOOKUP(EH55,{1,7,10,14,19,24,30,37,48,61},{1,"1+6","2+8","4+10","1+6+12","2+8+14","4+10+16","1+6+12+18","3+9+15+21","1+6+12+18+24"})</f>
        <v>1+6</v>
      </c>
      <c r="EG55" s="188">
        <f t="shared" si="29"/>
        <v>3</v>
      </c>
      <c r="EH55" s="197">
        <f>VLOOKUP(EE55,各项系数!$B$87:$C$124,2,0)</f>
        <v>7</v>
      </c>
      <c r="EI55" s="188">
        <f>IF(EH55=0,0,VLOOKUP(EH55,各项系数!$D$142:$E$195,2,0))*1</f>
        <v>3</v>
      </c>
      <c r="EJ55" s="238">
        <f t="shared" si="141"/>
        <v>245.05464536042999</v>
      </c>
      <c r="EK55" s="189">
        <f t="shared" si="261"/>
        <v>0</v>
      </c>
      <c r="EL55" s="189">
        <f t="shared" si="31"/>
        <v>0</v>
      </c>
      <c r="EM55" s="189">
        <f t="shared" si="267"/>
        <v>0</v>
      </c>
      <c r="EN55" s="189">
        <f>IF(EP55=0,0,LOOKUP(EP55,{1,7,10,14,19,24,30,37,48,61},{1,"1+6","2+8","4+10","1+6+12","2+8+14","4+10+16","1+6+12+18","3+9+15+21","1+6+12+18+24"}))</f>
        <v>0</v>
      </c>
      <c r="EO55" s="189">
        <f t="shared" si="263"/>
        <v>0</v>
      </c>
      <c r="EP55" s="189">
        <f>IF(EM55=0,0,IF(EM55&lt;10,1,IF(AND(EM55&gt;=10,EM55&lt;=35),7,LOOKUP(EM55,{50,70,95,120,150,185,240,300},{10,14,19,24,30,37,48,61})*1)))</f>
        <v>0</v>
      </c>
      <c r="EQ55" s="189">
        <f>IF(EP55=0,0,VLOOKUP(EP55,各项系数!$D$142:$E$195,2,0))*1</f>
        <v>0</v>
      </c>
      <c r="ER55" s="189">
        <f t="shared" si="264"/>
        <v>0</v>
      </c>
      <c r="ES55" s="235">
        <f t="shared" si="250"/>
        <v>3</v>
      </c>
      <c r="ET55" s="189">
        <f>VLOOKUP(ES55,各项系数!$D$142:$E$195,2,0)*1</f>
        <v>2.16</v>
      </c>
      <c r="EU55" s="243">
        <f>((各项系数!$F$76/4*$EJ55^2*$EG55*$EH55*1*10^-7)*(1-$H55)*AA55)*(VLOOKUP($EY$9,各项系数!$D$4:$F$143,3,0))*各项系数!$J$4</f>
        <v>0.88574977891301732</v>
      </c>
      <c r="EV55" s="244">
        <f>EU55*(VLOOKUP($EY$9,各项系数!$D$4:$F$143,2,0))</f>
        <v>58.016610518802636</v>
      </c>
      <c r="EW55" s="252">
        <f>(IF($EO55=0,0,(各项系数!$F$76/4*$ER55^2*$EO55*$EP55*1*10^-7))*(1-$K55)*$AF55)*(VLOOKUP($EY$9,各项系数!$D$4:$F$143,3,0))*各项系数!$J$4</f>
        <v>0</v>
      </c>
      <c r="EX55" s="253">
        <f>EW55*(VLOOKUP($EY$9,各项系数!$D$4:$F$143,2,0))</f>
        <v>0</v>
      </c>
      <c r="EY55" s="189">
        <f>((各项系数!$F$76/4*$EJ55^2*$EG55*$EH55*1*10^-7)*(1-$H55)*AA55+IF($EO55=0,0,(各项系数!$F$76/4*$ER55^2*$EO55*$EP55*1*10^-7))*(1-$K55)*$AF55)*(VLOOKUP($EY$9,各项系数!$D$4:$F$143,3,0))*各项系数!$J$4</f>
        <v>0.88574977891301732</v>
      </c>
      <c r="EZ55" s="102">
        <v>1</v>
      </c>
      <c r="FA55" s="189">
        <f t="shared" si="268"/>
        <v>0.88574977891301732</v>
      </c>
      <c r="FB55" s="254">
        <f>FA55*(VLOOKUP($EY$9,各项系数!$D$4:$F$143,2,0))</f>
        <v>58.016610518802636</v>
      </c>
      <c r="FC55" s="255"/>
      <c r="FD55" s="235">
        <f>各项系数!$F$76/4*($MN55^2-MK55^2)*10^-2*(VLOOKUP(L55,各项系数!$D$1:$F$143,3,0))*10^-3*10^2*$EG55*各项系数!$J$4</f>
        <v>7.6607209149240185E-2</v>
      </c>
      <c r="FE55" s="262">
        <f>FD55*VLOOKUP(L55,各项系数!$D$1:$F$143,2,0)</f>
        <v>0.78139353332224981</v>
      </c>
      <c r="FF55" s="188">
        <f>各项系数!$F$76/4*($MO55^2-ML55^2)*10^-2*(VLOOKUP(L55,各项系数!$D$1:$F$143,3,0))*10^-3*10^2*$EO55*各项系数!$J$4</f>
        <v>0</v>
      </c>
      <c r="FG55" s="262">
        <f>FF55*VLOOKUP(L55,各项系数!$D$1:$F$143,2,0)</f>
        <v>0</v>
      </c>
      <c r="FH55" s="235">
        <f t="shared" si="142"/>
        <v>7.6607209149240185E-2</v>
      </c>
      <c r="FI55" s="102">
        <v>1</v>
      </c>
      <c r="FJ55" s="189">
        <f t="shared" si="269"/>
        <v>7.6607209149240185E-2</v>
      </c>
      <c r="FK55" s="262">
        <f>FJ55*VLOOKUP(L55,各项系数!$D$1:$F$143,2,0)</f>
        <v>0.78139353332224981</v>
      </c>
      <c r="FL55" s="235"/>
      <c r="FM55" s="102"/>
      <c r="FN55" s="189"/>
      <c r="FO55" s="262"/>
      <c r="FP55" s="282">
        <f t="shared" si="270"/>
        <v>7.6607209149240185E-2</v>
      </c>
      <c r="FQ55" s="282">
        <f t="shared" si="271"/>
        <v>0.78139353332224981</v>
      </c>
      <c r="FR55" s="283">
        <f>各项系数!$F$76/4*($MQ55^2-$MN55^2*$EG55-$MO55^2*$EO55)*10^-2</f>
        <v>1.0956160558011241</v>
      </c>
      <c r="FS55" s="284">
        <f t="shared" si="143"/>
        <v>1</v>
      </c>
      <c r="FT55" s="285">
        <f t="shared" si="40"/>
        <v>1.0956160558011241</v>
      </c>
      <c r="FU55" s="302">
        <f>$FT55*(VLOOKUP($FT$9,各项系数!$D$1:$F$143,3,0))*10^-3*10^2*各项系数!$J$55</f>
        <v>0.13081655706265422</v>
      </c>
      <c r="FV55" s="303">
        <v>1</v>
      </c>
      <c r="FW55" s="304">
        <f t="shared" si="272"/>
        <v>0.13081655706265422</v>
      </c>
      <c r="FX55" s="285">
        <f>FW55*(VLOOKUP($FT$9,各项系数!$D$1:$F$143,2,0))</f>
        <v>0.39244967118796265</v>
      </c>
      <c r="FY55" s="302">
        <f>IF($BK55&lt;&gt;$FY$9,0,各项系数!$F$76/4*($MS55^2-$MQ55^2)*10^-2*(VLOOKUP($FY$9,各项系数!$D$1:$F$143,3,0))*10^-3*10^2)*各项系数!$J$4</f>
        <v>0</v>
      </c>
      <c r="FZ55" s="303">
        <v>1</v>
      </c>
      <c r="GA55" s="304">
        <f t="shared" si="273"/>
        <v>0</v>
      </c>
      <c r="GB55" s="285">
        <f>GA55*(VLOOKUP($FY$9,各项系数!$D$1:$F$143,2,0))</f>
        <v>0</v>
      </c>
      <c r="GC55" s="302">
        <f>IF($BK55&lt;&gt;$GC$9,0,各项系数!$F$76/4*($MS55^2-$MQ55^2)*10^-2*(VLOOKUP($GC$9,各项系数!$D$1:$F$143,3,0))*10^-3*10^2)*各项系数!$J$4</f>
        <v>5.4072013876018494E-3</v>
      </c>
      <c r="GD55" s="303">
        <v>1</v>
      </c>
      <c r="GE55" s="304">
        <f t="shared" si="274"/>
        <v>5.4072013876018494E-3</v>
      </c>
      <c r="GF55" s="285">
        <f>GE55*(VLOOKUP($GC$9,各项系数!$D$1:$F$143,2,0))</f>
        <v>6.9752897900063865E-2</v>
      </c>
      <c r="GG55" s="302">
        <f>IF($BK55&lt;&gt;$GG$9,0,各项系数!$F$76/4*($MS55^2-$MQ55^2)*10^-2*(VLOOKUP($GG$9,各项系数!$D$1:$F$143,3,0))*10^-3*10^2)*各项系数!$J$4</f>
        <v>0</v>
      </c>
      <c r="GH55" s="303">
        <v>1</v>
      </c>
      <c r="GI55" s="304">
        <f t="shared" si="275"/>
        <v>0</v>
      </c>
      <c r="GJ55" s="285">
        <f>GI55*(VLOOKUP($GG$9,各项系数!$D$1:$F$143,2,0))</f>
        <v>0</v>
      </c>
      <c r="GK55" s="302">
        <f>IF($BK55&lt;&gt;$GK$9,0,各项系数!$F$76/4*($MS55^2-$MQ55^2)*10^-2*(VLOOKUP($GK$9,各项系数!$D$1:$F$143,3,0))*10^-3*10^2)*各项系数!$J$4</f>
        <v>0</v>
      </c>
      <c r="GL55" s="303">
        <v>1</v>
      </c>
      <c r="GM55" s="304">
        <f t="shared" si="276"/>
        <v>0</v>
      </c>
      <c r="GN55" s="285">
        <f>GM55*(VLOOKUP($GK$9,各项系数!$D$1:$F$143,2,0))</f>
        <v>0</v>
      </c>
      <c r="GO55" s="304">
        <f t="shared" si="277"/>
        <v>5.4072013876018494E-3</v>
      </c>
      <c r="GP55" s="304">
        <f t="shared" si="278"/>
        <v>6.9752897900063865E-2</v>
      </c>
      <c r="GQ55" s="315">
        <f>各项系数!$F$76/4*($MU55^2-$MS55^2)*10^-2*(VLOOKUP($S55,各项系数!$D$1:$F$143,3,0))*10^-3*10^2*各项系数!$J$4</f>
        <v>0.14845247509147724</v>
      </c>
      <c r="GR55" s="303">
        <v>1</v>
      </c>
      <c r="GS55" s="304">
        <f t="shared" si="279"/>
        <v>0.14845247509147724</v>
      </c>
      <c r="GT55" s="304">
        <f t="shared" si="200"/>
        <v>0</v>
      </c>
      <c r="GU55" s="304">
        <f>ROUND($GS55*(VLOOKUP($S55,各项系数!$D$1:$F$143,2,0))+$E$3*GS55,GT55)</f>
        <v>1</v>
      </c>
      <c r="GV55" s="315">
        <f>各项系数!$F$76/4*($MT55^2-$MS55^2)*10^-2*(VLOOKUP($GV$9,各项系数!$D$1:$F$143,3,0))*10^-3*10^2*各项系数!$J$4*PI()/4*R55</f>
        <v>2.7969548199165035E-2</v>
      </c>
      <c r="GW55" s="303">
        <v>1</v>
      </c>
      <c r="GX55" s="304">
        <f t="shared" si="280"/>
        <v>2.7969548199165035E-2</v>
      </c>
      <c r="GY55" s="304">
        <f>$GX55*(VLOOKUP($GV$9,各项系数!$D$1:$F$143,2,0))</f>
        <v>1.88794450344364</v>
      </c>
      <c r="GZ55" s="315">
        <f>各项系数!$F$76/4*($MV55^2-$MS55^2)*10^-2*(VLOOKUP($GZ$9,各项系数!$D$1:$F$143,3,0))*10^-3*10^2*各项系数!$J$4</f>
        <v>0.1773959630249948</v>
      </c>
      <c r="HA55" s="303">
        <v>1</v>
      </c>
      <c r="HB55" s="304">
        <f t="shared" si="144"/>
        <v>0.1773959630249948</v>
      </c>
      <c r="HC55" s="304">
        <f>HB55*(VLOOKUP($GZ$9,各项系数!$D$1:$F$143,2,0))</f>
        <v>3.0157313714249114</v>
      </c>
      <c r="HD55" s="315">
        <f>各项系数!$F$76/4*($MW55^2-$MT55^2)*10^-2*(VLOOKUP($HD$9,各项系数!$D$1:$F$143,3,0))*10^-3*10^2*各项系数!$J$4</f>
        <v>0.17870133247167314</v>
      </c>
      <c r="HE55" s="303">
        <v>1</v>
      </c>
      <c r="HF55" s="304">
        <f t="shared" si="145"/>
        <v>0.17870133247167314</v>
      </c>
      <c r="HG55" s="304">
        <f>HF55*(VLOOKUP($HD$9,各项系数!$D$1:$F$143,2,0))</f>
        <v>3.0379226520184432</v>
      </c>
      <c r="HH55" s="315">
        <f>各项系数!$F$76/4*($MV55^2-$MS55^2)*10^-2*(VLOOKUP($HH$9,各项系数!$D$1:$F$143,3,0))*10^-3*10^2*各项系数!$J$4</f>
        <v>0.1773959630249948</v>
      </c>
      <c r="HI55" s="322">
        <v>1</v>
      </c>
      <c r="HJ55" s="304">
        <f t="shared" si="146"/>
        <v>0.1773959630249948</v>
      </c>
      <c r="HK55" s="304">
        <f>HJ55*(VLOOKUP($HH$9,各项系数!$D$1:$F$143,2,0))</f>
        <v>3.0157313714249114</v>
      </c>
      <c r="HL55" s="315">
        <f>各项系数!$F$76/4*($MW55^2-$MT55^2)*10^-2*(VLOOKUP($HL$9,各项系数!$D$1:$F$143,3,0))*10^-3*10^2*各项系数!$J$4</f>
        <v>0.17870133247167314</v>
      </c>
      <c r="HM55" s="322">
        <v>1</v>
      </c>
      <c r="HN55" s="304">
        <f t="shared" si="147"/>
        <v>0.17870133247167314</v>
      </c>
      <c r="HO55" s="304">
        <f>HN55*(VLOOKUP($HL$9,各项系数!$D$1:$F$143,2,0))</f>
        <v>3.0379226520184432</v>
      </c>
      <c r="HP55" s="315">
        <f>各项系数!$F$76/4*($MV55^2-$MS55^2)*10^-2*(VLOOKUP(AN55,各项系数!$D$1:$F$143,3,0))*10^-3*10^2*各项系数!$J$4</f>
        <v>0.17984280389430507</v>
      </c>
      <c r="HQ55" s="303">
        <v>1</v>
      </c>
      <c r="HR55" s="304">
        <f t="shared" si="281"/>
        <v>0.17984280389430507</v>
      </c>
      <c r="HS55" s="304">
        <f>HR55*(VLOOKUP(AN55,各项系数!$D$1:$F$143,2,0))</f>
        <v>1.7984280389430507</v>
      </c>
      <c r="HT55" s="315">
        <f>各项系数!$F$76/4*($MW55^2-$MT55^2)*10^-2*(VLOOKUP(AN55,各项系数!$D$1:$F$143,3,0))*10^-3*10^2*各项系数!$J$4</f>
        <v>0.18116617843679964</v>
      </c>
      <c r="HU55" s="303">
        <v>1</v>
      </c>
      <c r="HV55" s="304">
        <f t="shared" si="282"/>
        <v>0.18116617843679964</v>
      </c>
      <c r="HW55" s="304">
        <f>HV55*(VLOOKUP(AN55,各项系数!$D$1:$F$143,2,0))</f>
        <v>1.8116617843679963</v>
      </c>
      <c r="HX55" s="315">
        <f>各项系数!$F$76/4*($MV55^2-$MS55^2)*10^-2*(VLOOKUP($HX$9,各项系数!$D$1:$F$143,3,0))*10^-3*10^2*各项系数!$J$4</f>
        <v>0.17984280389430507</v>
      </c>
      <c r="HY55" s="322">
        <v>1</v>
      </c>
      <c r="HZ55" s="304">
        <f t="shared" si="283"/>
        <v>0.17984280389430507</v>
      </c>
      <c r="IA55" s="304">
        <f>HZ55*(VLOOKUP($HX$9,各项系数!$D$1:$F$143,2,0))</f>
        <v>1.9782708428373557</v>
      </c>
      <c r="IB55" s="315">
        <f>各项系数!$F$76/4*($MW55^2-$MT55^2)*10^-2*(VLOOKUP($IB$9,各项系数!$D$1:$F$143,3,0))*10^-3*10^2*各项系数!$J$4</f>
        <v>0.18116617843679964</v>
      </c>
      <c r="IC55" s="322">
        <v>1</v>
      </c>
      <c r="ID55" s="304">
        <f t="shared" si="284"/>
        <v>0.18116617843679964</v>
      </c>
      <c r="IE55" s="304">
        <f>ID55*(VLOOKUP($IB$9,各项系数!$D$1:$F$143,2,0))</f>
        <v>1.992827962804796</v>
      </c>
      <c r="IF55" s="328"/>
      <c r="IG55" s="315">
        <f t="shared" si="148"/>
        <v>3.2289492105039438E-2</v>
      </c>
      <c r="IH55" s="303">
        <v>1</v>
      </c>
      <c r="II55" s="304">
        <f t="shared" si="285"/>
        <v>3.2289492105039438E-2</v>
      </c>
      <c r="IJ55" s="304">
        <f>II55*(VLOOKUP($IG$8,各项系数!$D$1:$F$143,2,0))</f>
        <v>0.80723730262598592</v>
      </c>
      <c r="IK55" s="315">
        <f>(各项系数!$F$76/4*($MX55^2-$MK55^2)*$EG55)*10^-2*(VLOOKUP($IG$8,各项系数!$D$1:$F$143,3,0))*10^-3*10^2*各项系数!$J$4</f>
        <v>3.2289492105039438E-2</v>
      </c>
      <c r="IL55" s="303">
        <f>IK55*(VLOOKUP($IG$8,各项系数!$D$1:$F$143,2,0))</f>
        <v>0.80723730262598592</v>
      </c>
      <c r="IM55" s="304">
        <f>(各项系数!$F$76/4*(($MM55+3*$X55)^2-MM55^2)*$EO55)*10^-2*(VLOOKUP($IG$8,各项系数!$D$1:$F$143,3,0))*10^-3*10^2*各项系数!$J$4</f>
        <v>0</v>
      </c>
      <c r="IN55" s="303">
        <f>IM55*(VLOOKUP($IG$8,各项系数!$D$1:$F$143,2,0))</f>
        <v>0</v>
      </c>
      <c r="IO55" s="315">
        <f>各项系数!$F$76/4*($MZ55^2-$MX55^2)*10^-2*(VLOOKUP(L55,各项系数!$D$1:$F$143,3,0))*10^-3*10^2*$ES55*各项系数!$J$4</f>
        <v>8.2177535667393789E-2</v>
      </c>
      <c r="IP55" s="303">
        <v>1</v>
      </c>
      <c r="IQ55" s="304">
        <f t="shared" si="286"/>
        <v>8.2177535667393789E-2</v>
      </c>
      <c r="IR55" s="285">
        <f>IQ55*(VLOOKUP(L55,各项系数!$D$1:$F$143,2,0))</f>
        <v>0.83821086380741661</v>
      </c>
      <c r="IS55" s="315">
        <f>IF($L55&lt;&gt;$IS$9,0,各项系数!$F$76/4*($MZ55^2-$MX55^2)*10^-2*各项系数!$F$12*10^-3*10^2)*$ES55*各项系数!$J$4</f>
        <v>0</v>
      </c>
      <c r="IT55" s="303">
        <v>1</v>
      </c>
      <c r="IU55" s="304">
        <f t="shared" si="287"/>
        <v>0</v>
      </c>
      <c r="IV55" s="285">
        <f>IU55*各项系数!$E$12</f>
        <v>0</v>
      </c>
      <c r="IW55" s="302">
        <f t="shared" si="288"/>
        <v>8.2177535667393789E-2</v>
      </c>
      <c r="IX55" s="302">
        <f t="shared" si="289"/>
        <v>0.83821086380741661</v>
      </c>
      <c r="IY55" s="339">
        <f>各项系数!$F$76/4*($NB55^2-$MZ55^2*$EG55-$NA55^2*$EO55)*10^-2</f>
        <v>1.2439870413718659</v>
      </c>
      <c r="IZ55" s="284">
        <f t="shared" si="231"/>
        <v>1</v>
      </c>
      <c r="JA55" s="285">
        <f t="shared" si="64"/>
        <v>1.2439870413718659</v>
      </c>
      <c r="JB55" s="282">
        <f>IF($DE55&lt;&gt;$JB$9,0,$JA55*各项系数!$F$32*10^-3*10^2)*各项系数!$J$4</f>
        <v>0</v>
      </c>
      <c r="JC55" s="102">
        <v>1</v>
      </c>
      <c r="JD55" s="189">
        <f t="shared" si="290"/>
        <v>0</v>
      </c>
      <c r="JE55" s="262">
        <f>JD55*各项系数!$E$32</f>
        <v>0</v>
      </c>
      <c r="JF55" s="282">
        <f>IF($DE55&lt;&gt;$JF$9,0,$JA55*VLOOKUP($JF$9,各项系数!$D$4:$F$540,2,0)*10^-3*10^2)*各项系数!$J$4</f>
        <v>0.61888355308250331</v>
      </c>
      <c r="JG55" s="102">
        <v>1</v>
      </c>
      <c r="JH55" s="189">
        <f t="shared" si="66"/>
        <v>0.61888355308250331</v>
      </c>
      <c r="JI55" s="262">
        <f>JH55*VLOOKUP($JF$9,各项系数!$D$4:$F$540,3,0)</f>
        <v>0.74266026369900395</v>
      </c>
      <c r="JJ55" s="282">
        <f t="shared" si="291"/>
        <v>0.61888355308250331</v>
      </c>
      <c r="JK55" s="189">
        <f t="shared" si="292"/>
        <v>0.74266026369900395</v>
      </c>
      <c r="JL55" s="282">
        <f>IF($DF55&lt;&gt;$JL$9,0,各项系数!$F$76/4*($NE55^2-$NC55^2)*10^-2*各项系数!$F$39*10^-3*10^2)*各项系数!$J$4</f>
        <v>2.3838230339533733E-3</v>
      </c>
      <c r="JM55" s="102">
        <v>1</v>
      </c>
      <c r="JN55" s="189">
        <f t="shared" si="293"/>
        <v>2.3838230339533733E-3</v>
      </c>
      <c r="JO55" s="262">
        <f>JN55*各项系数!$E$39</f>
        <v>4.7676460679067466E-2</v>
      </c>
      <c r="JP55" s="282">
        <f>IF($DF55&lt;&gt;$JP$9,0,各项系数!$F$76/4*($NE55^2-$NC55^2)*10^-2*各项系数!$F$36*10^-3*10^2)*各项系数!$J$4</f>
        <v>0</v>
      </c>
      <c r="JQ55" s="102">
        <v>1</v>
      </c>
      <c r="JR55" s="189">
        <f t="shared" si="294"/>
        <v>0</v>
      </c>
      <c r="JS55" s="262">
        <f>JR55*各项系数!$E$36</f>
        <v>0</v>
      </c>
      <c r="JT55" s="282">
        <f>IF($DF55&lt;&gt;$JT$9,0,各项系数!$F$76/4*($NE55^2-$NC55^2)*10^-2*各项系数!$F$40*10^-3*10^2)*各项系数!$J$4</f>
        <v>0</v>
      </c>
      <c r="JU55" s="102">
        <v>1</v>
      </c>
      <c r="JV55" s="189">
        <f t="shared" si="295"/>
        <v>0</v>
      </c>
      <c r="JW55" s="262">
        <f>JV55*各项系数!$E$40</f>
        <v>0</v>
      </c>
      <c r="JX55" s="282">
        <f>IF($DF55&lt;&gt;$JX$9,0,各项系数!$F$76/4*($NE55^2-$NC55^2)*10^-2*各项系数!$F$38*10^-3*10^2)*各项系数!$J$4</f>
        <v>0</v>
      </c>
      <c r="JY55" s="102">
        <v>1</v>
      </c>
      <c r="JZ55" s="189">
        <f t="shared" si="296"/>
        <v>0</v>
      </c>
      <c r="KA55" s="262">
        <f>JZ55*各项系数!$E$38</f>
        <v>0</v>
      </c>
      <c r="KB55" s="282">
        <f>IF($DF55&lt;&gt;$KB$9,0,各项系数!$F$76/4*($NE55^2-$NC55^2)*10^-2*各项系数!$F$41*10^-3*10^2)*各项系数!$J$4</f>
        <v>0</v>
      </c>
      <c r="KC55" s="102">
        <v>1</v>
      </c>
      <c r="KD55" s="189">
        <f t="shared" si="297"/>
        <v>0</v>
      </c>
      <c r="KE55" s="262">
        <f>KD55*各项系数!$E$41</f>
        <v>0</v>
      </c>
      <c r="KF55" s="189">
        <f t="shared" si="298"/>
        <v>2.3838230339533733E-3</v>
      </c>
      <c r="KG55" s="189">
        <f t="shared" si="299"/>
        <v>4.7676460679067466E-2</v>
      </c>
      <c r="KH55" s="235">
        <f>各项系数!$F$76/4*($NG55^2-$NE55^2)*10^-2*各项系数!$F$44*10^-3*10^2*各项系数!$J$4*0.75*$U55</f>
        <v>0.23763869662354581</v>
      </c>
      <c r="KI55" s="102">
        <v>1</v>
      </c>
      <c r="KJ55" s="189">
        <f t="shared" si="300"/>
        <v>0.23763869662354581</v>
      </c>
      <c r="KK55" s="189">
        <f>ROUND(KJ55*各项系数!$E$43,GT55)</f>
        <v>1</v>
      </c>
      <c r="KL55" s="235">
        <f>各项系数!$F$76/4*($NF55^2-$NE55^2)*10^-2*各项系数!$F$46*10^-3*10^2*各项系数!$J$4*PI()/4*R55</f>
        <v>2.9869241442775637E-2</v>
      </c>
      <c r="KM55" s="102">
        <v>1</v>
      </c>
      <c r="KN55" s="189">
        <f t="shared" si="301"/>
        <v>2.9869241442775637E-2</v>
      </c>
      <c r="KO55" s="189">
        <f>KN55*各项系数!$E$46</f>
        <v>2.0161737973873555</v>
      </c>
      <c r="KP55" s="235">
        <f>各项系数!$F$76/4*($NH55^2-$NE55^2)*10^-2*(VLOOKUP($KP$9,各项系数!$D$1:$F$143,3,0))*10^-3*10^2*各项系数!$J$4</f>
        <v>0.18849160332176113</v>
      </c>
      <c r="KQ55" s="102">
        <v>1</v>
      </c>
      <c r="KR55" s="189">
        <f t="shared" si="150"/>
        <v>0.18849160332176113</v>
      </c>
      <c r="KS55" s="189">
        <f>KR55*(VLOOKUP($KP$9,各项系数!$D$1:$F$143,2,0))</f>
        <v>3.204357256469939</v>
      </c>
      <c r="KT55" s="235">
        <f>各项系数!$F$76/4*($NI55^2-$NF55^2)*10^-2*(VLOOKUP($KT$9,各项系数!$D$1:$F$143,3,0))*10^-3*10^2*各项系数!$J$4</f>
        <v>0.18979697276843965</v>
      </c>
      <c r="KU55" s="102">
        <v>1</v>
      </c>
      <c r="KV55" s="189">
        <f t="shared" si="151"/>
        <v>0.18979697276843965</v>
      </c>
      <c r="KW55" s="189">
        <f>KV55*(VLOOKUP($KT$9,各项系数!$D$1:$F$143,2,0))</f>
        <v>3.2265485370634739</v>
      </c>
      <c r="KX55" s="189">
        <f>各项系数!$F$76/4*($NH55^2-$NE55^2)*10^-2*(VLOOKUP($KX$9,各项系数!$D$1:$F$143,3,0))*10^-3*10^2*各项系数!$J$4</f>
        <v>0.18849160332176113</v>
      </c>
      <c r="KY55" s="353">
        <v>1</v>
      </c>
      <c r="KZ55" s="189">
        <f t="shared" si="152"/>
        <v>0.18849160332176113</v>
      </c>
      <c r="LA55" s="189">
        <f>KZ55*(VLOOKUP($KX$9,各项系数!$D$1:$F$143,2,0))</f>
        <v>3.204357256469939</v>
      </c>
      <c r="LB55" s="189">
        <f>各项系数!$F$76/4*($NI55^2-$NF55^2)*10^-2*(VLOOKUP($LB$9,各项系数!$D$1:$F$143,3,0))*10^-3*10^2*各项系数!$J$4</f>
        <v>0.18979697276843965</v>
      </c>
      <c r="LC55" s="353">
        <v>1</v>
      </c>
      <c r="LD55" s="189">
        <f t="shared" si="153"/>
        <v>0.18979697276843965</v>
      </c>
      <c r="LE55" s="189">
        <f>LD55*(VLOOKUP($LB$9,各项系数!$D$1:$F$143,2,0))</f>
        <v>3.2265485370634739</v>
      </c>
      <c r="LF55" s="235">
        <f>各项系数!$F$76/4*($NH55^2-$NE55^2)*10^-2*(VLOOKUP(AN55,各项系数!$D$1:$F$143,3,0))*10^-3*10^2*各项系数!$J$4</f>
        <v>0.19109148750550956</v>
      </c>
      <c r="LG55" s="102">
        <v>1</v>
      </c>
      <c r="LH55" s="189">
        <f t="shared" si="302"/>
        <v>0.19109148750550956</v>
      </c>
      <c r="LI55" s="189">
        <f>LH55*(VLOOKUP(AN55,各项系数!$D$1:$F$143,2,0))</f>
        <v>1.9109148750550955</v>
      </c>
      <c r="LJ55" s="235">
        <f>各项系数!$F$76/4*($NI55^2-$NF55^2)*10^-2*(VLOOKUP(AN55,各项系数!$D$1:$F$143,3,0))*10^-3*10^2*各项系数!$J$4</f>
        <v>0.19241486204800429</v>
      </c>
      <c r="LK55" s="102">
        <v>1</v>
      </c>
      <c r="LL55" s="189">
        <f t="shared" si="303"/>
        <v>0.19241486204800429</v>
      </c>
      <c r="LM55" s="189">
        <f>LL55*(VLOOKUP(AN55,各项系数!$D$1:$F$143,2,0))</f>
        <v>1.9241486204800429</v>
      </c>
      <c r="LN55" s="189">
        <f>各项系数!$F$76/4*($NH55^2-$NE55^2)*10^-2*(VLOOKUP($LN$9,各项系数!$D$1:$F$143,3,0))*10^-3*10^2*各项系数!$J$4</f>
        <v>0.19109148750550956</v>
      </c>
      <c r="LO55" s="353">
        <v>1</v>
      </c>
      <c r="LP55" s="189">
        <f t="shared" si="304"/>
        <v>0.19109148750550956</v>
      </c>
      <c r="LQ55" s="189">
        <f>LP55*(VLOOKUP($LN$9,各项系数!$D$1:$F$143,2,0))</f>
        <v>2.1020063625606049</v>
      </c>
      <c r="LR55" s="189">
        <f>各项系数!$F$76/4*($NI55^2-$NF55^2)*10^-2*(VLOOKUP($LR$9,各项系数!$D$1:$F$143,3,0))*10^-3*10^2*各项系数!$J$4</f>
        <v>0.19241486204800429</v>
      </c>
      <c r="LS55" s="353">
        <v>1</v>
      </c>
      <c r="LT55" s="189">
        <f t="shared" si="305"/>
        <v>0.19241486204800429</v>
      </c>
      <c r="LU55" s="189">
        <f>LT55*(VLOOKUP($LR$9,各项系数!$D$1:$F$143,2,0))</f>
        <v>2.116563482528047</v>
      </c>
      <c r="LV55" s="227">
        <f t="shared" si="154"/>
        <v>127.34430380000001</v>
      </c>
      <c r="LW55" s="227">
        <f t="shared" si="155"/>
        <v>99.045569619999995</v>
      </c>
      <c r="LX55" s="227">
        <f t="shared" si="156"/>
        <v>11.229814600918559</v>
      </c>
      <c r="LY55" s="227">
        <f t="shared" si="157"/>
        <v>28.298734180000011</v>
      </c>
      <c r="LZ55" s="374">
        <f t="shared" si="86"/>
        <v>1</v>
      </c>
      <c r="MA55" s="375">
        <f t="shared" si="87"/>
        <v>127.34430380000001</v>
      </c>
      <c r="MB55" s="375">
        <f t="shared" si="158"/>
        <v>7.3516393500000001</v>
      </c>
      <c r="MC55" s="227">
        <f t="shared" si="159"/>
        <v>0</v>
      </c>
      <c r="MD55" s="227">
        <f t="shared" si="160"/>
        <v>0</v>
      </c>
      <c r="ME55" s="227">
        <f t="shared" si="161"/>
        <v>0</v>
      </c>
      <c r="MF55" s="227">
        <f t="shared" si="162"/>
        <v>0</v>
      </c>
      <c r="MG55" s="374">
        <f t="shared" si="163"/>
        <v>1</v>
      </c>
      <c r="MH55" s="375">
        <f t="shared" si="88"/>
        <v>0</v>
      </c>
      <c r="MI55" s="375">
        <f t="shared" si="164"/>
        <v>0</v>
      </c>
      <c r="MJ55" s="189">
        <f t="shared" si="89"/>
        <v>7.3516393500000001</v>
      </c>
      <c r="MK55" s="189">
        <f t="shared" si="165"/>
        <v>7.3516393500000001</v>
      </c>
      <c r="ML55" s="189">
        <f t="shared" si="306"/>
        <v>0</v>
      </c>
      <c r="MM55" s="189">
        <f t="shared" si="91"/>
        <v>0</v>
      </c>
      <c r="MN55" s="189">
        <f t="shared" si="92"/>
        <v>9.15163935</v>
      </c>
      <c r="MO55" s="189">
        <f t="shared" si="166"/>
        <v>0</v>
      </c>
      <c r="MP55" s="189">
        <f t="shared" si="167"/>
        <v>19.767541000000001</v>
      </c>
      <c r="MQ55" s="189">
        <f t="shared" si="307"/>
        <v>19.767541000000001</v>
      </c>
      <c r="MR55" s="246">
        <f t="shared" si="168"/>
        <v>19.767541000000001</v>
      </c>
      <c r="MS55" s="380">
        <f t="shared" si="94"/>
        <v>19.943541</v>
      </c>
      <c r="MT55" s="380">
        <f t="shared" si="95"/>
        <v>20.103541</v>
      </c>
      <c r="MU55" s="380">
        <f t="shared" si="232"/>
        <v>20.543541000000001</v>
      </c>
      <c r="MV55" s="380">
        <f t="shared" si="97"/>
        <v>23.543541000000001</v>
      </c>
      <c r="MW55" s="380">
        <f t="shared" si="98"/>
        <v>23.703541000000001</v>
      </c>
      <c r="MX55" s="254">
        <f t="shared" si="233"/>
        <v>7.9516393500000007</v>
      </c>
      <c r="MY55" s="254">
        <f t="shared" si="100"/>
        <v>0</v>
      </c>
      <c r="MZ55" s="189">
        <f t="shared" si="101"/>
        <v>9.7516393500000014</v>
      </c>
      <c r="NA55" s="189">
        <f t="shared" si="102"/>
        <v>0</v>
      </c>
      <c r="NB55" s="189">
        <f t="shared" si="169"/>
        <v>21.063541000000001</v>
      </c>
      <c r="NC55" s="254">
        <f t="shared" si="308"/>
        <v>21.063541000000001</v>
      </c>
      <c r="ND55" s="246">
        <f t="shared" si="234"/>
        <v>21.063541000000001</v>
      </c>
      <c r="NE55" s="386">
        <f t="shared" si="235"/>
        <v>21.303540999999999</v>
      </c>
      <c r="NF55" s="380">
        <f t="shared" si="106"/>
        <v>21.463540999999999</v>
      </c>
      <c r="NG55" s="387">
        <f t="shared" si="236"/>
        <v>21.903541000000001</v>
      </c>
      <c r="NH55" s="254">
        <f t="shared" si="108"/>
        <v>24.903541000000001</v>
      </c>
      <c r="NI55" s="380">
        <f t="shared" si="109"/>
        <v>25.063541000000001</v>
      </c>
      <c r="NK55" s="388">
        <f t="shared" si="110"/>
        <v>1.2784235504068187</v>
      </c>
      <c r="NL55" s="388">
        <f t="shared" si="111"/>
        <v>61.058634660155967</v>
      </c>
      <c r="NM55" s="388">
        <f t="shared" si="112"/>
        <v>1.2784235504068187</v>
      </c>
      <c r="NN55" s="388">
        <f t="shared" si="113"/>
        <v>61.23847746405027</v>
      </c>
      <c r="NO55" s="388">
        <f t="shared" si="114"/>
        <v>1.812575670307417</v>
      </c>
      <c r="NP55" s="388">
        <f t="shared" si="115"/>
        <v>62.363310284669204</v>
      </c>
      <c r="NQ55" s="388">
        <f t="shared" si="116"/>
        <v>1.812575670307417</v>
      </c>
      <c r="NR55" s="388">
        <f t="shared" si="117"/>
        <v>62.554401772174714</v>
      </c>
      <c r="NS55" s="388">
        <f t="shared" si="118"/>
        <v>1.3063930986059837</v>
      </c>
      <c r="NT55" s="388">
        <f t="shared" si="119"/>
        <v>1.3063930986059837</v>
      </c>
      <c r="NU55" s="388">
        <f t="shared" si="120"/>
        <v>1.8424449117501926</v>
      </c>
      <c r="NV55" s="388">
        <f t="shared" si="121"/>
        <v>1.8424449117501926</v>
      </c>
      <c r="NW55">
        <f t="shared" si="122"/>
        <v>1.426876025498296</v>
      </c>
      <c r="NX55">
        <f>各项系数!$M$9*NK55</f>
        <v>0.3835270651220456</v>
      </c>
      <c r="NY55">
        <f t="shared" si="123"/>
        <v>1.3063930986059837</v>
      </c>
    </row>
    <row r="56" spans="1:389" ht="15" hidden="1" customHeight="1">
      <c r="A56" s="74">
        <v>24</v>
      </c>
      <c r="B56" s="70">
        <v>1</v>
      </c>
      <c r="C56" s="67"/>
      <c r="D56" s="53" t="s">
        <v>190</v>
      </c>
      <c r="E56" s="61">
        <f t="shared" si="255"/>
        <v>28.708746510000001</v>
      </c>
      <c r="F56" s="68">
        <f>$F$24</f>
        <v>238.573455311777</v>
      </c>
      <c r="G56" s="58"/>
      <c r="H56" s="16"/>
      <c r="I56" s="62"/>
      <c r="J56" s="16"/>
      <c r="K56" s="16"/>
      <c r="L56" s="97" t="s">
        <v>467</v>
      </c>
      <c r="M56" s="103">
        <f t="shared" si="2"/>
        <v>1</v>
      </c>
      <c r="N56" s="103">
        <f t="shared" si="252"/>
        <v>0</v>
      </c>
      <c r="O56" s="53">
        <f t="shared" si="265"/>
        <v>0.08</v>
      </c>
      <c r="P56" s="99">
        <v>0.1</v>
      </c>
      <c r="Q56" s="133">
        <f t="shared" si="309"/>
        <v>0.1</v>
      </c>
      <c r="R56" s="70">
        <v>0.8</v>
      </c>
      <c r="S56" s="142" t="str">
        <f>各项系数!$D$43</f>
        <v>钢带</v>
      </c>
      <c r="T56" s="53">
        <v>0.2</v>
      </c>
      <c r="U56" s="102">
        <v>2</v>
      </c>
      <c r="V56" s="140"/>
      <c r="W56" s="141">
        <v>1.8</v>
      </c>
      <c r="X56" s="135">
        <f t="shared" si="310"/>
        <v>0.2</v>
      </c>
      <c r="Y56" s="135"/>
      <c r="Z56" s="168"/>
      <c r="AA56" s="153">
        <f>$AA$24</f>
        <v>1.0109999999999999</v>
      </c>
      <c r="AB56" s="153">
        <f>PI()*EJ56*EJ56/4*EH56*(1-H56)*AA56*各项系数!$F$5*各项系数!$J$4*10^-7</f>
        <v>0.39976992605548828</v>
      </c>
      <c r="AC56" s="153">
        <f t="shared" si="256"/>
        <v>238.573455311777</v>
      </c>
      <c r="AD56" s="153">
        <f t="shared" si="5"/>
        <v>45.194467959085443</v>
      </c>
      <c r="AE56" s="153">
        <f>POWER(4*EU56/PI()/EG56/10^-7/EH56/(1-H56)/各项系数!$F$5/各项系数!$J$4,0.5)</f>
        <v>239.88202060340797</v>
      </c>
      <c r="AF56" s="69">
        <v>1</v>
      </c>
      <c r="AG56" s="69">
        <f>IF(EM56=0,0,PI()*ER56*ER56/4*EP56*(1-K56)*(1+AF56)*各项系数!$F$5*各项系数!$J$4*10^-7)</f>
        <v>0</v>
      </c>
      <c r="AH56" s="69">
        <f t="shared" si="257"/>
        <v>0</v>
      </c>
      <c r="AI56" s="69">
        <f t="shared" si="128"/>
        <v>0</v>
      </c>
      <c r="AJ56" s="69">
        <f>IF(OR(EP56="",EP56=0),0,POWER(4*EW56/PI()/EO56/10^-7/EP56/(1-K56)/各项系数!$F$5/各项系数!$J$4,0.5))</f>
        <v>0</v>
      </c>
      <c r="AK56" s="69" t="str">
        <f t="shared" si="8"/>
        <v>√</v>
      </c>
      <c r="AL56" s="69">
        <f t="shared" si="258"/>
        <v>85.277906680818916</v>
      </c>
      <c r="AM56" s="188">
        <f t="shared" si="259"/>
        <v>50</v>
      </c>
      <c r="AN56" s="97" t="s">
        <v>486</v>
      </c>
      <c r="AO56" s="196">
        <f>AP56+各项系数!$M$9*$NK56</f>
        <v>83.605790863547952</v>
      </c>
      <c r="AP56" s="196">
        <f>AQ56*(1+$BI56+(VLOOKUP($AM56,$A$12:$B$323,2,0))+各项系数!$J$6+各项系数!$M$5)*(1+$E$2)</f>
        <v>83.082124249259053</v>
      </c>
      <c r="AQ56" s="197">
        <f>AR56+各项系数!$L$9*$NK56</f>
        <v>84.77767780536638</v>
      </c>
      <c r="AR56" s="197">
        <f>AS56*(1+$BJ56+各项系数!$J$5+各项系数!$L$5)</f>
        <v>84.254011191077481</v>
      </c>
      <c r="AS56" s="197">
        <f t="shared" si="129"/>
        <v>82.601971755958317</v>
      </c>
      <c r="AT56" s="196">
        <f>AU56+各项系数!$M$9*$NM56</f>
        <v>85.111663543476794</v>
      </c>
      <c r="AU56" s="196">
        <f>AV56*(1+$BI56+(VLOOKUP($AM56,$A$12:$B$323,2,0))+各项系数!$J$6+各项系数!$M$5)*(1+$E$2)</f>
        <v>84.587996929187895</v>
      </c>
      <c r="AV56" s="197">
        <f>AW56+各项系数!$L$9*$NM56</f>
        <v>86.314282580803976</v>
      </c>
      <c r="AW56" s="197">
        <f>AX56*(1+$BJ56+各项系数!$J$5+各项系数!$L$5)</f>
        <v>85.790615966515077</v>
      </c>
      <c r="AX56" s="197">
        <f t="shared" si="130"/>
        <v>84.108447025995176</v>
      </c>
      <c r="AY56" s="196">
        <f>AZ56+各项系数!$M$9*$NS56</f>
        <v>86.013921253577294</v>
      </c>
      <c r="AZ56" s="196">
        <f>BA56*(1+$BI56+(VLOOKUP($AM56,$A$12:$B$214,2,0))+各项系数!$J$6+各项系数!$M$5)*(1+$E$2)</f>
        <v>85.4796992955619</v>
      </c>
      <c r="BA56" s="197">
        <f>BB56+各项系数!$L$9*$NS56</f>
        <v>87.224182954655006</v>
      </c>
      <c r="BB56" s="197">
        <f>BC56*(1+$BJ56+各项系数!$J$5+各项系数!$L$5)</f>
        <v>86.689960996639613</v>
      </c>
      <c r="BC56" s="199">
        <f t="shared" si="131"/>
        <v>84.990157839842752</v>
      </c>
      <c r="BD56" s="196">
        <f>BE56+各项系数!$M$9*$NS56</f>
        <v>87.528747885660664</v>
      </c>
      <c r="BE56" s="196">
        <f>BF56*(1+$BI56+(VLOOKUP($AM56,$A$12:$B$214,2,0))+各项系数!$J$6+各项系数!$M$5)*(1+$E$2)</f>
        <v>86.99452592764527</v>
      </c>
      <c r="BF56" s="197">
        <f>BG56+各项系数!$L$9*$NS56</f>
        <v>88.769924415964567</v>
      </c>
      <c r="BG56" s="197">
        <f>BH56*(1+$BJ56+各项系数!$J$5+各项系数!$L$5)</f>
        <v>88.235702457949174</v>
      </c>
      <c r="BH56" s="199">
        <f t="shared" si="132"/>
        <v>86.505590645048201</v>
      </c>
      <c r="BI56" s="213"/>
      <c r="BJ56" s="208"/>
      <c r="BK56" s="53" t="s">
        <v>514</v>
      </c>
      <c r="BL56" s="196">
        <f>BM56+各项系数!$M$9*$NM56</f>
        <v>84.639946982960922</v>
      </c>
      <c r="BM56" s="196">
        <f>BN56*(1+$CF56+(VLOOKUP($AM56,$A$12:$B$323,2,0))+各项系数!$J$6+各项系数!$M$5)*(1+$E$2)</f>
        <v>84.116280368672022</v>
      </c>
      <c r="BN56" s="197">
        <f>BO56+各项系数!$L$9*$NM56</f>
        <v>85.832939151706142</v>
      </c>
      <c r="BO56" s="197">
        <f>BP56*(1+$CG56+各项系数!$J$5+各项系数!$L$5)</f>
        <v>85.309272537417243</v>
      </c>
      <c r="BP56" s="197">
        <f t="shared" si="133"/>
        <v>82.824536444094406</v>
      </c>
      <c r="BQ56" s="196">
        <f>BR56+各项系数!$M$9*$NM56</f>
        <v>85.935926324331547</v>
      </c>
      <c r="BR56" s="196">
        <f>BS56*(1+$CF56+(VLOOKUP($AM56,$A$12:$B$323,2,0))+各项系数!$J$6+各项系数!$M$5)*(1+$E$2)</f>
        <v>85.412259710042647</v>
      </c>
      <c r="BS56" s="197">
        <f>BT56+各项系数!$L$9*$NM56</f>
        <v>87.155367051063934</v>
      </c>
      <c r="BT56" s="197">
        <f>BU56*(1+$CG56+各项系数!$J$5+各项系数!$L$5)</f>
        <v>86.631700436775034</v>
      </c>
      <c r="BU56" s="197">
        <f t="shared" si="134"/>
        <v>84.108447025995176</v>
      </c>
      <c r="BV56" s="196">
        <f>BW56+各项系数!$M$9*$NT56</f>
        <v>86.557378027112307</v>
      </c>
      <c r="BW56" s="196">
        <f>BX56*(1+$CF56+(VLOOKUP($AM56,$A$12:$B$214,2,0))+各项系数!$J$6+各项系数!$M$5)*(1+$E$2)</f>
        <v>86.023156069096913</v>
      </c>
      <c r="BX56" s="197">
        <f>BY56+各项系数!$L$9*$NT$12</f>
        <v>87.778730682751956</v>
      </c>
      <c r="BY56" s="197">
        <f>BZ56*(1+$CG56+各项系数!$J$5+各项系数!$L$5)</f>
        <v>87.770467279596986</v>
      </c>
      <c r="BZ56" s="199">
        <f t="shared" si="11"/>
        <v>85.214045902521349</v>
      </c>
      <c r="CA56" s="196">
        <f>CB56+各项系数!$M$9*$NT56</f>
        <v>87.861063290218922</v>
      </c>
      <c r="CB56" s="196">
        <f>CC56*(1+$CF56+(VLOOKUP($AM56,$A$12:$B$214,2,0))+各项系数!$J$6+各项系数!$M$5)*(1+$E$2)</f>
        <v>87.326841332203529</v>
      </c>
      <c r="CC56" s="197">
        <f>CD56+各项系数!$L$9*$NT$12</f>
        <v>89.109021767554623</v>
      </c>
      <c r="CD56" s="197">
        <f>CE56*(1+$CG56+各项系数!$J$5+各项系数!$L$5)</f>
        <v>89.100758364399653</v>
      </c>
      <c r="CE56" s="199">
        <f t="shared" si="135"/>
        <v>86.505590645048201</v>
      </c>
      <c r="CF56" s="213">
        <f t="shared" si="136"/>
        <v>0</v>
      </c>
      <c r="CG56" s="213">
        <f t="shared" si="12"/>
        <v>0.01</v>
      </c>
      <c r="CH56" s="102"/>
      <c r="CI56" s="196">
        <f>CJ56+各项系数!$M$9*$NO56</f>
        <v>86.320564330118756</v>
      </c>
      <c r="CJ56" s="196">
        <f>CK56*(1+$DC56+(VLOOKUP($AM56,$A$12:$B$323,2,0))+各项系数!$J$6+各项系数!$M$5)*(1+$E$2)+各项系数!$M$9*$NK56</f>
        <v>85.554906345947686</v>
      </c>
      <c r="CK56" s="197">
        <f>CL56+各项系数!$L$9*$NO56</f>
        <v>86.766571154753862</v>
      </c>
      <c r="CL56" s="197">
        <f>CM56*(1+$DD56+各项系数!$J$5+各项系数!$L$5)</f>
        <v>86.000913170582791</v>
      </c>
      <c r="CM56" s="197">
        <f t="shared" si="13"/>
        <v>84.314620755473328</v>
      </c>
      <c r="CN56" s="196">
        <f>CO56+各项系数!$M$9*$NO56</f>
        <v>87.71399516867001</v>
      </c>
      <c r="CO56" s="196">
        <f>CP56*(1+$DC56+(VLOOKUP($AM56,$A$12:$B$323,2,0))+各项系数!$J$6+各项系数!$M$5)*(1+$E$2)+各项系数!$M$9*$NK56</f>
        <v>86.948337184498939</v>
      </c>
      <c r="CP56" s="197">
        <f>CQ56+各项系数!$L$9*$NO56</f>
        <v>88.188439357357183</v>
      </c>
      <c r="CQ56" s="197">
        <f>CR56*(1+$DD56+各项系数!$J$5+各项系数!$L$5)</f>
        <v>87.422781373186112</v>
      </c>
      <c r="CR56" s="197">
        <f t="shared" si="14"/>
        <v>85.708609189398146</v>
      </c>
      <c r="CS56" s="196">
        <f>CT56+各项系数!$M$9*$NU56</f>
        <v>88.334334525872038</v>
      </c>
      <c r="CT56" s="196">
        <f t="shared" si="15"/>
        <v>87.557551290001399</v>
      </c>
      <c r="CU56" s="197">
        <f>CV56+各项系数!$L$9*$NU56</f>
        <v>89.344440091838166</v>
      </c>
      <c r="CV56" s="197">
        <f>CW56*(1+$DD56+各项系数!$J$5+各项系数!$L$5)</f>
        <v>88.567656855967527</v>
      </c>
      <c r="CW56" s="199">
        <f t="shared" si="16"/>
        <v>86.831036133301495</v>
      </c>
      <c r="CX56" s="196">
        <f>CY56+各项系数!$M$9*$NU56</f>
        <v>89.925269751268829</v>
      </c>
      <c r="CY56" s="196">
        <f t="shared" si="17"/>
        <v>89.14848651539819</v>
      </c>
      <c r="CZ56" s="197">
        <f>DA56+各项系数!$L$9*$NU56</f>
        <v>90.967843383059375</v>
      </c>
      <c r="DA56" s="197">
        <f>DB56*(1+$DD56+各项系数!$J$5+各项系数!$L$5)</f>
        <v>90.191060147188736</v>
      </c>
      <c r="DB56" s="199">
        <f t="shared" si="18"/>
        <v>88.422607987439932</v>
      </c>
      <c r="DC56" s="213">
        <f t="shared" si="137"/>
        <v>0</v>
      </c>
      <c r="DD56" s="213">
        <f t="shared" si="19"/>
        <v>0</v>
      </c>
      <c r="DE56" s="53" t="s">
        <v>498</v>
      </c>
      <c r="DF56" s="53" t="s">
        <v>513</v>
      </c>
      <c r="DG56" s="196">
        <f>DH56+各项系数!$M$9*$NQ56</f>
        <v>87.382858830964125</v>
      </c>
      <c r="DH56" s="196">
        <f>DI56*(1+$EA56+(VLOOKUP($AM56,$A$12:$B$323,2,0))+各项系数!$J$6+各项系数!$M$5)*(1+$E$2)+各项系数!$M$9*$NK56</f>
        <v>86.617200846793054</v>
      </c>
      <c r="DI56" s="197">
        <f>DJ56+各项系数!$L$9*$NQ56</f>
        <v>87.850545135208321</v>
      </c>
      <c r="DJ56" s="197">
        <f>DK56*(1+$EB56+各项系数!$J$5+各项系数!$L$5)</f>
        <v>87.08488715103725</v>
      </c>
      <c r="DK56" s="197">
        <f t="shared" si="20"/>
        <v>84.548434127220631</v>
      </c>
      <c r="DL56" s="196">
        <f>DM56+各项系数!$M$9*$NQ56</f>
        <v>88.744338507090561</v>
      </c>
      <c r="DM56" s="196">
        <f>DN56*(1+$EA56+(VLOOKUP($AM56,$A$12:$B$323,2,0))+各项系数!$J$6+各项系数!$M$5)*(1+$E$2)+各项系数!$M$9*$NK56</f>
        <v>87.97868052291949</v>
      </c>
      <c r="DN56" s="197">
        <f>DO56+各项系数!$L$9*$NQ56</f>
        <v>89.239810110847543</v>
      </c>
      <c r="DO56" s="197">
        <f>DP56*(1+$EB56+各项系数!$J$5+各项系数!$L$5)</f>
        <v>88.474152126676472</v>
      </c>
      <c r="DP56" s="197">
        <f t="shared" si="21"/>
        <v>85.897235074443174</v>
      </c>
      <c r="DQ56" s="196">
        <f>DR56+各项系数!$M$9*$NV56</f>
        <v>89.422625711683324</v>
      </c>
      <c r="DR56" s="196">
        <f t="shared" si="22"/>
        <v>88.645842475812685</v>
      </c>
      <c r="DS56" s="197">
        <f>DT56+各项系数!$L$9*$NV56</f>
        <v>90.454941301849686</v>
      </c>
      <c r="DT56" s="197">
        <f>DU56*(1+$EB56+各项系数!$J$5+各项系数!$L$5)</f>
        <v>89.678158065979048</v>
      </c>
      <c r="DU56" s="199">
        <f t="shared" si="23"/>
        <v>87.066172879591306</v>
      </c>
      <c r="DV56" s="196">
        <f>DW56+各项系数!$M$9*$NV56</f>
        <v>89.608360837126</v>
      </c>
      <c r="DW56" s="196">
        <f t="shared" si="24"/>
        <v>88.831577601255361</v>
      </c>
      <c r="DX56" s="197">
        <f>DY56+各项系数!$L$9*$NV56</f>
        <v>90.644466940056489</v>
      </c>
      <c r="DY56" s="197">
        <f>DZ56*(1+$EB56+各项系数!$J$5+各项系数!$L$5)</f>
        <v>89.867683704185851</v>
      </c>
      <c r="DZ56" s="199">
        <f t="shared" si="25"/>
        <v>87.250178353578491</v>
      </c>
      <c r="EA56" s="213">
        <f t="shared" si="311"/>
        <v>0</v>
      </c>
      <c r="EB56" s="213">
        <f t="shared" si="27"/>
        <v>0.01</v>
      </c>
      <c r="EC56" s="235">
        <f t="shared" si="138"/>
        <v>3</v>
      </c>
      <c r="ED56" s="235" t="str">
        <f t="shared" si="266"/>
        <v>3*50</v>
      </c>
      <c r="EE56" s="189">
        <f t="shared" si="239"/>
        <v>50</v>
      </c>
      <c r="EF56" s="189" t="str">
        <f>LOOKUP(EH56,{1,7,10,14,19,24,30,37,48,61},{1,"1+6","2+8","4+10","1+6+12","2+8+14","4+10+16","1+6+12+18","3+9+15+21","1+6+12+18+24"})</f>
        <v>2+8</v>
      </c>
      <c r="EG56" s="188">
        <f t="shared" si="29"/>
        <v>3</v>
      </c>
      <c r="EH56" s="197">
        <f>VLOOKUP(EE56,各项系数!$B$87:$C$124,2,0)</f>
        <v>10</v>
      </c>
      <c r="EI56" s="188">
        <f>IF(EH56=0,0,VLOOKUP(EH56,各项系数!$D$142:$E$195,2,0))*1</f>
        <v>4</v>
      </c>
      <c r="EJ56" s="238">
        <f t="shared" si="141"/>
        <v>238.573455311777</v>
      </c>
      <c r="EK56" s="189">
        <f t="shared" si="261"/>
        <v>0</v>
      </c>
      <c r="EL56" s="189">
        <f t="shared" si="31"/>
        <v>0</v>
      </c>
      <c r="EM56" s="189">
        <f t="shared" si="267"/>
        <v>0</v>
      </c>
      <c r="EN56" s="189">
        <f>IF(EP56=0,0,LOOKUP(EP56,{1,7,10,14,19,24,30,37,48,61},{1,"1+6","2+8","4+10","1+6+12","2+8+14","4+10+16","1+6+12+18","3+9+15+21","1+6+12+18+24"}))</f>
        <v>0</v>
      </c>
      <c r="EO56" s="189">
        <f t="shared" si="263"/>
        <v>0</v>
      </c>
      <c r="EP56" s="189">
        <f>IF(EM56=0,0,IF(EM56&lt;10,1,IF(AND(EM56&gt;=10,EM56&lt;=35),7,LOOKUP(EM56,{50,70,95,120,150,185,240,300},{10,14,19,24,30,37,48,61})*1)))</f>
        <v>0</v>
      </c>
      <c r="EQ56" s="189">
        <f>IF(EP56=0,0,VLOOKUP(EP56,各项系数!$D$142:$E$195,2,0))*1</f>
        <v>0</v>
      </c>
      <c r="ER56" s="189">
        <f t="shared" si="264"/>
        <v>0</v>
      </c>
      <c r="ES56" s="235">
        <f t="shared" si="250"/>
        <v>3</v>
      </c>
      <c r="ET56" s="189">
        <f>VLOOKUP(ES56,各项系数!$D$142:$E$195,2,0)*1</f>
        <v>2.16</v>
      </c>
      <c r="EU56" s="243">
        <f>((各项系数!$F$76/4*$EJ56^2*$EG56*$EH56*1*10^-7)*(1-$H56)*AA56)*(VLOOKUP($EY$9,各项系数!$D$4:$F$143,3,0))*各项系数!$J$4</f>
        <v>1.1993097781664646</v>
      </c>
      <c r="EV56" s="244">
        <f>EU56*(VLOOKUP($EY$9,各项系数!$D$4:$F$143,2,0))</f>
        <v>78.554790469903423</v>
      </c>
      <c r="EW56" s="252">
        <f>(IF($EO56=0,0,(各项系数!$F$76/4*$ER56^2*$EO56*$EP56*1*10^-7))*(1-$K56)*$AF56)*(VLOOKUP($EY$9,各项系数!$D$4:$F$143,3,0))*各项系数!$J$4</f>
        <v>0</v>
      </c>
      <c r="EX56" s="253">
        <f>EW56*(VLOOKUP($EY$9,各项系数!$D$4:$F$143,2,0))</f>
        <v>0</v>
      </c>
      <c r="EY56" s="189">
        <f>((各项系数!$F$76/4*$EJ56^2*$EG56*$EH56*1*10^-7)*(1-$H56)*AA56+IF($EO56=0,0,(各项系数!$F$76/4*$ER56^2*$EO56*$EP56*1*10^-7))*(1-$K56)*$AF56)*(VLOOKUP($EY$9,各项系数!$D$4:$F$143,3,0))*各项系数!$J$4</f>
        <v>1.1993097781664646</v>
      </c>
      <c r="EZ56" s="102">
        <v>1</v>
      </c>
      <c r="FA56" s="189">
        <f t="shared" si="268"/>
        <v>1.1993097781664646</v>
      </c>
      <c r="FB56" s="254">
        <f>FA56*(VLOOKUP($EY$9,各项系数!$D$4:$F$143,2,0))</f>
        <v>78.554790469903423</v>
      </c>
      <c r="FC56" s="255"/>
      <c r="FD56" s="235">
        <f>各项系数!$F$76/4*($MN56^2-MK56^2)*10^-2*(VLOOKUP(L56,各项系数!$D$1:$F$143,3,0))*10^-3*10^2*$EG56*各项系数!$J$4</f>
        <v>0.10875483006428488</v>
      </c>
      <c r="FE56" s="262">
        <f>FD56*VLOOKUP(L56,各项系数!$D$1:$F$143,2,0)</f>
        <v>1.1092992666557058</v>
      </c>
      <c r="FF56" s="188">
        <f>各项系数!$F$76/4*($MO56^2-ML56^2)*10^-2*(VLOOKUP(L56,各项系数!$D$1:$F$143,3,0))*10^-3*10^2*$EO56*各项系数!$J$4</f>
        <v>0</v>
      </c>
      <c r="FG56" s="262">
        <f>FF56*VLOOKUP(L56,各项系数!$D$1:$F$143,2,0)</f>
        <v>0</v>
      </c>
      <c r="FH56" s="235">
        <f t="shared" si="142"/>
        <v>0.10875483006428488</v>
      </c>
      <c r="FI56" s="102">
        <v>1</v>
      </c>
      <c r="FJ56" s="189">
        <f t="shared" si="269"/>
        <v>0.10875483006428488</v>
      </c>
      <c r="FK56" s="262">
        <f>FJ56*VLOOKUP(L56,各项系数!$D$1:$F$143,2,0)</f>
        <v>1.1092992666557058</v>
      </c>
      <c r="FL56" s="235"/>
      <c r="FM56" s="102"/>
      <c r="FN56" s="189"/>
      <c r="FO56" s="262"/>
      <c r="FP56" s="282">
        <f t="shared" si="270"/>
        <v>0.10875483006428488</v>
      </c>
      <c r="FQ56" s="282">
        <f t="shared" si="271"/>
        <v>1.1092992666557058</v>
      </c>
      <c r="FR56" s="283">
        <f>各项系数!$F$76/4*($MQ56^2-$MN56^2*$EG56-$MO56^2*$EO56)*10^-2</f>
        <v>1.7429837345416428</v>
      </c>
      <c r="FS56" s="284">
        <f t="shared" si="143"/>
        <v>1</v>
      </c>
      <c r="FT56" s="285">
        <f t="shared" si="40"/>
        <v>1.7429837345416428</v>
      </c>
      <c r="FU56" s="302">
        <f>$FT56*(VLOOKUP($FT$9,各项系数!$D$1:$F$143,3,0))*10^-3*10^2*各项系数!$J$55</f>
        <v>0.20811225790427215</v>
      </c>
      <c r="FV56" s="303">
        <v>1</v>
      </c>
      <c r="FW56" s="304">
        <f t="shared" si="272"/>
        <v>0.20811225790427215</v>
      </c>
      <c r="FX56" s="285">
        <f>FW56*(VLOOKUP($FT$9,各项系数!$D$1:$F$143,2,0))</f>
        <v>0.62433677371281648</v>
      </c>
      <c r="FY56" s="302">
        <f>IF($BK56&lt;&gt;$FY$9,0,各项系数!$F$76/4*($MS56^2-$MQ56^2)*10^-2*(VLOOKUP($FY$9,各项系数!$D$1:$F$143,3,0))*10^-3*10^2)*各项系数!$J$4</f>
        <v>0</v>
      </c>
      <c r="FZ56" s="303">
        <v>1</v>
      </c>
      <c r="GA56" s="304">
        <f t="shared" si="273"/>
        <v>0</v>
      </c>
      <c r="GB56" s="285">
        <f>GA56*(VLOOKUP($FY$9,各项系数!$D$1:$F$143,2,0))</f>
        <v>0</v>
      </c>
      <c r="GC56" s="302">
        <f>IF($BK56&lt;&gt;$GC$9,0,各项系数!$F$76/4*($MS56^2-$MQ56^2)*10^-2*(VLOOKUP($GC$9,各项系数!$D$1:$F$143,3,0))*10^-3*10^2)*各项系数!$J$4</f>
        <v>6.81382669188946E-3</v>
      </c>
      <c r="GD56" s="303">
        <v>1</v>
      </c>
      <c r="GE56" s="304">
        <f t="shared" si="274"/>
        <v>6.81382669188946E-3</v>
      </c>
      <c r="GF56" s="285">
        <f>GE56*(VLOOKUP($GC$9,各项系数!$D$1:$F$143,2,0))</f>
        <v>8.789836432537404E-2</v>
      </c>
      <c r="GG56" s="302">
        <f>IF($BK56&lt;&gt;$GG$9,0,各项系数!$F$76/4*($MS56^2-$MQ56^2)*10^-2*(VLOOKUP($GG$9,各项系数!$D$1:$F$143,3,0))*10^-3*10^2)*各项系数!$J$4</f>
        <v>0</v>
      </c>
      <c r="GH56" s="303">
        <v>1</v>
      </c>
      <c r="GI56" s="304">
        <f t="shared" si="275"/>
        <v>0</v>
      </c>
      <c r="GJ56" s="285">
        <f>GI56*(VLOOKUP($GG$9,各项系数!$D$1:$F$143,2,0))</f>
        <v>0</v>
      </c>
      <c r="GK56" s="302">
        <f>IF($BK56&lt;&gt;$GK$9,0,各项系数!$F$76/4*($MS56^2-$MQ56^2)*10^-2*(VLOOKUP($GK$9,各项系数!$D$1:$F$143,3,0))*10^-3*10^2)*各项系数!$J$4</f>
        <v>0</v>
      </c>
      <c r="GL56" s="303">
        <v>1</v>
      </c>
      <c r="GM56" s="304">
        <f t="shared" si="276"/>
        <v>0</v>
      </c>
      <c r="GN56" s="285">
        <f>GM56*(VLOOKUP($GK$9,各项系数!$D$1:$F$143,2,0))</f>
        <v>0</v>
      </c>
      <c r="GO56" s="304">
        <f t="shared" si="277"/>
        <v>6.81382669188946E-3</v>
      </c>
      <c r="GP56" s="304">
        <f t="shared" si="278"/>
        <v>8.789836432537404E-2</v>
      </c>
      <c r="GQ56" s="315">
        <f>各项系数!$F$76/4*($MU56^2-$MS56^2)*10^-2*(VLOOKUP($S56,各项系数!$D$1:$F$143,3,0))*10^-3*10^2*各项系数!$J$4</f>
        <v>0.18633060828544923</v>
      </c>
      <c r="GR56" s="303">
        <v>1</v>
      </c>
      <c r="GS56" s="304">
        <f t="shared" si="279"/>
        <v>0.18633060828544923</v>
      </c>
      <c r="GT56" s="304">
        <f t="shared" si="200"/>
        <v>0</v>
      </c>
      <c r="GU56" s="304">
        <f>ROUND($GS56*(VLOOKUP($S56,各项系数!$D$1:$F$143,2,0))+$E$3*GS56,GT56)</f>
        <v>1</v>
      </c>
      <c r="GV56" s="315">
        <f>各项系数!$F$76/4*($MT56^2-$MS56^2)*10^-2*(VLOOKUP($GV$9,各项系数!$D$1:$F$143,3,0))*10^-3*10^2*各项系数!$J$4*PI()/4*R56</f>
        <v>3.5184479088288811E-2</v>
      </c>
      <c r="GW56" s="303">
        <v>1</v>
      </c>
      <c r="GX56" s="304">
        <f t="shared" si="280"/>
        <v>3.5184479088288811E-2</v>
      </c>
      <c r="GY56" s="304">
        <f>$GX56*(VLOOKUP($GV$9,各项系数!$D$1:$F$143,2,0))</f>
        <v>2.3749523384594946</v>
      </c>
      <c r="GZ56" s="315">
        <f>各项系数!$F$76/4*($MV56^2-$MS56^2)*10^-2*(VLOOKUP($GZ$9,各项系数!$D$1:$F$143,3,0))*10^-3*10^2*各项系数!$J$4</f>
        <v>0.21953659714105062</v>
      </c>
      <c r="HA56" s="303">
        <v>1</v>
      </c>
      <c r="HB56" s="304">
        <f t="shared" si="144"/>
        <v>0.21953659714105062</v>
      </c>
      <c r="HC56" s="304">
        <f>HB56*(VLOOKUP($GZ$9,各项系数!$D$1:$F$143,2,0))</f>
        <v>3.7321221513978604</v>
      </c>
      <c r="HD56" s="315">
        <f>各项系数!$F$76/4*($MW56^2-$MT56^2)*10^-2*(VLOOKUP($HD$9,各项系数!$D$1:$F$143,3,0))*10^-3*10^2*各项系数!$J$4</f>
        <v>0.22084196658772898</v>
      </c>
      <c r="HE56" s="303">
        <v>1</v>
      </c>
      <c r="HF56" s="304">
        <f t="shared" si="145"/>
        <v>0.22084196658772898</v>
      </c>
      <c r="HG56" s="304">
        <f>HF56*(VLOOKUP($HD$9,各项系数!$D$1:$F$143,2,0))</f>
        <v>3.7543134319913927</v>
      </c>
      <c r="HH56" s="315">
        <f>各项系数!$F$76/4*($MV56^2-$MS56^2)*10^-2*(VLOOKUP($HH$9,各项系数!$D$1:$F$143,3,0))*10^-3*10^2*各项系数!$J$4</f>
        <v>0.21953659714105062</v>
      </c>
      <c r="HI56" s="322">
        <v>1</v>
      </c>
      <c r="HJ56" s="304">
        <f t="shared" si="146"/>
        <v>0.21953659714105062</v>
      </c>
      <c r="HK56" s="304">
        <f>HJ56*(VLOOKUP($HH$9,各项系数!$D$1:$F$143,2,0))</f>
        <v>3.7321221513978604</v>
      </c>
      <c r="HL56" s="315">
        <f>各项系数!$F$76/4*($MW56^2-$MT56^2)*10^-2*(VLOOKUP($HL$9,各项系数!$D$1:$F$143,3,0))*10^-3*10^2*各项系数!$J$4</f>
        <v>0.22084196658772898</v>
      </c>
      <c r="HM56" s="322">
        <v>1</v>
      </c>
      <c r="HN56" s="304">
        <f t="shared" si="147"/>
        <v>0.22084196658772898</v>
      </c>
      <c r="HO56" s="304">
        <f>HN56*(VLOOKUP($HL$9,各项系数!$D$1:$F$143,2,0))</f>
        <v>3.7543134319913927</v>
      </c>
      <c r="HP56" s="315">
        <f>各项系数!$F$76/4*($MV56^2-$MS56^2)*10^-2*(VLOOKUP(AN56,各项系数!$D$1:$F$143,3,0))*10^-3*10^2*各项系数!$J$4</f>
        <v>0.22256468813609956</v>
      </c>
      <c r="HQ56" s="303">
        <v>1</v>
      </c>
      <c r="HR56" s="304">
        <f t="shared" si="281"/>
        <v>0.22256468813609956</v>
      </c>
      <c r="HS56" s="304">
        <f>HR56*(VLOOKUP(AN56,各项系数!$D$1:$F$143,2,0))</f>
        <v>2.2256468813609955</v>
      </c>
      <c r="HT56" s="315">
        <f>各项系数!$F$76/4*($MW56^2-$MT56^2)*10^-2*(VLOOKUP(AN56,各项系数!$D$1:$F$143,3,0))*10^-3*10^2*各项系数!$J$4</f>
        <v>0.22388806267859421</v>
      </c>
      <c r="HU56" s="303">
        <v>1</v>
      </c>
      <c r="HV56" s="304">
        <f t="shared" si="282"/>
        <v>0.22388806267859421</v>
      </c>
      <c r="HW56" s="304">
        <f>HV56*(VLOOKUP(AN56,各项系数!$D$1:$F$143,2,0))</f>
        <v>2.2388806267859422</v>
      </c>
      <c r="HX56" s="315">
        <f>各项系数!$F$76/4*($MV56^2-$MS56^2)*10^-2*(VLOOKUP($HX$9,各项系数!$D$1:$F$143,3,0))*10^-3*10^2*各项系数!$J$4</f>
        <v>0.22256468813609956</v>
      </c>
      <c r="HY56" s="322">
        <v>1</v>
      </c>
      <c r="HZ56" s="304">
        <f t="shared" si="283"/>
        <v>0.22256468813609956</v>
      </c>
      <c r="IA56" s="304">
        <f>HZ56*(VLOOKUP($HX$9,各项系数!$D$1:$F$143,2,0))</f>
        <v>2.448211569497095</v>
      </c>
      <c r="IB56" s="315">
        <f>各项系数!$F$76/4*($MW56^2-$MT56^2)*10^-2*(VLOOKUP($IB$9,各项系数!$D$1:$F$143,3,0))*10^-3*10^2*各项系数!$J$4</f>
        <v>0.22388806267859421</v>
      </c>
      <c r="IC56" s="322">
        <v>1</v>
      </c>
      <c r="ID56" s="304">
        <f t="shared" si="284"/>
        <v>0.22388806267859421</v>
      </c>
      <c r="IE56" s="304">
        <f>ID56*(VLOOKUP($IB$9,各项系数!$D$1:$F$143,2,0))</f>
        <v>2.4627686894645362</v>
      </c>
      <c r="IF56" s="328"/>
      <c r="IG56" s="315">
        <f t="shared" si="148"/>
        <v>4.1536651266671464E-2</v>
      </c>
      <c r="IH56" s="303">
        <v>1</v>
      </c>
      <c r="II56" s="304">
        <f t="shared" si="285"/>
        <v>4.1536651266671464E-2</v>
      </c>
      <c r="IJ56" s="304">
        <f>II56*(VLOOKUP($IG$8,各项系数!$D$1:$F$143,2,0))</f>
        <v>1.0384162816667866</v>
      </c>
      <c r="IK56" s="315">
        <f>(各项系数!$F$76/4*($MX56^2-$MK56^2)*$EG56)*10^-2*(VLOOKUP($IG$8,各项系数!$D$1:$F$143,3,0))*10^-3*10^2*各项系数!$J$4</f>
        <v>4.1536651266671464E-2</v>
      </c>
      <c r="IL56" s="303">
        <f>IK56*(VLOOKUP($IG$8,各项系数!$D$1:$F$143,2,0))</f>
        <v>1.0384162816667866</v>
      </c>
      <c r="IM56" s="304">
        <f>(各项系数!$F$76/4*(($MM56+3*$X56)^2-MM56^2)*$EO56)*10^-2*(VLOOKUP($IG$8,各项系数!$D$1:$F$143,3,0))*10^-3*10^2*各项系数!$J$4</f>
        <v>0</v>
      </c>
      <c r="IN56" s="303">
        <f>IM56*(VLOOKUP($IG$8,各项系数!$D$1:$F$143,2,0))</f>
        <v>0</v>
      </c>
      <c r="IO56" s="315">
        <f>各项系数!$F$76/4*($MZ56^2-$MX56^2)*10^-2*(VLOOKUP(L56,各项系数!$D$1:$F$143,3,0))*10^-3*10^2*$ES56*各项系数!$J$4</f>
        <v>0.11494408175112204</v>
      </c>
      <c r="IP56" s="303">
        <v>1</v>
      </c>
      <c r="IQ56" s="304">
        <f t="shared" si="286"/>
        <v>0.11494408175112204</v>
      </c>
      <c r="IR56" s="285">
        <f>IQ56*(VLOOKUP(L56,各项系数!$D$1:$F$143,2,0))</f>
        <v>1.1724296338614448</v>
      </c>
      <c r="IS56" s="315">
        <f>IF($L56&lt;&gt;$IS$9,0,各项系数!$F$76/4*($MZ56^2-$MX56^2)*10^-2*各项系数!$F$12*10^-3*10^2)*$ES56*各项系数!$J$4</f>
        <v>0</v>
      </c>
      <c r="IT56" s="303">
        <v>1</v>
      </c>
      <c r="IU56" s="304">
        <f t="shared" si="287"/>
        <v>0</v>
      </c>
      <c r="IV56" s="285">
        <f>IU56*各项系数!$E$12</f>
        <v>0</v>
      </c>
      <c r="IW56" s="302">
        <f t="shared" si="288"/>
        <v>0.11494408175112204</v>
      </c>
      <c r="IX56" s="302">
        <f t="shared" si="289"/>
        <v>1.1724296338614448</v>
      </c>
      <c r="IY56" s="339">
        <f>各项系数!$F$76/4*($NB56^2-$MZ56^2*$EG56-$NA56^2*$EO56)*10^-2</f>
        <v>1.92889311453065</v>
      </c>
      <c r="IZ56" s="284">
        <f t="shared" si="231"/>
        <v>1</v>
      </c>
      <c r="JA56" s="285">
        <f t="shared" si="64"/>
        <v>1.92889311453065</v>
      </c>
      <c r="JB56" s="282">
        <f>IF($DE56&lt;&gt;$JB$9,0,$JA56*各项系数!$F$32*10^-3*10^2)*各项系数!$J$4</f>
        <v>0</v>
      </c>
      <c r="JC56" s="102">
        <v>1</v>
      </c>
      <c r="JD56" s="189">
        <f t="shared" si="290"/>
        <v>0</v>
      </c>
      <c r="JE56" s="262">
        <f>JD56*各项系数!$E$32</f>
        <v>0</v>
      </c>
      <c r="JF56" s="282">
        <f>IF($DE56&lt;&gt;$JF$9,0,$JA56*VLOOKUP($JF$9,各项系数!$D$4:$F$540,2,0)*10^-3*10^2)*各项系数!$J$4</f>
        <v>0.95962432447899826</v>
      </c>
      <c r="JG56" s="102">
        <v>1</v>
      </c>
      <c r="JH56" s="189">
        <f t="shared" si="66"/>
        <v>0.95962432447899826</v>
      </c>
      <c r="JI56" s="262">
        <f>JH56*VLOOKUP($JF$9,各项系数!$D$4:$F$540,3,0)</f>
        <v>1.1515491893747978</v>
      </c>
      <c r="JJ56" s="282">
        <f t="shared" si="291"/>
        <v>0.95962432447899826</v>
      </c>
      <c r="JK56" s="189">
        <f t="shared" si="292"/>
        <v>1.1515491893747978</v>
      </c>
      <c r="JL56" s="282">
        <f>IF($DF56&lt;&gt;$JL$9,0,各项系数!$F$76/4*($NE56^2-$NC56^2)*10^-2*各项系数!$F$39*10^-3*10^2)*各项系数!$J$4</f>
        <v>2.9650731596920733E-3</v>
      </c>
      <c r="JM56" s="102">
        <v>1</v>
      </c>
      <c r="JN56" s="189">
        <f t="shared" si="293"/>
        <v>2.9650731596920733E-3</v>
      </c>
      <c r="JO56" s="262">
        <f>JN56*各项系数!$E$39</f>
        <v>5.9301463193841469E-2</v>
      </c>
      <c r="JP56" s="282">
        <f>IF($DF56&lt;&gt;$JP$9,0,各项系数!$F$76/4*($NE56^2-$NC56^2)*10^-2*各项系数!$F$36*10^-3*10^2)*各项系数!$J$4</f>
        <v>0</v>
      </c>
      <c r="JQ56" s="102">
        <v>1</v>
      </c>
      <c r="JR56" s="189">
        <f t="shared" si="294"/>
        <v>0</v>
      </c>
      <c r="JS56" s="262">
        <f>JR56*各项系数!$E$36</f>
        <v>0</v>
      </c>
      <c r="JT56" s="282">
        <f>IF($DF56&lt;&gt;$JT$9,0,各项系数!$F$76/4*($NE56^2-$NC56^2)*10^-2*各项系数!$F$40*10^-3*10^2)*各项系数!$J$4</f>
        <v>0</v>
      </c>
      <c r="JU56" s="102">
        <v>1</v>
      </c>
      <c r="JV56" s="189">
        <f t="shared" si="295"/>
        <v>0</v>
      </c>
      <c r="JW56" s="262">
        <f>JV56*各项系数!$E$40</f>
        <v>0</v>
      </c>
      <c r="JX56" s="282">
        <f>IF($DF56&lt;&gt;$JX$9,0,各项系数!$F$76/4*($NE56^2-$NC56^2)*10^-2*各项系数!$F$38*10^-3*10^2)*各项系数!$J$4</f>
        <v>0</v>
      </c>
      <c r="JY56" s="102">
        <v>1</v>
      </c>
      <c r="JZ56" s="189">
        <f t="shared" si="296"/>
        <v>0</v>
      </c>
      <c r="KA56" s="262">
        <f>JZ56*各项系数!$E$38</f>
        <v>0</v>
      </c>
      <c r="KB56" s="282">
        <f>IF($DF56&lt;&gt;$KB$9,0,各项系数!$F$76/4*($NE56^2-$NC56^2)*10^-2*各项系数!$F$41*10^-3*10^2)*各项系数!$J$4</f>
        <v>0</v>
      </c>
      <c r="KC56" s="102">
        <v>1</v>
      </c>
      <c r="KD56" s="189">
        <f t="shared" si="297"/>
        <v>0</v>
      </c>
      <c r="KE56" s="262">
        <f>KD56*各项系数!$E$41</f>
        <v>0</v>
      </c>
      <c r="KF56" s="189">
        <f t="shared" si="298"/>
        <v>2.9650731596920733E-3</v>
      </c>
      <c r="KG56" s="189">
        <f t="shared" si="299"/>
        <v>5.9301463193841469E-2</v>
      </c>
      <c r="KH56" s="235">
        <f>各项系数!$F$76/4*($NG56^2-$NE56^2)*10^-2*各项系数!$F$44*10^-3*10^2*各项系数!$J$4*0.75*$U56</f>
        <v>0.29445589641450431</v>
      </c>
      <c r="KI56" s="102">
        <v>1</v>
      </c>
      <c r="KJ56" s="189">
        <f t="shared" si="300"/>
        <v>0.29445589641450431</v>
      </c>
      <c r="KK56" s="189">
        <f>ROUND(KJ56*各项系数!$E$43,GT56)</f>
        <v>2</v>
      </c>
      <c r="KL56" s="235">
        <f>各项系数!$F$76/4*($NF56^2-$NE56^2)*10^-2*各项系数!$F$46*10^-3*10^2*各项系数!$J$4*PI()/4*R56</f>
        <v>3.7084172331899673E-2</v>
      </c>
      <c r="KM56" s="102">
        <v>1</v>
      </c>
      <c r="KN56" s="189">
        <f t="shared" si="301"/>
        <v>3.7084172331899673E-2</v>
      </c>
      <c r="KO56" s="189">
        <f>KN56*各项系数!$E$46</f>
        <v>2.5031816324032281</v>
      </c>
      <c r="KP56" s="235">
        <f>各项系数!$F$76/4*($NH56^2-$NE56^2)*10^-2*(VLOOKUP($KP$9,各项系数!$D$1:$F$143,3,0))*10^-3*10^2*各项系数!$J$4</f>
        <v>0.23063223743781711</v>
      </c>
      <c r="KQ56" s="102">
        <v>1</v>
      </c>
      <c r="KR56" s="189">
        <f t="shared" si="150"/>
        <v>0.23063223743781711</v>
      </c>
      <c r="KS56" s="189">
        <f>KR56*(VLOOKUP($KP$9,各项系数!$D$1:$F$143,2,0))</f>
        <v>3.9207480364428906</v>
      </c>
      <c r="KT56" s="235">
        <f>各项系数!$F$76/4*($NI56^2-$NF56^2)*10^-2*(VLOOKUP($KT$9,各项系数!$D$1:$F$143,3,0))*10^-3*10^2*各项系数!$J$4</f>
        <v>0.23193760688449541</v>
      </c>
      <c r="KU56" s="102">
        <v>1</v>
      </c>
      <c r="KV56" s="189">
        <f t="shared" si="151"/>
        <v>0.23193760688449541</v>
      </c>
      <c r="KW56" s="189">
        <f>KV56*(VLOOKUP($KT$9,各项系数!$D$1:$F$143,2,0))</f>
        <v>3.942939317036422</v>
      </c>
      <c r="KX56" s="189">
        <f>各项系数!$F$76/4*($NH56^2-$NE56^2)*10^-2*(VLOOKUP($KX$9,各项系数!$D$1:$F$143,3,0))*10^-3*10^2*各项系数!$J$4</f>
        <v>0.23063223743781711</v>
      </c>
      <c r="KY56" s="353">
        <v>1</v>
      </c>
      <c r="KZ56" s="189">
        <f t="shared" si="152"/>
        <v>0.23063223743781711</v>
      </c>
      <c r="LA56" s="189">
        <f>KZ56*(VLOOKUP($KX$9,各项系数!$D$1:$F$143,2,0))</f>
        <v>3.9207480364428906</v>
      </c>
      <c r="LB56" s="189">
        <f>各项系数!$F$76/4*($NI56^2-$NF56^2)*10^-2*(VLOOKUP($LB$9,各项系数!$D$1:$F$143,3,0))*10^-3*10^2*各项系数!$J$4</f>
        <v>0.23193760688449541</v>
      </c>
      <c r="LC56" s="353">
        <v>1</v>
      </c>
      <c r="LD56" s="189">
        <f t="shared" si="153"/>
        <v>0.23193760688449541</v>
      </c>
      <c r="LE56" s="189">
        <f>LD56*(VLOOKUP($LB$9,各项系数!$D$1:$F$143,2,0))</f>
        <v>3.942939317036422</v>
      </c>
      <c r="LF56" s="235">
        <f>各项系数!$F$76/4*($NH56^2-$NE56^2)*10^-2*(VLOOKUP(AN56,各项系数!$D$1:$F$143,3,0))*10^-3*10^2*各项系数!$J$4</f>
        <v>0.23381337174730421</v>
      </c>
      <c r="LG56" s="102">
        <v>1</v>
      </c>
      <c r="LH56" s="189">
        <f t="shared" si="302"/>
        <v>0.23381337174730421</v>
      </c>
      <c r="LI56" s="189">
        <f>LH56*(VLOOKUP(AN56,各项系数!$D$1:$F$143,2,0))</f>
        <v>2.3381337174730419</v>
      </c>
      <c r="LJ56" s="235">
        <f>各项系数!$F$76/4*($NI56^2-$NF56^2)*10^-2*(VLOOKUP(AN56,各项系数!$D$1:$F$143,3,0))*10^-3*10^2*各项系数!$J$4</f>
        <v>0.23513674628979883</v>
      </c>
      <c r="LK56" s="102">
        <v>1</v>
      </c>
      <c r="LL56" s="189">
        <f t="shared" si="303"/>
        <v>0.23513674628979883</v>
      </c>
      <c r="LM56" s="189">
        <f>LL56*(VLOOKUP(AN56,各项系数!$D$1:$F$143,2,0))</f>
        <v>2.3513674628979881</v>
      </c>
      <c r="LN56" s="189">
        <f>各项系数!$F$76/4*($NH56^2-$NE56^2)*10^-2*(VLOOKUP($LN$9,各项系数!$D$1:$F$143,3,0))*10^-3*10^2*各项系数!$J$4</f>
        <v>0.23381337174730421</v>
      </c>
      <c r="LO56" s="353">
        <v>1</v>
      </c>
      <c r="LP56" s="189">
        <f t="shared" si="304"/>
        <v>0.23381337174730421</v>
      </c>
      <c r="LQ56" s="189">
        <f>LP56*(VLOOKUP($LN$9,各项系数!$D$1:$F$143,2,0))</f>
        <v>2.5719470892203464</v>
      </c>
      <c r="LR56" s="189">
        <f>各项系数!$F$76/4*($NI56^2-$NF56^2)*10^-2*(VLOOKUP($LR$9,各项系数!$D$1:$F$143,3,0))*10^-3*10^2*各项系数!$J$4</f>
        <v>0.23513674628979883</v>
      </c>
      <c r="LS56" s="353">
        <v>1</v>
      </c>
      <c r="LT56" s="189">
        <f t="shared" si="305"/>
        <v>0.23513674628979883</v>
      </c>
      <c r="LU56" s="189">
        <f>LT56*(VLOOKUP($LR$9,各项系数!$D$1:$F$143,2,0))</f>
        <v>2.5865042091877872</v>
      </c>
      <c r="LV56" s="227">
        <f t="shared" si="154"/>
        <v>214.57314108</v>
      </c>
      <c r="LW56" s="227">
        <f t="shared" si="155"/>
        <v>134.10821318000001</v>
      </c>
      <c r="LX56" s="227">
        <f t="shared" si="156"/>
        <v>13.067206292645317</v>
      </c>
      <c r="LY56" s="227">
        <f t="shared" si="157"/>
        <v>80.464927899999992</v>
      </c>
      <c r="LZ56" s="374">
        <f t="shared" si="86"/>
        <v>1</v>
      </c>
      <c r="MA56" s="375">
        <f t="shared" si="87"/>
        <v>214.57314108</v>
      </c>
      <c r="MB56" s="375">
        <f t="shared" si="158"/>
        <v>9.5429382</v>
      </c>
      <c r="MC56" s="227">
        <f t="shared" si="159"/>
        <v>0</v>
      </c>
      <c r="MD56" s="227">
        <f t="shared" si="160"/>
        <v>0</v>
      </c>
      <c r="ME56" s="227">
        <f t="shared" si="161"/>
        <v>0</v>
      </c>
      <c r="MF56" s="227">
        <f t="shared" si="162"/>
        <v>0</v>
      </c>
      <c r="MG56" s="374">
        <f t="shared" si="163"/>
        <v>1</v>
      </c>
      <c r="MH56" s="375">
        <f t="shared" si="88"/>
        <v>0</v>
      </c>
      <c r="MI56" s="375">
        <f t="shared" si="164"/>
        <v>0</v>
      </c>
      <c r="MJ56" s="189">
        <f t="shared" si="89"/>
        <v>9.5429382</v>
      </c>
      <c r="MK56" s="189">
        <f t="shared" si="165"/>
        <v>9.5429382</v>
      </c>
      <c r="ML56" s="189">
        <f t="shared" si="306"/>
        <v>0</v>
      </c>
      <c r="MM56" s="189">
        <f t="shared" si="91"/>
        <v>0</v>
      </c>
      <c r="MN56" s="189">
        <f t="shared" si="92"/>
        <v>11.5429382</v>
      </c>
      <c r="MO56" s="189">
        <f t="shared" si="166"/>
        <v>0</v>
      </c>
      <c r="MP56" s="189">
        <f t="shared" si="167"/>
        <v>24.932746510000001</v>
      </c>
      <c r="MQ56" s="189">
        <f t="shared" si="307"/>
        <v>24.932746510000001</v>
      </c>
      <c r="MR56" s="246">
        <f t="shared" si="168"/>
        <v>24.932746510000001</v>
      </c>
      <c r="MS56" s="380">
        <f t="shared" si="94"/>
        <v>25.10874651</v>
      </c>
      <c r="MT56" s="380">
        <f t="shared" si="95"/>
        <v>25.26874651</v>
      </c>
      <c r="MU56" s="380">
        <f t="shared" si="232"/>
        <v>25.708746510000001</v>
      </c>
      <c r="MV56" s="380">
        <f t="shared" si="97"/>
        <v>28.708746510000001</v>
      </c>
      <c r="MW56" s="380">
        <f t="shared" si="98"/>
        <v>28.868746510000001</v>
      </c>
      <c r="MX56" s="254">
        <f t="shared" si="233"/>
        <v>10.1429382</v>
      </c>
      <c r="MY56" s="254">
        <f t="shared" si="100"/>
        <v>0</v>
      </c>
      <c r="MZ56" s="189">
        <f t="shared" si="101"/>
        <v>12.1429382</v>
      </c>
      <c r="NA56" s="189">
        <f t="shared" si="102"/>
        <v>0</v>
      </c>
      <c r="NB56" s="189">
        <f t="shared" si="169"/>
        <v>26.228746510000001</v>
      </c>
      <c r="NC56" s="254">
        <f t="shared" si="308"/>
        <v>26.228746510000001</v>
      </c>
      <c r="ND56" s="246">
        <f t="shared" si="234"/>
        <v>26.228746510000001</v>
      </c>
      <c r="NE56" s="386">
        <f t="shared" si="235"/>
        <v>26.468746509999999</v>
      </c>
      <c r="NF56" s="380">
        <f t="shared" si="106"/>
        <v>26.628746509999999</v>
      </c>
      <c r="NG56" s="387">
        <f t="shared" si="236"/>
        <v>27.06874651</v>
      </c>
      <c r="NH56" s="254">
        <f t="shared" si="108"/>
        <v>30.06874651</v>
      </c>
      <c r="NI56" s="380">
        <f t="shared" si="109"/>
        <v>30.228746510000001</v>
      </c>
      <c r="NK56" s="388">
        <f t="shared" si="110"/>
        <v>1.7455553809630107</v>
      </c>
      <c r="NL56" s="388">
        <f t="shared" si="111"/>
        <v>82.601971755958317</v>
      </c>
      <c r="NM56" s="388">
        <f t="shared" si="112"/>
        <v>1.7455553809630107</v>
      </c>
      <c r="NN56" s="388">
        <f t="shared" si="113"/>
        <v>82.824536444094406</v>
      </c>
      <c r="NO56" s="388">
        <f t="shared" si="114"/>
        <v>2.5521932805702523</v>
      </c>
      <c r="NP56" s="388">
        <f t="shared" si="115"/>
        <v>84.314620755473342</v>
      </c>
      <c r="NQ56" s="388">
        <f t="shared" si="116"/>
        <v>2.5521932805702523</v>
      </c>
      <c r="NR56" s="388">
        <f t="shared" si="117"/>
        <v>84.548434127220631</v>
      </c>
      <c r="NS56" s="388">
        <f t="shared" si="118"/>
        <v>1.7807398600512996</v>
      </c>
      <c r="NT56" s="388">
        <f t="shared" si="119"/>
        <v>1.7807398600512996</v>
      </c>
      <c r="NU56" s="388">
        <f t="shared" si="120"/>
        <v>2.5892774529021518</v>
      </c>
      <c r="NV56" s="388">
        <f t="shared" si="121"/>
        <v>2.5892774529021518</v>
      </c>
      <c r="NW56">
        <f t="shared" si="122"/>
        <v>1.9318859892484599</v>
      </c>
      <c r="NX56">
        <f>各项系数!$M$9*NK56</f>
        <v>0.52366661428890315</v>
      </c>
      <c r="NY56">
        <f t="shared" si="123"/>
        <v>1.7807398600512994</v>
      </c>
    </row>
    <row r="57" spans="1:389" ht="15" hidden="1" customHeight="1">
      <c r="A57" s="74">
        <v>27</v>
      </c>
      <c r="B57" s="70">
        <v>1</v>
      </c>
      <c r="C57" s="67"/>
      <c r="D57" s="53" t="s">
        <v>200</v>
      </c>
      <c r="E57" s="61">
        <f t="shared" si="255"/>
        <v>32.008144819999998</v>
      </c>
      <c r="F57" s="68">
        <f>$F$25</f>
        <v>242.29596858910099</v>
      </c>
      <c r="G57" s="58"/>
      <c r="H57" s="16"/>
      <c r="I57" s="62"/>
      <c r="J57" s="16"/>
      <c r="K57" s="16"/>
      <c r="L57" s="97" t="s">
        <v>467</v>
      </c>
      <c r="M57" s="103">
        <f t="shared" si="2"/>
        <v>1.1000000000000001</v>
      </c>
      <c r="N57" s="103">
        <f t="shared" si="252"/>
        <v>0</v>
      </c>
      <c r="O57" s="53">
        <f t="shared" si="265"/>
        <v>0.08</v>
      </c>
      <c r="P57" s="99">
        <v>0.1</v>
      </c>
      <c r="Q57" s="133">
        <f t="shared" si="309"/>
        <v>0.1</v>
      </c>
      <c r="R57" s="70">
        <v>0.8</v>
      </c>
      <c r="S57" s="142" t="str">
        <f>各项系数!$D$43</f>
        <v>钢带</v>
      </c>
      <c r="T57" s="102">
        <v>0.5</v>
      </c>
      <c r="U57" s="102">
        <v>2</v>
      </c>
      <c r="V57" s="140"/>
      <c r="W57" s="141">
        <v>2</v>
      </c>
      <c r="X57" s="135">
        <f t="shared" si="310"/>
        <v>0.2</v>
      </c>
      <c r="Y57" s="135"/>
      <c r="Z57" s="168"/>
      <c r="AA57" s="153">
        <f>$AA$25</f>
        <v>1.0129999999999999</v>
      </c>
      <c r="AB57" s="153">
        <f>PI()*EJ57*EJ57/4*EH57*(1-H57)*AA57*各项系数!$F$5*各项系数!$J$4*10^-7</f>
        <v>0.57842170409620475</v>
      </c>
      <c r="AC57" s="153">
        <f t="shared" si="256"/>
        <v>242.29596858910099</v>
      </c>
      <c r="AD57" s="153">
        <f t="shared" si="5"/>
        <v>65.39126499722515</v>
      </c>
      <c r="AE57" s="153">
        <f>POWER(4*EU57/PI()/EG57/10^-7/EH57/(1-H57)/各项系数!$F$5/各项系数!$J$4,0.5)</f>
        <v>243.86580688497418</v>
      </c>
      <c r="AF57" s="69">
        <v>1</v>
      </c>
      <c r="AG57" s="69">
        <f>IF(EM57=0,0,PI()*ER57*ER57/4*EP57*(1-K57)*(1+AF57)*各项系数!$F$5*各项系数!$J$4*10^-7)</f>
        <v>0</v>
      </c>
      <c r="AH57" s="69">
        <f t="shared" si="257"/>
        <v>0</v>
      </c>
      <c r="AI57" s="69">
        <f t="shared" si="128"/>
        <v>0</v>
      </c>
      <c r="AJ57" s="69">
        <f>IF(OR(EP57="",EP57=0),0,POWER(4*EW57/PI()/EO57/10^-7/EP57/(1-K57)/各项系数!$F$5/各项系数!$J$4,0.5))</f>
        <v>0</v>
      </c>
      <c r="AK57" s="69" t="str">
        <f t="shared" si="8"/>
        <v>√</v>
      </c>
      <c r="AL57" s="69">
        <f t="shared" si="258"/>
        <v>122.44367171025445</v>
      </c>
      <c r="AM57" s="188">
        <f t="shared" si="259"/>
        <v>70</v>
      </c>
      <c r="AN57" s="97" t="s">
        <v>486</v>
      </c>
      <c r="AO57" s="196">
        <f>AP57+各项系数!$M$9*$NK57</f>
        <v>120.04281540221024</v>
      </c>
      <c r="AP57" s="196">
        <f>AQ57*(1+$BI57+(VLOOKUP($AM57,$A$12:$B$323,2,0))+各项系数!$J$6+各项系数!$M$5)*(1+$E$2)</f>
        <v>119.31930479658922</v>
      </c>
      <c r="AQ57" s="197">
        <f>AR57+各项系数!$L$9*$NK57</f>
        <v>121.75439264958084</v>
      </c>
      <c r="AR57" s="197">
        <f>AS57*(1+$BJ57+各项系数!$J$5+各项系数!$L$5)</f>
        <v>121.03088204395982</v>
      </c>
      <c r="AS57" s="197">
        <f t="shared" si="129"/>
        <v>118.65772749407826</v>
      </c>
      <c r="AT57" s="196">
        <f>AU57+各项系数!$M$9*$NM57</f>
        <v>121.90872854779464</v>
      </c>
      <c r="AU57" s="196">
        <f>AV57*(1+$BI57+(VLOOKUP($AM57,$A$12:$B$323,2,0))+各项系数!$J$6+各项系数!$M$5)*(1+$E$2)</f>
        <v>121.18521794217362</v>
      </c>
      <c r="AV57" s="197">
        <f>AW57+各项系数!$L$9*$NM57</f>
        <v>123.6583856552792</v>
      </c>
      <c r="AW57" s="197">
        <f>AX57*(1+$BJ57+各项系数!$J$5+各项系数!$L$5)</f>
        <v>122.93487504965819</v>
      </c>
      <c r="AX57" s="197">
        <f t="shared" si="130"/>
        <v>120.52438730358645</v>
      </c>
      <c r="AY57" s="196">
        <f>AZ57+各项系数!$M$9*$NS57</f>
        <v>122.7280853376266</v>
      </c>
      <c r="AZ57" s="196">
        <f>BA57*(1+$BI57+(VLOOKUP($AM57,$A$12:$B$214,2,0))+各项系数!$J$6+各项系数!$M$5)*(1+$E$2)</f>
        <v>121.99280439547468</v>
      </c>
      <c r="BA57" s="197">
        <f>BB57+各项系数!$L$9*$NS57</f>
        <v>124.48245346477009</v>
      </c>
      <c r="BB57" s="197">
        <f>BC57*(1+$BJ57+各项系数!$J$5+各项系数!$L$5)</f>
        <v>123.74717252261817</v>
      </c>
      <c r="BC57" s="199">
        <f t="shared" si="131"/>
        <v>121.32075737511585</v>
      </c>
      <c r="BD57" s="196">
        <f>BE57+各项系数!$M$9*$NS57</f>
        <v>124.60394731893822</v>
      </c>
      <c r="BE57" s="196">
        <f>BF57*(1+$BI57+(VLOOKUP($AM57,$A$12:$B$214,2,0))+各项系数!$J$6+各项系数!$M$5)*(1+$E$2)</f>
        <v>123.86866637678631</v>
      </c>
      <c r="BF57" s="197">
        <f>BG57+各项系数!$L$9*$NS57</f>
        <v>126.39659834365951</v>
      </c>
      <c r="BG57" s="197">
        <f>BH57*(1+$BJ57+各项系数!$J$5+各项系数!$L$5)</f>
        <v>125.66131740150759</v>
      </c>
      <c r="BH57" s="199">
        <f t="shared" si="132"/>
        <v>123.19737000147802</v>
      </c>
      <c r="BI57" s="213"/>
      <c r="BJ57" s="208"/>
      <c r="BK57" s="53" t="s">
        <v>514</v>
      </c>
      <c r="BL57" s="196">
        <f>BM57+各项系数!$M$9*$NM57</f>
        <v>121.48403132514214</v>
      </c>
      <c r="BM57" s="196">
        <f>BN57*(1+$CF57+(VLOOKUP($AM57,$A$12:$B$323,2,0))+各项系数!$J$6+各项系数!$M$5)*(1+$E$2)</f>
        <v>120.76052071952112</v>
      </c>
      <c r="BN57" s="197">
        <f>BO57+各项系数!$L$9*$NM57</f>
        <v>123.22502114236849</v>
      </c>
      <c r="BO57" s="197">
        <f>BP57*(1+$CG57+各项系数!$J$5+各项系数!$L$5)</f>
        <v>122.50151053674747</v>
      </c>
      <c r="BP57" s="197">
        <f t="shared" si="133"/>
        <v>118.93350537548298</v>
      </c>
      <c r="BQ57" s="196">
        <f>BR57+各项系数!$M$9*$NM57</f>
        <v>123.08986754336978</v>
      </c>
      <c r="BR57" s="196">
        <f>BS57*(1+$CF57+(VLOOKUP($AM57,$A$12:$B$323,2,0))+各项系数!$J$6+各项系数!$M$5)*(1+$E$2)</f>
        <v>122.36635693774876</v>
      </c>
      <c r="BS57" s="197">
        <f>BT57+各项系数!$L$9*$NM57</f>
        <v>124.86362952831506</v>
      </c>
      <c r="BT57" s="197">
        <f>BU57*(1+$CG57+各项系数!$J$5+各项系数!$L$5)</f>
        <v>124.14011892269404</v>
      </c>
      <c r="BU57" s="197">
        <f t="shared" si="134"/>
        <v>120.52438730358645</v>
      </c>
      <c r="BV57" s="196">
        <f>BW57+各项系数!$M$9*$NT57</f>
        <v>123.48440600324588</v>
      </c>
      <c r="BW57" s="196">
        <f>BX57*(1+$CF57+(VLOOKUP($AM57,$A$12:$B$214,2,0))+各项系数!$J$6+各项系数!$M$5)*(1+$E$2)</f>
        <v>122.74912506109396</v>
      </c>
      <c r="BX57" s="197">
        <f>BY57+各项系数!$L$9*$NT$12</f>
        <v>125.25420924601426</v>
      </c>
      <c r="BY57" s="197">
        <f>BZ57*(1+$CG57+各项系数!$J$5+各项系数!$L$5)</f>
        <v>125.24594584285929</v>
      </c>
      <c r="BZ57" s="199">
        <f t="shared" si="11"/>
        <v>121.59800567267891</v>
      </c>
      <c r="CA57" s="196">
        <f>CB57+各项系数!$M$9*$NT57</f>
        <v>125.0988043567357</v>
      </c>
      <c r="CB57" s="196">
        <f>CC57*(1+$CF57+(VLOOKUP($AM57,$A$12:$B$214,2,0))+各项系数!$J$6+各项系数!$M$5)*(1+$E$2)</f>
        <v>124.36352341458378</v>
      </c>
      <c r="CC57" s="197">
        <f>CD57+各项系数!$L$9*$NT$12</f>
        <v>126.90155450467734</v>
      </c>
      <c r="CD57" s="197">
        <f>CE57*(1+$CG57+各项系数!$J$5+各项系数!$L$5)</f>
        <v>126.89329110152237</v>
      </c>
      <c r="CE57" s="199">
        <f t="shared" si="135"/>
        <v>123.19737000147802</v>
      </c>
      <c r="CF57" s="213">
        <f t="shared" si="136"/>
        <v>0</v>
      </c>
      <c r="CG57" s="213">
        <f t="shared" si="12"/>
        <v>0.01</v>
      </c>
      <c r="CH57" s="102"/>
      <c r="CI57" s="196">
        <f>CJ57+各项系数!$M$9*$NO57</f>
        <v>123.31427287711173</v>
      </c>
      <c r="CJ57" s="196">
        <f>CK57*(1+$DC57+(VLOOKUP($AM57,$A$12:$B$323,2,0))+各项系数!$J$6+各项系数!$M$5)*(1+$E$2)+各项系数!$M$9*$NK57</f>
        <v>122.29510245964941</v>
      </c>
      <c r="CK57" s="197">
        <f>CL57+各项系数!$L$9*$NO57</f>
        <v>124.05264474900858</v>
      </c>
      <c r="CL57" s="197">
        <f>CM57*(1+$DD57+各项系数!$J$5+各项系数!$L$5)</f>
        <v>123.03347433154626</v>
      </c>
      <c r="CM57" s="197">
        <f t="shared" si="13"/>
        <v>120.62105326622182</v>
      </c>
      <c r="CN57" s="196">
        <f>CO57+各项系数!$M$9*$NO57</f>
        <v>125.05525064338768</v>
      </c>
      <c r="CO57" s="196">
        <f>CP57*(1+$DC57+(VLOOKUP($AM57,$A$12:$B$323,2,0))+各项系数!$J$6+各项系数!$M$5)*(1+$E$2)+各项系数!$M$9*$NK57</f>
        <v>124.03608022592536</v>
      </c>
      <c r="CP57" s="197">
        <f>CQ57+各项系数!$L$9*$NO57</f>
        <v>125.82915267377994</v>
      </c>
      <c r="CQ57" s="197">
        <f>CR57*(1+$DD57+各项系数!$J$5+各项系数!$L$5)</f>
        <v>124.80998225631762</v>
      </c>
      <c r="CR57" s="197">
        <f t="shared" si="14"/>
        <v>122.36272770227218</v>
      </c>
      <c r="CS57" s="196">
        <f>CT57+各项系数!$M$9*$NU57</f>
        <v>125.40533862691994</v>
      </c>
      <c r="CT57" s="196">
        <f t="shared" si="15"/>
        <v>124.37382796495363</v>
      </c>
      <c r="CU57" s="197">
        <f>CV57+各项系数!$L$9*$NU57</f>
        <v>126.91206935199351</v>
      </c>
      <c r="CV57" s="197">
        <f>CW57*(1+$DD57+各项系数!$J$5+各项系数!$L$5)</f>
        <v>125.8805586900272</v>
      </c>
      <c r="CW57" s="199">
        <f t="shared" si="16"/>
        <v>123.41231244120314</v>
      </c>
      <c r="CX57" s="196">
        <f>CY57+各项系数!$M$9*$NU57</f>
        <v>127.36576571191314</v>
      </c>
      <c r="CY57" s="196">
        <f t="shared" si="17"/>
        <v>126.33425504994683</v>
      </c>
      <c r="CZ57" s="197">
        <f>DA57+各项系数!$L$9*$NU57</f>
        <v>128.91250515300698</v>
      </c>
      <c r="DA57" s="197">
        <f>DB57*(1+$DD57+各项系数!$J$5+各项系数!$L$5)</f>
        <v>127.88099449104067</v>
      </c>
      <c r="DB57" s="199">
        <f t="shared" si="18"/>
        <v>125.37352401082418</v>
      </c>
      <c r="DC57" s="213">
        <f t="shared" si="137"/>
        <v>0</v>
      </c>
      <c r="DD57" s="213">
        <f t="shared" si="19"/>
        <v>0</v>
      </c>
      <c r="DE57" s="53" t="s">
        <v>498</v>
      </c>
      <c r="DF57" s="53" t="s">
        <v>513</v>
      </c>
      <c r="DG57" s="196">
        <f>DH57+各项系数!$M$9*$NQ57</f>
        <v>124.78734541620749</v>
      </c>
      <c r="DH57" s="196">
        <f>DI57*(1+$EA57+(VLOOKUP($AM57,$A$12:$B$323,2,0))+各项系数!$J$6+各项系数!$M$5)*(1+$E$2)+各项系数!$M$9*$NK57</f>
        <v>123.76817499874517</v>
      </c>
      <c r="DI57" s="197">
        <f>DJ57+各项系数!$L$9*$NQ57</f>
        <v>125.55577999298383</v>
      </c>
      <c r="DJ57" s="197">
        <f>DK57*(1+$EB57+各项系数!$J$5+各项系数!$L$5)</f>
        <v>124.53660957552151</v>
      </c>
      <c r="DK57" s="197">
        <f t="shared" si="20"/>
        <v>120.90932968497233</v>
      </c>
      <c r="DL57" s="196">
        <f>DM57+各项系数!$M$9*$NQ57</f>
        <v>126.46595978416379</v>
      </c>
      <c r="DM57" s="196">
        <f>DN57*(1+$EA57+(VLOOKUP($AM57,$A$12:$B$323,2,0))+各项系数!$J$6+各项系数!$M$5)*(1+$E$2)+各项系数!$M$9*$NK57</f>
        <v>125.44678936670147</v>
      </c>
      <c r="DN57" s="197">
        <f>DO57+各项系数!$L$9*$NQ57</f>
        <v>127.26865179702087</v>
      </c>
      <c r="DO57" s="197">
        <f>DP57*(1+$EB57+各项系数!$J$5+各项系数!$L$5)</f>
        <v>126.24948137955855</v>
      </c>
      <c r="DP57" s="197">
        <f t="shared" si="21"/>
        <v>122.57231201898888</v>
      </c>
      <c r="DQ57" s="196">
        <f>DR57+各项系数!$M$9*$NV57</f>
        <v>126.90724974400071</v>
      </c>
      <c r="DR57" s="196">
        <f t="shared" si="22"/>
        <v>125.8757390820344</v>
      </c>
      <c r="DS57" s="197">
        <f>DT57+各项系数!$L$9*$NV57</f>
        <v>128.44463171636164</v>
      </c>
      <c r="DT57" s="197">
        <f>DU57*(1+$EB57+各项系数!$J$5+各项系数!$L$5)</f>
        <v>127.41312105439535</v>
      </c>
      <c r="DU57" s="199">
        <f t="shared" si="23"/>
        <v>123.70205927611198</v>
      </c>
      <c r="DV57" s="196">
        <f>DW57+各项系数!$M$9*$NV57</f>
        <v>127.14749496450833</v>
      </c>
      <c r="DW57" s="196">
        <f t="shared" si="24"/>
        <v>126.11598430254202</v>
      </c>
      <c r="DX57" s="197">
        <f>DY57+各项系数!$L$9*$NV57</f>
        <v>128.68977990055308</v>
      </c>
      <c r="DY57" s="197">
        <f>DZ57*(1+$EB57+各项系数!$J$5+各项系数!$L$5)</f>
        <v>127.65826923858677</v>
      </c>
      <c r="DZ57" s="199">
        <f t="shared" si="25"/>
        <v>123.9400672219289</v>
      </c>
      <c r="EA57" s="213">
        <f t="shared" si="311"/>
        <v>0</v>
      </c>
      <c r="EB57" s="213">
        <f t="shared" si="27"/>
        <v>0.01</v>
      </c>
      <c r="EC57" s="235">
        <f t="shared" si="138"/>
        <v>3</v>
      </c>
      <c r="ED57" s="235" t="str">
        <f t="shared" si="266"/>
        <v>3*70</v>
      </c>
      <c r="EE57" s="189">
        <f t="shared" si="239"/>
        <v>70</v>
      </c>
      <c r="EF57" s="189" t="str">
        <f>LOOKUP(EH57,{1,7,10,14,19,24,30,37,48,61},{1,"1+6","2+8","4+10","1+6+12","2+8+14","4+10+16","1+6+12+18","3+9+15+21","1+6+12+18+24"})</f>
        <v>4+10</v>
      </c>
      <c r="EG57" s="188">
        <f t="shared" si="29"/>
        <v>3</v>
      </c>
      <c r="EH57" s="197">
        <f>VLOOKUP(EE57,各项系数!$B$87:$C$124,2,0)</f>
        <v>14</v>
      </c>
      <c r="EI57" s="188">
        <f>IF(EH57=0,0,VLOOKUP(EH57,各项系数!$D$142:$E$195,2,0))*1</f>
        <v>4.41</v>
      </c>
      <c r="EJ57" s="238">
        <f t="shared" si="141"/>
        <v>242.29596858910099</v>
      </c>
      <c r="EK57" s="189">
        <f t="shared" si="261"/>
        <v>0</v>
      </c>
      <c r="EL57" s="189">
        <f t="shared" si="31"/>
        <v>0</v>
      </c>
      <c r="EM57" s="189">
        <f t="shared" si="267"/>
        <v>0</v>
      </c>
      <c r="EN57" s="189">
        <f>IF(EP57=0,0,LOOKUP(EP57,{1,7,10,14,19,24,30,37,48,61},{1,"1+6","2+8","4+10","1+6+12","2+8+14","4+10+16","1+6+12+18","3+9+15+21","1+6+12+18+24"}))</f>
        <v>0</v>
      </c>
      <c r="EO57" s="189">
        <f t="shared" si="263"/>
        <v>0</v>
      </c>
      <c r="EP57" s="189">
        <f>IF(EM57=0,0,IF(EM57&lt;10,1,IF(AND(EM57&gt;=10,EM57&lt;=35),7,LOOKUP(EM57,{50,70,95,120,150,185,240,300},{10,14,19,24,30,37,48,61})*1)))</f>
        <v>0</v>
      </c>
      <c r="EQ57" s="189">
        <f>IF(EP57=0,0,VLOOKUP(EP57,各项系数!$D$142:$E$195,2,0))*1</f>
        <v>0</v>
      </c>
      <c r="ER57" s="189">
        <f t="shared" si="264"/>
        <v>0</v>
      </c>
      <c r="ES57" s="235">
        <f t="shared" si="250"/>
        <v>3</v>
      </c>
      <c r="ET57" s="189">
        <f>VLOOKUP(ES57,各项系数!$D$142:$E$195,2,0)*1</f>
        <v>2.16</v>
      </c>
      <c r="EU57" s="243">
        <f>((各项系数!$F$76/4*$EJ57^2*$EG57*$EH57*1*10^-7)*(1-$H57)*AA57)*(VLOOKUP($EY$9,各项系数!$D$4:$F$143,3,0))*各项系数!$J$4</f>
        <v>1.7352651122886145</v>
      </c>
      <c r="EV57" s="244">
        <f>EU57*(VLOOKUP($EY$9,各项系数!$D$4:$F$143,2,0))</f>
        <v>113.65986485490424</v>
      </c>
      <c r="EW57" s="252">
        <f>(IF($EO57=0,0,(各项系数!$F$76/4*$ER57^2*$EO57*$EP57*1*10^-7))*(1-$K57)*$AF57)*(VLOOKUP($EY$9,各项系数!$D$4:$F$143,3,0))*各项系数!$J$4</f>
        <v>0</v>
      </c>
      <c r="EX57" s="253">
        <f>EW57*(VLOOKUP($EY$9,各项系数!$D$4:$F$143,2,0))</f>
        <v>0</v>
      </c>
      <c r="EY57" s="189">
        <f>((各项系数!$F$76/4*$EJ57^2*$EG57*$EH57*1*10^-7)*(1-$H57)*AA57+IF($EO57=0,0,(各项系数!$F$76/4*$ER57^2*$EO57*$EP57*1*10^-7))*(1-$K57)*$AF57)*(VLOOKUP($EY$9,各项系数!$D$4:$F$143,3,0))*各项系数!$J$4</f>
        <v>1.7352651122886145</v>
      </c>
      <c r="EZ57" s="102">
        <v>1</v>
      </c>
      <c r="FA57" s="189">
        <f t="shared" si="268"/>
        <v>1.7352651122886145</v>
      </c>
      <c r="FB57" s="254">
        <f>FA57*(VLOOKUP($EY$9,各项系数!$D$4:$F$143,2,0))</f>
        <v>113.65986485490424</v>
      </c>
      <c r="FC57" s="255"/>
      <c r="FD57" s="235">
        <f>各项系数!$F$76/4*($MN57^2-MK57^2)*10^-2*(VLOOKUP(L57,各项系数!$D$1:$F$143,3,0))*10^-3*10^2*$EG57*各项系数!$J$4</f>
        <v>0.13372680244793828</v>
      </c>
      <c r="FE57" s="262">
        <f>FD57*VLOOKUP(L57,各项系数!$D$1:$F$143,2,0)</f>
        <v>1.3640133849689704</v>
      </c>
      <c r="FF57" s="188">
        <f>各项系数!$F$76/4*($MO57^2-ML57^2)*10^-2*(VLOOKUP(L57,各项系数!$D$1:$F$143,3,0))*10^-3*10^2*$EO57*各项系数!$J$4</f>
        <v>0</v>
      </c>
      <c r="FG57" s="262">
        <f>FF57*VLOOKUP(L57,各项系数!$D$1:$F$143,2,0)</f>
        <v>0</v>
      </c>
      <c r="FH57" s="235">
        <f t="shared" si="142"/>
        <v>0.13372680244793828</v>
      </c>
      <c r="FI57" s="102">
        <v>1</v>
      </c>
      <c r="FJ57" s="189">
        <f t="shared" si="269"/>
        <v>0.13372680244793828</v>
      </c>
      <c r="FK57" s="262">
        <f>FJ57*VLOOKUP(L57,各项系数!$D$1:$F$143,2,0)</f>
        <v>1.3640133849689704</v>
      </c>
      <c r="FL57" s="235"/>
      <c r="FM57" s="102"/>
      <c r="FN57" s="189"/>
      <c r="FO57" s="262"/>
      <c r="FP57" s="282">
        <f t="shared" si="270"/>
        <v>0.13372680244793828</v>
      </c>
      <c r="FQ57" s="282">
        <f t="shared" si="271"/>
        <v>1.3640133849689704</v>
      </c>
      <c r="FR57" s="283">
        <f>各项系数!$F$76/4*($MQ57^2-$MN57^2*$EG57-$MO57^2*$EO57)*10^-2</f>
        <v>2.171933092502353</v>
      </c>
      <c r="FS57" s="284">
        <f t="shared" si="143"/>
        <v>1</v>
      </c>
      <c r="FT57" s="285">
        <f t="shared" si="40"/>
        <v>2.171933092502353</v>
      </c>
      <c r="FU57" s="302">
        <f>$FT57*(VLOOKUP($FT$9,各项系数!$D$1:$F$143,3,0))*10^-3*10^2*各项系数!$J$55</f>
        <v>0.25932881124478091</v>
      </c>
      <c r="FV57" s="303">
        <v>1</v>
      </c>
      <c r="FW57" s="304">
        <f t="shared" si="272"/>
        <v>0.25932881124478091</v>
      </c>
      <c r="FX57" s="285">
        <f>FW57*(VLOOKUP($FT$9,各项系数!$D$1:$F$143,2,0))</f>
        <v>0.77798643373434273</v>
      </c>
      <c r="FY57" s="302">
        <f>IF($BK57&lt;&gt;$FY$9,0,各项系数!$F$76/4*($MS57^2-$MQ57^2)*10^-2*(VLOOKUP($FY$9,各项系数!$D$1:$F$143,3,0))*10^-3*10^2)*各项系数!$J$4</f>
        <v>0</v>
      </c>
      <c r="FZ57" s="303">
        <v>1</v>
      </c>
      <c r="GA57" s="304">
        <f t="shared" si="273"/>
        <v>0</v>
      </c>
      <c r="GB57" s="285">
        <f>GA57*(VLOOKUP($FY$9,各项系数!$D$1:$F$143,2,0))</f>
        <v>0</v>
      </c>
      <c r="GC57" s="302">
        <f>IF($BK57&lt;&gt;$GC$9,0,各项系数!$F$76/4*($MS57^2-$MQ57^2)*10^-2*(VLOOKUP($GC$9,各项系数!$D$1:$F$143,3,0))*10^-3*10^2)*各项系数!$J$4</f>
        <v>7.6034113506526224E-3</v>
      </c>
      <c r="GD57" s="303">
        <v>1</v>
      </c>
      <c r="GE57" s="304">
        <f t="shared" si="274"/>
        <v>7.6034113506526224E-3</v>
      </c>
      <c r="GF57" s="285">
        <f>GE57*(VLOOKUP($GC$9,各项系数!$D$1:$F$143,2,0))</f>
        <v>9.8084006423418829E-2</v>
      </c>
      <c r="GG57" s="302">
        <f>IF($BK57&lt;&gt;$GG$9,0,各项系数!$F$76/4*($MS57^2-$MQ57^2)*10^-2*(VLOOKUP($GG$9,各项系数!$D$1:$F$143,3,0))*10^-3*10^2)*各项系数!$J$4</f>
        <v>0</v>
      </c>
      <c r="GH57" s="303">
        <v>1</v>
      </c>
      <c r="GI57" s="304">
        <f t="shared" si="275"/>
        <v>0</v>
      </c>
      <c r="GJ57" s="285">
        <f>GI57*(VLOOKUP($GG$9,各项系数!$D$1:$F$143,2,0))</f>
        <v>0</v>
      </c>
      <c r="GK57" s="302">
        <f>IF($BK57&lt;&gt;$GK$9,0,各项系数!$F$76/4*($MS57^2-$MQ57^2)*10^-2*(VLOOKUP($GK$9,各项系数!$D$1:$F$143,3,0))*10^-3*10^2)*各项系数!$J$4</f>
        <v>0</v>
      </c>
      <c r="GL57" s="303">
        <v>1</v>
      </c>
      <c r="GM57" s="304">
        <f t="shared" si="276"/>
        <v>0</v>
      </c>
      <c r="GN57" s="285">
        <f>GM57*(VLOOKUP($GK$9,各项系数!$D$1:$F$143,2,0))</f>
        <v>0</v>
      </c>
      <c r="GO57" s="304">
        <f t="shared" si="277"/>
        <v>7.6034113506526224E-3</v>
      </c>
      <c r="GP57" s="304">
        <f t="shared" si="278"/>
        <v>9.8084006423418829E-2</v>
      </c>
      <c r="GQ57" s="315">
        <f>各项系数!$F$76/4*($MU57^2-$MS57^2)*10^-2*(VLOOKUP($S57,各项系数!$D$1:$F$143,3,0))*10^-3*10^2*各项系数!$J$4</f>
        <v>0.52723209066636811</v>
      </c>
      <c r="GR57" s="303">
        <v>1</v>
      </c>
      <c r="GS57" s="304">
        <f t="shared" si="279"/>
        <v>0.52723209066636811</v>
      </c>
      <c r="GT57" s="304">
        <f t="shared" si="200"/>
        <v>0</v>
      </c>
      <c r="GU57" s="304">
        <f>ROUND($GS57*(VLOOKUP($S57,各项系数!$D$1:$F$143,2,0))+$E$3*GS57,GT57)</f>
        <v>3</v>
      </c>
      <c r="GV57" s="315">
        <f>各项系数!$F$76/4*($MT57^2-$MS57^2)*10^-2*(VLOOKUP($GV$9,各项系数!$D$1:$F$143,3,0))*10^-3*10^2*各项系数!$J$4*PI()/4*R57</f>
        <v>3.9234455103026949E-2</v>
      </c>
      <c r="GW57" s="303">
        <v>1</v>
      </c>
      <c r="GX57" s="304">
        <f t="shared" si="280"/>
        <v>3.9234455103026949E-2</v>
      </c>
      <c r="GY57" s="304">
        <f>$GX57*(VLOOKUP($GV$9,各项系数!$D$1:$F$143,2,0))</f>
        <v>2.648325719454319</v>
      </c>
      <c r="GZ57" s="315">
        <f>各项系数!$F$76/4*($MV57^2-$MS57^2)*10^-2*(VLOOKUP($GZ$9,各项系数!$D$1:$F$143,3,0))*10^-3*10^2*各项系数!$J$4</f>
        <v>0.27202580138561649</v>
      </c>
      <c r="HA57" s="303">
        <v>1</v>
      </c>
      <c r="HB57" s="304">
        <f t="shared" si="144"/>
        <v>0.27202580138561649</v>
      </c>
      <c r="HC57" s="304">
        <f>HB57*(VLOOKUP($GZ$9,各项系数!$D$1:$F$143,2,0))</f>
        <v>4.6244386235554806</v>
      </c>
      <c r="HD57" s="315">
        <f>各项系数!$F$76/4*($MW57^2-$MT57^2)*10^-2*(VLOOKUP($HD$9,各项系数!$D$1:$F$143,3,0))*10^-3*10^2*各项系数!$J$4</f>
        <v>0.27347621188192545</v>
      </c>
      <c r="HE57" s="303">
        <v>1</v>
      </c>
      <c r="HF57" s="304">
        <f t="shared" si="145"/>
        <v>0.27347621188192545</v>
      </c>
      <c r="HG57" s="304">
        <f>HF57*(VLOOKUP($HD$9,各项系数!$D$1:$F$143,2,0))</f>
        <v>4.649095601992733</v>
      </c>
      <c r="HH57" s="315">
        <f>各项系数!$F$76/4*($MV57^2-$MS57^2)*10^-2*(VLOOKUP($HH$9,各项系数!$D$1:$F$143,3,0))*10^-3*10^2*各项系数!$J$4</f>
        <v>0.27202580138561649</v>
      </c>
      <c r="HI57" s="322">
        <v>1</v>
      </c>
      <c r="HJ57" s="304">
        <f t="shared" si="146"/>
        <v>0.27202580138561649</v>
      </c>
      <c r="HK57" s="304">
        <f>HJ57*(VLOOKUP($HH$9,各项系数!$D$1:$F$143,2,0))</f>
        <v>4.6244386235554806</v>
      </c>
      <c r="HL57" s="315">
        <f>各项系数!$F$76/4*($MW57^2-$MT57^2)*10^-2*(VLOOKUP($HL$9,各项系数!$D$1:$F$143,3,0))*10^-3*10^2*各项系数!$J$4</f>
        <v>0.27347621188192545</v>
      </c>
      <c r="HM57" s="322">
        <v>1</v>
      </c>
      <c r="HN57" s="304">
        <f t="shared" si="147"/>
        <v>0.27347621188192545</v>
      </c>
      <c r="HO57" s="304">
        <f>HN57*(VLOOKUP($HL$9,各项系数!$D$1:$F$143,2,0))</f>
        <v>4.649095601992733</v>
      </c>
      <c r="HP57" s="315">
        <f>各项系数!$F$76/4*($MV57^2-$MS57^2)*10^-2*(VLOOKUP(AN57,各项系数!$D$1:$F$143,3,0))*10^-3*10^2*各项系数!$J$4</f>
        <v>0.27577788140472848</v>
      </c>
      <c r="HQ57" s="303">
        <v>1</v>
      </c>
      <c r="HR57" s="304">
        <f t="shared" si="281"/>
        <v>0.27577788140472848</v>
      </c>
      <c r="HS57" s="304">
        <f>HR57*(VLOOKUP(AN57,各项系数!$D$1:$F$143,2,0))</f>
        <v>2.7577788140472848</v>
      </c>
      <c r="HT57" s="315">
        <f>各项系数!$F$76/4*($MW57^2-$MT57^2)*10^-2*(VLOOKUP(AN57,各项系数!$D$1:$F$143,3,0))*10^-3*10^2*各项系数!$J$4</f>
        <v>0.27724829756305547</v>
      </c>
      <c r="HU57" s="303">
        <v>1</v>
      </c>
      <c r="HV57" s="304">
        <f t="shared" si="282"/>
        <v>0.27724829756305547</v>
      </c>
      <c r="HW57" s="304">
        <f>HV57*(VLOOKUP(AN57,各项系数!$D$1:$F$143,2,0))</f>
        <v>2.7724829756305547</v>
      </c>
      <c r="HX57" s="315">
        <f>各项系数!$F$76/4*($MV57^2-$MS57^2)*10^-2*(VLOOKUP($HX$9,各项系数!$D$1:$F$143,3,0))*10^-3*10^2*各项系数!$J$4</f>
        <v>0.27577788140472848</v>
      </c>
      <c r="HY57" s="322">
        <v>1</v>
      </c>
      <c r="HZ57" s="304">
        <f t="shared" si="283"/>
        <v>0.27577788140472848</v>
      </c>
      <c r="IA57" s="304">
        <f>HZ57*(VLOOKUP($HX$9,各项系数!$D$1:$F$143,2,0))</f>
        <v>3.0335566954520132</v>
      </c>
      <c r="IB57" s="315">
        <f>各项系数!$F$76/4*($MW57^2-$MT57^2)*10^-2*(VLOOKUP($IB$9,各项系数!$D$1:$F$143,3,0))*10^-3*10^2*各项系数!$J$4</f>
        <v>0.27724829756305547</v>
      </c>
      <c r="IC57" s="322">
        <v>1</v>
      </c>
      <c r="ID57" s="304">
        <f t="shared" si="284"/>
        <v>0.27724829756305547</v>
      </c>
      <c r="IE57" s="304">
        <f>ID57*(VLOOKUP($IB$9,各项系数!$D$1:$F$143,2,0))</f>
        <v>3.0497312731936104</v>
      </c>
      <c r="IF57" s="328"/>
      <c r="IG57" s="315">
        <f t="shared" si="148"/>
        <v>4.635715288285918E-2</v>
      </c>
      <c r="IH57" s="303">
        <v>1</v>
      </c>
      <c r="II57" s="304">
        <f t="shared" si="285"/>
        <v>4.635715288285918E-2</v>
      </c>
      <c r="IJ57" s="304">
        <f>II57*(VLOOKUP($IG$8,各项系数!$D$1:$F$143,2,0))</f>
        <v>1.1589288220714795</v>
      </c>
      <c r="IK57" s="315">
        <f>(各项系数!$F$76/4*($MX57^2-$MK57^2)*$EG57)*10^-2*(VLOOKUP($IG$8,各项系数!$D$1:$F$143,3,0))*10^-3*10^2*各项系数!$J$4</f>
        <v>4.635715288285918E-2</v>
      </c>
      <c r="IL57" s="303">
        <f>IK57*(VLOOKUP($IG$8,各项系数!$D$1:$F$143,2,0))</f>
        <v>1.1589288220714795</v>
      </c>
      <c r="IM57" s="304">
        <f>(各项系数!$F$76/4*(($MM57+3*$X57)^2-MM57^2)*$EO57)*10^-2*(VLOOKUP($IG$8,各项系数!$D$1:$F$143,3,0))*10^-3*10^2*各项系数!$J$4</f>
        <v>0</v>
      </c>
      <c r="IN57" s="303">
        <f>IM57*(VLOOKUP($IG$8,各项系数!$D$1:$F$143,2,0))</f>
        <v>0</v>
      </c>
      <c r="IO57" s="315">
        <f>各项系数!$F$76/4*($MZ57^2-$MX57^2)*10^-2*(VLOOKUP(L57,各项系数!$D$1:$F$143,3,0))*10^-3*10^2*$ES57*各项系数!$J$4</f>
        <v>0.14053497930345935</v>
      </c>
      <c r="IP57" s="303">
        <v>1</v>
      </c>
      <c r="IQ57" s="304">
        <f t="shared" si="286"/>
        <v>0.14053497930345935</v>
      </c>
      <c r="IR57" s="285">
        <f>IQ57*(VLOOKUP(L57,各项系数!$D$1:$F$143,2,0))</f>
        <v>1.4334567888952852</v>
      </c>
      <c r="IS57" s="315">
        <f>IF($L57&lt;&gt;$IS$9,0,各项系数!$F$76/4*($MZ57^2-$MX57^2)*10^-2*各项系数!$F$12*10^-3*10^2)*$ES57*各项系数!$J$4</f>
        <v>0</v>
      </c>
      <c r="IT57" s="303">
        <v>1</v>
      </c>
      <c r="IU57" s="304">
        <f t="shared" si="287"/>
        <v>0</v>
      </c>
      <c r="IV57" s="285">
        <f>IU57*各项系数!$E$12</f>
        <v>0</v>
      </c>
      <c r="IW57" s="302">
        <f t="shared" si="288"/>
        <v>0.14053497930345935</v>
      </c>
      <c r="IX57" s="302">
        <f t="shared" si="289"/>
        <v>1.4334567888952852</v>
      </c>
      <c r="IY57" s="339">
        <f>各项系数!$F$76/4*($NB57^2-$MZ57^2*$EG57-$NA57^2*$EO57)*10^-2</f>
        <v>2.3789139976620457</v>
      </c>
      <c r="IZ57" s="284">
        <f t="shared" si="231"/>
        <v>1</v>
      </c>
      <c r="JA57" s="285">
        <f t="shared" si="64"/>
        <v>2.3789139976620457</v>
      </c>
      <c r="JB57" s="282">
        <f>IF($DE57&lt;&gt;$JB$9,0,$JA57*各项系数!$F$32*10^-3*10^2)*各项系数!$J$4</f>
        <v>0</v>
      </c>
      <c r="JC57" s="102">
        <v>1</v>
      </c>
      <c r="JD57" s="189">
        <f t="shared" si="290"/>
        <v>0</v>
      </c>
      <c r="JE57" s="262">
        <f>JD57*各项系数!$E$32</f>
        <v>0</v>
      </c>
      <c r="JF57" s="282">
        <f>IF($DE57&lt;&gt;$JF$9,0,$JA57*VLOOKUP($JF$9,各项系数!$D$4:$F$540,2,0)*10^-3*10^2)*各项系数!$J$4</f>
        <v>1.1835097138368678</v>
      </c>
      <c r="JG57" s="102">
        <v>1</v>
      </c>
      <c r="JH57" s="189">
        <f t="shared" si="66"/>
        <v>1.1835097138368678</v>
      </c>
      <c r="JI57" s="262">
        <f>JH57*VLOOKUP($JF$9,各项系数!$D$4:$F$540,3,0)</f>
        <v>1.4202116566042413</v>
      </c>
      <c r="JJ57" s="282">
        <f t="shared" si="291"/>
        <v>1.1835097138368678</v>
      </c>
      <c r="JK57" s="189">
        <f t="shared" si="292"/>
        <v>1.4202116566042413</v>
      </c>
      <c r="JL57" s="282">
        <f>IF($DF57&lt;&gt;$JL$9,0,各项系数!$F$76/4*($NE57^2-$NC57^2)*10^-2*各项系数!$F$39*10^-3*10^2)*各项系数!$J$4</f>
        <v>3.2913478120735248E-3</v>
      </c>
      <c r="JM57" s="102">
        <v>1</v>
      </c>
      <c r="JN57" s="189">
        <f t="shared" si="293"/>
        <v>3.2913478120735248E-3</v>
      </c>
      <c r="JO57" s="262">
        <f>JN57*各项系数!$E$39</f>
        <v>6.5826956241470502E-2</v>
      </c>
      <c r="JP57" s="282">
        <f>IF($DF57&lt;&gt;$JP$9,0,各项系数!$F$76/4*($NE57^2-$NC57^2)*10^-2*各项系数!$F$36*10^-3*10^2)*各项系数!$J$4</f>
        <v>0</v>
      </c>
      <c r="JQ57" s="102">
        <v>1</v>
      </c>
      <c r="JR57" s="189">
        <f t="shared" si="294"/>
        <v>0</v>
      </c>
      <c r="JS57" s="262">
        <f>JR57*各项系数!$E$36</f>
        <v>0</v>
      </c>
      <c r="JT57" s="282">
        <f>IF($DF57&lt;&gt;$JT$9,0,各项系数!$F$76/4*($NE57^2-$NC57^2)*10^-2*各项系数!$F$40*10^-3*10^2)*各项系数!$J$4</f>
        <v>0</v>
      </c>
      <c r="JU57" s="102">
        <v>1</v>
      </c>
      <c r="JV57" s="189">
        <f t="shared" si="295"/>
        <v>0</v>
      </c>
      <c r="JW57" s="262">
        <f>JV57*各项系数!$E$40</f>
        <v>0</v>
      </c>
      <c r="JX57" s="282">
        <f>IF($DF57&lt;&gt;$JX$9,0,各项系数!$F$76/4*($NE57^2-$NC57^2)*10^-2*各项系数!$F$38*10^-3*10^2)*各项系数!$J$4</f>
        <v>0</v>
      </c>
      <c r="JY57" s="102">
        <v>1</v>
      </c>
      <c r="JZ57" s="189">
        <f t="shared" si="296"/>
        <v>0</v>
      </c>
      <c r="KA57" s="262">
        <f>JZ57*各项系数!$E$38</f>
        <v>0</v>
      </c>
      <c r="KB57" s="282">
        <f>IF($DF57&lt;&gt;$KB$9,0,各项系数!$F$76/4*($NE57^2-$NC57^2)*10^-2*各项系数!$F$41*10^-3*10^2)*各项系数!$J$4</f>
        <v>0</v>
      </c>
      <c r="KC57" s="102">
        <v>1</v>
      </c>
      <c r="KD57" s="189">
        <f t="shared" si="297"/>
        <v>0</v>
      </c>
      <c r="KE57" s="262">
        <f>KD57*各项系数!$E$41</f>
        <v>0</v>
      </c>
      <c r="KF57" s="189">
        <f t="shared" si="298"/>
        <v>3.2913478120735248E-3</v>
      </c>
      <c r="KG57" s="189">
        <f t="shared" si="299"/>
        <v>6.5826956241470502E-2</v>
      </c>
      <c r="KH57" s="235">
        <f>各项系数!$F$76/4*($NG57^2-$NE57^2)*10^-2*各项系数!$F$44*10^-3*10^2*各项系数!$J$4*0.75*$U57</f>
        <v>0.82824809596537619</v>
      </c>
      <c r="KI57" s="102">
        <v>1</v>
      </c>
      <c r="KJ57" s="189">
        <f t="shared" si="300"/>
        <v>0.82824809596537619</v>
      </c>
      <c r="KK57" s="189">
        <f>ROUND(KJ57*各项系数!$E$43,GT57)</f>
        <v>5</v>
      </c>
      <c r="KL57" s="235">
        <f>各项系数!$F$76/4*($NF57^2-$NE57^2)*10^-2*各项系数!$F$46*10^-3*10^2*各项系数!$J$4*PI()/4*R57</f>
        <v>4.1134148346637818E-2</v>
      </c>
      <c r="KM57" s="102">
        <v>1</v>
      </c>
      <c r="KN57" s="189">
        <f t="shared" si="301"/>
        <v>4.1134148346637818E-2</v>
      </c>
      <c r="KO57" s="189">
        <f>KN57*各项系数!$E$46</f>
        <v>2.7765550133980526</v>
      </c>
      <c r="KP57" s="235">
        <f>各项系数!$F$76/4*($NH57^2-$NE57^2)*10^-2*(VLOOKUP($KP$9,各项系数!$D$1:$F$143,3,0))*10^-3*10^2*各项系数!$J$4</f>
        <v>0.28435429060424583</v>
      </c>
      <c r="KQ57" s="102">
        <v>1</v>
      </c>
      <c r="KR57" s="189">
        <f t="shared" si="150"/>
        <v>0.28435429060424583</v>
      </c>
      <c r="KS57" s="189">
        <f>KR57*(VLOOKUP($KP$9,各项系数!$D$1:$F$143,2,0))</f>
        <v>4.8340229402721793</v>
      </c>
      <c r="KT57" s="235">
        <f>各项系数!$F$76/4*($NI57^2-$NF57^2)*10^-2*(VLOOKUP($KT$9,各项系数!$D$1:$F$143,3,0))*10^-3*10^2*各项系数!$J$4</f>
        <v>0.28580470110055461</v>
      </c>
      <c r="KU57" s="102">
        <v>1</v>
      </c>
      <c r="KV57" s="189">
        <f t="shared" si="151"/>
        <v>0.28580470110055461</v>
      </c>
      <c r="KW57" s="189">
        <f>KV57*(VLOOKUP($KT$9,各项系数!$D$1:$F$143,2,0))</f>
        <v>4.8586799187094281</v>
      </c>
      <c r="KX57" s="189">
        <f>各项系数!$F$76/4*($NH57^2-$NE57^2)*10^-2*(VLOOKUP($KX$9,各项系数!$D$1:$F$143,3,0))*10^-3*10^2*各项系数!$J$4</f>
        <v>0.28435429060424583</v>
      </c>
      <c r="KY57" s="353">
        <v>1</v>
      </c>
      <c r="KZ57" s="189">
        <f t="shared" si="152"/>
        <v>0.28435429060424583</v>
      </c>
      <c r="LA57" s="189">
        <f>KZ57*(VLOOKUP($KX$9,各项系数!$D$1:$F$143,2,0))</f>
        <v>4.8340229402721793</v>
      </c>
      <c r="LB57" s="189">
        <f>各项系数!$F$76/4*($NI57^2-$NF57^2)*10^-2*(VLOOKUP($LB$9,各项系数!$D$1:$F$143,3,0))*10^-3*10^2*各项系数!$J$4</f>
        <v>0.28580470110055461</v>
      </c>
      <c r="LC57" s="353">
        <v>1</v>
      </c>
      <c r="LD57" s="189">
        <f t="shared" si="153"/>
        <v>0.28580470110055461</v>
      </c>
      <c r="LE57" s="189">
        <f>LD57*(VLOOKUP($LB$9,各项系数!$D$1:$F$143,2,0))</f>
        <v>4.8586799187094281</v>
      </c>
      <c r="LF57" s="235">
        <f>各项系数!$F$76/4*($NH57^2-$NE57^2)*10^-2*(VLOOKUP(AN57,各项系数!$D$1:$F$143,3,0))*10^-3*10^2*各项系数!$J$4</f>
        <v>0.28827641875051124</v>
      </c>
      <c r="LG57" s="102">
        <v>1</v>
      </c>
      <c r="LH57" s="189">
        <f t="shared" si="302"/>
        <v>0.28827641875051124</v>
      </c>
      <c r="LI57" s="189">
        <f>LH57*(VLOOKUP(AN57,各项系数!$D$1:$F$143,2,0))</f>
        <v>2.8827641875051127</v>
      </c>
      <c r="LJ57" s="235">
        <f>各项系数!$F$76/4*($NI57^2-$NF57^2)*10^-2*(VLOOKUP(AN57,各项系数!$D$1:$F$143,3,0))*10^-3*10^2*各项系数!$J$4</f>
        <v>0.28974683490883807</v>
      </c>
      <c r="LK57" s="102">
        <v>1</v>
      </c>
      <c r="LL57" s="189">
        <f t="shared" si="303"/>
        <v>0.28974683490883807</v>
      </c>
      <c r="LM57" s="189">
        <f>LL57*(VLOOKUP(AN57,各项系数!$D$1:$F$143,2,0))</f>
        <v>2.8974683490883808</v>
      </c>
      <c r="LN57" s="189">
        <f>各项系数!$F$76/4*($NH57^2-$NE57^2)*10^-2*(VLOOKUP($LN$9,各项系数!$D$1:$F$143,3,0))*10^-3*10^2*各项系数!$J$4</f>
        <v>0.28827641875051124</v>
      </c>
      <c r="LO57" s="353">
        <v>1</v>
      </c>
      <c r="LP57" s="189">
        <f t="shared" si="304"/>
        <v>0.28827641875051124</v>
      </c>
      <c r="LQ57" s="189">
        <f>LP57*(VLOOKUP($LN$9,各项系数!$D$1:$F$143,2,0))</f>
        <v>3.1710406062556236</v>
      </c>
      <c r="LR57" s="189">
        <f>各项系数!$F$76/4*($NI57^2-$NF57^2)*10^-2*(VLOOKUP($LR$9,各项系数!$D$1:$F$143,3,0))*10^-3*10^2*各项系数!$J$4</f>
        <v>0.28974683490883807</v>
      </c>
      <c r="LS57" s="353">
        <v>1</v>
      </c>
      <c r="LT57" s="189">
        <f t="shared" si="305"/>
        <v>0.28974683490883807</v>
      </c>
      <c r="LU57" s="189">
        <f>LT57*(VLOOKUP($LR$9,各项系数!$D$1:$F$143,2,0))</f>
        <v>3.1872151839972189</v>
      </c>
      <c r="LV57" s="227">
        <f t="shared" si="154"/>
        <v>269.01759929999997</v>
      </c>
      <c r="LW57" s="227">
        <f t="shared" si="155"/>
        <v>193.65626422</v>
      </c>
      <c r="LX57" s="227">
        <f t="shared" si="156"/>
        <v>15.702573473497431</v>
      </c>
      <c r="LY57" s="227">
        <f t="shared" si="157"/>
        <v>75.361335079999975</v>
      </c>
      <c r="LZ57" s="374">
        <f t="shared" si="86"/>
        <v>1</v>
      </c>
      <c r="MA57" s="375">
        <f t="shared" si="87"/>
        <v>269.01759929999997</v>
      </c>
      <c r="MB57" s="375">
        <f t="shared" si="158"/>
        <v>10.68525223</v>
      </c>
      <c r="MC57" s="227">
        <f t="shared" si="159"/>
        <v>0</v>
      </c>
      <c r="MD57" s="227">
        <f t="shared" si="160"/>
        <v>0</v>
      </c>
      <c r="ME57" s="227">
        <f t="shared" si="161"/>
        <v>0</v>
      </c>
      <c r="MF57" s="227">
        <f t="shared" si="162"/>
        <v>0</v>
      </c>
      <c r="MG57" s="374">
        <f t="shared" si="163"/>
        <v>1</v>
      </c>
      <c r="MH57" s="375">
        <f t="shared" si="88"/>
        <v>0</v>
      </c>
      <c r="MI57" s="375">
        <f t="shared" si="164"/>
        <v>0</v>
      </c>
      <c r="MJ57" s="189">
        <f t="shared" si="89"/>
        <v>10.68525223</v>
      </c>
      <c r="MK57" s="189">
        <f t="shared" si="165"/>
        <v>10.68525223</v>
      </c>
      <c r="ML57" s="189">
        <f t="shared" si="306"/>
        <v>0</v>
      </c>
      <c r="MM57" s="189">
        <f t="shared" si="91"/>
        <v>0</v>
      </c>
      <c r="MN57" s="189">
        <f t="shared" si="92"/>
        <v>12.885252229999999</v>
      </c>
      <c r="MO57" s="189">
        <f t="shared" si="166"/>
        <v>0</v>
      </c>
      <c r="MP57" s="189">
        <f t="shared" si="167"/>
        <v>27.83214482</v>
      </c>
      <c r="MQ57" s="189">
        <f t="shared" si="307"/>
        <v>27.83214482</v>
      </c>
      <c r="MR57" s="246">
        <f t="shared" si="168"/>
        <v>27.83214482</v>
      </c>
      <c r="MS57" s="380">
        <f t="shared" si="94"/>
        <v>28.008144819999998</v>
      </c>
      <c r="MT57" s="380">
        <f t="shared" si="95"/>
        <v>28.168144819999998</v>
      </c>
      <c r="MU57" s="380">
        <f t="shared" si="232"/>
        <v>29.508144819999998</v>
      </c>
      <c r="MV57" s="380">
        <f t="shared" si="97"/>
        <v>32.008144819999998</v>
      </c>
      <c r="MW57" s="380">
        <f t="shared" si="98"/>
        <v>32.168144819999995</v>
      </c>
      <c r="MX57" s="254">
        <f t="shared" si="233"/>
        <v>11.285252229999999</v>
      </c>
      <c r="MY57" s="254">
        <f t="shared" si="100"/>
        <v>0</v>
      </c>
      <c r="MZ57" s="189">
        <f t="shared" si="101"/>
        <v>13.48525223</v>
      </c>
      <c r="NA57" s="189">
        <f t="shared" si="102"/>
        <v>0</v>
      </c>
      <c r="NB57" s="189">
        <f t="shared" si="169"/>
        <v>29.128144819999999</v>
      </c>
      <c r="NC57" s="254">
        <f t="shared" si="308"/>
        <v>29.128144819999999</v>
      </c>
      <c r="ND57" s="246">
        <f t="shared" si="234"/>
        <v>29.128144819999999</v>
      </c>
      <c r="NE57" s="386">
        <f t="shared" si="235"/>
        <v>29.368144819999998</v>
      </c>
      <c r="NF57" s="380">
        <f t="shared" si="106"/>
        <v>29.528144819999998</v>
      </c>
      <c r="NG57" s="387">
        <f t="shared" si="236"/>
        <v>30.868144819999998</v>
      </c>
      <c r="NH57" s="254">
        <f t="shared" si="108"/>
        <v>33.368144819999998</v>
      </c>
      <c r="NI57" s="380">
        <f t="shared" si="109"/>
        <v>33.528144819999994</v>
      </c>
      <c r="NK57" s="388">
        <f t="shared" si="110"/>
        <v>2.4117020187367149</v>
      </c>
      <c r="NL57" s="388">
        <f t="shared" si="111"/>
        <v>118.65772749407826</v>
      </c>
      <c r="NM57" s="388">
        <f t="shared" si="112"/>
        <v>2.4117020187367149</v>
      </c>
      <c r="NN57" s="388">
        <f t="shared" si="113"/>
        <v>118.93350537548298</v>
      </c>
      <c r="NO57" s="388">
        <f t="shared" si="114"/>
        <v>3.3972347248743855</v>
      </c>
      <c r="NP57" s="388">
        <f t="shared" si="115"/>
        <v>120.62105326622184</v>
      </c>
      <c r="NQ57" s="388">
        <f t="shared" si="116"/>
        <v>3.3972347248743855</v>
      </c>
      <c r="NR57" s="388">
        <f t="shared" si="117"/>
        <v>120.90932968497233</v>
      </c>
      <c r="NS57" s="388">
        <f t="shared" si="118"/>
        <v>2.4509364738397417</v>
      </c>
      <c r="NT57" s="388">
        <f t="shared" si="119"/>
        <v>2.4509364738397417</v>
      </c>
      <c r="NU57" s="388">
        <f t="shared" si="120"/>
        <v>3.4383688732210231</v>
      </c>
      <c r="NV57" s="388">
        <f t="shared" si="121"/>
        <v>3.4383688732210231</v>
      </c>
      <c r="NW57">
        <f t="shared" si="122"/>
        <v>2.9389341094030828</v>
      </c>
      <c r="NX57">
        <f>各项系数!$M$9*NK57</f>
        <v>0.72351060562101444</v>
      </c>
      <c r="NY57">
        <f t="shared" si="123"/>
        <v>2.4509364738397417</v>
      </c>
    </row>
    <row r="58" spans="1:389" ht="15" hidden="1" customHeight="1">
      <c r="A58" s="74">
        <v>30</v>
      </c>
      <c r="B58" s="70">
        <v>1</v>
      </c>
      <c r="C58" s="67"/>
      <c r="D58" s="53" t="s">
        <v>213</v>
      </c>
      <c r="E58" s="61">
        <f t="shared" si="255"/>
        <v>35.597510159999999</v>
      </c>
      <c r="F58" s="68">
        <f>$F$26</f>
        <v>245.088056587712</v>
      </c>
      <c r="G58" s="58"/>
      <c r="H58" s="62"/>
      <c r="I58" s="62"/>
      <c r="J58" s="16"/>
      <c r="K58" s="62"/>
      <c r="L58" s="97" t="s">
        <v>467</v>
      </c>
      <c r="M58" s="103">
        <f t="shared" si="2"/>
        <v>1.1000000000000001</v>
      </c>
      <c r="N58" s="103">
        <f t="shared" si="252"/>
        <v>0</v>
      </c>
      <c r="O58" s="53">
        <f t="shared" ref="O58:O67" si="312">$O$36</f>
        <v>0.08</v>
      </c>
      <c r="P58" s="99">
        <v>0.1</v>
      </c>
      <c r="Q58" s="133">
        <f t="shared" si="309"/>
        <v>0.1</v>
      </c>
      <c r="R58" s="70">
        <v>0.8</v>
      </c>
      <c r="S58" s="142" t="str">
        <f>各项系数!$D$43</f>
        <v>钢带</v>
      </c>
      <c r="T58" s="102">
        <v>0.5</v>
      </c>
      <c r="U58" s="102">
        <v>2</v>
      </c>
      <c r="V58" s="140"/>
      <c r="W58" s="141">
        <v>2.1</v>
      </c>
      <c r="X58" s="135">
        <f t="shared" si="310"/>
        <v>0.2</v>
      </c>
      <c r="Y58" s="135"/>
      <c r="Z58" s="168"/>
      <c r="AA58" s="153">
        <f>$AA$26</f>
        <v>1.0129999999999999</v>
      </c>
      <c r="AB58" s="153">
        <f>PI()*EJ58*EJ58/4*EH58*(1-H58)*AA58*各项系数!$F$5*各项系数!$J$4*10^-7</f>
        <v>0.80319697770872212</v>
      </c>
      <c r="AC58" s="153">
        <f t="shared" si="256"/>
        <v>245.088056587712</v>
      </c>
      <c r="AD58" s="153">
        <f t="shared" si="5"/>
        <v>90.802378338116014</v>
      </c>
      <c r="AE58" s="153">
        <f>POWER(4*EU58/PI()/EG58/10^-7/EH58/(1-H58)/各项系数!$F$5/各项系数!$J$4,0.5)</f>
        <v>246.67598485301878</v>
      </c>
      <c r="AF58" s="69">
        <v>1</v>
      </c>
      <c r="AG58" s="69">
        <f>IF(EM58=0,0,PI()*ER58*ER58/4*EP58*(1-K58)*(1+AF58)*各项系数!$F$5*各项系数!$J$4*10^-7)</f>
        <v>0</v>
      </c>
      <c r="AH58" s="69">
        <f t="shared" si="257"/>
        <v>0</v>
      </c>
      <c r="AI58" s="69">
        <f t="shared" si="128"/>
        <v>0</v>
      </c>
      <c r="AJ58" s="69">
        <f>IF(OR(EP58="",EP58=0),0,POWER(4*EW58/PI()/EO58/10^-7/EP58/(1-K58)/各项系数!$F$5/各项系数!$J$4,0.5))</f>
        <v>0</v>
      </c>
      <c r="AK58" s="69" t="str">
        <f t="shared" si="8"/>
        <v>√</v>
      </c>
      <c r="AL58" s="69">
        <f t="shared" si="258"/>
        <v>168.85278815241284</v>
      </c>
      <c r="AM58" s="188">
        <f t="shared" si="259"/>
        <v>95</v>
      </c>
      <c r="AN58" s="97" t="s">
        <v>486</v>
      </c>
      <c r="AO58" s="196">
        <f>AP58+各项系数!$M$9*$NK58</f>
        <v>165.54194916903219</v>
      </c>
      <c r="AP58" s="196">
        <f>AQ58*(1+$BI58+(VLOOKUP($AM58,$A$12:$B$323,2,0))+各项系数!$J$6+各项系数!$M$5)*(1+$E$2)</f>
        <v>164.57618220486583</v>
      </c>
      <c r="AQ58" s="197">
        <f>AR58+各项系数!$L$9*$NK58</f>
        <v>167.93487980088349</v>
      </c>
      <c r="AR58" s="197">
        <f>AS58*(1+$BJ58+各项系数!$J$5+各项系数!$L$5)</f>
        <v>166.96911283671713</v>
      </c>
      <c r="AS58" s="197">
        <f t="shared" si="129"/>
        <v>163.69520866344817</v>
      </c>
      <c r="AT58" s="196">
        <f>AU58+各项系数!$M$9*$NM58</f>
        <v>167.72897596369575</v>
      </c>
      <c r="AU58" s="196">
        <f>AV58*(1+$BI58+(VLOOKUP($AM58,$A$12:$B$323,2,0))+各项系数!$J$6+各项系数!$M$5)*(1+$E$2)</f>
        <v>166.76320899952938</v>
      </c>
      <c r="AV58" s="197">
        <f>AW58+各项系数!$L$9*$NM58</f>
        <v>170.16653979543815</v>
      </c>
      <c r="AW58" s="197">
        <f>AX58*(1+$BJ58+各项系数!$J$5+各项系数!$L$5)</f>
        <v>169.20077283127179</v>
      </c>
      <c r="AX58" s="197">
        <f t="shared" si="130"/>
        <v>165.88311061889391</v>
      </c>
      <c r="AY58" s="196">
        <f>AZ58+各项系数!$M$9*$NS58</f>
        <v>168.55020894361436</v>
      </c>
      <c r="AZ58" s="196">
        <f>BA58*(1+$BI58+(VLOOKUP($AM58,$A$12:$B$214,2,0))+各项系数!$J$6+各项系数!$M$5)*(1+$E$2)</f>
        <v>167.57125132943847</v>
      </c>
      <c r="BA58" s="197">
        <f>BB58+各项系数!$L$9*$NS58</f>
        <v>170.99107278514128</v>
      </c>
      <c r="BB58" s="197">
        <f>BC58*(1+$BJ58+各项系数!$J$5+各项系数!$L$5)</f>
        <v>170.01211517096539</v>
      </c>
      <c r="BC58" s="199">
        <f t="shared" si="131"/>
        <v>166.67854428526019</v>
      </c>
      <c r="BD58" s="196">
        <f>BE58+各项系数!$M$9*$NS58</f>
        <v>170.74768201579153</v>
      </c>
      <c r="BE58" s="196">
        <f>BF58*(1+$BI58+(VLOOKUP($AM58,$A$12:$B$214,2,0))+各项系数!$J$6+各项系数!$M$5)*(1+$E$2)</f>
        <v>169.76872440161563</v>
      </c>
      <c r="BF58" s="197">
        <f>BG58+各项系数!$L$9*$NS58</f>
        <v>173.23339224654657</v>
      </c>
      <c r="BG58" s="197">
        <f>BH58*(1+$BJ58+各项系数!$J$5+各项系数!$L$5)</f>
        <v>172.25443463237067</v>
      </c>
      <c r="BH58" s="199">
        <f t="shared" si="132"/>
        <v>168.87689669840262</v>
      </c>
      <c r="BI58" s="213"/>
      <c r="BJ58" s="208"/>
      <c r="BK58" s="53" t="s">
        <v>514</v>
      </c>
      <c r="BL58" s="196">
        <f>BM58+各项系数!$M$9*$NM58</f>
        <v>167.47243842536369</v>
      </c>
      <c r="BM58" s="196">
        <f>BN58*(1+$CF58+(VLOOKUP($AM58,$A$12:$B$323,2,0))+各项系数!$J$6+各项系数!$M$5)*(1+$E$2)</f>
        <v>166.50667146119733</v>
      </c>
      <c r="BN58" s="197">
        <f>BO58+各项系数!$L$9*$NM58</f>
        <v>169.90476679714013</v>
      </c>
      <c r="BO58" s="197">
        <f>BP58*(1+$CG58+各项系数!$J$5+各项系数!$L$5)</f>
        <v>168.93899983297376</v>
      </c>
      <c r="BP58" s="197">
        <f t="shared" si="133"/>
        <v>164.01844643978035</v>
      </c>
      <c r="BQ58" s="196">
        <f>BR58+各项系数!$M$9*$NM58</f>
        <v>169.35463044776091</v>
      </c>
      <c r="BR58" s="196">
        <f>BS58*(1+$CF58+(VLOOKUP($AM58,$A$12:$B$323,2,0))+各项系数!$J$6+各项系数!$M$5)*(1+$E$2)</f>
        <v>168.38886348359455</v>
      </c>
      <c r="BS58" s="197">
        <f>BT58+各项系数!$L$9*$NM58</f>
        <v>171.82537090162708</v>
      </c>
      <c r="BT58" s="197">
        <f>BU58*(1+$CG58+各项系数!$J$5+各项系数!$L$5)</f>
        <v>170.85960393746072</v>
      </c>
      <c r="BU58" s="197">
        <f t="shared" si="134"/>
        <v>165.88311061889391</v>
      </c>
      <c r="BV58" s="196">
        <f>BW58+各项系数!$M$9*$NT58</f>
        <v>169.56021301221284</v>
      </c>
      <c r="BW58" s="196">
        <f>BX58*(1+$CF58+(VLOOKUP($AM58,$A$12:$B$214,2,0))+各项系数!$J$6+各项系数!$M$5)*(1+$E$2)</f>
        <v>168.58125539803694</v>
      </c>
      <c r="BX58" s="197">
        <f>BY58+各项系数!$L$9*$NT$12</f>
        <v>172.02168918167035</v>
      </c>
      <c r="BY58" s="197">
        <f>BZ58*(1+$CG58+各项系数!$J$5+各项系数!$L$5)</f>
        <v>172.01342577851537</v>
      </c>
      <c r="BZ58" s="199">
        <f t="shared" si="11"/>
        <v>167.00332599855861</v>
      </c>
      <c r="CA58" s="196">
        <f>CB58+各项系数!$M$9*$NT58</f>
        <v>171.45139527663537</v>
      </c>
      <c r="CB58" s="196">
        <f>CC58*(1+$CF58+(VLOOKUP($AM58,$A$12:$B$214,2,0))+各项系数!$J$6+各项系数!$M$5)*(1+$E$2)</f>
        <v>170.47243766245947</v>
      </c>
      <c r="CC58" s="197">
        <f>CD58+各项系数!$L$9*$NT$12</f>
        <v>173.95146700250967</v>
      </c>
      <c r="CD58" s="197">
        <f>CE58*(1+$CG58+各项系数!$J$5+各项系数!$L$5)</f>
        <v>173.94320359935469</v>
      </c>
      <c r="CE58" s="199">
        <f t="shared" si="135"/>
        <v>168.87689669840262</v>
      </c>
      <c r="CF58" s="213">
        <f t="shared" si="136"/>
        <v>0</v>
      </c>
      <c r="CG58" s="213">
        <f t="shared" si="12"/>
        <v>0.01</v>
      </c>
      <c r="CH58" s="102"/>
      <c r="CI58" s="196">
        <f>CJ58+各项系数!$M$9*$NO58</f>
        <v>169.50907349334773</v>
      </c>
      <c r="CJ58" s="196">
        <f>CK58*(1+$DC58+(VLOOKUP($AM58,$A$12:$B$323,2,0))+各项系数!$J$6+各项系数!$M$5)*(1+$E$2)+各项系数!$M$9*$NK58</f>
        <v>168.17830181529595</v>
      </c>
      <c r="CK58" s="197">
        <f>CL58+各项系数!$L$9*$NO58</f>
        <v>170.62503556237715</v>
      </c>
      <c r="CL58" s="197">
        <f>CM58*(1+$DD58+各项系数!$J$5+各项系数!$L$5)</f>
        <v>169.29426388432537</v>
      </c>
      <c r="CM58" s="197">
        <f t="shared" si="13"/>
        <v>165.97476851404448</v>
      </c>
      <c r="CN58" s="196">
        <f>CO58+各项系数!$M$9*$NO58</f>
        <v>171.56491813973742</v>
      </c>
      <c r="CO58" s="196">
        <f>CP58*(1+$DC58+(VLOOKUP($AM58,$A$12:$B$323,2,0))+各项系数!$J$6+各项系数!$M$5)*(1+$E$2)+各项系数!$M$9*$NK58</f>
        <v>170.23414646168564</v>
      </c>
      <c r="CP58" s="197">
        <f>CQ58+各项系数!$L$9*$NO58</f>
        <v>172.72283622195846</v>
      </c>
      <c r="CQ58" s="197">
        <f>CR58*(1+$DD58+各项系数!$J$5+各项系数!$L$5)</f>
        <v>171.39206454390668</v>
      </c>
      <c r="CR58" s="197">
        <f t="shared" si="14"/>
        <v>168.0314358273595</v>
      </c>
      <c r="CS58" s="196">
        <f>CT58+各项系数!$M$9*$NU58</f>
        <v>171.68087272377636</v>
      </c>
      <c r="CT58" s="196">
        <f t="shared" si="15"/>
        <v>170.33634048774195</v>
      </c>
      <c r="CU58" s="197">
        <f>CV58+各项系数!$L$9*$NU58</f>
        <v>173.81259233443058</v>
      </c>
      <c r="CV58" s="197">
        <f>CW58*(1+$DD58+各项系数!$J$5+各项系数!$L$5)</f>
        <v>172.46806009839617</v>
      </c>
      <c r="CW58" s="199">
        <f t="shared" si="16"/>
        <v>169.08633342980016</v>
      </c>
      <c r="CX58" s="196">
        <f>CY58+各项系数!$M$9*$NU58</f>
        <v>173.96713915481922</v>
      </c>
      <c r="CY58" s="196">
        <f t="shared" si="17"/>
        <v>172.62260691878481</v>
      </c>
      <c r="CZ58" s="197">
        <f>DA58+各项系数!$L$9*$NU58</f>
        <v>176.14551726406614</v>
      </c>
      <c r="DA58" s="197">
        <f>DB58*(1+$DD58+各项系数!$J$5+各项系数!$L$5)</f>
        <v>174.80098502803173</v>
      </c>
      <c r="DB58" s="199">
        <f t="shared" si="18"/>
        <v>171.37351473336443</v>
      </c>
      <c r="DC58" s="213">
        <f t="shared" si="137"/>
        <v>0</v>
      </c>
      <c r="DD58" s="213">
        <f t="shared" si="19"/>
        <v>0</v>
      </c>
      <c r="DE58" s="53" t="s">
        <v>498</v>
      </c>
      <c r="DF58" s="53" t="s">
        <v>513</v>
      </c>
      <c r="DG58" s="196">
        <f>DH58+各项系数!$M$9*$NQ58</f>
        <v>171.47514926099174</v>
      </c>
      <c r="DH58" s="196">
        <f>DI58*(1+$EA58+(VLOOKUP($AM58,$A$12:$B$323,2,0))+各项系数!$J$6+各项系数!$M$5)*(1+$E$2)+各项系数!$M$9*$NK58</f>
        <v>170.14437758293997</v>
      </c>
      <c r="DI58" s="197">
        <f>DJ58+各项系数!$L$9*$NQ58</f>
        <v>172.63123532527919</v>
      </c>
      <c r="DJ58" s="197">
        <f>DK58*(1+$EB58+各项系数!$J$5+各项系数!$L$5)</f>
        <v>171.30046364722742</v>
      </c>
      <c r="DK58" s="197">
        <f t="shared" si="20"/>
        <v>166.31112975458973</v>
      </c>
      <c r="DL58" s="196">
        <f>DM58+各项系数!$M$9*$NQ58</f>
        <v>173.43375834060413</v>
      </c>
      <c r="DM58" s="196">
        <f>DN58*(1+$EA58+(VLOOKUP($AM58,$A$12:$B$323,2,0))+各项系数!$J$6+各项系数!$M$5)*(1+$E$2)+各项系数!$M$9*$NK58</f>
        <v>172.10298666255235</v>
      </c>
      <c r="DN58" s="197">
        <f>DO58+各项系数!$L$9*$NQ58</f>
        <v>174.6298160187612</v>
      </c>
      <c r="DO58" s="197">
        <f>DP58*(1+$EB58+各项系数!$J$5+各项系数!$L$5)</f>
        <v>173.29904434070943</v>
      </c>
      <c r="DP58" s="197">
        <f t="shared" si="21"/>
        <v>168.25149935991206</v>
      </c>
      <c r="DQ58" s="196">
        <f>DR58+各项系数!$M$9*$NV58</f>
        <v>173.67900027756852</v>
      </c>
      <c r="DR58" s="196">
        <f t="shared" si="22"/>
        <v>172.33446804153411</v>
      </c>
      <c r="DS58" s="197">
        <f>DT58+各项系数!$L$9*$NV58</f>
        <v>175.85149800156543</v>
      </c>
      <c r="DT58" s="197">
        <f>DU58*(1+$EB58+各项系数!$J$5+各项系数!$L$5)</f>
        <v>174.50696576553102</v>
      </c>
      <c r="DU58" s="199">
        <f t="shared" si="23"/>
        <v>169.42423860731168</v>
      </c>
      <c r="DV58" s="196">
        <f>DW58+各项系数!$M$9*$NV58</f>
        <v>174.0163492304404</v>
      </c>
      <c r="DW58" s="196">
        <f t="shared" si="24"/>
        <v>172.67181699440599</v>
      </c>
      <c r="DX58" s="197">
        <f>DY58+各项系数!$L$9*$NV58</f>
        <v>176.19573162694488</v>
      </c>
      <c r="DY58" s="197">
        <f>DZ58*(1+$EB58+各项系数!$J$5+各项系数!$L$5)</f>
        <v>174.85119939091047</v>
      </c>
      <c r="DZ58" s="199">
        <f t="shared" si="25"/>
        <v>169.75844601059268</v>
      </c>
      <c r="EA58" s="213">
        <f t="shared" si="311"/>
        <v>0</v>
      </c>
      <c r="EB58" s="213">
        <f t="shared" si="27"/>
        <v>0.01</v>
      </c>
      <c r="EC58" s="235">
        <f t="shared" si="138"/>
        <v>3</v>
      </c>
      <c r="ED58" s="235" t="str">
        <f t="shared" si="266"/>
        <v>3*95</v>
      </c>
      <c r="EE58" s="189">
        <f t="shared" si="239"/>
        <v>95</v>
      </c>
      <c r="EF58" s="189" t="str">
        <f>LOOKUP(EH58,{1,7,10,14,19,24,30,37,48,61},{1,"1+6","2+8","4+10","1+6+12","2+8+14","4+10+16","1+6+12+18","3+9+15+21","1+6+12+18+24"})</f>
        <v>1+6+12</v>
      </c>
      <c r="EG58" s="188">
        <f t="shared" si="29"/>
        <v>3</v>
      </c>
      <c r="EH58" s="197">
        <f>VLOOKUP(EE58,各项系数!$B$87:$C$124,2,0)</f>
        <v>19</v>
      </c>
      <c r="EI58" s="188">
        <f>IF(EH58=0,0,VLOOKUP(EH58,各项系数!$D$142:$E$195,2,0))*1</f>
        <v>5</v>
      </c>
      <c r="EJ58" s="238">
        <f t="shared" si="141"/>
        <v>245.088056587712</v>
      </c>
      <c r="EK58" s="189">
        <f t="shared" si="261"/>
        <v>0</v>
      </c>
      <c r="EL58" s="189">
        <f t="shared" si="31"/>
        <v>0</v>
      </c>
      <c r="EM58" s="189">
        <f t="shared" si="267"/>
        <v>0</v>
      </c>
      <c r="EN58" s="189">
        <f>IF(EP58=0,0,LOOKUP(EP58,{1,7,10,14,19,24,30,37,48,61},{1,"1+6","2+8","4+10","1+6+12","2+8+14","4+10+16","1+6+12+18","3+9+15+21","1+6+12+18+24"}))</f>
        <v>0</v>
      </c>
      <c r="EO58" s="189">
        <f t="shared" si="263"/>
        <v>0</v>
      </c>
      <c r="EP58" s="189">
        <f>IF(EM58=0,0,IF(EM58&lt;10,1,IF(AND(EM58&gt;=10,EM58&lt;=35),7,LOOKUP(EM58,{50,70,95,120,150,185,240,300},{10,14,19,24,30,37,48,61})*1)))</f>
        <v>0</v>
      </c>
      <c r="EQ58" s="189">
        <f>IF(EP58=0,0,VLOOKUP(EP58,各项系数!$D$142:$E$195,2,0))*1</f>
        <v>0</v>
      </c>
      <c r="ER58" s="189">
        <f t="shared" si="264"/>
        <v>0</v>
      </c>
      <c r="ES58" s="235">
        <f t="shared" si="250"/>
        <v>3</v>
      </c>
      <c r="ET58" s="189">
        <f>VLOOKUP(ES58,各项系数!$D$142:$E$195,2,0)*1</f>
        <v>2.16</v>
      </c>
      <c r="EU58" s="243">
        <f>((各项系数!$F$76/4*$EJ58^2*$EG58*$EH58*1*10^-7)*(1-$H58)*AA58)*(VLOOKUP($EY$9,各项系数!$D$4:$F$143,3,0))*各项系数!$J$4</f>
        <v>2.4095909331261662</v>
      </c>
      <c r="EV58" s="244">
        <f>EU58*(VLOOKUP($EY$9,各项系数!$D$4:$F$143,2,0))</f>
        <v>157.82820611976388</v>
      </c>
      <c r="EW58" s="252">
        <f>(IF($EO58=0,0,(各项系数!$F$76/4*$ER58^2*$EO58*$EP58*1*10^-7))*(1-$K58)*$AF58)*(VLOOKUP($EY$9,各项系数!$D$4:$F$143,3,0))*各项系数!$J$4</f>
        <v>0</v>
      </c>
      <c r="EX58" s="253">
        <f>EW58*(VLOOKUP($EY$9,各项系数!$D$4:$F$143,2,0))</f>
        <v>0</v>
      </c>
      <c r="EY58" s="189">
        <f>((各项系数!$F$76/4*$EJ58^2*$EG58*$EH58*1*10^-7)*(1-$H58)*AA58+IF($EO58=0,0,(各项系数!$F$76/4*$ER58^2*$EO58*$EP58*1*10^-7))*(1-$K58)*$AF58)*(VLOOKUP($EY$9,各项系数!$D$4:$F$143,3,0))*各项系数!$J$4</f>
        <v>2.4095909331261662</v>
      </c>
      <c r="EZ58" s="102">
        <v>1</v>
      </c>
      <c r="FA58" s="189">
        <f t="shared" si="268"/>
        <v>2.4095909331261662</v>
      </c>
      <c r="FB58" s="254">
        <f>FA58*(VLOOKUP($EY$9,各项系数!$D$4:$F$143,2,0))</f>
        <v>157.82820611976388</v>
      </c>
      <c r="FC58" s="255"/>
      <c r="FD58" s="235">
        <f>各项系数!$F$76/4*($MN58^2-MK58^2)*10^-2*(VLOOKUP(L58,各项系数!$D$1:$F$143,3,0))*10^-3*10^2*$EG58*各项系数!$J$4</f>
        <v>0.15153189400445569</v>
      </c>
      <c r="FE58" s="262">
        <f>FD58*VLOOKUP(L58,各项系数!$D$1:$F$143,2,0)</f>
        <v>1.5456253188454478</v>
      </c>
      <c r="FF58" s="188">
        <f>各项系数!$F$76/4*($MO58^2-ML58^2)*10^-2*(VLOOKUP(L58,各项系数!$D$1:$F$143,3,0))*10^-3*10^2*$EO58*各项系数!$J$4</f>
        <v>0</v>
      </c>
      <c r="FG58" s="262">
        <f>FF58*VLOOKUP(L58,各项系数!$D$1:$F$143,2,0)</f>
        <v>0</v>
      </c>
      <c r="FH58" s="235">
        <f t="shared" si="142"/>
        <v>0.15153189400445569</v>
      </c>
      <c r="FI58" s="102">
        <v>1</v>
      </c>
      <c r="FJ58" s="189">
        <f t="shared" si="269"/>
        <v>0.15153189400445569</v>
      </c>
      <c r="FK58" s="262">
        <f>FJ58*VLOOKUP(L58,各项系数!$D$1:$F$143,2,0)</f>
        <v>1.5456253188454478</v>
      </c>
      <c r="FL58" s="235"/>
      <c r="FM58" s="102"/>
      <c r="FN58" s="189"/>
      <c r="FO58" s="262"/>
      <c r="FP58" s="282">
        <f t="shared" si="270"/>
        <v>0.15153189400445569</v>
      </c>
      <c r="FQ58" s="282">
        <f t="shared" si="271"/>
        <v>1.5456253188454478</v>
      </c>
      <c r="FR58" s="283">
        <f>各项系数!$F$76/4*($MQ58^2-$MN58^2*$EG58-$MO58^2*$EO58)*10^-2</f>
        <v>2.7331338620424521</v>
      </c>
      <c r="FS58" s="284">
        <f t="shared" si="143"/>
        <v>1</v>
      </c>
      <c r="FT58" s="285">
        <f t="shared" si="40"/>
        <v>2.7331338620424521</v>
      </c>
      <c r="FU58" s="302">
        <f>$FT58*(VLOOKUP($FT$9,各项系数!$D$1:$F$143,3,0))*10^-3*10^2*各项系数!$J$55</f>
        <v>0.32633618312786877</v>
      </c>
      <c r="FV58" s="303">
        <v>1</v>
      </c>
      <c r="FW58" s="304">
        <f t="shared" si="272"/>
        <v>0.32633618312786877</v>
      </c>
      <c r="FX58" s="285">
        <f>FW58*(VLOOKUP($FT$9,各项系数!$D$1:$F$143,2,0))</f>
        <v>0.97900854938360626</v>
      </c>
      <c r="FY58" s="302">
        <f>IF($BK58&lt;&gt;$FY$9,0,各项系数!$F$76/4*($MS58^2-$MQ58^2)*10^-2*(VLOOKUP($FY$9,各项系数!$D$1:$F$143,3,0))*10^-3*10^2)*各项系数!$J$4</f>
        <v>0</v>
      </c>
      <c r="FZ58" s="303">
        <v>1</v>
      </c>
      <c r="GA58" s="304">
        <f t="shared" si="273"/>
        <v>0</v>
      </c>
      <c r="GB58" s="285">
        <f>GA58*(VLOOKUP($FY$9,各项系数!$D$1:$F$143,2,0))</f>
        <v>0</v>
      </c>
      <c r="GC58" s="302">
        <f>IF($BK58&lt;&gt;$GC$9,0,各项系数!$F$76/4*($MS58^2-$MQ58^2)*10^-2*(VLOOKUP($GC$9,各项系数!$D$1:$F$143,3,0))*10^-3*10^2)*各项系数!$J$4</f>
        <v>8.5264272971602995E-3</v>
      </c>
      <c r="GD58" s="303">
        <v>1</v>
      </c>
      <c r="GE58" s="304">
        <f t="shared" si="274"/>
        <v>8.5264272971602995E-3</v>
      </c>
      <c r="GF58" s="285">
        <f>GE58*(VLOOKUP($GC$9,各项系数!$D$1:$F$143,2,0))</f>
        <v>0.10999091213336787</v>
      </c>
      <c r="GG58" s="302">
        <f>IF($BK58&lt;&gt;$GG$9,0,各项系数!$F$76/4*($MS58^2-$MQ58^2)*10^-2*(VLOOKUP($GG$9,各项系数!$D$1:$F$143,3,0))*10^-3*10^2)*各项系数!$J$4</f>
        <v>0</v>
      </c>
      <c r="GH58" s="303">
        <v>1</v>
      </c>
      <c r="GI58" s="304">
        <f t="shared" si="275"/>
        <v>0</v>
      </c>
      <c r="GJ58" s="285">
        <f>GI58*(VLOOKUP($GG$9,各项系数!$D$1:$F$143,2,0))</f>
        <v>0</v>
      </c>
      <c r="GK58" s="302">
        <f>IF($BK58&lt;&gt;$GK$9,0,各项系数!$F$76/4*($MS58^2-$MQ58^2)*10^-2*(VLOOKUP($GK$9,各项系数!$D$1:$F$143,3,0))*10^-3*10^2)*各项系数!$J$4</f>
        <v>0</v>
      </c>
      <c r="GL58" s="303">
        <v>1</v>
      </c>
      <c r="GM58" s="304">
        <f t="shared" si="276"/>
        <v>0</v>
      </c>
      <c r="GN58" s="285">
        <f>GM58*(VLOOKUP($GK$9,各项系数!$D$1:$F$143,2,0))</f>
        <v>0</v>
      </c>
      <c r="GO58" s="304">
        <f t="shared" si="277"/>
        <v>8.5264272971602995E-3</v>
      </c>
      <c r="GP58" s="304">
        <f t="shared" si="278"/>
        <v>0.10999091213336787</v>
      </c>
      <c r="GQ58" s="315">
        <f>各项系数!$F$76/4*($MU58^2-$MS58^2)*10^-2*(VLOOKUP($S58,各项系数!$D$1:$F$143,3,0))*10^-3*10^2*各项系数!$J$4</f>
        <v>0.58937038871810887</v>
      </c>
      <c r="GR58" s="303">
        <v>1</v>
      </c>
      <c r="GS58" s="304">
        <f t="shared" si="279"/>
        <v>0.58937038871810887</v>
      </c>
      <c r="GT58" s="304">
        <f t="shared" si="200"/>
        <v>0</v>
      </c>
      <c r="GU58" s="304">
        <f>ROUND($GS58*(VLOOKUP($S58,各项系数!$D$1:$F$143,2,0))+$E$3*GS58,GT58)</f>
        <v>3</v>
      </c>
      <c r="GV58" s="315">
        <f>各项系数!$F$76/4*($MT58^2-$MS58^2)*10^-2*(VLOOKUP($GV$9,各项系数!$D$1:$F$143,3,0))*10^-3*10^2*各项系数!$J$4*PI()/4*R58</f>
        <v>4.39688333651789E-2</v>
      </c>
      <c r="GW58" s="303">
        <v>1</v>
      </c>
      <c r="GX58" s="304">
        <f t="shared" si="280"/>
        <v>4.39688333651789E-2</v>
      </c>
      <c r="GY58" s="304">
        <f>$GX58*(VLOOKUP($GV$9,各项系数!$D$1:$F$143,2,0))</f>
        <v>2.9678962521495755</v>
      </c>
      <c r="GZ58" s="315">
        <f>各项系数!$F$76/4*($MV58^2-$MS58^2)*10^-2*(VLOOKUP($GZ$9,各项系数!$D$1:$F$143,3,0))*10^-3*10^2*各项系数!$J$4</f>
        <v>0.31883998345692022</v>
      </c>
      <c r="HA58" s="303">
        <v>1</v>
      </c>
      <c r="HB58" s="304">
        <f t="shared" si="144"/>
        <v>0.31883998345692022</v>
      </c>
      <c r="HC58" s="304">
        <f>HB58*(VLOOKUP($GZ$9,各项系数!$D$1:$F$143,2,0))</f>
        <v>5.4202797187676435</v>
      </c>
      <c r="HD58" s="315">
        <f>各项系数!$F$76/4*($MW58^2-$MT58^2)*10^-2*(VLOOKUP($HD$9,各项系数!$D$1:$F$143,3,0))*10^-3*10^2*各项系数!$J$4</f>
        <v>0.32036291447804516</v>
      </c>
      <c r="HE58" s="303">
        <v>1</v>
      </c>
      <c r="HF58" s="304">
        <f t="shared" si="145"/>
        <v>0.32036291447804516</v>
      </c>
      <c r="HG58" s="304">
        <f>HF58*(VLOOKUP($HD$9,各项系数!$D$1:$F$143,2,0))</f>
        <v>5.4461695461267681</v>
      </c>
      <c r="HH58" s="315">
        <f>各项系数!$F$76/4*($MV58^2-$MS58^2)*10^-2*(VLOOKUP($HH$9,各项系数!$D$1:$F$143,3,0))*10^-3*10^2*各项系数!$J$4</f>
        <v>0.31883998345692022</v>
      </c>
      <c r="HI58" s="322">
        <v>1</v>
      </c>
      <c r="HJ58" s="304">
        <f t="shared" si="146"/>
        <v>0.31883998345692022</v>
      </c>
      <c r="HK58" s="304">
        <f>HJ58*(VLOOKUP($HH$9,各项系数!$D$1:$F$143,2,0))</f>
        <v>5.4202797187676435</v>
      </c>
      <c r="HL58" s="315">
        <f>各项系数!$F$76/4*($MW58^2-$MT58^2)*10^-2*(VLOOKUP($HL$9,各项系数!$D$1:$F$143,3,0))*10^-3*10^2*各项系数!$J$4</f>
        <v>0.32036291447804516</v>
      </c>
      <c r="HM58" s="322">
        <v>1</v>
      </c>
      <c r="HN58" s="304">
        <f t="shared" si="147"/>
        <v>0.32036291447804516</v>
      </c>
      <c r="HO58" s="304">
        <f>HN58*(VLOOKUP($HL$9,各项系数!$D$1:$F$143,2,0))</f>
        <v>5.4461695461267681</v>
      </c>
      <c r="HP58" s="315">
        <f>各项系数!$F$76/4*($MV58^2-$MS58^2)*10^-2*(VLOOKUP(AN58,各项系数!$D$1:$F$143,3,0))*10^-3*10^2*各项系数!$J$4</f>
        <v>0.32323777633218803</v>
      </c>
      <c r="HQ58" s="303">
        <v>1</v>
      </c>
      <c r="HR58" s="304">
        <f t="shared" si="281"/>
        <v>0.32323777633218803</v>
      </c>
      <c r="HS58" s="304">
        <f>HR58*(VLOOKUP(AN58,各项系数!$D$1:$F$143,2,0))</f>
        <v>3.2323777633218804</v>
      </c>
      <c r="HT58" s="315">
        <f>各项系数!$F$76/4*($MW58^2-$MT58^2)*10^-2*(VLOOKUP(AN58,各项系数!$D$1:$F$143,3,0))*10^-3*10^2*各项系数!$J$4</f>
        <v>0.32478171329843203</v>
      </c>
      <c r="HU58" s="303">
        <v>1</v>
      </c>
      <c r="HV58" s="304">
        <f t="shared" si="282"/>
        <v>0.32478171329843203</v>
      </c>
      <c r="HW58" s="304">
        <f>HV58*(VLOOKUP(AN58,各项系数!$D$1:$F$143,2,0))</f>
        <v>3.2478171329843204</v>
      </c>
      <c r="HX58" s="315">
        <f>各项系数!$F$76/4*($MV58^2-$MS58^2)*10^-2*(VLOOKUP($HX$9,各项系数!$D$1:$F$143,3,0))*10^-3*10^2*各项系数!$J$4</f>
        <v>0.32323777633218803</v>
      </c>
      <c r="HY58" s="322">
        <v>1</v>
      </c>
      <c r="HZ58" s="304">
        <f t="shared" si="283"/>
        <v>0.32323777633218803</v>
      </c>
      <c r="IA58" s="304">
        <f>HZ58*(VLOOKUP($HX$9,各项系数!$D$1:$F$143,2,0))</f>
        <v>3.5556155396540685</v>
      </c>
      <c r="IB58" s="315">
        <f>各项系数!$F$76/4*($MW58^2-$MT58^2)*10^-2*(VLOOKUP($IB$9,各项系数!$D$1:$F$143,3,0))*10^-3*10^2*各项系数!$J$4</f>
        <v>0.32478171329843203</v>
      </c>
      <c r="IC58" s="322">
        <v>1</v>
      </c>
      <c r="ID58" s="304">
        <f t="shared" si="284"/>
        <v>0.32478171329843203</v>
      </c>
      <c r="IE58" s="304">
        <f>ID58*(VLOOKUP($IB$9,各项系数!$D$1:$F$143,2,0))</f>
        <v>3.5725988462827525</v>
      </c>
      <c r="IF58" s="328"/>
      <c r="IG58" s="315">
        <f t="shared" si="148"/>
        <v>5.2978881147679666E-2</v>
      </c>
      <c r="IH58" s="303">
        <v>1</v>
      </c>
      <c r="II58" s="304">
        <f t="shared" si="285"/>
        <v>5.2978881147679666E-2</v>
      </c>
      <c r="IJ58" s="304">
        <f>II58*(VLOOKUP($IG$8,各项系数!$D$1:$F$143,2,0))</f>
        <v>1.3244720286919915</v>
      </c>
      <c r="IK58" s="315">
        <f>(各项系数!$F$76/4*($MX58^2-$MK58^2)*$EG58)*10^-2*(VLOOKUP($IG$8,各项系数!$D$1:$F$143,3,0))*10^-3*10^2*各项系数!$J$4</f>
        <v>5.2978881147679666E-2</v>
      </c>
      <c r="IL58" s="303">
        <f>IK58*(VLOOKUP($IG$8,各项系数!$D$1:$F$143,2,0))</f>
        <v>1.3244720286919915</v>
      </c>
      <c r="IM58" s="304">
        <f>(各项系数!$F$76/4*(($MM58+3*$X58)^2-MM58^2)*$EO58)*10^-2*(VLOOKUP($IG$8,各项系数!$D$1:$F$143,3,0))*10^-3*10^2*各项系数!$J$4</f>
        <v>0</v>
      </c>
      <c r="IN58" s="303">
        <f>IM58*(VLOOKUP($IG$8,各项系数!$D$1:$F$143,2,0))</f>
        <v>0</v>
      </c>
      <c r="IO58" s="315">
        <f>各项系数!$F$76/4*($MZ58^2-$MX58^2)*10^-2*(VLOOKUP(L58,各项系数!$D$1:$F$143,3,0))*10^-3*10^2*$ES58*各项系数!$J$4</f>
        <v>0.15834007085997653</v>
      </c>
      <c r="IP58" s="303">
        <v>1</v>
      </c>
      <c r="IQ58" s="304">
        <f t="shared" si="286"/>
        <v>0.15834007085997653</v>
      </c>
      <c r="IR58" s="285">
        <f>IQ58*(VLOOKUP(L58,各项系数!$D$1:$F$143,2,0))</f>
        <v>1.6150687227717606</v>
      </c>
      <c r="IS58" s="315">
        <f>IF($L58&lt;&gt;$IS$9,0,各项系数!$F$76/4*($MZ58^2-$MX58^2)*10^-2*各项系数!$F$12*10^-3*10^2)*$ES58*各项系数!$J$4</f>
        <v>0</v>
      </c>
      <c r="IT58" s="303">
        <v>1</v>
      </c>
      <c r="IU58" s="304">
        <f t="shared" si="287"/>
        <v>0</v>
      </c>
      <c r="IV58" s="285">
        <f>IU58*各项系数!$E$12</f>
        <v>0</v>
      </c>
      <c r="IW58" s="302">
        <f t="shared" si="288"/>
        <v>0.15834007085997653</v>
      </c>
      <c r="IX58" s="302">
        <f t="shared" si="289"/>
        <v>1.6150687227717606</v>
      </c>
      <c r="IY58" s="339">
        <f>各项系数!$F$76/4*($NB58^2-$MZ58^2*$EG58-$NA58^2*$EO58)*10^-2</f>
        <v>2.9647471526966793</v>
      </c>
      <c r="IZ58" s="284">
        <f t="shared" si="231"/>
        <v>1</v>
      </c>
      <c r="JA58" s="285">
        <f t="shared" si="64"/>
        <v>2.9647471526966793</v>
      </c>
      <c r="JB58" s="282">
        <f>IF($DE58&lt;&gt;$JB$9,0,$JA58*各项系数!$F$32*10^-3*10^2)*各项系数!$J$4</f>
        <v>0</v>
      </c>
      <c r="JC58" s="102">
        <v>1</v>
      </c>
      <c r="JD58" s="189">
        <f t="shared" si="290"/>
        <v>0</v>
      </c>
      <c r="JE58" s="262">
        <f>JD58*各项系数!$E$32</f>
        <v>0</v>
      </c>
      <c r="JF58" s="282">
        <f>IF($DE58&lt;&gt;$JF$9,0,$JA58*VLOOKUP($JF$9,各项系数!$D$4:$F$540,2,0)*10^-3*10^2)*各项系数!$J$4</f>
        <v>1.474961708466598</v>
      </c>
      <c r="JG58" s="102">
        <v>1</v>
      </c>
      <c r="JH58" s="189">
        <f t="shared" si="66"/>
        <v>1.474961708466598</v>
      </c>
      <c r="JI58" s="262">
        <f>JH58*VLOOKUP($JF$9,各项系数!$D$4:$F$540,3,0)</f>
        <v>1.7699540501599176</v>
      </c>
      <c r="JJ58" s="282">
        <f t="shared" si="291"/>
        <v>1.474961708466598</v>
      </c>
      <c r="JK58" s="189">
        <f t="shared" si="292"/>
        <v>1.7699540501599176</v>
      </c>
      <c r="JL58" s="282">
        <f>IF($DF58&lt;&gt;$JL$9,0,各项系数!$F$76/4*($NE58^2-$NC58^2)*10^-2*各项系数!$F$39*10^-3*10^2)*各项系数!$J$4</f>
        <v>3.6727593602172617E-3</v>
      </c>
      <c r="JM58" s="102">
        <v>1</v>
      </c>
      <c r="JN58" s="189">
        <f t="shared" si="293"/>
        <v>3.6727593602172617E-3</v>
      </c>
      <c r="JO58" s="262">
        <f>JN58*各项系数!$E$39</f>
        <v>7.345518720434524E-2</v>
      </c>
      <c r="JP58" s="282">
        <f>IF($DF58&lt;&gt;$JP$9,0,各项系数!$F$76/4*($NE58^2-$NC58^2)*10^-2*各项系数!$F$36*10^-3*10^2)*各项系数!$J$4</f>
        <v>0</v>
      </c>
      <c r="JQ58" s="102">
        <v>1</v>
      </c>
      <c r="JR58" s="189">
        <f t="shared" si="294"/>
        <v>0</v>
      </c>
      <c r="JS58" s="262">
        <f>JR58*各项系数!$E$36</f>
        <v>0</v>
      </c>
      <c r="JT58" s="282">
        <f>IF($DF58&lt;&gt;$JT$9,0,各项系数!$F$76/4*($NE58^2-$NC58^2)*10^-2*各项系数!$F$40*10^-3*10^2)*各项系数!$J$4</f>
        <v>0</v>
      </c>
      <c r="JU58" s="102">
        <v>1</v>
      </c>
      <c r="JV58" s="189">
        <f t="shared" si="295"/>
        <v>0</v>
      </c>
      <c r="JW58" s="262">
        <f>JV58*各项系数!$E$40</f>
        <v>0</v>
      </c>
      <c r="JX58" s="282">
        <f>IF($DF58&lt;&gt;$JX$9,0,各项系数!$F$76/4*($NE58^2-$NC58^2)*10^-2*各项系数!$F$38*10^-3*10^2)*各项系数!$J$4</f>
        <v>0</v>
      </c>
      <c r="JY58" s="102">
        <v>1</v>
      </c>
      <c r="JZ58" s="189">
        <f t="shared" si="296"/>
        <v>0</v>
      </c>
      <c r="KA58" s="262">
        <f>JZ58*各项系数!$E$38</f>
        <v>0</v>
      </c>
      <c r="KB58" s="282">
        <f>IF($DF58&lt;&gt;$KB$9,0,各项系数!$F$76/4*($NE58^2-$NC58^2)*10^-2*各项系数!$F$41*10^-3*10^2)*各项系数!$J$4</f>
        <v>0</v>
      </c>
      <c r="KC58" s="102">
        <v>1</v>
      </c>
      <c r="KD58" s="189">
        <f t="shared" si="297"/>
        <v>0</v>
      </c>
      <c r="KE58" s="262">
        <f>KD58*各项系数!$E$41</f>
        <v>0</v>
      </c>
      <c r="KF58" s="189">
        <f t="shared" si="298"/>
        <v>3.6727593602172617E-3</v>
      </c>
      <c r="KG58" s="189">
        <f t="shared" si="299"/>
        <v>7.345518720434524E-2</v>
      </c>
      <c r="KH58" s="235">
        <f>各项系数!$F$76/4*($NG58^2-$NE58^2)*10^-2*各项系数!$F$44*10^-3*10^2*各项系数!$J$4*0.75*$U58</f>
        <v>0.92145554304299071</v>
      </c>
      <c r="KI58" s="102">
        <v>1</v>
      </c>
      <c r="KJ58" s="189">
        <f t="shared" si="300"/>
        <v>0.92145554304299071</v>
      </c>
      <c r="KK58" s="189">
        <f>ROUND(KJ58*各项系数!$E$43,GT58)</f>
        <v>5</v>
      </c>
      <c r="KL58" s="235">
        <f>各项系数!$F$76/4*($NF58^2-$NE58^2)*10^-2*各项系数!$F$46*10^-3*10^2*各项系数!$J$4*PI()/4*R58</f>
        <v>4.5868526608788762E-2</v>
      </c>
      <c r="KM58" s="102">
        <v>1</v>
      </c>
      <c r="KN58" s="189">
        <f t="shared" si="301"/>
        <v>4.5868526608788762E-2</v>
      </c>
      <c r="KO58" s="189">
        <f>KN58*各项系数!$E$46</f>
        <v>3.0961255460932415</v>
      </c>
      <c r="KP58" s="235">
        <f>各项系数!$F$76/4*($NH58^2-$NE58^2)*10^-2*(VLOOKUP($KP$9,各项系数!$D$1:$F$143,3,0))*10^-3*10^2*各项系数!$J$4</f>
        <v>0.33178489713648135</v>
      </c>
      <c r="KQ58" s="102">
        <v>1</v>
      </c>
      <c r="KR58" s="189">
        <f t="shared" si="150"/>
        <v>0.33178489713648135</v>
      </c>
      <c r="KS58" s="189">
        <f>KR58*(VLOOKUP($KP$9,各项系数!$D$1:$F$143,2,0))</f>
        <v>5.640343251320183</v>
      </c>
      <c r="KT58" s="235">
        <f>各项系数!$F$76/4*($NI58^2-$NF58^2)*10^-2*(VLOOKUP($KT$9,各项系数!$D$1:$F$143,3,0))*10^-3*10^2*各项系数!$J$4</f>
        <v>0.33330782815760623</v>
      </c>
      <c r="KU58" s="102">
        <v>1</v>
      </c>
      <c r="KV58" s="189">
        <f t="shared" si="151"/>
        <v>0.33330782815760623</v>
      </c>
      <c r="KW58" s="189">
        <f>KV58*(VLOOKUP($KT$9,各项系数!$D$1:$F$143,2,0))</f>
        <v>5.6662330786793058</v>
      </c>
      <c r="KX58" s="189">
        <f>各项系数!$F$76/4*($NH58^2-$NE58^2)*10^-2*(VLOOKUP($KX$9,各项系数!$D$1:$F$143,3,0))*10^-3*10^2*各项系数!$J$4</f>
        <v>0.33178489713648135</v>
      </c>
      <c r="KY58" s="353">
        <v>1</v>
      </c>
      <c r="KZ58" s="189">
        <f t="shared" si="152"/>
        <v>0.33178489713648135</v>
      </c>
      <c r="LA58" s="189">
        <f>KZ58*(VLOOKUP($KX$9,各项系数!$D$1:$F$143,2,0))</f>
        <v>5.640343251320183</v>
      </c>
      <c r="LB58" s="189">
        <f>各项系数!$F$76/4*($NI58^2-$NF58^2)*10^-2*(VLOOKUP($LB$9,各项系数!$D$1:$F$143,3,0))*10^-3*10^2*各项系数!$J$4</f>
        <v>0.33330782815760623</v>
      </c>
      <c r="LC58" s="353">
        <v>1</v>
      </c>
      <c r="LD58" s="189">
        <f t="shared" si="153"/>
        <v>0.33330782815760623</v>
      </c>
      <c r="LE58" s="189">
        <f>LD58*(VLOOKUP($LB$9,各项系数!$D$1:$F$143,2,0))</f>
        <v>5.6662330786793058</v>
      </c>
      <c r="LF58" s="235">
        <f>各项系数!$F$76/4*($NH58^2-$NE58^2)*10^-2*(VLOOKUP(AN58,各项系数!$D$1:$F$143,3,0))*10^-3*10^2*各项系数!$J$4</f>
        <v>0.33636124054526034</v>
      </c>
      <c r="LG58" s="102">
        <v>1</v>
      </c>
      <c r="LH58" s="189">
        <f t="shared" si="302"/>
        <v>0.33636124054526034</v>
      </c>
      <c r="LI58" s="189">
        <f>LH58*(VLOOKUP(AN58,各项系数!$D$1:$F$143,2,0))</f>
        <v>3.3636124054526033</v>
      </c>
      <c r="LJ58" s="235">
        <f>各项系数!$F$76/4*($NI58^2-$NF58^2)*10^-2*(VLOOKUP(AN58,各项系数!$D$1:$F$143,3,0))*10^-3*10^2*各项系数!$J$4</f>
        <v>0.33790517751150423</v>
      </c>
      <c r="LK58" s="102">
        <v>1</v>
      </c>
      <c r="LL58" s="189">
        <f t="shared" si="303"/>
        <v>0.33790517751150423</v>
      </c>
      <c r="LM58" s="189">
        <f>LL58*(VLOOKUP(AN58,各项系数!$D$1:$F$143,2,0))</f>
        <v>3.3790517751150424</v>
      </c>
      <c r="LN58" s="189">
        <f>各项系数!$F$76/4*($NH58^2-$NE58^2)*10^-2*(VLOOKUP($LN$9,各项系数!$D$1:$F$143,3,0))*10^-3*10^2*各项系数!$J$4</f>
        <v>0.33636124054526034</v>
      </c>
      <c r="LO58" s="353">
        <v>1</v>
      </c>
      <c r="LP58" s="189">
        <f t="shared" si="304"/>
        <v>0.33636124054526034</v>
      </c>
      <c r="LQ58" s="189">
        <f>LP58*(VLOOKUP($LN$9,各项系数!$D$1:$F$143,2,0))</f>
        <v>3.6999736459978636</v>
      </c>
      <c r="LR58" s="189">
        <f>各项系数!$F$76/4*($NI58^2-$NF58^2)*10^-2*(VLOOKUP($LR$9,各项系数!$D$1:$F$143,3,0))*10^-3*10^2*各项系数!$J$4</f>
        <v>0.33790517751150423</v>
      </c>
      <c r="LS58" s="353">
        <v>1</v>
      </c>
      <c r="LT58" s="189">
        <f t="shared" si="305"/>
        <v>0.33790517751150423</v>
      </c>
      <c r="LU58" s="189">
        <f>LT58*(VLOOKUP($LR$9,各项系数!$D$1:$F$143,2,0))</f>
        <v>3.7169569526265467</v>
      </c>
      <c r="LV58" s="227">
        <f t="shared" si="154"/>
        <v>353.83064365000001</v>
      </c>
      <c r="LW58" s="227">
        <f t="shared" si="155"/>
        <v>268.91128916999998</v>
      </c>
      <c r="LX58" s="227">
        <f t="shared" si="156"/>
        <v>18.503742524066759</v>
      </c>
      <c r="LY58" s="227">
        <f t="shared" si="157"/>
        <v>84.919354480000038</v>
      </c>
      <c r="LZ58" s="374">
        <f t="shared" si="86"/>
        <v>1</v>
      </c>
      <c r="MA58" s="375">
        <f t="shared" si="87"/>
        <v>353.83064365000001</v>
      </c>
      <c r="MB58" s="375">
        <f t="shared" si="158"/>
        <v>12.25440285</v>
      </c>
      <c r="MC58" s="227">
        <f t="shared" si="159"/>
        <v>0</v>
      </c>
      <c r="MD58" s="227">
        <f t="shared" si="160"/>
        <v>0</v>
      </c>
      <c r="ME58" s="227">
        <f t="shared" si="161"/>
        <v>0</v>
      </c>
      <c r="MF58" s="227">
        <f t="shared" si="162"/>
        <v>0</v>
      </c>
      <c r="MG58" s="374">
        <f t="shared" si="163"/>
        <v>1</v>
      </c>
      <c r="MH58" s="375">
        <f t="shared" si="88"/>
        <v>0</v>
      </c>
      <c r="MI58" s="375">
        <f t="shared" si="164"/>
        <v>0</v>
      </c>
      <c r="MJ58" s="189">
        <f t="shared" si="89"/>
        <v>12.25440285</v>
      </c>
      <c r="MK58" s="189">
        <f t="shared" si="165"/>
        <v>12.25440285</v>
      </c>
      <c r="ML58" s="189">
        <f t="shared" si="306"/>
        <v>0</v>
      </c>
      <c r="MM58" s="189">
        <f t="shared" si="91"/>
        <v>0</v>
      </c>
      <c r="MN58" s="189">
        <f t="shared" si="92"/>
        <v>14.454402850000001</v>
      </c>
      <c r="MO58" s="189">
        <f t="shared" si="166"/>
        <v>0</v>
      </c>
      <c r="MP58" s="189">
        <f t="shared" si="167"/>
        <v>31.221510160000001</v>
      </c>
      <c r="MQ58" s="189">
        <f t="shared" si="307"/>
        <v>31.221510160000001</v>
      </c>
      <c r="MR58" s="246">
        <f t="shared" si="168"/>
        <v>31.221510160000001</v>
      </c>
      <c r="MS58" s="380">
        <f t="shared" si="94"/>
        <v>31.39751016</v>
      </c>
      <c r="MT58" s="380">
        <f t="shared" si="95"/>
        <v>31.55751016</v>
      </c>
      <c r="MU58" s="380">
        <f t="shared" si="232"/>
        <v>32.897510159999996</v>
      </c>
      <c r="MV58" s="380">
        <f t="shared" si="97"/>
        <v>35.597510159999999</v>
      </c>
      <c r="MW58" s="380">
        <f t="shared" si="98"/>
        <v>35.757510160000002</v>
      </c>
      <c r="MX58" s="254">
        <f t="shared" si="233"/>
        <v>12.85440285</v>
      </c>
      <c r="MY58" s="254">
        <f t="shared" si="100"/>
        <v>0</v>
      </c>
      <c r="MZ58" s="189">
        <f t="shared" si="101"/>
        <v>15.054402849999999</v>
      </c>
      <c r="NA58" s="189">
        <f t="shared" si="102"/>
        <v>0</v>
      </c>
      <c r="NB58" s="189">
        <f t="shared" si="169"/>
        <v>32.51751016</v>
      </c>
      <c r="NC58" s="254">
        <f t="shared" si="308"/>
        <v>32.51751016</v>
      </c>
      <c r="ND58" s="246">
        <f t="shared" si="234"/>
        <v>32.51751016</v>
      </c>
      <c r="NE58" s="386">
        <f t="shared" si="235"/>
        <v>32.757510160000002</v>
      </c>
      <c r="NF58" s="380">
        <f t="shared" si="106"/>
        <v>32.917510159999999</v>
      </c>
      <c r="NG58" s="387">
        <f t="shared" si="236"/>
        <v>34.257510160000002</v>
      </c>
      <c r="NH58" s="254">
        <f t="shared" si="108"/>
        <v>36.957510160000005</v>
      </c>
      <c r="NI58" s="380">
        <f t="shared" si="109"/>
        <v>37.117510160000002</v>
      </c>
      <c r="NK58" s="388">
        <f t="shared" si="110"/>
        <v>3.2192232138878389</v>
      </c>
      <c r="NL58" s="388">
        <f t="shared" si="111"/>
        <v>163.69520866344817</v>
      </c>
      <c r="NM58" s="388">
        <f t="shared" si="112"/>
        <v>3.2192232138878389</v>
      </c>
      <c r="NN58" s="388">
        <f t="shared" si="113"/>
        <v>164.01844643978035</v>
      </c>
      <c r="NO58" s="388">
        <f t="shared" si="114"/>
        <v>4.4359055935058977</v>
      </c>
      <c r="NP58" s="388">
        <f t="shared" si="115"/>
        <v>165.97476851404448</v>
      </c>
      <c r="NQ58" s="388">
        <f t="shared" si="116"/>
        <v>4.4359055935058977</v>
      </c>
      <c r="NR58" s="388">
        <f t="shared" si="117"/>
        <v>166.31112975458973</v>
      </c>
      <c r="NS58" s="388">
        <f t="shared" si="118"/>
        <v>3.263192047253018</v>
      </c>
      <c r="NT58" s="388">
        <f t="shared" si="119"/>
        <v>3.263192047253018</v>
      </c>
      <c r="NU58" s="388">
        <f t="shared" si="120"/>
        <v>4.4817741201146868</v>
      </c>
      <c r="NV58" s="388">
        <f t="shared" si="121"/>
        <v>4.4817741201146868</v>
      </c>
      <c r="NW58">
        <f t="shared" si="122"/>
        <v>3.8085936026059479</v>
      </c>
      <c r="NX58">
        <f>各项系数!$M$9*NK58</f>
        <v>0.96576696416635166</v>
      </c>
      <c r="NY58">
        <f t="shared" si="123"/>
        <v>3.263192047253018</v>
      </c>
    </row>
    <row r="59" spans="1:389" ht="15" hidden="1" customHeight="1">
      <c r="A59" s="74">
        <v>37</v>
      </c>
      <c r="B59" s="70">
        <v>1</v>
      </c>
      <c r="C59" s="67"/>
      <c r="D59" s="53" t="s">
        <v>224</v>
      </c>
      <c r="E59" s="61">
        <f t="shared" si="255"/>
        <v>41.50177936</v>
      </c>
      <c r="F59" s="68">
        <f>$F$27</f>
        <v>244.921136962963</v>
      </c>
      <c r="G59" s="58"/>
      <c r="H59" s="62"/>
      <c r="I59" s="62"/>
      <c r="J59" s="16"/>
      <c r="K59" s="62"/>
      <c r="L59" s="97" t="s">
        <v>467</v>
      </c>
      <c r="M59" s="103">
        <f t="shared" si="2"/>
        <v>1.2</v>
      </c>
      <c r="N59" s="103">
        <f t="shared" si="252"/>
        <v>0</v>
      </c>
      <c r="O59" s="53">
        <f t="shared" si="312"/>
        <v>0.08</v>
      </c>
      <c r="P59" s="99">
        <v>0.1</v>
      </c>
      <c r="Q59" s="133">
        <f t="shared" si="309"/>
        <v>0.1</v>
      </c>
      <c r="R59" s="70">
        <v>0.8</v>
      </c>
      <c r="S59" s="142" t="str">
        <f>各项系数!$D$43</f>
        <v>钢带</v>
      </c>
      <c r="T59" s="102">
        <v>0.5</v>
      </c>
      <c r="U59" s="102">
        <v>2</v>
      </c>
      <c r="V59" s="140"/>
      <c r="W59" s="141">
        <v>2.2000000000000002</v>
      </c>
      <c r="X59" s="135">
        <f t="shared" si="310"/>
        <v>0.2</v>
      </c>
      <c r="Y59" s="135"/>
      <c r="Z59" s="168"/>
      <c r="AA59" s="153">
        <f>$AA$27</f>
        <v>1.0129999999999999</v>
      </c>
      <c r="AB59" s="153">
        <f>PI()*EJ59*EJ59/4*EH59*(1-H59)*AA59*各项系数!$F$5*各项系数!$J$4*10^-7</f>
        <v>1.013183115671781</v>
      </c>
      <c r="AC59" s="153">
        <f t="shared" si="256"/>
        <v>244.921136962963</v>
      </c>
      <c r="AD59" s="153">
        <f t="shared" si="5"/>
        <v>114.54156221736136</v>
      </c>
      <c r="AE59" s="153">
        <f>POWER(4*EU59/PI()/EG59/10^-7/EH59/(1-H59)/各项系数!$F$5/各项系数!$J$4,0.5)</f>
        <v>246.50798375415033</v>
      </c>
      <c r="AF59" s="69">
        <v>1</v>
      </c>
      <c r="AG59" s="69">
        <f>IF(EM59=0,0,PI()*ER59*ER59/4*EP59*(1-K59)*(1+AF59)*各项系数!$F$5*各项系数!$J$4*10^-7)</f>
        <v>0</v>
      </c>
      <c r="AH59" s="69">
        <f t="shared" si="257"/>
        <v>0</v>
      </c>
      <c r="AI59" s="69">
        <f t="shared" si="128"/>
        <v>0</v>
      </c>
      <c r="AJ59" s="69">
        <f>IF(OR(EP59="",EP59=0),0,POWER(4*EW59/PI()/EO59/10^-7/EP59/(1-K59)/各项系数!$F$5/各项系数!$J$4,0.5))</f>
        <v>0</v>
      </c>
      <c r="AK59" s="69" t="str">
        <f t="shared" si="8"/>
        <v>√</v>
      </c>
      <c r="AL59" s="69">
        <f t="shared" si="258"/>
        <v>213.10127452047621</v>
      </c>
      <c r="AM59" s="188">
        <f t="shared" si="259"/>
        <v>120</v>
      </c>
      <c r="AN59" s="97" t="s">
        <v>486</v>
      </c>
      <c r="AO59" s="196">
        <f>AP59+各项系数!$M$9*$NK59</f>
        <v>208.9228181573296</v>
      </c>
      <c r="AP59" s="196">
        <f>AQ59*(1+$BI59+(VLOOKUP($AM59,$A$12:$B$323,2,0))+各项系数!$J$6+各项系数!$M$5)*(1+$E$2)</f>
        <v>207.69276726666956</v>
      </c>
      <c r="AQ59" s="197">
        <f>AR59+各项系数!$L$9*$NK59</f>
        <v>211.931395170071</v>
      </c>
      <c r="AR59" s="197">
        <f>AS59*(1+$BJ59+各项系数!$J$5+各项系数!$L$5)</f>
        <v>210.70134427941096</v>
      </c>
      <c r="AS59" s="197">
        <f t="shared" si="129"/>
        <v>206.56994537197153</v>
      </c>
      <c r="AT59" s="196">
        <f>AU59+各项系数!$M$9*$NM59</f>
        <v>211.61099091548647</v>
      </c>
      <c r="AU59" s="196">
        <f>AV59*(1+$BI59+(VLOOKUP($AM59,$A$12:$B$323,2,0))+各项系数!$J$6+各项系数!$M$5)*(1+$E$2)</f>
        <v>210.38094002482643</v>
      </c>
      <c r="AV59" s="197">
        <f>AW59+各项系数!$L$9*$NM59</f>
        <v>214.67442859676166</v>
      </c>
      <c r="AW59" s="197">
        <f>AX59*(1+$BJ59+各项系数!$J$5+各项系数!$L$5)</f>
        <v>213.44437770610162</v>
      </c>
      <c r="AX59" s="197">
        <f t="shared" si="130"/>
        <v>209.25919382951139</v>
      </c>
      <c r="AY59" s="196">
        <f>AZ59+各项系数!$M$9*$NS59</f>
        <v>212.47416477902652</v>
      </c>
      <c r="AZ59" s="196">
        <f>BA59*(1+$BI59+(VLOOKUP($AM59,$A$12:$B$214,2,0))+各项系数!$J$6+各项系数!$M$5)*(1+$E$2)</f>
        <v>211.22853286446156</v>
      </c>
      <c r="BA59" s="197">
        <f>BB59+各项系数!$L$9*$NS59</f>
        <v>215.53931924945059</v>
      </c>
      <c r="BB59" s="197">
        <f>BC59*(1+$BJ59+各项系数!$J$5+各项系数!$L$5)</f>
        <v>214.29368733488562</v>
      </c>
      <c r="BC59" s="199">
        <f t="shared" si="131"/>
        <v>210.09185032831923</v>
      </c>
      <c r="BD59" s="196">
        <f>BE59+各项系数!$M$9*$NS59</f>
        <v>215.17328125648334</v>
      </c>
      <c r="BE59" s="196">
        <f>BF59*(1+$BI59+(VLOOKUP($AM59,$A$12:$B$214,2,0))+各项系数!$J$6+各项系数!$M$5)*(1+$E$2)</f>
        <v>213.92764934191837</v>
      </c>
      <c r="BF59" s="197">
        <f>BG59+各项系数!$L$9*$NS59</f>
        <v>218.2935197366514</v>
      </c>
      <c r="BG59" s="197">
        <f>BH59*(1+$BJ59+各项系数!$J$5+各项系数!$L$5)</f>
        <v>217.04788782208644</v>
      </c>
      <c r="BH59" s="199">
        <f t="shared" si="132"/>
        <v>212.79204688439847</v>
      </c>
      <c r="BI59" s="213"/>
      <c r="BJ59" s="208"/>
      <c r="BK59" s="53" t="s">
        <v>514</v>
      </c>
      <c r="BL59" s="196">
        <f>BM59+各项系数!$M$9*$NM59</f>
        <v>211.34824435240409</v>
      </c>
      <c r="BM59" s="196">
        <f>BN59*(1+$CF59+(VLOOKUP($AM59,$A$12:$B$323,2,0))+各项系数!$J$6+各项系数!$M$5)*(1+$E$2)</f>
        <v>210.11819346174406</v>
      </c>
      <c r="BN59" s="197">
        <f>BO59+各项系数!$L$9*$NM59</f>
        <v>214.4063198589225</v>
      </c>
      <c r="BO59" s="197">
        <f>BP59*(1+$CG59+各项系数!$J$5+各项系数!$L$5)</f>
        <v>213.17626896826246</v>
      </c>
      <c r="BP59" s="197">
        <f t="shared" si="133"/>
        <v>206.96725142549752</v>
      </c>
      <c r="BQ59" s="196">
        <f>BR59+各项系数!$M$9*$NM59</f>
        <v>213.66173101501568</v>
      </c>
      <c r="BR59" s="196">
        <f>BS59*(1+$CF59+(VLOOKUP($AM59,$A$12:$B$323,2,0))+各项系数!$J$6+各项系数!$M$5)*(1+$E$2)</f>
        <v>212.43168012435564</v>
      </c>
      <c r="BS59" s="197">
        <f>BT59+各项系数!$L$9*$NM59</f>
        <v>216.76702053505679</v>
      </c>
      <c r="BT59" s="197">
        <f>BU59*(1+$CG59+各项系数!$J$5+各项系数!$L$5)</f>
        <v>215.53696964439675</v>
      </c>
      <c r="BU59" s="197">
        <f t="shared" si="134"/>
        <v>209.25919382951139</v>
      </c>
      <c r="BV59" s="196">
        <f>BW59+各项系数!$M$9*$NT59</f>
        <v>213.72311716336867</v>
      </c>
      <c r="BW59" s="196">
        <f>BX59*(1+$CF59+(VLOOKUP($AM59,$A$12:$B$214,2,0))+各项系数!$J$6+各项系数!$M$5)*(1+$E$2)</f>
        <v>212.4774852488037</v>
      </c>
      <c r="BX59" s="197">
        <f>BY59+各项系数!$L$9*$NT$12</f>
        <v>216.81376045796296</v>
      </c>
      <c r="BY59" s="197">
        <f>BZ59*(1+$CG59+各项系数!$J$5+各项系数!$L$5)</f>
        <v>216.80549705480797</v>
      </c>
      <c r="BZ59" s="199">
        <f t="shared" si="11"/>
        <v>210.49077383961938</v>
      </c>
      <c r="CA59" s="196">
        <f>CB59+各项系数!$M$9*$NT59</f>
        <v>216.04602217476867</v>
      </c>
      <c r="CB59" s="196">
        <f>CC59*(1+$CF59+(VLOOKUP($AM59,$A$12:$B$214,2,0))+各项系数!$J$6+各项系数!$M$5)*(1+$E$2)</f>
        <v>214.8003902602037</v>
      </c>
      <c r="CC59" s="197">
        <f>CD59+各项系数!$L$9*$NT$12</f>
        <v>219.18407169408542</v>
      </c>
      <c r="CD59" s="197">
        <f>CE59*(1+$CG59+各项系数!$J$5+各项系数!$L$5)</f>
        <v>219.17580829093043</v>
      </c>
      <c r="CE59" s="199">
        <f t="shared" si="135"/>
        <v>212.79204688439847</v>
      </c>
      <c r="CF59" s="213">
        <f t="shared" si="136"/>
        <v>0</v>
      </c>
      <c r="CG59" s="213">
        <f t="shared" si="12"/>
        <v>0.01</v>
      </c>
      <c r="CH59" s="102"/>
      <c r="CI59" s="196">
        <f>CJ59+各项系数!$M$9*$NO59</f>
        <v>213.96526022032583</v>
      </c>
      <c r="CJ59" s="196">
        <f>CK59*(1+$DC59+(VLOOKUP($AM59,$A$12:$B$323,2,0))+各项系数!$J$6+各项系数!$M$5)*(1+$E$2)+各项系数!$M$9*$NK59</f>
        <v>212.23719586379278</v>
      </c>
      <c r="CK59" s="197">
        <f>CL59+各项系数!$L$9*$NO59</f>
        <v>215.31341323789056</v>
      </c>
      <c r="CL59" s="197">
        <f>CM59*(1+$DD59+各项系数!$J$5+各项系数!$L$5)</f>
        <v>213.5853488813575</v>
      </c>
      <c r="CM59" s="197">
        <f t="shared" si="13"/>
        <v>209.39740086407599</v>
      </c>
      <c r="CN59" s="196">
        <f>CO59+各项系数!$M$9*$NO59</f>
        <v>216.51600406124342</v>
      </c>
      <c r="CO59" s="196">
        <f>CP59*(1+$DC59+(VLOOKUP($AM59,$A$12:$B$323,2,0))+各项系数!$J$6+各项系数!$M$5)*(1+$E$2)+各项系数!$M$9*$NK59</f>
        <v>214.78793970471037</v>
      </c>
      <c r="CP59" s="197">
        <f>CQ59+各项系数!$L$9*$NO59</f>
        <v>217.91621307556156</v>
      </c>
      <c r="CQ59" s="197">
        <f>CR59*(1+$DD59+各项系数!$J$5+各项系数!$L$5)</f>
        <v>216.1881487190285</v>
      </c>
      <c r="CR59" s="197">
        <f t="shared" si="14"/>
        <v>211.94916541081224</v>
      </c>
      <c r="CS59" s="196">
        <f>CT59+各项系数!$M$9*$NU59</f>
        <v>216.41586237137551</v>
      </c>
      <c r="CT59" s="196">
        <f t="shared" si="15"/>
        <v>214.67164708296445</v>
      </c>
      <c r="CU59" s="197">
        <f>CV59+各项系数!$L$9*$NU59</f>
        <v>219.05270110506578</v>
      </c>
      <c r="CV59" s="197">
        <f>CW59*(1+$DD59+各项系数!$J$5+各项系数!$L$5)</f>
        <v>217.30848581665472</v>
      </c>
      <c r="CW59" s="199">
        <f t="shared" si="16"/>
        <v>213.04753511436738</v>
      </c>
      <c r="CX59" s="196">
        <f>CY59+各项系数!$M$9*$NU59</f>
        <v>219.20800046288207</v>
      </c>
      <c r="CY59" s="196">
        <f t="shared" si="17"/>
        <v>217.46378517447101</v>
      </c>
      <c r="CZ59" s="197">
        <f>DA59+各项系数!$L$9*$NU59</f>
        <v>221.90182160660308</v>
      </c>
      <c r="DA59" s="197">
        <f>DB59*(1+$DD59+各项系数!$J$5+各项系数!$L$5)</f>
        <v>220.15760631819202</v>
      </c>
      <c r="DB59" s="199">
        <f t="shared" si="18"/>
        <v>215.8407905080314</v>
      </c>
      <c r="DC59" s="213">
        <f t="shared" si="137"/>
        <v>0</v>
      </c>
      <c r="DD59" s="213">
        <f t="shared" si="19"/>
        <v>0</v>
      </c>
      <c r="DE59" s="53" t="s">
        <v>498</v>
      </c>
      <c r="DF59" s="53" t="s">
        <v>513</v>
      </c>
      <c r="DG59" s="196">
        <f>DH59+各项系数!$M$9*$NQ59</f>
        <v>216.43227310517943</v>
      </c>
      <c r="DH59" s="196">
        <f>DI59*(1+$EA59+(VLOOKUP($AM59,$A$12:$B$323,2,0))+各项系数!$J$6+各项系数!$M$5)*(1+$E$2)+各项系数!$M$9*$NK59</f>
        <v>214.70420874864638</v>
      </c>
      <c r="DI59" s="197">
        <f>DJ59+各项系数!$L$9*$NQ59</f>
        <v>217.83077332447587</v>
      </c>
      <c r="DJ59" s="197">
        <f>DK59*(1+$EB59+各项系数!$J$5+各项系数!$L$5)</f>
        <v>216.10270896794282</v>
      </c>
      <c r="DK59" s="197">
        <f t="shared" si="20"/>
        <v>209.80845530868234</v>
      </c>
      <c r="DL59" s="196">
        <f>DM59+各项系数!$M$9*$NQ59</f>
        <v>218.8258157324926</v>
      </c>
      <c r="DM59" s="196">
        <f>DN59*(1+$EA59+(VLOOKUP($AM59,$A$12:$B$323,2,0))+各项系数!$J$6+各项系数!$M$5)*(1+$E$2)+各项系数!$M$9*$NK59</f>
        <v>217.09775137595955</v>
      </c>
      <c r="DN59" s="197">
        <f>DO59+各项系数!$L$9*$NQ59</f>
        <v>220.2731637605097</v>
      </c>
      <c r="DO59" s="197">
        <f>DP59*(1+$EB59+各项系数!$J$5+各项系数!$L$5)</f>
        <v>218.54509940397665</v>
      </c>
      <c r="DP59" s="197">
        <f t="shared" si="21"/>
        <v>212.17970815920063</v>
      </c>
      <c r="DQ59" s="196">
        <f>DR59+各项系数!$M$9*$NV59</f>
        <v>218.92027923375923</v>
      </c>
      <c r="DR59" s="196">
        <f t="shared" si="22"/>
        <v>217.17606394534818</v>
      </c>
      <c r="DS59" s="197">
        <f>DT59+各项系数!$L$9*$NV59</f>
        <v>221.60822851566141</v>
      </c>
      <c r="DT59" s="197">
        <f>DU59*(1+$EB59+各项系数!$J$5+各项系数!$L$5)</f>
        <v>219.86401322725035</v>
      </c>
      <c r="DU59" s="199">
        <f t="shared" si="23"/>
        <v>213.46020701674792</v>
      </c>
      <c r="DV59" s="196">
        <f>DW59+各项系数!$M$9*$NV59</f>
        <v>219.2209581060994</v>
      </c>
      <c r="DW59" s="196">
        <f t="shared" si="24"/>
        <v>217.47674281768835</v>
      </c>
      <c r="DX59" s="197">
        <f>DY59+各项系数!$L$9*$NV59</f>
        <v>221.91504369151872</v>
      </c>
      <c r="DY59" s="197">
        <f>DZ59*(1+$EB59+各项系数!$J$5+各项系数!$L$5)</f>
        <v>220.17082840310766</v>
      </c>
      <c r="DZ59" s="199">
        <f t="shared" si="25"/>
        <v>213.75808582825985</v>
      </c>
      <c r="EA59" s="213">
        <f t="shared" si="311"/>
        <v>0</v>
      </c>
      <c r="EB59" s="213">
        <f t="shared" si="27"/>
        <v>0.01</v>
      </c>
      <c r="EC59" s="235">
        <f t="shared" si="138"/>
        <v>3</v>
      </c>
      <c r="ED59" s="235" t="str">
        <f t="shared" si="266"/>
        <v>3*120</v>
      </c>
      <c r="EE59" s="189">
        <f t="shared" si="239"/>
        <v>120</v>
      </c>
      <c r="EF59" s="189" t="str">
        <f>LOOKUP(EH59,{1,7,10,14,19,24,30,37,48,61},{1,"1+6","2+8","4+10","1+6+12","2+8+14","4+10+16","1+6+12+18","3+9+15+21","1+6+12+18+24"})</f>
        <v>2+8+14</v>
      </c>
      <c r="EG59" s="188">
        <f t="shared" si="29"/>
        <v>3</v>
      </c>
      <c r="EH59" s="197">
        <f>VLOOKUP(EE59,各项系数!$B$87:$C$124,2,0)</f>
        <v>24</v>
      </c>
      <c r="EI59" s="188">
        <f>IF(EH59=0,0,VLOOKUP(EH59,各项系数!$D$142:$E$195,2,0))*1</f>
        <v>6</v>
      </c>
      <c r="EJ59" s="238">
        <f t="shared" si="141"/>
        <v>244.921136962963</v>
      </c>
      <c r="EK59" s="189">
        <f t="shared" si="261"/>
        <v>0</v>
      </c>
      <c r="EL59" s="189">
        <f t="shared" si="31"/>
        <v>0</v>
      </c>
      <c r="EM59" s="189">
        <f t="shared" si="267"/>
        <v>0</v>
      </c>
      <c r="EN59" s="189">
        <f>IF(EP59=0,0,LOOKUP(EP59,{1,7,10,14,19,24,30,37,48,61},{1,"1+6","2+8","4+10","1+6+12","2+8+14","4+10+16","1+6+12+18","3+9+15+21","1+6+12+18+24"}))</f>
        <v>0</v>
      </c>
      <c r="EO59" s="189">
        <f t="shared" si="263"/>
        <v>0</v>
      </c>
      <c r="EP59" s="189">
        <f>IF(EM59=0,0,IF(EM59&lt;10,1,IF(AND(EM59&gt;=10,EM59&lt;=35),7,LOOKUP(EM59,{50,70,95,120,150,185,240,300},{10,14,19,24,30,37,48,61})*1)))</f>
        <v>0</v>
      </c>
      <c r="EQ59" s="189">
        <f>IF(EP59=0,0,VLOOKUP(EP59,各项系数!$D$142:$E$195,2,0))*1</f>
        <v>0</v>
      </c>
      <c r="ER59" s="189">
        <f t="shared" si="264"/>
        <v>0</v>
      </c>
      <c r="ES59" s="235">
        <f t="shared" si="250"/>
        <v>3</v>
      </c>
      <c r="ET59" s="189">
        <f>VLOOKUP(ES59,各项系数!$D$142:$E$195,2,0)*1</f>
        <v>2.16</v>
      </c>
      <c r="EU59" s="243">
        <f>((各项系数!$F$76/4*$EJ59^2*$EG59*$EH59*1*10^-7)*(1-$H59)*AA59)*(VLOOKUP($EY$9,各项系数!$D$4:$F$143,3,0))*各项系数!$J$4</f>
        <v>3.0395493470153423</v>
      </c>
      <c r="EV59" s="244">
        <f>EU59*(VLOOKUP($EY$9,各项系数!$D$4:$F$143,2,0))</f>
        <v>199.09048222950491</v>
      </c>
      <c r="EW59" s="252">
        <f>(IF($EO59=0,0,(各项系数!$F$76/4*$ER59^2*$EO59*$EP59*1*10^-7))*(1-$K59)*$AF59)*(VLOOKUP($EY$9,各项系数!$D$4:$F$143,3,0))*各项系数!$J$4</f>
        <v>0</v>
      </c>
      <c r="EX59" s="253">
        <f>EW59*(VLOOKUP($EY$9,各项系数!$D$4:$F$143,2,0))</f>
        <v>0</v>
      </c>
      <c r="EY59" s="189">
        <f>((各项系数!$F$76/4*$EJ59^2*$EG59*$EH59*1*10^-7)*(1-$H59)*AA59+IF($EO59=0,0,(各项系数!$F$76/4*$ER59^2*$EO59*$EP59*1*10^-7))*(1-$K59)*$AF59)*(VLOOKUP($EY$9,各项系数!$D$4:$F$143,3,0))*各项系数!$J$4</f>
        <v>3.0395493470153423</v>
      </c>
      <c r="EZ59" s="102">
        <v>1</v>
      </c>
      <c r="FA59" s="189">
        <f t="shared" si="268"/>
        <v>3.0395493470153423</v>
      </c>
      <c r="FB59" s="254">
        <f>FA59*(VLOOKUP($EY$9,各项系数!$D$4:$F$143,2,0))</f>
        <v>199.09048222950491</v>
      </c>
      <c r="FC59" s="255"/>
      <c r="FD59" s="235">
        <f>各项系数!$F$76/4*($MN59^2-MK59^2)*10^-2*(VLOOKUP(L59,各项系数!$D$1:$F$143,3,0))*10^-3*10^2*$EG59*各项系数!$J$4</f>
        <v>0.19675963128673118</v>
      </c>
      <c r="FE59" s="262">
        <f>FD59*VLOOKUP(L59,各项系数!$D$1:$F$143,2,0)</f>
        <v>2.0069482391246578</v>
      </c>
      <c r="FF59" s="188">
        <f>各项系数!$F$76/4*($MO59^2-ML59^2)*10^-2*(VLOOKUP(L59,各项系数!$D$1:$F$143,3,0))*10^-3*10^2*$EO59*各项系数!$J$4</f>
        <v>0</v>
      </c>
      <c r="FG59" s="262">
        <f>FF59*VLOOKUP(L59,各项系数!$D$1:$F$143,2,0)</f>
        <v>0</v>
      </c>
      <c r="FH59" s="235">
        <f t="shared" si="142"/>
        <v>0.19675963128673118</v>
      </c>
      <c r="FI59" s="102">
        <v>1</v>
      </c>
      <c r="FJ59" s="189">
        <f t="shared" si="269"/>
        <v>0.19675963128673118</v>
      </c>
      <c r="FK59" s="262">
        <f>FJ59*VLOOKUP(L59,各项系数!$D$1:$F$143,2,0)</f>
        <v>2.0069482391246578</v>
      </c>
      <c r="FL59" s="235"/>
      <c r="FM59" s="102"/>
      <c r="FN59" s="189"/>
      <c r="FO59" s="262"/>
      <c r="FP59" s="282">
        <f t="shared" si="270"/>
        <v>0.19675963128673118</v>
      </c>
      <c r="FQ59" s="282">
        <f t="shared" si="271"/>
        <v>2.0069482391246578</v>
      </c>
      <c r="FR59" s="283">
        <f>各项系数!$F$76/4*($MQ59^2-$MN59^2*$EG59-$MO59^2*$EO59)*10^-2</f>
        <v>3.8230716035718575</v>
      </c>
      <c r="FS59" s="284">
        <f t="shared" si="143"/>
        <v>1</v>
      </c>
      <c r="FT59" s="285">
        <f t="shared" si="40"/>
        <v>3.8230716035718575</v>
      </c>
      <c r="FU59" s="302">
        <f>$FT59*(VLOOKUP($FT$9,各项系数!$D$1:$F$143,3,0))*10^-3*10^2*各项系数!$J$55</f>
        <v>0.4564747494664797</v>
      </c>
      <c r="FV59" s="303">
        <v>1</v>
      </c>
      <c r="FW59" s="304">
        <f t="shared" si="272"/>
        <v>0.4564747494664797</v>
      </c>
      <c r="FX59" s="285">
        <f>FW59*(VLOOKUP($FT$9,各项系数!$D$1:$F$143,2,0))</f>
        <v>1.3694242483994392</v>
      </c>
      <c r="FY59" s="302">
        <f>IF($BK59&lt;&gt;$FY$9,0,各项系数!$F$76/4*($MS59^2-$MQ59^2)*10^-2*(VLOOKUP($FY$9,各项系数!$D$1:$F$143,3,0))*10^-3*10^2)*各项系数!$J$4</f>
        <v>0</v>
      </c>
      <c r="FZ59" s="303">
        <v>1</v>
      </c>
      <c r="GA59" s="304">
        <f t="shared" si="273"/>
        <v>0</v>
      </c>
      <c r="GB59" s="285">
        <f>GA59*(VLOOKUP($FY$9,各项系数!$D$1:$F$143,2,0))</f>
        <v>0</v>
      </c>
      <c r="GC59" s="302">
        <f>IF($BK59&lt;&gt;$GC$9,0,各项系数!$F$76/4*($MS59^2-$MQ59^2)*10^-2*(VLOOKUP($GC$9,各项系数!$D$1:$F$143,3,0))*10^-3*10^2)*各项系数!$J$4</f>
        <v>1.0079854238964573E-2</v>
      </c>
      <c r="GD59" s="303">
        <v>1</v>
      </c>
      <c r="GE59" s="304">
        <f t="shared" si="274"/>
        <v>1.0079854238964573E-2</v>
      </c>
      <c r="GF59" s="285">
        <f>GE59*(VLOOKUP($GC$9,各项系数!$D$1:$F$143,2,0))</f>
        <v>0.130030119682643</v>
      </c>
      <c r="GG59" s="302">
        <f>IF($BK59&lt;&gt;$GG$9,0,各项系数!$F$76/4*($MS59^2-$MQ59^2)*10^-2*(VLOOKUP($GG$9,各项系数!$D$1:$F$143,3,0))*10^-3*10^2)*各项系数!$J$4</f>
        <v>0</v>
      </c>
      <c r="GH59" s="303">
        <v>1</v>
      </c>
      <c r="GI59" s="304">
        <f t="shared" si="275"/>
        <v>0</v>
      </c>
      <c r="GJ59" s="285">
        <f>GI59*(VLOOKUP($GG$9,各项系数!$D$1:$F$143,2,0))</f>
        <v>0</v>
      </c>
      <c r="GK59" s="302">
        <f>IF($BK59&lt;&gt;$GK$9,0,各项系数!$F$76/4*($MS59^2-$MQ59^2)*10^-2*(VLOOKUP($GK$9,各项系数!$D$1:$F$143,3,0))*10^-3*10^2)*各项系数!$J$4</f>
        <v>0</v>
      </c>
      <c r="GL59" s="303">
        <v>1</v>
      </c>
      <c r="GM59" s="304">
        <f t="shared" si="276"/>
        <v>0</v>
      </c>
      <c r="GN59" s="285">
        <f>GM59*(VLOOKUP($GK$9,各项系数!$D$1:$F$143,2,0))</f>
        <v>0</v>
      </c>
      <c r="GO59" s="304">
        <f t="shared" si="277"/>
        <v>1.0079854238964573E-2</v>
      </c>
      <c r="GP59" s="304">
        <f t="shared" si="278"/>
        <v>0.130030119682643</v>
      </c>
      <c r="GQ59" s="315">
        <f>各项系数!$F$76/4*($MU59^2-$MS59^2)*10^-2*(VLOOKUP($S59,各项系数!$D$1:$F$143,3,0))*10^-3*10^2*各项系数!$J$4</f>
        <v>0.6939485454407992</v>
      </c>
      <c r="GR59" s="303">
        <v>1</v>
      </c>
      <c r="GS59" s="304">
        <f t="shared" si="279"/>
        <v>0.6939485454407992</v>
      </c>
      <c r="GT59" s="304">
        <f t="shared" si="200"/>
        <v>0</v>
      </c>
      <c r="GU59" s="304">
        <f>ROUND($GS59*(VLOOKUP($S59,各项系数!$D$1:$F$143,2,0))+$E$3*GS59,GT59)</f>
        <v>4</v>
      </c>
      <c r="GV59" s="315">
        <f>各项系数!$F$76/4*($MT59^2-$MS59^2)*10^-2*(VLOOKUP($GV$9,各项系数!$D$1:$F$143,3,0))*10^-3*10^2*各项系数!$J$4*PI()/4*R59</f>
        <v>5.1936746349719988E-2</v>
      </c>
      <c r="GW59" s="303">
        <v>1</v>
      </c>
      <c r="GX59" s="304">
        <f t="shared" si="280"/>
        <v>5.1936746349719988E-2</v>
      </c>
      <c r="GY59" s="304">
        <f>$GX59*(VLOOKUP($GV$9,各项系数!$D$1:$F$143,2,0))</f>
        <v>3.5057303786060992</v>
      </c>
      <c r="GZ59" s="315">
        <f>各项系数!$F$76/4*($MV59^2-$MS59^2)*10^-2*(VLOOKUP($GZ$9,各项系数!$D$1:$F$143,3,0))*10^-3*10^2*各项系数!$J$4</f>
        <v>0.39190052898822092</v>
      </c>
      <c r="HA59" s="303">
        <v>1</v>
      </c>
      <c r="HB59" s="304">
        <f t="shared" si="144"/>
        <v>0.39190052898822092</v>
      </c>
      <c r="HC59" s="304">
        <f>HB59*(VLOOKUP($GZ$9,各项系数!$D$1:$F$143,2,0))</f>
        <v>6.6623089927997556</v>
      </c>
      <c r="HD59" s="315">
        <f>各项系数!$F$76/4*($MW59^2-$MT59^2)*10^-2*(VLOOKUP($HD$9,各项系数!$D$1:$F$143,3,0))*10^-3*10^2*各项系数!$J$4</f>
        <v>0.39349598053416107</v>
      </c>
      <c r="HE59" s="303">
        <v>1</v>
      </c>
      <c r="HF59" s="304">
        <f t="shared" si="145"/>
        <v>0.39349598053416107</v>
      </c>
      <c r="HG59" s="304">
        <f>HF59*(VLOOKUP($HD$9,各项系数!$D$1:$F$143,2,0))</f>
        <v>6.6894316690807383</v>
      </c>
      <c r="HH59" s="315">
        <f>各项系数!$F$76/4*($MV59^2-$MS59^2)*10^-2*(VLOOKUP($HH$9,各项系数!$D$1:$F$143,3,0))*10^-3*10^2*各项系数!$J$4</f>
        <v>0.39190052898822092</v>
      </c>
      <c r="HI59" s="322">
        <v>1</v>
      </c>
      <c r="HJ59" s="304">
        <f t="shared" si="146"/>
        <v>0.39190052898822092</v>
      </c>
      <c r="HK59" s="304">
        <f>HJ59*(VLOOKUP($HH$9,各项系数!$D$1:$F$143,2,0))</f>
        <v>6.6623089927997556</v>
      </c>
      <c r="HL59" s="315">
        <f>各项系数!$F$76/4*($MW59^2-$MT59^2)*10^-2*(VLOOKUP($HL$9,各项系数!$D$1:$F$143,3,0))*10^-3*10^2*各项系数!$J$4</f>
        <v>0.39349598053416107</v>
      </c>
      <c r="HM59" s="322">
        <v>1</v>
      </c>
      <c r="HN59" s="304">
        <f t="shared" si="147"/>
        <v>0.39349598053416107</v>
      </c>
      <c r="HO59" s="304">
        <f>HN59*(VLOOKUP($HL$9,各项系数!$D$1:$F$143,2,0))</f>
        <v>6.6894316690807383</v>
      </c>
      <c r="HP59" s="315">
        <f>各项系数!$F$76/4*($MV59^2-$MS59^2)*10^-2*(VLOOKUP(AN59,各项系数!$D$1:$F$143,3,0))*10^-3*10^2*各项系数!$J$4</f>
        <v>0.39730605352598952</v>
      </c>
      <c r="HQ59" s="303">
        <v>1</v>
      </c>
      <c r="HR59" s="304">
        <f t="shared" si="281"/>
        <v>0.39730605352598952</v>
      </c>
      <c r="HS59" s="304">
        <f>HR59*(VLOOKUP(AN59,各项系数!$D$1:$F$143,2,0))</f>
        <v>3.9730605352598953</v>
      </c>
      <c r="HT59" s="315">
        <f>各项系数!$F$76/4*($MW59^2-$MT59^2)*10^-2*(VLOOKUP(AN59,各项系数!$D$1:$F$143,3,0))*10^-3*10^2*各项系数!$J$4</f>
        <v>0.39892351130014952</v>
      </c>
      <c r="HU59" s="303">
        <v>1</v>
      </c>
      <c r="HV59" s="304">
        <f t="shared" si="282"/>
        <v>0.39892351130014952</v>
      </c>
      <c r="HW59" s="304">
        <f>HV59*(VLOOKUP(AN59,各项系数!$D$1:$F$143,2,0))</f>
        <v>3.9892351130014951</v>
      </c>
      <c r="HX59" s="315">
        <f>各项系数!$F$76/4*($MV59^2-$MS59^2)*10^-2*(VLOOKUP($HX$9,各项系数!$D$1:$F$143,3,0))*10^-3*10^2*各项系数!$J$4</f>
        <v>0.39730605352598952</v>
      </c>
      <c r="HY59" s="322">
        <v>1</v>
      </c>
      <c r="HZ59" s="304">
        <f t="shared" si="283"/>
        <v>0.39730605352598952</v>
      </c>
      <c r="IA59" s="304">
        <f>HZ59*(VLOOKUP($HX$9,各项系数!$D$1:$F$143,2,0))</f>
        <v>4.3703665887858847</v>
      </c>
      <c r="IB59" s="315">
        <f>各项系数!$F$76/4*($MW59^2-$MT59^2)*10^-2*(VLOOKUP($IB$9,各项系数!$D$1:$F$143,3,0))*10^-3*10^2*各项系数!$J$4</f>
        <v>0.39892351130014952</v>
      </c>
      <c r="IC59" s="322">
        <v>1</v>
      </c>
      <c r="ID59" s="304">
        <f t="shared" si="284"/>
        <v>0.39892351130014952</v>
      </c>
      <c r="IE59" s="304">
        <f>ID59*(VLOOKUP($IB$9,各项系数!$D$1:$F$143,2,0))</f>
        <v>4.3881586243016448</v>
      </c>
      <c r="IF59" s="328"/>
      <c r="IG59" s="315">
        <f t="shared" si="148"/>
        <v>6.3279197130826373E-2</v>
      </c>
      <c r="IH59" s="303">
        <v>1</v>
      </c>
      <c r="II59" s="304">
        <f t="shared" si="285"/>
        <v>6.3279197130826373E-2</v>
      </c>
      <c r="IJ59" s="304">
        <f>II59*(VLOOKUP($IG$8,各项系数!$D$1:$F$143,2,0))</f>
        <v>1.5819799282706593</v>
      </c>
      <c r="IK59" s="315">
        <f>(各项系数!$F$76/4*($MX59^2-$MK59^2)*$EG59)*10^-2*(VLOOKUP($IG$8,各项系数!$D$1:$F$143,3,0))*10^-3*10^2*各项系数!$J$4</f>
        <v>6.3279197130826373E-2</v>
      </c>
      <c r="IL59" s="303">
        <f>IK59*(VLOOKUP($IG$8,各项系数!$D$1:$F$143,2,0))</f>
        <v>1.5819799282706593</v>
      </c>
      <c r="IM59" s="304">
        <f>(各项系数!$F$76/4*(($MM59+3*$X59)^2-MM59^2)*$EO59)*10^-2*(VLOOKUP($IG$8,各项系数!$D$1:$F$143,3,0))*10^-3*10^2*各项系数!$J$4</f>
        <v>0</v>
      </c>
      <c r="IN59" s="303">
        <f>IM59*(VLOOKUP($IG$8,各项系数!$D$1:$F$143,2,0))</f>
        <v>0</v>
      </c>
      <c r="IO59" s="315">
        <f>各项系数!$F$76/4*($MZ59^2-$MX59^2)*10^-2*(VLOOKUP(L59,各项系数!$D$1:$F$143,3,0))*10^-3*10^2*$ES59*各项系数!$J$4</f>
        <v>0.20418673331093565</v>
      </c>
      <c r="IP59" s="303">
        <v>1</v>
      </c>
      <c r="IQ59" s="304">
        <f t="shared" si="286"/>
        <v>0.20418673331093565</v>
      </c>
      <c r="IR59" s="285">
        <f>IQ59*(VLOOKUP(L59,各项系数!$D$1:$F$143,2,0))</f>
        <v>2.0827046797715436</v>
      </c>
      <c r="IS59" s="315">
        <f>IF($L59&lt;&gt;$IS$9,0,各项系数!$F$76/4*($MZ59^2-$MX59^2)*10^-2*各项系数!$F$12*10^-3*10^2)*$ES59*各项系数!$J$4</f>
        <v>0</v>
      </c>
      <c r="IT59" s="303">
        <v>1</v>
      </c>
      <c r="IU59" s="304">
        <f t="shared" si="287"/>
        <v>0</v>
      </c>
      <c r="IV59" s="285">
        <f>IU59*各项系数!$E$12</f>
        <v>0</v>
      </c>
      <c r="IW59" s="302">
        <f t="shared" si="288"/>
        <v>0.20418673331093565</v>
      </c>
      <c r="IX59" s="302">
        <f t="shared" si="289"/>
        <v>2.0827046797715436</v>
      </c>
      <c r="IY59" s="339">
        <f>各项系数!$F$76/4*($NB59^2-$MZ59^2*$EG59-$NA59^2*$EO59)*10^-2</f>
        <v>4.0961409615955429</v>
      </c>
      <c r="IZ59" s="284">
        <f t="shared" si="231"/>
        <v>1</v>
      </c>
      <c r="JA59" s="285">
        <f t="shared" si="64"/>
        <v>4.0961409615955429</v>
      </c>
      <c r="JB59" s="282">
        <f>IF($DE59&lt;&gt;$JB$9,0,$JA59*各项系数!$F$32*10^-3*10^2)*各项系数!$J$4</f>
        <v>0</v>
      </c>
      <c r="JC59" s="102">
        <v>1</v>
      </c>
      <c r="JD59" s="189">
        <f t="shared" si="290"/>
        <v>0</v>
      </c>
      <c r="JE59" s="262">
        <f>JD59*各项系数!$E$32</f>
        <v>0</v>
      </c>
      <c r="JF59" s="282">
        <f>IF($DE59&lt;&gt;$JF$9,0,$JA59*VLOOKUP($JF$9,各项系数!$D$4:$F$540,2,0)*10^-3*10^2)*各项系数!$J$4</f>
        <v>2.0378301283937827</v>
      </c>
      <c r="JG59" s="102">
        <v>1</v>
      </c>
      <c r="JH59" s="189">
        <f t="shared" si="66"/>
        <v>2.0378301283937827</v>
      </c>
      <c r="JI59" s="262">
        <f>JH59*VLOOKUP($JF$9,各项系数!$D$4:$F$540,3,0)</f>
        <v>2.4453961540725393</v>
      </c>
      <c r="JJ59" s="282">
        <f t="shared" si="291"/>
        <v>2.0378301283937827</v>
      </c>
      <c r="JK59" s="189">
        <f t="shared" si="292"/>
        <v>2.4453961540725393</v>
      </c>
      <c r="JL59" s="282">
        <f>IF($DF59&lt;&gt;$JL$9,0,各项系数!$F$76/4*($NE59^2-$NC59^2)*10^-2*各项系数!$F$39*10^-3*10^2)*各项系数!$J$4</f>
        <v>4.3146713196404304E-3</v>
      </c>
      <c r="JM59" s="102">
        <v>1</v>
      </c>
      <c r="JN59" s="189">
        <f t="shared" si="293"/>
        <v>4.3146713196404304E-3</v>
      </c>
      <c r="JO59" s="262">
        <f>JN59*各项系数!$E$39</f>
        <v>8.6293426392808611E-2</v>
      </c>
      <c r="JP59" s="282">
        <f>IF($DF59&lt;&gt;$JP$9,0,各项系数!$F$76/4*($NE59^2-$NC59^2)*10^-2*各项系数!$F$36*10^-3*10^2)*各项系数!$J$4</f>
        <v>0</v>
      </c>
      <c r="JQ59" s="102">
        <v>1</v>
      </c>
      <c r="JR59" s="189">
        <f t="shared" si="294"/>
        <v>0</v>
      </c>
      <c r="JS59" s="262">
        <f>JR59*各项系数!$E$36</f>
        <v>0</v>
      </c>
      <c r="JT59" s="282">
        <f>IF($DF59&lt;&gt;$JT$9,0,各项系数!$F$76/4*($NE59^2-$NC59^2)*10^-2*各项系数!$F$40*10^-3*10^2)*各项系数!$J$4</f>
        <v>0</v>
      </c>
      <c r="JU59" s="102">
        <v>1</v>
      </c>
      <c r="JV59" s="189">
        <f t="shared" si="295"/>
        <v>0</v>
      </c>
      <c r="JW59" s="262">
        <f>JV59*各项系数!$E$40</f>
        <v>0</v>
      </c>
      <c r="JX59" s="282">
        <f>IF($DF59&lt;&gt;$JX$9,0,各项系数!$F$76/4*($NE59^2-$NC59^2)*10^-2*各项系数!$F$38*10^-3*10^2)*各项系数!$J$4</f>
        <v>0</v>
      </c>
      <c r="JY59" s="102">
        <v>1</v>
      </c>
      <c r="JZ59" s="189">
        <f t="shared" si="296"/>
        <v>0</v>
      </c>
      <c r="KA59" s="262">
        <f>JZ59*各项系数!$E$38</f>
        <v>0</v>
      </c>
      <c r="KB59" s="282">
        <f>IF($DF59&lt;&gt;$KB$9,0,各项系数!$F$76/4*($NE59^2-$NC59^2)*10^-2*各项系数!$F$41*10^-3*10^2)*各项系数!$J$4</f>
        <v>0</v>
      </c>
      <c r="KC59" s="102">
        <v>1</v>
      </c>
      <c r="KD59" s="189">
        <f t="shared" si="297"/>
        <v>0</v>
      </c>
      <c r="KE59" s="262">
        <f>KD59*各项系数!$E$41</f>
        <v>0</v>
      </c>
      <c r="KF59" s="189">
        <f t="shared" si="298"/>
        <v>4.3146713196404304E-3</v>
      </c>
      <c r="KG59" s="189">
        <f t="shared" si="299"/>
        <v>8.6293426392808611E-2</v>
      </c>
      <c r="KH59" s="235">
        <f>各项系数!$F$76/4*($NG59^2-$NE59^2)*10^-2*各项系数!$F$44*10^-3*10^2*各项系数!$J$4*0.75*$U59</f>
        <v>1.0783227781270253</v>
      </c>
      <c r="KI59" s="102">
        <v>1</v>
      </c>
      <c r="KJ59" s="189">
        <f t="shared" si="300"/>
        <v>1.0783227781270253</v>
      </c>
      <c r="KK59" s="189">
        <f>ROUND(KJ59*各项系数!$E$43,GT59)</f>
        <v>6</v>
      </c>
      <c r="KL59" s="235">
        <f>各项系数!$F$76/4*($NF59^2-$NE59^2)*10^-2*各项系数!$F$46*10^-3*10^2*各项系数!$J$4*PI()/4*R59</f>
        <v>5.3836439593330343E-2</v>
      </c>
      <c r="KM59" s="102">
        <v>1</v>
      </c>
      <c r="KN59" s="189">
        <f t="shared" si="301"/>
        <v>5.3836439593330343E-2</v>
      </c>
      <c r="KO59" s="189">
        <f>KN59*各项系数!$E$46</f>
        <v>3.633959672549798</v>
      </c>
      <c r="KP59" s="235">
        <f>各项系数!$F$76/4*($NH59^2-$NE59^2)*10^-2*(VLOOKUP($KP$9,各项系数!$D$1:$F$143,3,0))*10^-3*10^2*各项系数!$J$4</f>
        <v>0.40546186712871335</v>
      </c>
      <c r="KQ59" s="102">
        <v>1</v>
      </c>
      <c r="KR59" s="189">
        <f t="shared" si="150"/>
        <v>0.40546186712871335</v>
      </c>
      <c r="KS59" s="189">
        <f>KR59*(VLOOKUP($KP$9,各项系数!$D$1:$F$143,2,0))</f>
        <v>6.8928517411881272</v>
      </c>
      <c r="KT59" s="235">
        <f>各项系数!$F$76/4*($NI59^2-$NF59^2)*10^-2*(VLOOKUP($KT$9,各项系数!$D$1:$F$143,3,0))*10^-3*10^2*各项系数!$J$4</f>
        <v>0.40705731867465356</v>
      </c>
      <c r="KU59" s="102">
        <v>1</v>
      </c>
      <c r="KV59" s="189">
        <f t="shared" si="151"/>
        <v>0.40705731867465356</v>
      </c>
      <c r="KW59" s="189">
        <f>KV59*(VLOOKUP($KT$9,各项系数!$D$1:$F$143,2,0))</f>
        <v>6.9199744174691107</v>
      </c>
      <c r="KX59" s="189">
        <f>各项系数!$F$76/4*($NH59^2-$NE59^2)*10^-2*(VLOOKUP($KX$9,各项系数!$D$1:$F$143,3,0))*10^-3*10^2*各项系数!$J$4</f>
        <v>0.40546186712871335</v>
      </c>
      <c r="KY59" s="353">
        <v>1</v>
      </c>
      <c r="KZ59" s="189">
        <f t="shared" si="152"/>
        <v>0.40546186712871335</v>
      </c>
      <c r="LA59" s="189">
        <f>KZ59*(VLOOKUP($KX$9,各项系数!$D$1:$F$143,2,0))</f>
        <v>6.8928517411881272</v>
      </c>
      <c r="LB59" s="189">
        <f>各项系数!$F$76/4*($NI59^2-$NF59^2)*10^-2*(VLOOKUP($LB$9,各项系数!$D$1:$F$143,3,0))*10^-3*10^2*各项系数!$J$4</f>
        <v>0.40705731867465356</v>
      </c>
      <c r="LC59" s="353">
        <v>1</v>
      </c>
      <c r="LD59" s="189">
        <f t="shared" si="153"/>
        <v>0.40705731867465356</v>
      </c>
      <c r="LE59" s="189">
        <f>LD59*(VLOOKUP($LB$9,各项系数!$D$1:$F$143,2,0))</f>
        <v>6.9199744174691107</v>
      </c>
      <c r="LF59" s="235">
        <f>各项系数!$F$76/4*($NH59^2-$NE59^2)*10^-2*(VLOOKUP(AN59,各项系数!$D$1:$F$143,3,0))*10^-3*10^2*各项系数!$J$4</f>
        <v>0.41105444460635071</v>
      </c>
      <c r="LG59" s="102">
        <v>1</v>
      </c>
      <c r="LH59" s="189">
        <f t="shared" si="302"/>
        <v>0.41105444460635071</v>
      </c>
      <c r="LI59" s="189">
        <f>LH59*(VLOOKUP(AN59,各项系数!$D$1:$F$143,2,0))</f>
        <v>4.110544446063507</v>
      </c>
      <c r="LJ59" s="235">
        <f>各项系数!$F$76/4*($NI59^2-$NF59^2)*10^-2*(VLOOKUP(AN59,各项系数!$D$1:$F$143,3,0))*10^-3*10^2*各项系数!$J$4</f>
        <v>0.41267190238051077</v>
      </c>
      <c r="LK59" s="102">
        <v>1</v>
      </c>
      <c r="LL59" s="189">
        <f t="shared" si="303"/>
        <v>0.41267190238051077</v>
      </c>
      <c r="LM59" s="189">
        <f>LL59*(VLOOKUP(AN59,各项系数!$D$1:$F$143,2,0))</f>
        <v>4.1267190238051077</v>
      </c>
      <c r="LN59" s="189">
        <f>各项系数!$F$76/4*($NH59^2-$NE59^2)*10^-2*(VLOOKUP($LN$9,各项系数!$D$1:$F$143,3,0))*10^-3*10^2*各项系数!$J$4</f>
        <v>0.41105444460635071</v>
      </c>
      <c r="LO59" s="353">
        <v>1</v>
      </c>
      <c r="LP59" s="189">
        <f t="shared" si="304"/>
        <v>0.41105444460635071</v>
      </c>
      <c r="LQ59" s="189">
        <f>LP59*(VLOOKUP($LN$9,各项系数!$D$1:$F$143,2,0))</f>
        <v>4.5215988906698579</v>
      </c>
      <c r="LR59" s="189">
        <f>各项系数!$F$76/4*($NI59^2-$NF59^2)*10^-2*(VLOOKUP($LR$9,各项系数!$D$1:$F$143,3,0))*10^-3*10^2*各项系数!$J$4</f>
        <v>0.41267190238051077</v>
      </c>
      <c r="LS59" s="353">
        <v>1</v>
      </c>
      <c r="LT59" s="189">
        <f t="shared" si="305"/>
        <v>0.41267190238051077</v>
      </c>
      <c r="LU59" s="189">
        <f>LT59*(VLOOKUP($LR$9,各项系数!$D$1:$F$143,2,0))</f>
        <v>4.539390926185618</v>
      </c>
      <c r="LV59" s="227">
        <f t="shared" si="154"/>
        <v>508.82233972</v>
      </c>
      <c r="LW59" s="227">
        <f t="shared" si="155"/>
        <v>339.21489315000002</v>
      </c>
      <c r="LX59" s="227">
        <f t="shared" si="156"/>
        <v>20.782247619583714</v>
      </c>
      <c r="LY59" s="227">
        <f t="shared" si="157"/>
        <v>169.60744656999998</v>
      </c>
      <c r="LZ59" s="374">
        <f t="shared" si="86"/>
        <v>1</v>
      </c>
      <c r="MA59" s="375">
        <f t="shared" si="87"/>
        <v>508.82233972</v>
      </c>
      <c r="MB59" s="375">
        <f t="shared" si="158"/>
        <v>14.695268220000001</v>
      </c>
      <c r="MC59" s="227">
        <f t="shared" si="159"/>
        <v>0</v>
      </c>
      <c r="MD59" s="227">
        <f t="shared" si="160"/>
        <v>0</v>
      </c>
      <c r="ME59" s="227">
        <f t="shared" si="161"/>
        <v>0</v>
      </c>
      <c r="MF59" s="227">
        <f t="shared" si="162"/>
        <v>0</v>
      </c>
      <c r="MG59" s="374">
        <f t="shared" si="163"/>
        <v>1</v>
      </c>
      <c r="MH59" s="375">
        <f t="shared" si="88"/>
        <v>0</v>
      </c>
      <c r="MI59" s="375">
        <f t="shared" si="164"/>
        <v>0</v>
      </c>
      <c r="MJ59" s="189">
        <f t="shared" si="89"/>
        <v>14.695268220000001</v>
      </c>
      <c r="MK59" s="189">
        <f t="shared" si="165"/>
        <v>14.695268220000001</v>
      </c>
      <c r="ML59" s="189">
        <f t="shared" si="306"/>
        <v>0</v>
      </c>
      <c r="MM59" s="189">
        <f t="shared" si="91"/>
        <v>0</v>
      </c>
      <c r="MN59" s="189">
        <f t="shared" si="92"/>
        <v>17.095268220000001</v>
      </c>
      <c r="MO59" s="189">
        <f t="shared" si="166"/>
        <v>0</v>
      </c>
      <c r="MP59" s="189">
        <f t="shared" si="167"/>
        <v>36.92577936</v>
      </c>
      <c r="MQ59" s="189">
        <f t="shared" si="307"/>
        <v>36.92577936</v>
      </c>
      <c r="MR59" s="246">
        <f t="shared" si="168"/>
        <v>36.92577936</v>
      </c>
      <c r="MS59" s="380">
        <f t="shared" si="94"/>
        <v>37.101779360000002</v>
      </c>
      <c r="MT59" s="380">
        <f t="shared" si="95"/>
        <v>37.261779359999998</v>
      </c>
      <c r="MU59" s="380">
        <f t="shared" si="232"/>
        <v>38.601779360000002</v>
      </c>
      <c r="MV59" s="380">
        <f t="shared" si="97"/>
        <v>41.50177936</v>
      </c>
      <c r="MW59" s="380">
        <f t="shared" si="98"/>
        <v>41.661779359999997</v>
      </c>
      <c r="MX59" s="254">
        <f t="shared" si="233"/>
        <v>15.295268220000001</v>
      </c>
      <c r="MY59" s="254">
        <f t="shared" si="100"/>
        <v>0</v>
      </c>
      <c r="MZ59" s="189">
        <f t="shared" si="101"/>
        <v>17.695268219999999</v>
      </c>
      <c r="NA59" s="189">
        <f t="shared" si="102"/>
        <v>0</v>
      </c>
      <c r="NB59" s="189">
        <f t="shared" si="169"/>
        <v>38.221779359999999</v>
      </c>
      <c r="NC59" s="254">
        <f t="shared" si="308"/>
        <v>38.221779359999999</v>
      </c>
      <c r="ND59" s="246">
        <f t="shared" si="234"/>
        <v>38.221779359999999</v>
      </c>
      <c r="NE59" s="386">
        <f t="shared" si="235"/>
        <v>38.461779360000001</v>
      </c>
      <c r="NF59" s="380">
        <f t="shared" si="106"/>
        <v>38.621779359999998</v>
      </c>
      <c r="NG59" s="387">
        <f t="shared" si="236"/>
        <v>39.961779360000001</v>
      </c>
      <c r="NH59" s="254">
        <f t="shared" si="108"/>
        <v>42.86177936</v>
      </c>
      <c r="NI59" s="380">
        <f t="shared" si="109"/>
        <v>43.021779359999996</v>
      </c>
      <c r="NK59" s="388">
        <f t="shared" si="110"/>
        <v>4.1001696355335078</v>
      </c>
      <c r="NL59" s="388">
        <f t="shared" si="111"/>
        <v>206.56994537197153</v>
      </c>
      <c r="NM59" s="388">
        <f t="shared" si="112"/>
        <v>4.1001696355335078</v>
      </c>
      <c r="NN59" s="388">
        <f t="shared" si="113"/>
        <v>206.96725142549752</v>
      </c>
      <c r="NO59" s="388">
        <f t="shared" si="114"/>
        <v>5.7602145217768781</v>
      </c>
      <c r="NP59" s="388">
        <f t="shared" si="115"/>
        <v>209.39740086407596</v>
      </c>
      <c r="NQ59" s="388">
        <f t="shared" si="116"/>
        <v>5.7602145217768781</v>
      </c>
      <c r="NR59" s="388">
        <f t="shared" si="117"/>
        <v>209.80845530868234</v>
      </c>
      <c r="NS59" s="388">
        <f t="shared" si="118"/>
        <v>4.152106381883228</v>
      </c>
      <c r="NT59" s="388">
        <f t="shared" si="119"/>
        <v>4.152106381883228</v>
      </c>
      <c r="NU59" s="388">
        <f t="shared" si="120"/>
        <v>5.8140509613702083</v>
      </c>
      <c r="NV59" s="388">
        <f t="shared" si="121"/>
        <v>5.8140509613702083</v>
      </c>
      <c r="NW59">
        <f t="shared" si="122"/>
        <v>4.7941181809743068</v>
      </c>
      <c r="NX59">
        <f>各项系数!$M$9*NK59</f>
        <v>1.2300508906600522</v>
      </c>
      <c r="NY59">
        <f t="shared" si="123"/>
        <v>4.1521063818832271</v>
      </c>
    </row>
    <row r="60" spans="1:389" ht="15" hidden="1" customHeight="1">
      <c r="A60" s="65"/>
      <c r="B60" s="81"/>
      <c r="C60" s="67"/>
      <c r="D60" s="53" t="s">
        <v>234</v>
      </c>
      <c r="E60" s="61">
        <f t="shared" si="255"/>
        <v>44.515311220000001</v>
      </c>
      <c r="F60" s="68">
        <f>$F$28</f>
        <v>243.33587022849699</v>
      </c>
      <c r="G60" s="58"/>
      <c r="H60" s="16"/>
      <c r="I60" s="62"/>
      <c r="J60" s="16"/>
      <c r="K60" s="16"/>
      <c r="L60" s="97" t="s">
        <v>467</v>
      </c>
      <c r="M60" s="103">
        <f t="shared" si="2"/>
        <v>1.4</v>
      </c>
      <c r="N60" s="103">
        <f t="shared" si="252"/>
        <v>0</v>
      </c>
      <c r="O60" s="53">
        <f t="shared" si="312"/>
        <v>0.08</v>
      </c>
      <c r="P60" s="99">
        <v>0.1</v>
      </c>
      <c r="Q60" s="133">
        <f t="shared" si="309"/>
        <v>0.1</v>
      </c>
      <c r="R60" s="70">
        <v>0.8</v>
      </c>
      <c r="S60" s="142" t="str">
        <f>各项系数!$D$43</f>
        <v>钢带</v>
      </c>
      <c r="T60" s="102">
        <v>0.5</v>
      </c>
      <c r="U60" s="102">
        <v>2</v>
      </c>
      <c r="V60" s="140"/>
      <c r="W60" s="141">
        <v>2.2999999999999998</v>
      </c>
      <c r="X60" s="135">
        <f t="shared" si="310"/>
        <v>0.2</v>
      </c>
      <c r="Y60" s="135"/>
      <c r="Z60" s="168"/>
      <c r="AA60" s="153">
        <f>$AA$28</f>
        <v>1.0149999999999999</v>
      </c>
      <c r="AB60" s="153">
        <f>PI()*EJ60*EJ60/4*EH60*(1-H60)*AA60*各项系数!$F$5*各项系数!$J$4*10^-7</f>
        <v>1.2526054194523586</v>
      </c>
      <c r="AC60" s="153">
        <f t="shared" si="256"/>
        <v>243.33587022849699</v>
      </c>
      <c r="AD60" s="153">
        <f t="shared" si="5"/>
        <v>141.60853982537643</v>
      </c>
      <c r="AE60" s="153">
        <f>POWER(4*EU60/PI()/EG60/10^-7/EH60/(1-H60)/各项系数!$F$5/各项系数!$J$4,0.5)</f>
        <v>245.15409628631093</v>
      </c>
      <c r="AF60" s="69">
        <v>1</v>
      </c>
      <c r="AG60" s="69">
        <f>IF(EM60=0,0,PI()*ER60*ER60/4*EP60*(1-K60)*(1+AF60)*各项系数!$F$5*各项系数!$J$4*10^-7)</f>
        <v>0</v>
      </c>
      <c r="AH60" s="69">
        <f t="shared" si="257"/>
        <v>0</v>
      </c>
      <c r="AI60" s="69">
        <f t="shared" si="128"/>
        <v>0</v>
      </c>
      <c r="AJ60" s="69">
        <f>IF(OR(EP60="",EP60=0),0,POWER(4*EW60/PI()/EO60/10^-7/EP60/(1-K60)/各项系数!$F$5/各项系数!$J$4,0.5))</f>
        <v>0</v>
      </c>
      <c r="AK60" s="69" t="str">
        <f t="shared" si="8"/>
        <v>√</v>
      </c>
      <c r="AL60" s="69">
        <f t="shared" si="258"/>
        <v>262.84368525921133</v>
      </c>
      <c r="AM60" s="188">
        <f t="shared" si="259"/>
        <v>150</v>
      </c>
      <c r="AN60" s="97" t="s">
        <v>486</v>
      </c>
      <c r="AO60" s="196">
        <f>AP60+各项系数!$M$9*$NK60</f>
        <v>257.68988750903071</v>
      </c>
      <c r="AP60" s="196">
        <f>AQ60*(1+$BI60+(VLOOKUP($AM60,$A$12:$B$323,2,0))+各项系数!$J$6+各项系数!$M$5)*(1+$E$2)</f>
        <v>256.19319299694166</v>
      </c>
      <c r="AQ60" s="197">
        <f>AR60+各项系数!$L$9*$NK60</f>
        <v>261.42162550708332</v>
      </c>
      <c r="AR60" s="197">
        <f>AS60*(1+$BJ60+各项系数!$J$5+各项系数!$L$5)</f>
        <v>259.92493099499427</v>
      </c>
      <c r="AS60" s="197">
        <f t="shared" si="129"/>
        <v>254.82836372058259</v>
      </c>
      <c r="AT60" s="196">
        <f>AU60+各项系数!$M$9*$NM60</f>
        <v>260.70858860889041</v>
      </c>
      <c r="AU60" s="196">
        <f>AV60*(1+$BI60+(VLOOKUP($AM60,$A$12:$B$323,2,0))+各项系数!$J$6+各项系数!$M$5)*(1+$E$2)</f>
        <v>259.21189409680136</v>
      </c>
      <c r="AV60" s="197">
        <f>AW60+各项系数!$L$9*$NM60</f>
        <v>264.50193275183813</v>
      </c>
      <c r="AW60" s="197">
        <f>AX60*(1+$BJ60+各项系数!$J$5+各项系数!$L$5)</f>
        <v>263.00523823974908</v>
      </c>
      <c r="AX60" s="197">
        <f t="shared" si="130"/>
        <v>257.84827278406772</v>
      </c>
      <c r="AY60" s="196">
        <f>AZ60+各项系数!$M$9*$NS60</f>
        <v>261.50947473031817</v>
      </c>
      <c r="AZ60" s="196">
        <f>BA60*(1+$BI60+(VLOOKUP($AM60,$A$12:$B$214,2,0))+各项系数!$J$6+各项系数!$M$5)*(1+$E$2)</f>
        <v>259.99602018385394</v>
      </c>
      <c r="BA60" s="197">
        <f>BB60+各项系数!$L$9*$NS60</f>
        <v>265.30206141209584</v>
      </c>
      <c r="BB60" s="197">
        <f>BC60*(1+$BJ60+各项系数!$J$5+各项系数!$L$5)</f>
        <v>263.78860686563161</v>
      </c>
      <c r="BC60" s="199">
        <f t="shared" si="131"/>
        <v>258.61628124081528</v>
      </c>
      <c r="BD60" s="196">
        <f>BE60+各项系数!$M$9*$NS60</f>
        <v>264.53961699126421</v>
      </c>
      <c r="BE60" s="196">
        <f>BF60*(1+$BI60+(VLOOKUP($AM60,$A$12:$B$214,2,0))+各项系数!$J$6+各项系数!$M$5)*(1+$E$2)</f>
        <v>263.02616244479998</v>
      </c>
      <c r="BF60" s="197">
        <f>BG60+各项系数!$L$9*$NS60</f>
        <v>268.39404331102037</v>
      </c>
      <c r="BG60" s="197">
        <f>BH60*(1+$BJ60+各项系数!$J$5+各项系数!$L$5)</f>
        <v>266.88058876455614</v>
      </c>
      <c r="BH60" s="199">
        <f t="shared" si="132"/>
        <v>261.6476360436825</v>
      </c>
      <c r="BI60" s="213"/>
      <c r="BJ60" s="208"/>
      <c r="BK60" s="53" t="s">
        <v>514</v>
      </c>
      <c r="BL60" s="196">
        <f>BM60+各项系数!$M$9*$NM60</f>
        <v>260.63755677266448</v>
      </c>
      <c r="BM60" s="196">
        <f>BN60*(1+$CF60+(VLOOKUP($AM60,$A$12:$B$323,2,0))+各项系数!$J$6+各项系数!$M$5)*(1+$E$2)</f>
        <v>259.14086226057543</v>
      </c>
      <c r="BN60" s="197">
        <f>BO60+各项系数!$L$9*$NM60</f>
        <v>264.42945128630146</v>
      </c>
      <c r="BO60" s="197">
        <f>BP60*(1+$CG60+各项系数!$J$5+各项系数!$L$5)</f>
        <v>262.93275677421241</v>
      </c>
      <c r="BP60" s="197">
        <f t="shared" si="133"/>
        <v>255.27452114001204</v>
      </c>
      <c r="BQ60" s="196">
        <f>BR60+各项系数!$M$9*$NM60</f>
        <v>263.23550168217429</v>
      </c>
      <c r="BR60" s="196">
        <f>BS60*(1+$CF60+(VLOOKUP($AM60,$A$12:$B$323,2,0))+各项系数!$J$6+各项系数!$M$5)*(1+$E$2)</f>
        <v>261.73880717008524</v>
      </c>
      <c r="BS60" s="197">
        <f>BT60+各项系数!$L$9*$NM60</f>
        <v>267.08041547967883</v>
      </c>
      <c r="BT60" s="197">
        <f>BU60*(1+$CG60+各项系数!$J$5+各项系数!$L$5)</f>
        <v>265.58372096758978</v>
      </c>
      <c r="BU60" s="197">
        <f t="shared" si="134"/>
        <v>257.84827278406772</v>
      </c>
      <c r="BV60" s="196">
        <f>BW60+各项系数!$M$9*$NT60</f>
        <v>263.02088513898786</v>
      </c>
      <c r="BW60" s="196">
        <f>BX60*(1+$CF60+(VLOOKUP($AM60,$A$12:$B$214,2,0))+各项系数!$J$6+各项系数!$M$5)*(1+$E$2)</f>
        <v>261.50743059252363</v>
      </c>
      <c r="BX60" s="197">
        <f>BY60+各项系数!$L$9*$NT$12</f>
        <v>266.84431693114658</v>
      </c>
      <c r="BY60" s="197">
        <f>BZ60*(1+$CG60+各项系数!$J$5+各项系数!$L$5)</f>
        <v>266.83605352799162</v>
      </c>
      <c r="BZ60" s="199">
        <f t="shared" si="11"/>
        <v>259.06412963882678</v>
      </c>
      <c r="CA60" s="196">
        <f>CB60+各项系数!$M$9*$NT60</f>
        <v>265.62867650404917</v>
      </c>
      <c r="CB60" s="196">
        <f>CC60*(1+$CF60+(VLOOKUP($AM60,$A$12:$B$214,2,0))+各项系数!$J$6+各项系数!$M$5)*(1+$E$2)</f>
        <v>264.11522195758494</v>
      </c>
      <c r="CC60" s="197">
        <f>CD60+各项系数!$L$9*$NT$12</f>
        <v>269.50532852814791</v>
      </c>
      <c r="CD60" s="197">
        <f>CE60*(1+$CG60+各项系数!$J$5+各项系数!$L$5)</f>
        <v>269.49706512499296</v>
      </c>
      <c r="CE60" s="199">
        <f t="shared" si="135"/>
        <v>261.6476360436825</v>
      </c>
      <c r="CF60" s="213">
        <f t="shared" si="136"/>
        <v>0</v>
      </c>
      <c r="CG60" s="213">
        <f t="shared" si="12"/>
        <v>0.01</v>
      </c>
      <c r="CH60" s="102"/>
      <c r="CI60" s="196">
        <f>CJ60+各项系数!$M$9*$NO60</f>
        <v>263.41101355212777</v>
      </c>
      <c r="CJ60" s="196">
        <f>CK60*(1+$DC60+(VLOOKUP($AM60,$A$12:$B$323,2,0))+各项系数!$J$6+各项系数!$M$5)*(1+$E$2)+各项系数!$M$9*$NK60</f>
        <v>261.34308619286946</v>
      </c>
      <c r="CK60" s="197">
        <f>CL60+各项系数!$L$9*$NO60</f>
        <v>265.14937926610247</v>
      </c>
      <c r="CL60" s="197">
        <f>CM60*(1+$DD60+各项系数!$J$5+各项系数!$L$5)</f>
        <v>263.08145190684417</v>
      </c>
      <c r="CM60" s="197">
        <f t="shared" si="13"/>
        <v>257.92299206553349</v>
      </c>
      <c r="CN60" s="196">
        <f>CO60+各项系数!$M$9*$NO60</f>
        <v>266.28603896578284</v>
      </c>
      <c r="CO60" s="196">
        <f>CP60*(1+$DC60+(VLOOKUP($AM60,$A$12:$B$323,2,0))+各项系数!$J$6+各项系数!$M$5)*(1+$E$2)+各项系数!$M$9*$NK60</f>
        <v>264.21811160652453</v>
      </c>
      <c r="CP60" s="197">
        <f>CQ60+各项系数!$L$9*$NO60</f>
        <v>268.08307866779131</v>
      </c>
      <c r="CQ60" s="197">
        <f>CR60*(1+$DD60+各项系数!$J$5+各项系数!$L$5)</f>
        <v>266.01515130853301</v>
      </c>
      <c r="CR60" s="197">
        <f t="shared" si="14"/>
        <v>260.79916794954215</v>
      </c>
      <c r="CS60" s="196">
        <f>CT60+各项系数!$M$9*$NU60</f>
        <v>265.86321268133901</v>
      </c>
      <c r="CT60" s="196">
        <f t="shared" si="15"/>
        <v>263.77795537973248</v>
      </c>
      <c r="CU60" s="197">
        <f>CV60+各项系数!$L$9*$NU60</f>
        <v>269.16117895891068</v>
      </c>
      <c r="CV60" s="197">
        <f>CW60*(1+$DD60+各项系数!$J$5+各项系数!$L$5)</f>
        <v>267.07592165730415</v>
      </c>
      <c r="CW60" s="199">
        <f t="shared" si="16"/>
        <v>261.83913887970994</v>
      </c>
      <c r="CX60" s="196">
        <f>CY60+各项系数!$M$9*$NU60</f>
        <v>268.99060481151884</v>
      </c>
      <c r="CY60" s="196">
        <f t="shared" si="17"/>
        <v>266.9053475099123</v>
      </c>
      <c r="CZ60" s="197">
        <f>DA60+各项系数!$L$9*$NU60</f>
        <v>272.35239541827787</v>
      </c>
      <c r="DA60" s="197">
        <f>DB60*(1+$DD60+各项系数!$J$5+各项系数!$L$5)</f>
        <v>270.26713811667133</v>
      </c>
      <c r="DB60" s="199">
        <f t="shared" si="18"/>
        <v>264.96778246732481</v>
      </c>
      <c r="DC60" s="213">
        <f t="shared" si="137"/>
        <v>0</v>
      </c>
      <c r="DD60" s="213">
        <f t="shared" si="19"/>
        <v>0</v>
      </c>
      <c r="DE60" s="53" t="s">
        <v>498</v>
      </c>
      <c r="DF60" s="53" t="s">
        <v>513</v>
      </c>
      <c r="DG60" s="196">
        <f>DH60+各项系数!$M$9*$NQ60</f>
        <v>266.40351860067841</v>
      </c>
      <c r="DH60" s="196">
        <f>DI60*(1+$EA60+(VLOOKUP($AM60,$A$12:$B$323,2,0))+各项系数!$J$6+各项系数!$M$5)*(1+$E$2)+各项系数!$M$9*$NK60</f>
        <v>264.3355912414201</v>
      </c>
      <c r="DI60" s="197">
        <f>DJ60+各项系数!$L$9*$NQ60</f>
        <v>268.2029558462562</v>
      </c>
      <c r="DJ60" s="197">
        <f>DK60*(1+$EB60+各项系数!$J$5+各项系数!$L$5)</f>
        <v>266.1350284869979</v>
      </c>
      <c r="DK60" s="197">
        <f t="shared" si="20"/>
        <v>258.38352280291059</v>
      </c>
      <c r="DL60" s="196">
        <f>DM60+各项系数!$M$9*$NQ60</f>
        <v>269.08515838237622</v>
      </c>
      <c r="DM60" s="196">
        <f>DN60*(1+$EA60+(VLOOKUP($AM60,$A$12:$B$323,2,0))+各项系数!$J$6+各项系数!$M$5)*(1+$E$2)+各项系数!$M$9*$NK60</f>
        <v>267.01723102311792</v>
      </c>
      <c r="DN60" s="197">
        <f>DO60+各项系数!$L$9*$NQ60</f>
        <v>270.93932297043762</v>
      </c>
      <c r="DO60" s="197">
        <f>DP60*(1+$EB60+各项系数!$J$5+各项系数!$L$5)</f>
        <v>268.87139561117931</v>
      </c>
      <c r="DP60" s="197">
        <f t="shared" si="21"/>
        <v>261.04018991376631</v>
      </c>
      <c r="DQ60" s="196">
        <f>DR60+各项系数!$M$9*$NV60</f>
        <v>268.89580284244931</v>
      </c>
      <c r="DR60" s="196">
        <f t="shared" si="22"/>
        <v>266.81054554084278</v>
      </c>
      <c r="DS60" s="197">
        <f>DT60+各项系数!$L$9*$NV60</f>
        <v>272.25565871514573</v>
      </c>
      <c r="DT60" s="197">
        <f>DU60*(1+$EB60+各项系数!$J$5+各项系数!$L$5)</f>
        <v>270.1704014135392</v>
      </c>
      <c r="DU60" s="199">
        <f t="shared" si="23"/>
        <v>262.30136059566911</v>
      </c>
      <c r="DV60" s="196">
        <f>DW60+各项系数!$M$9*$NV60</f>
        <v>268.97068809124471</v>
      </c>
      <c r="DW60" s="196">
        <f t="shared" si="24"/>
        <v>266.88543078963818</v>
      </c>
      <c r="DX60" s="197">
        <f>DY60+各项系数!$L$9*$NV60</f>
        <v>272.3320722343247</v>
      </c>
      <c r="DY60" s="197">
        <f>DZ60*(1+$EB60+各项系数!$J$5+各项系数!$L$5)</f>
        <v>270.24681493271817</v>
      </c>
      <c r="DZ60" s="199">
        <f t="shared" si="25"/>
        <v>262.37554847836714</v>
      </c>
      <c r="EA60" s="213">
        <f t="shared" si="311"/>
        <v>0</v>
      </c>
      <c r="EB60" s="213">
        <f t="shared" si="27"/>
        <v>0.01</v>
      </c>
      <c r="EC60" s="235">
        <f t="shared" si="138"/>
        <v>3</v>
      </c>
      <c r="ED60" s="235" t="str">
        <f t="shared" si="266"/>
        <v>3*150</v>
      </c>
      <c r="EE60" s="189">
        <f t="shared" si="239"/>
        <v>150</v>
      </c>
      <c r="EF60" s="189" t="str">
        <f>LOOKUP(EH60,{1,7,10,14,19,24,30,37,48,61},{1,"1+6","2+8","4+10","1+6+12","2+8+14","4+10+16","1+6+12+18","3+9+15+21","1+6+12+18+24"})</f>
        <v>4+10+16</v>
      </c>
      <c r="EG60" s="188">
        <f t="shared" si="29"/>
        <v>3</v>
      </c>
      <c r="EH60" s="197">
        <f>VLOOKUP(EE60,各项系数!$B$87:$C$124,2,0)</f>
        <v>30</v>
      </c>
      <c r="EI60" s="188">
        <f>IF(EH60=0,0,VLOOKUP(EH60,各项系数!$D$142:$E$195,2,0))*1</f>
        <v>6.41</v>
      </c>
      <c r="EJ60" s="238">
        <f t="shared" si="141"/>
        <v>243.33587022849699</v>
      </c>
      <c r="EK60" s="189">
        <f t="shared" si="261"/>
        <v>0</v>
      </c>
      <c r="EL60" s="189">
        <f t="shared" si="31"/>
        <v>0</v>
      </c>
      <c r="EM60" s="189">
        <f t="shared" si="267"/>
        <v>0</v>
      </c>
      <c r="EN60" s="189">
        <f>IF(EP60=0,0,LOOKUP(EP60,{1,7,10,14,19,24,30,37,48,61},{1,"1+6","2+8","4+10","1+6+12","2+8+14","4+10+16","1+6+12+18","3+9+15+21","1+6+12+18+24"}))</f>
        <v>0</v>
      </c>
      <c r="EO60" s="189">
        <f t="shared" si="263"/>
        <v>0</v>
      </c>
      <c r="EP60" s="189">
        <f>IF(EM60=0,0,IF(EM60&lt;10,1,IF(AND(EM60&gt;=10,EM60&lt;=35),7,LOOKUP(EM60,{50,70,95,120,150,185,240,300},{10,14,19,24,30,37,48,61})*1)))</f>
        <v>0</v>
      </c>
      <c r="EQ60" s="189">
        <f>IF(EP60=0,0,VLOOKUP(EP60,各项系数!$D$142:$E$195,2,0))*1</f>
        <v>0</v>
      </c>
      <c r="ER60" s="189">
        <f t="shared" si="264"/>
        <v>0</v>
      </c>
      <c r="ES60" s="235">
        <f t="shared" si="250"/>
        <v>3</v>
      </c>
      <c r="ET60" s="189">
        <f>VLOOKUP(ES60,各项系数!$D$142:$E$195,2,0)*1</f>
        <v>2.16</v>
      </c>
      <c r="EU60" s="243">
        <f>((各项系数!$F$76/4*$EJ60^2*$EG60*$EH60*1*10^-7)*(1-$H60)*AA60)*(VLOOKUP($EY$9,各项系数!$D$4:$F$143,3,0))*各项系数!$J$4</f>
        <v>3.7578162583570753</v>
      </c>
      <c r="EV60" s="244">
        <f>EU60*(VLOOKUP($EY$9,各项系数!$D$4:$F$143,2,0))</f>
        <v>246.13696492238844</v>
      </c>
      <c r="EW60" s="252">
        <f>(IF($EO60=0,0,(各项系数!$F$76/4*$ER60^2*$EO60*$EP60*1*10^-7))*(1-$K60)*$AF60)*(VLOOKUP($EY$9,各项系数!$D$4:$F$143,3,0))*各项系数!$J$4</f>
        <v>0</v>
      </c>
      <c r="EX60" s="253">
        <f>EW60*(VLOOKUP($EY$9,各项系数!$D$4:$F$143,2,0))</f>
        <v>0</v>
      </c>
      <c r="EY60" s="189">
        <f>((各项系数!$F$76/4*$EJ60^2*$EG60*$EH60*1*10^-7)*(1-$H60)*AA60+IF($EO60=0,0,(各项系数!$F$76/4*$ER60^2*$EO60*$EP60*1*10^-7))*(1-$K60)*$AF60)*(VLOOKUP($EY$9,各项系数!$D$4:$F$143,3,0))*各项系数!$J$4</f>
        <v>3.7578162583570753</v>
      </c>
      <c r="EZ60" s="102">
        <v>1</v>
      </c>
      <c r="FA60" s="189">
        <f t="shared" si="268"/>
        <v>3.7578162583570753</v>
      </c>
      <c r="FB60" s="254">
        <f>FA60*(VLOOKUP($EY$9,各项系数!$D$4:$F$143,2,0))</f>
        <v>246.13696492238844</v>
      </c>
      <c r="FC60" s="255"/>
      <c r="FD60" s="235">
        <f>各项系数!$F$76/4*($MN60^2-MK60^2)*10^-2*(VLOOKUP(L60,各项系数!$D$1:$F$143,3,0))*10^-3*10^2*$EG60*各项系数!$J$4</f>
        <v>0.24547563479114451</v>
      </c>
      <c r="FE60" s="262">
        <f>FD60*VLOOKUP(L60,各项系数!$D$1:$F$143,2,0)</f>
        <v>2.5038514748696739</v>
      </c>
      <c r="FF60" s="188">
        <f>各项系数!$F$76/4*($MO60^2-ML60^2)*10^-2*(VLOOKUP(L60,各项系数!$D$1:$F$143,3,0))*10^-3*10^2*$EO60*各项系数!$J$4</f>
        <v>0</v>
      </c>
      <c r="FG60" s="262">
        <f>FF60*VLOOKUP(L60,各项系数!$D$1:$F$143,2,0)</f>
        <v>0</v>
      </c>
      <c r="FH60" s="235">
        <f t="shared" si="142"/>
        <v>0.24547563479114451</v>
      </c>
      <c r="FI60" s="102">
        <v>1</v>
      </c>
      <c r="FJ60" s="189">
        <f t="shared" si="269"/>
        <v>0.24547563479114451</v>
      </c>
      <c r="FK60" s="262">
        <f>FJ60*VLOOKUP(L60,各项系数!$D$1:$F$143,2,0)</f>
        <v>2.5038514748696739</v>
      </c>
      <c r="FL60" s="235"/>
      <c r="FM60" s="102"/>
      <c r="FN60" s="189"/>
      <c r="FO60" s="262"/>
      <c r="FP60" s="282">
        <f t="shared" si="270"/>
        <v>0.24547563479114451</v>
      </c>
      <c r="FQ60" s="282">
        <f t="shared" si="271"/>
        <v>2.5038514748696739</v>
      </c>
      <c r="FR60" s="283">
        <f>各项系数!$F$76/4*($MQ60^2-$MN60^2*$EG60-$MO60^2*$EO60)*10^-2</f>
        <v>4.4278587876649551</v>
      </c>
      <c r="FS60" s="284">
        <f t="shared" si="143"/>
        <v>1</v>
      </c>
      <c r="FT60" s="285">
        <f t="shared" si="40"/>
        <v>4.4278587876649551</v>
      </c>
      <c r="FU60" s="302">
        <f>$FT60*(VLOOKUP($FT$9,各项系数!$D$1:$F$143,3,0))*10^-3*10^2*各项系数!$J$55</f>
        <v>0.52868633924719555</v>
      </c>
      <c r="FV60" s="303">
        <v>1</v>
      </c>
      <c r="FW60" s="304">
        <f t="shared" si="272"/>
        <v>0.52868633924719555</v>
      </c>
      <c r="FX60" s="285">
        <f>FW60*(VLOOKUP($FT$9,各项系数!$D$1:$F$143,2,0))</f>
        <v>1.5860590177415865</v>
      </c>
      <c r="FY60" s="302">
        <f>IF($BK60&lt;&gt;$FY$9,0,各项系数!$F$76/4*($MS60^2-$MQ60^2)*10^-2*(VLOOKUP($FY$9,各项系数!$D$1:$F$143,3,0))*10^-3*10^2)*各项系数!$J$4</f>
        <v>0</v>
      </c>
      <c r="FZ60" s="303">
        <v>1</v>
      </c>
      <c r="GA60" s="304">
        <f t="shared" si="273"/>
        <v>0</v>
      </c>
      <c r="GB60" s="285">
        <f>GA60*(VLOOKUP($FY$9,各项系数!$D$1:$F$143,2,0))</f>
        <v>0</v>
      </c>
      <c r="GC60" s="302">
        <f>IF($BK60&lt;&gt;$GC$9,0,各项系数!$F$76/4*($MS60^2-$MQ60^2)*10^-2*(VLOOKUP($GC$9,各项系数!$D$1:$F$143,3,0))*10^-3*10^2)*各项系数!$J$4</f>
        <v>1.0846055138625483E-2</v>
      </c>
      <c r="GD60" s="303">
        <v>1</v>
      </c>
      <c r="GE60" s="304">
        <f t="shared" si="274"/>
        <v>1.0846055138625483E-2</v>
      </c>
      <c r="GF60" s="285">
        <f>GE60*(VLOOKUP($GC$9,各项系数!$D$1:$F$143,2,0))</f>
        <v>0.13991411128826872</v>
      </c>
      <c r="GG60" s="302">
        <f>IF($BK60&lt;&gt;$GG$9,0,各项系数!$F$76/4*($MS60^2-$MQ60^2)*10^-2*(VLOOKUP($GG$9,各项系数!$D$1:$F$143,3,0))*10^-3*10^2)*各项系数!$J$4</f>
        <v>0</v>
      </c>
      <c r="GH60" s="303">
        <v>1</v>
      </c>
      <c r="GI60" s="304">
        <f t="shared" si="275"/>
        <v>0</v>
      </c>
      <c r="GJ60" s="285">
        <f>GI60*(VLOOKUP($GG$9,各项系数!$D$1:$F$143,2,0))</f>
        <v>0</v>
      </c>
      <c r="GK60" s="302">
        <f>IF($BK60&lt;&gt;$GK$9,0,各项系数!$F$76/4*($MS60^2-$MQ60^2)*10^-2*(VLOOKUP($GK$9,各项系数!$D$1:$F$143,3,0))*10^-3*10^2)*各项系数!$J$4</f>
        <v>0</v>
      </c>
      <c r="GL60" s="303">
        <v>1</v>
      </c>
      <c r="GM60" s="304">
        <f t="shared" si="276"/>
        <v>0</v>
      </c>
      <c r="GN60" s="285">
        <f>GM60*(VLOOKUP($GK$9,各项系数!$D$1:$F$143,2,0))</f>
        <v>0</v>
      </c>
      <c r="GO60" s="304">
        <f t="shared" si="277"/>
        <v>1.0846055138625483E-2</v>
      </c>
      <c r="GP60" s="304">
        <f t="shared" si="278"/>
        <v>0.13991411128826872</v>
      </c>
      <c r="GQ60" s="315">
        <f>各项系数!$F$76/4*($MU60^2-$MS60^2)*10^-2*(VLOOKUP($S60,各项系数!$D$1:$F$143,3,0))*10^-3*10^2*各项系数!$J$4</f>
        <v>0.74552990765970761</v>
      </c>
      <c r="GR60" s="303">
        <v>1</v>
      </c>
      <c r="GS60" s="304">
        <f t="shared" si="279"/>
        <v>0.74552990765970761</v>
      </c>
      <c r="GT60" s="304">
        <f t="shared" si="200"/>
        <v>0</v>
      </c>
      <c r="GU60" s="304">
        <f>ROUND($GS60*(VLOOKUP($S60,各项系数!$D$1:$F$143,2,0))+$E$3*GS60,GT60)</f>
        <v>4</v>
      </c>
      <c r="GV60" s="315">
        <f>各项系数!$F$76/4*($MT60^2-$MS60^2)*10^-2*(VLOOKUP($GV$9,各项系数!$D$1:$F$143,3,0))*10^-3*10^2*各项系数!$J$4*PI()/4*R60</f>
        <v>5.586678125054681E-2</v>
      </c>
      <c r="GW60" s="303">
        <v>1</v>
      </c>
      <c r="GX60" s="304">
        <f t="shared" si="280"/>
        <v>5.586678125054681E-2</v>
      </c>
      <c r="GY60" s="304">
        <f>$GX60*(VLOOKUP($GV$9,各项系数!$D$1:$F$143,2,0))</f>
        <v>3.7710077344119095</v>
      </c>
      <c r="GZ60" s="315">
        <f>各项系数!$F$76/4*($MV60^2-$MS60^2)*10^-2*(VLOOKUP($GZ$9,各项系数!$D$1:$F$143,3,0))*10^-3*10^2*各项系数!$J$4</f>
        <v>0.44008725045763286</v>
      </c>
      <c r="HA60" s="303">
        <v>1</v>
      </c>
      <c r="HB60" s="304">
        <f t="shared" si="144"/>
        <v>0.44008725045763286</v>
      </c>
      <c r="HC60" s="304">
        <f>HB60*(VLOOKUP($GZ$9,各项系数!$D$1:$F$143,2,0))</f>
        <v>7.4814832577797583</v>
      </c>
      <c r="HD60" s="315">
        <f>各项系数!$F$76/4*($MW60^2-$MT60^2)*10^-2*(VLOOKUP($HD$9,各项系数!$D$1:$F$143,3,0))*10^-3*10^2*各项系数!$J$4</f>
        <v>0.44175522252838878</v>
      </c>
      <c r="HE60" s="303">
        <v>1</v>
      </c>
      <c r="HF60" s="304">
        <f t="shared" si="145"/>
        <v>0.44175522252838878</v>
      </c>
      <c r="HG60" s="304">
        <f>HF60*(VLOOKUP($HD$9,各项系数!$D$1:$F$143,2,0))</f>
        <v>7.5098387829826097</v>
      </c>
      <c r="HH60" s="315">
        <f>各项系数!$F$76/4*($MV60^2-$MS60^2)*10^-2*(VLOOKUP($HH$9,各项系数!$D$1:$F$143,3,0))*10^-3*10^2*各项系数!$J$4</f>
        <v>0.44008725045763286</v>
      </c>
      <c r="HI60" s="322">
        <v>1</v>
      </c>
      <c r="HJ60" s="304">
        <f t="shared" si="146"/>
        <v>0.44008725045763286</v>
      </c>
      <c r="HK60" s="304">
        <f>HJ60*(VLOOKUP($HH$9,各项系数!$D$1:$F$143,2,0))</f>
        <v>7.4814832577797583</v>
      </c>
      <c r="HL60" s="315">
        <f>各项系数!$F$76/4*($MW60^2-$MT60^2)*10^-2*(VLOOKUP($HL$9,各项系数!$D$1:$F$143,3,0))*10^-3*10^2*各项系数!$J$4</f>
        <v>0.44175522252838878</v>
      </c>
      <c r="HM60" s="322">
        <v>1</v>
      </c>
      <c r="HN60" s="304">
        <f t="shared" si="147"/>
        <v>0.44175522252838878</v>
      </c>
      <c r="HO60" s="304">
        <f>HN60*(VLOOKUP($HL$9,各项系数!$D$1:$F$143,2,0))</f>
        <v>7.5098387829826097</v>
      </c>
      <c r="HP60" s="315">
        <f>各项系数!$F$76/4*($MV60^2-$MS60^2)*10^-2*(VLOOKUP(AN60,各项系数!$D$1:$F$143,3,0))*10^-3*10^2*各项系数!$J$4</f>
        <v>0.44615741942946235</v>
      </c>
      <c r="HQ60" s="303">
        <v>1</v>
      </c>
      <c r="HR60" s="304">
        <f t="shared" si="281"/>
        <v>0.44615741942946235</v>
      </c>
      <c r="HS60" s="304">
        <f>HR60*(VLOOKUP(AN60,各项系数!$D$1:$F$143,2,0))</f>
        <v>4.4615741942946237</v>
      </c>
      <c r="HT60" s="315">
        <f>各项系数!$F$76/4*($MW60^2-$MT60^2)*10^-2*(VLOOKUP(AN60,各项系数!$D$1:$F$143,3,0))*10^-3*10^2*各项系数!$J$4</f>
        <v>0.44784839801153903</v>
      </c>
      <c r="HU60" s="303">
        <v>1</v>
      </c>
      <c r="HV60" s="304">
        <f t="shared" si="282"/>
        <v>0.44784839801153903</v>
      </c>
      <c r="HW60" s="304">
        <f>HV60*(VLOOKUP(AN60,各项系数!$D$1:$F$143,2,0))</f>
        <v>4.4784839801153904</v>
      </c>
      <c r="HX60" s="315">
        <f>各项系数!$F$76/4*($MV60^2-$MS60^2)*10^-2*(VLOOKUP($HX$9,各项系数!$D$1:$F$143,3,0))*10^-3*10^2*各项系数!$J$4</f>
        <v>0.44615741942946235</v>
      </c>
      <c r="HY60" s="322">
        <v>1</v>
      </c>
      <c r="HZ60" s="304">
        <f t="shared" si="283"/>
        <v>0.44615741942946235</v>
      </c>
      <c r="IA60" s="304">
        <f>HZ60*(VLOOKUP($HX$9,各项系数!$D$1:$F$143,2,0))</f>
        <v>4.9077316137240858</v>
      </c>
      <c r="IB60" s="315">
        <f>各项系数!$F$76/4*($MW60^2-$MT60^2)*10^-2*(VLOOKUP($IB$9,各项系数!$D$1:$F$143,3,0))*10^-3*10^2*各项系数!$J$4</f>
        <v>0.44784839801153903</v>
      </c>
      <c r="IC60" s="322">
        <v>1</v>
      </c>
      <c r="ID60" s="304">
        <f t="shared" si="284"/>
        <v>0.44784839801153903</v>
      </c>
      <c r="IE60" s="304">
        <f>ID60*(VLOOKUP($IB$9,各项系数!$D$1:$F$143,2,0))</f>
        <v>4.9263323781269293</v>
      </c>
      <c r="IF60" s="328"/>
      <c r="IG60" s="315">
        <f t="shared" si="148"/>
        <v>6.7087954517998788E-2</v>
      </c>
      <c r="IH60" s="303">
        <v>1</v>
      </c>
      <c r="II60" s="304">
        <f t="shared" si="285"/>
        <v>6.7087954517998788E-2</v>
      </c>
      <c r="IJ60" s="304">
        <f>II60*(VLOOKUP($IG$8,各项系数!$D$1:$F$143,2,0))</f>
        <v>1.6771988629499697</v>
      </c>
      <c r="IK60" s="315">
        <f>(各项系数!$F$76/4*($MX60^2-$MK60^2)*$EG60)*10^-2*(VLOOKUP($IG$8,各项系数!$D$1:$F$143,3,0))*10^-3*10^2*各项系数!$J$4</f>
        <v>6.7087954517998788E-2</v>
      </c>
      <c r="IL60" s="303">
        <f>IK60*(VLOOKUP($IG$8,各项系数!$D$1:$F$143,2,0))</f>
        <v>1.6771988629499697</v>
      </c>
      <c r="IM60" s="304">
        <f>(各项系数!$F$76/4*(($MM60+3*$X60)^2-MM60^2)*$EO60)*10^-2*(VLOOKUP($IG$8,各项系数!$D$1:$F$143,3,0))*10^-3*10^2*各项系数!$J$4</f>
        <v>0</v>
      </c>
      <c r="IN60" s="303">
        <f>IM60*(VLOOKUP($IG$8,各项系数!$D$1:$F$143,2,0))</f>
        <v>0</v>
      </c>
      <c r="IO60" s="315">
        <f>各项系数!$F$76/4*($MZ60^2-$MX60^2)*10^-2*(VLOOKUP(L60,各项系数!$D$1:$F$143,3,0))*10^-3*10^2*$ES60*各项系数!$J$4</f>
        <v>0.25414058715271681</v>
      </c>
      <c r="IP60" s="303">
        <v>1</v>
      </c>
      <c r="IQ60" s="304">
        <f t="shared" si="286"/>
        <v>0.25414058715271681</v>
      </c>
      <c r="IR60" s="285">
        <f>IQ60*(VLOOKUP(L60,各项系数!$D$1:$F$143,2,0))</f>
        <v>2.5922339889577115</v>
      </c>
      <c r="IS60" s="315">
        <f>IF($L60&lt;&gt;$IS$9,0,各项系数!$F$76/4*($MZ60^2-$MX60^2)*10^-2*各项系数!$F$12*10^-3*10^2)*$ES60*各项系数!$J$4</f>
        <v>0</v>
      </c>
      <c r="IT60" s="303">
        <v>1</v>
      </c>
      <c r="IU60" s="304">
        <f t="shared" si="287"/>
        <v>0</v>
      </c>
      <c r="IV60" s="285">
        <f>IU60*各项系数!$E$12</f>
        <v>0</v>
      </c>
      <c r="IW60" s="302">
        <f t="shared" si="288"/>
        <v>0.25414058715271681</v>
      </c>
      <c r="IX60" s="302">
        <f t="shared" si="289"/>
        <v>2.5922339889577115</v>
      </c>
      <c r="IY60" s="339">
        <f>各项系数!$F$76/4*($NB60^2-$MZ60^2*$EG60-$NA60^2*$EO60)*10^-2</f>
        <v>4.7213756318815179</v>
      </c>
      <c r="IZ60" s="284">
        <f t="shared" si="231"/>
        <v>1</v>
      </c>
      <c r="JA60" s="285">
        <f t="shared" si="64"/>
        <v>4.7213756318815179</v>
      </c>
      <c r="JB60" s="282">
        <f>IF($DE60&lt;&gt;$JB$9,0,$JA60*各项系数!$F$32*10^-3*10^2)*各项系数!$J$4</f>
        <v>0</v>
      </c>
      <c r="JC60" s="102">
        <v>1</v>
      </c>
      <c r="JD60" s="189">
        <f t="shared" si="290"/>
        <v>0</v>
      </c>
      <c r="JE60" s="262">
        <f>JD60*各项系数!$E$32</f>
        <v>0</v>
      </c>
      <c r="JF60" s="282">
        <f>IF($DE60&lt;&gt;$JF$9,0,$JA60*VLOOKUP($JF$9,各项系数!$D$4:$F$540,2,0)*10^-3*10^2)*各项系数!$J$4</f>
        <v>2.3488843768610552</v>
      </c>
      <c r="JG60" s="102">
        <v>1</v>
      </c>
      <c r="JH60" s="189">
        <f t="shared" si="66"/>
        <v>2.3488843768610552</v>
      </c>
      <c r="JI60" s="262">
        <f>JH60*VLOOKUP($JF$9,各项系数!$D$4:$F$540,3,0)</f>
        <v>2.8186612522332664</v>
      </c>
      <c r="JJ60" s="282">
        <f t="shared" si="291"/>
        <v>2.3488843768610552</v>
      </c>
      <c r="JK60" s="189">
        <f t="shared" si="292"/>
        <v>2.8186612522332664</v>
      </c>
      <c r="JL60" s="282">
        <f>IF($DF60&lt;&gt;$JL$9,0,各项系数!$F$76/4*($NE60^2-$NC60^2)*10^-2*各项系数!$F$39*10^-3*10^2)*各项系数!$J$4</f>
        <v>4.6312832616490504E-3</v>
      </c>
      <c r="JM60" s="102">
        <v>1</v>
      </c>
      <c r="JN60" s="189">
        <f t="shared" si="293"/>
        <v>4.6312832616490504E-3</v>
      </c>
      <c r="JO60" s="262">
        <f>JN60*各项系数!$E$39</f>
        <v>9.2625665232981005E-2</v>
      </c>
      <c r="JP60" s="282">
        <f>IF($DF60&lt;&gt;$JP$9,0,各项系数!$F$76/4*($NE60^2-$NC60^2)*10^-2*各项系数!$F$36*10^-3*10^2)*各项系数!$J$4</f>
        <v>0</v>
      </c>
      <c r="JQ60" s="102">
        <v>1</v>
      </c>
      <c r="JR60" s="189">
        <f t="shared" si="294"/>
        <v>0</v>
      </c>
      <c r="JS60" s="262">
        <f>JR60*各项系数!$E$36</f>
        <v>0</v>
      </c>
      <c r="JT60" s="282">
        <f>IF($DF60&lt;&gt;$JT$9,0,各项系数!$F$76/4*($NE60^2-$NC60^2)*10^-2*各项系数!$F$40*10^-3*10^2)*各项系数!$J$4</f>
        <v>0</v>
      </c>
      <c r="JU60" s="102">
        <v>1</v>
      </c>
      <c r="JV60" s="189">
        <f t="shared" si="295"/>
        <v>0</v>
      </c>
      <c r="JW60" s="262">
        <f>JV60*各项系数!$E$40</f>
        <v>0</v>
      </c>
      <c r="JX60" s="282">
        <f>IF($DF60&lt;&gt;$JX$9,0,各项系数!$F$76/4*($NE60^2-$NC60^2)*10^-2*各项系数!$F$38*10^-3*10^2)*各项系数!$J$4</f>
        <v>0</v>
      </c>
      <c r="JY60" s="102">
        <v>1</v>
      </c>
      <c r="JZ60" s="189">
        <f t="shared" si="296"/>
        <v>0</v>
      </c>
      <c r="KA60" s="262">
        <f>JZ60*各项系数!$E$38</f>
        <v>0</v>
      </c>
      <c r="KB60" s="282">
        <f>IF($DF60&lt;&gt;$KB$9,0,各项系数!$F$76/4*($NE60^2-$NC60^2)*10^-2*各项系数!$F$41*10^-3*10^2)*各项系数!$J$4</f>
        <v>0</v>
      </c>
      <c r="KC60" s="102">
        <v>1</v>
      </c>
      <c r="KD60" s="189">
        <f t="shared" si="297"/>
        <v>0</v>
      </c>
      <c r="KE60" s="262">
        <f>KD60*各项系数!$E$41</f>
        <v>0</v>
      </c>
      <c r="KF60" s="189">
        <f t="shared" si="298"/>
        <v>4.6312832616490504E-3</v>
      </c>
      <c r="KG60" s="189">
        <f t="shared" si="299"/>
        <v>9.2625665232981005E-2</v>
      </c>
      <c r="KH60" s="235">
        <f>各项系数!$F$76/4*($NG60^2-$NE60^2)*10^-2*各项系数!$F$44*10^-3*10^2*各项系数!$J$4*0.75*$U60</f>
        <v>1.1556948214553855</v>
      </c>
      <c r="KI60" s="102">
        <v>1</v>
      </c>
      <c r="KJ60" s="189">
        <f t="shared" si="300"/>
        <v>1.1556948214553855</v>
      </c>
      <c r="KK60" s="189">
        <f>ROUND(KJ60*各项系数!$E$43,GT60)</f>
        <v>7</v>
      </c>
      <c r="KL60" s="235">
        <f>各项系数!$F$76/4*($NF60^2-$NE60^2)*10^-2*各项系数!$F$46*10^-3*10^2*各项系数!$J$4*PI()/4*R60</f>
        <v>5.7766474494158164E-2</v>
      </c>
      <c r="KM60" s="102">
        <v>1</v>
      </c>
      <c r="KN60" s="189">
        <f t="shared" si="301"/>
        <v>5.7766474494158164E-2</v>
      </c>
      <c r="KO60" s="189">
        <f>KN60*各项系数!$E$46</f>
        <v>3.8992370283556759</v>
      </c>
      <c r="KP60" s="235">
        <f>各项系数!$F$76/4*($NH60^2-$NE60^2)*10^-2*(VLOOKUP($KP$9,各项系数!$D$1:$F$143,3,0))*10^-3*10^2*各项系数!$J$4</f>
        <v>0.45426501305905687</v>
      </c>
      <c r="KQ60" s="102">
        <v>1</v>
      </c>
      <c r="KR60" s="189">
        <f t="shared" si="150"/>
        <v>0.45426501305905687</v>
      </c>
      <c r="KS60" s="189">
        <f>KR60*(VLOOKUP($KP$9,各项系数!$D$1:$F$143,2,0))</f>
        <v>7.7225052220039672</v>
      </c>
      <c r="KT60" s="235">
        <f>各项系数!$F$76/4*($NI60^2-$NF60^2)*10^-2*(VLOOKUP($KT$9,各项系数!$D$1:$F$143,3,0))*10^-3*10^2*各项系数!$J$4</f>
        <v>0.45593298512981223</v>
      </c>
      <c r="KU60" s="102">
        <v>1</v>
      </c>
      <c r="KV60" s="189">
        <f t="shared" si="151"/>
        <v>0.45593298512981223</v>
      </c>
      <c r="KW60" s="189">
        <f>KV60*(VLOOKUP($KT$9,各项系数!$D$1:$F$143,2,0))</f>
        <v>7.7508607472068078</v>
      </c>
      <c r="KX60" s="189">
        <f>各项系数!$F$76/4*($NH60^2-$NE60^2)*10^-2*(VLOOKUP($KX$9,各项系数!$D$1:$F$143,3,0))*10^-3*10^2*各项系数!$J$4</f>
        <v>0.45426501305905687</v>
      </c>
      <c r="KY60" s="353">
        <v>1</v>
      </c>
      <c r="KZ60" s="189">
        <f t="shared" si="152"/>
        <v>0.45426501305905687</v>
      </c>
      <c r="LA60" s="189">
        <f>KZ60*(VLOOKUP($KX$9,各项系数!$D$1:$F$143,2,0))</f>
        <v>7.7225052220039672</v>
      </c>
      <c r="LB60" s="189">
        <f>各项系数!$F$76/4*($NI60^2-$NF60^2)*10^-2*(VLOOKUP($LB$9,各项系数!$D$1:$F$143,3,0))*10^-3*10^2*各项系数!$J$4</f>
        <v>0.45593298512981223</v>
      </c>
      <c r="LC60" s="353">
        <v>1</v>
      </c>
      <c r="LD60" s="189">
        <f t="shared" si="153"/>
        <v>0.45593298512981223</v>
      </c>
      <c r="LE60" s="189">
        <f>LD60*(VLOOKUP($LB$9,各项系数!$D$1:$F$143,2,0))</f>
        <v>7.7508607472068078</v>
      </c>
      <c r="LF60" s="235">
        <f>各项系数!$F$76/4*($NH60^2-$NE60^2)*10^-2*(VLOOKUP(AN60,各项系数!$D$1:$F$143,3,0))*10^-3*10^2*各项系数!$J$4</f>
        <v>0.46053073737711281</v>
      </c>
      <c r="LG60" s="102">
        <v>1</v>
      </c>
      <c r="LH60" s="189">
        <f t="shared" si="302"/>
        <v>0.46053073737711281</v>
      </c>
      <c r="LI60" s="189">
        <f>LH60*(VLOOKUP(AN60,各项系数!$D$1:$F$143,2,0))</f>
        <v>4.6053073737711276</v>
      </c>
      <c r="LJ60" s="235">
        <f>各项系数!$F$76/4*($NI60^2-$NF60^2)*10^-2*(VLOOKUP(AN60,各项系数!$D$1:$F$143,3,0))*10^-3*10^2*各项系数!$J$4</f>
        <v>0.46222171595918893</v>
      </c>
      <c r="LK60" s="102">
        <v>1</v>
      </c>
      <c r="LL60" s="189">
        <f t="shared" si="303"/>
        <v>0.46222171595918893</v>
      </c>
      <c r="LM60" s="189">
        <f>LL60*(VLOOKUP(AN60,各项系数!$D$1:$F$143,2,0))</f>
        <v>4.6222171595918891</v>
      </c>
      <c r="LN60" s="189">
        <f>各项系数!$F$76/4*($NH60^2-$NE60^2)*10^-2*(VLOOKUP($LN$9,各项系数!$D$1:$F$143,3,0))*10^-3*10^2*各项系数!$J$4</f>
        <v>0.46053073737711281</v>
      </c>
      <c r="LO60" s="353">
        <v>1</v>
      </c>
      <c r="LP60" s="189">
        <f t="shared" si="304"/>
        <v>0.46053073737711281</v>
      </c>
      <c r="LQ60" s="189">
        <f>LP60*(VLOOKUP($LN$9,各项系数!$D$1:$F$143,2,0))</f>
        <v>5.0658381111482411</v>
      </c>
      <c r="LR60" s="189">
        <f>各项系数!$F$76/4*($NI60^2-$NF60^2)*10^-2*(VLOOKUP($LR$9,各项系数!$D$1:$F$143,3,0))*10^-3*10^2*各项系数!$J$4</f>
        <v>0.46222171595918893</v>
      </c>
      <c r="LS60" s="353">
        <v>1</v>
      </c>
      <c r="LT60" s="189">
        <f t="shared" si="305"/>
        <v>0.46222171595918893</v>
      </c>
      <c r="LU60" s="189">
        <f>LT60*(VLOOKUP($LR$9,各项系数!$D$1:$F$143,2,0))</f>
        <v>5.0844388755510783</v>
      </c>
      <c r="LV60" s="227">
        <f t="shared" si="154"/>
        <v>573.24392478000004</v>
      </c>
      <c r="LW60" s="227">
        <f t="shared" si="155"/>
        <v>418.54740756000001</v>
      </c>
      <c r="LX60" s="227">
        <f t="shared" si="156"/>
        <v>23.084867568426226</v>
      </c>
      <c r="LY60" s="227">
        <f t="shared" si="157"/>
        <v>154.69651722000003</v>
      </c>
      <c r="LZ60" s="374">
        <f t="shared" si="86"/>
        <v>1</v>
      </c>
      <c r="MA60" s="375">
        <f t="shared" si="87"/>
        <v>573.24392478000004</v>
      </c>
      <c r="MB60" s="375">
        <f t="shared" si="158"/>
        <v>15.59782927</v>
      </c>
      <c r="MC60" s="227">
        <f t="shared" si="159"/>
        <v>0</v>
      </c>
      <c r="MD60" s="227">
        <f t="shared" si="160"/>
        <v>0</v>
      </c>
      <c r="ME60" s="227">
        <f t="shared" si="161"/>
        <v>0</v>
      </c>
      <c r="MF60" s="227">
        <f t="shared" si="162"/>
        <v>0</v>
      </c>
      <c r="MG60" s="374">
        <f t="shared" si="163"/>
        <v>1</v>
      </c>
      <c r="MH60" s="375">
        <f t="shared" si="88"/>
        <v>0</v>
      </c>
      <c r="MI60" s="375">
        <f t="shared" si="164"/>
        <v>0</v>
      </c>
      <c r="MJ60" s="189">
        <f t="shared" si="89"/>
        <v>15.59782927</v>
      </c>
      <c r="MK60" s="189">
        <f t="shared" si="165"/>
        <v>15.59782927</v>
      </c>
      <c r="ML60" s="189">
        <f t="shared" si="306"/>
        <v>0</v>
      </c>
      <c r="MM60" s="189">
        <f t="shared" si="91"/>
        <v>0</v>
      </c>
      <c r="MN60" s="189">
        <f t="shared" si="92"/>
        <v>18.397829269999999</v>
      </c>
      <c r="MO60" s="189">
        <f t="shared" si="166"/>
        <v>0</v>
      </c>
      <c r="MP60" s="189">
        <f t="shared" si="167"/>
        <v>39.739311219999998</v>
      </c>
      <c r="MQ60" s="189">
        <f t="shared" si="307"/>
        <v>39.739311219999998</v>
      </c>
      <c r="MR60" s="246">
        <f t="shared" si="168"/>
        <v>39.739311219999998</v>
      </c>
      <c r="MS60" s="380">
        <f t="shared" si="94"/>
        <v>39.91531122</v>
      </c>
      <c r="MT60" s="380">
        <f t="shared" si="95"/>
        <v>40.075311219999996</v>
      </c>
      <c r="MU60" s="380">
        <f t="shared" si="232"/>
        <v>41.41531122</v>
      </c>
      <c r="MV60" s="380">
        <f t="shared" si="97"/>
        <v>44.515311220000001</v>
      </c>
      <c r="MW60" s="380">
        <f t="shared" si="98"/>
        <v>44.675311219999998</v>
      </c>
      <c r="MX60" s="254">
        <f t="shared" si="233"/>
        <v>16.19782927</v>
      </c>
      <c r="MY60" s="254">
        <f t="shared" si="100"/>
        <v>0</v>
      </c>
      <c r="MZ60" s="189">
        <f t="shared" si="101"/>
        <v>18.99782927</v>
      </c>
      <c r="NA60" s="189">
        <f t="shared" si="102"/>
        <v>0</v>
      </c>
      <c r="NB60" s="189">
        <f t="shared" si="169"/>
        <v>41.035311219999997</v>
      </c>
      <c r="NC60" s="254">
        <f t="shared" si="308"/>
        <v>41.035311219999997</v>
      </c>
      <c r="ND60" s="246">
        <f t="shared" si="234"/>
        <v>41.035311219999997</v>
      </c>
      <c r="NE60" s="386">
        <f t="shared" si="235"/>
        <v>41.275311219999999</v>
      </c>
      <c r="NF60" s="380">
        <f t="shared" si="106"/>
        <v>41.435311219999996</v>
      </c>
      <c r="NG60" s="387">
        <f t="shared" si="236"/>
        <v>42.775311219999999</v>
      </c>
      <c r="NH60" s="254">
        <f t="shared" si="108"/>
        <v>45.87531122</v>
      </c>
      <c r="NI60" s="380">
        <f t="shared" si="109"/>
        <v>46.035311219999997</v>
      </c>
      <c r="NK60" s="388">
        <f t="shared" si="110"/>
        <v>4.9889817069635036</v>
      </c>
      <c r="NL60" s="388">
        <f t="shared" si="111"/>
        <v>254.82836372058259</v>
      </c>
      <c r="NM60" s="388">
        <f t="shared" si="112"/>
        <v>4.9889817069635036</v>
      </c>
      <c r="NN60" s="388">
        <f t="shared" si="113"/>
        <v>255.27452114001204</v>
      </c>
      <c r="NO60" s="388">
        <f t="shared" si="114"/>
        <v>6.8930911975276086</v>
      </c>
      <c r="NP60" s="388">
        <f t="shared" si="115"/>
        <v>257.92299206553349</v>
      </c>
      <c r="NQ60" s="388">
        <f t="shared" si="116"/>
        <v>6.8930911975276086</v>
      </c>
      <c r="NR60" s="388">
        <f t="shared" si="117"/>
        <v>258.38352280291059</v>
      </c>
      <c r="NS60" s="388">
        <f t="shared" si="118"/>
        <v>5.0448484882140505</v>
      </c>
      <c r="NT60" s="388">
        <f t="shared" si="119"/>
        <v>5.0448484882140505</v>
      </c>
      <c r="NU60" s="388">
        <f t="shared" si="120"/>
        <v>6.9508576720217663</v>
      </c>
      <c r="NV60" s="388">
        <f t="shared" si="121"/>
        <v>6.9508576720217663</v>
      </c>
      <c r="NW60">
        <f t="shared" si="122"/>
        <v>5.7345116146232114</v>
      </c>
      <c r="NX60">
        <f>各项系数!$M$9*NK60</f>
        <v>1.4966945120890511</v>
      </c>
      <c r="NY60">
        <f t="shared" si="123"/>
        <v>5.0448484882140505</v>
      </c>
    </row>
    <row r="61" spans="1:389" ht="15" hidden="1" customHeight="1">
      <c r="A61" s="65"/>
      <c r="B61" s="81"/>
      <c r="C61" s="67"/>
      <c r="D61" s="53" t="s">
        <v>242</v>
      </c>
      <c r="E61" s="61">
        <f t="shared" si="255"/>
        <v>49.14683015</v>
      </c>
      <c r="F61" s="68">
        <f>$F$29</f>
        <v>245.09808262108001</v>
      </c>
      <c r="G61" s="58"/>
      <c r="H61" s="16"/>
      <c r="I61" s="62"/>
      <c r="J61" s="16"/>
      <c r="K61" s="16"/>
      <c r="L61" s="97" t="s">
        <v>467</v>
      </c>
      <c r="M61" s="103">
        <f t="shared" si="2"/>
        <v>1.6</v>
      </c>
      <c r="N61" s="103">
        <f t="shared" si="252"/>
        <v>0</v>
      </c>
      <c r="O61" s="53">
        <f t="shared" si="312"/>
        <v>0.08</v>
      </c>
      <c r="P61" s="99">
        <v>0.1</v>
      </c>
      <c r="Q61" s="133">
        <f t="shared" si="309"/>
        <v>0.1</v>
      </c>
      <c r="R61" s="70">
        <v>0.8</v>
      </c>
      <c r="S61" s="142" t="str">
        <f>各项系数!$D$43</f>
        <v>钢带</v>
      </c>
      <c r="T61" s="102">
        <v>0.5</v>
      </c>
      <c r="U61" s="102">
        <v>2</v>
      </c>
      <c r="V61" s="140"/>
      <c r="W61" s="141">
        <v>2.5</v>
      </c>
      <c r="X61" s="135">
        <f t="shared" si="310"/>
        <v>0.2</v>
      </c>
      <c r="Y61" s="135"/>
      <c r="Z61" s="168"/>
      <c r="AA61" s="153">
        <f>$AA$29</f>
        <v>1.0149999999999999</v>
      </c>
      <c r="AB61" s="153">
        <f>PI()*EJ61*EJ61/4*EH61*(1-H61)*AA61*各项系数!$F$5*各项系数!$J$4*10^-7</f>
        <v>1.5673367508788369</v>
      </c>
      <c r="AC61" s="153">
        <f t="shared" si="256"/>
        <v>245.09808262108001</v>
      </c>
      <c r="AD61" s="153">
        <f t="shared" si="5"/>
        <v>177.18929302065297</v>
      </c>
      <c r="AE61" s="153">
        <f>POWER(4*EU61/PI()/EG61/10^-7/EH61/(1-H61)/各项系数!$F$5/各项系数!$J$4,0.5)</f>
        <v>246.92947607788281</v>
      </c>
      <c r="AF61" s="69">
        <v>1</v>
      </c>
      <c r="AG61" s="69">
        <f>IF(EM61=0,0,PI()*ER61*ER61/4*EP61*(1-K61)*(1+AF61)*各项系数!$F$5*各项系数!$J$4*10^-7)</f>
        <v>0</v>
      </c>
      <c r="AH61" s="69">
        <f t="shared" si="257"/>
        <v>0</v>
      </c>
      <c r="AI61" s="69">
        <f t="shared" si="128"/>
        <v>0</v>
      </c>
      <c r="AJ61" s="69">
        <f>IF(OR(EP61="",EP61=0),0,POWER(4*EW61/PI()/EO61/10^-7/EP61/(1-K61)/各项系数!$F$5/各项系数!$J$4,0.5))</f>
        <v>0</v>
      </c>
      <c r="AK61" s="69" t="str">
        <f t="shared" si="8"/>
        <v>√</v>
      </c>
      <c r="AL61" s="69">
        <f t="shared" si="258"/>
        <v>328.59698514141502</v>
      </c>
      <c r="AM61" s="188">
        <f t="shared" si="259"/>
        <v>185</v>
      </c>
      <c r="AN61" s="97" t="s">
        <v>486</v>
      </c>
      <c r="AO61" s="196">
        <f>AP61+各项系数!$M$9*$NK61</f>
        <v>322.15390700138727</v>
      </c>
      <c r="AP61" s="196">
        <f>AQ61*(1+$BI61+(VLOOKUP($AM61,$A$12:$B$323,2,0))+各项系数!$J$6+各项系数!$M$5)*(1+$E$2)</f>
        <v>320.29189165866427</v>
      </c>
      <c r="AQ61" s="197">
        <f>AR61+各项系数!$L$9*$NK61</f>
        <v>326.82846087618805</v>
      </c>
      <c r="AR61" s="197">
        <f>AS61*(1+$BJ61+各项系数!$J$5+各项系数!$L$5)</f>
        <v>324.96644553346505</v>
      </c>
      <c r="AS61" s="197">
        <f t="shared" si="129"/>
        <v>318.59455444457359</v>
      </c>
      <c r="AT61" s="196">
        <f>AU61+各项系数!$M$9*$NM61</f>
        <v>325.77954489481669</v>
      </c>
      <c r="AU61" s="196">
        <f>AV61*(1+$BI61+(VLOOKUP($AM61,$A$12:$B$323,2,0))+各项系数!$J$6+各项系数!$M$5)*(1+$E$2)</f>
        <v>323.9175295520937</v>
      </c>
      <c r="AV61" s="197">
        <f>AW61+各项系数!$L$9*$NM61</f>
        <v>330.52809137968745</v>
      </c>
      <c r="AW61" s="197">
        <f>AX61*(1+$BJ61+各项系数!$J$5+各项系数!$L$5)</f>
        <v>328.66607603696445</v>
      </c>
      <c r="AX61" s="197">
        <f t="shared" si="130"/>
        <v>322.22164317349456</v>
      </c>
      <c r="AY61" s="196">
        <f>AZ61+各项系数!$M$9*$NS61</f>
        <v>326.3772894654129</v>
      </c>
      <c r="AZ61" s="196">
        <f>BA61*(1+$BI61+(VLOOKUP($AM61,$A$12:$B$214,2,0))+各项系数!$J$6+各项系数!$M$5)*(1+$E$2)</f>
        <v>324.49674087039085</v>
      </c>
      <c r="BA61" s="197">
        <f>BB61+各项系数!$L$9*$NS61</f>
        <v>331.11912333713354</v>
      </c>
      <c r="BB61" s="197">
        <f>BC61*(1+$BJ61+各项系数!$J$5+各项系数!$L$5)</f>
        <v>329.2385747421115</v>
      </c>
      <c r="BC61" s="199">
        <f t="shared" si="131"/>
        <v>322.78291641383481</v>
      </c>
      <c r="BD61" s="196">
        <f>BE61+各项系数!$M$9*$NS61</f>
        <v>330.0153634035014</v>
      </c>
      <c r="BE61" s="196">
        <f>BF61*(1+$BI61+(VLOOKUP($AM61,$A$12:$B$214,2,0))+各项系数!$J$6+各项系数!$M$5)*(1+$E$2)</f>
        <v>328.13481480847935</v>
      </c>
      <c r="BF61" s="197">
        <f>BG61+各项系数!$L$9*$NS61</f>
        <v>334.8314436821218</v>
      </c>
      <c r="BG61" s="197">
        <f>BH61*(1+$BJ61+各项系数!$J$5+各项系数!$L$5)</f>
        <v>332.95089508709975</v>
      </c>
      <c r="BH61" s="199">
        <f t="shared" si="132"/>
        <v>326.42244616382328</v>
      </c>
      <c r="BI61" s="213"/>
      <c r="BJ61" s="208"/>
      <c r="BK61" s="53" t="s">
        <v>514</v>
      </c>
      <c r="BL61" s="196">
        <f>BM61+各项系数!$M$9*$NM61</f>
        <v>325.81703208153408</v>
      </c>
      <c r="BM61" s="196">
        <f>BN61*(1+$CF61+(VLOOKUP($AM61,$A$12:$B$323,2,0))+各项系数!$J$6+各项系数!$M$5)*(1+$E$2)</f>
        <v>323.95501673881108</v>
      </c>
      <c r="BN61" s="197">
        <f>BO61+各项系数!$L$9*$NM61</f>
        <v>330.5663436110317</v>
      </c>
      <c r="BO61" s="197">
        <f>BP61*(1+$CG61+各项系数!$J$5+各项系数!$L$5)</f>
        <v>328.7043282683087</v>
      </c>
      <c r="BP61" s="197">
        <f t="shared" si="133"/>
        <v>319.13041579447446</v>
      </c>
      <c r="BQ61" s="196">
        <f>BR61+各项系数!$M$9*$NM61</f>
        <v>328.93731699791692</v>
      </c>
      <c r="BR61" s="196">
        <f>BS61*(1+$CF61+(VLOOKUP($AM61,$A$12:$B$323,2,0))+各项系数!$J$6+各项系数!$M$5)*(1+$E$2)</f>
        <v>327.07530165519393</v>
      </c>
      <c r="BS61" s="197">
        <f>BT61+各项系数!$L$9*$NM61</f>
        <v>333.75030781142237</v>
      </c>
      <c r="BT61" s="197">
        <f>BU61*(1+$CG61+各项系数!$J$5+各项系数!$L$5)</f>
        <v>331.88829246869938</v>
      </c>
      <c r="BU61" s="197">
        <f t="shared" si="134"/>
        <v>322.22164317349456</v>
      </c>
      <c r="BV61" s="196">
        <f>BW61+各项系数!$M$9*$NT61</f>
        <v>328.24847630241646</v>
      </c>
      <c r="BW61" s="196">
        <f>BX61*(1+$CF61+(VLOOKUP($AM61,$A$12:$B$214,2,0))+各项系数!$J$6+各项系数!$M$5)*(1+$E$2)</f>
        <v>326.36792770739441</v>
      </c>
      <c r="BX61" s="197">
        <f>BY61+各项系数!$L$9*$NT$12</f>
        <v>333.02849766060655</v>
      </c>
      <c r="BY61" s="197">
        <f>BZ61*(1+$CG61+各项系数!$J$5+各项系数!$L$5)</f>
        <v>333.02023425745159</v>
      </c>
      <c r="BZ61" s="199">
        <f t="shared" si="11"/>
        <v>323.32061578393359</v>
      </c>
      <c r="CA61" s="196">
        <f>CB61+各项系数!$M$9*$NT61</f>
        <v>331.37946388787714</v>
      </c>
      <c r="CB61" s="196">
        <f>CC61*(1+$CF61+(VLOOKUP($AM61,$A$12:$B$214,2,0))+各项系数!$J$6+各项系数!$M$5)*(1+$E$2)</f>
        <v>329.49891529285509</v>
      </c>
      <c r="CC61" s="197">
        <f>CD61+各项系数!$L$9*$NT$12</f>
        <v>336.22338295189297</v>
      </c>
      <c r="CD61" s="197">
        <f>CE61*(1+$CG61+各项系数!$J$5+各项系数!$L$5)</f>
        <v>336.21511954873802</v>
      </c>
      <c r="CE61" s="199">
        <f t="shared" si="135"/>
        <v>326.42244616382328</v>
      </c>
      <c r="CF61" s="213">
        <f t="shared" si="136"/>
        <v>0</v>
      </c>
      <c r="CG61" s="213">
        <f t="shared" si="12"/>
        <v>0.01</v>
      </c>
      <c r="CH61" s="102"/>
      <c r="CI61" s="196">
        <f>CJ61+各项系数!$M$9*$NO61</f>
        <v>328.91709880959024</v>
      </c>
      <c r="CJ61" s="196">
        <f>CK61*(1+$DC61+(VLOOKUP($AM61,$A$12:$B$323,2,0))+各项系数!$J$6+各项系数!$M$5)*(1+$E$2)+各项系数!$M$9*$NK61</f>
        <v>326.36408731976906</v>
      </c>
      <c r="CK61" s="197">
        <f>CL61+各项系数!$L$9*$NO61</f>
        <v>331.12456324188372</v>
      </c>
      <c r="CL61" s="197">
        <f>CM61*(1+$DD61+各项系数!$J$5+各项系数!$L$5)</f>
        <v>328.57155175206253</v>
      </c>
      <c r="CM61" s="197">
        <f t="shared" si="13"/>
        <v>322.12897230594365</v>
      </c>
      <c r="CN61" s="196">
        <f>CO61+各项系数!$M$9*$NO61</f>
        <v>332.38656747888405</v>
      </c>
      <c r="CO61" s="196">
        <f>CP61*(1+$DC61+(VLOOKUP($AM61,$A$12:$B$323,2,0))+各项系数!$J$6+各项系数!$M$5)*(1+$E$2)+各项系数!$M$9*$NK61</f>
        <v>329.83355598906286</v>
      </c>
      <c r="CP61" s="197">
        <f>CQ61+各项系数!$L$9*$NO61</f>
        <v>334.66483739422438</v>
      </c>
      <c r="CQ61" s="197">
        <f>CR61*(1+$DD61+各项系数!$J$5+各项系数!$L$5)</f>
        <v>332.11182590440319</v>
      </c>
      <c r="CR61" s="197">
        <f t="shared" si="14"/>
        <v>325.59982931804234</v>
      </c>
      <c r="CS61" s="196">
        <f>CT61+各项系数!$M$9*$NU61</f>
        <v>331.40777235090559</v>
      </c>
      <c r="CT61" s="196">
        <f t="shared" si="15"/>
        <v>328.83565770081231</v>
      </c>
      <c r="CU61" s="197">
        <f>CV61+各项系数!$L$9*$NU61</f>
        <v>335.5465894906248</v>
      </c>
      <c r="CV61" s="197">
        <f>CW61*(1+$DD61+各项系数!$J$5+各项系数!$L$5)</f>
        <v>332.97447484053151</v>
      </c>
      <c r="CW61" s="199">
        <f t="shared" si="16"/>
        <v>326.44556356914853</v>
      </c>
      <c r="CX61" s="196">
        <f>CY61+各项系数!$M$9*$NU61</f>
        <v>335.15155266859603</v>
      </c>
      <c r="CY61" s="196">
        <f t="shared" si="17"/>
        <v>332.57943801850274</v>
      </c>
      <c r="CZ61" s="197">
        <f>DA61+各项系数!$L$9*$NU61</f>
        <v>339.36677348826811</v>
      </c>
      <c r="DA61" s="197">
        <f>DB61*(1+$DD61+各项系数!$J$5+各项系数!$L$5)</f>
        <v>336.79465883817483</v>
      </c>
      <c r="DB61" s="199">
        <f t="shared" si="18"/>
        <v>330.1908419982106</v>
      </c>
      <c r="DC61" s="213">
        <f t="shared" si="137"/>
        <v>0</v>
      </c>
      <c r="DD61" s="213">
        <f t="shared" si="19"/>
        <v>0</v>
      </c>
      <c r="DE61" s="53" t="s">
        <v>498</v>
      </c>
      <c r="DF61" s="53" t="s">
        <v>513</v>
      </c>
      <c r="DG61" s="196">
        <f>DH61+各项系数!$M$9*$NQ61</f>
        <v>332.63063121427444</v>
      </c>
      <c r="DH61" s="196">
        <f>DI61*(1+$EA61+(VLOOKUP($AM61,$A$12:$B$323,2,0))+各项系数!$J$6+各项系数!$M$5)*(1+$E$2)+各项系数!$M$9*$NK61</f>
        <v>330.07761972445326</v>
      </c>
      <c r="DI61" s="197">
        <f>DJ61+各项系数!$L$9*$NQ61</f>
        <v>334.91388202217377</v>
      </c>
      <c r="DJ61" s="197">
        <f>DK61*(1+$EB61+各项系数!$J$5+各项系数!$L$5)</f>
        <v>332.36087053235258</v>
      </c>
      <c r="DK61" s="197">
        <f t="shared" si="20"/>
        <v>322.68045682752677</v>
      </c>
      <c r="DL61" s="196">
        <f>DM61+各项系数!$M$9*$NQ61</f>
        <v>335.84188881781819</v>
      </c>
      <c r="DM61" s="196">
        <f>DN61*(1+$EA61+(VLOOKUP($AM61,$A$12:$B$323,2,0))+各项系数!$J$6+各项系数!$M$5)*(1+$E$2)+各项系数!$M$9*$NK61</f>
        <v>333.288877327997</v>
      </c>
      <c r="DN61" s="197">
        <f>DO61+各项系数!$L$9*$NQ61</f>
        <v>338.19067549517757</v>
      </c>
      <c r="DO61" s="197">
        <f>DP61*(1+$EB61+各项系数!$J$5+各项系数!$L$5)</f>
        <v>335.63766400535638</v>
      </c>
      <c r="DP61" s="197">
        <f t="shared" si="21"/>
        <v>325.86180971393821</v>
      </c>
      <c r="DQ61" s="196">
        <f>DR61+各项系数!$M$9*$NV61</f>
        <v>335.16546264755698</v>
      </c>
      <c r="DR61" s="196">
        <f t="shared" si="22"/>
        <v>332.5933479974637</v>
      </c>
      <c r="DS61" s="197">
        <f>DT61+各项系数!$L$9*$NV61</f>
        <v>339.38096734435072</v>
      </c>
      <c r="DT61" s="197">
        <f>DU61*(1+$EB61+各项系数!$J$5+各项系数!$L$5)</f>
        <v>336.80885269425744</v>
      </c>
      <c r="DU61" s="199">
        <f t="shared" si="23"/>
        <v>326.99888611092956</v>
      </c>
      <c r="DV61" s="196">
        <f>DW61+各项系数!$M$9*$NV61</f>
        <v>335.09810851117857</v>
      </c>
      <c r="DW61" s="196">
        <f t="shared" si="24"/>
        <v>332.52599386108528</v>
      </c>
      <c r="DX61" s="197">
        <f>DY61+各项系数!$L$9*$NV61</f>
        <v>339.3122386337605</v>
      </c>
      <c r="DY61" s="197">
        <f>DZ61*(1+$EB61+各项系数!$J$5+各项系数!$L$5)</f>
        <v>336.74012398366722</v>
      </c>
      <c r="DZ61" s="199">
        <f t="shared" si="25"/>
        <v>326.93215920744387</v>
      </c>
      <c r="EA61" s="213">
        <f t="shared" si="311"/>
        <v>0</v>
      </c>
      <c r="EB61" s="213">
        <f t="shared" si="27"/>
        <v>0.01</v>
      </c>
      <c r="EC61" s="235">
        <f t="shared" si="138"/>
        <v>3</v>
      </c>
      <c r="ED61" s="235" t="str">
        <f t="shared" si="266"/>
        <v>3*185</v>
      </c>
      <c r="EE61" s="189">
        <f t="shared" si="239"/>
        <v>185</v>
      </c>
      <c r="EF61" s="189" t="str">
        <f>LOOKUP(EH61,{1,7,10,14,19,24,30,37,48,61},{1,"1+6","2+8","4+10","1+6+12","2+8+14","4+10+16","1+6+12+18","3+9+15+21","1+6+12+18+24"})</f>
        <v>1+6+12+18</v>
      </c>
      <c r="EG61" s="188">
        <f t="shared" si="29"/>
        <v>3</v>
      </c>
      <c r="EH61" s="197">
        <f>VLOOKUP(EE61,各项系数!$B$87:$C$124,2,0)</f>
        <v>37</v>
      </c>
      <c r="EI61" s="188">
        <f>IF(EH61=0,0,VLOOKUP(EH61,各项系数!$D$142:$E$195,2,0))*1</f>
        <v>7</v>
      </c>
      <c r="EJ61" s="238">
        <f t="shared" si="141"/>
        <v>245.09808262108001</v>
      </c>
      <c r="EK61" s="189">
        <f t="shared" si="261"/>
        <v>0</v>
      </c>
      <c r="EL61" s="189">
        <f t="shared" si="31"/>
        <v>0</v>
      </c>
      <c r="EM61" s="189">
        <f t="shared" si="267"/>
        <v>0</v>
      </c>
      <c r="EN61" s="189">
        <f>IF(EP61=0,0,LOOKUP(EP61,{1,7,10,14,19,24,30,37,48,61},{1,"1+6","2+8","4+10","1+6+12","2+8+14","4+10+16","1+6+12+18","3+9+15+21","1+6+12+18+24"}))</f>
        <v>0</v>
      </c>
      <c r="EO61" s="189">
        <f t="shared" si="263"/>
        <v>0</v>
      </c>
      <c r="EP61" s="189">
        <f>IF(EM61=0,0,IF(EM61&lt;10,1,IF(AND(EM61&gt;=10,EM61&lt;=35),7,LOOKUP(EM61,{50,70,95,120,150,185,240,300},{10,14,19,24,30,37,48,61})*1)))</f>
        <v>0</v>
      </c>
      <c r="EQ61" s="189">
        <f>IF(EP61=0,0,VLOOKUP(EP61,各项系数!$D$142:$E$195,2,0))*1</f>
        <v>0</v>
      </c>
      <c r="ER61" s="189">
        <f t="shared" si="264"/>
        <v>0</v>
      </c>
      <c r="ES61" s="235">
        <f t="shared" si="250"/>
        <v>3</v>
      </c>
      <c r="ET61" s="189">
        <f>VLOOKUP(ES61,各项系数!$D$142:$E$195,2,0)*1</f>
        <v>2.16</v>
      </c>
      <c r="EU61" s="243">
        <f>((各项系数!$F$76/4*$EJ61^2*$EG61*$EH61*1*10^-7)*(1-$H61)*AA61)*(VLOOKUP($EY$9,各项系数!$D$4:$F$143,3,0))*各项系数!$J$4</f>
        <v>4.7020102526365095</v>
      </c>
      <c r="EV61" s="244">
        <f>EU61*(VLOOKUP($EY$9,各项系数!$D$4:$F$143,2,0))</f>
        <v>307.98167154769135</v>
      </c>
      <c r="EW61" s="252">
        <f>(IF($EO61=0,0,(各项系数!$F$76/4*$ER61^2*$EO61*$EP61*1*10^-7))*(1-$K61)*$AF61)*(VLOOKUP($EY$9,各项系数!$D$4:$F$143,3,0))*各项系数!$J$4</f>
        <v>0</v>
      </c>
      <c r="EX61" s="253">
        <f>EW61*(VLOOKUP($EY$9,各项系数!$D$4:$F$143,2,0))</f>
        <v>0</v>
      </c>
      <c r="EY61" s="189">
        <f>((各项系数!$F$76/4*$EJ61^2*$EG61*$EH61*1*10^-7)*(1-$H61)*AA61+IF($EO61=0,0,(各项系数!$F$76/4*$ER61^2*$EO61*$EP61*1*10^-7))*(1-$K61)*$AF61)*(VLOOKUP($EY$9,各项系数!$D$4:$F$143,3,0))*各项系数!$J$4</f>
        <v>4.7020102526365095</v>
      </c>
      <c r="EZ61" s="102">
        <v>1</v>
      </c>
      <c r="FA61" s="189">
        <f t="shared" si="268"/>
        <v>4.7020102526365095</v>
      </c>
      <c r="FB61" s="254">
        <f>FA61*(VLOOKUP($EY$9,各项系数!$D$4:$F$143,2,0))</f>
        <v>307.98167154769135</v>
      </c>
      <c r="FC61" s="255"/>
      <c r="FD61" s="235">
        <f>各项系数!$F$76/4*($MN61^2-MK61^2)*10^-2*(VLOOKUP(L61,各项系数!$D$1:$F$143,3,0))*10^-3*10^2*$EG61*各项系数!$J$4</f>
        <v>0.30957590227819315</v>
      </c>
      <c r="FE61" s="262">
        <f>FD61*VLOOKUP(L61,各项系数!$D$1:$F$143,2,0)</f>
        <v>3.15767420323757</v>
      </c>
      <c r="FF61" s="188">
        <f>各项系数!$F$76/4*($MO61^2-ML61^2)*10^-2*(VLOOKUP(L61,各项系数!$D$1:$F$143,3,0))*10^-3*10^2*$EO61*各项系数!$J$4</f>
        <v>0</v>
      </c>
      <c r="FG61" s="262">
        <f>FF61*VLOOKUP(L61,各项系数!$D$1:$F$143,2,0)</f>
        <v>0</v>
      </c>
      <c r="FH61" s="235">
        <f t="shared" si="142"/>
        <v>0.30957590227819315</v>
      </c>
      <c r="FI61" s="102">
        <v>1</v>
      </c>
      <c r="FJ61" s="189">
        <f t="shared" si="269"/>
        <v>0.30957590227819315</v>
      </c>
      <c r="FK61" s="262">
        <f>FJ61*VLOOKUP(L61,各项系数!$D$1:$F$143,2,0)</f>
        <v>3.15767420323757</v>
      </c>
      <c r="FL61" s="235"/>
      <c r="FM61" s="102"/>
      <c r="FN61" s="189"/>
      <c r="FO61" s="262"/>
      <c r="FP61" s="282">
        <f t="shared" si="270"/>
        <v>0.30957590227819315</v>
      </c>
      <c r="FQ61" s="282">
        <f t="shared" si="271"/>
        <v>3.15767420323757</v>
      </c>
      <c r="FR61" s="283">
        <f>各项系数!$F$76/4*($MQ61^2-$MN61^2*$EG61-$MO61^2*$EO61)*10^-2</f>
        <v>5.4210376210446514</v>
      </c>
      <c r="FS61" s="284">
        <f t="shared" si="143"/>
        <v>1</v>
      </c>
      <c r="FT61" s="285">
        <f t="shared" si="40"/>
        <v>5.4210376210446514</v>
      </c>
      <c r="FU61" s="302">
        <f>$FT61*(VLOOKUP($FT$9,各项系数!$D$1:$F$143,3,0))*10^-3*10^2*各项系数!$J$55</f>
        <v>0.64727189195273138</v>
      </c>
      <c r="FV61" s="303">
        <v>1</v>
      </c>
      <c r="FW61" s="304">
        <f t="shared" si="272"/>
        <v>0.64727189195273138</v>
      </c>
      <c r="FX61" s="285">
        <f>FW61*(VLOOKUP($FT$9,各项系数!$D$1:$F$143,2,0))</f>
        <v>1.9418156758581941</v>
      </c>
      <c r="FY61" s="302">
        <f>IF($BK61&lt;&gt;$FY$9,0,各项系数!$F$76/4*($MS61^2-$MQ61^2)*10^-2*(VLOOKUP($FY$9,各项系数!$D$1:$F$143,3,0))*10^-3*10^2)*各项系数!$J$4</f>
        <v>0</v>
      </c>
      <c r="FZ61" s="303">
        <v>1</v>
      </c>
      <c r="GA61" s="304">
        <f t="shared" si="273"/>
        <v>0</v>
      </c>
      <c r="GB61" s="285">
        <f>GA61*(VLOOKUP($FY$9,各项系数!$D$1:$F$143,2,0))</f>
        <v>0</v>
      </c>
      <c r="GC61" s="302">
        <f>IF($BK61&lt;&gt;$GC$9,0,各项系数!$F$76/4*($MS61^2-$MQ61^2)*10^-2*(VLOOKUP($GC$9,各项系数!$D$1:$F$143,3,0))*10^-3*10^2)*各项系数!$J$4</f>
        <v>1.1998412308342568E-2</v>
      </c>
      <c r="GD61" s="303">
        <v>1</v>
      </c>
      <c r="GE61" s="304">
        <f t="shared" si="274"/>
        <v>1.1998412308342568E-2</v>
      </c>
      <c r="GF61" s="285">
        <f>GE61*(VLOOKUP($GC$9,各项系数!$D$1:$F$143,2,0))</f>
        <v>0.15477951877761914</v>
      </c>
      <c r="GG61" s="302">
        <f>IF($BK61&lt;&gt;$GG$9,0,各项系数!$F$76/4*($MS61^2-$MQ61^2)*10^-2*(VLOOKUP($GG$9,各项系数!$D$1:$F$143,3,0))*10^-3*10^2)*各项系数!$J$4</f>
        <v>0</v>
      </c>
      <c r="GH61" s="303">
        <v>1</v>
      </c>
      <c r="GI61" s="304">
        <f t="shared" si="275"/>
        <v>0</v>
      </c>
      <c r="GJ61" s="285">
        <f>GI61*(VLOOKUP($GG$9,各项系数!$D$1:$F$143,2,0))</f>
        <v>0</v>
      </c>
      <c r="GK61" s="302">
        <f>IF($BK61&lt;&gt;$GK$9,0,各项系数!$F$76/4*($MS61^2-$MQ61^2)*10^-2*(VLOOKUP($GK$9,各项系数!$D$1:$F$143,3,0))*10^-3*10^2)*各项系数!$J$4</f>
        <v>0</v>
      </c>
      <c r="GL61" s="303">
        <v>1</v>
      </c>
      <c r="GM61" s="304">
        <f t="shared" si="276"/>
        <v>0</v>
      </c>
      <c r="GN61" s="285">
        <f>GM61*(VLOOKUP($GK$9,各项系数!$D$1:$F$143,2,0))</f>
        <v>0</v>
      </c>
      <c r="GO61" s="304">
        <f t="shared" si="277"/>
        <v>1.1998412308342568E-2</v>
      </c>
      <c r="GP61" s="304">
        <f t="shared" si="278"/>
        <v>0.15477951877761914</v>
      </c>
      <c r="GQ61" s="315">
        <f>各项系数!$F$76/4*($MU61^2-$MS61^2)*10^-2*(VLOOKUP($S61,各项系数!$D$1:$F$143,3,0))*10^-3*10^2*各项系数!$J$4</f>
        <v>0.8231076716678607</v>
      </c>
      <c r="GR61" s="303">
        <v>1</v>
      </c>
      <c r="GS61" s="304">
        <f t="shared" si="279"/>
        <v>0.8231076716678607</v>
      </c>
      <c r="GT61" s="304">
        <f t="shared" si="200"/>
        <v>0</v>
      </c>
      <c r="GU61" s="304">
        <f>ROUND($GS61*(VLOOKUP($S61,各项系数!$D$1:$F$143,2,0))+$E$3*GS61,GT61)</f>
        <v>5</v>
      </c>
      <c r="GV61" s="315">
        <f>各项系数!$F$76/4*($MT61^2-$MS61^2)*10^-2*(VLOOKUP($GV$9,各项系数!$D$1:$F$143,3,0))*10^-3*10^2*各项系数!$J$4*PI()/4*R61</f>
        <v>6.1777507663438952E-2</v>
      </c>
      <c r="GW61" s="303">
        <v>1</v>
      </c>
      <c r="GX61" s="304">
        <f t="shared" si="280"/>
        <v>6.1777507663438952E-2</v>
      </c>
      <c r="GY61" s="304">
        <f>$GX61*(VLOOKUP($GV$9,各项系数!$D$1:$F$143,2,0))</f>
        <v>4.1699817672821293</v>
      </c>
      <c r="GZ61" s="315">
        <f>各项系数!$F$76/4*($MV61^2-$MS61^2)*10^-2*(VLOOKUP($GZ$9,各项系数!$D$1:$F$143,3,0))*10^-3*10^2*各项系数!$J$4</f>
        <v>0.52857071928999066</v>
      </c>
      <c r="HA61" s="303">
        <v>1</v>
      </c>
      <c r="HB61" s="304">
        <f t="shared" si="144"/>
        <v>0.52857071928999066</v>
      </c>
      <c r="HC61" s="304">
        <f>HB61*(VLOOKUP($GZ$9,各项系数!$D$1:$F$143,2,0))</f>
        <v>8.985702227929842</v>
      </c>
      <c r="HD61" s="315">
        <f>各项系数!$F$76/4*($MW61^2-$MT61^2)*10^-2*(VLOOKUP($HD$9,各项系数!$D$1:$F$143,3,0))*10^-3*10^2*各项系数!$J$4</f>
        <v>0.53038373241037706</v>
      </c>
      <c r="HE61" s="303">
        <v>1</v>
      </c>
      <c r="HF61" s="304">
        <f t="shared" si="145"/>
        <v>0.53038373241037706</v>
      </c>
      <c r="HG61" s="304">
        <f>HF61*(VLOOKUP($HD$9,各项系数!$D$1:$F$143,2,0))</f>
        <v>9.0165234509764094</v>
      </c>
      <c r="HH61" s="315">
        <f>各项系数!$F$76/4*($MV61^2-$MS61^2)*10^-2*(VLOOKUP($HH$9,各项系数!$D$1:$F$143,3,0))*10^-3*10^2*各项系数!$J$4</f>
        <v>0.52857071928999066</v>
      </c>
      <c r="HI61" s="322">
        <v>1</v>
      </c>
      <c r="HJ61" s="304">
        <f t="shared" si="146"/>
        <v>0.52857071928999066</v>
      </c>
      <c r="HK61" s="304">
        <f>HJ61*(VLOOKUP($HH$9,各项系数!$D$1:$F$143,2,0))</f>
        <v>8.985702227929842</v>
      </c>
      <c r="HL61" s="315">
        <f>各项系数!$F$76/4*($MW61^2-$MT61^2)*10^-2*(VLOOKUP($HL$9,各项系数!$D$1:$F$143,3,0))*10^-3*10^2*各项系数!$J$4</f>
        <v>0.53038373241037706</v>
      </c>
      <c r="HM61" s="322">
        <v>1</v>
      </c>
      <c r="HN61" s="304">
        <f t="shared" si="147"/>
        <v>0.53038373241037706</v>
      </c>
      <c r="HO61" s="304">
        <f>HN61*(VLOOKUP($HL$9,各项系数!$D$1:$F$143,2,0))</f>
        <v>9.0165234509764094</v>
      </c>
      <c r="HP61" s="315">
        <f>各项系数!$F$76/4*($MV61^2-$MS61^2)*10^-2*(VLOOKUP(AN61,各项系数!$D$1:$F$143,3,0))*10^-3*10^2*各项系数!$J$4</f>
        <v>0.53586134990088707</v>
      </c>
      <c r="HQ61" s="303">
        <v>1</v>
      </c>
      <c r="HR61" s="304">
        <f t="shared" si="281"/>
        <v>0.53586134990088707</v>
      </c>
      <c r="HS61" s="304">
        <f>HR61*(VLOOKUP(AN61,各项系数!$D$1:$F$143,2,0))</f>
        <v>5.3586134990088707</v>
      </c>
      <c r="HT61" s="315">
        <f>各项系数!$F$76/4*($MW61^2-$MT61^2)*10^-2*(VLOOKUP(AN61,各项系数!$D$1:$F$143,3,0))*10^-3*10^2*各项系数!$J$4</f>
        <v>0.53769937009879609</v>
      </c>
      <c r="HU61" s="303">
        <v>1</v>
      </c>
      <c r="HV61" s="304">
        <f t="shared" si="282"/>
        <v>0.53769937009879609</v>
      </c>
      <c r="HW61" s="304">
        <f>HV61*(VLOOKUP(AN61,各项系数!$D$1:$F$143,2,0))</f>
        <v>5.3769937009879607</v>
      </c>
      <c r="HX61" s="315">
        <f>各项系数!$F$76/4*($MV61^2-$MS61^2)*10^-2*(VLOOKUP($HX$9,各项系数!$D$1:$F$143,3,0))*10^-3*10^2*各项系数!$J$4</f>
        <v>0.53586134990088707</v>
      </c>
      <c r="HY61" s="322">
        <v>1</v>
      </c>
      <c r="HZ61" s="304">
        <f t="shared" si="283"/>
        <v>0.53586134990088707</v>
      </c>
      <c r="IA61" s="304">
        <f>HZ61*(VLOOKUP($HX$9,各项系数!$D$1:$F$143,2,0))</f>
        <v>5.8944748489097574</v>
      </c>
      <c r="IB61" s="315">
        <f>各项系数!$F$76/4*($MW61^2-$MT61^2)*10^-2*(VLOOKUP($IB$9,各项系数!$D$1:$F$143,3,0))*10^-3*10^2*各项系数!$J$4</f>
        <v>0.53769937009879609</v>
      </c>
      <c r="IC61" s="322">
        <v>1</v>
      </c>
      <c r="ID61" s="304">
        <f t="shared" si="284"/>
        <v>0.53769937009879609</v>
      </c>
      <c r="IE61" s="304">
        <f>ID61*(VLOOKUP($IB$9,各项系数!$D$1:$F$143,2,0))</f>
        <v>5.9146930710867567</v>
      </c>
      <c r="IF61" s="328"/>
      <c r="IG61" s="315">
        <f t="shared" si="148"/>
        <v>7.3667001928250556E-2</v>
      </c>
      <c r="IH61" s="303">
        <v>1</v>
      </c>
      <c r="II61" s="304">
        <f t="shared" si="285"/>
        <v>7.3667001928250556E-2</v>
      </c>
      <c r="IJ61" s="304">
        <f>II61*(VLOOKUP($IG$8,各项系数!$D$1:$F$143,2,0))</f>
        <v>1.8416750482062638</v>
      </c>
      <c r="IK61" s="315">
        <f>(各项系数!$F$76/4*($MX61^2-$MK61^2)*$EG61)*10^-2*(VLOOKUP($IG$8,各项系数!$D$1:$F$143,3,0))*10^-3*10^2*各项系数!$J$4</f>
        <v>7.3667001928250556E-2</v>
      </c>
      <c r="IL61" s="303">
        <f>IK61*(VLOOKUP($IG$8,各项系数!$D$1:$F$143,2,0))</f>
        <v>1.8416750482062638</v>
      </c>
      <c r="IM61" s="304">
        <f>(各项系数!$F$76/4*(($MM61+3*$X61)^2-MM61^2)*$EO61)*10^-2*(VLOOKUP($IG$8,各项系数!$D$1:$F$143,3,0))*10^-3*10^2*各项系数!$J$4</f>
        <v>0</v>
      </c>
      <c r="IN61" s="303">
        <f>IM61*(VLOOKUP($IG$8,各项系数!$D$1:$F$143,2,0))</f>
        <v>0</v>
      </c>
      <c r="IO61" s="315">
        <f>各项系数!$F$76/4*($MZ61^2-$MX61^2)*10^-2*(VLOOKUP(L61,各项系数!$D$1:$F$143,3,0))*10^-3*10^2*$ES61*各项系数!$J$4</f>
        <v>0.31947870497713282</v>
      </c>
      <c r="IP61" s="303">
        <v>1</v>
      </c>
      <c r="IQ61" s="304">
        <f t="shared" si="286"/>
        <v>0.31947870497713282</v>
      </c>
      <c r="IR61" s="285">
        <f>IQ61*(VLOOKUP(L61,各项系数!$D$1:$F$143,2,0))</f>
        <v>3.2586827907667546</v>
      </c>
      <c r="IS61" s="315">
        <f>IF($L61&lt;&gt;$IS$9,0,各项系数!$F$76/4*($MZ61^2-$MX61^2)*10^-2*各项系数!$F$12*10^-3*10^2)*$ES61*各项系数!$J$4</f>
        <v>0</v>
      </c>
      <c r="IT61" s="303">
        <v>1</v>
      </c>
      <c r="IU61" s="304">
        <f t="shared" si="287"/>
        <v>0</v>
      </c>
      <c r="IV61" s="285">
        <f>IU61*各项系数!$E$12</f>
        <v>0</v>
      </c>
      <c r="IW61" s="302">
        <f t="shared" si="288"/>
        <v>0.31947870497713282</v>
      </c>
      <c r="IX61" s="302">
        <f t="shared" si="289"/>
        <v>3.2586827907667546</v>
      </c>
      <c r="IY61" s="339">
        <f>各项系数!$F$76/4*($NB61^2-$MZ61^2*$EG61-$NA61^2*$EO61)*10^-2</f>
        <v>5.7453072449620235</v>
      </c>
      <c r="IZ61" s="284">
        <f t="shared" si="231"/>
        <v>1</v>
      </c>
      <c r="JA61" s="285">
        <f t="shared" si="64"/>
        <v>5.7453072449620235</v>
      </c>
      <c r="JB61" s="282">
        <f>IF($DE61&lt;&gt;$JB$9,0,$JA61*各项系数!$F$32*10^-3*10^2)*各项系数!$J$4</f>
        <v>0</v>
      </c>
      <c r="JC61" s="102">
        <v>1</v>
      </c>
      <c r="JD61" s="189">
        <f t="shared" si="290"/>
        <v>0</v>
      </c>
      <c r="JE61" s="262">
        <f>JD61*各项系数!$E$32</f>
        <v>0</v>
      </c>
      <c r="JF61" s="282">
        <f>IF($DE61&lt;&gt;$JF$9,0,$JA61*VLOOKUP($JF$9,各项系数!$D$4:$F$540,2,0)*10^-3*10^2)*各项系数!$J$4</f>
        <v>2.8582903543686067</v>
      </c>
      <c r="JG61" s="102">
        <v>1</v>
      </c>
      <c r="JH61" s="189">
        <f t="shared" si="66"/>
        <v>2.8582903543686067</v>
      </c>
      <c r="JI61" s="262">
        <f>JH61*VLOOKUP($JF$9,各项系数!$D$4:$F$540,3,0)</f>
        <v>3.429948425242328</v>
      </c>
      <c r="JJ61" s="282">
        <f t="shared" si="291"/>
        <v>2.8582903543686067</v>
      </c>
      <c r="JK61" s="189">
        <f t="shared" si="292"/>
        <v>3.429948425242328</v>
      </c>
      <c r="JL61" s="282">
        <f>IF($DF61&lt;&gt;$JL$9,0,各项系数!$F$76/4*($NE61^2-$NC61^2)*10^-2*各项系数!$F$39*10^-3*10^2)*各项系数!$J$4</f>
        <v>5.1074639102924721E-3</v>
      </c>
      <c r="JM61" s="102">
        <v>1</v>
      </c>
      <c r="JN61" s="189">
        <f t="shared" si="293"/>
        <v>5.1074639102924721E-3</v>
      </c>
      <c r="JO61" s="262">
        <f>JN61*各项系数!$E$39</f>
        <v>0.10214927820584944</v>
      </c>
      <c r="JP61" s="282">
        <f>IF($DF61&lt;&gt;$JP$9,0,各项系数!$F$76/4*($NE61^2-$NC61^2)*10^-2*各项系数!$F$36*10^-3*10^2)*各项系数!$J$4</f>
        <v>0</v>
      </c>
      <c r="JQ61" s="102">
        <v>1</v>
      </c>
      <c r="JR61" s="189">
        <f t="shared" si="294"/>
        <v>0</v>
      </c>
      <c r="JS61" s="262">
        <f>JR61*各项系数!$E$36</f>
        <v>0</v>
      </c>
      <c r="JT61" s="282">
        <f>IF($DF61&lt;&gt;$JT$9,0,各项系数!$F$76/4*($NE61^2-$NC61^2)*10^-2*各项系数!$F$40*10^-3*10^2)*各项系数!$J$4</f>
        <v>0</v>
      </c>
      <c r="JU61" s="102">
        <v>1</v>
      </c>
      <c r="JV61" s="189">
        <f t="shared" si="295"/>
        <v>0</v>
      </c>
      <c r="JW61" s="262">
        <f>JV61*各项系数!$E$40</f>
        <v>0</v>
      </c>
      <c r="JX61" s="282">
        <f>IF($DF61&lt;&gt;$JX$9,0,各项系数!$F$76/4*($NE61^2-$NC61^2)*10^-2*各项系数!$F$38*10^-3*10^2)*各项系数!$J$4</f>
        <v>0</v>
      </c>
      <c r="JY61" s="102">
        <v>1</v>
      </c>
      <c r="JZ61" s="189">
        <f t="shared" si="296"/>
        <v>0</v>
      </c>
      <c r="KA61" s="262">
        <f>JZ61*各项系数!$E$38</f>
        <v>0</v>
      </c>
      <c r="KB61" s="282">
        <f>IF($DF61&lt;&gt;$KB$9,0,各项系数!$F$76/4*($NE61^2-$NC61^2)*10^-2*各项系数!$F$41*10^-3*10^2)*各项系数!$J$4</f>
        <v>0</v>
      </c>
      <c r="KC61" s="102">
        <v>1</v>
      </c>
      <c r="KD61" s="189">
        <f t="shared" si="297"/>
        <v>0</v>
      </c>
      <c r="KE61" s="262">
        <f>KD61*各项系数!$E$41</f>
        <v>0</v>
      </c>
      <c r="KF61" s="189">
        <f t="shared" si="298"/>
        <v>5.1074639102924721E-3</v>
      </c>
      <c r="KG61" s="189">
        <f t="shared" si="299"/>
        <v>0.10214927820584944</v>
      </c>
      <c r="KH61" s="235">
        <f>各项系数!$F$76/4*($NG61^2-$NE61^2)*10^-2*各项系数!$F$44*10^-3*10^2*各项系数!$J$4*0.75*$U61</f>
        <v>1.2720614674676149</v>
      </c>
      <c r="KI61" s="102">
        <v>1</v>
      </c>
      <c r="KJ61" s="189">
        <f t="shared" si="300"/>
        <v>1.2720614674676149</v>
      </c>
      <c r="KK61" s="189">
        <f>ROUND(KJ61*各项系数!$E$43,GT61)</f>
        <v>7</v>
      </c>
      <c r="KL61" s="235">
        <f>各项系数!$F$76/4*($NF61^2-$NE61^2)*10^-2*各项系数!$F$46*10^-3*10^2*各项系数!$J$4*PI()/4*R61</f>
        <v>6.36772009070493E-2</v>
      </c>
      <c r="KM61" s="102">
        <v>1</v>
      </c>
      <c r="KN61" s="189">
        <f t="shared" si="301"/>
        <v>6.36772009070493E-2</v>
      </c>
      <c r="KO61" s="189">
        <f>KN61*各项系数!$E$46</f>
        <v>4.2982110612258282</v>
      </c>
      <c r="KP61" s="235">
        <f>各项系数!$F$76/4*($NH61^2-$NE61^2)*10^-2*(VLOOKUP($KP$9,各项系数!$D$1:$F$143,3,0))*10^-3*10^2*各项系数!$J$4</f>
        <v>0.54398133081327715</v>
      </c>
      <c r="KQ61" s="102">
        <v>1</v>
      </c>
      <c r="KR61" s="189">
        <f t="shared" si="150"/>
        <v>0.54398133081327715</v>
      </c>
      <c r="KS61" s="189">
        <f>KR61*(VLOOKUP($KP$9,各项系数!$D$1:$F$143,2,0))</f>
        <v>9.2476826238257122</v>
      </c>
      <c r="KT61" s="235">
        <f>各项系数!$F$76/4*($NI61^2-$NF61^2)*10^-2*(VLOOKUP($KT$9,各项系数!$D$1:$F$143,3,0))*10^-3*10^2*各项系数!$J$4</f>
        <v>0.54579434393366366</v>
      </c>
      <c r="KU61" s="102">
        <v>1</v>
      </c>
      <c r="KV61" s="189">
        <f t="shared" si="151"/>
        <v>0.54579434393366366</v>
      </c>
      <c r="KW61" s="189">
        <f>KV61*(VLOOKUP($KT$9,各项系数!$D$1:$F$143,2,0))</f>
        <v>9.2785038468722831</v>
      </c>
      <c r="KX61" s="189">
        <f>各项系数!$F$76/4*($NH61^2-$NE61^2)*10^-2*(VLOOKUP($KX$9,各项系数!$D$1:$F$143,3,0))*10^-3*10^2*各项系数!$J$4</f>
        <v>0.54398133081327715</v>
      </c>
      <c r="KY61" s="353">
        <v>1</v>
      </c>
      <c r="KZ61" s="189">
        <f t="shared" si="152"/>
        <v>0.54398133081327715</v>
      </c>
      <c r="LA61" s="189">
        <f>KZ61*(VLOOKUP($KX$9,各项系数!$D$1:$F$143,2,0))</f>
        <v>9.2476826238257122</v>
      </c>
      <c r="LB61" s="189">
        <f>各项系数!$F$76/4*($NI61^2-$NF61^2)*10^-2*(VLOOKUP($LB$9,各项系数!$D$1:$F$143,3,0))*10^-3*10^2*各项系数!$J$4</f>
        <v>0.54579434393366366</v>
      </c>
      <c r="LC61" s="353">
        <v>1</v>
      </c>
      <c r="LD61" s="189">
        <f t="shared" si="153"/>
        <v>0.54579434393366366</v>
      </c>
      <c r="LE61" s="189">
        <f>LD61*(VLOOKUP($LB$9,各项系数!$D$1:$F$143,2,0))</f>
        <v>9.2785038468722831</v>
      </c>
      <c r="LF61" s="235">
        <f>各项系数!$F$76/4*($NH61^2-$NE61^2)*10^-2*(VLOOKUP(AN61,各项系数!$D$1:$F$143,3,0))*10^-3*10^2*各项系数!$J$4</f>
        <v>0.55148452158311534</v>
      </c>
      <c r="LG61" s="102">
        <v>1</v>
      </c>
      <c r="LH61" s="189">
        <f t="shared" si="302"/>
        <v>0.55148452158311534</v>
      </c>
      <c r="LI61" s="189">
        <f>LH61*(VLOOKUP(AN61,各项系数!$D$1:$F$143,2,0))</f>
        <v>5.5148452158311532</v>
      </c>
      <c r="LJ61" s="235">
        <f>各项系数!$F$76/4*($NI61^2-$NF61^2)*10^-2*(VLOOKUP(AN61,各项系数!$D$1:$F$143,3,0))*10^-3*10^2*各项系数!$J$4</f>
        <v>0.55332254178102469</v>
      </c>
      <c r="LK61" s="102">
        <v>1</v>
      </c>
      <c r="LL61" s="189">
        <f t="shared" si="303"/>
        <v>0.55332254178102469</v>
      </c>
      <c r="LM61" s="189">
        <f>LL61*(VLOOKUP(AN61,各项系数!$D$1:$F$143,2,0))</f>
        <v>5.5332254178102467</v>
      </c>
      <c r="LN61" s="189">
        <f>各项系数!$F$76/4*($NH61^2-$NE61^2)*10^-2*(VLOOKUP($LN$9,各项系数!$D$1:$F$143,3,0))*10^-3*10^2*各项系数!$J$4</f>
        <v>0.55148452158311534</v>
      </c>
      <c r="LO61" s="353">
        <v>1</v>
      </c>
      <c r="LP61" s="189">
        <f t="shared" si="304"/>
        <v>0.55148452158311534</v>
      </c>
      <c r="LQ61" s="189">
        <f>LP61*(VLOOKUP($LN$9,各项系数!$D$1:$F$143,2,0))</f>
        <v>6.0663297374142688</v>
      </c>
      <c r="LR61" s="189">
        <f>各项系数!$F$76/4*($NI61^2-$NF61^2)*10^-2*(VLOOKUP($LR$9,各项系数!$D$1:$F$143,3,0))*10^-3*10^2*各项系数!$J$4</f>
        <v>0.55332254178102469</v>
      </c>
      <c r="LS61" s="353">
        <v>1</v>
      </c>
      <c r="LT61" s="189">
        <f t="shared" si="305"/>
        <v>0.55332254178102469</v>
      </c>
      <c r="LU61" s="189">
        <f>LT61*(VLOOKUP($LR$9,各项系数!$D$1:$F$143,2,0))</f>
        <v>6.0865479595912717</v>
      </c>
      <c r="LV61" s="227">
        <f t="shared" si="154"/>
        <v>693.56480240999997</v>
      </c>
      <c r="LW61" s="227">
        <f t="shared" si="155"/>
        <v>523.71219773999997</v>
      </c>
      <c r="LX61" s="227">
        <f t="shared" si="156"/>
        <v>25.822685379772746</v>
      </c>
      <c r="LY61" s="227">
        <f t="shared" si="157"/>
        <v>169.85260467000001</v>
      </c>
      <c r="LZ61" s="374">
        <f t="shared" si="86"/>
        <v>1</v>
      </c>
      <c r="MA61" s="375">
        <f t="shared" si="87"/>
        <v>693.56480240999997</v>
      </c>
      <c r="MB61" s="375">
        <f t="shared" si="158"/>
        <v>17.156865809999999</v>
      </c>
      <c r="MC61" s="227">
        <f t="shared" si="159"/>
        <v>0</v>
      </c>
      <c r="MD61" s="227">
        <f t="shared" si="160"/>
        <v>0</v>
      </c>
      <c r="ME61" s="227">
        <f t="shared" si="161"/>
        <v>0</v>
      </c>
      <c r="MF61" s="227">
        <f t="shared" si="162"/>
        <v>0</v>
      </c>
      <c r="MG61" s="374">
        <f t="shared" si="163"/>
        <v>1</v>
      </c>
      <c r="MH61" s="375">
        <f t="shared" si="88"/>
        <v>0</v>
      </c>
      <c r="MI61" s="375">
        <f t="shared" si="164"/>
        <v>0</v>
      </c>
      <c r="MJ61" s="189">
        <f t="shared" si="89"/>
        <v>17.156865809999999</v>
      </c>
      <c r="MK61" s="189">
        <f t="shared" si="165"/>
        <v>17.156865809999999</v>
      </c>
      <c r="ML61" s="189">
        <f t="shared" si="306"/>
        <v>0</v>
      </c>
      <c r="MM61" s="189">
        <f t="shared" si="91"/>
        <v>0</v>
      </c>
      <c r="MN61" s="189">
        <f t="shared" si="92"/>
        <v>20.356865809999999</v>
      </c>
      <c r="MO61" s="189">
        <f t="shared" si="166"/>
        <v>0</v>
      </c>
      <c r="MP61" s="189">
        <f t="shared" si="167"/>
        <v>43.970830149999998</v>
      </c>
      <c r="MQ61" s="189">
        <f t="shared" si="307"/>
        <v>43.970830149999998</v>
      </c>
      <c r="MR61" s="246">
        <f t="shared" si="168"/>
        <v>43.970830149999998</v>
      </c>
      <c r="MS61" s="380">
        <f t="shared" si="94"/>
        <v>44.14683015</v>
      </c>
      <c r="MT61" s="380">
        <f t="shared" si="95"/>
        <v>44.306830149999996</v>
      </c>
      <c r="MU61" s="380">
        <f t="shared" si="232"/>
        <v>45.64683015</v>
      </c>
      <c r="MV61" s="380">
        <f t="shared" si="97"/>
        <v>49.14683015</v>
      </c>
      <c r="MW61" s="380">
        <f t="shared" si="98"/>
        <v>49.306830149999996</v>
      </c>
      <c r="MX61" s="254">
        <f t="shared" si="233"/>
        <v>17.756865810000001</v>
      </c>
      <c r="MY61" s="254">
        <f t="shared" si="100"/>
        <v>0</v>
      </c>
      <c r="MZ61" s="189">
        <f t="shared" si="101"/>
        <v>20.95686581</v>
      </c>
      <c r="NA61" s="189">
        <f t="shared" si="102"/>
        <v>0</v>
      </c>
      <c r="NB61" s="189">
        <f t="shared" si="169"/>
        <v>45.266830149999997</v>
      </c>
      <c r="NC61" s="254">
        <f t="shared" si="308"/>
        <v>45.266830149999997</v>
      </c>
      <c r="ND61" s="246">
        <f t="shared" si="234"/>
        <v>45.266830149999997</v>
      </c>
      <c r="NE61" s="386">
        <f t="shared" si="235"/>
        <v>45.506830149999999</v>
      </c>
      <c r="NF61" s="380">
        <f t="shared" si="106"/>
        <v>45.666830149999996</v>
      </c>
      <c r="NG61" s="387">
        <f t="shared" si="236"/>
        <v>47.006830149999999</v>
      </c>
      <c r="NH61" s="254">
        <f t="shared" si="108"/>
        <v>50.506830149999999</v>
      </c>
      <c r="NI61" s="380">
        <f t="shared" si="109"/>
        <v>50.666830149999996</v>
      </c>
      <c r="NK61" s="388">
        <f t="shared" si="110"/>
        <v>6.2067178090766637</v>
      </c>
      <c r="NL61" s="388">
        <f t="shared" si="111"/>
        <v>318.59455444457359</v>
      </c>
      <c r="NM61" s="388">
        <f t="shared" si="112"/>
        <v>6.2067178090766637</v>
      </c>
      <c r="NN61" s="388">
        <f t="shared" si="113"/>
        <v>319.13041579447446</v>
      </c>
      <c r="NO61" s="388">
        <f t="shared" si="114"/>
        <v>8.5100382994039077</v>
      </c>
      <c r="NP61" s="388">
        <f t="shared" si="115"/>
        <v>322.12897230594371</v>
      </c>
      <c r="NQ61" s="388">
        <f t="shared" si="116"/>
        <v>8.5100382994039077</v>
      </c>
      <c r="NR61" s="388">
        <f t="shared" si="117"/>
        <v>322.68045682752677</v>
      </c>
      <c r="NS61" s="388">
        <f t="shared" si="118"/>
        <v>6.2684953167401023</v>
      </c>
      <c r="NT61" s="388">
        <f t="shared" si="119"/>
        <v>6.2684953167401023</v>
      </c>
      <c r="NU61" s="388">
        <f t="shared" si="120"/>
        <v>8.5737155003109571</v>
      </c>
      <c r="NV61" s="388">
        <f t="shared" si="121"/>
        <v>8.5737155003109571</v>
      </c>
      <c r="NW61">
        <f t="shared" si="122"/>
        <v>7.029825480744524</v>
      </c>
      <c r="NX61">
        <f>各项系数!$M$9*NK61</f>
        <v>1.8620153427229991</v>
      </c>
      <c r="NY61">
        <f t="shared" si="123"/>
        <v>6.2684953167401023</v>
      </c>
    </row>
    <row r="62" spans="1:389" ht="15" hidden="1" customHeight="1">
      <c r="A62" s="65"/>
      <c r="B62" s="81"/>
      <c r="C62" s="67"/>
      <c r="D62" s="53" t="s">
        <v>251</v>
      </c>
      <c r="E62" s="54">
        <f t="shared" ref="E62:E67" si="313">MV62</f>
        <v>56.349284169999997</v>
      </c>
      <c r="F62" s="68">
        <f>$F$30</f>
        <v>246.701228113631</v>
      </c>
      <c r="G62" s="58"/>
      <c r="H62" s="16"/>
      <c r="I62" s="62"/>
      <c r="J62" s="16"/>
      <c r="K62" s="16"/>
      <c r="L62" s="97" t="s">
        <v>467</v>
      </c>
      <c r="M62" s="103">
        <f t="shared" si="2"/>
        <v>1.7</v>
      </c>
      <c r="N62" s="103">
        <f t="shared" si="252"/>
        <v>0</v>
      </c>
      <c r="O62" s="53">
        <f t="shared" si="312"/>
        <v>0.08</v>
      </c>
      <c r="P62" s="99">
        <v>0.1</v>
      </c>
      <c r="Q62" s="133">
        <f t="shared" si="309"/>
        <v>0.1</v>
      </c>
      <c r="R62" s="70">
        <v>0.8</v>
      </c>
      <c r="S62" s="142" t="str">
        <f>各项系数!$D$43</f>
        <v>钢带</v>
      </c>
      <c r="T62" s="102">
        <v>0.5</v>
      </c>
      <c r="U62" s="102">
        <v>2</v>
      </c>
      <c r="V62" s="140"/>
      <c r="W62" s="141">
        <v>2.7</v>
      </c>
      <c r="X62" s="135">
        <f t="shared" si="310"/>
        <v>0.2</v>
      </c>
      <c r="Y62" s="135"/>
      <c r="Z62" s="168"/>
      <c r="AA62" s="153">
        <f>$AA$30</f>
        <v>1.0149999999999999</v>
      </c>
      <c r="AB62" s="153">
        <f>PI()*EJ62*EJ62/4*EH62*(1-H62)*AA62*各项系数!$F$5*各项系数!$J$4*10^-7</f>
        <v>2.05998769246807</v>
      </c>
      <c r="AC62" s="153">
        <f t="shared" ref="AC62:AC67" si="314">EJ62</f>
        <v>246.701228113631</v>
      </c>
      <c r="AD62" s="153">
        <f t="shared" si="5"/>
        <v>232.88407080035392</v>
      </c>
      <c r="AE62" s="153">
        <f>POWER(4*EU62/PI()/EG62/10^-7/EH62/(1-H62)/各项系数!$F$5/各项系数!$J$4,0.5)</f>
        <v>248.54460040818714</v>
      </c>
      <c r="AF62" s="69">
        <v>1</v>
      </c>
      <c r="AG62" s="69">
        <f>IF(EM62=0,0,PI()*ER62*ER62/4*EP62*(1-K62)*(1+AF62)*各项系数!$F$5*各项系数!$J$4*10^-7)</f>
        <v>0</v>
      </c>
      <c r="AH62" s="69">
        <f t="shared" ref="AH62:AH67" si="315">ER62</f>
        <v>0</v>
      </c>
      <c r="AI62" s="69">
        <f t="shared" si="128"/>
        <v>0</v>
      </c>
      <c r="AJ62" s="69">
        <f>IF(OR(EP62="",EP62=0),0,POWER(4*EW62/PI()/EO62/10^-7/EP62/(1-K62)/各项系数!$F$5/各项系数!$J$4,0.5))</f>
        <v>0</v>
      </c>
      <c r="AK62" s="69" t="str">
        <f t="shared" si="8"/>
        <v>√</v>
      </c>
      <c r="AL62" s="69">
        <f t="shared" ref="AL62:AL67" si="316">AO62*(1+0.02)</f>
        <v>431.21410043790343</v>
      </c>
      <c r="AM62" s="188">
        <f t="shared" ref="AM62:AM67" si="317">EE62*1</f>
        <v>240</v>
      </c>
      <c r="AN62" s="97" t="s">
        <v>486</v>
      </c>
      <c r="AO62" s="196">
        <f>AP62+各项系数!$M$9*$NK62</f>
        <v>422.75892199794453</v>
      </c>
      <c r="AP62" s="196">
        <f>AQ62*(1+$BI62+(VLOOKUP($AM62,$A$12:$B$323,2,0))+各项系数!$J$6+各项系数!$M$5)*(1+$E$2)</f>
        <v>420.32746625296301</v>
      </c>
      <c r="AQ62" s="197">
        <f>AR62+各项系数!$L$9*$NK62</f>
        <v>428.90557780914594</v>
      </c>
      <c r="AR62" s="197">
        <f>AS62*(1+$BJ62+各项系数!$J$5+各项系数!$L$5)</f>
        <v>426.47412206416442</v>
      </c>
      <c r="AS62" s="197">
        <f t="shared" si="129"/>
        <v>418.11188437663179</v>
      </c>
      <c r="AT62" s="196">
        <f>AU62+各项系数!$M$9*$NM62</f>
        <v>427.26242003152919</v>
      </c>
      <c r="AU62" s="196">
        <f>AV62*(1+$BI62+(VLOOKUP($AM62,$A$12:$B$323,2,0))+各项系数!$J$6+各项系数!$M$5)*(1+$E$2)</f>
        <v>424.83096428654767</v>
      </c>
      <c r="AV62" s="197">
        <f>AW62+各项系数!$L$9*$NM62</f>
        <v>433.50098396586498</v>
      </c>
      <c r="AW62" s="197">
        <f>AX62*(1+$BJ62+各项系数!$J$5+各项系数!$L$5)</f>
        <v>431.06952822088346</v>
      </c>
      <c r="AX62" s="197">
        <f t="shared" si="130"/>
        <v>422.61718453027788</v>
      </c>
      <c r="AY62" s="196">
        <f>AZ62+各项系数!$M$9*$NS62</f>
        <v>427.63053971395345</v>
      </c>
      <c r="AZ62" s="196">
        <f>BA62*(1+$BI62+(VLOOKUP($AM62,$A$12:$B$214,2,0))+各项系数!$J$6+各项系数!$M$5)*(1+$E$2)</f>
        <v>425.17770014845041</v>
      </c>
      <c r="BA62" s="197">
        <f>BB62+各项系数!$L$9*$NS62</f>
        <v>433.85479606984734</v>
      </c>
      <c r="BB62" s="197">
        <f>BC62*(1+$BJ62+各项系数!$J$5+各项系数!$L$5)</f>
        <v>431.40195650434435</v>
      </c>
      <c r="BC62" s="199">
        <f t="shared" si="131"/>
        <v>422.9430946121023</v>
      </c>
      <c r="BD62" s="196">
        <f>BE62+各项系数!$M$9*$NS62</f>
        <v>432.14746867576991</v>
      </c>
      <c r="BE62" s="196">
        <f>BF62*(1+$BI62+(VLOOKUP($AM62,$A$12:$B$214,2,0))+各项系数!$J$6+各项系数!$M$5)*(1+$E$2)</f>
        <v>429.69462911026687</v>
      </c>
      <c r="BF62" s="197">
        <f>BG62+各项系数!$L$9*$NS62</f>
        <v>438.46390725537435</v>
      </c>
      <c r="BG62" s="197">
        <f>BH62*(1+$BJ62+各项系数!$J$5+各项系数!$L$5)</f>
        <v>436.01106768987131</v>
      </c>
      <c r="BH62" s="199">
        <f t="shared" si="132"/>
        <v>427.46183106850128</v>
      </c>
      <c r="BI62" s="213"/>
      <c r="BJ62" s="208"/>
      <c r="BK62" s="53" t="s">
        <v>514</v>
      </c>
      <c r="BL62" s="196">
        <f>BM62+各项系数!$M$9*$NM62</f>
        <v>427.52828233050212</v>
      </c>
      <c r="BM62" s="196">
        <f>BN62*(1+$CF62+(VLOOKUP($AM62,$A$12:$B$323,2,0))+各项系数!$J$6+各项系数!$M$5)*(1+$E$2)</f>
        <v>425.0968265855206</v>
      </c>
      <c r="BN62" s="197">
        <f>BO62+各项系数!$L$9*$NM62</f>
        <v>433.77227202604143</v>
      </c>
      <c r="BO62" s="197">
        <f>BP62*(1+$CG62+各项系数!$J$5+各项系数!$L$5)</f>
        <v>431.34081628105992</v>
      </c>
      <c r="BP62" s="197">
        <f t="shared" si="133"/>
        <v>418.77749153500963</v>
      </c>
      <c r="BQ62" s="196">
        <f>BR62+各项系数!$M$9*$NM62</f>
        <v>431.40406843992588</v>
      </c>
      <c r="BR62" s="196">
        <f>BS62*(1+$CF62+(VLOOKUP($AM62,$A$12:$B$323,2,0))+各项系数!$J$6+各项系数!$M$5)*(1+$E$2)</f>
        <v>428.97261269494436</v>
      </c>
      <c r="BS62" s="197">
        <f>BT62+各项系数!$L$9*$NM62</f>
        <v>437.72715581116773</v>
      </c>
      <c r="BT62" s="197">
        <f>BU62*(1+$CG62+各项系数!$J$5+各项系数!$L$5)</f>
        <v>435.29570006618621</v>
      </c>
      <c r="BU62" s="197">
        <f t="shared" si="134"/>
        <v>422.61718453027788</v>
      </c>
      <c r="BV62" s="196">
        <f>BW62+各项系数!$M$9*$NT62</f>
        <v>430.05356498911237</v>
      </c>
      <c r="BW62" s="196">
        <f>BX62*(1+$CF62+(VLOOKUP($AM62,$A$12:$B$214,2,0))+各项系数!$J$6+各项系数!$M$5)*(1+$E$2)</f>
        <v>427.60072542360933</v>
      </c>
      <c r="BX62" s="197">
        <f>BY62+各项系数!$L$9*$NT$12</f>
        <v>436.32727084041767</v>
      </c>
      <c r="BY62" s="197">
        <f>BZ62*(1+$CG62+各项系数!$J$5+各项系数!$L$5)</f>
        <v>436.31900743726271</v>
      </c>
      <c r="BZ62" s="199">
        <f t="shared" si="11"/>
        <v>423.61068683229388</v>
      </c>
      <c r="CA62" s="196">
        <f>CB62+各项系数!$M$9*$NT62</f>
        <v>433.94090998114007</v>
      </c>
      <c r="CB62" s="196">
        <f>CC62*(1+$CF62+(VLOOKUP($AM62,$A$12:$B$214,2,0))+各项系数!$J$6+各项系数!$M$5)*(1+$E$2)</f>
        <v>431.48807041563703</v>
      </c>
      <c r="CC62" s="197">
        <f>CD62+各项系数!$L$9*$NT$12</f>
        <v>440.29394940371128</v>
      </c>
      <c r="CD62" s="197">
        <f>CE62*(1+$CG62+各项系数!$J$5+各项系数!$L$5)</f>
        <v>440.28568600055632</v>
      </c>
      <c r="CE62" s="199">
        <f t="shared" si="135"/>
        <v>427.46183106850128</v>
      </c>
      <c r="CF62" s="213">
        <f t="shared" si="136"/>
        <v>0</v>
      </c>
      <c r="CG62" s="213">
        <f t="shared" si="12"/>
        <v>0.01</v>
      </c>
      <c r="CH62" s="102"/>
      <c r="CI62" s="196">
        <f>CJ62+各项系数!$M$9*$NO62</f>
        <v>431.30196445199709</v>
      </c>
      <c r="CJ62" s="196">
        <f>CK62*(1+$DC62+(VLOOKUP($AM62,$A$12:$B$323,2,0))+各项系数!$J$6+各项系数!$M$5)*(1+$E$2)+各项系数!$M$9*$NK62</f>
        <v>427.96319173411206</v>
      </c>
      <c r="CK62" s="197">
        <f>CL62+各项系数!$L$9*$NO62</f>
        <v>434.21605713176587</v>
      </c>
      <c r="CL62" s="197">
        <f>CM62*(1+$DD62+各项系数!$J$5+各项系数!$L$5)</f>
        <v>430.87728441388083</v>
      </c>
      <c r="CM62" s="197">
        <f t="shared" si="13"/>
        <v>422.4287102096871</v>
      </c>
      <c r="CN62" s="196">
        <f>CO62+各项系数!$M$9*$NO62</f>
        <v>435.63679972351537</v>
      </c>
      <c r="CO62" s="196">
        <f>CP62*(1+$DC62+(VLOOKUP($AM62,$A$12:$B$323,2,0))+各项系数!$J$6+各项系数!$M$5)*(1+$E$2)+各项系数!$M$9*$NK62</f>
        <v>432.29802700563033</v>
      </c>
      <c r="CP62" s="197">
        <f>CQ62+各项系数!$L$9*$NO62</f>
        <v>438.63935842923348</v>
      </c>
      <c r="CQ62" s="197">
        <f>CR62*(1+$DD62+各项系数!$J$5+各项系数!$L$5)</f>
        <v>435.30058571134845</v>
      </c>
      <c r="CR62" s="197">
        <f t="shared" si="14"/>
        <v>426.76528010916513</v>
      </c>
      <c r="CS62" s="196">
        <f>CT62+各项系数!$M$9*$NU62</f>
        <v>433.87143284303721</v>
      </c>
      <c r="CT62" s="196">
        <f t="shared" si="15"/>
        <v>430.51070639665761</v>
      </c>
      <c r="CU62" s="197">
        <f>CV62+各项系数!$L$9*$NU62</f>
        <v>439.2966391802629</v>
      </c>
      <c r="CV62" s="197">
        <f>CW62*(1+$DD62+各项系数!$J$5+各项系数!$L$5)</f>
        <v>435.9359127338833</v>
      </c>
      <c r="CW62" s="199">
        <f t="shared" si="16"/>
        <v>427.38814973910127</v>
      </c>
      <c r="CX62" s="196">
        <f>CY62+各项系数!$M$9*$NU62</f>
        <v>438.50252469482376</v>
      </c>
      <c r="CY62" s="196">
        <f t="shared" si="17"/>
        <v>435.14179824844416</v>
      </c>
      <c r="CZ62" s="197">
        <f>DA62+各项系数!$L$9*$NU62</f>
        <v>444.02224311065731</v>
      </c>
      <c r="DA62" s="197">
        <f>DB62*(1+$DD62+各项系数!$J$5+各项系数!$L$5)</f>
        <v>440.66151666427771</v>
      </c>
      <c r="DB62" s="199">
        <f t="shared" si="18"/>
        <v>432.02109476889973</v>
      </c>
      <c r="DC62" s="213">
        <f t="shared" si="137"/>
        <v>0</v>
      </c>
      <c r="DD62" s="213">
        <f t="shared" si="19"/>
        <v>0</v>
      </c>
      <c r="DE62" s="53" t="s">
        <v>498</v>
      </c>
      <c r="DF62" s="53" t="s">
        <v>513</v>
      </c>
      <c r="DG62" s="196">
        <f>DH62+各项系数!$M$9*$NQ62</f>
        <v>436.13066130957441</v>
      </c>
      <c r="DH62" s="196">
        <f>DI62*(1+$EA62+(VLOOKUP($AM62,$A$12:$B$323,2,0))+各项系数!$J$6+各项系数!$M$5)*(1+$E$2)+各项系数!$M$9*$NK62</f>
        <v>432.79188859168937</v>
      </c>
      <c r="DI62" s="197">
        <f>DJ62+各项系数!$L$9*$NQ62</f>
        <v>439.14329882317128</v>
      </c>
      <c r="DJ62" s="197">
        <f>DK62*(1+$EB62+各项系数!$J$5+各项系数!$L$5)</f>
        <v>435.80452610528624</v>
      </c>
      <c r="DK62" s="197">
        <f t="shared" si="20"/>
        <v>423.11119039348176</v>
      </c>
      <c r="DL62" s="196">
        <f>DM62+各项系数!$M$9*$NQ62</f>
        <v>440.10469792113184</v>
      </c>
      <c r="DM62" s="196">
        <f>DN62*(1+$EA62+(VLOOKUP($AM62,$A$12:$B$323,2,0))+各项系数!$J$6+各项系数!$M$5)*(1+$E$2)+各项系数!$M$9*$NK62</f>
        <v>436.76592520324681</v>
      </c>
      <c r="DN62" s="197">
        <f>DO62+各项系数!$L$9*$NQ62</f>
        <v>443.19843822271969</v>
      </c>
      <c r="DO62" s="197">
        <f>DP62*(1+$EB62+各项系数!$J$5+各项系数!$L$5)</f>
        <v>439.85966550483465</v>
      </c>
      <c r="DP62" s="197">
        <f t="shared" si="21"/>
        <v>427.04821893673267</v>
      </c>
      <c r="DQ62" s="196">
        <f>DR62+各项系数!$M$9*$NV62</f>
        <v>438.75073592939759</v>
      </c>
      <c r="DR62" s="196">
        <f t="shared" si="22"/>
        <v>435.39000948301799</v>
      </c>
      <c r="DS62" s="197">
        <f>DT62+各项系数!$L$9*$NV62</f>
        <v>444.27551988063061</v>
      </c>
      <c r="DT62" s="197">
        <f>DU62*(1+$EB62+各项系数!$J$5+各项系数!$L$5)</f>
        <v>440.91479343425101</v>
      </c>
      <c r="DU62" s="199">
        <f t="shared" si="23"/>
        <v>428.07261498470973</v>
      </c>
      <c r="DV62" s="196">
        <f>DW62+各项系数!$M$9*$NV62</f>
        <v>438.69088431470021</v>
      </c>
      <c r="DW62" s="196">
        <f t="shared" si="24"/>
        <v>435.33015786832061</v>
      </c>
      <c r="DX62" s="197">
        <f>DY62+各项系数!$L$9*$NV62</f>
        <v>444.21444680440879</v>
      </c>
      <c r="DY62" s="197">
        <f>DZ62*(1+$EB62+各项系数!$J$5+各项系数!$L$5)</f>
        <v>440.85372035802919</v>
      </c>
      <c r="DZ62" s="199">
        <f t="shared" si="25"/>
        <v>428.01332073595069</v>
      </c>
      <c r="EA62" s="213">
        <f t="shared" si="311"/>
        <v>0</v>
      </c>
      <c r="EB62" s="213">
        <f t="shared" si="27"/>
        <v>0.01</v>
      </c>
      <c r="EC62" s="235">
        <f t="shared" si="138"/>
        <v>3</v>
      </c>
      <c r="ED62" s="235" t="str">
        <f t="shared" si="266"/>
        <v>3*240</v>
      </c>
      <c r="EE62" s="189">
        <f t="shared" si="239"/>
        <v>240</v>
      </c>
      <c r="EF62" s="189" t="str">
        <f>LOOKUP(EH62,{1,7,10,14,19,24,30,37,48,61},{1,"1+6","2+8","4+10","1+6+12","2+8+14","4+10+16","1+6+12+18","3+9+15+21","1+6+12+18+24"})</f>
        <v>3+9+15+21</v>
      </c>
      <c r="EG62" s="188">
        <f t="shared" si="29"/>
        <v>3</v>
      </c>
      <c r="EH62" s="197">
        <f>VLOOKUP(EE62,各项系数!$B$87:$C$124,2,0)</f>
        <v>48</v>
      </c>
      <c r="EI62" s="188">
        <f>IF(EH62=0,0,VLOOKUP(EH62,各项系数!$D$142:$E$195,2,0))*1</f>
        <v>8.15</v>
      </c>
      <c r="EJ62" s="238">
        <f t="shared" si="141"/>
        <v>246.701228113631</v>
      </c>
      <c r="EK62" s="189">
        <f t="shared" ref="EK62:EK67" si="318">IF(COUNTIF($D62,"*+*")&gt;0,MID($D62,FIND("+",$D62)+1,LEN($D62)),0)</f>
        <v>0</v>
      </c>
      <c r="EL62" s="189">
        <f t="shared" si="31"/>
        <v>0</v>
      </c>
      <c r="EM62" s="189">
        <f t="shared" si="267"/>
        <v>0</v>
      </c>
      <c r="EN62" s="189">
        <f>IF(EP62=0,0,LOOKUP(EP62,{1,7,10,14,19,24,30,37,48,61},{1,"1+6","2+8","4+10","1+6+12","2+8+14","4+10+16","1+6+12+18","3+9+15+21","1+6+12+18+24"}))</f>
        <v>0</v>
      </c>
      <c r="EO62" s="189">
        <f t="shared" ref="EO62:EO67" si="319">IF(EK62=0,0,MID(EK62,1,1))</f>
        <v>0</v>
      </c>
      <c r="EP62" s="189">
        <f>IF(EM62=0,0,IF(EM62&lt;10,1,IF(AND(EM62&gt;=10,EM62&lt;=35),7,LOOKUP(EM62,{50,70,95,120,150,185,240,300},{10,14,19,24,30,37,48,61})*1)))</f>
        <v>0</v>
      </c>
      <c r="EQ62" s="189">
        <f>IF(EP62=0,0,VLOOKUP(EP62,各项系数!$D$142:$E$195,2,0))*1</f>
        <v>0</v>
      </c>
      <c r="ER62" s="189">
        <f t="shared" ref="ER62:ER67" si="320">$I62-$J62</f>
        <v>0</v>
      </c>
      <c r="ES62" s="235">
        <f t="shared" ref="ES62:ES67" si="321">EO62+EG62</f>
        <v>3</v>
      </c>
      <c r="ET62" s="189">
        <f>VLOOKUP(ES62,各项系数!$D$142:$E$195,2,0)*1</f>
        <v>2.16</v>
      </c>
      <c r="EU62" s="243">
        <f>((各项系数!$F$76/4*$EJ62^2*$EG62*$EH62*1*10^-7)*(1-$H62)*AA62)*(VLOOKUP($EY$9,各项系数!$D$4:$F$143,3,0))*各项系数!$J$4</f>
        <v>6.1799630774042109</v>
      </c>
      <c r="EV62" s="244">
        <f>EU62*(VLOOKUP($EY$9,各项系数!$D$4:$F$143,2,0))</f>
        <v>404.78758156997583</v>
      </c>
      <c r="EW62" s="252">
        <f>(IF($EO62=0,0,(各项系数!$F$76/4*$ER62^2*$EO62*$EP62*1*10^-7))*(1-$K62)*$AF62)*(VLOOKUP($EY$9,各项系数!$D$4:$F$143,3,0))*各项系数!$J$4</f>
        <v>0</v>
      </c>
      <c r="EX62" s="253">
        <f>EW62*(VLOOKUP($EY$9,各项系数!$D$4:$F$143,2,0))</f>
        <v>0</v>
      </c>
      <c r="EY62" s="189">
        <f>((各项系数!$F$76/4*$EJ62^2*$EG62*$EH62*1*10^-7)*(1-$H62)*AA62+IF($EO62=0,0,(各项系数!$F$76/4*$ER62^2*$EO62*$EP62*1*10^-7))*(1-$K62)*$AF62)*(VLOOKUP($EY$9,各项系数!$D$4:$F$143,3,0))*各项系数!$J$4</f>
        <v>6.1799630774042109</v>
      </c>
      <c r="EZ62" s="102">
        <v>1</v>
      </c>
      <c r="FA62" s="189">
        <f t="shared" si="268"/>
        <v>6.1799630774042109</v>
      </c>
      <c r="FB62" s="254">
        <f>FA62*(VLOOKUP($EY$9,各项系数!$D$4:$F$143,2,0))</f>
        <v>404.78758156997583</v>
      </c>
      <c r="FC62" s="255"/>
      <c r="FD62" s="235">
        <f>各项系数!$F$76/4*($MN62^2-MK62^2)*10^-2*(VLOOKUP(L62,各项系数!$D$1:$F$143,3,0))*10^-3*10^2*$EG62*各项系数!$J$4</f>
        <v>0.382397294970521</v>
      </c>
      <c r="FE62" s="262">
        <f>FD62*VLOOKUP(L62,各项系数!$D$1:$F$143,2,0)</f>
        <v>3.900452408699314</v>
      </c>
      <c r="FF62" s="188">
        <f>各项系数!$F$76/4*($MO62^2-ML62^2)*10^-2*(VLOOKUP(L62,各项系数!$D$1:$F$143,3,0))*10^-3*10^2*$EO62*各项系数!$J$4</f>
        <v>0</v>
      </c>
      <c r="FG62" s="262">
        <f>FF62*VLOOKUP(L62,各项系数!$D$1:$F$143,2,0)</f>
        <v>0</v>
      </c>
      <c r="FH62" s="235">
        <f t="shared" si="142"/>
        <v>0.382397294970521</v>
      </c>
      <c r="FI62" s="102">
        <v>1</v>
      </c>
      <c r="FJ62" s="189">
        <f t="shared" si="269"/>
        <v>0.382397294970521</v>
      </c>
      <c r="FK62" s="262">
        <f>FJ62*VLOOKUP(L62,各项系数!$D$1:$F$143,2,0)</f>
        <v>3.900452408699314</v>
      </c>
      <c r="FL62" s="235"/>
      <c r="FM62" s="102"/>
      <c r="FN62" s="189"/>
      <c r="FO62" s="262"/>
      <c r="FP62" s="282">
        <f t="shared" si="270"/>
        <v>0.382397294970521</v>
      </c>
      <c r="FQ62" s="282">
        <f t="shared" si="271"/>
        <v>3.900452408699314</v>
      </c>
      <c r="FR62" s="283">
        <f>各项系数!$F$76/4*($MQ62^2-$MN62^2*$EG62-$MO62^2*$EO62)*10^-2</f>
        <v>7.2280908526804124</v>
      </c>
      <c r="FS62" s="284">
        <f t="shared" si="143"/>
        <v>1</v>
      </c>
      <c r="FT62" s="285">
        <f t="shared" si="40"/>
        <v>7.2280908526804124</v>
      </c>
      <c r="FU62" s="302">
        <f>$FT62*(VLOOKUP($FT$9,各项系数!$D$1:$F$143,3,0))*10^-3*10^2*各项系数!$J$55</f>
        <v>0.86303404781004123</v>
      </c>
      <c r="FV62" s="303">
        <v>1</v>
      </c>
      <c r="FW62" s="304">
        <f t="shared" si="272"/>
        <v>0.86303404781004123</v>
      </c>
      <c r="FX62" s="285">
        <f>FW62*(VLOOKUP($FT$9,各项系数!$D$1:$F$143,2,0))</f>
        <v>2.5891021434301238</v>
      </c>
      <c r="FY62" s="302">
        <f>IF($BK62&lt;&gt;$FY$9,0,各项系数!$F$76/4*($MS62^2-$MQ62^2)*10^-2*(VLOOKUP($FY$9,各项系数!$D$1:$F$143,3,0))*10^-3*10^2)*各项系数!$J$4</f>
        <v>0</v>
      </c>
      <c r="FZ62" s="303">
        <v>1</v>
      </c>
      <c r="GA62" s="304">
        <f t="shared" si="273"/>
        <v>0</v>
      </c>
      <c r="GB62" s="285">
        <f>GA62*(VLOOKUP($FY$9,各项系数!$D$1:$F$143,2,0))</f>
        <v>0</v>
      </c>
      <c r="GC62" s="302">
        <f>IF($BK62&lt;&gt;$GC$9,0,各项系数!$F$76/4*($MS62^2-$MQ62^2)*10^-2*(VLOOKUP($GC$9,各项系数!$D$1:$F$143,3,0))*10^-3*10^2)*各项系数!$J$4</f>
        <v>1.3850904709131053E-2</v>
      </c>
      <c r="GD62" s="303">
        <v>1</v>
      </c>
      <c r="GE62" s="304">
        <f t="shared" si="274"/>
        <v>1.3850904709131053E-2</v>
      </c>
      <c r="GF62" s="285">
        <f>GE62*(VLOOKUP($GC$9,各项系数!$D$1:$F$143,2,0))</f>
        <v>0.17867667074779059</v>
      </c>
      <c r="GG62" s="302">
        <f>IF($BK62&lt;&gt;$GG$9,0,各项系数!$F$76/4*($MS62^2-$MQ62^2)*10^-2*(VLOOKUP($GG$9,各项系数!$D$1:$F$143,3,0))*10^-3*10^2)*各项系数!$J$4</f>
        <v>0</v>
      </c>
      <c r="GH62" s="303">
        <v>1</v>
      </c>
      <c r="GI62" s="304">
        <f t="shared" si="275"/>
        <v>0</v>
      </c>
      <c r="GJ62" s="285">
        <f>GI62*(VLOOKUP($GG$9,各项系数!$D$1:$F$143,2,0))</f>
        <v>0</v>
      </c>
      <c r="GK62" s="302">
        <f>IF($BK62&lt;&gt;$GK$9,0,各项系数!$F$76/4*($MS62^2-$MQ62^2)*10^-2*(VLOOKUP($GK$9,各项系数!$D$1:$F$143,3,0))*10^-3*10^2)*各项系数!$J$4</f>
        <v>0</v>
      </c>
      <c r="GL62" s="303">
        <v>1</v>
      </c>
      <c r="GM62" s="304">
        <f t="shared" si="276"/>
        <v>0</v>
      </c>
      <c r="GN62" s="285">
        <f>GM62*(VLOOKUP($GK$9,各项系数!$D$1:$F$143,2,0))</f>
        <v>0</v>
      </c>
      <c r="GO62" s="304">
        <f t="shared" si="277"/>
        <v>1.3850904709131053E-2</v>
      </c>
      <c r="GP62" s="304">
        <f t="shared" si="278"/>
        <v>0.17867667074779059</v>
      </c>
      <c r="GQ62" s="315">
        <f>各项系数!$F$76/4*($MU62^2-$MS62^2)*10^-2*(VLOOKUP($S62,各项系数!$D$1:$F$143,3,0))*10^-3*10^2*各项系数!$J$4</f>
        <v>0.94781919520578228</v>
      </c>
      <c r="GR62" s="303">
        <v>1</v>
      </c>
      <c r="GS62" s="304">
        <f t="shared" si="279"/>
        <v>0.94781919520578228</v>
      </c>
      <c r="GT62" s="304">
        <f t="shared" si="200"/>
        <v>0</v>
      </c>
      <c r="GU62" s="304">
        <f>ROUND($GS62*(VLOOKUP($S62,各项系数!$D$1:$F$143,2,0))+$E$3*GS62,GT62)</f>
        <v>5</v>
      </c>
      <c r="GV62" s="315">
        <f>各项系数!$F$76/4*($MT62^2-$MS62^2)*10^-2*(VLOOKUP($GV$9,各项系数!$D$1:$F$143,3,0))*10^-3*10^2*各项系数!$J$4*PI()/4*R62</f>
        <v>7.1279401738267759E-2</v>
      </c>
      <c r="GW62" s="303">
        <v>1</v>
      </c>
      <c r="GX62" s="304">
        <f t="shared" si="280"/>
        <v>7.1279401738267759E-2</v>
      </c>
      <c r="GY62" s="304">
        <f>$GX62*(VLOOKUP($GV$9,各项系数!$D$1:$F$143,2,0))</f>
        <v>4.8113596173330739</v>
      </c>
      <c r="GZ62" s="315">
        <f>各项系数!$F$76/4*($MV62^2-$MS62^2)*10^-2*(VLOOKUP($GZ$9,各项系数!$D$1:$F$143,3,0))*10^-3*10^2*各项系数!$J$4</f>
        <v>0.65655127867204932</v>
      </c>
      <c r="HA62" s="303">
        <v>1</v>
      </c>
      <c r="HB62" s="304">
        <f t="shared" si="144"/>
        <v>0.65655127867204932</v>
      </c>
      <c r="HC62" s="304">
        <f>HB62*(VLOOKUP($GZ$9,各项系数!$D$1:$F$143,2,0))</f>
        <v>11.161371737424838</v>
      </c>
      <c r="HD62" s="315">
        <f>各项系数!$F$76/4*($MW62^2-$MT62^2)*10^-2*(VLOOKUP($HD$9,各项系数!$D$1:$F$143,3,0))*10^-3*10^2*各项系数!$J$4</f>
        <v>0.65850933284206636</v>
      </c>
      <c r="HE62" s="303">
        <v>1</v>
      </c>
      <c r="HF62" s="304">
        <f t="shared" si="145"/>
        <v>0.65850933284206636</v>
      </c>
      <c r="HG62" s="304">
        <f>HF62*(VLOOKUP($HD$9,各项系数!$D$1:$F$143,2,0))</f>
        <v>11.194658658315127</v>
      </c>
      <c r="HH62" s="315">
        <f>各项系数!$F$76/4*($MV62^2-$MS62^2)*10^-2*(VLOOKUP($HH$9,各项系数!$D$1:$F$143,3,0))*10^-3*10^2*各项系数!$J$4</f>
        <v>0.65655127867204932</v>
      </c>
      <c r="HI62" s="322">
        <v>1</v>
      </c>
      <c r="HJ62" s="304">
        <f t="shared" si="146"/>
        <v>0.65655127867204932</v>
      </c>
      <c r="HK62" s="304">
        <f>HJ62*(VLOOKUP($HH$9,各项系数!$D$1:$F$143,2,0))</f>
        <v>11.161371737424838</v>
      </c>
      <c r="HL62" s="315">
        <f>各项系数!$F$76/4*($MW62^2-$MT62^2)*10^-2*(VLOOKUP($HL$9,各项系数!$D$1:$F$143,3,0))*10^-3*10^2*各项系数!$J$4</f>
        <v>0.65850933284206636</v>
      </c>
      <c r="HM62" s="322">
        <v>1</v>
      </c>
      <c r="HN62" s="304">
        <f t="shared" si="147"/>
        <v>0.65850933284206636</v>
      </c>
      <c r="HO62" s="304">
        <f>HN62*(VLOOKUP($HL$9,各项系数!$D$1:$F$143,2,0))</f>
        <v>11.194658658315127</v>
      </c>
      <c r="HP62" s="315">
        <f>各项系数!$F$76/4*($MV62^2-$MS62^2)*10^-2*(VLOOKUP(AN62,各项系数!$D$1:$F$143,3,0))*10^-3*10^2*各项系数!$J$4</f>
        <v>0.66560715837787054</v>
      </c>
      <c r="HQ62" s="303">
        <v>1</v>
      </c>
      <c r="HR62" s="304">
        <f t="shared" si="281"/>
        <v>0.66560715837787054</v>
      </c>
      <c r="HS62" s="304">
        <f>HR62*(VLOOKUP(AN62,各项系数!$D$1:$F$143,2,0))</f>
        <v>6.6560715837787052</v>
      </c>
      <c r="HT62" s="315">
        <f>各项系数!$F$76/4*($MW62^2-$MT62^2)*10^-2*(VLOOKUP(AN62,各项系数!$D$1:$F$143,3,0))*10^-3*10^2*各项系数!$J$4</f>
        <v>0.66759222019161213</v>
      </c>
      <c r="HU62" s="303">
        <v>1</v>
      </c>
      <c r="HV62" s="304">
        <f t="shared" si="282"/>
        <v>0.66759222019161213</v>
      </c>
      <c r="HW62" s="304">
        <f>HV62*(VLOOKUP(AN62,各项系数!$D$1:$F$143,2,0))</f>
        <v>6.6759222019161211</v>
      </c>
      <c r="HX62" s="315">
        <f>各项系数!$F$76/4*($MV62^2-$MS62^2)*10^-2*(VLOOKUP($HX$9,各项系数!$D$1:$F$143,3,0))*10^-3*10^2*各项系数!$J$4</f>
        <v>0.66560715837787054</v>
      </c>
      <c r="HY62" s="322">
        <v>1</v>
      </c>
      <c r="HZ62" s="304">
        <f t="shared" si="283"/>
        <v>0.66560715837787054</v>
      </c>
      <c r="IA62" s="304">
        <f>HZ62*(VLOOKUP($HX$9,各项系数!$D$1:$F$143,2,0))</f>
        <v>7.3216787421565757</v>
      </c>
      <c r="IB62" s="315">
        <f>各项系数!$F$76/4*($MW62^2-$MT62^2)*10^-2*(VLOOKUP($IB$9,各项系数!$D$1:$F$143,3,0))*10^-3*10^2*各项系数!$J$4</f>
        <v>0.66759222019161213</v>
      </c>
      <c r="IC62" s="322">
        <v>1</v>
      </c>
      <c r="ID62" s="304">
        <f t="shared" si="284"/>
        <v>0.66759222019161213</v>
      </c>
      <c r="IE62" s="304">
        <f>ID62*(VLOOKUP($IB$9,各项系数!$D$1:$F$143,2,0))</f>
        <v>7.3435144221077335</v>
      </c>
      <c r="IF62" s="328"/>
      <c r="IG62" s="315">
        <f t="shared" si="148"/>
        <v>8.6112817366700858E-2</v>
      </c>
      <c r="IH62" s="303">
        <v>1</v>
      </c>
      <c r="II62" s="304">
        <f t="shared" si="285"/>
        <v>8.6112817366700858E-2</v>
      </c>
      <c r="IJ62" s="304">
        <f>II62*(VLOOKUP($IG$8,各项系数!$D$1:$F$143,2,0))</f>
        <v>2.1528204341675217</v>
      </c>
      <c r="IK62" s="315">
        <f>(各项系数!$F$76/4*($MX62^2-$MK62^2)*$EG62)*10^-2*(VLOOKUP($IG$8,各项系数!$D$1:$F$143,3,0))*10^-3*10^2*各项系数!$J$4</f>
        <v>8.6112817366700858E-2</v>
      </c>
      <c r="IL62" s="303">
        <f>IK62*(VLOOKUP($IG$8,各项系数!$D$1:$F$143,2,0))</f>
        <v>2.1528204341675217</v>
      </c>
      <c r="IM62" s="304">
        <f>(各项系数!$F$76/4*(($MM62+3*$X62)^2-MM62^2)*$EO62)*10^-2*(VLOOKUP($IG$8,各项系数!$D$1:$F$143,3,0))*10^-3*10^2*各项系数!$J$4</f>
        <v>0</v>
      </c>
      <c r="IN62" s="303">
        <f>IM62*(VLOOKUP($IG$8,各项系数!$D$1:$F$143,2,0))</f>
        <v>0</v>
      </c>
      <c r="IO62" s="315">
        <f>各项系数!$F$76/4*($MZ62^2-$MX62^2)*10^-2*(VLOOKUP(L62,各项系数!$D$1:$F$143,3,0))*10^-3*10^2*$ES62*各项系数!$J$4</f>
        <v>0.39291902283814434</v>
      </c>
      <c r="IP62" s="303">
        <v>1</v>
      </c>
      <c r="IQ62" s="304">
        <f t="shared" si="286"/>
        <v>0.39291902283814434</v>
      </c>
      <c r="IR62" s="285">
        <f>IQ62*(VLOOKUP(L62,各项系数!$D$1:$F$143,2,0))</f>
        <v>4.0077740329490723</v>
      </c>
      <c r="IS62" s="315">
        <f>IF($L62&lt;&gt;$IS$9,0,各项系数!$F$76/4*($MZ62^2-$MX62^2)*10^-2*各项系数!$F$12*10^-3*10^2)*$ES62*各项系数!$J$4</f>
        <v>0</v>
      </c>
      <c r="IT62" s="303">
        <v>1</v>
      </c>
      <c r="IU62" s="304">
        <f t="shared" si="287"/>
        <v>0</v>
      </c>
      <c r="IV62" s="285">
        <f>IU62*各项系数!$E$12</f>
        <v>0</v>
      </c>
      <c r="IW62" s="302">
        <f t="shared" si="288"/>
        <v>0.39291902283814434</v>
      </c>
      <c r="IX62" s="302">
        <f t="shared" si="289"/>
        <v>4.0077740329490723</v>
      </c>
      <c r="IY62" s="339">
        <f>各项系数!$F$76/4*($NB62^2-$MZ62^2*$EG62-$NA62^2*$EO62)*10^-2</f>
        <v>7.6017976581074915</v>
      </c>
      <c r="IZ62" s="284">
        <f t="shared" si="231"/>
        <v>1</v>
      </c>
      <c r="JA62" s="285">
        <f t="shared" si="64"/>
        <v>7.6017976581074915</v>
      </c>
      <c r="JB62" s="282">
        <f>IF($DE62&lt;&gt;$JB$9,0,$JA62*各项系数!$F$32*10^-3*10^2)*各项系数!$J$4</f>
        <v>0</v>
      </c>
      <c r="JC62" s="102">
        <v>1</v>
      </c>
      <c r="JD62" s="189">
        <f t="shared" si="290"/>
        <v>0</v>
      </c>
      <c r="JE62" s="262">
        <f>JD62*各项系数!$E$32</f>
        <v>0</v>
      </c>
      <c r="JF62" s="282">
        <f>IF($DE62&lt;&gt;$JF$9,0,$JA62*VLOOKUP($JF$9,各项系数!$D$4:$F$540,2,0)*10^-3*10^2)*各项系数!$J$4</f>
        <v>3.7818943349084773</v>
      </c>
      <c r="JG62" s="102">
        <v>1</v>
      </c>
      <c r="JH62" s="189">
        <f t="shared" si="66"/>
        <v>3.7818943349084773</v>
      </c>
      <c r="JI62" s="262">
        <f>JH62*VLOOKUP($JF$9,各项系数!$D$4:$F$540,3,0)</f>
        <v>4.5382732018901724</v>
      </c>
      <c r="JJ62" s="282">
        <f t="shared" si="291"/>
        <v>3.7818943349084773</v>
      </c>
      <c r="JK62" s="189">
        <f t="shared" si="292"/>
        <v>4.5382732018901724</v>
      </c>
      <c r="JL62" s="282">
        <f>IF($DF62&lt;&gt;$JL$9,0,各项系数!$F$76/4*($NE62^2-$NC62^2)*10^-2*各项系数!$F$39*10^-3*10^2)*各项系数!$J$4</f>
        <v>5.8729566378910277E-3</v>
      </c>
      <c r="JM62" s="102">
        <v>1</v>
      </c>
      <c r="JN62" s="189">
        <f t="shared" si="293"/>
        <v>5.8729566378910277E-3</v>
      </c>
      <c r="JO62" s="262">
        <f>JN62*各项系数!$E$39</f>
        <v>0.11745913275782055</v>
      </c>
      <c r="JP62" s="282">
        <f>IF($DF62&lt;&gt;$JP$9,0,各项系数!$F$76/4*($NE62^2-$NC62^2)*10^-2*各项系数!$F$36*10^-3*10^2)*各项系数!$J$4</f>
        <v>0</v>
      </c>
      <c r="JQ62" s="102">
        <v>1</v>
      </c>
      <c r="JR62" s="189">
        <f t="shared" si="294"/>
        <v>0</v>
      </c>
      <c r="JS62" s="262">
        <f>JR62*各项系数!$E$36</f>
        <v>0</v>
      </c>
      <c r="JT62" s="282">
        <f>IF($DF62&lt;&gt;$JT$9,0,各项系数!$F$76/4*($NE62^2-$NC62^2)*10^-2*各项系数!$F$40*10^-3*10^2)*各项系数!$J$4</f>
        <v>0</v>
      </c>
      <c r="JU62" s="102">
        <v>1</v>
      </c>
      <c r="JV62" s="189">
        <f t="shared" si="295"/>
        <v>0</v>
      </c>
      <c r="JW62" s="262">
        <f>JV62*各项系数!$E$40</f>
        <v>0</v>
      </c>
      <c r="JX62" s="282">
        <f>IF($DF62&lt;&gt;$JX$9,0,各项系数!$F$76/4*($NE62^2-$NC62^2)*10^-2*各项系数!$F$38*10^-3*10^2)*各项系数!$J$4</f>
        <v>0</v>
      </c>
      <c r="JY62" s="102">
        <v>1</v>
      </c>
      <c r="JZ62" s="189">
        <f t="shared" si="296"/>
        <v>0</v>
      </c>
      <c r="KA62" s="262">
        <f>JZ62*各项系数!$E$38</f>
        <v>0</v>
      </c>
      <c r="KB62" s="282">
        <f>IF($DF62&lt;&gt;$KB$9,0,各项系数!$F$76/4*($NE62^2-$NC62^2)*10^-2*各项系数!$F$41*10^-3*10^2)*各项系数!$J$4</f>
        <v>0</v>
      </c>
      <c r="KC62" s="102">
        <v>1</v>
      </c>
      <c r="KD62" s="189">
        <f t="shared" si="297"/>
        <v>0</v>
      </c>
      <c r="KE62" s="262">
        <f>KD62*各项系数!$E$41</f>
        <v>0</v>
      </c>
      <c r="KF62" s="189">
        <f t="shared" si="298"/>
        <v>5.8729566378910277E-3</v>
      </c>
      <c r="KG62" s="189">
        <f t="shared" si="299"/>
        <v>0.11745913275782055</v>
      </c>
      <c r="KH62" s="235">
        <f>各项系数!$F$76/4*($NG62^2-$NE62^2)*10^-2*各项系数!$F$44*10^-3*10^2*各项系数!$J$4*0.75*$U62</f>
        <v>1.4591287527744974</v>
      </c>
      <c r="KI62" s="102">
        <v>1</v>
      </c>
      <c r="KJ62" s="189">
        <f t="shared" si="300"/>
        <v>1.4591287527744974</v>
      </c>
      <c r="KK62" s="189">
        <f>ROUND(KJ62*各项系数!$E$43,GT62)</f>
        <v>8</v>
      </c>
      <c r="KL62" s="235">
        <f>各项系数!$F$76/4*($NF62^2-$NE62^2)*10^-2*各项系数!$F$46*10^-3*10^2*各项系数!$J$4*PI()/4*R62</f>
        <v>7.3179094981878121E-2</v>
      </c>
      <c r="KM62" s="102">
        <v>1</v>
      </c>
      <c r="KN62" s="189">
        <f t="shared" si="301"/>
        <v>7.3179094981878121E-2</v>
      </c>
      <c r="KO62" s="189">
        <f>KN62*各项系数!$E$46</f>
        <v>4.9395889112767728</v>
      </c>
      <c r="KP62" s="235">
        <f>各项系数!$F$76/4*($NH62^2-$NE62^2)*10^-2*(VLOOKUP($KP$9,各项系数!$D$1:$F$143,3,0))*10^-3*10^2*各项系数!$J$4</f>
        <v>0.67319473911719863</v>
      </c>
      <c r="KQ62" s="102">
        <v>1</v>
      </c>
      <c r="KR62" s="189">
        <f t="shared" si="150"/>
        <v>0.67319473911719863</v>
      </c>
      <c r="KS62" s="189">
        <f>KR62*(VLOOKUP($KP$9,各项系数!$D$1:$F$143,2,0))</f>
        <v>11.444310564992376</v>
      </c>
      <c r="KT62" s="235">
        <f>各项系数!$F$76/4*($NI62^2-$NF62^2)*10^-2*(VLOOKUP($KT$9,各项系数!$D$1:$F$143,3,0))*10^-3*10^2*各项系数!$J$4</f>
        <v>0.67515279328721622</v>
      </c>
      <c r="KU62" s="102">
        <v>1</v>
      </c>
      <c r="KV62" s="189">
        <f t="shared" si="151"/>
        <v>0.67515279328721622</v>
      </c>
      <c r="KW62" s="189">
        <f>KV62*(VLOOKUP($KT$9,各项系数!$D$1:$F$143,2,0))</f>
        <v>11.477597485882676</v>
      </c>
      <c r="KX62" s="189">
        <f>各项系数!$F$76/4*($NH62^2-$NE62^2)*10^-2*(VLOOKUP($KX$9,各项系数!$D$1:$F$143,3,0))*10^-3*10^2*各项系数!$J$4</f>
        <v>0.67319473911719863</v>
      </c>
      <c r="KY62" s="353">
        <v>1</v>
      </c>
      <c r="KZ62" s="189">
        <f t="shared" si="152"/>
        <v>0.67319473911719863</v>
      </c>
      <c r="LA62" s="189">
        <f>KZ62*(VLOOKUP($KX$9,各项系数!$D$1:$F$143,2,0))</f>
        <v>11.444310564992376</v>
      </c>
      <c r="LB62" s="189">
        <f>各项系数!$F$76/4*($NI62^2-$NF62^2)*10^-2*(VLOOKUP($LB$9,各项系数!$D$1:$F$143,3,0))*10^-3*10^2*各项系数!$J$4</f>
        <v>0.67515279328721622</v>
      </c>
      <c r="LC62" s="353">
        <v>1</v>
      </c>
      <c r="LD62" s="189">
        <f t="shared" si="153"/>
        <v>0.67515279328721622</v>
      </c>
      <c r="LE62" s="189">
        <f>LD62*(VLOOKUP($LB$9,各项系数!$D$1:$F$143,2,0))</f>
        <v>11.477597485882676</v>
      </c>
      <c r="LF62" s="235">
        <f>各项系数!$F$76/4*($NH62^2-$NE62^2)*10^-2*(VLOOKUP(AN62,各项系数!$D$1:$F$143,3,0))*10^-3*10^2*各项系数!$J$4</f>
        <v>0.68248018379467712</v>
      </c>
      <c r="LG62" s="102">
        <v>1</v>
      </c>
      <c r="LH62" s="189">
        <f t="shared" si="302"/>
        <v>0.68248018379467712</v>
      </c>
      <c r="LI62" s="189">
        <f>LH62*(VLOOKUP(AN62,各项系数!$D$1:$F$143,2,0))</f>
        <v>6.8248018379467714</v>
      </c>
      <c r="LJ62" s="235">
        <f>各项系数!$F$76/4*($NI62^2-$NF62^2)*10^-2*(VLOOKUP(AN62,各项系数!$D$1:$F$143,3,0))*10^-3*10^2*各项系数!$J$4</f>
        <v>0.68446524560841915</v>
      </c>
      <c r="LK62" s="102">
        <v>1</v>
      </c>
      <c r="LL62" s="189">
        <f t="shared" si="303"/>
        <v>0.68446524560841915</v>
      </c>
      <c r="LM62" s="189">
        <f>LL62*(VLOOKUP(AN62,各项系数!$D$1:$F$143,2,0))</f>
        <v>6.8446524560841917</v>
      </c>
      <c r="LN62" s="189">
        <f>各项系数!$F$76/4*($NH62^2-$NE62^2)*10^-2*(VLOOKUP($LN$9,各项系数!$D$1:$F$143,3,0))*10^-3*10^2*各项系数!$J$4</f>
        <v>0.68248018379467712</v>
      </c>
      <c r="LO62" s="353">
        <v>1</v>
      </c>
      <c r="LP62" s="189">
        <f t="shared" si="304"/>
        <v>0.68248018379467712</v>
      </c>
      <c r="LQ62" s="189">
        <f>LP62*(VLOOKUP($LN$9,各项系数!$D$1:$F$143,2,0))</f>
        <v>7.5072820217414487</v>
      </c>
      <c r="LR62" s="189">
        <f>各项系数!$F$76/4*($NI62^2-$NF62^2)*10^-2*(VLOOKUP($LR$9,各项系数!$D$1:$F$143,3,0))*10^-3*10^2*各项系数!$J$4</f>
        <v>0.68446524560841915</v>
      </c>
      <c r="LS62" s="353">
        <v>1</v>
      </c>
      <c r="LT62" s="189">
        <f t="shared" si="305"/>
        <v>0.68446524560841915</v>
      </c>
      <c r="LU62" s="189">
        <f>LT62*(VLOOKUP($LR$9,各项系数!$D$1:$F$143,2,0))</f>
        <v>7.529117701692611</v>
      </c>
      <c r="LV62" s="227">
        <f t="shared" si="154"/>
        <v>952.50875464000001</v>
      </c>
      <c r="LW62" s="227">
        <f t="shared" si="155"/>
        <v>688.32730221999998</v>
      </c>
      <c r="LX62" s="227">
        <f t="shared" si="156"/>
        <v>29.604147359911845</v>
      </c>
      <c r="LY62" s="227">
        <f t="shared" si="157"/>
        <v>264.18145242000003</v>
      </c>
      <c r="LZ62" s="374">
        <f t="shared" si="86"/>
        <v>1</v>
      </c>
      <c r="MA62" s="375">
        <f t="shared" si="87"/>
        <v>952.50875464000001</v>
      </c>
      <c r="MB62" s="375">
        <f t="shared" si="158"/>
        <v>20.106150079999999</v>
      </c>
      <c r="MC62" s="227">
        <f t="shared" si="159"/>
        <v>0</v>
      </c>
      <c r="MD62" s="227">
        <f t="shared" si="160"/>
        <v>0</v>
      </c>
      <c r="ME62" s="227">
        <f t="shared" si="161"/>
        <v>0</v>
      </c>
      <c r="MF62" s="227">
        <f t="shared" si="162"/>
        <v>0</v>
      </c>
      <c r="MG62" s="374">
        <f t="shared" si="163"/>
        <v>1</v>
      </c>
      <c r="MH62" s="375">
        <f t="shared" si="88"/>
        <v>0</v>
      </c>
      <c r="MI62" s="375">
        <f t="shared" si="164"/>
        <v>0</v>
      </c>
      <c r="MJ62" s="189">
        <f t="shared" si="89"/>
        <v>20.106150079999999</v>
      </c>
      <c r="MK62" s="189">
        <f t="shared" si="165"/>
        <v>20.106150079999999</v>
      </c>
      <c r="ML62" s="189">
        <f t="shared" si="306"/>
        <v>0</v>
      </c>
      <c r="MM62" s="189">
        <f t="shared" si="91"/>
        <v>0</v>
      </c>
      <c r="MN62" s="189">
        <f t="shared" si="92"/>
        <v>23.506150079999998</v>
      </c>
      <c r="MO62" s="189">
        <f t="shared" si="166"/>
        <v>0</v>
      </c>
      <c r="MP62" s="189">
        <f t="shared" si="167"/>
        <v>50.773284169999997</v>
      </c>
      <c r="MQ62" s="189">
        <f t="shared" si="307"/>
        <v>50.773284169999997</v>
      </c>
      <c r="MR62" s="246">
        <f t="shared" si="168"/>
        <v>50.773284169999997</v>
      </c>
      <c r="MS62" s="380">
        <f t="shared" si="94"/>
        <v>50.949284169999999</v>
      </c>
      <c r="MT62" s="380">
        <f t="shared" si="95"/>
        <v>51.109284169999995</v>
      </c>
      <c r="MU62" s="380">
        <f t="shared" si="232"/>
        <v>52.449284169999999</v>
      </c>
      <c r="MV62" s="380">
        <f t="shared" si="97"/>
        <v>56.349284169999997</v>
      </c>
      <c r="MW62" s="380">
        <f t="shared" si="98"/>
        <v>56.509284169999994</v>
      </c>
      <c r="MX62" s="254">
        <f t="shared" si="233"/>
        <v>20.70615008</v>
      </c>
      <c r="MY62" s="254">
        <f t="shared" si="100"/>
        <v>0</v>
      </c>
      <c r="MZ62" s="189">
        <f t="shared" si="101"/>
        <v>24.106150079999999</v>
      </c>
      <c r="NA62" s="189">
        <f t="shared" si="102"/>
        <v>0</v>
      </c>
      <c r="NB62" s="189">
        <f t="shared" si="169"/>
        <v>52.069284170000003</v>
      </c>
      <c r="NC62" s="254">
        <f t="shared" si="308"/>
        <v>52.069284170000003</v>
      </c>
      <c r="ND62" s="246">
        <f t="shared" si="234"/>
        <v>52.069284170000003</v>
      </c>
      <c r="NE62" s="386">
        <f t="shared" si="235"/>
        <v>52.309284170000005</v>
      </c>
      <c r="NF62" s="380">
        <f t="shared" si="106"/>
        <v>52.469284170000002</v>
      </c>
      <c r="NG62" s="387">
        <f t="shared" si="236"/>
        <v>53.809284170000005</v>
      </c>
      <c r="NH62" s="254">
        <f t="shared" si="108"/>
        <v>57.709284170000004</v>
      </c>
      <c r="NI62" s="380">
        <f t="shared" si="109"/>
        <v>57.86928417</v>
      </c>
      <c r="NK62" s="388">
        <f t="shared" si="110"/>
        <v>8.1048524832717739</v>
      </c>
      <c r="NL62" s="388">
        <f t="shared" si="111"/>
        <v>418.11188437663179</v>
      </c>
      <c r="NM62" s="388">
        <f t="shared" si="112"/>
        <v>8.1048524832717739</v>
      </c>
      <c r="NN62" s="388">
        <f t="shared" si="113"/>
        <v>418.77749153500963</v>
      </c>
      <c r="NO62" s="388">
        <f t="shared" si="114"/>
        <v>11.129242392950101</v>
      </c>
      <c r="NP62" s="388">
        <f t="shared" si="115"/>
        <v>422.42871020968721</v>
      </c>
      <c r="NQ62" s="388">
        <f t="shared" si="116"/>
        <v>11.129242392950101</v>
      </c>
      <c r="NR62" s="388">
        <f t="shared" si="117"/>
        <v>423.11119039348176</v>
      </c>
      <c r="NS62" s="388">
        <f t="shared" si="118"/>
        <v>8.176131885010042</v>
      </c>
      <c r="NT62" s="388">
        <f t="shared" si="119"/>
        <v>8.176131885010042</v>
      </c>
      <c r="NU62" s="388">
        <f t="shared" si="120"/>
        <v>11.202421487931979</v>
      </c>
      <c r="NV62" s="388">
        <f t="shared" si="121"/>
        <v>11.202421487931979</v>
      </c>
      <c r="NW62">
        <f t="shared" si="122"/>
        <v>9.0526716784775569</v>
      </c>
      <c r="NX62">
        <f>各项系数!$M$9*NK62</f>
        <v>2.4314557449815322</v>
      </c>
      <c r="NY62">
        <f t="shared" si="123"/>
        <v>8.176131885010042</v>
      </c>
    </row>
    <row r="63" spans="1:389" ht="15" hidden="1" customHeight="1">
      <c r="A63" s="65"/>
      <c r="B63" s="81"/>
      <c r="C63" s="67"/>
      <c r="D63" s="53" t="s">
        <v>260</v>
      </c>
      <c r="E63" s="54">
        <f t="shared" si="313"/>
        <v>61.402966030000002</v>
      </c>
      <c r="F63" s="68">
        <f>$F$31</f>
        <v>245.118138379664</v>
      </c>
      <c r="G63" s="58"/>
      <c r="H63" s="16"/>
      <c r="I63" s="62"/>
      <c r="J63" s="16"/>
      <c r="K63" s="16"/>
      <c r="L63" s="97" t="s">
        <v>467</v>
      </c>
      <c r="M63" s="103">
        <f t="shared" si="2"/>
        <v>1.8</v>
      </c>
      <c r="N63" s="103">
        <f t="shared" si="252"/>
        <v>0</v>
      </c>
      <c r="O63" s="53">
        <f t="shared" si="312"/>
        <v>0.08</v>
      </c>
      <c r="P63" s="99">
        <v>0.1</v>
      </c>
      <c r="Q63" s="133">
        <f t="shared" si="309"/>
        <v>0.1</v>
      </c>
      <c r="R63" s="70">
        <v>0.8</v>
      </c>
      <c r="S63" s="142" t="str">
        <f>各项系数!$D$43</f>
        <v>钢带</v>
      </c>
      <c r="T63" s="102">
        <v>0.5</v>
      </c>
      <c r="U63" s="102">
        <v>2</v>
      </c>
      <c r="V63" s="140"/>
      <c r="W63" s="141">
        <v>2.9</v>
      </c>
      <c r="X63" s="135">
        <f t="shared" si="310"/>
        <v>0.2</v>
      </c>
      <c r="Y63" s="135"/>
      <c r="Z63" s="168"/>
      <c r="AA63" s="153">
        <f>$AA$31</f>
        <v>1.02</v>
      </c>
      <c r="AB63" s="153">
        <f>PI()*EJ63*EJ63/4*EH63*(1-H63)*AA63*各项系数!$F$5*各项系数!$J$4*10^-7</f>
        <v>2.5971416022939482</v>
      </c>
      <c r="AC63" s="153">
        <f t="shared" si="314"/>
        <v>245.118138379664</v>
      </c>
      <c r="AD63" s="153">
        <f t="shared" si="5"/>
        <v>293.60996233065771</v>
      </c>
      <c r="AE63" s="153">
        <f>POWER(4*EU63/PI()/EG63/10^-7/EH63/(1-H63)/各项系数!$F$5/各项系数!$J$4,0.5)</f>
        <v>247.5571849047536</v>
      </c>
      <c r="AF63" s="69">
        <v>1</v>
      </c>
      <c r="AG63" s="69">
        <f>IF(EM63=0,0,PI()*ER63*ER63/4*EP63*(1-K63)*(1+AF63)*各项系数!$F$5*各项系数!$J$4*10^-7)</f>
        <v>0</v>
      </c>
      <c r="AH63" s="69">
        <f t="shared" si="315"/>
        <v>0</v>
      </c>
      <c r="AI63" s="69">
        <f t="shared" si="128"/>
        <v>0</v>
      </c>
      <c r="AJ63" s="69">
        <f>IF(OR(EP63="",EP63=0),0,POWER(4*EW63/PI()/EO63/10^-7/EP63/(1-K63)/各项系数!$F$5/各项系数!$J$4,0.5))</f>
        <v>0</v>
      </c>
      <c r="AK63" s="69" t="str">
        <f t="shared" si="8"/>
        <v>√</v>
      </c>
      <c r="AL63" s="69">
        <f t="shared" si="316"/>
        <v>542.33153507216332</v>
      </c>
      <c r="AM63" s="188">
        <f t="shared" si="317"/>
        <v>300</v>
      </c>
      <c r="AN63" s="97" t="s">
        <v>486</v>
      </c>
      <c r="AO63" s="196">
        <f>AP63+各项系数!$M$9*$NK63</f>
        <v>531.69758340408168</v>
      </c>
      <c r="AP63" s="196">
        <f>AQ63*(1+$BI63+(VLOOKUP($AM63,$A$12:$B$323,2,0))+各项系数!$J$6+各项系数!$M$5)*(1+$E$2)</f>
        <v>528.680285341679</v>
      </c>
      <c r="AQ63" s="197">
        <f>AR63+各项系数!$L$9*$NK63</f>
        <v>539.46967892008058</v>
      </c>
      <c r="AR63" s="197">
        <f>AS63*(1+$BJ63+各项系数!$J$5+各项系数!$L$5)</f>
        <v>536.45238085767789</v>
      </c>
      <c r="AS63" s="197">
        <f t="shared" si="129"/>
        <v>525.93370672321362</v>
      </c>
      <c r="AT63" s="196">
        <f>AU63+各项系数!$M$9*$NM63</f>
        <v>536.97228826629407</v>
      </c>
      <c r="AU63" s="196">
        <f>AV63*(1+$BI63+(VLOOKUP($AM63,$A$12:$B$323,2,0))+各项系数!$J$6+各项系数!$M$5)*(1+$E$2)</f>
        <v>533.95499020389138</v>
      </c>
      <c r="AV63" s="197">
        <f>AW63+各项系数!$L$9*$NM63</f>
        <v>544.85203082029739</v>
      </c>
      <c r="AW63" s="197">
        <f>AX63*(1+$BJ63+各项系数!$J$5+各项系数!$L$5)</f>
        <v>541.8347327578947</v>
      </c>
      <c r="AX63" s="197">
        <f t="shared" si="130"/>
        <v>531.21052231166141</v>
      </c>
      <c r="AY63" s="196">
        <f>AZ63+各项系数!$M$9*$NS63</f>
        <v>537.01313487543189</v>
      </c>
      <c r="AZ63" s="196">
        <f>BA63*(1+$BI63+(VLOOKUP($AM63,$A$12:$B$214,2,0))+各项系数!$J$6+各项系数!$M$5)*(1+$E$2)</f>
        <v>533.97250286721635</v>
      </c>
      <c r="BA63" s="197">
        <f>BB63+各项系数!$L$9*$NS63</f>
        <v>544.86990088491461</v>
      </c>
      <c r="BB63" s="197">
        <f>BC63*(1+$BJ63+各项系数!$J$5+各项系数!$L$5)</f>
        <v>541.82926887669908</v>
      </c>
      <c r="BC63" s="199">
        <f t="shared" si="131"/>
        <v>531.20516556539121</v>
      </c>
      <c r="BD63" s="196">
        <f>BE63+各项系数!$M$9*$NS63</f>
        <v>542.30226554944875</v>
      </c>
      <c r="BE63" s="196">
        <f>BF63*(1+$BI63+(VLOOKUP($AM63,$A$12:$B$214,2,0))+各项系数!$J$6+各项系数!$M$5)*(1+$E$2)</f>
        <v>539.26163354123321</v>
      </c>
      <c r="BF63" s="197">
        <f>BG63+各项系数!$L$9*$NS63</f>
        <v>550.26697300125841</v>
      </c>
      <c r="BG63" s="197">
        <f>BH63*(1+$BJ63+各项系数!$J$5+各项系数!$L$5)</f>
        <v>547.22634099304287</v>
      </c>
      <c r="BH63" s="199">
        <f t="shared" si="132"/>
        <v>536.49641273827729</v>
      </c>
      <c r="BI63" s="213"/>
      <c r="BJ63" s="208"/>
      <c r="BK63" s="53" t="s">
        <v>514</v>
      </c>
      <c r="BL63" s="196">
        <f>BM63+各项系数!$M$9*$NM63</f>
        <v>537.63865171517716</v>
      </c>
      <c r="BM63" s="196">
        <f>BN63*(1+$CF63+(VLOOKUP($AM63,$A$12:$B$323,2,0))+各项系数!$J$6+各项系数!$M$5)*(1+$E$2)</f>
        <v>534.62135365277447</v>
      </c>
      <c r="BN63" s="197">
        <f>BO63+各项系数!$L$9*$NM63</f>
        <v>545.53199352323929</v>
      </c>
      <c r="BO63" s="197">
        <f>BP63*(1+$CG63+各项系数!$J$5+各项系数!$L$5)</f>
        <v>542.51469546083661</v>
      </c>
      <c r="BP63" s="197">
        <f t="shared" si="133"/>
        <v>526.71329656391902</v>
      </c>
      <c r="BQ63" s="196">
        <f>BR63+各项系数!$M$9*$NM63</f>
        <v>542.17815138494836</v>
      </c>
      <c r="BR63" s="196">
        <f>BS63*(1+$CF63+(VLOOKUP($AM63,$A$12:$B$323,2,0))+各项系数!$J$6+各项系数!$M$5)*(1+$E$2)</f>
        <v>539.16085332254568</v>
      </c>
      <c r="BS63" s="197">
        <f>BT63+各项系数!$L$9*$NM63</f>
        <v>550.16413604341392</v>
      </c>
      <c r="BT63" s="197">
        <f>BU63*(1+$CG63+各项系数!$J$5+各项系数!$L$5)</f>
        <v>547.14683798101123</v>
      </c>
      <c r="BU63" s="197">
        <f t="shared" si="134"/>
        <v>531.21052231166141</v>
      </c>
      <c r="BV63" s="196">
        <f>BW63+各项系数!$M$9*$NT63</f>
        <v>540.03629439542306</v>
      </c>
      <c r="BW63" s="196">
        <f>BX63*(1+$CF63+(VLOOKUP($AM63,$A$12:$B$214,2,0))+各项系数!$J$6+各项系数!$M$5)*(1+$E$2)</f>
        <v>536.99566238720752</v>
      </c>
      <c r="BX63" s="197">
        <f>BY63+各项系数!$L$9*$NT$12</f>
        <v>547.95475753796688</v>
      </c>
      <c r="BY63" s="197">
        <f>BZ63*(1+$CG63+各项系数!$J$5+各项系数!$L$5)</f>
        <v>547.94649413481193</v>
      </c>
      <c r="BZ63" s="199">
        <f t="shared" si="11"/>
        <v>531.98688750952613</v>
      </c>
      <c r="CA63" s="196">
        <f>CB63+各项系数!$M$9*$NT63</f>
        <v>544.58820916132458</v>
      </c>
      <c r="CB63" s="196">
        <f>CC63*(1+$CF63+(VLOOKUP($AM63,$A$12:$B$214,2,0))+各项系数!$J$6+各项系数!$M$5)*(1+$E$2)</f>
        <v>541.54757715310905</v>
      </c>
      <c r="CC63" s="197">
        <f>CD63+各项系数!$L$9*$NT$12</f>
        <v>552.59956852358061</v>
      </c>
      <c r="CD63" s="197">
        <f>CE63*(1+$CG63+各项系数!$J$5+各项系数!$L$5)</f>
        <v>552.59130512042566</v>
      </c>
      <c r="CE63" s="199">
        <f t="shared" si="135"/>
        <v>536.49641273827729</v>
      </c>
      <c r="CF63" s="213">
        <f t="shared" si="136"/>
        <v>0</v>
      </c>
      <c r="CG63" s="213">
        <f t="shared" si="12"/>
        <v>0.01</v>
      </c>
      <c r="CH63" s="102"/>
      <c r="CI63" s="196">
        <f>CJ63+各项系数!$M$9*$NO63</f>
        <v>541.72325575391403</v>
      </c>
      <c r="CJ63" s="196">
        <f>CK63*(1+$DC63+(VLOOKUP($AM63,$A$12:$B$323,2,0))+各项系数!$J$6+各项系数!$M$5)*(1+$E$2)+各项系数!$M$9*$NK63</f>
        <v>537.63359890820209</v>
      </c>
      <c r="CK63" s="197">
        <f>CL63+各项系数!$L$9*$NO63</f>
        <v>545.52683759775448</v>
      </c>
      <c r="CL63" s="197">
        <f>CM63*(1+$DD63+各项系数!$J$5+各项系数!$L$5)</f>
        <v>541.43718075204254</v>
      </c>
      <c r="CM63" s="197">
        <f t="shared" si="13"/>
        <v>530.82076544317897</v>
      </c>
      <c r="CN63" s="196">
        <f>CO63+各项系数!$M$9*$NO63</f>
        <v>546.81680431612926</v>
      </c>
      <c r="CO63" s="196">
        <f>CP63*(1+$DC63+(VLOOKUP($AM63,$A$12:$B$323,2,0))+各项系数!$J$6+各项系数!$M$5)*(1+$E$2)+各项系数!$M$9*$NK63</f>
        <v>542.72714747041732</v>
      </c>
      <c r="CP63" s="197">
        <f>CQ63+各项系数!$L$9*$NO63</f>
        <v>550.72433613062719</v>
      </c>
      <c r="CQ63" s="197">
        <f>CR63*(1+$DD63+各项系数!$J$5+各项系数!$L$5)</f>
        <v>546.63467928491525</v>
      </c>
      <c r="CR63" s="197">
        <f t="shared" si="14"/>
        <v>535.91635224011293</v>
      </c>
      <c r="CS63" s="196">
        <f>CT63+各项系数!$M$9*$NU63</f>
        <v>544.15081558287432</v>
      </c>
      <c r="CT63" s="196">
        <f t="shared" si="15"/>
        <v>540.03725488337648</v>
      </c>
      <c r="CU63" s="197">
        <f>CV63+各项系数!$L$9*$NU63</f>
        <v>551.05842335038415</v>
      </c>
      <c r="CV63" s="197">
        <f>CW63*(1+$DD63+各项系数!$J$5+各项系数!$L$5)</f>
        <v>546.94486265088631</v>
      </c>
      <c r="CW63" s="199">
        <f t="shared" si="16"/>
        <v>536.22045357930028</v>
      </c>
      <c r="CX63" s="196">
        <f>CY63+各项系数!$M$9*$NU63</f>
        <v>549.56256565722947</v>
      </c>
      <c r="CY63" s="196">
        <f t="shared" si="17"/>
        <v>545.44900495773163</v>
      </c>
      <c r="CZ63" s="197">
        <f>DA63+各项系数!$L$9*$NU63</f>
        <v>556.5806173038078</v>
      </c>
      <c r="DA63" s="197">
        <f>DB63*(1+$DD63+各项系数!$J$5+各项系数!$L$5)</f>
        <v>552.46705660430996</v>
      </c>
      <c r="DB63" s="199">
        <f t="shared" si="18"/>
        <v>541.63436921991172</v>
      </c>
      <c r="DC63" s="213">
        <f t="shared" si="137"/>
        <v>0</v>
      </c>
      <c r="DD63" s="213">
        <f t="shared" si="19"/>
        <v>0</v>
      </c>
      <c r="DE63" s="53" t="s">
        <v>498</v>
      </c>
      <c r="DF63" s="53" t="s">
        <v>513</v>
      </c>
      <c r="DG63" s="196">
        <f>DH63+各项系数!$M$9*$NQ63</f>
        <v>547.73051047468073</v>
      </c>
      <c r="DH63" s="196">
        <f>DI63*(1+$EA63+(VLOOKUP($AM63,$A$12:$B$323,2,0))+各项系数!$J$6+各项系数!$M$5)*(1+$E$2)+各项系数!$M$9*$NK63</f>
        <v>543.64085362896878</v>
      </c>
      <c r="DI63" s="197">
        <f>DJ63+各项系数!$L$9*$NQ63</f>
        <v>551.65668935363885</v>
      </c>
      <c r="DJ63" s="197">
        <f>DK63*(1+$EB63+各项系数!$J$5+各项系数!$L$5)</f>
        <v>547.56703250792691</v>
      </c>
      <c r="DK63" s="197">
        <f t="shared" si="20"/>
        <v>531.61847816303577</v>
      </c>
      <c r="DL63" s="196">
        <f>DM63+各项系数!$M$9*$NQ63</f>
        <v>552.37553846155845</v>
      </c>
      <c r="DM63" s="196">
        <f>DN63*(1+$EA63+(VLOOKUP($AM63,$A$12:$B$323,2,0))+各项系数!$J$6+各项系数!$M$5)*(1+$E$2)+各项系数!$M$9*$NK63</f>
        <v>548.28588161584651</v>
      </c>
      <c r="DN63" s="197">
        <f>DO63+各项系数!$L$9*$NQ63</f>
        <v>556.39651383004468</v>
      </c>
      <c r="DO63" s="197">
        <f>DP63*(1+$EB63+各项系数!$J$5+各项系数!$L$5)</f>
        <v>552.30685698433274</v>
      </c>
      <c r="DP63" s="197">
        <f t="shared" si="21"/>
        <v>536.22024949935212</v>
      </c>
      <c r="DQ63" s="196">
        <f>DR63+各项系数!$M$9*$NV63</f>
        <v>550.21313939257675</v>
      </c>
      <c r="DR63" s="196">
        <f t="shared" si="22"/>
        <v>546.09957869307891</v>
      </c>
      <c r="DS63" s="197">
        <f>DT63+各项系数!$L$9*$NV63</f>
        <v>557.24446805416221</v>
      </c>
      <c r="DT63" s="197">
        <f>DU63*(1+$EB63+各项系数!$J$5+各项系数!$L$5)</f>
        <v>553.13090735466437</v>
      </c>
      <c r="DU63" s="199">
        <f t="shared" si="23"/>
        <v>537.02029840258672</v>
      </c>
      <c r="DV63" s="196">
        <f>DW63+各项系数!$M$9*$NV63</f>
        <v>550.19440966977629</v>
      </c>
      <c r="DW63" s="196">
        <f t="shared" si="24"/>
        <v>546.08084897027845</v>
      </c>
      <c r="DX63" s="197">
        <f>DY63+各项系数!$L$9*$NV63</f>
        <v>557.22535609212093</v>
      </c>
      <c r="DY63" s="197">
        <f>DZ63*(1+$EB63+各项系数!$J$5+各项系数!$L$5)</f>
        <v>553.11179539262309</v>
      </c>
      <c r="DZ63" s="199">
        <f t="shared" si="25"/>
        <v>537.00174309963404</v>
      </c>
      <c r="EA63" s="213">
        <f t="shared" si="311"/>
        <v>0</v>
      </c>
      <c r="EB63" s="213">
        <f t="shared" si="27"/>
        <v>0.01</v>
      </c>
      <c r="EC63" s="235">
        <f t="shared" si="138"/>
        <v>3</v>
      </c>
      <c r="ED63" s="235" t="str">
        <f t="shared" si="266"/>
        <v>3*300</v>
      </c>
      <c r="EE63" s="189">
        <f t="shared" si="239"/>
        <v>300</v>
      </c>
      <c r="EF63" s="189" t="str">
        <f>LOOKUP(EH63,{1,7,10,14,19,24,30,37,48,61},{1,"1+6","2+8","4+10","1+6+12","2+8+14","4+10+16","1+6+12+18","3+9+15+21","1+6+12+18+24"})</f>
        <v>1+6+12+18+24</v>
      </c>
      <c r="EG63" s="188">
        <f t="shared" si="29"/>
        <v>3</v>
      </c>
      <c r="EH63" s="197">
        <f>VLOOKUP(EE63,各项系数!$B$87:$C$124,2,0)</f>
        <v>61</v>
      </c>
      <c r="EI63" s="188">
        <f>IF(EH63=0,0,VLOOKUP(EH63,各项系数!$D$142:$E$195,2,0))*1</f>
        <v>9</v>
      </c>
      <c r="EJ63" s="238">
        <f t="shared" si="141"/>
        <v>245.118138379664</v>
      </c>
      <c r="EK63" s="189">
        <f t="shared" si="318"/>
        <v>0</v>
      </c>
      <c r="EL63" s="189">
        <f t="shared" si="31"/>
        <v>0</v>
      </c>
      <c r="EM63" s="189">
        <f t="shared" si="267"/>
        <v>0</v>
      </c>
      <c r="EN63" s="189">
        <f>IF(EP63=0,0,LOOKUP(EP63,{1,7,10,14,19,24,30,37,48,61},{1,"1+6","2+8","4+10","1+6+12","2+8+14","4+10+16","1+6+12+18","3+9+15+21","1+6+12+18+24"}))</f>
        <v>0</v>
      </c>
      <c r="EO63" s="189">
        <f t="shared" si="319"/>
        <v>0</v>
      </c>
      <c r="EP63" s="189">
        <f>IF(EM63=0,0,IF(EM63&lt;10,1,IF(AND(EM63&gt;=10,EM63&lt;=35),7,LOOKUP(EM63,{50,70,95,120,150,185,240,300},{10,14,19,24,30,37,48,61})*1)))</f>
        <v>0</v>
      </c>
      <c r="EQ63" s="189">
        <f>IF(EP63=0,0,VLOOKUP(EP63,各项系数!$D$142:$E$195,2,0))*1</f>
        <v>0</v>
      </c>
      <c r="ER63" s="189">
        <f t="shared" si="320"/>
        <v>0</v>
      </c>
      <c r="ES63" s="235">
        <f t="shared" si="321"/>
        <v>3</v>
      </c>
      <c r="ET63" s="189">
        <f>VLOOKUP(ES63,各项系数!$D$142:$E$195,2,0)*1</f>
        <v>2.16</v>
      </c>
      <c r="EU63" s="243">
        <f>((各项系数!$F$76/4*$EJ63^2*$EG63*$EH63*1*10^-7)*(1-$H63)*AA63)*(VLOOKUP($EY$9,各项系数!$D$4:$F$143,3,0))*各项系数!$J$4</f>
        <v>7.7914248068818459</v>
      </c>
      <c r="EV63" s="244">
        <f>EU63*(VLOOKUP($EY$9,各项系数!$D$4:$F$143,2,0))</f>
        <v>510.3383248507609</v>
      </c>
      <c r="EW63" s="252">
        <f>(IF($EO63=0,0,(各项系数!$F$76/4*$ER63^2*$EO63*$EP63*1*10^-7))*(1-$K63)*$AF63)*(VLOOKUP($EY$9,各项系数!$D$4:$F$143,3,0))*各项系数!$J$4</f>
        <v>0</v>
      </c>
      <c r="EX63" s="253">
        <f>EW63*(VLOOKUP($EY$9,各项系数!$D$4:$F$143,2,0))</f>
        <v>0</v>
      </c>
      <c r="EY63" s="189">
        <f>((各项系数!$F$76/4*$EJ63^2*$EG63*$EH63*1*10^-7)*(1-$H63)*AA63+IF($EO63=0,0,(各项系数!$F$76/4*$ER63^2*$EO63*$EP63*1*10^-7))*(1-$K63)*$AF63)*(VLOOKUP($EY$9,各项系数!$D$4:$F$143,3,0))*各项系数!$J$4</f>
        <v>7.7914248068818459</v>
      </c>
      <c r="EZ63" s="102">
        <v>1</v>
      </c>
      <c r="FA63" s="189">
        <f t="shared" si="268"/>
        <v>7.7914248068818459</v>
      </c>
      <c r="FB63" s="254">
        <f>FA63*(VLOOKUP($EY$9,各项系数!$D$4:$F$143,2,0))</f>
        <v>510.3383248507609</v>
      </c>
      <c r="FC63" s="255"/>
      <c r="FD63" s="235">
        <f>各项系数!$F$76/4*($MN63^2-MK63^2)*10^-2*(VLOOKUP(L63,各项系数!$D$1:$F$143,3,0))*10^-3*10^2*$EG63*各项系数!$J$4</f>
        <v>0.4430383783634661</v>
      </c>
      <c r="FE63" s="262">
        <f>FD63*VLOOKUP(L63,各项系数!$D$1:$F$143,2,0)</f>
        <v>4.5189914593073537</v>
      </c>
      <c r="FF63" s="188">
        <f>各项系数!$F$76/4*($MO63^2-ML63^2)*10^-2*(VLOOKUP(L63,各项系数!$D$1:$F$143,3,0))*10^-3*10^2*$EO63*各项系数!$J$4</f>
        <v>0</v>
      </c>
      <c r="FG63" s="262">
        <f>FF63*VLOOKUP(L63,各项系数!$D$1:$F$143,2,0)</f>
        <v>0</v>
      </c>
      <c r="FH63" s="235">
        <f t="shared" si="142"/>
        <v>0.4430383783634661</v>
      </c>
      <c r="FI63" s="102">
        <v>1</v>
      </c>
      <c r="FJ63" s="189">
        <f t="shared" si="269"/>
        <v>0.4430383783634661</v>
      </c>
      <c r="FK63" s="262">
        <f>FJ63*VLOOKUP(L63,各项系数!$D$1:$F$143,2,0)</f>
        <v>4.5189914593073537</v>
      </c>
      <c r="FL63" s="235"/>
      <c r="FM63" s="102"/>
      <c r="FN63" s="189"/>
      <c r="FO63" s="262"/>
      <c r="FP63" s="282">
        <f t="shared" si="270"/>
        <v>0.4430383783634661</v>
      </c>
      <c r="FQ63" s="282">
        <f t="shared" si="271"/>
        <v>4.5189914593073537</v>
      </c>
      <c r="FR63" s="283">
        <f>各项系数!$F$76/4*($MQ63^2-$MN63^2*$EG63-$MO63^2*$EO63)*10^-2</f>
        <v>8.6138103331988045</v>
      </c>
      <c r="FS63" s="284">
        <f t="shared" si="143"/>
        <v>1</v>
      </c>
      <c r="FT63" s="285">
        <f t="shared" si="40"/>
        <v>8.6138103331988045</v>
      </c>
      <c r="FU63" s="302">
        <f>$FT63*(VLOOKUP($FT$9,各项系数!$D$1:$F$143,3,0))*10^-3*10^2*各项系数!$J$55</f>
        <v>1.028488953783937</v>
      </c>
      <c r="FV63" s="303">
        <v>1</v>
      </c>
      <c r="FW63" s="304">
        <f t="shared" si="272"/>
        <v>1.028488953783937</v>
      </c>
      <c r="FX63" s="285">
        <f>FW63*(VLOOKUP($FT$9,各项系数!$D$1:$F$143,2,0))</f>
        <v>3.085466861351811</v>
      </c>
      <c r="FY63" s="302">
        <f>IF($BK63&lt;&gt;$FY$9,0,各项系数!$F$76/4*($MS63^2-$MQ63^2)*10^-2*(VLOOKUP($FY$9,各项系数!$D$1:$F$143,3,0))*10^-3*10^2)*各项系数!$J$4</f>
        <v>0</v>
      </c>
      <c r="FZ63" s="303">
        <v>1</v>
      </c>
      <c r="GA63" s="304">
        <f t="shared" si="273"/>
        <v>0</v>
      </c>
      <c r="GB63" s="285">
        <f>GA63*(VLOOKUP($FY$9,各项系数!$D$1:$F$143,2,0))</f>
        <v>0</v>
      </c>
      <c r="GC63" s="302">
        <f>IF($BK63&lt;&gt;$GC$9,0,各项系数!$F$76/4*($MS63^2-$MQ63^2)*10^-2*(VLOOKUP($GC$9,各项系数!$D$1:$F$143,3,0))*10^-3*10^2)*各项系数!$J$4</f>
        <v>1.5118228274419328E-2</v>
      </c>
      <c r="GD63" s="303">
        <v>1</v>
      </c>
      <c r="GE63" s="304">
        <f t="shared" si="274"/>
        <v>1.5118228274419328E-2</v>
      </c>
      <c r="GF63" s="285">
        <f>GE63*(VLOOKUP($GC$9,各项系数!$D$1:$F$143,2,0))</f>
        <v>0.19502514474000934</v>
      </c>
      <c r="GG63" s="302">
        <f>IF($BK63&lt;&gt;$GG$9,0,各项系数!$F$76/4*($MS63^2-$MQ63^2)*10^-2*(VLOOKUP($GG$9,各项系数!$D$1:$F$143,3,0))*10^-3*10^2)*各项系数!$J$4</f>
        <v>0</v>
      </c>
      <c r="GH63" s="303">
        <v>1</v>
      </c>
      <c r="GI63" s="304">
        <f t="shared" si="275"/>
        <v>0</v>
      </c>
      <c r="GJ63" s="285">
        <f>GI63*(VLOOKUP($GG$9,各项系数!$D$1:$F$143,2,0))</f>
        <v>0</v>
      </c>
      <c r="GK63" s="302">
        <f>IF($BK63&lt;&gt;$GK$9,0,各项系数!$F$76/4*($MS63^2-$MQ63^2)*10^-2*(VLOOKUP($GK$9,各项系数!$D$1:$F$143,3,0))*10^-3*10^2)*各项系数!$J$4</f>
        <v>0</v>
      </c>
      <c r="GL63" s="303">
        <v>1</v>
      </c>
      <c r="GM63" s="304">
        <f t="shared" si="276"/>
        <v>0</v>
      </c>
      <c r="GN63" s="285">
        <f>GM63*(VLOOKUP($GK$9,各项系数!$D$1:$F$143,2,0))</f>
        <v>0</v>
      </c>
      <c r="GO63" s="304">
        <f t="shared" si="277"/>
        <v>1.5118228274419328E-2</v>
      </c>
      <c r="GP63" s="304">
        <f t="shared" si="278"/>
        <v>0.19502514474000934</v>
      </c>
      <c r="GQ63" s="315">
        <f>各项系数!$F$76/4*($MU63^2-$MS63^2)*10^-2*(VLOOKUP($S63,各项系数!$D$1:$F$143,3,0))*10^-3*10^2*各项系数!$J$4</f>
        <v>1.0331366046458255</v>
      </c>
      <c r="GR63" s="303">
        <v>1</v>
      </c>
      <c r="GS63" s="304">
        <f t="shared" si="279"/>
        <v>1.0331366046458255</v>
      </c>
      <c r="GT63" s="304">
        <f t="shared" si="200"/>
        <v>0</v>
      </c>
      <c r="GU63" s="304">
        <f>ROUND($GS63*(VLOOKUP($S63,各项系数!$D$1:$F$143,2,0))+$E$3*GS63,GT63)</f>
        <v>6</v>
      </c>
      <c r="GV63" s="315">
        <f>各项系数!$F$76/4*($MT63^2-$MS63^2)*10^-2*(VLOOKUP($GV$9,各项系数!$D$1:$F$143,3,0))*10^-3*10^2*各项系数!$J$4*PI()/4*R63</f>
        <v>7.7779819376028181E-2</v>
      </c>
      <c r="GW63" s="303">
        <v>1</v>
      </c>
      <c r="GX63" s="304">
        <f t="shared" si="280"/>
        <v>7.7779819376028181E-2</v>
      </c>
      <c r="GY63" s="304">
        <f>$GX63*(VLOOKUP($GV$9,各项系数!$D$1:$F$143,2,0))</f>
        <v>5.2501378078819023</v>
      </c>
      <c r="GZ63" s="315">
        <f>各项系数!$F$76/4*($MV63^2-$MS63^2)*10^-2*(VLOOKUP($GZ$9,各项系数!$D$1:$F$143,3,0))*10^-3*10^2*各项系数!$J$4</f>
        <v>0.76898317620596046</v>
      </c>
      <c r="HA63" s="303">
        <v>1</v>
      </c>
      <c r="HB63" s="304">
        <f t="shared" si="144"/>
        <v>0.76898317620596046</v>
      </c>
      <c r="HC63" s="304">
        <f>HB63*(VLOOKUP($GZ$9,各项系数!$D$1:$F$143,2,0))</f>
        <v>13.072713995501328</v>
      </c>
      <c r="HD63" s="315">
        <f>各项系数!$F$76/4*($MW63^2-$MT63^2)*10^-2*(VLOOKUP($HD$9,各项系数!$D$1:$F$143,3,0))*10^-3*10^2*各项系数!$J$4</f>
        <v>0.77108627142560937</v>
      </c>
      <c r="HE63" s="303">
        <v>1</v>
      </c>
      <c r="HF63" s="304">
        <f t="shared" si="145"/>
        <v>0.77108627142560937</v>
      </c>
      <c r="HG63" s="304">
        <f>HF63*(VLOOKUP($HD$9,各项系数!$D$1:$F$143,2,0))</f>
        <v>13.108466614235359</v>
      </c>
      <c r="HH63" s="315">
        <f>各项系数!$F$76/4*($MV63^2-$MS63^2)*10^-2*(VLOOKUP($HH$9,各项系数!$D$1:$F$143,3,0))*10^-3*10^2*各项系数!$J$4</f>
        <v>0.76898317620596046</v>
      </c>
      <c r="HI63" s="322">
        <v>1</v>
      </c>
      <c r="HJ63" s="304">
        <f t="shared" si="146"/>
        <v>0.76898317620596046</v>
      </c>
      <c r="HK63" s="304">
        <f>HJ63*(VLOOKUP($HH$9,各项系数!$D$1:$F$143,2,0))</f>
        <v>13.072713995501328</v>
      </c>
      <c r="HL63" s="315">
        <f>各项系数!$F$76/4*($MW63^2-$MT63^2)*10^-2*(VLOOKUP($HL$9,各项系数!$D$1:$F$143,3,0))*10^-3*10^2*各项系数!$J$4</f>
        <v>0.77108627142560937</v>
      </c>
      <c r="HM63" s="322">
        <v>1</v>
      </c>
      <c r="HN63" s="304">
        <f t="shared" si="147"/>
        <v>0.77108627142560937</v>
      </c>
      <c r="HO63" s="304">
        <f>HN63*(VLOOKUP($HL$9,各项系数!$D$1:$F$143,2,0))</f>
        <v>13.108466614235359</v>
      </c>
      <c r="HP63" s="315">
        <f>各项系数!$F$76/4*($MV63^2-$MS63^2)*10^-2*(VLOOKUP(AN63,各项系数!$D$1:$F$143,3,0))*10^-3*10^2*各项系数!$J$4</f>
        <v>0.7795898407053532</v>
      </c>
      <c r="HQ63" s="303">
        <v>1</v>
      </c>
      <c r="HR63" s="304">
        <f t="shared" si="281"/>
        <v>0.7795898407053532</v>
      </c>
      <c r="HS63" s="304">
        <f>HR63*(VLOOKUP(AN63,各项系数!$D$1:$F$143,2,0))</f>
        <v>7.7958984070535315</v>
      </c>
      <c r="HT63" s="315">
        <f>各项系数!$F$76/4*($MW63^2-$MT63^2)*10^-2*(VLOOKUP(AN63,各项系数!$D$1:$F$143,3,0))*10^-3*10^2*各项系数!$J$4</f>
        <v>0.78172194413492824</v>
      </c>
      <c r="HU63" s="303">
        <v>1</v>
      </c>
      <c r="HV63" s="304">
        <f t="shared" si="282"/>
        <v>0.78172194413492824</v>
      </c>
      <c r="HW63" s="304">
        <f>HV63*(VLOOKUP(AN63,各项系数!$D$1:$F$143,2,0))</f>
        <v>7.8172194413492821</v>
      </c>
      <c r="HX63" s="315">
        <f>各项系数!$F$76/4*($MV63^2-$MS63^2)*10^-2*(VLOOKUP($HX$9,各项系数!$D$1:$F$143,3,0))*10^-3*10^2*各项系数!$J$4</f>
        <v>0.7795898407053532</v>
      </c>
      <c r="HY63" s="322">
        <v>1</v>
      </c>
      <c r="HZ63" s="304">
        <f t="shared" si="283"/>
        <v>0.7795898407053532</v>
      </c>
      <c r="IA63" s="304">
        <f>HZ63*(VLOOKUP($HX$9,各项系数!$D$1:$F$143,2,0))</f>
        <v>8.5754882477588854</v>
      </c>
      <c r="IB63" s="315">
        <f>各项系数!$F$76/4*($MW63^2-$MT63^2)*10^-2*(VLOOKUP($IB$9,各项系数!$D$1:$F$143,3,0))*10^-3*10^2*各项系数!$J$4</f>
        <v>0.78172194413492824</v>
      </c>
      <c r="IC63" s="322">
        <v>1</v>
      </c>
      <c r="ID63" s="304">
        <f t="shared" si="284"/>
        <v>0.78172194413492824</v>
      </c>
      <c r="IE63" s="304">
        <f>ID63*(VLOOKUP($IB$9,各项系数!$D$1:$F$143,2,0))</f>
        <v>8.5989413854842098</v>
      </c>
      <c r="IF63" s="328"/>
      <c r="IG63" s="315">
        <f t="shared" si="148"/>
        <v>9.4360624039249594E-2</v>
      </c>
      <c r="IH63" s="303">
        <v>1</v>
      </c>
      <c r="II63" s="304">
        <f t="shared" si="285"/>
        <v>9.4360624039249594E-2</v>
      </c>
      <c r="IJ63" s="304">
        <f>II63*(VLOOKUP($IG$8,各项系数!$D$1:$F$143,2,0))</f>
        <v>2.3590156009812397</v>
      </c>
      <c r="IK63" s="315">
        <f>(各项系数!$F$76/4*($MX63^2-$MK63^2)*$EG63)*10^-2*(VLOOKUP($IG$8,各项系数!$D$1:$F$143,3,0))*10^-3*10^2*各项系数!$J$4</f>
        <v>9.4360624039249594E-2</v>
      </c>
      <c r="IL63" s="303">
        <f>IK63*(VLOOKUP($IG$8,各项系数!$D$1:$F$143,2,0))</f>
        <v>2.3590156009812397</v>
      </c>
      <c r="IM63" s="304">
        <f>(各项系数!$F$76/4*(($MM63+3*$X63)^2-MM63^2)*$EO63)*10^-2*(VLOOKUP($IG$8,各项系数!$D$1:$F$143,3,0))*10^-3*10^2*各项系数!$J$4</f>
        <v>0</v>
      </c>
      <c r="IN63" s="303">
        <f>IM63*(VLOOKUP($IG$8,各项系数!$D$1:$F$143,2,0))</f>
        <v>0</v>
      </c>
      <c r="IO63" s="315">
        <f>各项系数!$F$76/4*($MZ63^2-$MX63^2)*10^-2*(VLOOKUP(L63,各项系数!$D$1:$F$143,3,0))*10^-3*10^2*$ES63*各项系数!$J$4</f>
        <v>0.45417903139977317</v>
      </c>
      <c r="IP63" s="303">
        <v>1</v>
      </c>
      <c r="IQ63" s="304">
        <f t="shared" si="286"/>
        <v>0.45417903139977317</v>
      </c>
      <c r="IR63" s="285">
        <f>IQ63*(VLOOKUP(L63,各项系数!$D$1:$F$143,2,0))</f>
        <v>4.6326261202776857</v>
      </c>
      <c r="IS63" s="315">
        <f>IF($L63&lt;&gt;$IS$9,0,各项系数!$F$76/4*($MZ63^2-$MX63^2)*10^-2*各项系数!$F$12*10^-3*10^2)*$ES63*各项系数!$J$4</f>
        <v>0</v>
      </c>
      <c r="IT63" s="303">
        <v>1</v>
      </c>
      <c r="IU63" s="304">
        <f t="shared" si="287"/>
        <v>0</v>
      </c>
      <c r="IV63" s="285">
        <f>IU63*各项系数!$E$12</f>
        <v>0</v>
      </c>
      <c r="IW63" s="302">
        <f t="shared" si="288"/>
        <v>0.45417903139977317</v>
      </c>
      <c r="IX63" s="302">
        <f t="shared" si="289"/>
        <v>4.6326261202776857</v>
      </c>
      <c r="IY63" s="339">
        <f>各项系数!$F$76/4*($NB63^2-$MZ63^2*$EG63-$NA63^2*$EO63)*10^-2</f>
        <v>9.0213380089791926</v>
      </c>
      <c r="IZ63" s="284">
        <f t="shared" si="231"/>
        <v>1</v>
      </c>
      <c r="JA63" s="285">
        <f t="shared" si="64"/>
        <v>9.0213380089791926</v>
      </c>
      <c r="JB63" s="282">
        <f>IF($DE63&lt;&gt;$JB$9,0,$JA63*各项系数!$F$32*10^-3*10^2)*各项系数!$J$4</f>
        <v>0</v>
      </c>
      <c r="JC63" s="102">
        <v>1</v>
      </c>
      <c r="JD63" s="189">
        <f t="shared" si="290"/>
        <v>0</v>
      </c>
      <c r="JE63" s="262">
        <f>JD63*各项系数!$E$32</f>
        <v>0</v>
      </c>
      <c r="JF63" s="282">
        <f>IF($DE63&lt;&gt;$JF$9,0,$JA63*VLOOKUP($JF$9,各项系数!$D$4:$F$540,2,0)*10^-3*10^2)*各项系数!$J$4</f>
        <v>4.4881156594671481</v>
      </c>
      <c r="JG63" s="102">
        <v>1</v>
      </c>
      <c r="JH63" s="189">
        <f t="shared" si="66"/>
        <v>4.4881156594671481</v>
      </c>
      <c r="JI63" s="262">
        <f>JH63*VLOOKUP($JF$9,各项系数!$D$4:$F$540,3,0)</f>
        <v>5.3857387913605779</v>
      </c>
      <c r="JJ63" s="282">
        <f t="shared" si="291"/>
        <v>4.4881156594671481</v>
      </c>
      <c r="JK63" s="189">
        <f t="shared" si="292"/>
        <v>5.3857387913605779</v>
      </c>
      <c r="JL63" s="282">
        <f>IF($DF63&lt;&gt;$JL$9,0,各项系数!$F$76/4*($NE63^2-$NC63^2)*10^-2*各项系数!$F$39*10^-3*10^2)*各项系数!$J$4</f>
        <v>6.3966440615638486E-3</v>
      </c>
      <c r="JM63" s="102">
        <v>1</v>
      </c>
      <c r="JN63" s="189">
        <f t="shared" si="293"/>
        <v>6.3966440615638486E-3</v>
      </c>
      <c r="JO63" s="262">
        <f>JN63*各项系数!$E$39</f>
        <v>0.12793288123127697</v>
      </c>
      <c r="JP63" s="282">
        <f>IF($DF63&lt;&gt;$JP$9,0,各项系数!$F$76/4*($NE63^2-$NC63^2)*10^-2*各项系数!$F$36*10^-3*10^2)*各项系数!$J$4</f>
        <v>0</v>
      </c>
      <c r="JQ63" s="102">
        <v>1</v>
      </c>
      <c r="JR63" s="189">
        <f t="shared" si="294"/>
        <v>0</v>
      </c>
      <c r="JS63" s="262">
        <f>JR63*各项系数!$E$36</f>
        <v>0</v>
      </c>
      <c r="JT63" s="282">
        <f>IF($DF63&lt;&gt;$JT$9,0,各项系数!$F$76/4*($NE63^2-$NC63^2)*10^-2*各项系数!$F$40*10^-3*10^2)*各项系数!$J$4</f>
        <v>0</v>
      </c>
      <c r="JU63" s="102">
        <v>1</v>
      </c>
      <c r="JV63" s="189">
        <f t="shared" si="295"/>
        <v>0</v>
      </c>
      <c r="JW63" s="262">
        <f>JV63*各项系数!$E$40</f>
        <v>0</v>
      </c>
      <c r="JX63" s="282">
        <f>IF($DF63&lt;&gt;$JX$9,0,各项系数!$F$76/4*($NE63^2-$NC63^2)*10^-2*各项系数!$F$38*10^-3*10^2)*各项系数!$J$4</f>
        <v>0</v>
      </c>
      <c r="JY63" s="102">
        <v>1</v>
      </c>
      <c r="JZ63" s="189">
        <f t="shared" si="296"/>
        <v>0</v>
      </c>
      <c r="KA63" s="262">
        <f>JZ63*各项系数!$E$38</f>
        <v>0</v>
      </c>
      <c r="KB63" s="282">
        <f>IF($DF63&lt;&gt;$KB$9,0,各项系数!$F$76/4*($NE63^2-$NC63^2)*10^-2*各项系数!$F$41*10^-3*10^2)*各项系数!$J$4</f>
        <v>0</v>
      </c>
      <c r="KC63" s="102">
        <v>1</v>
      </c>
      <c r="KD63" s="189">
        <f t="shared" si="297"/>
        <v>0</v>
      </c>
      <c r="KE63" s="262">
        <f>KD63*各项系数!$E$41</f>
        <v>0</v>
      </c>
      <c r="KF63" s="189">
        <f t="shared" si="298"/>
        <v>6.3966440615638486E-3</v>
      </c>
      <c r="KG63" s="189">
        <f t="shared" si="299"/>
        <v>0.12793288123127697</v>
      </c>
      <c r="KH63" s="235">
        <f>各项系数!$F$76/4*($NG63^2-$NE63^2)*10^-2*各项系数!$F$44*10^-3*10^2*各项系数!$J$4*0.75*$U63</f>
        <v>1.5871048669345618</v>
      </c>
      <c r="KI63" s="102">
        <v>1</v>
      </c>
      <c r="KJ63" s="189">
        <f t="shared" si="300"/>
        <v>1.5871048669345618</v>
      </c>
      <c r="KK63" s="189">
        <f>ROUND(KJ63*各项系数!$E$43,GT63)</f>
        <v>9</v>
      </c>
      <c r="KL63" s="235">
        <f>各项系数!$F$76/4*($NF63^2-$NE63^2)*10^-2*各项系数!$F$46*10^-3*10^2*各项系数!$J$4*PI()/4*R63</f>
        <v>7.9679512619638557E-2</v>
      </c>
      <c r="KM63" s="102">
        <v>1</v>
      </c>
      <c r="KN63" s="189">
        <f t="shared" si="301"/>
        <v>7.9679512619638557E-2</v>
      </c>
      <c r="KO63" s="189">
        <f>KN63*各项系数!$E$46</f>
        <v>5.378367101825603</v>
      </c>
      <c r="KP63" s="235">
        <f>各项系数!$F$76/4*($NH63^2-$NE63^2)*10^-2*(VLOOKUP($KP$9,各项系数!$D$1:$F$143,3,0))*10^-3*10^2*各项系数!$J$4</f>
        <v>0.78685948557297281</v>
      </c>
      <c r="KQ63" s="102">
        <v>1</v>
      </c>
      <c r="KR63" s="189">
        <f t="shared" si="150"/>
        <v>0.78685948557297281</v>
      </c>
      <c r="KS63" s="189">
        <f>KR63*(VLOOKUP($KP$9,各项系数!$D$1:$F$143,2,0))</f>
        <v>13.376611254740538</v>
      </c>
      <c r="KT63" s="235">
        <f>各项系数!$F$76/4*($NI63^2-$NF63^2)*10^-2*(VLOOKUP($KT$9,各项系数!$D$1:$F$143,3,0))*10^-3*10^2*各项系数!$J$4</f>
        <v>0.7889625807926216</v>
      </c>
      <c r="KU63" s="102">
        <v>1</v>
      </c>
      <c r="KV63" s="189">
        <f t="shared" si="151"/>
        <v>0.7889625807926216</v>
      </c>
      <c r="KW63" s="189">
        <f>KV63*(VLOOKUP($KT$9,各项系数!$D$1:$F$143,2,0))</f>
        <v>13.412363873474566</v>
      </c>
      <c r="KX63" s="189">
        <f>各项系数!$F$76/4*($NH63^2-$NE63^2)*10^-2*(VLOOKUP($KX$9,各项系数!$D$1:$F$143,3,0))*10^-3*10^2*各项系数!$J$4</f>
        <v>0.78685948557297281</v>
      </c>
      <c r="KY63" s="353">
        <v>1</v>
      </c>
      <c r="KZ63" s="189">
        <f t="shared" si="152"/>
        <v>0.78685948557297281</v>
      </c>
      <c r="LA63" s="189">
        <f>KZ63*(VLOOKUP($KX$9,各项系数!$D$1:$F$143,2,0))</f>
        <v>13.376611254740538</v>
      </c>
      <c r="LB63" s="189">
        <f>各项系数!$F$76/4*($NI63^2-$NF63^2)*10^-2*(VLOOKUP($LB$9,各项系数!$D$1:$F$143,3,0))*10^-3*10^2*各项系数!$J$4</f>
        <v>0.7889625807926216</v>
      </c>
      <c r="LC63" s="353">
        <v>1</v>
      </c>
      <c r="LD63" s="189">
        <f t="shared" si="153"/>
        <v>0.7889625807926216</v>
      </c>
      <c r="LE63" s="189">
        <f>LD63*(VLOOKUP($LB$9,各项系数!$D$1:$F$143,2,0))</f>
        <v>13.412363873474566</v>
      </c>
      <c r="LF63" s="235">
        <f>各项系数!$F$76/4*($NH63^2-$NE63^2)*10^-2*(VLOOKUP(AN63,各项系数!$D$1:$F$143,3,0))*10^-3*10^2*各项系数!$J$4</f>
        <v>0.79771271985673808</v>
      </c>
      <c r="LG63" s="102">
        <v>1</v>
      </c>
      <c r="LH63" s="189">
        <f t="shared" si="302"/>
        <v>0.79771271985673808</v>
      </c>
      <c r="LI63" s="189">
        <f>LH63*(VLOOKUP(AN63,各项系数!$D$1:$F$143,2,0))</f>
        <v>7.9771271985673806</v>
      </c>
      <c r="LJ63" s="235">
        <f>各项系数!$F$76/4*($NI63^2-$NF63^2)*10^-2*(VLOOKUP(AN63,各项系数!$D$1:$F$143,3,0))*10^-3*10^2*各项系数!$J$4</f>
        <v>0.7998448232863129</v>
      </c>
      <c r="LK63" s="102">
        <v>1</v>
      </c>
      <c r="LL63" s="189">
        <f t="shared" si="303"/>
        <v>0.7998448232863129</v>
      </c>
      <c r="LM63" s="189">
        <f>LL63*(VLOOKUP(AN63,各项系数!$D$1:$F$143,2,0))</f>
        <v>7.9984482328631294</v>
      </c>
      <c r="LN63" s="189">
        <f>各项系数!$F$76/4*($NH63^2-$NE63^2)*10^-2*(VLOOKUP($LN$9,各项系数!$D$1:$F$143,3,0))*10^-3*10^2*各项系数!$J$4</f>
        <v>0.79771271985673808</v>
      </c>
      <c r="LO63" s="353">
        <v>1</v>
      </c>
      <c r="LP63" s="189">
        <f t="shared" si="304"/>
        <v>0.79771271985673808</v>
      </c>
      <c r="LQ63" s="189">
        <f>LP63*(VLOOKUP($LN$9,各项系数!$D$1:$F$143,2,0))</f>
        <v>8.774839918424119</v>
      </c>
      <c r="LR63" s="189">
        <f>各项系数!$F$76/4*($NI63^2-$NF63^2)*10^-2*(VLOOKUP($LR$9,各项系数!$D$1:$F$143,3,0))*10^-3*10^2*各项系数!$J$4</f>
        <v>0.7998448232863129</v>
      </c>
      <c r="LS63" s="353">
        <v>1</v>
      </c>
      <c r="LT63" s="189">
        <f t="shared" si="305"/>
        <v>0.7998448232863129</v>
      </c>
      <c r="LU63" s="189">
        <f>LT63*(VLOOKUP($LR$9,各项系数!$D$1:$F$143,2,0))</f>
        <v>8.7982930561494417</v>
      </c>
      <c r="LV63" s="227">
        <f t="shared" si="154"/>
        <v>1146.69271336</v>
      </c>
      <c r="LW63" s="227">
        <f t="shared" si="155"/>
        <v>863.55871005999995</v>
      </c>
      <c r="LX63" s="227">
        <f t="shared" si="156"/>
        <v>33.158967095627069</v>
      </c>
      <c r="LY63" s="227">
        <f t="shared" si="157"/>
        <v>283.13400330000002</v>
      </c>
      <c r="LZ63" s="374">
        <f t="shared" si="86"/>
        <v>1</v>
      </c>
      <c r="MA63" s="375">
        <f t="shared" si="87"/>
        <v>1146.69271336</v>
      </c>
      <c r="MB63" s="375">
        <f t="shared" si="158"/>
        <v>22.060632420000001</v>
      </c>
      <c r="MC63" s="227">
        <f t="shared" si="159"/>
        <v>0</v>
      </c>
      <c r="MD63" s="227">
        <f t="shared" si="160"/>
        <v>0</v>
      </c>
      <c r="ME63" s="227">
        <f t="shared" si="161"/>
        <v>0</v>
      </c>
      <c r="MF63" s="227">
        <f t="shared" si="162"/>
        <v>0</v>
      </c>
      <c r="MG63" s="374">
        <f t="shared" si="163"/>
        <v>1</v>
      </c>
      <c r="MH63" s="375">
        <f t="shared" si="88"/>
        <v>0</v>
      </c>
      <c r="MI63" s="375">
        <f t="shared" si="164"/>
        <v>0</v>
      </c>
      <c r="MJ63" s="189">
        <f t="shared" si="89"/>
        <v>22.060632420000001</v>
      </c>
      <c r="MK63" s="189">
        <f t="shared" si="165"/>
        <v>22.060632420000001</v>
      </c>
      <c r="ML63" s="189">
        <f t="shared" si="306"/>
        <v>0</v>
      </c>
      <c r="MM63" s="189">
        <f t="shared" si="91"/>
        <v>0</v>
      </c>
      <c r="MN63" s="189">
        <f t="shared" si="92"/>
        <v>25.660632420000002</v>
      </c>
      <c r="MO63" s="189">
        <f t="shared" si="166"/>
        <v>0</v>
      </c>
      <c r="MP63" s="189">
        <f t="shared" si="167"/>
        <v>55.426966030000003</v>
      </c>
      <c r="MQ63" s="189">
        <f t="shared" si="307"/>
        <v>55.426966030000003</v>
      </c>
      <c r="MR63" s="246">
        <f t="shared" si="168"/>
        <v>55.426966030000003</v>
      </c>
      <c r="MS63" s="380">
        <f t="shared" si="94"/>
        <v>55.602966030000005</v>
      </c>
      <c r="MT63" s="380">
        <f t="shared" si="95"/>
        <v>55.762966030000001</v>
      </c>
      <c r="MU63" s="380">
        <f t="shared" si="232"/>
        <v>57.102966030000005</v>
      </c>
      <c r="MV63" s="380">
        <f t="shared" si="97"/>
        <v>61.402966030000002</v>
      </c>
      <c r="MW63" s="380">
        <f t="shared" si="98"/>
        <v>61.562966029999998</v>
      </c>
      <c r="MX63" s="254">
        <f t="shared" si="233"/>
        <v>22.660632420000002</v>
      </c>
      <c r="MY63" s="254">
        <f t="shared" si="100"/>
        <v>0</v>
      </c>
      <c r="MZ63" s="189">
        <f t="shared" si="101"/>
        <v>26.260632420000004</v>
      </c>
      <c r="NA63" s="189">
        <f t="shared" si="102"/>
        <v>0</v>
      </c>
      <c r="NB63" s="189">
        <f t="shared" si="169"/>
        <v>56.722966030000002</v>
      </c>
      <c r="NC63" s="254">
        <f t="shared" si="308"/>
        <v>56.722966030000002</v>
      </c>
      <c r="ND63" s="246">
        <f t="shared" si="234"/>
        <v>56.722966030000002</v>
      </c>
      <c r="NE63" s="386">
        <f t="shared" si="235"/>
        <v>56.962966030000004</v>
      </c>
      <c r="NF63" s="380">
        <f t="shared" si="106"/>
        <v>57.122966030000001</v>
      </c>
      <c r="NG63" s="387">
        <f t="shared" si="236"/>
        <v>58.462966030000004</v>
      </c>
      <c r="NH63" s="254">
        <f t="shared" si="108"/>
        <v>62.762966030000001</v>
      </c>
      <c r="NI63" s="380">
        <f t="shared" si="109"/>
        <v>62.922966029999998</v>
      </c>
      <c r="NK63" s="388">
        <f t="shared" si="110"/>
        <v>10.057660208009022</v>
      </c>
      <c r="NL63" s="388">
        <f t="shared" si="111"/>
        <v>525.93370672321362</v>
      </c>
      <c r="NM63" s="388">
        <f t="shared" si="112"/>
        <v>10.057660208009022</v>
      </c>
      <c r="NN63" s="388">
        <f t="shared" si="113"/>
        <v>526.71329656391902</v>
      </c>
      <c r="NO63" s="388">
        <f t="shared" si="114"/>
        <v>13.63218948570632</v>
      </c>
      <c r="NP63" s="388">
        <f t="shared" si="115"/>
        <v>530.82076544317908</v>
      </c>
      <c r="NQ63" s="388">
        <f t="shared" si="116"/>
        <v>13.63218948570632</v>
      </c>
      <c r="NR63" s="388">
        <f t="shared" si="117"/>
        <v>531.61847816303577</v>
      </c>
      <c r="NS63" s="388">
        <f t="shared" si="118"/>
        <v>10.13544002738505</v>
      </c>
      <c r="NT63" s="388">
        <f t="shared" si="119"/>
        <v>10.13544002738505</v>
      </c>
      <c r="NU63" s="388">
        <f t="shared" si="120"/>
        <v>13.711868998325958</v>
      </c>
      <c r="NV63" s="388">
        <f t="shared" si="121"/>
        <v>13.711868998325958</v>
      </c>
      <c r="NW63">
        <f t="shared" si="122"/>
        <v>11.090796812654848</v>
      </c>
      <c r="NX63">
        <f>各项系数!$M$9*NK63</f>
        <v>3.0172980624027064</v>
      </c>
      <c r="NY63">
        <f t="shared" si="123"/>
        <v>10.13544002738505</v>
      </c>
    </row>
    <row r="64" spans="1:389" ht="15" hidden="1" customHeight="1">
      <c r="A64" s="65"/>
      <c r="B64" s="81"/>
      <c r="C64" s="67"/>
      <c r="D64" s="53" t="s">
        <v>269</v>
      </c>
      <c r="E64" s="54">
        <f t="shared" si="313"/>
        <v>69.300023530000004</v>
      </c>
      <c r="F64" s="68">
        <f>$F$32</f>
        <v>277.18119106381198</v>
      </c>
      <c r="G64" s="58"/>
      <c r="H64" s="16"/>
      <c r="I64" s="62"/>
      <c r="J64" s="16"/>
      <c r="K64" s="16"/>
      <c r="L64" s="97" t="s">
        <v>467</v>
      </c>
      <c r="M64" s="98">
        <f t="shared" si="2"/>
        <v>2</v>
      </c>
      <c r="N64" s="98">
        <f t="shared" si="252"/>
        <v>0</v>
      </c>
      <c r="O64" s="58">
        <f t="shared" si="312"/>
        <v>0.08</v>
      </c>
      <c r="P64" s="99">
        <v>0.1</v>
      </c>
      <c r="Q64" s="136">
        <f t="shared" ref="Q64:Q73" si="322">$Q$12</f>
        <v>0.1</v>
      </c>
      <c r="R64" s="151">
        <v>0.8</v>
      </c>
      <c r="S64" s="144" t="str">
        <f>各项系数!$D$43</f>
        <v>钢带</v>
      </c>
      <c r="T64" s="62">
        <v>0.5</v>
      </c>
      <c r="U64" s="62">
        <v>2</v>
      </c>
      <c r="V64" s="143"/>
      <c r="W64" s="145">
        <v>3.3</v>
      </c>
      <c r="X64" s="139">
        <f t="shared" ref="X64:X73" si="323">$X$12</f>
        <v>0.2</v>
      </c>
      <c r="Y64" s="139"/>
      <c r="Z64" s="169"/>
      <c r="AA64" s="170">
        <f>$AA$32</f>
        <v>1.02</v>
      </c>
      <c r="AB64" s="153">
        <f>PI()*EJ64*EJ64/4*EH64*(1-H64)*AA64*各项系数!$F$5*各项系数!$J$4*10^-7</f>
        <v>3.3210257510184449</v>
      </c>
      <c r="AC64" s="170">
        <f t="shared" si="314"/>
        <v>277.18119106381198</v>
      </c>
      <c r="AD64" s="153">
        <f t="shared" si="5"/>
        <v>375.44593055473609</v>
      </c>
      <c r="AE64" s="153">
        <f>POWER(4*EU64/PI()/EG64/10^-7/EH64/(1-H64)/各项系数!$F$5/各项系数!$J$4,0.5)</f>
        <v>279.93928079700521</v>
      </c>
      <c r="AF64" s="16">
        <v>1</v>
      </c>
      <c r="AG64" s="16">
        <f>IF(EM64=0,0,PI()*ER64*ER64/4*EP64*(1-K64)*(1+AF64)*各项系数!$F$5*各项系数!$J$4*10^-7)</f>
        <v>0</v>
      </c>
      <c r="AH64" s="16">
        <f t="shared" si="315"/>
        <v>0</v>
      </c>
      <c r="AI64" s="69">
        <f t="shared" si="128"/>
        <v>0</v>
      </c>
      <c r="AJ64" s="69">
        <f>IF(OR(EP64="",EP64=0),0,POWER(4*EW64/PI()/EO64/10^-7/EP64/(1-K64)/各项系数!$F$5/各项系数!$J$4,0.5))</f>
        <v>0</v>
      </c>
      <c r="AK64" s="16" t="str">
        <f t="shared" si="8"/>
        <v>√</v>
      </c>
      <c r="AL64" s="16">
        <f t="shared" si="316"/>
        <v>693.36284321495896</v>
      </c>
      <c r="AM64" s="188">
        <f t="shared" si="317"/>
        <v>400</v>
      </c>
      <c r="AN64" s="97" t="s">
        <v>486</v>
      </c>
      <c r="AO64" s="196">
        <f>AP64+各项系数!$M$9*$NK64</f>
        <v>679.76749334799899</v>
      </c>
      <c r="AP64" s="196">
        <f>AQ64*(1+$BI64+(VLOOKUP($AM64,$A$12:$B$323,2,0))+各项系数!$J$6+各项系数!$M$5)*(1+$E$2)</f>
        <v>675.91381662261688</v>
      </c>
      <c r="AQ64" s="197">
        <f>AR64+各项系数!$L$9*$NK64</f>
        <v>689.70797614552748</v>
      </c>
      <c r="AR64" s="197">
        <f>AS64*(1+$BJ64+各项系数!$J$5+各项系数!$L$5)</f>
        <v>685.85429942014537</v>
      </c>
      <c r="AS64" s="197">
        <f t="shared" si="129"/>
        <v>672.40617590210331</v>
      </c>
      <c r="AT64" s="196">
        <f>AU64+各项系数!$M$9*$NM64</f>
        <v>686.53892207897002</v>
      </c>
      <c r="AU64" s="196">
        <f>AV64*(1+$BI64+(VLOOKUP($AM64,$A$12:$B$323,2,0))+各项系数!$J$6+各项系数!$M$5)*(1+$E$2)</f>
        <v>682.6852453535879</v>
      </c>
      <c r="AV64" s="197">
        <f>AW64+各项系数!$L$9*$NM64</f>
        <v>696.61759729957953</v>
      </c>
      <c r="AW64" s="197">
        <f>AX64*(1+$BJ64+各项系数!$J$5+各项系数!$L$5)</f>
        <v>692.76392057419741</v>
      </c>
      <c r="AX64" s="197">
        <f t="shared" si="130"/>
        <v>679.1803142884288</v>
      </c>
      <c r="AY64" s="196">
        <f>AZ64+各项系数!$M$9*$NS64</f>
        <v>685.76076028264947</v>
      </c>
      <c r="AZ64" s="196">
        <f>BA64*(1+$BI64+(VLOOKUP($AM64,$A$12:$B$214,2,0))+各项系数!$J$6+各项系数!$M$5)*(1+$E$2)</f>
        <v>681.88077558964972</v>
      </c>
      <c r="BA64" s="197">
        <f>BB64+各项系数!$L$9*$NS64</f>
        <v>695.79670978535682</v>
      </c>
      <c r="BB64" s="197">
        <f>BC64*(1+$BJ64+各项系数!$J$5+各项系数!$L$5)</f>
        <v>691.91672509235707</v>
      </c>
      <c r="BC64" s="199">
        <f t="shared" si="131"/>
        <v>678.34973048270297</v>
      </c>
      <c r="BD64" s="196">
        <f>BE64+各项系数!$M$9*$NS64</f>
        <v>692.54860459257031</v>
      </c>
      <c r="BE64" s="196">
        <f>BF64*(1+$BI64+(VLOOKUP($AM64,$A$12:$B$214,2,0))+各项系数!$J$6+各项系数!$M$5)*(1+$E$2)</f>
        <v>688.66861989957056</v>
      </c>
      <c r="BF64" s="197">
        <f>BG64+各项系数!$L$9*$NS64</f>
        <v>702.723081530174</v>
      </c>
      <c r="BG64" s="197">
        <f>BH64*(1+$BJ64+各项系数!$J$5+各项系数!$L$5)</f>
        <v>698.84309683717424</v>
      </c>
      <c r="BH64" s="199">
        <f t="shared" si="132"/>
        <v>685.14029101683752</v>
      </c>
      <c r="BI64" s="213"/>
      <c r="BJ64" s="208"/>
      <c r="BK64" s="53" t="s">
        <v>514</v>
      </c>
      <c r="BL64" s="196">
        <f>BM64+各项系数!$M$9*$NM64</f>
        <v>687.36728376853523</v>
      </c>
      <c r="BM64" s="196">
        <f>BN64*(1+$CF64+(VLOOKUP($AM64,$A$12:$B$323,2,0))+各项系数!$J$6+各项系数!$M$5)*(1+$E$2)</f>
        <v>683.51360704315312</v>
      </c>
      <c r="BN64" s="197">
        <f>BO64+各项系数!$L$9*$NM64</f>
        <v>697.46286432974807</v>
      </c>
      <c r="BO64" s="197">
        <f>BP64*(1+$CG64+各项系数!$J$5+各项系数!$L$5)</f>
        <v>693.60918760436596</v>
      </c>
      <c r="BP64" s="197">
        <f t="shared" si="133"/>
        <v>673.40697825666598</v>
      </c>
      <c r="BQ64" s="196">
        <f>BR64+各项系数!$M$9*$NM64</f>
        <v>693.19488915899672</v>
      </c>
      <c r="BR64" s="196">
        <f>BS64*(1+$CF64+(VLOOKUP($AM64,$A$12:$B$323,2,0))+各项系数!$J$6+各项系数!$M$5)*(1+$E$2)</f>
        <v>689.3412124336146</v>
      </c>
      <c r="BS64" s="197">
        <f>BT64+各项系数!$L$9*$NM64</f>
        <v>703.40940044246383</v>
      </c>
      <c r="BT64" s="197">
        <f>BU64*(1+$CG64+各项系数!$J$5+各项系数!$L$5)</f>
        <v>699.55572371708172</v>
      </c>
      <c r="BU64" s="197">
        <f t="shared" si="134"/>
        <v>679.1803142884288</v>
      </c>
      <c r="BV64" s="196">
        <f>BW64+各项系数!$M$9*$NT64</f>
        <v>689.62695966684339</v>
      </c>
      <c r="BW64" s="196">
        <f>BX64*(1+$CF64+(VLOOKUP($AM64,$A$12:$B$214,2,0))+各项系数!$J$6+各项系数!$M$5)*(1+$E$2)</f>
        <v>685.74697497384363</v>
      </c>
      <c r="BX64" s="197">
        <f>BY64+各项系数!$L$9*$NT$12</f>
        <v>699.74181119779962</v>
      </c>
      <c r="BY64" s="197">
        <f>BZ64*(1+$CG64+各项系数!$J$5+各项系数!$L$5)</f>
        <v>699.73354779464466</v>
      </c>
      <c r="BZ64" s="199">
        <f t="shared" si="11"/>
        <v>679.35295902392681</v>
      </c>
      <c r="CA64" s="196">
        <f>CB64+各项系数!$M$9*$NT64</f>
        <v>695.46869258048741</v>
      </c>
      <c r="CB64" s="196">
        <f>CC64*(1+$CF64+(VLOOKUP($AM64,$A$12:$B$214,2,0))+各项系数!$J$6+各项系数!$M$5)*(1+$E$2)</f>
        <v>691.58870788748766</v>
      </c>
      <c r="CC64" s="197">
        <f>CD64+各项系数!$L$9*$NT$12</f>
        <v>705.70276315049762</v>
      </c>
      <c r="CD64" s="197">
        <f>CE64*(1+$CG64+各项系数!$J$5+各项系数!$L$5)</f>
        <v>705.69449974734266</v>
      </c>
      <c r="CE64" s="199">
        <f t="shared" si="135"/>
        <v>685.14029101683752</v>
      </c>
      <c r="CF64" s="213">
        <f t="shared" si="136"/>
        <v>0</v>
      </c>
      <c r="CG64" s="213">
        <f t="shared" si="12"/>
        <v>0.01</v>
      </c>
      <c r="CH64" s="102"/>
      <c r="CI64" s="196">
        <f>CJ64+各项系数!$M$9*$NO64</f>
        <v>692.1047168934922</v>
      </c>
      <c r="CJ64" s="196">
        <f>CK64*(1+$DC64+(VLOOKUP($AM64,$A$12:$B$323,2,0))+各项系数!$J$6+各项系数!$M$5)*(1+$E$2)+各项系数!$M$9*$NK64</f>
        <v>686.90031665630386</v>
      </c>
      <c r="CK64" s="197">
        <f>CL64+各项系数!$L$9*$NO64</f>
        <v>696.98636727645078</v>
      </c>
      <c r="CL64" s="197">
        <f>CM64*(1+$DD64+各项系数!$J$5+各项系数!$L$5)</f>
        <v>691.78196703926244</v>
      </c>
      <c r="CM64" s="197">
        <f t="shared" si="13"/>
        <v>678.21761474437494</v>
      </c>
      <c r="CN64" s="196">
        <f>CO64+各项系数!$M$9*$NO64</f>
        <v>698.67000224860419</v>
      </c>
      <c r="CO64" s="196">
        <f>CP64*(1+$DC64+(VLOOKUP($AM64,$A$12:$B$323,2,0))+各项系数!$J$6+各项系数!$M$5)*(1+$E$2)+各项系数!$M$9*$NK64</f>
        <v>693.46560201141585</v>
      </c>
      <c r="CP64" s="197">
        <f>CQ64+各项系数!$L$9*$NO64</f>
        <v>703.68563804697317</v>
      </c>
      <c r="CQ64" s="197">
        <f>CR64*(1+$DD64+各项系数!$J$5+各项系数!$L$5)</f>
        <v>698.48123780978483</v>
      </c>
      <c r="CR64" s="197">
        <f t="shared" si="14"/>
        <v>684.78552726449493</v>
      </c>
      <c r="CS64" s="196">
        <f>CT64+各项系数!$M$9*$NU64</f>
        <v>694.37361352277333</v>
      </c>
      <c r="CT64" s="196">
        <f t="shared" si="15"/>
        <v>689.14233540999419</v>
      </c>
      <c r="CU64" s="197">
        <f>CV64+各项系数!$L$9*$NU64</f>
        <v>703.20646470407576</v>
      </c>
      <c r="CV64" s="197">
        <f>CW64*(1+$DD64+各项系数!$J$5+各项系数!$L$5)</f>
        <v>697.97518659129662</v>
      </c>
      <c r="CW64" s="199">
        <f t="shared" si="16"/>
        <v>684.2893986189182</v>
      </c>
      <c r="CX64" s="196">
        <f>CY64+各项系数!$M$9*$NU64</f>
        <v>701.30099025376876</v>
      </c>
      <c r="CY64" s="196">
        <f t="shared" si="17"/>
        <v>696.06971214098962</v>
      </c>
      <c r="CZ64" s="197">
        <f>DA64+各项系数!$L$9*$NU64</f>
        <v>710.2752164703976</v>
      </c>
      <c r="DA64" s="197">
        <f>DB64*(1+$DD64+各项系数!$J$5+各项系数!$L$5)</f>
        <v>705.04393835761846</v>
      </c>
      <c r="DB64" s="199">
        <f t="shared" si="18"/>
        <v>691.21954740942988</v>
      </c>
      <c r="DC64" s="213">
        <f t="shared" si="137"/>
        <v>0</v>
      </c>
      <c r="DD64" s="213">
        <f t="shared" si="19"/>
        <v>0</v>
      </c>
      <c r="DE64" s="53" t="s">
        <v>498</v>
      </c>
      <c r="DF64" s="53" t="s">
        <v>513</v>
      </c>
      <c r="DG64" s="196">
        <f>DH64+各项系数!$M$9*$NQ64</f>
        <v>699.78227585361731</v>
      </c>
      <c r="DH64" s="196">
        <f>DI64*(1+$EA64+(VLOOKUP($AM64,$A$12:$B$323,2,0))+各项系数!$J$6+各项系数!$M$5)*(1+$E$2)+各项系数!$M$9*$NK64</f>
        <v>694.57787561642897</v>
      </c>
      <c r="DI64" s="197">
        <f>DJ64+各项系数!$L$9*$NQ64</f>
        <v>704.82061111331313</v>
      </c>
      <c r="DJ64" s="197">
        <f>DK64*(1+$EB64+各项系数!$J$5+各项系数!$L$5)</f>
        <v>699.6162108761248</v>
      </c>
      <c r="DK64" s="197">
        <f t="shared" si="20"/>
        <v>679.23903968555805</v>
      </c>
      <c r="DL64" s="196">
        <f>DM64+各项系数!$M$9*$NQ64</f>
        <v>705.72996519113121</v>
      </c>
      <c r="DM64" s="196">
        <f>DN64*(1+$EA64+(VLOOKUP($AM64,$A$12:$B$323,2,0))+各项系数!$J$6+各项系数!$M$5)*(1+$E$2)+各项系数!$M$9*$NK64</f>
        <v>700.52556495394288</v>
      </c>
      <c r="DN64" s="197">
        <f>DO64+各项系数!$L$9*$NQ64</f>
        <v>710.88968186587829</v>
      </c>
      <c r="DO64" s="197">
        <f>DP64*(1+$EB64+各项系数!$J$5+各项系数!$L$5)</f>
        <v>705.68528162868995</v>
      </c>
      <c r="DP64" s="197">
        <f t="shared" si="21"/>
        <v>685.13134138707755</v>
      </c>
      <c r="DQ64" s="196">
        <f>DR64+各项系数!$M$9*$NV64</f>
        <v>702.11312495768493</v>
      </c>
      <c r="DR64" s="196">
        <f t="shared" si="22"/>
        <v>696.88184684490579</v>
      </c>
      <c r="DS64" s="197">
        <f>DT64+各项系数!$L$9*$NV64</f>
        <v>711.10392535194467</v>
      </c>
      <c r="DT64" s="197">
        <f>DU64*(1+$EB64+各项系数!$J$5+各项系数!$L$5)</f>
        <v>705.87264723916553</v>
      </c>
      <c r="DU64" s="199">
        <f t="shared" si="23"/>
        <v>685.31324974676261</v>
      </c>
      <c r="DV64" s="196">
        <f>DW64+各项系数!$M$9*$NV64</f>
        <v>702.22375792553237</v>
      </c>
      <c r="DW64" s="196">
        <f t="shared" si="24"/>
        <v>696.99247981275323</v>
      </c>
      <c r="DX64" s="197">
        <f>DY64+各项系数!$L$9*$NV64</f>
        <v>711.21681613546252</v>
      </c>
      <c r="DY64" s="197">
        <f>DZ64*(1+$EB64+各项系数!$J$5+各项系数!$L$5)</f>
        <v>705.98553802268339</v>
      </c>
      <c r="DZ64" s="199">
        <f t="shared" si="25"/>
        <v>685.4228524492072</v>
      </c>
      <c r="EA64" s="213">
        <f t="shared" si="311"/>
        <v>0</v>
      </c>
      <c r="EB64" s="213">
        <f t="shared" si="27"/>
        <v>0.01</v>
      </c>
      <c r="EC64" s="235">
        <f t="shared" si="138"/>
        <v>3</v>
      </c>
      <c r="ED64" s="235" t="str">
        <f t="shared" si="266"/>
        <v>3*400</v>
      </c>
      <c r="EE64" s="189">
        <f t="shared" si="239"/>
        <v>400</v>
      </c>
      <c r="EF64" s="189" t="str">
        <f>LOOKUP(EH64,{1,7,10,14,19,24,30,37,48,61},{1,"1+6","2+8","4+10","1+6+12","2+8+14","4+10+16","1+6+12+18","3+9+15+21","1+6+12+18+24"})</f>
        <v>1+6+12+18+24</v>
      </c>
      <c r="EG64" s="188">
        <f t="shared" si="29"/>
        <v>3</v>
      </c>
      <c r="EH64" s="197">
        <f>VLOOKUP(EE64,各项系数!$B$87:$C$124,2,0)</f>
        <v>61</v>
      </c>
      <c r="EI64" s="188">
        <f>IF(EH64=0,0,VLOOKUP(EH64,各项系数!$D$142:$E$195,2,0))*1</f>
        <v>9</v>
      </c>
      <c r="EJ64" s="238">
        <f t="shared" si="141"/>
        <v>277.18119106381198</v>
      </c>
      <c r="EK64" s="189">
        <f t="shared" si="318"/>
        <v>0</v>
      </c>
      <c r="EL64" s="189">
        <f t="shared" si="31"/>
        <v>0</v>
      </c>
      <c r="EM64" s="189">
        <f t="shared" si="267"/>
        <v>0</v>
      </c>
      <c r="EN64" s="189">
        <f>IF(EP64=0,0,LOOKUP(EP64,{1,7,10,14,19,24,30,37,48,61},{1,"1+6","2+8","4+10","1+6+12","2+8+14","4+10+16","1+6+12+18","3+9+15+21","1+6+12+18+24"}))</f>
        <v>0</v>
      </c>
      <c r="EO64" s="189">
        <f t="shared" si="319"/>
        <v>0</v>
      </c>
      <c r="EP64" s="189">
        <f>IF(EM64=0,0,IF(EM64&lt;10,1,IF(AND(EM64&gt;=10,EM64&lt;=35),7,LOOKUP(EM64,{50,70,95,120,150,185,240,300},{10,14,19,24,30,37,48,61})*1)))</f>
        <v>0</v>
      </c>
      <c r="EQ64" s="189">
        <f>IF(EP64=0,0,VLOOKUP(EP64,各项系数!$D$142:$E$195,2,0))*1</f>
        <v>0</v>
      </c>
      <c r="ER64" s="189">
        <f t="shared" si="320"/>
        <v>0</v>
      </c>
      <c r="ES64" s="235">
        <f t="shared" si="321"/>
        <v>3</v>
      </c>
      <c r="ET64" s="189">
        <f>VLOOKUP(ES64,各项系数!$D$142:$E$195,2,0)*1</f>
        <v>2.16</v>
      </c>
      <c r="EU64" s="243">
        <f>((各项系数!$F$76/4*$EJ64^2*$EG64*$EH64*1*10^-7)*(1-$H64)*AA64)*(VLOOKUP($EY$9,各项系数!$D$4:$F$143,3,0))*各项系数!$J$4</f>
        <v>9.9630772530553333</v>
      </c>
      <c r="EV64" s="244">
        <f>EU64*(VLOOKUP($EY$9,各项系数!$D$4:$F$143,2,0))</f>
        <v>652.58156007512434</v>
      </c>
      <c r="EW64" s="252">
        <f>(IF($EO64=0,0,(各项系数!$F$76/4*$ER64^2*$EO64*$EP64*1*10^-7))*(1-$K64)*$AF64)*(VLOOKUP($EY$9,各项系数!$D$4:$F$143,3,0))*各项系数!$J$4</f>
        <v>0</v>
      </c>
      <c r="EX64" s="253">
        <f>EW64*(VLOOKUP($EY$9,各项系数!$D$4:$F$143,2,0))</f>
        <v>0</v>
      </c>
      <c r="EY64" s="189">
        <f>((各项系数!$F$76/4*$EJ64^2*$EG64*$EH64*1*10^-7)*(1-$H64)*AA64+IF($EO64=0,0,(各项系数!$F$76/4*$ER64^2*$EO64*$EP64*1*10^-7))*(1-$K64)*$AF64)*(VLOOKUP($EY$9,各项系数!$D$4:$F$143,3,0))*各项系数!$J$4</f>
        <v>9.9630772530553333</v>
      </c>
      <c r="EZ64" s="102">
        <v>1</v>
      </c>
      <c r="FA64" s="189">
        <f t="shared" si="268"/>
        <v>9.9630772530553333</v>
      </c>
      <c r="FB64" s="254">
        <f>FA64*(VLOOKUP($EY$9,各项系数!$D$4:$F$143,2,0))</f>
        <v>652.58156007512434</v>
      </c>
      <c r="FC64" s="255"/>
      <c r="FD64" s="235">
        <f>各项系数!$F$76/4*($MN64^2-MK64^2)*10^-2*(VLOOKUP(L64,各项系数!$D$1:$F$143,3,0))*10^-3*10^2*$EG64*各项系数!$J$4</f>
        <v>0.55592492409914096</v>
      </c>
      <c r="FE64" s="262">
        <f>FD64*VLOOKUP(L64,各项系数!$D$1:$F$143,2,0)</f>
        <v>5.6704342258112375</v>
      </c>
      <c r="FF64" s="188">
        <f>各项系数!$F$76/4*($MO64^2-ML64^2)*10^-2*(VLOOKUP(L64,各项系数!$D$1:$F$143,3,0))*10^-3*10^2*$EO64*各项系数!$J$4</f>
        <v>0</v>
      </c>
      <c r="FG64" s="262">
        <f>FF64*VLOOKUP(L64,各项系数!$D$1:$F$143,2,0)</f>
        <v>0</v>
      </c>
      <c r="FH64" s="235">
        <f t="shared" si="142"/>
        <v>0.55592492409914096</v>
      </c>
      <c r="FI64" s="102">
        <v>1</v>
      </c>
      <c r="FJ64" s="189">
        <f t="shared" si="269"/>
        <v>0.55592492409914096</v>
      </c>
      <c r="FK64" s="262">
        <f>FJ64*VLOOKUP(L64,各项系数!$D$1:$F$143,2,0)</f>
        <v>5.6704342258112375</v>
      </c>
      <c r="FL64" s="235"/>
      <c r="FM64" s="102"/>
      <c r="FN64" s="189"/>
      <c r="FO64" s="262"/>
      <c r="FP64" s="282">
        <f t="shared" si="270"/>
        <v>0.55592492409914096</v>
      </c>
      <c r="FQ64" s="282">
        <f t="shared" si="271"/>
        <v>5.6704342258112375</v>
      </c>
      <c r="FR64" s="283">
        <f>各项系数!$F$76/4*($MQ64^2-$MN64^2*$EG64-$MO64^2*$EO64)*10^-2</f>
        <v>10.96091795402681</v>
      </c>
      <c r="FS64" s="284">
        <f t="shared" si="143"/>
        <v>1</v>
      </c>
      <c r="FT64" s="285">
        <f t="shared" si="40"/>
        <v>10.96091795402681</v>
      </c>
      <c r="FU64" s="302">
        <f>$FT64*(VLOOKUP($FT$9,各项系数!$D$1:$F$143,3,0))*10^-3*10^2*各项系数!$J$55</f>
        <v>1.3087336037108013</v>
      </c>
      <c r="FV64" s="303">
        <v>1</v>
      </c>
      <c r="FW64" s="304">
        <f t="shared" si="272"/>
        <v>1.3087336037108013</v>
      </c>
      <c r="FX64" s="285">
        <f>FW64*(VLOOKUP($FT$9,各项系数!$D$1:$F$143,2,0))</f>
        <v>3.9262008111324036</v>
      </c>
      <c r="FY64" s="302">
        <f>IF($BK64&lt;&gt;$FY$9,0,各项系数!$F$76/4*($MS64^2-$MQ64^2)*10^-2*(VLOOKUP($FY$9,各项系数!$D$1:$F$143,3,0))*10^-3*10^2)*各项系数!$J$4</f>
        <v>0</v>
      </c>
      <c r="FZ64" s="303">
        <v>1</v>
      </c>
      <c r="GA64" s="304">
        <f t="shared" si="273"/>
        <v>0</v>
      </c>
      <c r="GB64" s="285">
        <f>GA64*(VLOOKUP($FY$9,各项系数!$D$1:$F$143,2,0))</f>
        <v>0</v>
      </c>
      <c r="GC64" s="302">
        <f>IF($BK64&lt;&gt;$GC$9,0,各项系数!$F$76/4*($MS64^2-$MQ64^2)*10^-2*(VLOOKUP($GC$9,各项系数!$D$1:$F$143,3,0))*10^-3*10^2)*各项系数!$J$4</f>
        <v>1.7050949178971604E-2</v>
      </c>
      <c r="GD64" s="303">
        <v>1</v>
      </c>
      <c r="GE64" s="304">
        <f t="shared" si="274"/>
        <v>1.7050949178971604E-2</v>
      </c>
      <c r="GF64" s="285">
        <f>GE64*(VLOOKUP($GC$9,各项系数!$D$1:$F$143,2,0))</f>
        <v>0.21995724440873371</v>
      </c>
      <c r="GG64" s="302">
        <f>IF($BK64&lt;&gt;$GG$9,0,各项系数!$F$76/4*($MS64^2-$MQ64^2)*10^-2*(VLOOKUP($GG$9,各项系数!$D$1:$F$143,3,0))*10^-3*10^2)*各项系数!$J$4</f>
        <v>0</v>
      </c>
      <c r="GH64" s="303">
        <v>1</v>
      </c>
      <c r="GI64" s="304">
        <f t="shared" si="275"/>
        <v>0</v>
      </c>
      <c r="GJ64" s="285">
        <f>GI64*(VLOOKUP($GG$9,各项系数!$D$1:$F$143,2,0))</f>
        <v>0</v>
      </c>
      <c r="GK64" s="302">
        <f>IF($BK64&lt;&gt;$GK$9,0,各项系数!$F$76/4*($MS64^2-$MQ64^2)*10^-2*(VLOOKUP($GK$9,各项系数!$D$1:$F$143,3,0))*10^-3*10^2)*各项系数!$J$4</f>
        <v>0</v>
      </c>
      <c r="GL64" s="303">
        <v>1</v>
      </c>
      <c r="GM64" s="304">
        <f t="shared" si="276"/>
        <v>0</v>
      </c>
      <c r="GN64" s="285">
        <f>GM64*(VLOOKUP($GK$9,各项系数!$D$1:$F$143,2,0))</f>
        <v>0</v>
      </c>
      <c r="GO64" s="304">
        <f t="shared" si="277"/>
        <v>1.7050949178971604E-2</v>
      </c>
      <c r="GP64" s="304">
        <f t="shared" si="278"/>
        <v>0.21995724440873371</v>
      </c>
      <c r="GQ64" s="315">
        <f>各项系数!$F$76/4*($MU64^2-$MS64^2)*10^-2*(VLOOKUP($S64,各项系数!$D$1:$F$143,3,0))*10^-3*10^2*各项系数!$J$4</f>
        <v>1.1632491862022769</v>
      </c>
      <c r="GR64" s="303">
        <v>1</v>
      </c>
      <c r="GS64" s="304">
        <f t="shared" si="279"/>
        <v>1.1632491862022769</v>
      </c>
      <c r="GT64" s="304">
        <f t="shared" si="200"/>
        <v>0</v>
      </c>
      <c r="GU64" s="304">
        <f>ROUND($GS64*(VLOOKUP($S64,各项系数!$D$1:$F$143,2,0))+$E$3*GS64,GT64)</f>
        <v>7</v>
      </c>
      <c r="GV64" s="315">
        <f>各项系数!$F$76/4*($MT64^2-$MS64^2)*10^-2*(VLOOKUP($GV$9,各项系数!$D$1:$F$143,3,0))*10^-3*10^2*各项系数!$J$4*PI()/4*R64</f>
        <v>8.7693225392401888E-2</v>
      </c>
      <c r="GW64" s="303">
        <v>1</v>
      </c>
      <c r="GX64" s="304">
        <f t="shared" si="280"/>
        <v>8.7693225392401888E-2</v>
      </c>
      <c r="GY64" s="304">
        <f>$GX64*(VLOOKUP($GV$9,各项系数!$D$1:$F$143,2,0))</f>
        <v>5.9192927139871276</v>
      </c>
      <c r="GZ64" s="315">
        <f>各项系数!$F$76/4*($MV64^2-$MS64^2)*10^-2*(VLOOKUP($GZ$9,各项系数!$D$1:$F$143,3,0))*10^-3*10^2*各项系数!$J$4</f>
        <v>0.98718599599718149</v>
      </c>
      <c r="HA64" s="303">
        <v>1</v>
      </c>
      <c r="HB64" s="304">
        <f t="shared" si="144"/>
        <v>0.98718599599718149</v>
      </c>
      <c r="HC64" s="304">
        <f>HB64*(VLOOKUP($GZ$9,各项系数!$D$1:$F$143,2,0))</f>
        <v>16.782161931952086</v>
      </c>
      <c r="HD64" s="315">
        <f>各项系数!$F$76/4*($MW64^2-$MT64^2)*10^-2*(VLOOKUP($HD$9,各项系数!$D$1:$F$143,3,0))*10^-3*10^2*各项系数!$J$4</f>
        <v>0.9895791733160918</v>
      </c>
      <c r="HE64" s="303">
        <v>1</v>
      </c>
      <c r="HF64" s="304">
        <f t="shared" si="145"/>
        <v>0.9895791733160918</v>
      </c>
      <c r="HG64" s="304">
        <f>HF64*(VLOOKUP($HD$9,各项系数!$D$1:$F$143,2,0))</f>
        <v>16.822845946373562</v>
      </c>
      <c r="HH64" s="315">
        <f>各项系数!$F$76/4*($MV64^2-$MS64^2)*10^-2*(VLOOKUP($HH$9,各项系数!$D$1:$F$143,3,0))*10^-3*10^2*各项系数!$J$4</f>
        <v>0.98718599599718149</v>
      </c>
      <c r="HI64" s="322">
        <v>1</v>
      </c>
      <c r="HJ64" s="304">
        <f t="shared" si="146"/>
        <v>0.98718599599718149</v>
      </c>
      <c r="HK64" s="304">
        <f>HJ64*(VLOOKUP($HH$9,各项系数!$D$1:$F$143,2,0))</f>
        <v>16.782161931952086</v>
      </c>
      <c r="HL64" s="315">
        <f>各项系数!$F$76/4*($MW64^2-$MT64^2)*10^-2*(VLOOKUP($HL$9,各项系数!$D$1:$F$143,3,0))*10^-3*10^2*各项系数!$J$4</f>
        <v>0.9895791733160918</v>
      </c>
      <c r="HM64" s="322">
        <v>1</v>
      </c>
      <c r="HN64" s="304">
        <f t="shared" si="147"/>
        <v>0.9895791733160918</v>
      </c>
      <c r="HO64" s="304">
        <f>HN64*(VLOOKUP($HL$9,各项系数!$D$1:$F$143,2,0))</f>
        <v>16.822845946373562</v>
      </c>
      <c r="HP64" s="315">
        <f>各项系数!$F$76/4*($MV64^2-$MS64^2)*10^-2*(VLOOKUP(AN64,各项系数!$D$1:$F$143,3,0))*10^-3*10^2*各项系数!$J$4</f>
        <v>1.0008023545626599</v>
      </c>
      <c r="HQ64" s="303">
        <v>1</v>
      </c>
      <c r="HR64" s="304">
        <f t="shared" si="281"/>
        <v>1.0008023545626599</v>
      </c>
      <c r="HS64" s="304">
        <f>HR64*(VLOOKUP(AN64,各项系数!$D$1:$F$143,2,0))</f>
        <v>10.0080235456266</v>
      </c>
      <c r="HT64" s="315">
        <f>各项系数!$F$76/4*($MW64^2-$MT64^2)*10^-2*(VLOOKUP(AN64,各项系数!$D$1:$F$143,3,0))*10^-3*10^2*各项系数!$J$4</f>
        <v>1.0032285412238999</v>
      </c>
      <c r="HU64" s="303">
        <v>1</v>
      </c>
      <c r="HV64" s="304">
        <f t="shared" si="282"/>
        <v>1.0032285412238999</v>
      </c>
      <c r="HW64" s="304">
        <f>HV64*(VLOOKUP(AN64,各项系数!$D$1:$F$143,2,0))</f>
        <v>10.032285412238998</v>
      </c>
      <c r="HX64" s="315">
        <f>各项系数!$F$76/4*($MV64^2-$MS64^2)*10^-2*(VLOOKUP($HX$9,各项系数!$D$1:$F$143,3,0))*10^-3*10^2*各项系数!$J$4</f>
        <v>1.0008023545626599</v>
      </c>
      <c r="HY64" s="322">
        <v>1</v>
      </c>
      <c r="HZ64" s="304">
        <f t="shared" si="283"/>
        <v>1.0008023545626599</v>
      </c>
      <c r="IA64" s="304">
        <f>HZ64*(VLOOKUP($HX$9,各项系数!$D$1:$F$143,2,0))</f>
        <v>11.008825900189258</v>
      </c>
      <c r="IB64" s="315">
        <f>各项系数!$F$76/4*($MW64^2-$MT64^2)*10^-2*(VLOOKUP($IB$9,各项系数!$D$1:$F$143,3,0))*10^-3*10^2*各项系数!$J$4</f>
        <v>1.0032285412238999</v>
      </c>
      <c r="IC64" s="322">
        <v>1</v>
      </c>
      <c r="ID64" s="304">
        <f t="shared" si="284"/>
        <v>1.0032285412238999</v>
      </c>
      <c r="IE64" s="304">
        <f>ID64*(VLOOKUP($IB$9,各项系数!$D$1:$F$143,2,0))</f>
        <v>11.0355139534629</v>
      </c>
      <c r="IF64" s="328"/>
      <c r="IG64" s="315">
        <f t="shared" si="148"/>
        <v>0.10653801092871769</v>
      </c>
      <c r="IH64" s="303">
        <v>1</v>
      </c>
      <c r="II64" s="304">
        <f t="shared" si="285"/>
        <v>0.10653801092871769</v>
      </c>
      <c r="IJ64" s="304">
        <f>II64*(VLOOKUP($IG$8,各项系数!$D$1:$F$143,2,0))</f>
        <v>2.6634502732179421</v>
      </c>
      <c r="IK64" s="315">
        <f>(各项系数!$F$76/4*($MX64^2-$MK64^2)*$EG64)*10^-2*(VLOOKUP($IG$8,各项系数!$D$1:$F$143,3,0))*10^-3*10^2*各项系数!$J$4</f>
        <v>0.10653801092871769</v>
      </c>
      <c r="IL64" s="303">
        <f>IK64*(VLOOKUP($IG$8,各项系数!$D$1:$F$143,2,0))</f>
        <v>2.6634502732179421</v>
      </c>
      <c r="IM64" s="304">
        <f>(各项系数!$F$76/4*(($MM64+3*$X64)^2-MM64^2)*$EO64)*10^-2*(VLOOKUP($IG$8,各项系数!$D$1:$F$143,3,0))*10^-3*10^2*各项系数!$J$4</f>
        <v>0</v>
      </c>
      <c r="IN64" s="303">
        <f>IM64*(VLOOKUP($IG$8,各项系数!$D$1:$F$143,2,0))</f>
        <v>0</v>
      </c>
      <c r="IO64" s="315">
        <f>各项系数!$F$76/4*($MZ64^2-$MX64^2)*10^-2*(VLOOKUP(L64,各项系数!$D$1:$F$143,3,0))*10^-3*10^2*$ES64*各项系数!$J$4</f>
        <v>0.56830342747281526</v>
      </c>
      <c r="IP64" s="303">
        <v>1</v>
      </c>
      <c r="IQ64" s="304">
        <f t="shared" si="286"/>
        <v>0.56830342747281526</v>
      </c>
      <c r="IR64" s="285">
        <f>IQ64*(VLOOKUP(L64,各项系数!$D$1:$F$143,2,0))</f>
        <v>5.7966949602227151</v>
      </c>
      <c r="IS64" s="315">
        <f>IF($L64&lt;&gt;$IS$9,0,各项系数!$F$76/4*($MZ64^2-$MX64^2)*10^-2*各项系数!$F$12*10^-3*10^2)*$ES64*各项系数!$J$4</f>
        <v>0</v>
      </c>
      <c r="IT64" s="303">
        <v>1</v>
      </c>
      <c r="IU64" s="304">
        <f t="shared" si="287"/>
        <v>0</v>
      </c>
      <c r="IV64" s="285">
        <f>IU64*各项系数!$E$12</f>
        <v>0</v>
      </c>
      <c r="IW64" s="302">
        <f t="shared" si="288"/>
        <v>0.56830342747281526</v>
      </c>
      <c r="IX64" s="302">
        <f t="shared" si="289"/>
        <v>5.7966949602227151</v>
      </c>
      <c r="IY64" s="339">
        <f>各项系数!$F$76/4*($NB64^2-$MZ64^2*$EG64-$NA64^2*$EO64)*10^-2</f>
        <v>11.420023857134138</v>
      </c>
      <c r="IZ64" s="284">
        <f t="shared" si="231"/>
        <v>1</v>
      </c>
      <c r="JA64" s="285">
        <f t="shared" si="64"/>
        <v>11.420023857134138</v>
      </c>
      <c r="JB64" s="282">
        <f>IF($DE64&lt;&gt;$JB$9,0,$JA64*各项系数!$F$32*10^-3*10^2)*各项系数!$J$4</f>
        <v>0</v>
      </c>
      <c r="JC64" s="102">
        <v>1</v>
      </c>
      <c r="JD64" s="189">
        <f t="shared" si="290"/>
        <v>0</v>
      </c>
      <c r="JE64" s="262">
        <f>JD64*各项系数!$E$32</f>
        <v>0</v>
      </c>
      <c r="JF64" s="282">
        <f>IF($DE64&lt;&gt;$JF$9,0,$JA64*VLOOKUP($JF$9,各项系数!$D$4:$F$540,2,0)*10^-3*10^2)*各项系数!$J$4</f>
        <v>5.6814618689242335</v>
      </c>
      <c r="JG64" s="102">
        <v>1</v>
      </c>
      <c r="JH64" s="189">
        <f t="shared" si="66"/>
        <v>5.6814618689242335</v>
      </c>
      <c r="JI64" s="262">
        <f>JH64*VLOOKUP($JF$9,各项系数!$D$4:$F$540,3,0)</f>
        <v>6.8177542427090803</v>
      </c>
      <c r="JJ64" s="282">
        <f t="shared" si="291"/>
        <v>5.6814618689242335</v>
      </c>
      <c r="JK64" s="189">
        <f t="shared" si="292"/>
        <v>6.8177542427090803</v>
      </c>
      <c r="JL64" s="282">
        <f>IF($DF64&lt;&gt;$JL$9,0,各项系数!$F$76/4*($NE64^2-$NC64^2)*10^-2*各项系数!$F$39*10^-3*10^2)*各项系数!$J$4</f>
        <v>7.1952890634447509E-3</v>
      </c>
      <c r="JM64" s="102">
        <v>1</v>
      </c>
      <c r="JN64" s="189">
        <f t="shared" si="293"/>
        <v>7.1952890634447509E-3</v>
      </c>
      <c r="JO64" s="262">
        <f>JN64*各项系数!$E$39</f>
        <v>0.14390578126889503</v>
      </c>
      <c r="JP64" s="282">
        <f>IF($DF64&lt;&gt;$JP$9,0,各项系数!$F$76/4*($NE64^2-$NC64^2)*10^-2*各项系数!$F$36*10^-3*10^2)*各项系数!$J$4</f>
        <v>0</v>
      </c>
      <c r="JQ64" s="102">
        <v>1</v>
      </c>
      <c r="JR64" s="189">
        <f t="shared" si="294"/>
        <v>0</v>
      </c>
      <c r="JS64" s="262">
        <f>JR64*各项系数!$E$36</f>
        <v>0</v>
      </c>
      <c r="JT64" s="282">
        <f>IF($DF64&lt;&gt;$JT$9,0,各项系数!$F$76/4*($NE64^2-$NC64^2)*10^-2*各项系数!$F$40*10^-3*10^2)*各项系数!$J$4</f>
        <v>0</v>
      </c>
      <c r="JU64" s="102">
        <v>1</v>
      </c>
      <c r="JV64" s="189">
        <f t="shared" si="295"/>
        <v>0</v>
      </c>
      <c r="JW64" s="262">
        <f>JV64*各项系数!$E$40</f>
        <v>0</v>
      </c>
      <c r="JX64" s="282">
        <f>IF($DF64&lt;&gt;$JX$9,0,各项系数!$F$76/4*($NE64^2-$NC64^2)*10^-2*各项系数!$F$38*10^-3*10^2)*各项系数!$J$4</f>
        <v>0</v>
      </c>
      <c r="JY64" s="102">
        <v>1</v>
      </c>
      <c r="JZ64" s="189">
        <f t="shared" si="296"/>
        <v>0</v>
      </c>
      <c r="KA64" s="262">
        <f>JZ64*各项系数!$E$38</f>
        <v>0</v>
      </c>
      <c r="KB64" s="282">
        <f>IF($DF64&lt;&gt;$KB$9,0,各项系数!$F$76/4*($NE64^2-$NC64^2)*10^-2*各项系数!$F$41*10^-3*10^2)*各项系数!$J$4</f>
        <v>0</v>
      </c>
      <c r="KC64" s="102">
        <v>1</v>
      </c>
      <c r="KD64" s="189">
        <f t="shared" si="297"/>
        <v>0</v>
      </c>
      <c r="KE64" s="262">
        <f>KD64*各项系数!$E$41</f>
        <v>0</v>
      </c>
      <c r="KF64" s="189">
        <f t="shared" si="298"/>
        <v>7.1952890634447509E-3</v>
      </c>
      <c r="KG64" s="189">
        <f t="shared" si="299"/>
        <v>0.14390578126889503</v>
      </c>
      <c r="KH64" s="235">
        <f>各项系数!$F$76/4*($NG64^2-$NE64^2)*10^-2*各项系数!$F$44*10^-3*10^2*各项系数!$J$4*0.75*$U64</f>
        <v>1.7822737392692309</v>
      </c>
      <c r="KI64" s="102">
        <v>1</v>
      </c>
      <c r="KJ64" s="189">
        <f t="shared" si="300"/>
        <v>1.7822737392692309</v>
      </c>
      <c r="KK64" s="189">
        <f>ROUND(KJ64*各项系数!$E$43,GT64)</f>
        <v>10</v>
      </c>
      <c r="KL64" s="235">
        <f>各项系数!$F$76/4*($NF64^2-$NE64^2)*10^-2*各项系数!$F$46*10^-3*10^2*各项系数!$J$4*PI()/4*R64</f>
        <v>8.9592918636012264E-2</v>
      </c>
      <c r="KM64" s="102">
        <v>1</v>
      </c>
      <c r="KN64" s="189">
        <f t="shared" si="301"/>
        <v>8.9592918636012264E-2</v>
      </c>
      <c r="KO64" s="189">
        <f>KN64*各项系数!$E$46</f>
        <v>6.0475220079308283</v>
      </c>
      <c r="KP64" s="235">
        <f>各项系数!$F$76/4*($NH64^2-$NE64^2)*10^-2*(VLOOKUP($KP$9,各项系数!$D$1:$F$143,3,0))*10^-3*10^2*各项系数!$J$4</f>
        <v>1.0075280032079177</v>
      </c>
      <c r="KQ64" s="102">
        <v>1</v>
      </c>
      <c r="KR64" s="189">
        <f t="shared" si="150"/>
        <v>1.0075280032079177</v>
      </c>
      <c r="KS64" s="189">
        <f>KR64*(VLOOKUP($KP$9,各项系数!$D$1:$F$143,2,0))</f>
        <v>17.127976054534599</v>
      </c>
      <c r="KT64" s="235">
        <f>各项系数!$F$76/4*($NI64^2-$NF64^2)*10^-2*(VLOOKUP($KT$9,各项系数!$D$1:$F$143,3,0))*10^-3*10^2*各项系数!$J$4</f>
        <v>1.0099211805268287</v>
      </c>
      <c r="KU64" s="102">
        <v>1</v>
      </c>
      <c r="KV64" s="189">
        <f t="shared" si="151"/>
        <v>1.0099211805268287</v>
      </c>
      <c r="KW64" s="189">
        <f>KV64*(VLOOKUP($KT$9,各项系数!$D$1:$F$143,2,0))</f>
        <v>17.168660068956086</v>
      </c>
      <c r="KX64" s="189">
        <f>各项系数!$F$76/4*($NH64^2-$NE64^2)*10^-2*(VLOOKUP($KX$9,各项系数!$D$1:$F$143,3,0))*10^-3*10^2*各项系数!$J$4</f>
        <v>1.0075280032079177</v>
      </c>
      <c r="KY64" s="353">
        <v>1</v>
      </c>
      <c r="KZ64" s="189">
        <f t="shared" si="152"/>
        <v>1.0075280032079177</v>
      </c>
      <c r="LA64" s="189">
        <f>KZ64*(VLOOKUP($KX$9,各项系数!$D$1:$F$143,2,0))</f>
        <v>17.127976054534599</v>
      </c>
      <c r="LB64" s="189">
        <f>各项系数!$F$76/4*($NI64^2-$NF64^2)*10^-2*(VLOOKUP($LB$9,各项系数!$D$1:$F$143,3,0))*10^-3*10^2*各项系数!$J$4</f>
        <v>1.0099211805268287</v>
      </c>
      <c r="LC64" s="353">
        <v>1</v>
      </c>
      <c r="LD64" s="189">
        <f t="shared" si="153"/>
        <v>1.0099211805268287</v>
      </c>
      <c r="LE64" s="189">
        <f>LD64*(VLOOKUP($LB$9,各项系数!$D$1:$F$143,2,0))</f>
        <v>17.168660068956086</v>
      </c>
      <c r="LF64" s="235">
        <f>各项系数!$F$76/4*($NH64^2-$NE64^2)*10^-2*(VLOOKUP(AN64,各项系数!$D$1:$F$143,3,0))*10^-3*10^2*各项系数!$J$4</f>
        <v>1.0214249411831995</v>
      </c>
      <c r="LG64" s="102">
        <v>1</v>
      </c>
      <c r="LH64" s="189">
        <f t="shared" si="302"/>
        <v>1.0214249411831995</v>
      </c>
      <c r="LI64" s="189">
        <f>LH64*(VLOOKUP(AN64,各项系数!$D$1:$F$143,2,0))</f>
        <v>10.214249411831995</v>
      </c>
      <c r="LJ64" s="235">
        <f>各项系数!$F$76/4*($NI64^2-$NF64^2)*10^-2*(VLOOKUP(AN64,各项系数!$D$1:$F$143,3,0))*10^-3*10^2*各项系数!$J$4</f>
        <v>1.02385112784444</v>
      </c>
      <c r="LK64" s="102">
        <v>1</v>
      </c>
      <c r="LL64" s="189">
        <f t="shared" si="303"/>
        <v>1.02385112784444</v>
      </c>
      <c r="LM64" s="189">
        <f>LL64*(VLOOKUP(AN64,各项系数!$D$1:$F$143,2,0))</f>
        <v>10.238511278444399</v>
      </c>
      <c r="LN64" s="189">
        <f>各项系数!$F$76/4*($NH64^2-$NE64^2)*10^-2*(VLOOKUP($LN$9,各项系数!$D$1:$F$143,3,0))*10^-3*10^2*各项系数!$J$4</f>
        <v>1.0214249411831995</v>
      </c>
      <c r="LO64" s="353">
        <v>1</v>
      </c>
      <c r="LP64" s="189">
        <f t="shared" si="304"/>
        <v>1.0214249411831995</v>
      </c>
      <c r="LQ64" s="189">
        <f>LP64*(VLOOKUP($LN$9,各项系数!$D$1:$F$143,2,0))</f>
        <v>11.235674353015195</v>
      </c>
      <c r="LR64" s="189">
        <f>各项系数!$F$76/4*($NI64^2-$NF64^2)*10^-2*(VLOOKUP($LR$9,各项系数!$D$1:$F$143,3,0))*10^-3*10^2*各项系数!$J$4</f>
        <v>1.02385112784444</v>
      </c>
      <c r="LS64" s="353">
        <v>1</v>
      </c>
      <c r="LT64" s="189">
        <f t="shared" si="305"/>
        <v>1.02385112784444</v>
      </c>
      <c r="LU64" s="189">
        <f>LT64*(VLOOKUP($LR$9,各项系数!$D$1:$F$143,2,0))</f>
        <v>11.26236240628884</v>
      </c>
      <c r="LV64" s="227">
        <f t="shared" si="154"/>
        <v>1466.30281393</v>
      </c>
      <c r="LW64" s="227">
        <f t="shared" si="155"/>
        <v>1104.25273642</v>
      </c>
      <c r="LX64" s="227">
        <f t="shared" si="156"/>
        <v>37.496376510163735</v>
      </c>
      <c r="LY64" s="227">
        <f t="shared" si="157"/>
        <v>362.05007750999994</v>
      </c>
      <c r="LZ64" s="374">
        <f t="shared" si="86"/>
        <v>1</v>
      </c>
      <c r="MA64" s="375">
        <f t="shared" si="87"/>
        <v>1466.30281393</v>
      </c>
      <c r="MB64" s="375">
        <f t="shared" si="158"/>
        <v>24.946307189999999</v>
      </c>
      <c r="MC64" s="227">
        <f t="shared" si="159"/>
        <v>0</v>
      </c>
      <c r="MD64" s="227">
        <f t="shared" si="160"/>
        <v>0</v>
      </c>
      <c r="ME64" s="227">
        <f t="shared" si="161"/>
        <v>0</v>
      </c>
      <c r="MF64" s="227">
        <f t="shared" si="162"/>
        <v>0</v>
      </c>
      <c r="MG64" s="374">
        <f t="shared" si="163"/>
        <v>1</v>
      </c>
      <c r="MH64" s="375">
        <f t="shared" si="88"/>
        <v>0</v>
      </c>
      <c r="MI64" s="375">
        <f t="shared" si="164"/>
        <v>0</v>
      </c>
      <c r="MJ64" s="189">
        <f t="shared" si="89"/>
        <v>24.946307189999999</v>
      </c>
      <c r="MK64" s="189">
        <f t="shared" si="165"/>
        <v>24.946307189999999</v>
      </c>
      <c r="ML64" s="189">
        <f t="shared" si="306"/>
        <v>0</v>
      </c>
      <c r="MM64" s="189">
        <f t="shared" si="91"/>
        <v>0</v>
      </c>
      <c r="MN64" s="189">
        <f t="shared" si="92"/>
        <v>28.946307189999999</v>
      </c>
      <c r="MO64" s="189">
        <f t="shared" si="166"/>
        <v>0</v>
      </c>
      <c r="MP64" s="189">
        <f t="shared" si="167"/>
        <v>62.524023530000001</v>
      </c>
      <c r="MQ64" s="189">
        <f t="shared" si="307"/>
        <v>62.524023530000001</v>
      </c>
      <c r="MR64" s="246">
        <f t="shared" si="168"/>
        <v>62.524023530000001</v>
      </c>
      <c r="MS64" s="380">
        <f t="shared" si="94"/>
        <v>62.700023530000003</v>
      </c>
      <c r="MT64" s="380">
        <f t="shared" si="95"/>
        <v>62.860023529999999</v>
      </c>
      <c r="MU64" s="380">
        <f t="shared" si="232"/>
        <v>64.20002353000001</v>
      </c>
      <c r="MV64" s="380">
        <f t="shared" si="97"/>
        <v>69.300023530000004</v>
      </c>
      <c r="MW64" s="380">
        <f t="shared" si="98"/>
        <v>69.460023530000001</v>
      </c>
      <c r="MX64" s="254">
        <f t="shared" si="233"/>
        <v>25.54630719</v>
      </c>
      <c r="MY64" s="254">
        <f t="shared" si="100"/>
        <v>0</v>
      </c>
      <c r="MZ64" s="189">
        <f t="shared" si="101"/>
        <v>29.54630719</v>
      </c>
      <c r="NA64" s="189">
        <f t="shared" si="102"/>
        <v>0</v>
      </c>
      <c r="NB64" s="189">
        <f t="shared" si="169"/>
        <v>63.82002353</v>
      </c>
      <c r="NC64" s="254">
        <f t="shared" si="308"/>
        <v>63.82002353</v>
      </c>
      <c r="ND64" s="246">
        <f t="shared" si="234"/>
        <v>63.82002353</v>
      </c>
      <c r="NE64" s="386">
        <f t="shared" si="235"/>
        <v>64.060023529999995</v>
      </c>
      <c r="NF64" s="380">
        <f t="shared" si="106"/>
        <v>64.220023529999992</v>
      </c>
      <c r="NG64" s="387">
        <f t="shared" si="236"/>
        <v>65.560023529999995</v>
      </c>
      <c r="NH64" s="254">
        <f t="shared" si="108"/>
        <v>70.660023529999989</v>
      </c>
      <c r="NI64" s="380">
        <f t="shared" si="109"/>
        <v>70.820023529999986</v>
      </c>
      <c r="NK64" s="388">
        <f t="shared" si="110"/>
        <v>12.845589084606907</v>
      </c>
      <c r="NL64" s="388">
        <f t="shared" si="111"/>
        <v>672.40617590210331</v>
      </c>
      <c r="NM64" s="388">
        <f t="shared" si="112"/>
        <v>12.845589084606907</v>
      </c>
      <c r="NN64" s="388">
        <f t="shared" si="113"/>
        <v>673.40697825666598</v>
      </c>
      <c r="NO64" s="388">
        <f t="shared" si="114"/>
        <v>17.348000790627744</v>
      </c>
      <c r="NP64" s="388">
        <f t="shared" si="115"/>
        <v>678.21761474437494</v>
      </c>
      <c r="NQ64" s="388">
        <f t="shared" si="116"/>
        <v>17.348000790627744</v>
      </c>
      <c r="NR64" s="388">
        <f t="shared" si="117"/>
        <v>679.23903968555805</v>
      </c>
      <c r="NS64" s="388">
        <f t="shared" si="118"/>
        <v>12.933282309999308</v>
      </c>
      <c r="NT64" s="388">
        <f t="shared" si="119"/>
        <v>12.933282309999308</v>
      </c>
      <c r="NU64" s="388">
        <f t="shared" si="120"/>
        <v>17.437593709263755</v>
      </c>
      <c r="NV64" s="388">
        <f t="shared" si="121"/>
        <v>17.437593709263755</v>
      </c>
      <c r="NW64">
        <f t="shared" si="122"/>
        <v>14.008838270809184</v>
      </c>
      <c r="NX64">
        <f>各项系数!$M$9*NK64</f>
        <v>3.8536767253820718</v>
      </c>
      <c r="NY64">
        <f t="shared" si="123"/>
        <v>12.933282309999308</v>
      </c>
    </row>
    <row r="65" spans="1:389" ht="15" hidden="1" customHeight="1">
      <c r="A65" s="65"/>
      <c r="B65" s="81"/>
      <c r="C65" s="67"/>
      <c r="D65" s="58" t="s">
        <v>277</v>
      </c>
      <c r="E65" s="54">
        <f t="shared" si="313"/>
        <v>77.74163136</v>
      </c>
      <c r="F65" s="68">
        <f>$F$33</f>
        <v>314.10304232929502</v>
      </c>
      <c r="G65" s="58"/>
      <c r="H65" s="16"/>
      <c r="I65" s="62"/>
      <c r="J65" s="16"/>
      <c r="K65" s="16"/>
      <c r="L65" s="97" t="s">
        <v>467</v>
      </c>
      <c r="M65" s="98">
        <f t="shared" si="2"/>
        <v>2.2000000000000002</v>
      </c>
      <c r="N65" s="98">
        <f t="shared" si="252"/>
        <v>0</v>
      </c>
      <c r="O65" s="58">
        <f t="shared" si="312"/>
        <v>0.08</v>
      </c>
      <c r="P65" s="99">
        <v>0.1</v>
      </c>
      <c r="Q65" s="136">
        <f t="shared" si="322"/>
        <v>0.1</v>
      </c>
      <c r="R65" s="151">
        <v>0.8</v>
      </c>
      <c r="S65" s="144" t="str">
        <f>各项系数!$D$43</f>
        <v>钢带</v>
      </c>
      <c r="T65" s="62">
        <v>0.5</v>
      </c>
      <c r="U65" s="62">
        <v>2</v>
      </c>
      <c r="V65" s="143"/>
      <c r="W65" s="145">
        <v>3.5</v>
      </c>
      <c r="X65" s="139">
        <f t="shared" si="323"/>
        <v>0.2</v>
      </c>
      <c r="Y65" s="139"/>
      <c r="Z65" s="169"/>
      <c r="AA65" s="170">
        <f>$AA$33</f>
        <v>1.02</v>
      </c>
      <c r="AB65" s="153">
        <f>PI()*EJ65*EJ65/4*EH65*(1-H65)*AA65*各项系数!$F$5*各项系数!$J$4*10^-7</f>
        <v>4.2647051993952481</v>
      </c>
      <c r="AC65" s="170">
        <f t="shared" si="314"/>
        <v>314.10304232929502</v>
      </c>
      <c r="AD65" s="153">
        <f t="shared" si="5"/>
        <v>482.13002011127043</v>
      </c>
      <c r="AE65" s="153">
        <f>POWER(4*EU65/PI()/EG65/10^-7/EH65/(1-H65)/各项系数!$F$5/各项系数!$J$4,0.5)</f>
        <v>317.22852271592683</v>
      </c>
      <c r="AF65" s="16">
        <v>1</v>
      </c>
      <c r="AG65" s="16">
        <f>IF(EM65=0,0,PI()*ER65*ER65/4*EP65*(1-K65)*(1+AF65)*各项系数!$F$5*各项系数!$J$4*10^-7)</f>
        <v>0</v>
      </c>
      <c r="AH65" s="16">
        <f t="shared" si="315"/>
        <v>0</v>
      </c>
      <c r="AI65" s="69">
        <f t="shared" si="128"/>
        <v>0</v>
      </c>
      <c r="AJ65" s="69">
        <f>IF(OR(EP65="",EP65=0),0,POWER(4*EW65/PI()/EO65/10^-7/EP65/(1-K65)/各项系数!$F$5/各项系数!$J$4,0.5))</f>
        <v>0</v>
      </c>
      <c r="AK65" s="16" t="str">
        <f t="shared" si="8"/>
        <v>√</v>
      </c>
      <c r="AL65" s="16">
        <f t="shared" si="316"/>
        <v>889.06596711943735</v>
      </c>
      <c r="AM65" s="106">
        <f t="shared" si="317"/>
        <v>500</v>
      </c>
      <c r="AN65" s="97" t="s">
        <v>486</v>
      </c>
      <c r="AO65" s="196">
        <f>AP65+各项系数!$M$9*$NK65</f>
        <v>871.63330109748756</v>
      </c>
      <c r="AP65" s="196">
        <f>AQ65*(1+$BI65+(VLOOKUP($AM65,$A$12:$B$323,2,0))+各项系数!$J$6+各项系数!$M$5)*(1+$E$2)</f>
        <v>866.72354316117492</v>
      </c>
      <c r="AQ65" s="197">
        <f>AR65+各项系数!$L$9*$NK65</f>
        <v>884.41177873589277</v>
      </c>
      <c r="AR65" s="197">
        <f>AS65*(1+$BJ65+各项系数!$J$5+各项系数!$L$5)</f>
        <v>879.50202079958012</v>
      </c>
      <c r="AS65" s="197">
        <f t="shared" si="129"/>
        <v>862.25688313684327</v>
      </c>
      <c r="AT65" s="196">
        <f>AU65+各项系数!$M$9*$NM65</f>
        <v>879.71193322508498</v>
      </c>
      <c r="AU65" s="196">
        <f>AV65*(1+$BI65+(VLOOKUP($AM65,$A$12:$B$323,2,0))+各项系数!$J$6+各项系数!$M$5)*(1+$E$2)</f>
        <v>874.80217528877233</v>
      </c>
      <c r="AV65" s="197">
        <f>AW65+各项系数!$L$9*$NM65</f>
        <v>892.65528090691055</v>
      </c>
      <c r="AW65" s="197">
        <f>AX65*(1+$BJ65+各项系数!$J$5+各项系数!$L$5)</f>
        <v>887.7455229705979</v>
      </c>
      <c r="AX65" s="197">
        <f t="shared" si="130"/>
        <v>870.33874801039008</v>
      </c>
      <c r="AY65" s="196">
        <f>AZ65+各项系数!$M$9*$NS65</f>
        <v>878.39261985986843</v>
      </c>
      <c r="AZ65" s="196">
        <f>BA65*(1+$BI65+(VLOOKUP($AM65,$A$12:$B$214,2,0))+各项系数!$J$6+各项系数!$M$5)*(1+$E$2)</f>
        <v>873.45318412033612</v>
      </c>
      <c r="BA65" s="197">
        <f>BB65+各项系数!$L$9*$NS65</f>
        <v>891.27875930646542</v>
      </c>
      <c r="BB65" s="197">
        <f>BC65*(1+$BJ65+各项系数!$J$5+各项系数!$L$5)</f>
        <v>886.3393235669331</v>
      </c>
      <c r="BC65" s="199">
        <f t="shared" si="131"/>
        <v>868.9601211440521</v>
      </c>
      <c r="BD65" s="196">
        <f>BE65+各项系数!$M$9*$NS65</f>
        <v>886.48866244998851</v>
      </c>
      <c r="BE65" s="196">
        <f>BF65*(1+$BI65+(VLOOKUP($AM65,$A$12:$B$214,2,0))+各项系数!$J$6+各项系数!$M$5)*(1+$E$2)</f>
        <v>881.5492267104562</v>
      </c>
      <c r="BF65" s="197">
        <f>BG65+各项系数!$L$9*$NS65</f>
        <v>899.54002725556757</v>
      </c>
      <c r="BG65" s="197">
        <f>BH65*(1+$BJ65+各项系数!$J$5+各项系数!$L$5)</f>
        <v>894.60059151603525</v>
      </c>
      <c r="BH65" s="199">
        <f t="shared" si="132"/>
        <v>877.05940344709336</v>
      </c>
      <c r="BI65" s="213"/>
      <c r="BJ65" s="208"/>
      <c r="BK65" s="53" t="s">
        <v>514</v>
      </c>
      <c r="BL65" s="196">
        <f>BM65+各项系数!$M$9*$NM65</f>
        <v>881.28864634850368</v>
      </c>
      <c r="BM65" s="196">
        <f>BN65*(1+$CF65+(VLOOKUP($AM65,$A$12:$B$323,2,0))+各项系数!$J$6+各项系数!$M$5)*(1+$E$2)</f>
        <v>876.37888841219103</v>
      </c>
      <c r="BN65" s="197">
        <f>BO65+各项系数!$L$9*$NM65</f>
        <v>894.26417184917455</v>
      </c>
      <c r="BO65" s="197">
        <f>BP65*(1+$CG65+各项系数!$J$5+各项系数!$L$5)</f>
        <v>889.3544139128619</v>
      </c>
      <c r="BP65" s="197">
        <f t="shared" si="133"/>
        <v>863.45088729404063</v>
      </c>
      <c r="BQ65" s="196">
        <f>BR65+各项系数!$M$9*$NM65</f>
        <v>888.24125295558679</v>
      </c>
      <c r="BR65" s="196">
        <f>BS65*(1+$CF65+(VLOOKUP($AM65,$A$12:$B$323,2,0))+各项系数!$J$6+各项系数!$M$5)*(1+$E$2)</f>
        <v>883.33149501927414</v>
      </c>
      <c r="BS65" s="197">
        <f>BT65+各项系数!$L$9*$NM65</f>
        <v>901.3586683870144</v>
      </c>
      <c r="BT65" s="197">
        <f>BU65*(1+$CG65+各项系数!$J$5+各项系数!$L$5)</f>
        <v>896.44891045070176</v>
      </c>
      <c r="BU65" s="197">
        <f t="shared" si="134"/>
        <v>870.33874801039008</v>
      </c>
      <c r="BV65" s="196">
        <f>BW65+各项系数!$M$9*$NT65</f>
        <v>883.28370537032833</v>
      </c>
      <c r="BW65" s="196">
        <f>BX65*(1+$CF65+(VLOOKUP($AM65,$A$12:$B$214,2,0))+各项系数!$J$6+各项系数!$M$5)*(1+$E$2)</f>
        <v>878.34426963079602</v>
      </c>
      <c r="BX65" s="197">
        <f>BY65+各项系数!$L$9*$NT$12</f>
        <v>896.26966288856738</v>
      </c>
      <c r="BY65" s="197">
        <f>BZ65*(1+$CG65+各项系数!$J$5+各项系数!$L$5)</f>
        <v>896.26139948541243</v>
      </c>
      <c r="BZ65" s="199">
        <f t="shared" si="11"/>
        <v>870.15669852952658</v>
      </c>
      <c r="CA65" s="196">
        <f>CB65+各项系数!$M$9*$NT65</f>
        <v>890.25129571412026</v>
      </c>
      <c r="CB65" s="196">
        <f>CC65*(1+$CF65+(VLOOKUP($AM65,$A$12:$B$214,2,0))+各项系数!$J$6+各项系数!$M$5)*(1+$E$2)</f>
        <v>885.31185997458795</v>
      </c>
      <c r="CC65" s="197">
        <f>CD65+各项系数!$L$9*$NT$12</f>
        <v>903.37944895366115</v>
      </c>
      <c r="CD65" s="197">
        <f>CE65*(1+$CG65+各项系数!$J$5+各项系数!$L$5)</f>
        <v>903.3711855505062</v>
      </c>
      <c r="CE65" s="199">
        <f t="shared" si="135"/>
        <v>877.05940344709336</v>
      </c>
      <c r="CF65" s="213">
        <f t="shared" si="136"/>
        <v>0</v>
      </c>
      <c r="CG65" s="213">
        <f t="shared" si="12"/>
        <v>0.01</v>
      </c>
      <c r="CH65" s="106"/>
      <c r="CI65" s="196">
        <f>CJ65+各项系数!$M$9*$NO65</f>
        <v>886.84346064580245</v>
      </c>
      <c r="CJ65" s="196">
        <f>CK65*(1+$DC65+(VLOOKUP($AM65,$A$12:$B$323,2,0))+各项系数!$J$6+各项系数!$M$5)*(1+$E$2)+各项系数!$M$9*$NK65</f>
        <v>880.22930570803715</v>
      </c>
      <c r="CK65" s="197">
        <f>CL65+各项系数!$L$9*$NO65</f>
        <v>893.18321201196375</v>
      </c>
      <c r="CL65" s="197">
        <f>CM65*(1+$DD65+各项系数!$J$5+各项系数!$L$5)</f>
        <v>886.56905707419844</v>
      </c>
      <c r="CM65" s="197">
        <f t="shared" si="13"/>
        <v>869.18535007274352</v>
      </c>
      <c r="CN65" s="196">
        <f>CO65+各项系数!$M$9*$NO65</f>
        <v>894.7034558596099</v>
      </c>
      <c r="CO65" s="196">
        <f>CP65*(1+$DC65+(VLOOKUP($AM65,$A$12:$B$323,2,0))+各项系数!$J$6+各项系数!$M$5)*(1+$E$2)+各项系数!$M$9*$NK65</f>
        <v>888.0893009218446</v>
      </c>
      <c r="CP65" s="197">
        <f>CQ65+各项系数!$L$9*$NO65</f>
        <v>901.20361529135914</v>
      </c>
      <c r="CQ65" s="197">
        <f>CR65*(1+$DD65+各项系数!$J$5+各项系数!$L$5)</f>
        <v>894.58946035359384</v>
      </c>
      <c r="CR65" s="197">
        <f t="shared" si="14"/>
        <v>877.04849054273905</v>
      </c>
      <c r="CS65" s="196">
        <f>CT65+各项系数!$M$9*$NU65</f>
        <v>888.82232789188367</v>
      </c>
      <c r="CT65" s="196">
        <f t="shared" si="15"/>
        <v>882.17792524292554</v>
      </c>
      <c r="CU65" s="197">
        <f>CV65+各项系数!$L$9*$NU65</f>
        <v>900.18155637033215</v>
      </c>
      <c r="CV65" s="197">
        <f>CW65*(1+$DD65+各项系数!$J$5+各项系数!$L$5)</f>
        <v>893.53715372137401</v>
      </c>
      <c r="CW65" s="199">
        <f t="shared" si="16"/>
        <v>876.01681737389606</v>
      </c>
      <c r="CX65" s="196">
        <f>CY65+各项系数!$M$9*$NU65</f>
        <v>897.06635941344632</v>
      </c>
      <c r="CY65" s="196">
        <f t="shared" si="17"/>
        <v>890.42195676448819</v>
      </c>
      <c r="CZ65" s="197">
        <f>DA65+各项系数!$L$9*$NU65</f>
        <v>908.59383343315119</v>
      </c>
      <c r="DA65" s="197">
        <f>DB65*(1+$DD65+各项系数!$J$5+各项系数!$L$5)</f>
        <v>901.94943078419305</v>
      </c>
      <c r="DB65" s="199">
        <f t="shared" si="18"/>
        <v>884.26414782764027</v>
      </c>
      <c r="DC65" s="213">
        <f t="shared" si="137"/>
        <v>0</v>
      </c>
      <c r="DD65" s="213">
        <f t="shared" si="19"/>
        <v>0</v>
      </c>
      <c r="DE65" s="53" t="s">
        <v>498</v>
      </c>
      <c r="DF65" s="53" t="s">
        <v>513</v>
      </c>
      <c r="DG65" s="196">
        <f>DH65+各项系数!$M$9*$NQ65</f>
        <v>896.58878291408462</v>
      </c>
      <c r="DH65" s="196">
        <f>DI65*(1+$EA65+(VLOOKUP($AM65,$A$12:$B$323,2,0))+各项系数!$J$6+各项系数!$M$5)*(1+$E$2)+各项系数!$M$9*$NK65</f>
        <v>889.97462797631931</v>
      </c>
      <c r="DI65" s="197">
        <f>DJ65+各项系数!$L$9*$NQ65</f>
        <v>903.12741840817012</v>
      </c>
      <c r="DJ65" s="197">
        <f>DK65*(1+$EB65+各项系数!$J$5+各项系数!$L$5)</f>
        <v>896.51326347040481</v>
      </c>
      <c r="DK65" s="197">
        <f t="shared" si="20"/>
        <v>870.40122667029596</v>
      </c>
      <c r="DL65" s="196">
        <f>DM65+各项系数!$M$9*$NQ65</f>
        <v>903.66875128319293</v>
      </c>
      <c r="DM65" s="196">
        <f>DN65*(1+$EA65+(VLOOKUP($AM65,$A$12:$B$323,2,0))+各项系数!$J$6+各项系数!$M$5)*(1+$E$2)+各项系数!$M$9*$NK65</f>
        <v>897.05459634542763</v>
      </c>
      <c r="DN65" s="197">
        <f>DO65+各项系数!$L$9*$NQ65</f>
        <v>910.3518759276684</v>
      </c>
      <c r="DO65" s="197">
        <f>DP65*(1+$EB65+各项系数!$J$5+各项系数!$L$5)</f>
        <v>903.7377209899031</v>
      </c>
      <c r="DP65" s="197">
        <f t="shared" si="21"/>
        <v>877.41526309699327</v>
      </c>
      <c r="DQ65" s="196">
        <f>DR65+各项系数!$M$9*$NV65</f>
        <v>898.63719595634018</v>
      </c>
      <c r="DR65" s="196">
        <f t="shared" si="22"/>
        <v>891.99279330738204</v>
      </c>
      <c r="DS65" s="197">
        <f>DT65+各项系数!$L$9*$NV65</f>
        <v>910.19672786467561</v>
      </c>
      <c r="DT65" s="197">
        <f>DU65*(1+$EB65+各项系数!$J$5+各项系数!$L$5)</f>
        <v>903.55232521571747</v>
      </c>
      <c r="DU65" s="199">
        <f t="shared" si="23"/>
        <v>877.23526719972563</v>
      </c>
      <c r="DV65" s="196">
        <f>DW65+各项系数!$M$9*$NV65</f>
        <v>898.47269087411541</v>
      </c>
      <c r="DW65" s="196">
        <f t="shared" si="24"/>
        <v>891.82828822515728</v>
      </c>
      <c r="DX65" s="197">
        <f>DY65+各项系数!$L$9*$NV65</f>
        <v>910.02886553587484</v>
      </c>
      <c r="DY65" s="197">
        <f>DZ65*(1+$EB65+各项系数!$J$5+各项系数!$L$5)</f>
        <v>903.38446288691671</v>
      </c>
      <c r="DZ65" s="199">
        <f t="shared" si="25"/>
        <v>877.07229406496765</v>
      </c>
      <c r="EA65" s="213">
        <f t="shared" si="311"/>
        <v>0</v>
      </c>
      <c r="EB65" s="213">
        <f t="shared" si="27"/>
        <v>0.01</v>
      </c>
      <c r="EC65" s="235">
        <f t="shared" si="138"/>
        <v>3</v>
      </c>
      <c r="ED65" s="237" t="str">
        <f t="shared" si="266"/>
        <v>3*500</v>
      </c>
      <c r="EE65" s="189">
        <f t="shared" si="239"/>
        <v>500</v>
      </c>
      <c r="EF65" s="78" t="str">
        <f>LOOKUP(EH65,{1,7,10,14,19,24,30,37,48,61},{1,"1+6","2+8","4+10","1+6+12","2+8+14","4+10+16","1+6+12+18","3+9+15+21","1+6+12+18+24"})</f>
        <v>1+6+12+18+24</v>
      </c>
      <c r="EG65" s="188">
        <f t="shared" si="29"/>
        <v>3</v>
      </c>
      <c r="EH65" s="197">
        <f>VLOOKUP(EE65,各项系数!$B$87:$C$124,2,0)</f>
        <v>61</v>
      </c>
      <c r="EI65" s="188">
        <f>IF(EH65=0,0,VLOOKUP(EH65,各项系数!$D$142:$E$195,2,0))*1</f>
        <v>9</v>
      </c>
      <c r="EJ65" s="238">
        <f t="shared" si="141"/>
        <v>314.10304232929502</v>
      </c>
      <c r="EK65" s="78">
        <f t="shared" si="318"/>
        <v>0</v>
      </c>
      <c r="EL65" s="189">
        <f t="shared" si="31"/>
        <v>0</v>
      </c>
      <c r="EM65" s="78">
        <f t="shared" si="267"/>
        <v>0</v>
      </c>
      <c r="EN65" s="78">
        <f>IF(EP65=0,0,LOOKUP(EP65,{1,7,10,14,19,24,30,37,48,61},{1,"1+6","2+8","4+10","1+6+12","2+8+14","4+10+16","1+6+12+18","3+9+15+21","1+6+12+18+24"}))</f>
        <v>0</v>
      </c>
      <c r="EO65" s="78">
        <f t="shared" si="319"/>
        <v>0</v>
      </c>
      <c r="EP65" s="78">
        <f>IF(EM65=0,0,IF(EM65&lt;10,1,IF(AND(EM65&gt;=10,EM65&lt;=35),7,LOOKUP(EM65,{50,70,95,120,150,185,240,300},{10,14,19,24,30,37,48,61})*1)))</f>
        <v>0</v>
      </c>
      <c r="EQ65" s="189">
        <f>IF(EP65=0,0,VLOOKUP(EP65,各项系数!$D$142:$E$195,2,0))*1</f>
        <v>0</v>
      </c>
      <c r="ER65" s="78">
        <f t="shared" si="320"/>
        <v>0</v>
      </c>
      <c r="ES65" s="237">
        <f t="shared" si="321"/>
        <v>3</v>
      </c>
      <c r="ET65" s="189">
        <f>VLOOKUP(ES65,各项系数!$D$142:$E$195,2,0)*1</f>
        <v>2.16</v>
      </c>
      <c r="EU65" s="243">
        <f>((各项系数!$F$76/4*$EJ65^2*$EG65*$EH65*1*10^-7)*(1-$H65)*AA65)*(VLOOKUP($EY$9,各项系数!$D$4:$F$143,3,0))*各项系数!$J$4</f>
        <v>12.794115598185742</v>
      </c>
      <c r="EV65" s="244">
        <f>EU65*(VLOOKUP($EY$9,各项系数!$D$4:$F$143,2,0))</f>
        <v>838.0145716811661</v>
      </c>
      <c r="EW65" s="252">
        <f>(IF($EO65=0,0,(各项系数!$F$76/4*$ER65^2*$EO65*$EP65*1*10^-7))*(1-$K65)*$AF65)*(VLOOKUP($EY$9,各项系数!$D$4:$F$143,3,0))*各项系数!$J$4</f>
        <v>0</v>
      </c>
      <c r="EX65" s="253">
        <f>EW65*(VLOOKUP($EY$9,各项系数!$D$4:$F$143,2,0))</f>
        <v>0</v>
      </c>
      <c r="EY65" s="189">
        <f>((各项系数!$F$76/4*$EJ65^2*$EG65*$EH65*1*10^-7)*(1-$H65)*AA65+IF($EO65=0,0,(各项系数!$F$76/4*$ER65^2*$EO65*$EP65*1*10^-7))*(1-$K65)*$AF65)*(VLOOKUP($EY$9,各项系数!$D$4:$F$143,3,0))*各项系数!$J$4</f>
        <v>12.794115598185742</v>
      </c>
      <c r="EZ65" s="102">
        <v>1</v>
      </c>
      <c r="FA65" s="189">
        <f t="shared" si="268"/>
        <v>12.794115598185742</v>
      </c>
      <c r="FB65" s="254">
        <f>FA65*(VLOOKUP($EY$9,各项系数!$D$4:$F$143,2,0))</f>
        <v>838.0145716811661</v>
      </c>
      <c r="FC65" s="257"/>
      <c r="FD65" s="235">
        <f>各项系数!$F$76/4*($MN65^2-MK65^2)*10^-2*(VLOOKUP(L65,各项系数!$D$1:$F$143,3,0))*10^-3*10^2*$EG65*各项系数!$J$4</f>
        <v>0.69146734851176006</v>
      </c>
      <c r="FE65" s="262">
        <f>FD65*VLOOKUP(L65,各项系数!$D$1:$F$143,2,0)</f>
        <v>7.0529669548199525</v>
      </c>
      <c r="FF65" s="188">
        <f>各项系数!$F$76/4*($MO65^2-ML65^2)*10^-2*(VLOOKUP(L65,各项系数!$D$1:$F$143,3,0))*10^-3*10^2*$EO65*各项系数!$J$4</f>
        <v>0</v>
      </c>
      <c r="FG65" s="262">
        <f>FF65*VLOOKUP(L65,各项系数!$D$1:$F$143,2,0)</f>
        <v>0</v>
      </c>
      <c r="FH65" s="235">
        <f t="shared" si="142"/>
        <v>0.69146734851176006</v>
      </c>
      <c r="FI65" s="102">
        <v>1</v>
      </c>
      <c r="FJ65" s="189">
        <f t="shared" si="269"/>
        <v>0.69146734851176006</v>
      </c>
      <c r="FK65" s="262">
        <f>FJ65*VLOOKUP(L65,各项系数!$D$1:$F$143,2,0)</f>
        <v>7.0529669548199525</v>
      </c>
      <c r="FL65" s="237"/>
      <c r="FM65" s="106"/>
      <c r="FN65" s="189"/>
      <c r="FO65" s="262"/>
      <c r="FP65" s="282">
        <f t="shared" si="270"/>
        <v>0.69146734851176006</v>
      </c>
      <c r="FQ65" s="282">
        <f t="shared" si="271"/>
        <v>7.0529669548199525</v>
      </c>
      <c r="FR65" s="283">
        <f>各项系数!$F$76/4*($MQ65^2-$MN65^2*$EG65-$MO65^2*$EO65)*10^-2</f>
        <v>13.961740260489536</v>
      </c>
      <c r="FS65" s="284">
        <f t="shared" si="143"/>
        <v>1</v>
      </c>
      <c r="FT65" s="285">
        <f t="shared" si="40"/>
        <v>13.961740260489536</v>
      </c>
      <c r="FU65" s="302">
        <f>$FT65*(VLOOKUP($FT$9,各项系数!$D$1:$F$143,3,0))*10^-3*10^2*各项系数!$J$55</f>
        <v>1.6670317871024505</v>
      </c>
      <c r="FV65" s="303">
        <v>1</v>
      </c>
      <c r="FW65" s="304">
        <f t="shared" si="272"/>
        <v>1.6670317871024505</v>
      </c>
      <c r="FX65" s="285">
        <f>FW65*(VLOOKUP($FT$9,各项系数!$D$1:$F$143,2,0))</f>
        <v>5.0010953613073514</v>
      </c>
      <c r="FY65" s="302">
        <f>IF($BK65&lt;&gt;$FY$9,0,各项系数!$F$76/4*($MS65^2-$MQ65^2)*10^-2*(VLOOKUP($FY$9,各项系数!$D$1:$F$143,3,0))*10^-3*10^2)*各项系数!$J$4</f>
        <v>0</v>
      </c>
      <c r="FZ65" s="303">
        <v>1</v>
      </c>
      <c r="GA65" s="304">
        <f t="shared" si="273"/>
        <v>0</v>
      </c>
      <c r="GB65" s="285">
        <f>GA65*(VLOOKUP($FY$9,各项系数!$D$1:$F$143,2,0))</f>
        <v>0</v>
      </c>
      <c r="GC65" s="302">
        <f>IF($BK65&lt;&gt;$GC$9,0,各项系数!$F$76/4*($MS65^2-$MQ65^2)*10^-2*(VLOOKUP($GC$9,各项系数!$D$1:$F$143,3,0))*10^-3*10^2)*各项系数!$J$4</f>
        <v>1.9240896711346871E-2</v>
      </c>
      <c r="GD65" s="303">
        <v>1</v>
      </c>
      <c r="GE65" s="304">
        <f t="shared" si="274"/>
        <v>1.9240896711346871E-2</v>
      </c>
      <c r="GF65" s="285">
        <f>GE65*(VLOOKUP($GC$9,各项系数!$D$1:$F$143,2,0))</f>
        <v>0.24820756757637463</v>
      </c>
      <c r="GG65" s="302">
        <f>IF($BK65&lt;&gt;$GG$9,0,各项系数!$F$76/4*($MS65^2-$MQ65^2)*10^-2*(VLOOKUP($GG$9,各项系数!$D$1:$F$143,3,0))*10^-3*10^2)*各项系数!$J$4</f>
        <v>0</v>
      </c>
      <c r="GH65" s="303">
        <v>1</v>
      </c>
      <c r="GI65" s="304">
        <f t="shared" si="275"/>
        <v>0</v>
      </c>
      <c r="GJ65" s="285">
        <f>GI65*(VLOOKUP($GG$9,各项系数!$D$1:$F$143,2,0))</f>
        <v>0</v>
      </c>
      <c r="GK65" s="302">
        <f>IF($BK65&lt;&gt;$GK$9,0,各项系数!$F$76/4*($MS65^2-$MQ65^2)*10^-2*(VLOOKUP($GK$9,各项系数!$D$1:$F$143,3,0))*10^-3*10^2)*各项系数!$J$4</f>
        <v>0</v>
      </c>
      <c r="GL65" s="303">
        <v>1</v>
      </c>
      <c r="GM65" s="304">
        <f t="shared" si="276"/>
        <v>0</v>
      </c>
      <c r="GN65" s="285">
        <f>GM65*(VLOOKUP($GK$9,各项系数!$D$1:$F$143,2,0))</f>
        <v>0</v>
      </c>
      <c r="GO65" s="304">
        <f t="shared" si="277"/>
        <v>1.9240896711346871E-2</v>
      </c>
      <c r="GP65" s="304">
        <f t="shared" si="278"/>
        <v>0.24820756757637463</v>
      </c>
      <c r="GQ65" s="315">
        <f>各项系数!$F$76/4*($MU65^2-$MS65^2)*10^-2*(VLOOKUP($S65,各项系数!$D$1:$F$143,3,0))*10^-3*10^2*各项系数!$J$4</f>
        <v>1.3106785052723045</v>
      </c>
      <c r="GR65" s="303">
        <v>1</v>
      </c>
      <c r="GS65" s="304">
        <f t="shared" si="279"/>
        <v>1.3106785052723045</v>
      </c>
      <c r="GT65" s="304">
        <f t="shared" si="200"/>
        <v>0</v>
      </c>
      <c r="GU65" s="304">
        <f>ROUND($GS65*(VLOOKUP($S65,各项系数!$D$1:$F$143,2,0))+$E$3*GS65,GT65)</f>
        <v>8</v>
      </c>
      <c r="GV65" s="315">
        <f>各项系数!$F$76/4*($MT65^2-$MS65^2)*10^-2*(VLOOKUP($GV$9,各项系数!$D$1:$F$143,3,0))*10^-3*10^2*各项系数!$J$4*PI()/4*R65</f>
        <v>9.8926010732416372E-2</v>
      </c>
      <c r="GW65" s="303">
        <v>1</v>
      </c>
      <c r="GX65" s="304">
        <f t="shared" si="280"/>
        <v>9.8926010732416372E-2</v>
      </c>
      <c r="GY65" s="304">
        <f>$GX65*(VLOOKUP($GV$9,各项系数!$D$1:$F$143,2,0))</f>
        <v>6.6775057244381051</v>
      </c>
      <c r="GZ65" s="315">
        <f>各项系数!$F$76/4*($MV65^2-$MS65^2)*10^-2*(VLOOKUP($GZ$9,各项系数!$D$1:$F$143,3,0))*10^-3*10^2*各项系数!$J$4</f>
        <v>1.1777592026776667</v>
      </c>
      <c r="HA65" s="303">
        <v>1</v>
      </c>
      <c r="HB65" s="304">
        <f t="shared" si="144"/>
        <v>1.1777592026776667</v>
      </c>
      <c r="HC65" s="304">
        <f>HB65*(VLOOKUP($GZ$9,各项系数!$D$1:$F$143,2,0))</f>
        <v>20.021906445520333</v>
      </c>
      <c r="HD65" s="315">
        <f>各项系数!$F$76/4*($MW65^2-$MT65^2)*10^-2*(VLOOKUP($HD$9,各项系数!$D$1:$F$143,3,0))*10^-3*10^2*各项系数!$J$4</f>
        <v>1.1802974210462078</v>
      </c>
      <c r="HE65" s="303">
        <v>1</v>
      </c>
      <c r="HF65" s="304">
        <f t="shared" si="145"/>
        <v>1.1802974210462078</v>
      </c>
      <c r="HG65" s="304">
        <f>HF65*(VLOOKUP($HD$9,各项系数!$D$1:$F$143,2,0))</f>
        <v>20.065056157785534</v>
      </c>
      <c r="HH65" s="315">
        <f>各项系数!$F$76/4*($MV65^2-$MS65^2)*10^-2*(VLOOKUP($HH$9,各项系数!$D$1:$F$143,3,0))*10^-3*10^2*各项系数!$J$4</f>
        <v>1.1777592026776667</v>
      </c>
      <c r="HI65" s="322">
        <v>1</v>
      </c>
      <c r="HJ65" s="304">
        <f t="shared" si="146"/>
        <v>1.1777592026776667</v>
      </c>
      <c r="HK65" s="304">
        <f>HJ65*(VLOOKUP($HH$9,各项系数!$D$1:$F$143,2,0))</f>
        <v>20.021906445520333</v>
      </c>
      <c r="HL65" s="315">
        <f>各项系数!$F$76/4*($MW65^2-$MT65^2)*10^-2*(VLOOKUP($HL$9,各项系数!$D$1:$F$143,3,0))*10^-3*10^2*各项系数!$J$4</f>
        <v>1.1802974210462078</v>
      </c>
      <c r="HM65" s="322">
        <v>1</v>
      </c>
      <c r="HN65" s="304">
        <f t="shared" si="147"/>
        <v>1.1802974210462078</v>
      </c>
      <c r="HO65" s="304">
        <f>HN65*(VLOOKUP($HL$9,各项系数!$D$1:$F$143,2,0))</f>
        <v>20.065056157785534</v>
      </c>
      <c r="HP65" s="315">
        <f>各项系数!$F$76/4*($MV65^2-$MS65^2)*10^-2*(VLOOKUP(AN65,各项系数!$D$1:$F$143,3,0))*10^-3*10^2*各项系数!$J$4</f>
        <v>1.1940041571973588</v>
      </c>
      <c r="HQ65" s="303">
        <v>1</v>
      </c>
      <c r="HR65" s="304">
        <f t="shared" si="281"/>
        <v>1.1940041571973588</v>
      </c>
      <c r="HS65" s="304">
        <f>HR65*(VLOOKUP(AN65,各项系数!$D$1:$F$143,2,0))</f>
        <v>11.940041571973588</v>
      </c>
      <c r="HT65" s="315">
        <f>各项系数!$F$76/4*($MW65^2-$MT65^2)*10^-2*(VLOOKUP(AN65,各项系数!$D$1:$F$143,3,0))*10^-3*10^2*各项系数!$J$4</f>
        <v>1.1965773854744315</v>
      </c>
      <c r="HU65" s="303">
        <v>1</v>
      </c>
      <c r="HV65" s="304">
        <f t="shared" si="282"/>
        <v>1.1965773854744315</v>
      </c>
      <c r="HW65" s="304">
        <f>HV65*(VLOOKUP(AN65,各项系数!$D$1:$F$143,2,0))</f>
        <v>11.965773854744315</v>
      </c>
      <c r="HX65" s="315">
        <f>各项系数!$F$76/4*($MV65^2-$MS65^2)*10^-2*(VLOOKUP($HX$9,各项系数!$D$1:$F$143,3,0))*10^-3*10^2*各项系数!$J$4</f>
        <v>1.1940041571973588</v>
      </c>
      <c r="HY65" s="322">
        <v>1</v>
      </c>
      <c r="HZ65" s="304">
        <f t="shared" si="283"/>
        <v>1.1940041571973588</v>
      </c>
      <c r="IA65" s="304">
        <f>HZ65*(VLOOKUP($HX$9,各项系数!$D$1:$F$143,2,0))</f>
        <v>13.134045729170946</v>
      </c>
      <c r="IB65" s="315">
        <f>各项系数!$F$76/4*($MW65^2-$MT65^2)*10^-2*(VLOOKUP($IB$9,各项系数!$D$1:$F$143,3,0))*10^-3*10^2*各项系数!$J$4</f>
        <v>1.1965773854744315</v>
      </c>
      <c r="IC65" s="322">
        <v>1</v>
      </c>
      <c r="ID65" s="304">
        <f t="shared" si="284"/>
        <v>1.1965773854744315</v>
      </c>
      <c r="IE65" s="304">
        <f>ID65*(VLOOKUP($IB$9,各项系数!$D$1:$F$143,2,0))</f>
        <v>13.162351240218747</v>
      </c>
      <c r="IF65" s="309"/>
      <c r="IG65" s="315">
        <f t="shared" si="148"/>
        <v>0.12056074495539579</v>
      </c>
      <c r="IH65" s="303">
        <v>1</v>
      </c>
      <c r="II65" s="304">
        <f t="shared" si="285"/>
        <v>0.12056074495539579</v>
      </c>
      <c r="IJ65" s="304">
        <f>II65*(VLOOKUP($IG$8,各项系数!$D$1:$F$143,2,0))</f>
        <v>3.0140186238848945</v>
      </c>
      <c r="IK65" s="315">
        <f>(各项系数!$F$76/4*($MX65^2-$MK65^2)*$EG65)*10^-2*(VLOOKUP($IG$8,各项系数!$D$1:$F$143,3,0))*10^-3*10^2*各项系数!$J$4</f>
        <v>0.12056074495539579</v>
      </c>
      <c r="IL65" s="303">
        <f>IK65*(VLOOKUP($IG$8,各项系数!$D$1:$F$143,2,0))</f>
        <v>3.0140186238848945</v>
      </c>
      <c r="IM65" s="304">
        <f>(各项系数!$F$76/4*(($MM65+3*$X65)^2-MM65^2)*$EO65)*10^-2*(VLOOKUP($IG$8,各项系数!$D$1:$F$143,3,0))*10^-3*10^2*各项系数!$J$4</f>
        <v>0</v>
      </c>
      <c r="IN65" s="303">
        <f>IM65*(VLOOKUP($IG$8,各项系数!$D$1:$F$143,2,0))</f>
        <v>0</v>
      </c>
      <c r="IO65" s="315">
        <f>各项系数!$F$76/4*($MZ65^2-$MX65^2)*10^-2*(VLOOKUP(L65,各项系数!$D$1:$F$143,3,0))*10^-3*10^2*$ES65*各项系数!$J$4</f>
        <v>0.70508370222280248</v>
      </c>
      <c r="IP65" s="303">
        <v>1</v>
      </c>
      <c r="IQ65" s="304">
        <f t="shared" si="286"/>
        <v>0.70508370222280248</v>
      </c>
      <c r="IR65" s="285">
        <f>IQ65*(VLOOKUP(L65,各项系数!$D$1:$F$143,2,0))</f>
        <v>7.1918537626725847</v>
      </c>
      <c r="IS65" s="315">
        <f>IF($L65&lt;&gt;$IS$9,0,各项系数!$F$76/4*($MZ65^2-$MX65^2)*10^-2*各项系数!$F$12*10^-3*10^2)*$ES65*各项系数!$J$4</f>
        <v>0</v>
      </c>
      <c r="IT65" s="310">
        <v>1</v>
      </c>
      <c r="IU65" s="304">
        <f t="shared" si="287"/>
        <v>0</v>
      </c>
      <c r="IV65" s="285">
        <f>IU65*各项系数!$E$12</f>
        <v>0</v>
      </c>
      <c r="IW65" s="302">
        <f t="shared" si="288"/>
        <v>0.70508370222280248</v>
      </c>
      <c r="IX65" s="302">
        <f t="shared" si="289"/>
        <v>7.1918537626725847</v>
      </c>
      <c r="IY65" s="339">
        <f>各项系数!$F$76/4*($NB65^2-$MZ65^2*$EG65-$NA65^2*$EO65)*10^-2</f>
        <v>14.479288958608457</v>
      </c>
      <c r="IZ65" s="284">
        <f t="shared" si="231"/>
        <v>1</v>
      </c>
      <c r="JA65" s="285">
        <f t="shared" si="64"/>
        <v>14.479288958608457</v>
      </c>
      <c r="JB65" s="282">
        <f>IF($DE65&lt;&gt;$JB$9,0,$JA65*各项系数!$F$32*10^-3*10^2)*各项系数!$J$4</f>
        <v>0</v>
      </c>
      <c r="JC65" s="102">
        <v>1</v>
      </c>
      <c r="JD65" s="189">
        <f t="shared" si="290"/>
        <v>0</v>
      </c>
      <c r="JE65" s="262">
        <f>JD65*各项系数!$E$32</f>
        <v>0</v>
      </c>
      <c r="JF65" s="282">
        <f>IF($DE65&lt;&gt;$JF$9,0,$JA65*VLOOKUP($JF$9,各项系数!$D$4:$F$540,2,0)*10^-3*10^2)*各项系数!$J$4</f>
        <v>7.2034462569077071</v>
      </c>
      <c r="JG65" s="102">
        <v>1</v>
      </c>
      <c r="JH65" s="189">
        <f t="shared" si="66"/>
        <v>7.2034462569077071</v>
      </c>
      <c r="JI65" s="262">
        <f>JH65*VLOOKUP($JF$9,各项系数!$D$4:$F$540,3,0)</f>
        <v>8.6441355082892475</v>
      </c>
      <c r="JJ65" s="282">
        <f t="shared" si="291"/>
        <v>7.2034462569077071</v>
      </c>
      <c r="JK65" s="189">
        <f t="shared" si="292"/>
        <v>8.6441355082892475</v>
      </c>
      <c r="JL65" s="282">
        <f>IF($DF65&lt;&gt;$JL$9,0,各项系数!$F$76/4*($NE65^2-$NC65^2)*10^-2*各项系数!$F$39*10^-3*10^2)*各项系数!$J$4</f>
        <v>8.1002260602939906E-3</v>
      </c>
      <c r="JM65" s="102">
        <v>1</v>
      </c>
      <c r="JN65" s="189">
        <f t="shared" si="293"/>
        <v>8.1002260602939906E-3</v>
      </c>
      <c r="JO65" s="262">
        <f>JN65*各项系数!$E$39</f>
        <v>0.16200452120587983</v>
      </c>
      <c r="JP65" s="282">
        <f>IF($DF65&lt;&gt;$JP$9,0,各项系数!$F$76/4*($NE65^2-$NC65^2)*10^-2*各项系数!$F$36*10^-3*10^2)*各项系数!$J$4</f>
        <v>0</v>
      </c>
      <c r="JQ65" s="102">
        <v>1</v>
      </c>
      <c r="JR65" s="189">
        <f t="shared" si="294"/>
        <v>0</v>
      </c>
      <c r="JS65" s="262">
        <f>JR65*各项系数!$E$36</f>
        <v>0</v>
      </c>
      <c r="JT65" s="282">
        <f>IF($DF65&lt;&gt;$JT$9,0,各项系数!$F$76/4*($NE65^2-$NC65^2)*10^-2*各项系数!$F$40*10^-3*10^2)*各项系数!$J$4</f>
        <v>0</v>
      </c>
      <c r="JU65" s="102">
        <v>1</v>
      </c>
      <c r="JV65" s="189">
        <f t="shared" si="295"/>
        <v>0</v>
      </c>
      <c r="JW65" s="262">
        <f>JV65*各项系数!$E$40</f>
        <v>0</v>
      </c>
      <c r="JX65" s="282">
        <f>IF($DF65&lt;&gt;$JX$9,0,各项系数!$F$76/4*($NE65^2-$NC65^2)*10^-2*各项系数!$F$38*10^-3*10^2)*各项系数!$J$4</f>
        <v>0</v>
      </c>
      <c r="JY65" s="102">
        <v>1</v>
      </c>
      <c r="JZ65" s="189">
        <f t="shared" si="296"/>
        <v>0</v>
      </c>
      <c r="KA65" s="262">
        <f>JZ65*各项系数!$E$38</f>
        <v>0</v>
      </c>
      <c r="KB65" s="282">
        <f>IF($DF65&lt;&gt;$KB$9,0,各项系数!$F$76/4*($NE65^2-$NC65^2)*10^-2*各项系数!$F$41*10^-3*10^2)*各项系数!$J$4</f>
        <v>0</v>
      </c>
      <c r="KC65" s="102">
        <v>1</v>
      </c>
      <c r="KD65" s="189">
        <f t="shared" si="297"/>
        <v>0</v>
      </c>
      <c r="KE65" s="262">
        <f>KD65*各项系数!$E$41</f>
        <v>0</v>
      </c>
      <c r="KF65" s="189">
        <f t="shared" si="298"/>
        <v>8.1002260602939906E-3</v>
      </c>
      <c r="KG65" s="189">
        <f t="shared" si="299"/>
        <v>0.16200452120587983</v>
      </c>
      <c r="KH65" s="235">
        <f>各项系数!$F$76/4*($NG65^2-$NE65^2)*10^-2*各项系数!$F$44*10^-3*10^2*各项系数!$J$4*0.75*$U65</f>
        <v>2.0034177178742807</v>
      </c>
      <c r="KI65" s="102">
        <v>1</v>
      </c>
      <c r="KJ65" s="189">
        <f t="shared" si="300"/>
        <v>2.0034177178742807</v>
      </c>
      <c r="KK65" s="189">
        <f>ROUND(KJ65*各项系数!$E$43,GT65)</f>
        <v>12</v>
      </c>
      <c r="KL65" s="235">
        <f>各项系数!$F$76/4*($NF65^2-$NE65^2)*10^-2*各项系数!$F$46*10^-3*10^2*各项系数!$J$4*PI()/4*R65</f>
        <v>0.10082570397602673</v>
      </c>
      <c r="KM65" s="102">
        <v>1</v>
      </c>
      <c r="KN65" s="189">
        <f t="shared" si="301"/>
        <v>0.10082570397602673</v>
      </c>
      <c r="KO65" s="189">
        <f>KN65*各项系数!$E$46</f>
        <v>6.8057350183818048</v>
      </c>
      <c r="KP65" s="235">
        <f>各项系数!$F$76/4*($NH65^2-$NE65^2)*10^-2*(VLOOKUP($KP$9,各项系数!$D$1:$F$143,3,0))*10^-3*10^2*各项系数!$J$4</f>
        <v>1.1993340588102668</v>
      </c>
      <c r="KQ65" s="102">
        <v>1</v>
      </c>
      <c r="KR65" s="189">
        <f t="shared" si="150"/>
        <v>1.1993340588102668</v>
      </c>
      <c r="KS65" s="189">
        <f>KR65*(VLOOKUP($KP$9,各项系数!$D$1:$F$143,2,0))</f>
        <v>20.388678999774534</v>
      </c>
      <c r="KT65" s="235">
        <f>各项系数!$F$76/4*($NI65^2-$NF65^2)*10^-2*(VLOOKUP($KT$9,各项系数!$D$1:$F$143,3,0))*10^-3*10^2*各项系数!$J$4</f>
        <v>1.2018722771788091</v>
      </c>
      <c r="KU65" s="102">
        <v>1</v>
      </c>
      <c r="KV65" s="189">
        <f t="shared" si="151"/>
        <v>1.2018722771788091</v>
      </c>
      <c r="KW65" s="189">
        <f>KV65*(VLOOKUP($KT$9,各项系数!$D$1:$F$143,2,0))</f>
        <v>20.431828712039753</v>
      </c>
      <c r="KX65" s="189">
        <f>各项系数!$F$76/4*($NH65^2-$NE65^2)*10^-2*(VLOOKUP($KX$9,各项系数!$D$1:$F$143,3,0))*10^-3*10^2*各项系数!$J$4</f>
        <v>1.1993340588102668</v>
      </c>
      <c r="KY65" s="353">
        <v>1</v>
      </c>
      <c r="KZ65" s="189">
        <f t="shared" si="152"/>
        <v>1.1993340588102668</v>
      </c>
      <c r="LA65" s="189">
        <f>KZ65*(VLOOKUP($KX$9,各项系数!$D$1:$F$143,2,0))</f>
        <v>20.388678999774534</v>
      </c>
      <c r="LB65" s="189">
        <f>各项系数!$F$76/4*($NI65^2-$NF65^2)*10^-2*(VLOOKUP($LB$9,各项系数!$D$1:$F$143,3,0))*10^-3*10^2*各项系数!$J$4</f>
        <v>1.2018722771788091</v>
      </c>
      <c r="LC65" s="353">
        <v>1</v>
      </c>
      <c r="LD65" s="189">
        <f t="shared" si="153"/>
        <v>1.2018722771788091</v>
      </c>
      <c r="LE65" s="189">
        <f>LD65*(VLOOKUP($LB$9,各项系数!$D$1:$F$143,2,0))</f>
        <v>20.431828712039753</v>
      </c>
      <c r="LF65" s="235">
        <f>各项系数!$F$76/4*($NH65^2-$NE65^2)*10^-2*(VLOOKUP(AN65,各项系数!$D$1:$F$143,3,0))*10^-3*10^2*各项系数!$J$4</f>
        <v>1.2158765975524777</v>
      </c>
      <c r="LG65" s="102">
        <v>1</v>
      </c>
      <c r="LH65" s="189">
        <f t="shared" si="302"/>
        <v>1.2158765975524777</v>
      </c>
      <c r="LI65" s="189">
        <f>LH65*(VLOOKUP(AN65,各项系数!$D$1:$F$143,2,0))</f>
        <v>12.158765975524776</v>
      </c>
      <c r="LJ65" s="235">
        <f>各项系数!$F$76/4*($NI65^2-$NF65^2)*10^-2*(VLOOKUP(AN65,各项系数!$D$1:$F$143,3,0))*10^-3*10^2*各项系数!$J$4</f>
        <v>1.2184498258295513</v>
      </c>
      <c r="LK65" s="102">
        <v>1</v>
      </c>
      <c r="LL65" s="189">
        <f t="shared" si="303"/>
        <v>1.2184498258295513</v>
      </c>
      <c r="LM65" s="189">
        <f>LL65*(VLOOKUP(AN65,各项系数!$D$1:$F$143,2,0))</f>
        <v>12.184498258295513</v>
      </c>
      <c r="LN65" s="189">
        <f>各项系数!$F$76/4*($NH65^2-$NE65^2)*10^-2*(VLOOKUP($LN$9,各项系数!$D$1:$F$143,3,0))*10^-3*10^2*各项系数!$J$4</f>
        <v>1.2158765975524777</v>
      </c>
      <c r="LO65" s="353">
        <v>1</v>
      </c>
      <c r="LP65" s="189">
        <f t="shared" si="304"/>
        <v>1.2158765975524777</v>
      </c>
      <c r="LQ65" s="189">
        <f>LP65*(VLOOKUP($LN$9,各项系数!$D$1:$F$143,2,0))</f>
        <v>13.374642573077255</v>
      </c>
      <c r="LR65" s="189">
        <f>各项系数!$F$76/4*($NI65^2-$NF65^2)*10^-2*(VLOOKUP($LR$9,各项系数!$D$1:$F$143,3,0))*10^-3*10^2*各项系数!$J$4</f>
        <v>1.2184498258295513</v>
      </c>
      <c r="LS65" s="353">
        <v>1</v>
      </c>
      <c r="LT65" s="189">
        <f t="shared" si="305"/>
        <v>1.2184498258295513</v>
      </c>
      <c r="LU65" s="189">
        <f>LT65*(VLOOKUP($LR$9,各项系数!$D$1:$F$143,2,0))</f>
        <v>13.402948084125065</v>
      </c>
      <c r="LV65" s="227">
        <f t="shared" si="154"/>
        <v>1882.9571623500001</v>
      </c>
      <c r="LW65" s="227">
        <f t="shared" si="155"/>
        <v>1418.0294679399999</v>
      </c>
      <c r="LX65" s="227">
        <f t="shared" si="156"/>
        <v>42.491071934948529</v>
      </c>
      <c r="LY65" s="227">
        <f t="shared" si="157"/>
        <v>464.92769441000019</v>
      </c>
      <c r="LZ65" s="374">
        <f t="shared" si="86"/>
        <v>1</v>
      </c>
      <c r="MA65" s="375">
        <f t="shared" si="87"/>
        <v>1882.9571623500001</v>
      </c>
      <c r="MB65" s="375">
        <f t="shared" si="158"/>
        <v>28.269273779999999</v>
      </c>
      <c r="MC65" s="227">
        <f t="shared" si="159"/>
        <v>0</v>
      </c>
      <c r="MD65" s="227">
        <f t="shared" si="160"/>
        <v>0</v>
      </c>
      <c r="ME65" s="227">
        <f t="shared" si="161"/>
        <v>0</v>
      </c>
      <c r="MF65" s="227">
        <f t="shared" si="162"/>
        <v>0</v>
      </c>
      <c r="MG65" s="374">
        <f t="shared" si="163"/>
        <v>1</v>
      </c>
      <c r="MH65" s="375">
        <f t="shared" si="88"/>
        <v>0</v>
      </c>
      <c r="MI65" s="375">
        <f t="shared" si="164"/>
        <v>0</v>
      </c>
      <c r="MJ65" s="189">
        <f t="shared" si="89"/>
        <v>28.269273779999999</v>
      </c>
      <c r="MK65" s="189">
        <f t="shared" si="165"/>
        <v>28.269273779999999</v>
      </c>
      <c r="ML65" s="189">
        <f t="shared" si="306"/>
        <v>0</v>
      </c>
      <c r="MM65" s="189">
        <f t="shared" si="91"/>
        <v>0</v>
      </c>
      <c r="MN65" s="189">
        <f t="shared" si="92"/>
        <v>32.669273779999997</v>
      </c>
      <c r="MO65" s="189">
        <f t="shared" si="166"/>
        <v>0</v>
      </c>
      <c r="MP65" s="189">
        <f t="shared" si="167"/>
        <v>70.565631359999998</v>
      </c>
      <c r="MQ65" s="189">
        <f t="shared" si="307"/>
        <v>70.565631359999998</v>
      </c>
      <c r="MR65" s="246">
        <f t="shared" si="168"/>
        <v>70.565631359999998</v>
      </c>
      <c r="MS65" s="380">
        <f t="shared" si="94"/>
        <v>70.74163136</v>
      </c>
      <c r="MT65" s="380">
        <f t="shared" si="95"/>
        <v>70.901631359999996</v>
      </c>
      <c r="MU65" s="380">
        <f t="shared" si="232"/>
        <v>72.24163136</v>
      </c>
      <c r="MV65" s="380">
        <f t="shared" si="97"/>
        <v>77.74163136</v>
      </c>
      <c r="MW65" s="380">
        <f t="shared" si="98"/>
        <v>77.901631359999996</v>
      </c>
      <c r="MX65" s="254">
        <f t="shared" si="233"/>
        <v>28.86927378</v>
      </c>
      <c r="MY65" s="254">
        <f t="shared" si="100"/>
        <v>0</v>
      </c>
      <c r="MZ65" s="189">
        <f t="shared" si="101"/>
        <v>33.269273779999999</v>
      </c>
      <c r="NA65" s="189">
        <f t="shared" si="102"/>
        <v>0</v>
      </c>
      <c r="NB65" s="189">
        <f t="shared" si="169"/>
        <v>71.861631360000004</v>
      </c>
      <c r="NC65" s="254">
        <f t="shared" si="308"/>
        <v>71.861631360000004</v>
      </c>
      <c r="ND65" s="246">
        <f t="shared" si="234"/>
        <v>71.861631360000004</v>
      </c>
      <c r="NE65" s="386">
        <f t="shared" si="235"/>
        <v>72.101631359999999</v>
      </c>
      <c r="NF65" s="380">
        <f t="shared" si="106"/>
        <v>72.261631359999996</v>
      </c>
      <c r="NG65" s="387">
        <f t="shared" si="236"/>
        <v>73.601631359999999</v>
      </c>
      <c r="NH65" s="254">
        <f t="shared" si="108"/>
        <v>79.101631359999999</v>
      </c>
      <c r="NI65" s="380">
        <f t="shared" si="109"/>
        <v>79.261631359999996</v>
      </c>
      <c r="NK65" s="388">
        <f t="shared" si="110"/>
        <v>16.365859787708658</v>
      </c>
      <c r="NL65" s="388">
        <f t="shared" si="111"/>
        <v>862.25688313684327</v>
      </c>
      <c r="NM65" s="388">
        <f t="shared" si="112"/>
        <v>16.365859787708658</v>
      </c>
      <c r="NN65" s="388">
        <f t="shared" si="113"/>
        <v>863.45088729404063</v>
      </c>
      <c r="NO65" s="388">
        <f t="shared" si="114"/>
        <v>22.04718312588442</v>
      </c>
      <c r="NP65" s="388">
        <f t="shared" si="115"/>
        <v>869.18535007274352</v>
      </c>
      <c r="NQ65" s="388">
        <f t="shared" si="116"/>
        <v>22.04718312588442</v>
      </c>
      <c r="NR65" s="388">
        <f t="shared" si="117"/>
        <v>870.40122667029596</v>
      </c>
      <c r="NS65" s="388">
        <f t="shared" si="118"/>
        <v>16.464785798441074</v>
      </c>
      <c r="NT65" s="388">
        <f t="shared" si="119"/>
        <v>16.464785798441074</v>
      </c>
      <c r="NU65" s="388">
        <f t="shared" si="120"/>
        <v>22.148008829860448</v>
      </c>
      <c r="NV65" s="388">
        <f t="shared" si="121"/>
        <v>22.148008829860448</v>
      </c>
      <c r="NW65">
        <f t="shared" si="122"/>
        <v>17.676538292980961</v>
      </c>
      <c r="NX65">
        <f>各项系数!$M$9*NK65</f>
        <v>4.9097579363125972</v>
      </c>
      <c r="NY65">
        <f t="shared" si="123"/>
        <v>16.464785798441074</v>
      </c>
    </row>
    <row r="66" spans="1:389" ht="15" hidden="1" customHeight="1">
      <c r="A66" s="65"/>
      <c r="B66" s="81"/>
      <c r="C66" s="67"/>
      <c r="D66" s="58" t="s">
        <v>288</v>
      </c>
      <c r="E66" s="54">
        <f t="shared" si="313"/>
        <v>87.384961870000012</v>
      </c>
      <c r="F66" s="68">
        <f>$F$34</f>
        <v>357.20659441456399</v>
      </c>
      <c r="G66" s="58"/>
      <c r="H66" s="16"/>
      <c r="I66" s="62"/>
      <c r="J66" s="16"/>
      <c r="K66" s="16"/>
      <c r="L66" s="97" t="s">
        <v>467</v>
      </c>
      <c r="M66" s="98">
        <f t="shared" si="2"/>
        <v>2.4</v>
      </c>
      <c r="N66" s="98">
        <f t="shared" si="252"/>
        <v>0</v>
      </c>
      <c r="O66" s="58">
        <f t="shared" si="312"/>
        <v>0.08</v>
      </c>
      <c r="P66" s="99">
        <v>0.1</v>
      </c>
      <c r="Q66" s="136">
        <f t="shared" si="322"/>
        <v>0.1</v>
      </c>
      <c r="R66" s="151">
        <v>0.8</v>
      </c>
      <c r="S66" s="144" t="str">
        <f>各项系数!$D$43</f>
        <v>钢带</v>
      </c>
      <c r="T66" s="62">
        <v>0.5</v>
      </c>
      <c r="U66" s="62">
        <v>2</v>
      </c>
      <c r="V66" s="143"/>
      <c r="W66" s="145">
        <v>3.7</v>
      </c>
      <c r="X66" s="139">
        <f t="shared" si="323"/>
        <v>0.2</v>
      </c>
      <c r="Y66" s="139"/>
      <c r="Z66" s="169"/>
      <c r="AA66" s="170">
        <f>$AA$34</f>
        <v>1.03</v>
      </c>
      <c r="AB66" s="153">
        <f>PI()*EJ66*EJ66/4*EH66*(1-H66)*AA66*各项系数!$F$5*各项系数!$J$4*10^-7</f>
        <v>5.5695578399086223</v>
      </c>
      <c r="AC66" s="170">
        <f t="shared" si="314"/>
        <v>357.20659441456399</v>
      </c>
      <c r="AD66" s="153">
        <f t="shared" si="5"/>
        <v>629.64517072523745</v>
      </c>
      <c r="AE66" s="153">
        <f>POWER(4*EU66/PI()/EG66/10^-7/EH66/(1-H66)/各项系数!$F$5/各项系数!$J$4,0.5)</f>
        <v>362.52509930492863</v>
      </c>
      <c r="AF66" s="16">
        <v>1</v>
      </c>
      <c r="AG66" s="16">
        <f>IF(EM66=0,0,PI()*ER66*ER66/4*EP66*(1-K66)*(1+AF66)*各项系数!$F$5*各项系数!$J$4*10^-7)</f>
        <v>0</v>
      </c>
      <c r="AH66" s="16">
        <f t="shared" si="315"/>
        <v>0</v>
      </c>
      <c r="AI66" s="69">
        <f t="shared" si="128"/>
        <v>0</v>
      </c>
      <c r="AJ66" s="69">
        <f>IF(OR(EP66="",EP66=0),0,POWER(4*EW66/PI()/EO66/10^-7/EP66/(1-K66)/各项系数!$F$5/各项系数!$J$4,0.5))</f>
        <v>0</v>
      </c>
      <c r="AK66" s="16" t="str">
        <f t="shared" si="8"/>
        <v>√</v>
      </c>
      <c r="AL66" s="16">
        <f t="shared" si="316"/>
        <v>1158.879190538308</v>
      </c>
      <c r="AM66" s="106">
        <f t="shared" si="317"/>
        <v>630</v>
      </c>
      <c r="AN66" s="97" t="s">
        <v>486</v>
      </c>
      <c r="AO66" s="196">
        <f>AP66+各项系数!$M$9*$NK66</f>
        <v>1136.1560691552038</v>
      </c>
      <c r="AP66" s="196">
        <f>AQ66*(1+$BI66+(VLOOKUP($AM66,$A$12:$B$323,2,0))+各项系数!$J$6+各项系数!$M$5)*(1+$E$2)</f>
        <v>1129.8137997694669</v>
      </c>
      <c r="AQ66" s="197">
        <f>AR66+各项系数!$L$9*$NK66</f>
        <v>1152.871224254558</v>
      </c>
      <c r="AR66" s="197">
        <f>AS66*(1+$BJ66+各项系数!$J$5+各项系数!$L$5)</f>
        <v>1146.5289548688211</v>
      </c>
      <c r="AS66" s="197">
        <f t="shared" si="129"/>
        <v>1124.0479949694325</v>
      </c>
      <c r="AT66" s="196">
        <f>AU66+各项系数!$M$9*$NM66</f>
        <v>1145.7826359439391</v>
      </c>
      <c r="AU66" s="196">
        <f>AV66*(1+$BI66+(VLOOKUP($AM66,$A$12:$B$323,2,0))+各项系数!$J$6+各项系数!$M$5)*(1+$E$2)</f>
        <v>1139.4403665582022</v>
      </c>
      <c r="AV66" s="197">
        <f>AW66+各项系数!$L$9*$NM66</f>
        <v>1162.6942515900023</v>
      </c>
      <c r="AW66" s="197">
        <f>AX66*(1+$BJ66+各项系数!$J$5+各项系数!$L$5)</f>
        <v>1156.3519822042654</v>
      </c>
      <c r="AX66" s="197">
        <f t="shared" si="130"/>
        <v>1133.6784139257504</v>
      </c>
      <c r="AY66" s="196">
        <f>AZ66+各项系数!$M$9*$NS66</f>
        <v>1143.7956974347264</v>
      </c>
      <c r="AZ66" s="196">
        <f>BA66*(1+$BI66+(VLOOKUP($AM66,$A$12:$B$214,2,0))+各项系数!$J$6+各项系数!$M$5)*(1+$E$2)</f>
        <v>1137.4198768283024</v>
      </c>
      <c r="BA66" s="197">
        <f>BB66+各项系数!$L$9*$NS66</f>
        <v>1160.6325273758189</v>
      </c>
      <c r="BB66" s="197">
        <f>BC66*(1+$BJ66+各项系数!$J$5+各项系数!$L$5)</f>
        <v>1154.2567067693949</v>
      </c>
      <c r="BC66" s="199">
        <f t="shared" si="131"/>
        <v>1131.6242223229362</v>
      </c>
      <c r="BD66" s="196">
        <f>BE66+各项系数!$M$9*$NS66</f>
        <v>1153.4406695695575</v>
      </c>
      <c r="BE66" s="196">
        <f>BF66*(1+$BI66+(VLOOKUP($AM66,$A$12:$B$214,2,0))+各项系数!$J$6+各项系数!$M$5)*(1+$E$2)</f>
        <v>1147.0648489631335</v>
      </c>
      <c r="BF66" s="197">
        <f>BG66+各项系数!$L$9*$NS66</f>
        <v>1170.4743356766669</v>
      </c>
      <c r="BG66" s="197">
        <f>BH66*(1+$BJ66+各项系数!$J$5+各项系数!$L$5)</f>
        <v>1164.0985150702429</v>
      </c>
      <c r="BH66" s="199">
        <f t="shared" si="132"/>
        <v>1141.2730539904342</v>
      </c>
      <c r="BI66" s="213"/>
      <c r="BJ66" s="208"/>
      <c r="BK66" s="53" t="s">
        <v>514</v>
      </c>
      <c r="BL66" s="196">
        <f>BM66+各项系数!$M$9*$NM66</f>
        <v>1148.6078992038867</v>
      </c>
      <c r="BM66" s="196">
        <f>BN66*(1+$CF66+(VLOOKUP($AM66,$A$12:$B$323,2,0))+各项系数!$J$6+各项系数!$M$5)*(1+$E$2)</f>
        <v>1142.2656298181498</v>
      </c>
      <c r="BN66" s="197">
        <f>BO66+各项系数!$L$9*$NM66</f>
        <v>1165.5771732838264</v>
      </c>
      <c r="BO66" s="197">
        <f>BP66*(1+$CG66+各项系数!$J$5+各项系数!$L$5)</f>
        <v>1159.2349038980894</v>
      </c>
      <c r="BP66" s="197">
        <f t="shared" si="133"/>
        <v>1125.4707804835818</v>
      </c>
      <c r="BQ66" s="196">
        <f>BR66+各项系数!$M$9*$NM66</f>
        <v>1156.8926844004116</v>
      </c>
      <c r="BR66" s="196">
        <f>BS66*(1+$CF66+(VLOOKUP($AM66,$A$12:$B$323,2,0))+各项系数!$J$6+各项系数!$M$5)*(1+$E$2)</f>
        <v>1150.5504150146746</v>
      </c>
      <c r="BS66" s="197">
        <f>BT66+各项系数!$L$9*$NM66</f>
        <v>1174.0310357292599</v>
      </c>
      <c r="BT66" s="197">
        <f>BU66*(1+$CG66+各项系数!$J$5+各项系数!$L$5)</f>
        <v>1167.688766343523</v>
      </c>
      <c r="BU66" s="197">
        <f t="shared" si="134"/>
        <v>1133.6784139257504</v>
      </c>
      <c r="BV66" s="196">
        <f>BW66+各项系数!$M$9*$NT66</f>
        <v>1150.0843142927001</v>
      </c>
      <c r="BW66" s="196">
        <f>BX66*(1+$CF66+(VLOOKUP($AM66,$A$12:$B$214,2,0))+各项系数!$J$6+各项系数!$M$5)*(1+$E$2)</f>
        <v>1143.7084936862761</v>
      </c>
      <c r="BX66" s="197">
        <f>BY66+各项系数!$L$9*$NT$12</f>
        <v>1167.049483353343</v>
      </c>
      <c r="BY66" s="197">
        <f>BZ66*(1+$CG66+各项系数!$J$5+各项系数!$L$5)</f>
        <v>1167.041219950188</v>
      </c>
      <c r="BZ66" s="199">
        <f t="shared" si="11"/>
        <v>1133.0497281069786</v>
      </c>
      <c r="CA66" s="196">
        <f>CB66+各项系数!$M$9*$NT66</f>
        <v>1158.3849394394601</v>
      </c>
      <c r="CB66" s="196">
        <f>CC66*(1+$CF66+(VLOOKUP($AM66,$A$12:$B$214,2,0))+各项系数!$J$6+各项系数!$M$5)*(1+$E$2)</f>
        <v>1152.0091188330362</v>
      </c>
      <c r="CC66" s="197">
        <f>CD66+各项系数!$L$9*$NT$12</f>
        <v>1175.5195090133022</v>
      </c>
      <c r="CD66" s="197">
        <f>CE66*(1+$CG66+各项系数!$J$5+各项系数!$L$5)</f>
        <v>1175.5112456101472</v>
      </c>
      <c r="CE66" s="199">
        <f t="shared" si="135"/>
        <v>1141.2730539904342</v>
      </c>
      <c r="CF66" s="213">
        <f t="shared" si="136"/>
        <v>0</v>
      </c>
      <c r="CG66" s="213">
        <f t="shared" si="12"/>
        <v>0.01</v>
      </c>
      <c r="CH66" s="106"/>
      <c r="CI66" s="196">
        <f>CJ66+各项系数!$M$9*$NO66</f>
        <v>1155.0971247985926</v>
      </c>
      <c r="CJ66" s="196">
        <f>CK66*(1+$DC66+(VLOOKUP($AM66,$A$12:$B$323,2,0))+各项系数!$J$6+各项系数!$M$5)*(1+$E$2)+各项系数!$M$9*$NK66</f>
        <v>1146.5931551831638</v>
      </c>
      <c r="CK66" s="197">
        <f>CL66+各项系数!$L$9*$NO66</f>
        <v>1163.5213120381907</v>
      </c>
      <c r="CL66" s="197">
        <f>CM66*(1+$DD66+各项系数!$J$5+各项系数!$L$5)</f>
        <v>1155.0173424227619</v>
      </c>
      <c r="CM66" s="197">
        <f t="shared" si="13"/>
        <v>1132.3699435517274</v>
      </c>
      <c r="CN66" s="196">
        <f>CO66+各项系数!$M$9*$NO66</f>
        <v>1164.4925611356073</v>
      </c>
      <c r="CO66" s="196">
        <f>CP66*(1+$DC66+(VLOOKUP($AM66,$A$12:$B$323,2,0))+各项系数!$J$6+各项系数!$M$5)*(1+$E$2)+各项系数!$M$9*$NK66</f>
        <v>1155.9885915201785</v>
      </c>
      <c r="CP66" s="197">
        <f>CQ66+各项系数!$L$9*$NO66</f>
        <v>1173.1084919739201</v>
      </c>
      <c r="CQ66" s="197">
        <f>CR66*(1+$DD66+各项系数!$J$5+各项系数!$L$5)</f>
        <v>1164.6045223584913</v>
      </c>
      <c r="CR66" s="197">
        <f t="shared" si="14"/>
        <v>1141.7691395671484</v>
      </c>
      <c r="CS66" s="196">
        <f>CT66+各项系数!$M$9*$NU66</f>
        <v>1156.5237901123908</v>
      </c>
      <c r="CT66" s="196">
        <f t="shared" si="15"/>
        <v>1147.985699368302</v>
      </c>
      <c r="CU66" s="197">
        <f>CV66+各项系数!$L$9*$NU66</f>
        <v>1171.413978947247</v>
      </c>
      <c r="CV66" s="197">
        <f>CW66*(1+$DD66+各项系数!$J$5+各项系数!$L$5)</f>
        <v>1162.8758882031582</v>
      </c>
      <c r="CW66" s="199">
        <f t="shared" si="16"/>
        <v>1140.0744001991748</v>
      </c>
      <c r="CX66" s="196">
        <f>CY66+各项系数!$M$9*$NU66</f>
        <v>1166.3252076890328</v>
      </c>
      <c r="CY66" s="196">
        <f t="shared" si="17"/>
        <v>1157.787116944944</v>
      </c>
      <c r="CZ66" s="197">
        <f>DA66+各项系数!$L$9*$NU66</f>
        <v>1181.4154254540244</v>
      </c>
      <c r="DA66" s="197">
        <f>DB66*(1+$DD66+各项系数!$J$5+各项系数!$L$5)</f>
        <v>1172.8773347099357</v>
      </c>
      <c r="DB66" s="199">
        <f t="shared" si="18"/>
        <v>1149.8797399117016</v>
      </c>
      <c r="DC66" s="213">
        <f t="shared" si="137"/>
        <v>0</v>
      </c>
      <c r="DD66" s="213">
        <f t="shared" si="19"/>
        <v>0</v>
      </c>
      <c r="DE66" s="53" t="s">
        <v>498</v>
      </c>
      <c r="DF66" s="53" t="s">
        <v>513</v>
      </c>
      <c r="DG66" s="196">
        <f>DH66+各项系数!$M$9*$NQ66</f>
        <v>1167.6538495870359</v>
      </c>
      <c r="DH66" s="196">
        <f>DI66*(1+$EA66+(VLOOKUP($AM66,$A$12:$B$323,2,0))+各项系数!$J$6+各项系数!$M$5)*(1+$E$2)+各项系数!$M$9*$NK66</f>
        <v>1159.1498799716071</v>
      </c>
      <c r="DI66" s="197">
        <f>DJ66+各项系数!$L$9*$NQ66</f>
        <v>1176.3342965161942</v>
      </c>
      <c r="DJ66" s="197">
        <f>DK66*(1+$EB66+各项系数!$J$5+各项系数!$L$5)</f>
        <v>1167.8303269007654</v>
      </c>
      <c r="DK66" s="197">
        <f t="shared" si="20"/>
        <v>1133.8158513599665</v>
      </c>
      <c r="DL66" s="196">
        <f>DM66+各项系数!$M$9*$NQ66</f>
        <v>1176.073274360559</v>
      </c>
      <c r="DM66" s="196">
        <f>DN66*(1+$EA66+(VLOOKUP($AM66,$A$12:$B$323,2,0))+各项系数!$J$6+各项系数!$M$5)*(1+$E$2)+各项系数!$M$9*$NK66</f>
        <v>1167.5693047451302</v>
      </c>
      <c r="DN66" s="197">
        <f>DO66+各项系数!$L$9*$NQ66</f>
        <v>1184.9255462850952</v>
      </c>
      <c r="DO66" s="197">
        <f>DP66*(1+$EB66+各项系数!$J$5+各项系数!$L$5)</f>
        <v>1176.4215766696664</v>
      </c>
      <c r="DP66" s="197">
        <f t="shared" si="21"/>
        <v>1142.1568705530742</v>
      </c>
      <c r="DQ66" s="196">
        <f>DR66+各项系数!$M$9*$NV66</f>
        <v>1169.1587644164094</v>
      </c>
      <c r="DR66" s="196">
        <f t="shared" si="22"/>
        <v>1160.6206736723207</v>
      </c>
      <c r="DS66" s="197">
        <f>DT66+各项系数!$L$9*$NV66</f>
        <v>1184.3068098697149</v>
      </c>
      <c r="DT66" s="197">
        <f>DU66*(1+$EB66+各项系数!$J$5+各项系数!$L$5)</f>
        <v>1175.7687191256261</v>
      </c>
      <c r="DU66" s="199">
        <f t="shared" si="23"/>
        <v>1141.5230282773068</v>
      </c>
      <c r="DV66" s="196">
        <f>DW66+各项系数!$M$9*$NV66</f>
        <v>1168.6348224127801</v>
      </c>
      <c r="DW66" s="196">
        <f t="shared" si="24"/>
        <v>1160.0967316686913</v>
      </c>
      <c r="DX66" s="197">
        <f>DY66+各项系数!$L$9*$NV66</f>
        <v>1183.772175172134</v>
      </c>
      <c r="DY66" s="197">
        <f>DZ66*(1+$EB66+各项系数!$J$5+各项系数!$L$5)</f>
        <v>1175.2340844280452</v>
      </c>
      <c r="DZ66" s="199">
        <f t="shared" si="25"/>
        <v>1141.0039654641216</v>
      </c>
      <c r="EA66" s="213">
        <f t="shared" si="311"/>
        <v>0</v>
      </c>
      <c r="EB66" s="213">
        <f t="shared" si="27"/>
        <v>0.01</v>
      </c>
      <c r="EC66" s="235">
        <f t="shared" si="138"/>
        <v>3</v>
      </c>
      <c r="ED66" s="237" t="str">
        <f t="shared" si="266"/>
        <v>3*630</v>
      </c>
      <c r="EE66" s="189">
        <f t="shared" si="239"/>
        <v>630</v>
      </c>
      <c r="EF66" s="78" t="str">
        <f>LOOKUP(EH66,{1,7,10,14,19,24,30,37,48,61},{1,"1+6","2+8","4+10","1+6+12","2+8+14","4+10+16","1+6+12+18","3+9+15+21","1+6+12+18+24"})</f>
        <v>1+6+12+18+24</v>
      </c>
      <c r="EG66" s="188">
        <f t="shared" si="29"/>
        <v>3</v>
      </c>
      <c r="EH66" s="197">
        <f>VLOOKUP(EE66,各项系数!$B$87:$C$124,2,0)</f>
        <v>61</v>
      </c>
      <c r="EI66" s="188">
        <f>IF(EH66=0,0,VLOOKUP(EH66,各项系数!$D$142:$E$195,2,0))*1</f>
        <v>9</v>
      </c>
      <c r="EJ66" s="238">
        <f t="shared" si="141"/>
        <v>357.20659441456399</v>
      </c>
      <c r="EK66" s="78">
        <f t="shared" si="318"/>
        <v>0</v>
      </c>
      <c r="EL66" s="189">
        <f t="shared" si="31"/>
        <v>0</v>
      </c>
      <c r="EM66" s="78">
        <f t="shared" si="267"/>
        <v>0</v>
      </c>
      <c r="EN66" s="78">
        <f>IF(EP66=0,0,LOOKUP(EP66,{1,7,10,14,19,24,30,37,48,61},{1,"1+6","2+8","4+10","1+6+12","2+8+14","4+10+16","1+6+12+18","3+9+15+21","1+6+12+18+24"}))</f>
        <v>0</v>
      </c>
      <c r="EO66" s="78">
        <f t="shared" si="319"/>
        <v>0</v>
      </c>
      <c r="EP66" s="78">
        <f>IF(EM66=0,0,IF(EM66&lt;10,1,IF(AND(EM66&gt;=10,EM66&lt;=35),7,LOOKUP(EM66,{50,70,95,120,150,185,240,300},{10,14,19,24,30,37,48,61})*1)))</f>
        <v>0</v>
      </c>
      <c r="EQ66" s="189">
        <f>IF(EP66=0,0,VLOOKUP(EP66,各项系数!$D$142:$E$195,2,0))*1</f>
        <v>0</v>
      </c>
      <c r="ER66" s="78">
        <f t="shared" si="320"/>
        <v>0</v>
      </c>
      <c r="ES66" s="237">
        <f t="shared" si="321"/>
        <v>3</v>
      </c>
      <c r="ET66" s="189">
        <f>VLOOKUP(ES66,各项系数!$D$142:$E$195,2,0)*1</f>
        <v>2.16</v>
      </c>
      <c r="EU66" s="243">
        <f>((各项系数!$F$76/4*$EJ66^2*$EG66*$EH66*1*10^-7)*(1-$H66)*AA66)*(VLOOKUP($EY$9,各项系数!$D$4:$F$143,3,0))*各项系数!$J$4</f>
        <v>16.708673519725867</v>
      </c>
      <c r="EV66" s="244">
        <f>EU66*(VLOOKUP($EY$9,各项系数!$D$4:$F$143,2,0))</f>
        <v>1094.4181155420442</v>
      </c>
      <c r="EW66" s="252">
        <f>(IF($EO66=0,0,(各项系数!$F$76/4*$ER66^2*$EO66*$EP66*1*10^-7))*(1-$K66)*$AF66)*(VLOOKUP($EY$9,各项系数!$D$4:$F$143,3,0))*各项系数!$J$4</f>
        <v>0</v>
      </c>
      <c r="EX66" s="253">
        <f>EW66*(VLOOKUP($EY$9,各项系数!$D$4:$F$143,2,0))</f>
        <v>0</v>
      </c>
      <c r="EY66" s="189">
        <f>((各项系数!$F$76/4*$EJ66^2*$EG66*$EH66*1*10^-7)*(1-$H66)*AA66+IF($EO66=0,0,(各项系数!$F$76/4*$ER66^2*$EO66*$EP66*1*10^-7))*(1-$K66)*$AF66)*(VLOOKUP($EY$9,各项系数!$D$4:$F$143,3,0))*各项系数!$J$4</f>
        <v>16.708673519725867</v>
      </c>
      <c r="EZ66" s="102">
        <v>1</v>
      </c>
      <c r="FA66" s="189">
        <f t="shared" si="268"/>
        <v>16.708673519725867</v>
      </c>
      <c r="FB66" s="254">
        <f>FA66*(VLOOKUP($EY$9,各项系数!$D$4:$F$143,2,0))</f>
        <v>1094.4181155420442</v>
      </c>
      <c r="FC66" s="257"/>
      <c r="FD66" s="235">
        <f>各项系数!$F$76/4*($MN66^2-MK66^2)*10^-2*(VLOOKUP(L66,各项系数!$D$1:$F$143,3,0))*10^-3*10^2*$EG66*各项系数!$J$4</f>
        <v>0.8553197614006377</v>
      </c>
      <c r="FE66" s="262">
        <f>FD66*VLOOKUP(L66,各项系数!$D$1:$F$143,2,0)</f>
        <v>8.7242615662865042</v>
      </c>
      <c r="FF66" s="188">
        <f>各项系数!$F$76/4*($MO66^2-ML66^2)*10^-2*(VLOOKUP(L66,各项系数!$D$1:$F$143,3,0))*10^-3*10^2*$EO66*各项系数!$J$4</f>
        <v>0</v>
      </c>
      <c r="FG66" s="262">
        <f>FF66*VLOOKUP(L66,各项系数!$D$1:$F$143,2,0)</f>
        <v>0</v>
      </c>
      <c r="FH66" s="235">
        <f t="shared" si="142"/>
        <v>0.8553197614006377</v>
      </c>
      <c r="FI66" s="102">
        <v>1</v>
      </c>
      <c r="FJ66" s="189">
        <f t="shared" si="269"/>
        <v>0.8553197614006377</v>
      </c>
      <c r="FK66" s="262">
        <f>FJ66*VLOOKUP(L66,各项系数!$D$1:$F$143,2,0)</f>
        <v>8.7242615662865042</v>
      </c>
      <c r="FL66" s="237"/>
      <c r="FM66" s="106"/>
      <c r="FN66" s="189"/>
      <c r="FO66" s="262"/>
      <c r="FP66" s="282">
        <f t="shared" si="270"/>
        <v>0.8553197614006377</v>
      </c>
      <c r="FQ66" s="282">
        <f t="shared" si="271"/>
        <v>8.7242615662865042</v>
      </c>
      <c r="FR66" s="283">
        <f>各项系数!$F$76/4*($MQ66^2-$MN66^2*$EG66-$MO66^2*$EO66)*10^-2</f>
        <v>17.858970279021793</v>
      </c>
      <c r="FS66" s="284">
        <f t="shared" si="143"/>
        <v>1</v>
      </c>
      <c r="FT66" s="285">
        <f t="shared" si="40"/>
        <v>17.858970279021793</v>
      </c>
      <c r="FU66" s="302">
        <f>$FT66*(VLOOKUP($FT$9,各项系数!$D$1:$F$143,3,0))*10^-3*10^2*各项系数!$J$55</f>
        <v>2.1323610513152018</v>
      </c>
      <c r="FV66" s="303">
        <v>1</v>
      </c>
      <c r="FW66" s="304">
        <f t="shared" si="272"/>
        <v>2.1323610513152018</v>
      </c>
      <c r="FX66" s="285">
        <f>FW66*(VLOOKUP($FT$9,各项系数!$D$1:$F$143,2,0))</f>
        <v>6.397083153945605</v>
      </c>
      <c r="FY66" s="302">
        <f>IF($BK66&lt;&gt;$FY$9,0,各项系数!$F$76/4*($MS66^2-$MQ66^2)*10^-2*(VLOOKUP($FY$9,各项系数!$D$1:$F$143,3,0))*10^-3*10^2)*各项系数!$J$4</f>
        <v>0</v>
      </c>
      <c r="FZ66" s="303">
        <v>1</v>
      </c>
      <c r="GA66" s="304">
        <f t="shared" si="273"/>
        <v>0</v>
      </c>
      <c r="GB66" s="285">
        <f>GA66*(VLOOKUP($FY$9,各项系数!$D$1:$F$143,2,0))</f>
        <v>0</v>
      </c>
      <c r="GC66" s="302">
        <f>IF($BK66&lt;&gt;$GC$9,0,各项系数!$F$76/4*($MS66^2-$MQ66^2)*10^-2*(VLOOKUP($GC$9,各项系数!$D$1:$F$143,3,0))*10^-3*10^2)*各项系数!$J$4</f>
        <v>2.1758105865190811E-2</v>
      </c>
      <c r="GD66" s="303">
        <v>1</v>
      </c>
      <c r="GE66" s="304">
        <f t="shared" si="274"/>
        <v>2.1758105865190811E-2</v>
      </c>
      <c r="GF66" s="285">
        <f>GE66*(VLOOKUP($GC$9,各项系数!$D$1:$F$143,2,0))</f>
        <v>0.28067956566096147</v>
      </c>
      <c r="GG66" s="302">
        <f>IF($BK66&lt;&gt;$GG$9,0,各项系数!$F$76/4*($MS66^2-$MQ66^2)*10^-2*(VLOOKUP($GG$9,各项系数!$D$1:$F$143,3,0))*10^-3*10^2)*各项系数!$J$4</f>
        <v>0</v>
      </c>
      <c r="GH66" s="303">
        <v>1</v>
      </c>
      <c r="GI66" s="304">
        <f t="shared" si="275"/>
        <v>0</v>
      </c>
      <c r="GJ66" s="285">
        <f>GI66*(VLOOKUP($GG$9,各项系数!$D$1:$F$143,2,0))</f>
        <v>0</v>
      </c>
      <c r="GK66" s="302">
        <f>IF($BK66&lt;&gt;$GK$9,0,各项系数!$F$76/4*($MS66^2-$MQ66^2)*10^-2*(VLOOKUP($GK$9,各项系数!$D$1:$F$143,3,0))*10^-3*10^2)*各项系数!$J$4</f>
        <v>0</v>
      </c>
      <c r="GL66" s="303">
        <v>1</v>
      </c>
      <c r="GM66" s="304">
        <f t="shared" si="276"/>
        <v>0</v>
      </c>
      <c r="GN66" s="285">
        <f>GM66*(VLOOKUP($GK$9,各项系数!$D$1:$F$143,2,0))</f>
        <v>0</v>
      </c>
      <c r="GO66" s="304">
        <f t="shared" si="277"/>
        <v>2.1758105865190811E-2</v>
      </c>
      <c r="GP66" s="304">
        <f t="shared" si="278"/>
        <v>0.28067956566096147</v>
      </c>
      <c r="GQ66" s="315">
        <f>各项系数!$F$76/4*($MU66^2-$MS66^2)*10^-2*(VLOOKUP($S66,各项系数!$D$1:$F$143,3,0))*10^-3*10^2*各项系数!$J$4</f>
        <v>1.4801393832256799</v>
      </c>
      <c r="GR66" s="303">
        <v>1</v>
      </c>
      <c r="GS66" s="304">
        <f t="shared" si="279"/>
        <v>1.4801393832256799</v>
      </c>
      <c r="GT66" s="304">
        <f t="shared" si="200"/>
        <v>0</v>
      </c>
      <c r="GU66" s="304">
        <f>ROUND($GS66*(VLOOKUP($S66,各项系数!$D$1:$F$143,2,0))+$E$3*GS66,GT66)</f>
        <v>9</v>
      </c>
      <c r="GV66" s="315">
        <f>各项系数!$F$76/4*($MT66^2-$MS66^2)*10^-2*(VLOOKUP($GV$9,各项系数!$D$1:$F$143,3,0))*10^-3*10^2*各项系数!$J$4*PI()/4*R66</f>
        <v>0.1118374022899966</v>
      </c>
      <c r="GW66" s="303">
        <v>1</v>
      </c>
      <c r="GX66" s="304">
        <f t="shared" si="280"/>
        <v>0.1118374022899966</v>
      </c>
      <c r="GY66" s="304">
        <f>$GX66*(VLOOKUP($GV$9,各项系数!$D$1:$F$143,2,0))</f>
        <v>7.5490246545747706</v>
      </c>
      <c r="GZ66" s="315">
        <f>各项系数!$F$76/4*($MV66^2-$MS66^2)*10^-2*(VLOOKUP($GZ$9,各项系数!$D$1:$F$143,3,0))*10^-3*10^2*各项系数!$J$4</f>
        <v>1.4034278881066569</v>
      </c>
      <c r="HA66" s="303">
        <v>1</v>
      </c>
      <c r="HB66" s="304">
        <f t="shared" si="144"/>
        <v>1.4034278881066569</v>
      </c>
      <c r="HC66" s="304">
        <f>HB66*(VLOOKUP($GZ$9,各项系数!$D$1:$F$143,2,0))</f>
        <v>23.858274097813165</v>
      </c>
      <c r="HD66" s="315">
        <f>各项系数!$F$76/4*($MW66^2-$MT66^2)*10^-2*(VLOOKUP($HD$9,各项系数!$D$1:$F$143,3,0))*10^-3*10^2*各项系数!$J$4</f>
        <v>1.4061111475248287</v>
      </c>
      <c r="HE66" s="303">
        <v>1</v>
      </c>
      <c r="HF66" s="304">
        <f t="shared" si="145"/>
        <v>1.4061111475248287</v>
      </c>
      <c r="HG66" s="304">
        <f>HF66*(VLOOKUP($HD$9,各项系数!$D$1:$F$143,2,0))</f>
        <v>23.903889507922088</v>
      </c>
      <c r="HH66" s="315">
        <f>各项系数!$F$76/4*($MV66^2-$MS66^2)*10^-2*(VLOOKUP($HH$9,各项系数!$D$1:$F$143,3,0))*10^-3*10^2*各项系数!$J$4</f>
        <v>1.4034278881066569</v>
      </c>
      <c r="HI66" s="322">
        <v>1</v>
      </c>
      <c r="HJ66" s="304">
        <f t="shared" si="146"/>
        <v>1.4034278881066569</v>
      </c>
      <c r="HK66" s="304">
        <f>HJ66*(VLOOKUP($HH$9,各项系数!$D$1:$F$143,2,0))</f>
        <v>23.858274097813165</v>
      </c>
      <c r="HL66" s="315">
        <f>各项系数!$F$76/4*($MW66^2-$MT66^2)*10^-2*(VLOOKUP($HL$9,各项系数!$D$1:$F$143,3,0))*10^-3*10^2*各项系数!$J$4</f>
        <v>1.4061111475248287</v>
      </c>
      <c r="HM66" s="322">
        <v>1</v>
      </c>
      <c r="HN66" s="304">
        <f t="shared" si="147"/>
        <v>1.4061111475248287</v>
      </c>
      <c r="HO66" s="304">
        <f>HN66*(VLOOKUP($HL$9,各项系数!$D$1:$F$143,2,0))</f>
        <v>23.903889507922088</v>
      </c>
      <c r="HP66" s="315">
        <f>各项系数!$F$76/4*($MV66^2-$MS66^2)*10^-2*(VLOOKUP(AN66,各项系数!$D$1:$F$143,3,0))*10^-3*10^2*各项系数!$J$4</f>
        <v>1.4227855141495074</v>
      </c>
      <c r="HQ66" s="303">
        <v>1</v>
      </c>
      <c r="HR66" s="304">
        <f t="shared" si="281"/>
        <v>1.4227855141495074</v>
      </c>
      <c r="HS66" s="304">
        <f>HR66*(VLOOKUP(AN66,各项系数!$D$1:$F$143,2,0))</f>
        <v>14.227855141495073</v>
      </c>
      <c r="HT66" s="315">
        <f>各项系数!$F$76/4*($MW66^2-$MT66^2)*10^-2*(VLOOKUP(AN66,各项系数!$D$1:$F$143,3,0))*10^-3*10^2*各项系数!$J$4</f>
        <v>1.4255057840424126</v>
      </c>
      <c r="HU66" s="303">
        <v>1</v>
      </c>
      <c r="HV66" s="304">
        <f t="shared" si="282"/>
        <v>1.4255057840424126</v>
      </c>
      <c r="HW66" s="304">
        <f>HV66*(VLOOKUP(AN66,各项系数!$D$1:$F$143,2,0))</f>
        <v>14.255057840424126</v>
      </c>
      <c r="HX66" s="315">
        <f>各项系数!$F$76/4*($MV66^2-$MS66^2)*10^-2*(VLOOKUP($HX$9,各项系数!$D$1:$F$143,3,0))*10^-3*10^2*各项系数!$J$4</f>
        <v>1.4227855141495074</v>
      </c>
      <c r="HY66" s="322">
        <v>1</v>
      </c>
      <c r="HZ66" s="304">
        <f t="shared" si="283"/>
        <v>1.4227855141495074</v>
      </c>
      <c r="IA66" s="304">
        <f>HZ66*(VLOOKUP($HX$9,各项系数!$D$1:$F$143,2,0))</f>
        <v>15.650640655644581</v>
      </c>
      <c r="IB66" s="315">
        <f>各项系数!$F$76/4*($MW66^2-$MT66^2)*10^-2*(VLOOKUP($IB$9,各项系数!$D$1:$F$143,3,0))*10^-3*10^2*各项系数!$J$4</f>
        <v>1.4255057840424126</v>
      </c>
      <c r="IC66" s="322">
        <v>1</v>
      </c>
      <c r="ID66" s="304">
        <f t="shared" si="284"/>
        <v>1.4255057840424126</v>
      </c>
      <c r="IE66" s="304">
        <f>ID66*(VLOOKUP($IB$9,各项系数!$D$1:$F$143,2,0))</f>
        <v>15.680563624466538</v>
      </c>
      <c r="IF66" s="309"/>
      <c r="IG66" s="315">
        <f t="shared" si="148"/>
        <v>0.1369312580507743</v>
      </c>
      <c r="IH66" s="303">
        <v>1</v>
      </c>
      <c r="II66" s="304">
        <f t="shared" si="285"/>
        <v>0.1369312580507743</v>
      </c>
      <c r="IJ66" s="304">
        <f>II66*(VLOOKUP($IG$8,各项系数!$D$1:$F$143,2,0))</f>
        <v>3.4232814512693577</v>
      </c>
      <c r="IK66" s="315">
        <f>(各项系数!$F$76/4*($MX66^2-$MK66^2)*$EG66)*10^-2*(VLOOKUP($IG$8,各项系数!$D$1:$F$143,3,0))*10^-3*10^2*各项系数!$J$4</f>
        <v>0.1369312580507743</v>
      </c>
      <c r="IL66" s="303">
        <f>IK66*(VLOOKUP($IG$8,各项系数!$D$1:$F$143,2,0))</f>
        <v>3.4232814512693577</v>
      </c>
      <c r="IM66" s="304">
        <f>(各项系数!$F$76/4*(($MM66+3*$X66)^2-MM66^2)*$EO66)*10^-2*(VLOOKUP($IG$8,各项系数!$D$1:$F$143,3,0))*10^-3*10^2*各项系数!$J$4</f>
        <v>0</v>
      </c>
      <c r="IN66" s="303">
        <f>IM66*(VLOOKUP($IG$8,各项系数!$D$1:$F$143,2,0))</f>
        <v>0</v>
      </c>
      <c r="IO66" s="315">
        <f>各项系数!$F$76/4*($MZ66^2-$MX66^2)*10^-2*(VLOOKUP(L66,各项系数!$D$1:$F$143,3,0))*10^-3*10^2*$ES66*各项系数!$J$4</f>
        <v>0.87017396544904646</v>
      </c>
      <c r="IP66" s="303">
        <v>1</v>
      </c>
      <c r="IQ66" s="304">
        <f t="shared" si="286"/>
        <v>0.87017396544904646</v>
      </c>
      <c r="IR66" s="285">
        <f>IQ66*(VLOOKUP(L66,各项系数!$D$1:$F$143,2,0))</f>
        <v>8.8757744475802731</v>
      </c>
      <c r="IS66" s="315">
        <f>IF($L66&lt;&gt;$IS$9,0,各项系数!$F$76/4*($MZ66^2-$MX66^2)*10^-2*各项系数!$F$12*10^-3*10^2)*$ES66*各项系数!$J$4</f>
        <v>0</v>
      </c>
      <c r="IT66" s="310">
        <v>1</v>
      </c>
      <c r="IU66" s="304">
        <f t="shared" si="287"/>
        <v>0</v>
      </c>
      <c r="IV66" s="285">
        <f>IU66*各项系数!$E$12</f>
        <v>0</v>
      </c>
      <c r="IW66" s="302">
        <f t="shared" si="288"/>
        <v>0.87017396544904646</v>
      </c>
      <c r="IX66" s="302">
        <f t="shared" si="289"/>
        <v>8.8757744475802731</v>
      </c>
      <c r="IY66" s="339">
        <f>各项系数!$F$76/4*($NB66^2-$MZ66^2*$EG66-$NA66^2*$EO66)*10^-2</f>
        <v>18.443695353096711</v>
      </c>
      <c r="IZ66" s="284">
        <f t="shared" si="231"/>
        <v>1</v>
      </c>
      <c r="JA66" s="285">
        <f t="shared" si="64"/>
        <v>18.443695353096711</v>
      </c>
      <c r="JB66" s="282">
        <f>IF($DE66&lt;&gt;$JB$9,0,$JA66*各项系数!$F$32*10^-3*10^2)*各项系数!$J$4</f>
        <v>0</v>
      </c>
      <c r="JC66" s="102">
        <v>1</v>
      </c>
      <c r="JD66" s="189">
        <f t="shared" si="290"/>
        <v>0</v>
      </c>
      <c r="JE66" s="262">
        <f>JD66*各项系数!$E$32</f>
        <v>0</v>
      </c>
      <c r="JF66" s="282">
        <f>IF($DE66&lt;&gt;$JF$9,0,$JA66*VLOOKUP($JF$9,各项系数!$D$4:$F$540,2,0)*10^-3*10^2)*各项系数!$J$4</f>
        <v>9.1757384381656131</v>
      </c>
      <c r="JG66" s="102">
        <v>1</v>
      </c>
      <c r="JH66" s="189">
        <f t="shared" si="66"/>
        <v>9.1757384381656131</v>
      </c>
      <c r="JI66" s="262">
        <f>JH66*VLOOKUP($JF$9,各项系数!$D$4:$F$540,3,0)</f>
        <v>11.010886125798736</v>
      </c>
      <c r="JJ66" s="282">
        <f t="shared" si="291"/>
        <v>9.1757384381656131</v>
      </c>
      <c r="JK66" s="189">
        <f t="shared" si="292"/>
        <v>11.010886125798736</v>
      </c>
      <c r="JL66" s="282">
        <f>IF($DF66&lt;&gt;$JL$9,0,各项系数!$F$76/4*($NE66^2-$NC66^2)*10^-2*各项系数!$F$39*10^-3*10^2)*各项系数!$J$4</f>
        <v>9.1403951321304775E-3</v>
      </c>
      <c r="JM66" s="102">
        <v>1</v>
      </c>
      <c r="JN66" s="189">
        <f t="shared" si="293"/>
        <v>9.1403951321304775E-3</v>
      </c>
      <c r="JO66" s="262">
        <f>JN66*各项系数!$E$39</f>
        <v>0.18280790264260954</v>
      </c>
      <c r="JP66" s="282">
        <f>IF($DF66&lt;&gt;$JP$9,0,各项系数!$F$76/4*($NE66^2-$NC66^2)*10^-2*各项系数!$F$36*10^-3*10^2)*各项系数!$J$4</f>
        <v>0</v>
      </c>
      <c r="JQ66" s="102">
        <v>1</v>
      </c>
      <c r="JR66" s="189">
        <f t="shared" si="294"/>
        <v>0</v>
      </c>
      <c r="JS66" s="262">
        <f>JR66*各项系数!$E$36</f>
        <v>0</v>
      </c>
      <c r="JT66" s="282">
        <f>IF($DF66&lt;&gt;$JT$9,0,各项系数!$F$76/4*($NE66^2-$NC66^2)*10^-2*各项系数!$F$40*10^-3*10^2)*各项系数!$J$4</f>
        <v>0</v>
      </c>
      <c r="JU66" s="102">
        <v>1</v>
      </c>
      <c r="JV66" s="189">
        <f t="shared" si="295"/>
        <v>0</v>
      </c>
      <c r="JW66" s="262">
        <f>JV66*各项系数!$E$40</f>
        <v>0</v>
      </c>
      <c r="JX66" s="282">
        <f>IF($DF66&lt;&gt;$JX$9,0,各项系数!$F$76/4*($NE66^2-$NC66^2)*10^-2*各项系数!$F$38*10^-3*10^2)*各项系数!$J$4</f>
        <v>0</v>
      </c>
      <c r="JY66" s="102">
        <v>1</v>
      </c>
      <c r="JZ66" s="189">
        <f t="shared" si="296"/>
        <v>0</v>
      </c>
      <c r="KA66" s="262">
        <f>JZ66*各项系数!$E$38</f>
        <v>0</v>
      </c>
      <c r="KB66" s="282">
        <f>IF($DF66&lt;&gt;$KB$9,0,各项系数!$F$76/4*($NE66^2-$NC66^2)*10^-2*各项系数!$F$41*10^-3*10^2)*各项系数!$J$4</f>
        <v>0</v>
      </c>
      <c r="KC66" s="102">
        <v>1</v>
      </c>
      <c r="KD66" s="189">
        <f t="shared" si="297"/>
        <v>0</v>
      </c>
      <c r="KE66" s="262">
        <f>KD66*各项系数!$E$41</f>
        <v>0</v>
      </c>
      <c r="KF66" s="189">
        <f t="shared" si="298"/>
        <v>9.1403951321304775E-3</v>
      </c>
      <c r="KG66" s="189">
        <f t="shared" si="299"/>
        <v>0.18280790264260954</v>
      </c>
      <c r="KH66" s="235">
        <f>各项系数!$F$76/4*($NG66^2-$NE66^2)*10^-2*各项系数!$F$44*10^-3*10^2*各项系数!$J$4*0.75*$U66</f>
        <v>2.2576090348043438</v>
      </c>
      <c r="KI66" s="102">
        <v>1</v>
      </c>
      <c r="KJ66" s="189">
        <f t="shared" si="300"/>
        <v>2.2576090348043438</v>
      </c>
      <c r="KK66" s="189">
        <f>ROUND(KJ66*各项系数!$E$43,GT66)</f>
        <v>13</v>
      </c>
      <c r="KL66" s="235">
        <f>各项系数!$F$76/4*($NF66^2-$NE66^2)*10^-2*各项系数!$F$46*10^-3*10^2*各项系数!$J$4*PI()/4*R66</f>
        <v>0.11373709553360692</v>
      </c>
      <c r="KM66" s="102">
        <v>1</v>
      </c>
      <c r="KN66" s="189">
        <f t="shared" si="301"/>
        <v>0.11373709553360692</v>
      </c>
      <c r="KO66" s="189">
        <f>KN66*各项系数!$E$46</f>
        <v>7.6772539485184668</v>
      </c>
      <c r="KP66" s="235">
        <f>各项系数!$F$76/4*($NH66^2-$NE66^2)*10^-2*(VLOOKUP($KP$9,各项系数!$D$1:$F$143,3,0))*10^-3*10^2*各项系数!$J$4</f>
        <v>1.4262355931611208</v>
      </c>
      <c r="KQ66" s="102">
        <v>1</v>
      </c>
      <c r="KR66" s="189">
        <f t="shared" si="150"/>
        <v>1.4262355931611208</v>
      </c>
      <c r="KS66" s="189">
        <f>KR66*(VLOOKUP($KP$9,各项系数!$D$1:$F$143,2,0))</f>
        <v>24.246005083739053</v>
      </c>
      <c r="KT66" s="235">
        <f>各项系数!$F$76/4*($NI66^2-$NF66^2)*10^-2*(VLOOKUP($KT$9,各项系数!$D$1:$F$143,3,0))*10^-3*10^2*各项系数!$J$4</f>
        <v>1.4289188525792924</v>
      </c>
      <c r="KU66" s="102">
        <v>1</v>
      </c>
      <c r="KV66" s="189">
        <f t="shared" si="151"/>
        <v>1.4289188525792924</v>
      </c>
      <c r="KW66" s="189">
        <f>KV66*(VLOOKUP($KT$9,各项系数!$D$1:$F$143,2,0))</f>
        <v>24.291620493847972</v>
      </c>
      <c r="KX66" s="189">
        <f>各项系数!$F$76/4*($NH66^2-$NE66^2)*10^-2*(VLOOKUP($KX$9,各项系数!$D$1:$F$143,3,0))*10^-3*10^2*各项系数!$J$4</f>
        <v>1.4262355931611208</v>
      </c>
      <c r="KY66" s="353">
        <v>1</v>
      </c>
      <c r="KZ66" s="189">
        <f t="shared" si="152"/>
        <v>1.4262355931611208</v>
      </c>
      <c r="LA66" s="189">
        <f>KZ66*(VLOOKUP($KX$9,各项系数!$D$1:$F$143,2,0))</f>
        <v>24.246005083739053</v>
      </c>
      <c r="LB66" s="189">
        <f>各项系数!$F$76/4*($NI66^2-$NF66^2)*10^-2*(VLOOKUP($LB$9,各项系数!$D$1:$F$143,3,0))*10^-3*10^2*各项系数!$J$4</f>
        <v>1.4289188525792924</v>
      </c>
      <c r="LC66" s="353">
        <v>1</v>
      </c>
      <c r="LD66" s="189">
        <f t="shared" si="153"/>
        <v>1.4289188525792924</v>
      </c>
      <c r="LE66" s="189">
        <f>LD66*(VLOOKUP($LB$9,各项系数!$D$1:$F$143,2,0))</f>
        <v>24.291620493847972</v>
      </c>
      <c r="LF66" s="235">
        <f>各项系数!$F$76/4*($NH66^2-$NE66^2)*10^-2*(VLOOKUP(AN66,各项系数!$D$1:$F$143,3,0))*10^-3*10^2*各项系数!$J$4</f>
        <v>1.4459078082392054</v>
      </c>
      <c r="LG66" s="102">
        <v>1</v>
      </c>
      <c r="LH66" s="189">
        <f t="shared" si="302"/>
        <v>1.4459078082392054</v>
      </c>
      <c r="LI66" s="189">
        <f>LH66*(VLOOKUP(AN66,各项系数!$D$1:$F$143,2,0))</f>
        <v>14.459078082392054</v>
      </c>
      <c r="LJ66" s="235">
        <f>各项系数!$F$76/4*($NI66^2-$NF66^2)*10^-2*(VLOOKUP(AN66,各项系数!$D$1:$F$143,3,0))*10^-3*10^2*各项系数!$J$4</f>
        <v>1.4486280781321104</v>
      </c>
      <c r="LK66" s="102">
        <v>1</v>
      </c>
      <c r="LL66" s="189">
        <f t="shared" si="303"/>
        <v>1.4486280781321104</v>
      </c>
      <c r="LM66" s="189">
        <f>LL66*(VLOOKUP(AN66,各项系数!$D$1:$F$143,2,0))</f>
        <v>14.486280781321103</v>
      </c>
      <c r="LN66" s="189">
        <f>各项系数!$F$76/4*($NH66^2-$NE66^2)*10^-2*(VLOOKUP($LN$9,各项系数!$D$1:$F$143,3,0))*10^-3*10^2*各项系数!$J$4</f>
        <v>1.4459078082392054</v>
      </c>
      <c r="LO66" s="353">
        <v>1</v>
      </c>
      <c r="LP66" s="189">
        <f t="shared" si="304"/>
        <v>1.4459078082392054</v>
      </c>
      <c r="LQ66" s="189">
        <f>LP66*(VLOOKUP($LN$9,各项系数!$D$1:$F$143,2,0))</f>
        <v>15.904985890631259</v>
      </c>
      <c r="LR66" s="189">
        <f>各项系数!$F$76/4*($NI66^2-$NF66^2)*10^-2*(VLOOKUP($LR$9,各项系数!$D$1:$F$143,3,0))*10^-3*10^2*各项系数!$J$4</f>
        <v>1.4486280781321104</v>
      </c>
      <c r="LS66" s="353">
        <v>1</v>
      </c>
      <c r="LT66" s="189">
        <f t="shared" si="305"/>
        <v>1.4486280781321104</v>
      </c>
      <c r="LU66" s="189">
        <f>LT66*(VLOOKUP($LR$9,各项系数!$D$1:$F$143,2,0))</f>
        <v>15.934908859453214</v>
      </c>
      <c r="LV66" s="227">
        <f t="shared" si="154"/>
        <v>2435.2025486399998</v>
      </c>
      <c r="LW66" s="227">
        <f t="shared" si="155"/>
        <v>1833.91796873</v>
      </c>
      <c r="LX66" s="227">
        <f t="shared" si="156"/>
        <v>48.322012371044934</v>
      </c>
      <c r="LY66" s="227">
        <f t="shared" si="157"/>
        <v>601.28457990999982</v>
      </c>
      <c r="LZ66" s="374">
        <f t="shared" si="86"/>
        <v>1</v>
      </c>
      <c r="MA66" s="375">
        <f t="shared" si="87"/>
        <v>2435.2025486399998</v>
      </c>
      <c r="MB66" s="375">
        <f t="shared" si="158"/>
        <v>32.148593460000001</v>
      </c>
      <c r="MC66" s="227">
        <f t="shared" si="159"/>
        <v>0</v>
      </c>
      <c r="MD66" s="227">
        <f t="shared" si="160"/>
        <v>0</v>
      </c>
      <c r="ME66" s="227">
        <f t="shared" si="161"/>
        <v>0</v>
      </c>
      <c r="MF66" s="227">
        <f t="shared" si="162"/>
        <v>0</v>
      </c>
      <c r="MG66" s="374">
        <f t="shared" si="163"/>
        <v>1</v>
      </c>
      <c r="MH66" s="375">
        <f t="shared" si="88"/>
        <v>0</v>
      </c>
      <c r="MI66" s="375">
        <f t="shared" si="164"/>
        <v>0</v>
      </c>
      <c r="MJ66" s="189">
        <f t="shared" si="89"/>
        <v>32.148593460000001</v>
      </c>
      <c r="MK66" s="189">
        <f t="shared" si="165"/>
        <v>32.148593460000001</v>
      </c>
      <c r="ML66" s="189">
        <f t="shared" si="306"/>
        <v>0</v>
      </c>
      <c r="MM66" s="189">
        <f t="shared" si="91"/>
        <v>0</v>
      </c>
      <c r="MN66" s="189">
        <f t="shared" si="92"/>
        <v>36.948593459999998</v>
      </c>
      <c r="MO66" s="189">
        <f t="shared" si="166"/>
        <v>0</v>
      </c>
      <c r="MP66" s="189">
        <f t="shared" si="167"/>
        <v>79.808961870000005</v>
      </c>
      <c r="MQ66" s="189">
        <f t="shared" si="307"/>
        <v>79.808961870000005</v>
      </c>
      <c r="MR66" s="246">
        <f t="shared" si="168"/>
        <v>79.808961870000005</v>
      </c>
      <c r="MS66" s="380">
        <f t="shared" si="94"/>
        <v>79.984961870000006</v>
      </c>
      <c r="MT66" s="380">
        <f t="shared" si="95"/>
        <v>80.144961870000003</v>
      </c>
      <c r="MU66" s="380">
        <f t="shared" si="232"/>
        <v>81.484961870000006</v>
      </c>
      <c r="MV66" s="380">
        <f t="shared" si="97"/>
        <v>87.384961870000012</v>
      </c>
      <c r="MW66" s="380">
        <f t="shared" si="98"/>
        <v>87.544961870000009</v>
      </c>
      <c r="MX66" s="254">
        <f t="shared" si="233"/>
        <v>32.748593460000002</v>
      </c>
      <c r="MY66" s="254">
        <f t="shared" si="100"/>
        <v>0</v>
      </c>
      <c r="MZ66" s="189">
        <f t="shared" si="101"/>
        <v>37.548593459999999</v>
      </c>
      <c r="NA66" s="189">
        <f t="shared" si="102"/>
        <v>0</v>
      </c>
      <c r="NB66" s="189">
        <f t="shared" si="169"/>
        <v>81.104961869999997</v>
      </c>
      <c r="NC66" s="254">
        <f t="shared" si="308"/>
        <v>81.104961869999997</v>
      </c>
      <c r="ND66" s="246">
        <f t="shared" si="234"/>
        <v>81.104961869999997</v>
      </c>
      <c r="NE66" s="386">
        <f t="shared" si="235"/>
        <v>81.344961869999992</v>
      </c>
      <c r="NF66" s="380">
        <f t="shared" si="106"/>
        <v>81.504961869999988</v>
      </c>
      <c r="NG66" s="387">
        <f t="shared" si="236"/>
        <v>82.844961869999992</v>
      </c>
      <c r="NH66" s="254">
        <f t="shared" si="108"/>
        <v>88.744961869999997</v>
      </c>
      <c r="NI66" s="380">
        <f t="shared" si="109"/>
        <v>88.904961869999994</v>
      </c>
      <c r="NK66" s="388">
        <f t="shared" si="110"/>
        <v>21.140897952456406</v>
      </c>
      <c r="NL66" s="388">
        <f t="shared" si="111"/>
        <v>1124.0479949694325</v>
      </c>
      <c r="NM66" s="388">
        <f t="shared" si="112"/>
        <v>21.140897952456406</v>
      </c>
      <c r="NN66" s="388">
        <f t="shared" si="113"/>
        <v>1125.4707804835818</v>
      </c>
      <c r="NO66" s="388">
        <f t="shared" si="114"/>
        <v>28.346565384762634</v>
      </c>
      <c r="NP66" s="388">
        <f t="shared" si="115"/>
        <v>1132.3699435517274</v>
      </c>
      <c r="NQ66" s="388">
        <f t="shared" si="116"/>
        <v>28.346565384762634</v>
      </c>
      <c r="NR66" s="388">
        <f t="shared" si="117"/>
        <v>1133.8158513599665</v>
      </c>
      <c r="NS66" s="388">
        <f t="shared" si="118"/>
        <v>21.252735354746402</v>
      </c>
      <c r="NT66" s="388">
        <f t="shared" si="119"/>
        <v>21.252735354746402</v>
      </c>
      <c r="NU66" s="388">
        <f t="shared" si="120"/>
        <v>28.460302480296242</v>
      </c>
      <c r="NV66" s="388">
        <f t="shared" si="121"/>
        <v>28.460302480296242</v>
      </c>
      <c r="NW66">
        <f t="shared" si="122"/>
        <v>22.621037335682086</v>
      </c>
      <c r="NX66">
        <f>各项系数!$M$9*NK66</f>
        <v>6.3422693857369214</v>
      </c>
      <c r="NY66">
        <f t="shared" si="123"/>
        <v>21.252735354746399</v>
      </c>
    </row>
    <row r="67" spans="1:389" ht="15" hidden="1" customHeight="1">
      <c r="A67" s="65"/>
      <c r="B67" s="81"/>
      <c r="C67" s="67"/>
      <c r="D67" s="58" t="s">
        <v>920</v>
      </c>
      <c r="E67" s="54">
        <f t="shared" si="313"/>
        <v>97.788142109999995</v>
      </c>
      <c r="F67" s="68">
        <f>$F$35</f>
        <v>404.21883750578098</v>
      </c>
      <c r="G67" s="58"/>
      <c r="H67" s="16"/>
      <c r="I67" s="62"/>
      <c r="J67" s="16"/>
      <c r="K67" s="16"/>
      <c r="L67" s="97" t="s">
        <v>467</v>
      </c>
      <c r="M67" s="98">
        <f t="shared" si="2"/>
        <v>2.6</v>
      </c>
      <c r="N67" s="98">
        <f t="shared" si="252"/>
        <v>0</v>
      </c>
      <c r="O67" s="58">
        <f t="shared" si="312"/>
        <v>0.08</v>
      </c>
      <c r="P67" s="99">
        <v>0.1</v>
      </c>
      <c r="Q67" s="136">
        <f t="shared" si="322"/>
        <v>0.1</v>
      </c>
      <c r="R67" s="151">
        <v>0.8</v>
      </c>
      <c r="S67" s="144" t="str">
        <f>各项系数!$D$43</f>
        <v>钢带</v>
      </c>
      <c r="T67" s="62">
        <v>0.5</v>
      </c>
      <c r="U67" s="62">
        <v>2</v>
      </c>
      <c r="V67" s="143"/>
      <c r="W67" s="145">
        <v>3.9</v>
      </c>
      <c r="X67" s="139">
        <f t="shared" si="323"/>
        <v>0.2</v>
      </c>
      <c r="Y67" s="139"/>
      <c r="Z67" s="169"/>
      <c r="AA67" s="170">
        <f>$AA$35</f>
        <v>1.03</v>
      </c>
      <c r="AB67" s="153">
        <f>PI()*EJ67*EJ67/4*EH67*(1-H67)*AA67*各项系数!$F$5*各项系数!$J$4*10^-7</f>
        <v>7.1320582293852581</v>
      </c>
      <c r="AC67" s="170">
        <f t="shared" si="314"/>
        <v>404.21883750578098</v>
      </c>
      <c r="AD67" s="153">
        <f t="shared" si="5"/>
        <v>806.28770730878864</v>
      </c>
      <c r="AE67" s="153">
        <f>POWER(4*EU67/PI()/EG67/10^-7/EH67/(1-H67)/各项系数!$F$5/各项系数!$J$4,0.5)</f>
        <v>410.23731504138027</v>
      </c>
      <c r="AF67" s="16">
        <v>1</v>
      </c>
      <c r="AG67" s="16">
        <f>IF(EM67=0,0,PI()*ER67*ER67/4*EP67*(1-K67)*(1+AF67)*各项系数!$F$5*各项系数!$J$4*10^-7)</f>
        <v>0</v>
      </c>
      <c r="AH67" s="16">
        <f t="shared" si="315"/>
        <v>0</v>
      </c>
      <c r="AI67" s="69">
        <f t="shared" si="128"/>
        <v>0</v>
      </c>
      <c r="AJ67" s="69">
        <f>IF(OR(EP67="",EP67=0),0,POWER(4*EW67/PI()/EO67/10^-7/EP67/(1-K67)/各项系数!$F$5/各项系数!$J$4,0.5))</f>
        <v>0</v>
      </c>
      <c r="AK67" s="16" t="str">
        <f t="shared" si="8"/>
        <v>√</v>
      </c>
      <c r="AL67" s="16">
        <f t="shared" si="316"/>
        <v>1481.7832972713948</v>
      </c>
      <c r="AM67" s="106">
        <f t="shared" si="317"/>
        <v>800</v>
      </c>
      <c r="AN67" s="97" t="s">
        <v>486</v>
      </c>
      <c r="AO67" s="196">
        <f>AP67+各项系数!$M$9*$NK67</f>
        <v>1452.7287228150929</v>
      </c>
      <c r="AP67" s="196">
        <f>AQ67*(1+$BI67+(VLOOKUP($AM67,$A$12:$B$323,2,0))+各项系数!$J$6+各项系数!$M$5)*(1+$E$2)</f>
        <v>1444.6740128305664</v>
      </c>
      <c r="AQ67" s="197">
        <f>AR67+各项系数!$L$9*$NK67</f>
        <v>1474.1571559495576</v>
      </c>
      <c r="AR67" s="197">
        <f>AS67*(1+$BJ67+各项系数!$J$5+各项系数!$L$5)</f>
        <v>1466.1024459650312</v>
      </c>
      <c r="AS67" s="197">
        <f t="shared" si="129"/>
        <v>1437.355339181403</v>
      </c>
      <c r="AT67" s="196">
        <f>AU67+各项系数!$M$9*$NM67</f>
        <v>1464.1127948153896</v>
      </c>
      <c r="AU67" s="196">
        <f>AV67*(1+$BI67+(VLOOKUP($AM67,$A$12:$B$323,2,0))+各项系数!$J$6+各项系数!$M$5)*(1+$E$2)</f>
        <v>1456.0580848308632</v>
      </c>
      <c r="AV67" s="197">
        <f>AW67+各项系数!$L$9*$NM67</f>
        <v>1485.7735559498603</v>
      </c>
      <c r="AW67" s="197">
        <f>AX67*(1+$BJ67+各项系数!$J$5+各项系数!$L$5)</f>
        <v>1477.7188459653339</v>
      </c>
      <c r="AX67" s="197">
        <f t="shared" si="130"/>
        <v>1448.7439666326802</v>
      </c>
      <c r="AY67" s="196">
        <f>AZ67+各项系数!$M$9*$NS67</f>
        <v>1461.3209057943557</v>
      </c>
      <c r="AZ67" s="196">
        <f>BA67*(1+$BI67+(VLOOKUP($AM67,$A$12:$B$214,2,0))+各项系数!$J$6+各项系数!$M$5)*(1+$E$2)</f>
        <v>1453.2284527566605</v>
      </c>
      <c r="BA67" s="197">
        <f>BB67+各项系数!$L$9*$NS67</f>
        <v>1482.8861762823067</v>
      </c>
      <c r="BB67" s="197">
        <f>BC67*(1+$BJ67+各项系数!$J$5+各项系数!$L$5)</f>
        <v>1474.7937232446116</v>
      </c>
      <c r="BC67" s="199">
        <f t="shared" si="131"/>
        <v>1445.8761992594232</v>
      </c>
      <c r="BD67" s="196">
        <f>BE67+各项系数!$M$9*$NS67</f>
        <v>1472.7243780243207</v>
      </c>
      <c r="BE67" s="196">
        <f>BF67*(1+$BI67+(VLOOKUP($AM67,$A$12:$B$214,2,0))+各项系数!$J$6+各项系数!$M$5)*(1+$E$2)</f>
        <v>1464.6319249866256</v>
      </c>
      <c r="BF67" s="197">
        <f>BG67+各项系数!$L$9*$NS67</f>
        <v>1494.5223724353323</v>
      </c>
      <c r="BG67" s="197">
        <f>BH67*(1+$BJ67+各项系数!$J$5+各项系数!$L$5)</f>
        <v>1486.4299193976371</v>
      </c>
      <c r="BH67" s="199">
        <f t="shared" si="132"/>
        <v>1457.2842347035657</v>
      </c>
      <c r="BI67" s="213"/>
      <c r="BJ67" s="208"/>
      <c r="BK67" s="53" t="s">
        <v>514</v>
      </c>
      <c r="BL67" s="196">
        <f>BM67+各项系数!$M$9*$NM67</f>
        <v>1468.5131619639449</v>
      </c>
      <c r="BM67" s="196">
        <f>BN67*(1+$CF67+(VLOOKUP($AM67,$A$12:$B$323,2,0))+各项系数!$J$6+各项系数!$M$5)*(1+$E$2)</f>
        <v>1460.4584519794184</v>
      </c>
      <c r="BN67" s="197">
        <f>BO67+各项系数!$L$9*$NM67</f>
        <v>1490.2637265096107</v>
      </c>
      <c r="BO67" s="197">
        <f>BP67*(1+$CG67+各项系数!$J$5+各项系数!$L$5)</f>
        <v>1482.2090165250843</v>
      </c>
      <c r="BP67" s="197">
        <f t="shared" si="133"/>
        <v>1439.037880121441</v>
      </c>
      <c r="BQ67" s="196">
        <f>BR67+各项系数!$M$9*$NM67</f>
        <v>1478.3104856883897</v>
      </c>
      <c r="BR67" s="196">
        <f>BS67*(1+$CF67+(VLOOKUP($AM67,$A$12:$B$323,2,0))+各项系数!$J$6+各项系数!$M$5)*(1+$E$2)</f>
        <v>1470.2557757038633</v>
      </c>
      <c r="BS67" s="197">
        <f>BT67+各项系数!$L$9*$NM67</f>
        <v>1500.2609956161871</v>
      </c>
      <c r="BT67" s="197">
        <f>BU67*(1+$CG67+各项系数!$J$5+各项系数!$L$5)</f>
        <v>1492.2062856316606</v>
      </c>
      <c r="BU67" s="197">
        <f t="shared" si="134"/>
        <v>1448.7439666326802</v>
      </c>
      <c r="BV67" s="196">
        <f>BW67+各项系数!$M$9*$NT67</f>
        <v>1469.2692377943602</v>
      </c>
      <c r="BW67" s="196">
        <f>BX67*(1+$CF67+(VLOOKUP($AM67,$A$12:$B$214,2,0))+各项系数!$J$6+各项系数!$M$5)*(1+$E$2)</f>
        <v>1461.176784756665</v>
      </c>
      <c r="BX67" s="197">
        <f>BY67+各项系数!$L$9*$NT$12</f>
        <v>1490.9967191394542</v>
      </c>
      <c r="BY67" s="197">
        <f>BZ67*(1+$CG67+各项系数!$J$5+各项系数!$L$5)</f>
        <v>1490.9884557362991</v>
      </c>
      <c r="BZ67" s="199">
        <f t="shared" si="11"/>
        <v>1447.5616075109699</v>
      </c>
      <c r="CA67" s="196">
        <f>CB67+各项系数!$M$9*$NT67</f>
        <v>1479.0832576825665</v>
      </c>
      <c r="CB67" s="196">
        <f>CC67*(1+$CF67+(VLOOKUP($AM67,$A$12:$B$214,2,0))+各项系数!$J$6+各项系数!$M$5)*(1+$E$2)</f>
        <v>1470.9908046448713</v>
      </c>
      <c r="CC67" s="197">
        <f>CD67+各项系数!$L$9*$NT$12</f>
        <v>1501.0110251478279</v>
      </c>
      <c r="CD67" s="197">
        <f>CE67*(1+$CG67+各项系数!$J$5+各项系数!$L$5)</f>
        <v>1501.0027617446729</v>
      </c>
      <c r="CE67" s="199">
        <f t="shared" si="135"/>
        <v>1457.2842347035657</v>
      </c>
      <c r="CF67" s="213">
        <f t="shared" si="136"/>
        <v>0</v>
      </c>
      <c r="CG67" s="213">
        <f t="shared" si="12"/>
        <v>0.01</v>
      </c>
      <c r="CH67" s="106"/>
      <c r="CI67" s="196">
        <f>CJ67+各项系数!$M$9*$NO67</f>
        <v>1476.1209999306909</v>
      </c>
      <c r="CJ67" s="196">
        <f>CK67*(1+$DC67+(VLOOKUP($AM67,$A$12:$B$323,2,0))+各项系数!$J$6+各项系数!$M$5)*(1+$E$2)+各项系数!$M$9*$NK67</f>
        <v>1465.3484825441112</v>
      </c>
      <c r="CK67" s="197">
        <f>CL67+各项系数!$L$9*$NO67</f>
        <v>1487.0344617954947</v>
      </c>
      <c r="CL67" s="197">
        <f>CM67*(1+$DD67+各项系数!$J$5+各项系数!$L$5)</f>
        <v>1476.261944408915</v>
      </c>
      <c r="CM67" s="197">
        <f t="shared" si="13"/>
        <v>1447.3156317734461</v>
      </c>
      <c r="CN67" s="196">
        <f>CO67+各项系数!$M$9*$NO67</f>
        <v>1487.2614479413362</v>
      </c>
      <c r="CO67" s="196">
        <f>CP67*(1+$DC67+(VLOOKUP($AM67,$A$12:$B$323,2,0))+各项系数!$J$6+各项系数!$M$5)*(1+$E$2)+各项系数!$M$9*$NK67</f>
        <v>1476.4889305547565</v>
      </c>
      <c r="CP67" s="197">
        <f>CQ67+各项系数!$L$9*$NO67</f>
        <v>1498.4022658879899</v>
      </c>
      <c r="CQ67" s="197">
        <f>CR67*(1+$DD67+各项系数!$J$5+各项系数!$L$5)</f>
        <v>1487.6297485014102</v>
      </c>
      <c r="CR67" s="197">
        <f t="shared" si="14"/>
        <v>1458.4605377464804</v>
      </c>
      <c r="CS67" s="196">
        <f>CT67+各项系数!$M$9*$NU67</f>
        <v>1476.7877793454406</v>
      </c>
      <c r="CT67" s="196">
        <f t="shared" si="15"/>
        <v>1465.9769489977191</v>
      </c>
      <c r="CU67" s="197">
        <f>CV67+各项系数!$L$9*$NU67</f>
        <v>1495.8948459160399</v>
      </c>
      <c r="CV67" s="197">
        <f>CW67*(1+$DD67+各项系数!$J$5+各项系数!$L$5)</f>
        <v>1485.0840155683184</v>
      </c>
      <c r="CW67" s="199">
        <f t="shared" si="16"/>
        <v>1455.9647211454101</v>
      </c>
      <c r="CX67" s="196">
        <f>CY67+各项系数!$M$9*$NU67</f>
        <v>1488.3561535275844</v>
      </c>
      <c r="CY67" s="196">
        <f t="shared" si="17"/>
        <v>1477.5453231798629</v>
      </c>
      <c r="CZ67" s="197">
        <f>DA67+各项系数!$L$9*$NU67</f>
        <v>1507.699309367207</v>
      </c>
      <c r="DA67" s="197">
        <f>DB67*(1+$DD67+各项系数!$J$5+各项系数!$L$5)</f>
        <v>1496.8884790194854</v>
      </c>
      <c r="DB67" s="199">
        <f t="shared" si="18"/>
        <v>1467.5377245289073</v>
      </c>
      <c r="DC67" s="213">
        <f t="shared" si="137"/>
        <v>0</v>
      </c>
      <c r="DD67" s="213">
        <f t="shared" si="19"/>
        <v>0</v>
      </c>
      <c r="DE67" s="53" t="s">
        <v>498</v>
      </c>
      <c r="DF67" s="53" t="s">
        <v>513</v>
      </c>
      <c r="DG67" s="196">
        <f>DH67+各项系数!$M$9*$NQ67</f>
        <v>1492.0276511929587</v>
      </c>
      <c r="DH67" s="196">
        <f>DI67*(1+$EA67+(VLOOKUP($AM67,$A$12:$B$323,2,0))+各项系数!$J$6+各项系数!$M$5)*(1+$E$2)+各项系数!$M$9*$NK67</f>
        <v>1481.255133806379</v>
      </c>
      <c r="DI67" s="197">
        <f>DJ67+各项系数!$L$9*$NQ67</f>
        <v>1503.2657385937273</v>
      </c>
      <c r="DJ67" s="197">
        <f>DK67*(1+$EB67+各项系数!$J$5+各项系数!$L$5)</f>
        <v>1492.4932212071476</v>
      </c>
      <c r="DK67" s="197">
        <f t="shared" si="20"/>
        <v>1449.0225448613082</v>
      </c>
      <c r="DL67" s="196">
        <f>DM67+各项系数!$M$9*$NQ67</f>
        <v>1501.9668923093748</v>
      </c>
      <c r="DM67" s="196">
        <f>DN67*(1+$EA67+(VLOOKUP($AM67,$A$12:$B$323,2,0))+各项系数!$J$6+各项系数!$M$5)*(1+$E$2)+各项系数!$M$9*$NK67</f>
        <v>1491.1943749227951</v>
      </c>
      <c r="DN67" s="197">
        <f>DO67+各项系数!$L$9*$NQ67</f>
        <v>1513.4078213655803</v>
      </c>
      <c r="DO67" s="197">
        <f>DP67*(1+$EB67+各项系数!$J$5+各项系数!$L$5)</f>
        <v>1502.6353039790006</v>
      </c>
      <c r="DP67" s="197">
        <f t="shared" si="21"/>
        <v>1458.8692271640782</v>
      </c>
      <c r="DQ67" s="196">
        <f>DR67+各项系数!$M$9*$NV67</f>
        <v>1492.7820859477906</v>
      </c>
      <c r="DR67" s="196">
        <f t="shared" si="22"/>
        <v>1481.9712556000691</v>
      </c>
      <c r="DS67" s="197">
        <f>DT67+各项系数!$L$9*$NV67</f>
        <v>1512.215566938846</v>
      </c>
      <c r="DT67" s="197">
        <f>DU67*(1+$EB67+各项系数!$J$5+各项系数!$L$5)</f>
        <v>1501.4047365911244</v>
      </c>
      <c r="DU67" s="199">
        <f t="shared" si="23"/>
        <v>1457.6745015447809</v>
      </c>
      <c r="DV67" s="196">
        <f>DW67+各项系数!$M$9*$NV67</f>
        <v>1491.8086272422775</v>
      </c>
      <c r="DW67" s="196">
        <f t="shared" si="24"/>
        <v>1480.9977968945559</v>
      </c>
      <c r="DX67" s="197">
        <f>DY67+各项系数!$L$9*$NV67</f>
        <v>1511.2222417291387</v>
      </c>
      <c r="DY67" s="197">
        <f>DZ67*(1+$EB67+各项系数!$J$5+各项系数!$L$5)</f>
        <v>1500.4114113814171</v>
      </c>
      <c r="DZ67" s="199">
        <f t="shared" si="25"/>
        <v>1456.7101081372982</v>
      </c>
      <c r="EA67" s="213">
        <f t="shared" ref="EA67:EA80" si="324">BI67+$EA$2</f>
        <v>0</v>
      </c>
      <c r="EB67" s="213">
        <f t="shared" si="27"/>
        <v>0.01</v>
      </c>
      <c r="EC67" s="235">
        <f t="shared" si="138"/>
        <v>3</v>
      </c>
      <c r="ED67" s="237" t="str">
        <f t="shared" si="266"/>
        <v>3*800</v>
      </c>
      <c r="EE67" s="189">
        <f t="shared" si="239"/>
        <v>800</v>
      </c>
      <c r="EF67" s="78" t="str">
        <f>LOOKUP(EH67,{1,7,10,14,19,24,30,37,48,61},{1,"1+6","2+8","4+10","1+6+12","2+8+14","4+10+16","1+6+12+18","3+9+15+21","1+6+12+18+24"})</f>
        <v>1+6+12+18+24</v>
      </c>
      <c r="EG67" s="188">
        <f t="shared" si="29"/>
        <v>3</v>
      </c>
      <c r="EH67" s="197">
        <f>VLOOKUP(EE67,各项系数!$B$87:$C$124,2,0)</f>
        <v>61</v>
      </c>
      <c r="EI67" s="188">
        <f>IF(EH67=0,0,VLOOKUP(EH67,各项系数!$D$142:$E$195,2,0))*1</f>
        <v>9</v>
      </c>
      <c r="EJ67" s="238">
        <f t="shared" si="141"/>
        <v>404.21883750578098</v>
      </c>
      <c r="EK67" s="78">
        <f t="shared" si="318"/>
        <v>0</v>
      </c>
      <c r="EL67" s="189">
        <f t="shared" si="31"/>
        <v>0</v>
      </c>
      <c r="EM67" s="78">
        <f t="shared" si="267"/>
        <v>0</v>
      </c>
      <c r="EN67" s="78">
        <f>IF(EP67=0,0,LOOKUP(EP67,{1,7,10,14,19,24,30,37,48,61},{1,"1+6","2+8","4+10","1+6+12","2+8+14","4+10+16","1+6+12+18","3+9+15+21","1+6+12+18+24"}))</f>
        <v>0</v>
      </c>
      <c r="EO67" s="78">
        <f t="shared" si="319"/>
        <v>0</v>
      </c>
      <c r="EP67" s="78">
        <f>IF(EM67=0,0,IF(EM67&lt;10,1,IF(AND(EM67&gt;=10,EM67&lt;=35),7,LOOKUP(EM67,{50,70,95,120,150,185,240,300},{10,14,19,24,30,37,48,61})*1)))</f>
        <v>0</v>
      </c>
      <c r="EQ67" s="189">
        <f>IF(EP67=0,0,VLOOKUP(EP67,各项系数!$D$142:$E$195,2,0))*1</f>
        <v>0</v>
      </c>
      <c r="ER67" s="78">
        <f t="shared" si="320"/>
        <v>0</v>
      </c>
      <c r="ES67" s="237">
        <f t="shared" si="321"/>
        <v>3</v>
      </c>
      <c r="ET67" s="189">
        <f>VLOOKUP(ES67,各项系数!$D$142:$E$195,2,0)*1</f>
        <v>2.16</v>
      </c>
      <c r="EU67" s="243">
        <f>((各项系数!$F$76/4*$EJ67^2*$EG67*$EH67*1*10^-7)*(1-$H67)*AA67)*(VLOOKUP($EY$9,各项系数!$D$4:$F$143,3,0))*各项系数!$J$4</f>
        <v>21.396174688155771</v>
      </c>
      <c r="EV67" s="244">
        <f>EU67*(VLOOKUP($EY$9,各项系数!$D$4:$F$143,2,0))</f>
        <v>1401.449442074203</v>
      </c>
      <c r="EW67" s="252">
        <f>(IF($EO67=0,0,(各项系数!$F$76/4*$ER67^2*$EO67*$EP67*1*10^-7))*(1-$K67)*$AF67)*(VLOOKUP($EY$9,各项系数!$D$4:$F$143,3,0))*各项系数!$J$4</f>
        <v>0</v>
      </c>
      <c r="EX67" s="253">
        <f>EW67*(VLOOKUP($EY$9,各项系数!$D$4:$F$143,2,0))</f>
        <v>0</v>
      </c>
      <c r="EY67" s="189">
        <f>((各项系数!$F$76/4*$EJ67^2*$EG67*$EH67*1*10^-7)*(1-$H67)*AA67+IF($EO67=0,0,(各项系数!$F$76/4*$ER67^2*$EO67*$EP67*1*10^-7))*(1-$K67)*$AF67)*(VLOOKUP($EY$9,各项系数!$D$4:$F$143,3,0))*各项系数!$J$4</f>
        <v>21.396174688155771</v>
      </c>
      <c r="EZ67" s="102">
        <v>1</v>
      </c>
      <c r="FA67" s="189">
        <f t="shared" si="268"/>
        <v>21.396174688155771</v>
      </c>
      <c r="FB67" s="254">
        <f>FA67*(VLOOKUP($EY$9,各项系数!$D$4:$F$143,2,0))</f>
        <v>1401.449442074203</v>
      </c>
      <c r="FC67" s="257"/>
      <c r="FD67" s="235">
        <f>各项系数!$F$76/4*($MN67^2-MK67^2)*10^-2*(VLOOKUP(L67,各项系数!$D$1:$F$143,3,0))*10^-3*10^2*$EG67*各项系数!$J$4</f>
        <v>1.0454389643994291</v>
      </c>
      <c r="FE67" s="262">
        <f>FD67*VLOOKUP(L67,各项系数!$D$1:$F$143,2,0)</f>
        <v>10.663477436874176</v>
      </c>
      <c r="FF67" s="188">
        <f>各项系数!$F$76/4*($MO67^2-ML67^2)*10^-2*(VLOOKUP(L67,各项系数!$D$1:$F$143,3,0))*10^-3*10^2*$EO67*各项系数!$J$4</f>
        <v>0</v>
      </c>
      <c r="FG67" s="262">
        <f>FF67*VLOOKUP(L67,各项系数!$D$1:$F$143,2,0)</f>
        <v>0</v>
      </c>
      <c r="FH67" s="235">
        <f t="shared" si="142"/>
        <v>1.0454389643994291</v>
      </c>
      <c r="FI67" s="102">
        <v>1</v>
      </c>
      <c r="FJ67" s="189">
        <f t="shared" si="269"/>
        <v>1.0454389643994291</v>
      </c>
      <c r="FK67" s="262">
        <f>FJ67*VLOOKUP(L67,各项系数!$D$1:$F$143,2,0)</f>
        <v>10.663477436874176</v>
      </c>
      <c r="FL67" s="237"/>
      <c r="FM67" s="106"/>
      <c r="FN67" s="189"/>
      <c r="FO67" s="262"/>
      <c r="FP67" s="282">
        <f t="shared" si="270"/>
        <v>1.0454389643994291</v>
      </c>
      <c r="FQ67" s="282">
        <f t="shared" si="271"/>
        <v>10.663477436874176</v>
      </c>
      <c r="FR67" s="283">
        <f>各项系数!$F$76/4*($MQ67^2-$MN67^2*$EG67-$MO67^2*$EO67)*10^-2</f>
        <v>22.616385648985585</v>
      </c>
      <c r="FS67" s="284">
        <f t="shared" si="143"/>
        <v>1</v>
      </c>
      <c r="FT67" s="285">
        <f t="shared" si="40"/>
        <v>22.616385648985585</v>
      </c>
      <c r="FU67" s="302">
        <f>$FT67*(VLOOKUP($FT$9,各项系数!$D$1:$F$143,3,0))*10^-3*10^2*各项系数!$J$55</f>
        <v>2.7003964464888783</v>
      </c>
      <c r="FV67" s="303">
        <v>1</v>
      </c>
      <c r="FW67" s="304">
        <f t="shared" si="272"/>
        <v>2.7003964464888783</v>
      </c>
      <c r="FX67" s="285">
        <f>FW67*(VLOOKUP($FT$9,各项系数!$D$1:$F$143,2,0))</f>
        <v>8.1011893394666359</v>
      </c>
      <c r="FY67" s="302">
        <f>IF($BK67&lt;&gt;$FY$9,0,各项系数!$F$76/4*($MS67^2-$MQ67^2)*10^-2*(VLOOKUP($FY$9,各项系数!$D$1:$F$143,3,0))*10^-3*10^2)*各项系数!$J$4</f>
        <v>0</v>
      </c>
      <c r="FZ67" s="303">
        <v>1</v>
      </c>
      <c r="GA67" s="304">
        <f t="shared" si="273"/>
        <v>0</v>
      </c>
      <c r="GB67" s="285">
        <f>GA67*(VLOOKUP($FY$9,各项系数!$D$1:$F$143,2,0))</f>
        <v>0</v>
      </c>
      <c r="GC67" s="302">
        <f>IF($BK67&lt;&gt;$GC$9,0,各项系数!$F$76/4*($MS67^2-$MQ67^2)*10^-2*(VLOOKUP($GC$9,各项系数!$D$1:$F$143,3,0))*10^-3*10^2)*各项系数!$J$4</f>
        <v>2.4482242672854471E-2</v>
      </c>
      <c r="GD67" s="303">
        <v>1</v>
      </c>
      <c r="GE67" s="304">
        <f t="shared" si="274"/>
        <v>2.4482242672854471E-2</v>
      </c>
      <c r="GF67" s="285">
        <f>GE67*(VLOOKUP($GC$9,各项系数!$D$1:$F$143,2,0))</f>
        <v>0.31582093047982268</v>
      </c>
      <c r="GG67" s="302">
        <f>IF($BK67&lt;&gt;$GG$9,0,各项系数!$F$76/4*($MS67^2-$MQ67^2)*10^-2*(VLOOKUP($GG$9,各项系数!$D$1:$F$143,3,0))*10^-3*10^2)*各项系数!$J$4</f>
        <v>0</v>
      </c>
      <c r="GH67" s="303">
        <v>1</v>
      </c>
      <c r="GI67" s="304">
        <f t="shared" si="275"/>
        <v>0</v>
      </c>
      <c r="GJ67" s="285">
        <f>GI67*(VLOOKUP($GG$9,各项系数!$D$1:$F$143,2,0))</f>
        <v>0</v>
      </c>
      <c r="GK67" s="302">
        <f>IF($BK67&lt;&gt;$GK$9,0,各项系数!$F$76/4*($MS67^2-$MQ67^2)*10^-2*(VLOOKUP($GK$9,各项系数!$D$1:$F$143,3,0))*10^-3*10^2)*各项系数!$J$4</f>
        <v>0</v>
      </c>
      <c r="GL67" s="303">
        <v>1</v>
      </c>
      <c r="GM67" s="304">
        <f t="shared" si="276"/>
        <v>0</v>
      </c>
      <c r="GN67" s="285">
        <f>GM67*(VLOOKUP($GK$9,各项系数!$D$1:$F$143,2,0))</f>
        <v>0</v>
      </c>
      <c r="GO67" s="304">
        <f t="shared" si="277"/>
        <v>2.4482242672854471E-2</v>
      </c>
      <c r="GP67" s="304">
        <f t="shared" si="278"/>
        <v>0.31582093047982268</v>
      </c>
      <c r="GQ67" s="315">
        <f>各项系数!$F$76/4*($MU67^2-$MS67^2)*10^-2*(VLOOKUP($S67,各项系数!$D$1:$F$143,3,0))*10^-3*10^2*各项系数!$J$4</f>
        <v>1.663530824650638</v>
      </c>
      <c r="GR67" s="303">
        <v>1</v>
      </c>
      <c r="GS67" s="304">
        <f t="shared" si="279"/>
        <v>1.663530824650638</v>
      </c>
      <c r="GT67" s="304">
        <f t="shared" si="200"/>
        <v>0</v>
      </c>
      <c r="GU67" s="304">
        <f>ROUND($GS67*(VLOOKUP($S67,各项系数!$D$1:$F$143,2,0))+$E$3*GS67,GT67)</f>
        <v>10</v>
      </c>
      <c r="GV67" s="315">
        <f>各项系数!$F$76/4*($MT67^2-$MS67^2)*10^-2*(VLOOKUP($GV$9,各项系数!$D$1:$F$143,3,0))*10^-3*10^2*各项系数!$J$4*PI()/4*R67</f>
        <v>0.12581017722863128</v>
      </c>
      <c r="GW67" s="303">
        <v>1</v>
      </c>
      <c r="GX67" s="304">
        <f t="shared" si="280"/>
        <v>0.12581017722863128</v>
      </c>
      <c r="GY67" s="304">
        <f>$GX67*(VLOOKUP($GV$9,各项系数!$D$1:$F$143,2,0))</f>
        <v>8.4921869629326103</v>
      </c>
      <c r="GZ67" s="315">
        <f>各项系数!$F$76/4*($MV67^2-$MS67^2)*10^-2*(VLOOKUP($GZ$9,各项系数!$D$1:$F$143,3,0))*10^-3*10^2*各项系数!$J$4</f>
        <v>1.6596492265680414</v>
      </c>
      <c r="HA67" s="303">
        <v>1</v>
      </c>
      <c r="HB67" s="304">
        <f t="shared" si="144"/>
        <v>1.6596492265680414</v>
      </c>
      <c r="HC67" s="304">
        <f>HB67*(VLOOKUP($GZ$9,各项系数!$D$1:$F$143,2,0))</f>
        <v>28.214036851656704</v>
      </c>
      <c r="HD67" s="315">
        <f>各项系数!$F$76/4*($MW67^2-$MT67^2)*10^-2*(VLOOKUP($HD$9,各项系数!$D$1:$F$143,3,0))*10^-3*10^2*各项系数!$J$4</f>
        <v>1.6624775270358447</v>
      </c>
      <c r="HE67" s="303">
        <v>1</v>
      </c>
      <c r="HF67" s="304">
        <f t="shared" si="145"/>
        <v>1.6624775270358447</v>
      </c>
      <c r="HG67" s="304">
        <f>HF67*(VLOOKUP($HD$9,各项系数!$D$1:$F$143,2,0))</f>
        <v>28.262117959609359</v>
      </c>
      <c r="HH67" s="315">
        <f>各项系数!$F$76/4*($MV67^2-$MS67^2)*10^-2*(VLOOKUP($HH$9,各项系数!$D$1:$F$143,3,0))*10^-3*10^2*各项系数!$J$4</f>
        <v>1.6596492265680414</v>
      </c>
      <c r="HI67" s="322">
        <v>1</v>
      </c>
      <c r="HJ67" s="304">
        <f t="shared" si="146"/>
        <v>1.6596492265680414</v>
      </c>
      <c r="HK67" s="304">
        <f>HJ67*(VLOOKUP($HH$9,各项系数!$D$1:$F$143,2,0))</f>
        <v>28.214036851656704</v>
      </c>
      <c r="HL67" s="315">
        <f>各项系数!$F$76/4*($MW67^2-$MT67^2)*10^-2*(VLOOKUP($HL$9,各项系数!$D$1:$F$143,3,0))*10^-3*10^2*各项系数!$J$4</f>
        <v>1.6624775270358447</v>
      </c>
      <c r="HM67" s="322">
        <v>1</v>
      </c>
      <c r="HN67" s="304">
        <f t="shared" si="147"/>
        <v>1.6624775270358447</v>
      </c>
      <c r="HO67" s="304">
        <f>HN67*(VLOOKUP($HL$9,各项系数!$D$1:$F$143,2,0))</f>
        <v>28.262117959609359</v>
      </c>
      <c r="HP67" s="315">
        <f>各项系数!$F$76/4*($MV67^2-$MS67^2)*10^-2*(VLOOKUP(AN67,各项系数!$D$1:$F$143,3,0))*10^-3*10^2*各项系数!$J$4</f>
        <v>1.682540940037945</v>
      </c>
      <c r="HQ67" s="303">
        <v>1</v>
      </c>
      <c r="HR67" s="304">
        <f t="shared" si="281"/>
        <v>1.682540940037945</v>
      </c>
      <c r="HS67" s="304">
        <f>HR67*(VLOOKUP(AN67,各项系数!$D$1:$F$143,2,0))</f>
        <v>16.825409400379449</v>
      </c>
      <c r="HT67" s="315">
        <f>各项系数!$F$76/4*($MW67^2-$MT67^2)*10^-2*(VLOOKUP(AN67,各项系数!$D$1:$F$143,3,0))*10^-3*10^2*各项系数!$J$4</f>
        <v>1.6854082515466839</v>
      </c>
      <c r="HU67" s="303">
        <v>1</v>
      </c>
      <c r="HV67" s="304">
        <f t="shared" si="282"/>
        <v>1.6854082515466839</v>
      </c>
      <c r="HW67" s="304">
        <f>HV67*(VLOOKUP(AN67,各项系数!$D$1:$F$143,2,0))</f>
        <v>16.854082515466839</v>
      </c>
      <c r="HX67" s="315">
        <f>各项系数!$F$76/4*($MV67^2-$MS67^2)*10^-2*(VLOOKUP($HX$9,各项系数!$D$1:$F$143,3,0))*10^-3*10^2*各项系数!$J$4</f>
        <v>1.682540940037945</v>
      </c>
      <c r="HY67" s="322">
        <v>1</v>
      </c>
      <c r="HZ67" s="304">
        <f t="shared" si="283"/>
        <v>1.682540940037945</v>
      </c>
      <c r="IA67" s="304">
        <f>HZ67*(VLOOKUP($HX$9,各项系数!$D$1:$F$143,2,0))</f>
        <v>18.507950340417395</v>
      </c>
      <c r="IB67" s="315">
        <f>各项系数!$F$76/4*($MW67^2-$MT67^2)*10^-2*(VLOOKUP($IB$9,各项系数!$D$1:$F$143,3,0))*10^-3*10^2*各项系数!$J$4</f>
        <v>1.6854082515466839</v>
      </c>
      <c r="IC67" s="322">
        <v>1</v>
      </c>
      <c r="ID67" s="304">
        <f t="shared" si="284"/>
        <v>1.6854082515466839</v>
      </c>
      <c r="IE67" s="304">
        <f>ID67*(VLOOKUP($IB$9,各项系数!$D$1:$F$143,2,0))</f>
        <v>18.539490767013522</v>
      </c>
      <c r="IF67" s="309"/>
      <c r="IG67" s="315">
        <f t="shared" si="148"/>
        <v>0.15478627278471324</v>
      </c>
      <c r="IH67" s="303">
        <v>1</v>
      </c>
      <c r="II67" s="304">
        <f t="shared" si="285"/>
        <v>0.15478627278471324</v>
      </c>
      <c r="IJ67" s="304">
        <f>II67*(VLOOKUP($IG$8,各项系数!$D$1:$F$143,2,0))</f>
        <v>3.8696568196178309</v>
      </c>
      <c r="IK67" s="315">
        <f>(各项系数!$F$76/4*($MX67^2-$MK67^2)*$EG67)*10^-2*(VLOOKUP($IG$8,各项系数!$D$1:$F$143,3,0))*10^-3*10^2*各项系数!$J$4</f>
        <v>0.15478627278471324</v>
      </c>
      <c r="IL67" s="303">
        <f>IK67*(VLOOKUP($IG$8,各项系数!$D$1:$F$143,2,0))</f>
        <v>3.8696568196178309</v>
      </c>
      <c r="IM67" s="304">
        <f>(各项系数!$F$76/4*(($MM67+3*$X67)^2-MM67^2)*$EO67)*10^-2*(VLOOKUP($IG$8,各项系数!$D$1:$F$143,3,0))*10^-3*10^2*各项系数!$J$4</f>
        <v>0</v>
      </c>
      <c r="IN67" s="303">
        <f>IM67*(VLOOKUP($IG$8,各项系数!$D$1:$F$143,2,0))</f>
        <v>0</v>
      </c>
      <c r="IO67" s="315">
        <f>各项系数!$F$76/4*($MZ67^2-$MX67^2)*10^-2*(VLOOKUP(L67,各项系数!$D$1:$F$143,3,0))*10^-3*10^2*$ES67*各项系数!$J$4</f>
        <v>1.0615310187852056</v>
      </c>
      <c r="IP67" s="303">
        <v>1</v>
      </c>
      <c r="IQ67" s="304">
        <f t="shared" si="286"/>
        <v>1.0615310187852056</v>
      </c>
      <c r="IR67" s="285">
        <f>IQ67*(VLOOKUP(L67,各项系数!$D$1:$F$143,2,0))</f>
        <v>10.827616391609096</v>
      </c>
      <c r="IS67" s="315">
        <f>IF($L67&lt;&gt;$IS$9,0,各项系数!$F$76/4*($MZ67^2-$MX67^2)*10^-2*各项系数!$F$12*10^-3*10^2)*$ES67*各项系数!$J$4</f>
        <v>0</v>
      </c>
      <c r="IT67" s="310">
        <v>1</v>
      </c>
      <c r="IU67" s="304">
        <f t="shared" si="287"/>
        <v>0</v>
      </c>
      <c r="IV67" s="285">
        <f>IU67*各项系数!$E$12</f>
        <v>0</v>
      </c>
      <c r="IW67" s="302">
        <f t="shared" si="288"/>
        <v>1.0615310187852056</v>
      </c>
      <c r="IX67" s="302">
        <f t="shared" si="289"/>
        <v>10.827616391609096</v>
      </c>
      <c r="IY67" s="339">
        <f>各项系数!$F$76/4*($NB67^2-$MZ67^2*$EG67-$NA67^2*$EO67)*10^-2</f>
        <v>23.273809345753747</v>
      </c>
      <c r="IZ67" s="284">
        <f t="shared" si="231"/>
        <v>1</v>
      </c>
      <c r="JA67" s="285">
        <f t="shared" si="64"/>
        <v>23.273809345753747</v>
      </c>
      <c r="JB67" s="282">
        <f>IF($DE67&lt;&gt;$JB$9,0,$JA67*各项系数!$F$32*10^-3*10^2)*各项系数!$J$4</f>
        <v>0</v>
      </c>
      <c r="JC67" s="102">
        <v>1</v>
      </c>
      <c r="JD67" s="189">
        <f t="shared" si="290"/>
        <v>0</v>
      </c>
      <c r="JE67" s="262">
        <f>JD67*各项系数!$E$32</f>
        <v>0</v>
      </c>
      <c r="JF67" s="282">
        <f>IF($DE67&lt;&gt;$JF$9,0,$JA67*VLOOKUP($JF$9,各项系数!$D$4:$F$540,2,0)*10^-3*10^2)*各项系数!$J$4</f>
        <v>11.57872014951249</v>
      </c>
      <c r="JG67" s="102">
        <v>1</v>
      </c>
      <c r="JH67" s="189">
        <f t="shared" si="66"/>
        <v>11.57872014951249</v>
      </c>
      <c r="JI67" s="262">
        <f>JH67*VLOOKUP($JF$9,各项系数!$D$4:$F$540,3,0)</f>
        <v>13.894464179414987</v>
      </c>
      <c r="JJ67" s="282">
        <f t="shared" si="291"/>
        <v>11.57872014951249</v>
      </c>
      <c r="JK67" s="189">
        <f t="shared" si="292"/>
        <v>13.894464179414987</v>
      </c>
      <c r="JL67" s="282">
        <f>IF($DF67&lt;&gt;$JL$9,0,各项系数!$F$76/4*($NE67^2-$NC67^2)*10^-2*各项系数!$F$39*10^-3*10^2)*各项系数!$J$4</f>
        <v>1.0266071498933511E-2</v>
      </c>
      <c r="JM67" s="102">
        <v>1</v>
      </c>
      <c r="JN67" s="189">
        <f t="shared" si="293"/>
        <v>1.0266071498933511E-2</v>
      </c>
      <c r="JO67" s="262">
        <f>JN67*各项系数!$E$39</f>
        <v>0.2053214299786702</v>
      </c>
      <c r="JP67" s="282">
        <f>IF($DF67&lt;&gt;$JP$9,0,各项系数!$F$76/4*($NE67^2-$NC67^2)*10^-2*各项系数!$F$36*10^-3*10^2)*各项系数!$J$4</f>
        <v>0</v>
      </c>
      <c r="JQ67" s="102">
        <v>1</v>
      </c>
      <c r="JR67" s="189">
        <f t="shared" si="294"/>
        <v>0</v>
      </c>
      <c r="JS67" s="262">
        <f>JR67*各项系数!$E$36</f>
        <v>0</v>
      </c>
      <c r="JT67" s="282">
        <f>IF($DF67&lt;&gt;$JT$9,0,各项系数!$F$76/4*($NE67^2-$NC67^2)*10^-2*各项系数!$F$40*10^-3*10^2)*各项系数!$J$4</f>
        <v>0</v>
      </c>
      <c r="JU67" s="102">
        <v>1</v>
      </c>
      <c r="JV67" s="189">
        <f t="shared" si="295"/>
        <v>0</v>
      </c>
      <c r="JW67" s="262">
        <f>JV67*各项系数!$E$40</f>
        <v>0</v>
      </c>
      <c r="JX67" s="282">
        <f>IF($DF67&lt;&gt;$JX$9,0,各项系数!$F$76/4*($NE67^2-$NC67^2)*10^-2*各项系数!$F$38*10^-3*10^2)*各项系数!$J$4</f>
        <v>0</v>
      </c>
      <c r="JY67" s="102">
        <v>1</v>
      </c>
      <c r="JZ67" s="189">
        <f t="shared" si="296"/>
        <v>0</v>
      </c>
      <c r="KA67" s="262">
        <f>JZ67*各项系数!$E$38</f>
        <v>0</v>
      </c>
      <c r="KB67" s="282">
        <f>IF($DF67&lt;&gt;$KB$9,0,各项系数!$F$76/4*($NE67^2-$NC67^2)*10^-2*各项系数!$F$41*10^-3*10^2)*各项系数!$J$4</f>
        <v>0</v>
      </c>
      <c r="KC67" s="102">
        <v>1</v>
      </c>
      <c r="KD67" s="189">
        <f t="shared" si="297"/>
        <v>0</v>
      </c>
      <c r="KE67" s="262">
        <f>KD67*各项系数!$E$41</f>
        <v>0</v>
      </c>
      <c r="KF67" s="189">
        <f t="shared" si="298"/>
        <v>1.0266071498933511E-2</v>
      </c>
      <c r="KG67" s="189">
        <f t="shared" si="299"/>
        <v>0.2053214299786702</v>
      </c>
      <c r="KH67" s="235">
        <f>各项系数!$F$76/4*($NG67^2-$NE67^2)*10^-2*各项系数!$F$44*10^-3*10^2*各项系数!$J$4*0.75*$U67</f>
        <v>2.5326961969417887</v>
      </c>
      <c r="KI67" s="102">
        <v>1</v>
      </c>
      <c r="KJ67" s="189">
        <f t="shared" si="300"/>
        <v>2.5326961969417887</v>
      </c>
      <c r="KK67" s="189">
        <f>ROUND(KJ67*各项系数!$E$43,GT67)</f>
        <v>15</v>
      </c>
      <c r="KL67" s="235">
        <f>各项系数!$F$76/4*($NF67^2-$NE67^2)*10^-2*各项系数!$F$46*10^-3*10^2*各项系数!$J$4*PI()/4*R67</f>
        <v>0.12770987047224563</v>
      </c>
      <c r="KM67" s="102">
        <v>1</v>
      </c>
      <c r="KN67" s="189">
        <f t="shared" si="301"/>
        <v>0.12770987047224563</v>
      </c>
      <c r="KO67" s="189">
        <f>KN67*各项系数!$E$46</f>
        <v>8.620416256876581</v>
      </c>
      <c r="KP67" s="235">
        <f>各项系数!$F$76/4*($NH67^2-$NE67^2)*10^-2*(VLOOKUP($KP$9,各项系数!$D$1:$F$143,3,0))*10^-3*10^2*各项系数!$J$4</f>
        <v>1.6836897805443702</v>
      </c>
      <c r="KQ67" s="102">
        <v>1</v>
      </c>
      <c r="KR67" s="189">
        <f t="shared" si="150"/>
        <v>1.6836897805443702</v>
      </c>
      <c r="KS67" s="189">
        <f>KR67*(VLOOKUP($KP$9,各项系数!$D$1:$F$143,2,0))</f>
        <v>28.622726269254294</v>
      </c>
      <c r="KT67" s="235">
        <f>各项系数!$F$76/4*($NI67^2-$NF67^2)*10^-2*(VLOOKUP($KT$9,各项系数!$D$1:$F$143,3,0))*10^-3*10^2*各项系数!$J$4</f>
        <v>1.686518081012172</v>
      </c>
      <c r="KU67" s="102">
        <v>1</v>
      </c>
      <c r="KV67" s="189">
        <f t="shared" si="151"/>
        <v>1.686518081012172</v>
      </c>
      <c r="KW67" s="189">
        <f>KV67*(VLOOKUP($KT$9,各项系数!$D$1:$F$143,2,0))</f>
        <v>28.670807377206923</v>
      </c>
      <c r="KX67" s="189">
        <f>各项系数!$F$76/4*($NH67^2-$NE67^2)*10^-2*(VLOOKUP($KX$9,各项系数!$D$1:$F$143,3,0))*10^-3*10^2*各项系数!$J$4</f>
        <v>1.6836897805443702</v>
      </c>
      <c r="KY67" s="353">
        <v>1</v>
      </c>
      <c r="KZ67" s="189">
        <f t="shared" si="152"/>
        <v>1.6836897805443702</v>
      </c>
      <c r="LA67" s="189">
        <f>KZ67*(VLOOKUP($KX$9,各项系数!$D$1:$F$143,2,0))</f>
        <v>28.622726269254294</v>
      </c>
      <c r="LB67" s="189">
        <f>各项系数!$F$76/4*($NI67^2-$NF67^2)*10^-2*(VLOOKUP($LB$9,各项系数!$D$1:$F$143,3,0))*10^-3*10^2*各项系数!$J$4</f>
        <v>1.686518081012172</v>
      </c>
      <c r="LC67" s="353">
        <v>1</v>
      </c>
      <c r="LD67" s="189">
        <f t="shared" si="153"/>
        <v>1.686518081012172</v>
      </c>
      <c r="LE67" s="189">
        <f>LD67*(VLOOKUP($LB$9,各项系数!$D$1:$F$143,2,0))</f>
        <v>28.670807377206923</v>
      </c>
      <c r="LF67" s="235">
        <f>各项系数!$F$76/4*($NH67^2-$NE67^2)*10^-2*(VLOOKUP(AN67,各项系数!$D$1:$F$143,3,0))*10^-3*10^2*各项系数!$J$4</f>
        <v>1.7069130878622234</v>
      </c>
      <c r="LG67" s="102">
        <v>1</v>
      </c>
      <c r="LH67" s="189">
        <f t="shared" si="302"/>
        <v>1.7069130878622234</v>
      </c>
      <c r="LI67" s="189">
        <f>LH67*(VLOOKUP(AN67,各项系数!$D$1:$F$143,2,0))</f>
        <v>17.069130878622232</v>
      </c>
      <c r="LJ67" s="235">
        <f>各项系数!$F$76/4*($NI67^2-$NF67^2)*10^-2*(VLOOKUP(AN67,各项系数!$D$1:$F$143,3,0))*10^-3*10^2*各项系数!$J$4</f>
        <v>1.7097803993709606</v>
      </c>
      <c r="LK67" s="102">
        <v>1</v>
      </c>
      <c r="LL67" s="189">
        <f t="shared" si="303"/>
        <v>1.7097803993709606</v>
      </c>
      <c r="LM67" s="189">
        <f>LL67*(VLOOKUP(AN67,各项系数!$D$1:$F$143,2,0))</f>
        <v>17.097803993709604</v>
      </c>
      <c r="LN67" s="189">
        <f>各项系数!$F$76/4*($NH67^2-$NE67^2)*10^-2*(VLOOKUP($LN$9,各项系数!$D$1:$F$143,3,0))*10^-3*10^2*各项系数!$J$4</f>
        <v>1.7069130878622234</v>
      </c>
      <c r="LO67" s="353">
        <v>1</v>
      </c>
      <c r="LP67" s="189">
        <f t="shared" si="304"/>
        <v>1.7069130878622234</v>
      </c>
      <c r="LQ67" s="189">
        <f>LP67*(VLOOKUP($LN$9,各项系数!$D$1:$F$143,2,0))</f>
        <v>18.776043966484458</v>
      </c>
      <c r="LR67" s="189">
        <f>各项系数!$F$76/4*($NI67^2-$NF67^2)*10^-2*(VLOOKUP($LR$9,各项系数!$D$1:$F$143,3,0))*10^-3*10^2*各项系数!$J$4</f>
        <v>1.7097803993709606</v>
      </c>
      <c r="LS67" s="353">
        <v>1</v>
      </c>
      <c r="LT67" s="189">
        <f t="shared" si="305"/>
        <v>1.7097803993709606</v>
      </c>
      <c r="LU67" s="189">
        <f>LT67*(VLOOKUP($LR$9,各项系数!$D$1:$F$143,2,0))</f>
        <v>18.807584393080568</v>
      </c>
      <c r="LV67" s="227">
        <f t="shared" si="154"/>
        <v>3118.3815590499999</v>
      </c>
      <c r="LW67" s="227">
        <f t="shared" si="155"/>
        <v>2348.4108037300002</v>
      </c>
      <c r="LX67" s="227">
        <f t="shared" si="156"/>
        <v>54.68171086014339</v>
      </c>
      <c r="LY67" s="227">
        <f t="shared" si="157"/>
        <v>769.97075531999963</v>
      </c>
      <c r="LZ67" s="374">
        <f t="shared" si="86"/>
        <v>1</v>
      </c>
      <c r="MA67" s="375">
        <f t="shared" si="87"/>
        <v>3118.3815590499999</v>
      </c>
      <c r="MB67" s="375">
        <f t="shared" si="158"/>
        <v>36.379695419999997</v>
      </c>
      <c r="MC67" s="227">
        <f t="shared" si="159"/>
        <v>0</v>
      </c>
      <c r="MD67" s="227">
        <f t="shared" si="160"/>
        <v>0</v>
      </c>
      <c r="ME67" s="227">
        <f t="shared" si="161"/>
        <v>0</v>
      </c>
      <c r="MF67" s="227">
        <f t="shared" si="162"/>
        <v>0</v>
      </c>
      <c r="MG67" s="374">
        <f t="shared" si="163"/>
        <v>1</v>
      </c>
      <c r="MH67" s="375">
        <f t="shared" si="88"/>
        <v>0</v>
      </c>
      <c r="MI67" s="375">
        <f t="shared" si="164"/>
        <v>0</v>
      </c>
      <c r="MJ67" s="189">
        <f t="shared" si="89"/>
        <v>36.379695419999997</v>
      </c>
      <c r="MK67" s="189">
        <f t="shared" si="165"/>
        <v>36.379695419999997</v>
      </c>
      <c r="ML67" s="189">
        <f t="shared" si="306"/>
        <v>0</v>
      </c>
      <c r="MM67" s="189">
        <f t="shared" si="91"/>
        <v>0</v>
      </c>
      <c r="MN67" s="189">
        <f t="shared" si="92"/>
        <v>41.57969542</v>
      </c>
      <c r="MO67" s="189">
        <f t="shared" si="166"/>
        <v>0</v>
      </c>
      <c r="MP67" s="189">
        <f t="shared" si="167"/>
        <v>89.812142109999996</v>
      </c>
      <c r="MQ67" s="189">
        <f t="shared" si="307"/>
        <v>89.812142109999996</v>
      </c>
      <c r="MR67" s="246">
        <f t="shared" si="168"/>
        <v>89.812142109999996</v>
      </c>
      <c r="MS67" s="380">
        <f t="shared" si="94"/>
        <v>89.988142109999998</v>
      </c>
      <c r="MT67" s="380">
        <f t="shared" si="95"/>
        <v>90.148142109999995</v>
      </c>
      <c r="MU67" s="380">
        <f t="shared" si="232"/>
        <v>91.488142109999998</v>
      </c>
      <c r="MV67" s="380">
        <f t="shared" si="97"/>
        <v>97.788142109999995</v>
      </c>
      <c r="MW67" s="380">
        <f t="shared" si="98"/>
        <v>97.948142109999992</v>
      </c>
      <c r="MX67" s="254">
        <f t="shared" si="233"/>
        <v>36.979695419999999</v>
      </c>
      <c r="MY67" s="254">
        <f t="shared" si="100"/>
        <v>0</v>
      </c>
      <c r="MZ67" s="189">
        <f t="shared" si="101"/>
        <v>42.179695420000002</v>
      </c>
      <c r="NA67" s="189">
        <f t="shared" si="102"/>
        <v>0</v>
      </c>
      <c r="NB67" s="189">
        <f t="shared" si="169"/>
        <v>91.108142110000003</v>
      </c>
      <c r="NC67" s="254">
        <f t="shared" si="308"/>
        <v>91.108142110000003</v>
      </c>
      <c r="ND67" s="246">
        <f t="shared" si="234"/>
        <v>91.108142110000003</v>
      </c>
      <c r="NE67" s="386">
        <f t="shared" si="235"/>
        <v>91.348142109999998</v>
      </c>
      <c r="NF67" s="380">
        <f t="shared" si="106"/>
        <v>91.508142109999994</v>
      </c>
      <c r="NG67" s="387">
        <f t="shared" si="236"/>
        <v>92.848142109999998</v>
      </c>
      <c r="NH67" s="254">
        <f t="shared" si="108"/>
        <v>99.148142109999995</v>
      </c>
      <c r="NI67" s="380">
        <f t="shared" si="109"/>
        <v>99.308142109999991</v>
      </c>
      <c r="NK67" s="388">
        <f t="shared" si="110"/>
        <v>26.849033281754878</v>
      </c>
      <c r="NL67" s="388">
        <f t="shared" si="111"/>
        <v>1437.355339181403</v>
      </c>
      <c r="NM67" s="388">
        <f t="shared" si="112"/>
        <v>26.849033281754878</v>
      </c>
      <c r="NN67" s="388">
        <f t="shared" si="113"/>
        <v>1439.037880121441</v>
      </c>
      <c r="NO67" s="388">
        <f t="shared" si="114"/>
        <v>35.908391288599333</v>
      </c>
      <c r="NP67" s="388">
        <f t="shared" si="115"/>
        <v>1447.3156317734458</v>
      </c>
      <c r="NQ67" s="388">
        <f t="shared" si="116"/>
        <v>35.908391288599333</v>
      </c>
      <c r="NR67" s="388">
        <f t="shared" si="117"/>
        <v>1449.0225448613082</v>
      </c>
      <c r="NS67" s="388">
        <f t="shared" si="118"/>
        <v>26.974843458983507</v>
      </c>
      <c r="NT67" s="388">
        <f t="shared" si="119"/>
        <v>26.974843458983507</v>
      </c>
      <c r="NU67" s="388">
        <f t="shared" si="120"/>
        <v>36.036101159071578</v>
      </c>
      <c r="NV67" s="388">
        <f t="shared" si="121"/>
        <v>36.036101159071578</v>
      </c>
      <c r="NW67">
        <f t="shared" si="122"/>
        <v>28.512564106405517</v>
      </c>
      <c r="NX67">
        <f>各项系数!$M$9*NK67</f>
        <v>8.0547099845264629</v>
      </c>
      <c r="NY67">
        <f t="shared" si="123"/>
        <v>26.974843458983507</v>
      </c>
    </row>
    <row r="68" spans="1:389" s="9" customFormat="1" ht="15" hidden="1" customHeight="1">
      <c r="A68" s="65"/>
      <c r="B68" s="81"/>
      <c r="C68" s="67"/>
      <c r="D68" s="58" t="s">
        <v>196</v>
      </c>
      <c r="E68" s="399">
        <f t="shared" ref="E68:E109" si="325">MV68</f>
        <v>16.684059420000001</v>
      </c>
      <c r="F68" s="68">
        <f>$F$20</f>
        <v>131.13029499843299</v>
      </c>
      <c r="G68" s="58"/>
      <c r="H68" s="16"/>
      <c r="I68" s="62"/>
      <c r="J68" s="62"/>
      <c r="K68" s="16"/>
      <c r="L68" s="107" t="s">
        <v>467</v>
      </c>
      <c r="M68" s="98">
        <f t="shared" si="2"/>
        <v>0.7</v>
      </c>
      <c r="N68" s="98">
        <f t="shared" si="252"/>
        <v>0</v>
      </c>
      <c r="O68" s="58">
        <f t="shared" ref="O68:O77" si="326">$O$36</f>
        <v>0.08</v>
      </c>
      <c r="P68" s="99">
        <v>0.1</v>
      </c>
      <c r="Q68" s="136">
        <f t="shared" si="322"/>
        <v>0.1</v>
      </c>
      <c r="R68" s="151">
        <v>0.8</v>
      </c>
      <c r="S68" s="144" t="str">
        <f>各项系数!$D$43</f>
        <v>钢带</v>
      </c>
      <c r="T68" s="62">
        <v>0.2</v>
      </c>
      <c r="U68" s="62">
        <v>2</v>
      </c>
      <c r="V68" s="143"/>
      <c r="W68" s="145">
        <v>1.8</v>
      </c>
      <c r="X68" s="139">
        <f t="shared" si="323"/>
        <v>0.2</v>
      </c>
      <c r="Y68" s="139"/>
      <c r="Z68" s="169"/>
      <c r="AA68" s="170">
        <f>$AA$20</f>
        <v>1.0109999999999999</v>
      </c>
      <c r="AB68" s="153">
        <f>PI()*EJ68*EJ68/4*EH68*(1-H68)*AA68*各项系数!$F$5*各项系数!$J$4*10^-7</f>
        <v>8.4541508952717087E-2</v>
      </c>
      <c r="AC68" s="170">
        <f t="shared" ref="AC68:AC109" si="327">EJ68</f>
        <v>131.13029499843299</v>
      </c>
      <c r="AD68" s="153">
        <f t="shared" si="5"/>
        <v>9.5575186339704263</v>
      </c>
      <c r="AE68" s="153">
        <f>POWER(4*EU68/PI()/EG68/10^-7/EH68/(1-H68)/各项系数!$F$5/各项系数!$J$4,0.5)</f>
        <v>131.84953910919143</v>
      </c>
      <c r="AF68" s="16">
        <v>1</v>
      </c>
      <c r="AG68" s="16">
        <f>IF(EM68=0,0,PI()*ER68*ER68/4*EP68*(1-K68)*(1+AF68)*各项系数!$F$5*各项系数!$J$4*10^-7)</f>
        <v>0</v>
      </c>
      <c r="AH68" s="16">
        <f t="shared" ref="AH68:AH109" si="328">ER68</f>
        <v>0</v>
      </c>
      <c r="AI68" s="69">
        <f t="shared" si="128"/>
        <v>0</v>
      </c>
      <c r="AJ68" s="69">
        <f>IF(OR(EP68="",EP68=0),0,POWER(4*EW68/PI()/EO68/10^-7/EP68/(1-K68)/各项系数!$F$5/各项系数!$J$4,0.5))</f>
        <v>0</v>
      </c>
      <c r="AK68" s="16" t="str">
        <f t="shared" si="8"/>
        <v>√</v>
      </c>
      <c r="AL68" s="16">
        <f t="shared" ref="AL68:AL109" si="329">AO68*(1+0.02)</f>
        <v>24.839714318809001</v>
      </c>
      <c r="AM68" s="106">
        <f t="shared" ref="AM68:AM109" si="330">EE68*1</f>
        <v>10</v>
      </c>
      <c r="AN68" s="107" t="s">
        <v>486</v>
      </c>
      <c r="AO68" s="146">
        <f>AP68+各项系数!$M$9*$NK68</f>
        <v>24.352661096871568</v>
      </c>
      <c r="AP68" s="146">
        <f>AQ68*(1+$BI68+(VLOOKUP($AM68,$A$12:$B$323,2,0))+各项系数!$J$6+各项系数!$M$5)*(1+$E$2)</f>
        <v>24.184974499522951</v>
      </c>
      <c r="AQ68" s="199">
        <f>AR68+各项系数!$L$9*$NK68</f>
        <v>24.678545407676481</v>
      </c>
      <c r="AR68" s="199">
        <f>AS68*(1+$BJ68+各项系数!$J$5+各项系数!$L$5)</f>
        <v>24.510858810327864</v>
      </c>
      <c r="AS68" s="199">
        <f t="shared" si="129"/>
        <v>24.030253735615553</v>
      </c>
      <c r="AT68" s="146">
        <f>AU68+各项系数!$M$9*$NM68</f>
        <v>25.185605821319662</v>
      </c>
      <c r="AU68" s="146">
        <f>AV68*(1+$BI68+(VLOOKUP($AM68,$A$12:$B$323,2,0))+各项系数!$J$6+各项系数!$M$5)*(1+$E$2)</f>
        <v>25.017919223971045</v>
      </c>
      <c r="AV68" s="199">
        <f>AW68+各项系数!$L$9*$NM68</f>
        <v>25.528489004052087</v>
      </c>
      <c r="AW68" s="199">
        <f>AX68*(1+$BJ68+各项系数!$J$5+各项系数!$L$5)</f>
        <v>25.360802406703471</v>
      </c>
      <c r="AX68" s="199">
        <f t="shared" si="130"/>
        <v>24.863531771277913</v>
      </c>
      <c r="AY68" s="146">
        <f>AZ68+各项系数!$M$9*$NS68</f>
        <v>25.617505281472418</v>
      </c>
      <c r="AZ68" s="146">
        <f>BA68*(1+$BI68+(VLOOKUP($AM68,$A$12:$B$214,2,0))+各项系数!$J$6+各项系数!$M$5)*(1+$E$2)</f>
        <v>25.44430228528439</v>
      </c>
      <c r="BA68" s="199">
        <f>BB68+各项系数!$L$9*$NS68</f>
        <v>25.963573760494278</v>
      </c>
      <c r="BB68" s="199">
        <f>BC68*(1+$BJ68+各项系数!$J$5+各项系数!$L$5)</f>
        <v>25.79037076430625</v>
      </c>
      <c r="BC68" s="199">
        <f t="shared" si="131"/>
        <v>25.284677219908087</v>
      </c>
      <c r="BD68" s="146">
        <f>BE68+各项系数!$M$9*$NS68</f>
        <v>26.459403958075033</v>
      </c>
      <c r="BE68" s="146">
        <f>BF68*(1+$BI68+(VLOOKUP($AM68,$A$12:$B$214,2,0))+各项系数!$J$6+各项系数!$M$5)*(1+$E$2)</f>
        <v>26.286200961887005</v>
      </c>
      <c r="BF68" s="199">
        <f>BG68+各项系数!$L$9*$NS68</f>
        <v>26.822654042741842</v>
      </c>
      <c r="BG68" s="199">
        <f>BH68*(1+$BJ68+各项系数!$J$5+各项系数!$L$5)</f>
        <v>26.649451046553814</v>
      </c>
      <c r="BH68" s="199">
        <f t="shared" si="132"/>
        <v>26.126912790739034</v>
      </c>
      <c r="BI68" s="214"/>
      <c r="BJ68" s="215"/>
      <c r="BK68" s="78" t="s">
        <v>514</v>
      </c>
      <c r="BL68" s="146">
        <f>BM68+各项系数!$M$9*$NM68</f>
        <v>24.712422201402255</v>
      </c>
      <c r="BM68" s="146">
        <f>BN68*(1+$CF68+(VLOOKUP($AM68,$A$12:$B$323,2,0))+各项系数!$J$6+各项系数!$M$5)*(1+$E$2)</f>
        <v>24.544735604053638</v>
      </c>
      <c r="BN68" s="199">
        <f>BO68+各项系数!$L$9*$NM68</f>
        <v>25.045648575564936</v>
      </c>
      <c r="BO68" s="199">
        <f>BP68*(1+$CG68+各项系数!$J$5+各项系数!$L$5)</f>
        <v>24.877961978216319</v>
      </c>
      <c r="BP68" s="199">
        <f t="shared" si="133"/>
        <v>24.153361143899339</v>
      </c>
      <c r="BQ68" s="146">
        <f>BR68+各项系数!$M$9*$NM68</f>
        <v>25.429268432678185</v>
      </c>
      <c r="BR68" s="146">
        <f>BS68*(1+$CF68+(VLOOKUP($AM68,$A$12:$B$323,2,0))+各项系数!$J$6+各项系数!$M$5)*(1+$E$2)</f>
        <v>25.261581835329569</v>
      </c>
      <c r="BS68" s="199">
        <f>BT68+各项系数!$L$9*$NM68</f>
        <v>25.777124321764866</v>
      </c>
      <c r="BT68" s="199">
        <f>BU68*(1+$CG68+各项系数!$J$5+各项系数!$L$5)</f>
        <v>25.609437724416249</v>
      </c>
      <c r="BU68" s="199">
        <f t="shared" si="134"/>
        <v>24.863531771277913</v>
      </c>
      <c r="BV68" s="146">
        <f>BW68+各项系数!$M$9*$NT68</f>
        <v>25.829254749239972</v>
      </c>
      <c r="BW68" s="146">
        <f>BX68*(1+$CF68+(VLOOKUP($AM68,$A$12:$B$214,2,0))+各项系数!$J$6+各项系数!$M$5)*(1+$E$2)</f>
        <v>25.656051753051944</v>
      </c>
      <c r="BX68" s="199">
        <f>BY68+各项系数!$L$9*$NT$12</f>
        <v>26.179644645971372</v>
      </c>
      <c r="BY68" s="199">
        <f>BZ68*(1+$CG68+各项系数!$J$5+各项系数!$L$5)</f>
        <v>26.171381242816398</v>
      </c>
      <c r="BZ68" s="199">
        <f t="shared" si="11"/>
        <v>25.409108002734367</v>
      </c>
      <c r="CA68" s="146">
        <f>CB68+各项系数!$M$9*$NT68</f>
        <v>26.553806902251882</v>
      </c>
      <c r="CB68" s="146">
        <f>CC68*(1+$CF68+(VLOOKUP($AM68,$A$12:$B$214,2,0))+各项系数!$J$6+各项系数!$M$5)*(1+$E$2)</f>
        <v>26.380603906063854</v>
      </c>
      <c r="CC68" s="199">
        <f>CD68+各项系数!$L$9*$NT$12</f>
        <v>26.918983577616178</v>
      </c>
      <c r="CD68" s="199">
        <f>CE68*(1+$CG68+各项系数!$J$5+各项系数!$L$5)</f>
        <v>26.910720174461204</v>
      </c>
      <c r="CE68" s="199">
        <f t="shared" si="135"/>
        <v>26.126912790739034</v>
      </c>
      <c r="CF68" s="214">
        <f t="shared" si="136"/>
        <v>0</v>
      </c>
      <c r="CG68" s="214">
        <f t="shared" si="12"/>
        <v>0.01</v>
      </c>
      <c r="CH68" s="106"/>
      <c r="CI68" s="146">
        <f>CJ68+各项系数!$M$9*$NO68</f>
        <v>25.590878484162118</v>
      </c>
      <c r="CJ68" s="146">
        <f>CK68*(1+$DC68+(VLOOKUP($AM68,$A$12:$B$323,2,0))+各项系数!$J$6+各项系数!$M$5)*(1+$E$2)+各项系数!$M$9*$NK68</f>
        <v>25.349359271616652</v>
      </c>
      <c r="CK68" s="199">
        <f>CL68+各项系数!$L$9*$NO68</f>
        <v>25.695584361497996</v>
      </c>
      <c r="CL68" s="199">
        <f>CM68*(1+$DD68+各项系数!$J$5+各项系数!$L$5)</f>
        <v>25.45406514895253</v>
      </c>
      <c r="CM68" s="199">
        <f t="shared" si="13"/>
        <v>24.954965832306403</v>
      </c>
      <c r="CN68" s="146">
        <f>CO68+各项系数!$M$9*$NO68</f>
        <v>26.298483626604007</v>
      </c>
      <c r="CO68" s="146">
        <f>CP68*(1+$DC68+(VLOOKUP($AM68,$A$12:$B$323,2,0))+各项系数!$J$6+各项系数!$M$5)*(1+$E$2)+各项系数!$M$9*$NK68</f>
        <v>26.056964414058541</v>
      </c>
      <c r="CP68" s="199">
        <f>CQ68+各项系数!$L$9*$NO68</f>
        <v>26.41763042521421</v>
      </c>
      <c r="CQ68" s="199">
        <f>CR68*(1+$DD68+各项系数!$J$5+各项系数!$L$5)</f>
        <v>26.176111212668744</v>
      </c>
      <c r="CR68" s="199">
        <f t="shared" si="14"/>
        <v>25.662854130067394</v>
      </c>
      <c r="CS68" s="146">
        <f>CT68+各项系数!$M$9*$NU68</f>
        <v>26.832174698428691</v>
      </c>
      <c r="CT68" s="146">
        <f t="shared" si="15"/>
        <v>26.584503807273816</v>
      </c>
      <c r="CU68" s="199">
        <f>CV68+各项系数!$L$9*$NU68</f>
        <v>27.127044701299813</v>
      </c>
      <c r="CV68" s="199">
        <f>CW68*(1+$DD68+各项系数!$J$5+各项系数!$L$5)</f>
        <v>26.879373810144937</v>
      </c>
      <c r="CW68" s="199">
        <f t="shared" si="16"/>
        <v>26.352327264847975</v>
      </c>
      <c r="CX68" s="146">
        <f>CY68+各项系数!$M$9*$NU68</f>
        <v>27.75891207169537</v>
      </c>
      <c r="CY68" s="146">
        <f t="shared" si="17"/>
        <v>27.511241180540495</v>
      </c>
      <c r="CZ68" s="199">
        <f>DA68+各项系数!$L$9*$NU68</f>
        <v>28.072695082184179</v>
      </c>
      <c r="DA68" s="199">
        <f>DB68*(1+$DD68+各项系数!$J$5+各项系数!$L$5)</f>
        <v>27.825024191029303</v>
      </c>
      <c r="DB68" s="199">
        <f t="shared" si="18"/>
        <v>27.279435481401279</v>
      </c>
      <c r="DC68" s="214">
        <f t="shared" si="137"/>
        <v>0</v>
      </c>
      <c r="DD68" s="214">
        <f t="shared" si="19"/>
        <v>0</v>
      </c>
      <c r="DE68" s="78" t="s">
        <v>498</v>
      </c>
      <c r="DF68" s="78" t="s">
        <v>513</v>
      </c>
      <c r="DG68" s="146">
        <f>DH68+各项系数!$M$9*$NQ68</f>
        <v>25.972358607384141</v>
      </c>
      <c r="DH68" s="146">
        <f>DI68*(1+$EA68+(VLOOKUP($AM68,$A$12:$B$323,2,0))+各项系数!$J$6+各项系数!$M$5)*(1+$E$2)+各项系数!$M$9*$NK68</f>
        <v>25.730839394838675</v>
      </c>
      <c r="DI68" s="199">
        <f>DJ68+各项系数!$L$9*$NQ68</f>
        <v>26.084849793357204</v>
      </c>
      <c r="DJ68" s="199">
        <f>DK68*(1+$EB68+各项系数!$J$5+各项系数!$L$5)</f>
        <v>25.843330580811738</v>
      </c>
      <c r="DK68" s="199">
        <f t="shared" si="20"/>
        <v>25.090612214380329</v>
      </c>
      <c r="DL68" s="146">
        <f>DM68+各项系数!$M$9*$NQ68</f>
        <v>26.762218447108459</v>
      </c>
      <c r="DM68" s="146">
        <f>DN68*(1+$EA68+(VLOOKUP($AM68,$A$12:$B$323,2,0))+各项系数!$J$6+各项系数!$M$5)*(1+$E$2)+各项系数!$M$9*$NK68</f>
        <v>26.520699234562993</v>
      </c>
      <c r="DN68" s="199">
        <f>DO68+各项系数!$L$9*$NQ68</f>
        <v>26.890829221647323</v>
      </c>
      <c r="DO68" s="199">
        <f>DP68*(1+$EB68+各项系数!$J$5+各项系数!$L$5)</f>
        <v>26.649310009101857</v>
      </c>
      <c r="DP68" s="199">
        <f t="shared" si="21"/>
        <v>25.873116513691123</v>
      </c>
      <c r="DQ68" s="146">
        <f>DR68+各项系数!$M$9*$NV68</f>
        <v>27.228684777952811</v>
      </c>
      <c r="DR68" s="146">
        <f t="shared" si="22"/>
        <v>26.981013886797935</v>
      </c>
      <c r="DS68" s="199">
        <f>DT68+各项系数!$L$9*$NV68</f>
        <v>27.531646823263198</v>
      </c>
      <c r="DT68" s="199">
        <f>DU68*(1+$EB68+各项系数!$J$5+各项系数!$L$5)</f>
        <v>27.283975932108323</v>
      </c>
      <c r="DU68" s="199">
        <f t="shared" si="23"/>
        <v>26.489297021464392</v>
      </c>
      <c r="DV68" s="146">
        <f>DW68+各项系数!$M$9*$NV68</f>
        <v>27.50743461576452</v>
      </c>
      <c r="DW68" s="146">
        <f t="shared" si="24"/>
        <v>27.259763724609645</v>
      </c>
      <c r="DX68" s="199">
        <f>DY68+各项系数!$L$9*$NV68</f>
        <v>27.816085433275148</v>
      </c>
      <c r="DY68" s="199">
        <f>DZ68*(1+$EB68+各项系数!$J$5+各项系数!$L$5)</f>
        <v>27.568414542120273</v>
      </c>
      <c r="DZ68" s="199">
        <f t="shared" si="25"/>
        <v>26.765451011767254</v>
      </c>
      <c r="EA68" s="214">
        <f t="shared" si="324"/>
        <v>0</v>
      </c>
      <c r="EB68" s="214">
        <f t="shared" si="27"/>
        <v>0.01</v>
      </c>
      <c r="EC68" s="235">
        <f t="shared" si="138"/>
        <v>4</v>
      </c>
      <c r="ED68" s="237" t="str">
        <f t="shared" ref="ED68:ED83" si="331">IF(COUNTIF($D68,"*+*")&gt;0,MID($D68,1,FIND("+",$D68)-1),MID($D68,1,LEN($D68)))</f>
        <v>4*10</v>
      </c>
      <c r="EE68" s="78">
        <f t="shared" si="239"/>
        <v>10</v>
      </c>
      <c r="EF68" s="78" t="str">
        <f>LOOKUP(EH68,{1,7,10,14,19,24,30,37,48,61},{1,"1+6","2+8","4+10","1+6+12","2+8+14","4+10+16","1+6+12+18","3+9+15+21","1+6+12+18+24"})</f>
        <v>1+6</v>
      </c>
      <c r="EG68" s="106">
        <f t="shared" si="29"/>
        <v>4</v>
      </c>
      <c r="EH68" s="199">
        <f>VLOOKUP(EE68,各项系数!$B$87:$C$124,2,0)</f>
        <v>7</v>
      </c>
      <c r="EI68" s="106">
        <f>IF(EH68=0,0,VLOOKUP(EH68,各项系数!$D$142:$E$195,2,0))*1</f>
        <v>3</v>
      </c>
      <c r="EJ68" s="240">
        <f t="shared" si="141"/>
        <v>131.13029499843299</v>
      </c>
      <c r="EK68" s="78">
        <f t="shared" ref="EK68:EK109" si="332">IF(COUNTIF($D68,"*+*")&gt;0,MID($D68,FIND("+",$D68)+1,LEN($D68)),0)</f>
        <v>0</v>
      </c>
      <c r="EL68" s="78">
        <f t="shared" si="31"/>
        <v>0</v>
      </c>
      <c r="EM68" s="78">
        <f t="shared" ref="EM68:EM83" si="333">EL68/1</f>
        <v>0</v>
      </c>
      <c r="EN68" s="78">
        <f>IF(EP68=0,0,LOOKUP(EP68,{1,7,10,14,19,24,30,37,48,61},{1,"1+6","2+8","4+10","1+6+12","2+8+14","4+10+16","1+6+12+18","3+9+15+21","1+6+12+18+24"}))</f>
        <v>0</v>
      </c>
      <c r="EO68" s="78">
        <f t="shared" ref="EO68:EO109" si="334">IF(EK68=0,0,MID(EK68,1,1))</f>
        <v>0</v>
      </c>
      <c r="EP68" s="78">
        <f>IF(EM68=0,0,IF(EM68&lt;10,1,IF(AND(EM68&gt;=10,EM68&lt;=35),7,LOOKUP(EM68,{50,70,95,120,150,185,240,300},{10,14,19,24,30,37,48,61})*1)))</f>
        <v>0</v>
      </c>
      <c r="EQ68" s="78">
        <f>IF(EP68=0,0,VLOOKUP(EP68,各项系数!$D$142:$E$195,2,0))*1</f>
        <v>0</v>
      </c>
      <c r="ER68" s="78">
        <f t="shared" ref="ER68:ER109" si="335">$I68-$J68</f>
        <v>0</v>
      </c>
      <c r="ES68" s="237">
        <f t="shared" ref="ES68:ES83" si="336">EO68+EG68</f>
        <v>4</v>
      </c>
      <c r="ET68" s="78">
        <f>VLOOKUP(ES68,各项系数!$D$142:$E$195,2,0)*1</f>
        <v>2.42</v>
      </c>
      <c r="EU68" s="243">
        <f>((各项系数!$F$76/4*$EJ68^2*$EG68*$EH68*1*10^-7)*(1-$H68)*AA68)*(VLOOKUP($EY$9,各项系数!$D$4:$F$143,3,0))*各项系数!$J$4</f>
        <v>0.33816603581086829</v>
      </c>
      <c r="EV68" s="244">
        <f>EU68*(VLOOKUP($EY$9,各项系数!$D$4:$F$143,2,0))</f>
        <v>22.149875345611875</v>
      </c>
      <c r="EW68" s="252">
        <f>(IF($EO68=0,0,(各项系数!$F$76/4*$ER68^2*$EO68*$EP68*1*10^-7))*(1-$K68)*$AF68)*(VLOOKUP($EY$9,各项系数!$D$4:$F$143,3,0))*各项系数!$J$4</f>
        <v>0</v>
      </c>
      <c r="EX68" s="253">
        <f>EW68*(VLOOKUP($EY$9,各项系数!$D$4:$F$143,2,0))</f>
        <v>0</v>
      </c>
      <c r="EY68" s="189">
        <f>((各项系数!$F$76/4*$EJ68^2*$EG68*$EH68*1*10^-7)*(1-$H68)*AA68+IF($EO68=0,0,(各项系数!$F$76/4*$ER68^2*$EO68*$EP68*1*10^-7))*(1-$K68)*$AF68)*(VLOOKUP($EY$9,各项系数!$D$4:$F$143,3,0))*各项系数!$J$4</f>
        <v>0.33816603581086829</v>
      </c>
      <c r="EZ68" s="106">
        <v>1</v>
      </c>
      <c r="FA68" s="78">
        <f t="shared" si="268"/>
        <v>0.33816603581086829</v>
      </c>
      <c r="FB68" s="246">
        <f>FA68*(VLOOKUP($EY$9,各项系数!$D$4:$F$143,2,0))</f>
        <v>22.149875345611875</v>
      </c>
      <c r="FC68" s="257"/>
      <c r="FD68" s="237">
        <f>各项系数!$F$76/4*($MN68^2-MK68^2)*10^-2*(VLOOKUP(L68,各项系数!$D$1:$F$143,3,0))*10^-3*10^2*$EG68*各项系数!$J$4</f>
        <v>4.4613999370130684E-2</v>
      </c>
      <c r="FE68" s="264">
        <f>FD68*VLOOKUP(L68,各项系数!$D$1:$F$143,2,0)</f>
        <v>0.45506279357533297</v>
      </c>
      <c r="FF68" s="106">
        <f>各项系数!$F$76/4*($MO68^2-ML68^2)*10^-2*(VLOOKUP(L68,各项系数!$D$1:$F$143,3,0))*10^-3*10^2*$EO68*各项系数!$J$4</f>
        <v>0</v>
      </c>
      <c r="FG68" s="264">
        <f>FF68*VLOOKUP(L68,各项系数!$D$1:$F$143,2,0)</f>
        <v>0</v>
      </c>
      <c r="FH68" s="237">
        <f t="shared" si="142"/>
        <v>4.4613999370130684E-2</v>
      </c>
      <c r="FI68" s="106">
        <v>1</v>
      </c>
      <c r="FJ68" s="78">
        <f t="shared" si="269"/>
        <v>4.4613999370130684E-2</v>
      </c>
      <c r="FK68" s="264">
        <f>FJ68*VLOOKUP(L68,各项系数!$D$1:$F$143,2,0)</f>
        <v>0.45506279357533297</v>
      </c>
      <c r="FL68" s="237"/>
      <c r="FM68" s="106"/>
      <c r="FN68" s="78"/>
      <c r="FO68" s="264"/>
      <c r="FP68" s="289">
        <f t="shared" si="270"/>
        <v>4.4613999370130684E-2</v>
      </c>
      <c r="FQ68" s="289">
        <f t="shared" si="271"/>
        <v>0.45506279357533297</v>
      </c>
      <c r="FR68" s="283">
        <f>各项系数!$F$76/4*($MQ68^2-$MN68^2*$EG68-$MO68^2*$EO68)*10^-2</f>
        <v>0.41481325119228263</v>
      </c>
      <c r="FS68" s="284">
        <f t="shared" si="143"/>
        <v>1</v>
      </c>
      <c r="FT68" s="285">
        <f t="shared" si="40"/>
        <v>0.41481325119228263</v>
      </c>
      <c r="FU68" s="309">
        <f>$FT68*(VLOOKUP($FT$9,各项系数!$D$1:$F$143,3,0))*10^-3*10^2*各项系数!$J$55</f>
        <v>4.9528702192358547E-2</v>
      </c>
      <c r="FV68" s="310">
        <v>1</v>
      </c>
      <c r="FW68" s="311">
        <f t="shared" si="272"/>
        <v>4.9528702192358547E-2</v>
      </c>
      <c r="FX68" s="290">
        <f>FW68*(VLOOKUP($FT$9,各项系数!$D$1:$F$143,2,0))</f>
        <v>0.14858610657707563</v>
      </c>
      <c r="FY68" s="309">
        <f>IF($BK68&lt;&gt;$FY$9,0,各项系数!$F$76/4*($MS68^2-$MQ68^2)*10^-2*(VLOOKUP($FY$9,各项系数!$D$1:$F$143,3,0))*10^-3*10^2)*各项系数!$J$4</f>
        <v>0</v>
      </c>
      <c r="FZ68" s="310">
        <v>1</v>
      </c>
      <c r="GA68" s="311">
        <f t="shared" si="273"/>
        <v>0</v>
      </c>
      <c r="GB68" s="290">
        <f>GA68*(VLOOKUP($FY$9,各项系数!$D$1:$F$143,2,0))</f>
        <v>0</v>
      </c>
      <c r="GC68" s="309">
        <f>IF($BK68&lt;&gt;$GC$9,0,各项系数!$F$76/4*($MS68^2-$MQ68^2)*10^-2*(VLOOKUP($GC$9,各项系数!$D$1:$F$143,3,0))*10^-3*10^2)*各项系数!$J$4</f>
        <v>3.5391788382487686E-3</v>
      </c>
      <c r="GD68" s="310">
        <v>1</v>
      </c>
      <c r="GE68" s="311">
        <f t="shared" si="274"/>
        <v>3.5391788382487686E-3</v>
      </c>
      <c r="GF68" s="290">
        <f>GE68*(VLOOKUP($GC$9,各项系数!$D$1:$F$143,2,0))</f>
        <v>4.5655407013409116E-2</v>
      </c>
      <c r="GG68" s="309">
        <f>IF($BK68&lt;&gt;$GG$9,0,各项系数!$F$76/4*($MS68^2-$MQ68^2)*10^-2*(VLOOKUP($GG$9,各项系数!$D$1:$F$143,3,0))*10^-3*10^2)*各项系数!$J$4</f>
        <v>0</v>
      </c>
      <c r="GH68" s="310">
        <v>1</v>
      </c>
      <c r="GI68" s="311">
        <f t="shared" si="275"/>
        <v>0</v>
      </c>
      <c r="GJ68" s="290">
        <f>GI68*(VLOOKUP($GG$9,各项系数!$D$1:$F$143,2,0))</f>
        <v>0</v>
      </c>
      <c r="GK68" s="309">
        <f>IF($BK68&lt;&gt;$GK$9,0,各项系数!$F$76/4*($MS68^2-$MQ68^2)*10^-2*(VLOOKUP($GK$9,各项系数!$D$1:$F$143,3,0))*10^-3*10^2)*各项系数!$J$4</f>
        <v>0</v>
      </c>
      <c r="GL68" s="310">
        <v>1</v>
      </c>
      <c r="GM68" s="311">
        <f t="shared" si="276"/>
        <v>0</v>
      </c>
      <c r="GN68" s="290">
        <f>GM68*(VLOOKUP($GK$9,各项系数!$D$1:$F$143,2,0))</f>
        <v>0</v>
      </c>
      <c r="GO68" s="311">
        <f t="shared" si="277"/>
        <v>3.5391788382487686E-3</v>
      </c>
      <c r="GP68" s="311">
        <f t="shared" si="278"/>
        <v>4.5655407013409116E-2</v>
      </c>
      <c r="GQ68" s="317">
        <f>各项系数!$F$76/4*($MU68^2-$MS68^2)*10^-2*(VLOOKUP($S68,各项系数!$D$1:$F$143,3,0))*10^-3*10^2*各项系数!$J$4</f>
        <v>9.8149664017297869E-2</v>
      </c>
      <c r="GR68" s="310">
        <v>1</v>
      </c>
      <c r="GS68" s="311">
        <f t="shared" si="279"/>
        <v>9.8149664017297869E-2</v>
      </c>
      <c r="GT68" s="311">
        <f t="shared" si="200"/>
        <v>0</v>
      </c>
      <c r="GU68" s="311">
        <f>ROUND($GS68*(VLOOKUP($S68,各项系数!$D$1:$F$143,2,0))+$E$3*GS68,GT68)</f>
        <v>1</v>
      </c>
      <c r="GV68" s="315">
        <f>各项系数!$F$76/4*($MT68^2-$MS68^2)*10^-2*(VLOOKUP($GV$9,各项系数!$D$1:$F$143,3,0))*10^-3*10^2*各项系数!$J$4*PI()/4*R68</f>
        <v>1.8387996131371619E-2</v>
      </c>
      <c r="GW68" s="310">
        <v>1</v>
      </c>
      <c r="GX68" s="311">
        <f t="shared" si="280"/>
        <v>1.8387996131371619E-2</v>
      </c>
      <c r="GY68" s="311">
        <f>$GX68*(VLOOKUP($GV$9,各项系数!$D$1:$F$143,2,0))</f>
        <v>1.2411897388675843</v>
      </c>
      <c r="GZ68" s="317">
        <f>各项系数!$F$76/4*($MV68^2-$MS68^2)*10^-2*(VLOOKUP($GZ$9,各项系数!$D$1:$F$143,3,0))*10^-3*10^2*各项系数!$J$4</f>
        <v>0.12143247755883661</v>
      </c>
      <c r="HA68" s="310">
        <v>1</v>
      </c>
      <c r="HB68" s="311">
        <f t="shared" si="144"/>
        <v>0.12143247755883661</v>
      </c>
      <c r="HC68" s="311">
        <f>HB68*(VLOOKUP($GZ$9,各项系数!$D$1:$F$143,2,0))</f>
        <v>2.0643521185002225</v>
      </c>
      <c r="HD68" s="317">
        <f>各项系数!$F$76/4*($MW68^2-$MT68^2)*10^-2*(VLOOKUP($HD$9,各项系数!$D$1:$F$143,3,0))*10^-3*10^2*各项系数!$J$4</f>
        <v>0.122737847005515</v>
      </c>
      <c r="HE68" s="310">
        <v>1</v>
      </c>
      <c r="HF68" s="311">
        <f t="shared" si="145"/>
        <v>0.122737847005515</v>
      </c>
      <c r="HG68" s="311">
        <f>HF68*(VLOOKUP($HD$9,各项系数!$D$1:$F$143,2,0))</f>
        <v>2.0865433990937552</v>
      </c>
      <c r="HH68" s="317">
        <f>各项系数!$F$76/4*($MV68^2-$MS68^2)*10^-2*(VLOOKUP($HH$9,各项系数!$D$1:$F$143,3,0))*10^-3*10^2*各项系数!$J$4</f>
        <v>0.12143247755883661</v>
      </c>
      <c r="HI68" s="311">
        <v>1</v>
      </c>
      <c r="HJ68" s="311">
        <f t="shared" si="146"/>
        <v>0.12143247755883661</v>
      </c>
      <c r="HK68" s="311">
        <f>HJ68*(VLOOKUP($HH$9,各项系数!$D$1:$F$143,2,0))</f>
        <v>2.0643521185002225</v>
      </c>
      <c r="HL68" s="317">
        <f>各项系数!$F$76/4*($MW68^2-$MT68^2)*10^-2*(VLOOKUP($HL$9,各项系数!$D$1:$F$143,3,0))*10^-3*10^2*各项系数!$J$4</f>
        <v>0.122737847005515</v>
      </c>
      <c r="HM68" s="311">
        <v>1</v>
      </c>
      <c r="HN68" s="311">
        <f t="shared" si="147"/>
        <v>0.122737847005515</v>
      </c>
      <c r="HO68" s="311">
        <f>HN68*(VLOOKUP($HL$9,各项系数!$D$1:$F$143,2,0))</f>
        <v>2.0865433990937552</v>
      </c>
      <c r="HP68" s="317">
        <f>各项系数!$F$76/4*($MV68^2-$MS68^2)*10^-2*(VLOOKUP(AN68,各项系数!$D$1:$F$143,3,0))*10^-3*10^2*各项系数!$J$4</f>
        <v>0.12310740828378609</v>
      </c>
      <c r="HQ68" s="310">
        <v>1</v>
      </c>
      <c r="HR68" s="311">
        <f t="shared" si="281"/>
        <v>0.12310740828378609</v>
      </c>
      <c r="HS68" s="311">
        <f>HR68*(VLOOKUP(AN68,各项系数!$D$1:$F$143,2,0))</f>
        <v>1.231074082837861</v>
      </c>
      <c r="HT68" s="317">
        <f>各项系数!$F$76/4*($MW68^2-$MT68^2)*10^-2*(VLOOKUP(AN68,各项系数!$D$1:$F$143,3,0))*10^-3*10^2*各项系数!$J$4</f>
        <v>0.12443078282628071</v>
      </c>
      <c r="HU68" s="310">
        <v>1</v>
      </c>
      <c r="HV68" s="311">
        <f t="shared" si="282"/>
        <v>0.12443078282628071</v>
      </c>
      <c r="HW68" s="311">
        <f>HV68*(VLOOKUP(AN68,各项系数!$D$1:$F$143,2,0))</f>
        <v>1.2443078282628071</v>
      </c>
      <c r="HX68" s="317">
        <f>各项系数!$F$76/4*($MV68^2-$MS68^2)*10^-2*(VLOOKUP($HX$9,各项系数!$D$1:$F$143,3,0))*10^-3*10^2*各项系数!$J$4</f>
        <v>0.12310740828378609</v>
      </c>
      <c r="HY68" s="311">
        <v>1</v>
      </c>
      <c r="HZ68" s="311">
        <f t="shared" si="283"/>
        <v>0.12310740828378609</v>
      </c>
      <c r="IA68" s="311">
        <f>HZ68*(VLOOKUP($HX$9,各项系数!$D$1:$F$143,2,0))</f>
        <v>1.354181491121647</v>
      </c>
      <c r="IB68" s="317">
        <f>各项系数!$F$76/4*($MW68^2-$MT68^2)*10^-2*(VLOOKUP($IB$9,各项系数!$D$1:$F$143,3,0))*10^-3*10^2*各项系数!$J$4</f>
        <v>0.12443078282628071</v>
      </c>
      <c r="IC68" s="311">
        <v>1</v>
      </c>
      <c r="ID68" s="311">
        <f t="shared" si="284"/>
        <v>0.12443078282628071</v>
      </c>
      <c r="IE68" s="311">
        <f>ID68*(VLOOKUP($IB$9,各项系数!$D$1:$F$143,2,0))</f>
        <v>1.3687386110890878</v>
      </c>
      <c r="IF68" s="309"/>
      <c r="IG68" s="317">
        <f t="shared" si="148"/>
        <v>2.3822479537979682E-2</v>
      </c>
      <c r="IH68" s="310">
        <v>1</v>
      </c>
      <c r="II68" s="311">
        <f t="shared" si="285"/>
        <v>2.3822479537979682E-2</v>
      </c>
      <c r="IJ68" s="311">
        <f>II68*(VLOOKUP($IG$8,各项系数!$D$1:$F$143,2,0))</f>
        <v>0.59556198844949204</v>
      </c>
      <c r="IK68" s="317">
        <f>(各项系数!$F$76/4*($MX68^2-$MK68^2)*$EG68)*10^-2*(VLOOKUP($IG$8,各项系数!$D$1:$F$143,3,0))*10^-3*10^2*各项系数!$J$4</f>
        <v>2.3822479537979682E-2</v>
      </c>
      <c r="IL68" s="310">
        <f>IK68*(VLOOKUP($IG$8,各项系数!$D$1:$F$143,2,0))</f>
        <v>0.59556198844949204</v>
      </c>
      <c r="IM68" s="311">
        <f>(各项系数!$F$76/4*(($MM68+3*$X68)^2-MM68^2)*$EO68)*10^-2*(VLOOKUP($IG$8,各项系数!$D$1:$F$143,3,0))*10^-3*10^2*各项系数!$J$4</f>
        <v>0</v>
      </c>
      <c r="IN68" s="310">
        <f>IM68*(VLOOKUP($IG$8,各项系数!$D$1:$F$143,2,0))</f>
        <v>0</v>
      </c>
      <c r="IO68" s="317">
        <f>各项系数!$F$76/4*($MZ68^2-$MX68^2)*10^-2*(VLOOKUP(L68,各项系数!$D$1:$F$143,3,0))*10^-3*10^2*$ES68*各项系数!$J$4</f>
        <v>5.0390634277845459E-2</v>
      </c>
      <c r="IP68" s="310">
        <v>1</v>
      </c>
      <c r="IQ68" s="311">
        <f t="shared" si="286"/>
        <v>5.0390634277845459E-2</v>
      </c>
      <c r="IR68" s="290">
        <f>IQ68*(VLOOKUP(L68,各项系数!$D$1:$F$143,2,0))</f>
        <v>0.51398446963402367</v>
      </c>
      <c r="IS68" s="317">
        <f>IF($L68&lt;&gt;$IS$9,0,各项系数!$F$76/4*($MZ68^2-$MX68^2)*10^-2*各项系数!$F$12*10^-3*10^2)*$ES68*各项系数!$J$4</f>
        <v>0</v>
      </c>
      <c r="IT68" s="310">
        <v>1</v>
      </c>
      <c r="IU68" s="311">
        <f t="shared" si="287"/>
        <v>0</v>
      </c>
      <c r="IV68" s="290">
        <f>IU68*各项系数!$E$12</f>
        <v>0</v>
      </c>
      <c r="IW68" s="309">
        <f t="shared" si="288"/>
        <v>5.0390634277845459E-2</v>
      </c>
      <c r="IX68" s="309">
        <f t="shared" si="289"/>
        <v>0.51398446963402367</v>
      </c>
      <c r="IY68" s="339">
        <f>各项系数!$F$76/4*($NB68^2-$MZ68^2*$EG68-$NA68^2*$EO68)*10^-2</f>
        <v>0.51338500956702393</v>
      </c>
      <c r="IZ68" s="284">
        <f t="shared" si="231"/>
        <v>1</v>
      </c>
      <c r="JA68" s="285">
        <f t="shared" si="64"/>
        <v>0.51338500956702393</v>
      </c>
      <c r="JB68" s="289">
        <f>IF($DE68&lt;&gt;$JB$9,0,$JA68*各项系数!$F$32*10^-3*10^2)*各项系数!$J$4</f>
        <v>0</v>
      </c>
      <c r="JC68" s="106">
        <v>1</v>
      </c>
      <c r="JD68" s="78">
        <f t="shared" si="290"/>
        <v>0</v>
      </c>
      <c r="JE68" s="264">
        <f>JD68*各项系数!$E$32</f>
        <v>0</v>
      </c>
      <c r="JF68" s="282">
        <f>IF($DE68&lt;&gt;$JF$9,0,$JA68*VLOOKUP($JF$9,各项系数!$D$4:$F$540,2,0)*10^-3*10^2)*各项系数!$J$4</f>
        <v>0.25540904225959443</v>
      </c>
      <c r="JG68" s="102">
        <v>1</v>
      </c>
      <c r="JH68" s="189">
        <f t="shared" si="66"/>
        <v>0.25540904225959443</v>
      </c>
      <c r="JI68" s="262">
        <f>JH68*VLOOKUP($JF$9,各项系数!$D$4:$F$540,3,0)</f>
        <v>0.30649085071151333</v>
      </c>
      <c r="JJ68" s="289">
        <f t="shared" si="291"/>
        <v>0.25540904225959443</v>
      </c>
      <c r="JK68" s="78">
        <f t="shared" si="292"/>
        <v>0.30649085071151333</v>
      </c>
      <c r="JL68" s="289">
        <f>IF($DF68&lt;&gt;$JL$9,0,各项系数!$F$76/4*($NE68^2-$NC68^2)*10^-2*各项系数!$F$39*10^-3*10^2)*各项系数!$J$4</f>
        <v>1.6294678580134304E-3</v>
      </c>
      <c r="JM68" s="106">
        <v>1</v>
      </c>
      <c r="JN68" s="78">
        <f t="shared" si="293"/>
        <v>1.6294678580134304E-3</v>
      </c>
      <c r="JO68" s="264">
        <f>JN68*各项系数!$E$39</f>
        <v>3.258935716026861E-2</v>
      </c>
      <c r="JP68" s="289">
        <f>IF($DF68&lt;&gt;$JP$9,0,各项系数!$F$76/4*($NE68^2-$NC68^2)*10^-2*各项系数!$F$36*10^-3*10^2)*各项系数!$J$4</f>
        <v>0</v>
      </c>
      <c r="JQ68" s="106">
        <v>1</v>
      </c>
      <c r="JR68" s="78">
        <f t="shared" si="294"/>
        <v>0</v>
      </c>
      <c r="JS68" s="264">
        <f>JR68*各项系数!$E$36</f>
        <v>0</v>
      </c>
      <c r="JT68" s="289">
        <f>IF($DF68&lt;&gt;$JT$9,0,各项系数!$F$76/4*($NE68^2-$NC68^2)*10^-2*各项系数!$F$40*10^-3*10^2)*各项系数!$J$4</f>
        <v>0</v>
      </c>
      <c r="JU68" s="106">
        <v>1</v>
      </c>
      <c r="JV68" s="78">
        <f t="shared" si="295"/>
        <v>0</v>
      </c>
      <c r="JW68" s="264">
        <f>JV68*各项系数!$E$40</f>
        <v>0</v>
      </c>
      <c r="JX68" s="289">
        <f>IF($DF68&lt;&gt;$JX$9,0,各项系数!$F$76/4*($NE68^2-$NC68^2)*10^-2*各项系数!$F$38*10^-3*10^2)*各项系数!$J$4</f>
        <v>0</v>
      </c>
      <c r="JY68" s="106">
        <v>1</v>
      </c>
      <c r="JZ68" s="78">
        <f t="shared" si="296"/>
        <v>0</v>
      </c>
      <c r="KA68" s="264">
        <f>JZ68*各项系数!$E$38</f>
        <v>0</v>
      </c>
      <c r="KB68" s="289">
        <f>IF($DF68&lt;&gt;$KB$9,0,各项系数!$F$76/4*($NE68^2-$NC68^2)*10^-2*各项系数!$F$41*10^-3*10^2)*各项系数!$J$4</f>
        <v>0</v>
      </c>
      <c r="KC68" s="106">
        <v>1</v>
      </c>
      <c r="KD68" s="78">
        <f t="shared" si="297"/>
        <v>0</v>
      </c>
      <c r="KE68" s="264">
        <f>KD68*各项系数!$E$41</f>
        <v>0</v>
      </c>
      <c r="KF68" s="78">
        <f t="shared" si="298"/>
        <v>1.6294678580134304E-3</v>
      </c>
      <c r="KG68" s="78">
        <f t="shared" si="299"/>
        <v>3.258935716026861E-2</v>
      </c>
      <c r="KH68" s="237">
        <f>各项系数!$F$76/4*($NG68^2-$NE68^2)*10^-2*各项系数!$F$44*10^-3*10^2*各项系数!$J$4*0.75*$U68</f>
        <v>0.16390047817541448</v>
      </c>
      <c r="KI68" s="106">
        <v>1</v>
      </c>
      <c r="KJ68" s="78">
        <f t="shared" si="300"/>
        <v>0.16390047817541448</v>
      </c>
      <c r="KK68" s="78">
        <f>ROUND(KJ68*各项系数!$E$43,GT68)</f>
        <v>1</v>
      </c>
      <c r="KL68" s="235">
        <f>各项系数!$F$76/4*($NF68^2-$NE68^2)*10^-2*各项系数!$F$46*10^-3*10^2*各项系数!$J$4*PI()/4*R68</f>
        <v>2.0505595364690713E-2</v>
      </c>
      <c r="KM68" s="106">
        <v>1</v>
      </c>
      <c r="KN68" s="78">
        <f t="shared" si="301"/>
        <v>2.0505595364690713E-2</v>
      </c>
      <c r="KO68" s="78">
        <f>KN68*各项系数!$E$46</f>
        <v>1.384127687116623</v>
      </c>
      <c r="KP68" s="237">
        <f>各项系数!$F$76/4*($NH68^2-$NE68^2)*10^-2*(VLOOKUP($KP$9,各项系数!$D$1:$F$143,3,0))*10^-3*10^2*各项系数!$J$4</f>
        <v>0.13380085306611456</v>
      </c>
      <c r="KQ68" s="106">
        <v>1</v>
      </c>
      <c r="KR68" s="78">
        <f t="shared" si="150"/>
        <v>0.13380085306611456</v>
      </c>
      <c r="KS68" s="78">
        <f>KR68*(VLOOKUP($KP$9,各项系数!$D$1:$F$143,2,0))</f>
        <v>2.2746145021239474</v>
      </c>
      <c r="KT68" s="237">
        <f>各项系数!$F$76/4*($NI68^2-$NF68^2)*10^-2*(VLOOKUP($KT$9,各项系数!$D$1:$F$143,3,0))*10^-3*10^2*各项系数!$J$4</f>
        <v>0.13510622251279292</v>
      </c>
      <c r="KU68" s="106">
        <v>1</v>
      </c>
      <c r="KV68" s="78">
        <f t="shared" si="151"/>
        <v>0.13510622251279292</v>
      </c>
      <c r="KW68" s="78">
        <f>KV68*(VLOOKUP($KT$9,各项系数!$D$1:$F$143,2,0))</f>
        <v>2.2968057827174797</v>
      </c>
      <c r="KX68" s="78">
        <f>各项系数!$F$76/4*($NH68^2-$NE68^2)*10^-2*(VLOOKUP($KX$9,各项系数!$D$1:$F$143,3,0))*10^-3*10^2*各项系数!$J$4</f>
        <v>0.13380085306611456</v>
      </c>
      <c r="KY68" s="355">
        <v>1</v>
      </c>
      <c r="KZ68" s="78">
        <f t="shared" si="152"/>
        <v>0.13380085306611456</v>
      </c>
      <c r="LA68" s="78">
        <f>KZ68*(VLOOKUP($KX$9,各项系数!$D$1:$F$143,2,0))</f>
        <v>2.2746145021239474</v>
      </c>
      <c r="LB68" s="78">
        <f>各项系数!$F$76/4*($NI68^2-$NF68^2)*10^-2*(VLOOKUP($LB$9,各项系数!$D$1:$F$143,3,0))*10^-3*10^2*各项系数!$J$4</f>
        <v>0.13510622251279292</v>
      </c>
      <c r="LC68" s="355">
        <v>1</v>
      </c>
      <c r="LD68" s="78">
        <f t="shared" si="153"/>
        <v>0.13510622251279292</v>
      </c>
      <c r="LE68" s="78">
        <f>LD68*(VLOOKUP($LB$9,各项系数!$D$1:$F$143,2,0))</f>
        <v>2.2968057827174797</v>
      </c>
      <c r="LF68" s="237">
        <f>各项系数!$F$76/4*($NH68^2-$NE68^2)*10^-2*(VLOOKUP(AN68,各项系数!$D$1:$F$143,3,0))*10^-3*10^2*各项系数!$J$4</f>
        <v>0.13564638207392302</v>
      </c>
      <c r="LG68" s="106">
        <v>1</v>
      </c>
      <c r="LH68" s="78">
        <f t="shared" si="302"/>
        <v>0.13564638207392302</v>
      </c>
      <c r="LI68" s="78">
        <f>LH68*(VLOOKUP(AN68,各项系数!$D$1:$F$143,2,0))</f>
        <v>1.3564638207392301</v>
      </c>
      <c r="LJ68" s="237">
        <f>各项系数!$F$76/4*($NI68^2-$NF68^2)*10^-2*(VLOOKUP(AN68,各项系数!$D$1:$F$143,3,0))*10^-3*10^2*各项系数!$J$4</f>
        <v>0.13696975661641769</v>
      </c>
      <c r="LK68" s="106">
        <v>1</v>
      </c>
      <c r="LL68" s="78">
        <f t="shared" si="303"/>
        <v>0.13696975661641769</v>
      </c>
      <c r="LM68" s="78">
        <f>LL68*(VLOOKUP(AN68,各项系数!$D$1:$F$143,2,0))</f>
        <v>1.3696975661641768</v>
      </c>
      <c r="LN68" s="78">
        <f>各项系数!$F$76/4*($NH68^2-$NE68^2)*10^-2*(VLOOKUP($LN$9,各项系数!$D$1:$F$143,3,0))*10^-3*10^2*各项系数!$J$4</f>
        <v>0.13564638207392302</v>
      </c>
      <c r="LO68" s="355">
        <v>1</v>
      </c>
      <c r="LP68" s="78">
        <f t="shared" si="304"/>
        <v>0.13564638207392302</v>
      </c>
      <c r="LQ68" s="78">
        <f>LP68*(VLOOKUP($LN$9,各项系数!$D$1:$F$143,2,0))</f>
        <v>1.4921102028131532</v>
      </c>
      <c r="LR68" s="78">
        <f>各项系数!$F$76/4*($NI68^2-$NF68^2)*10^-2*(VLOOKUP($LR$9,各项系数!$D$1:$F$143,3,0))*10^-3*10^2*各项系数!$J$4</f>
        <v>0.13696975661641769</v>
      </c>
      <c r="LS68" s="355">
        <v>1</v>
      </c>
      <c r="LT68" s="78">
        <f t="shared" si="305"/>
        <v>0.13696975661641769</v>
      </c>
      <c r="LU68" s="78">
        <f>LT68*(VLOOKUP($LR$9,各项系数!$D$1:$F$143,2,0))</f>
        <v>1.5066673227805947</v>
      </c>
      <c r="LV68" s="367">
        <f t="shared" si="154"/>
        <v>48.618153290000002</v>
      </c>
      <c r="LW68" s="367">
        <f t="shared" si="155"/>
        <v>37.814119230000003</v>
      </c>
      <c r="LX68" s="367">
        <f t="shared" si="156"/>
        <v>6.9387629987603967</v>
      </c>
      <c r="LY68" s="367">
        <f t="shared" si="157"/>
        <v>10.804034059999999</v>
      </c>
      <c r="LZ68" s="374">
        <f t="shared" si="86"/>
        <v>1</v>
      </c>
      <c r="MA68" s="375">
        <f t="shared" si="87"/>
        <v>48.618153290000002</v>
      </c>
      <c r="MB68" s="367">
        <f t="shared" si="158"/>
        <v>3.9339088499999999</v>
      </c>
      <c r="MC68" s="367">
        <f t="shared" si="159"/>
        <v>0</v>
      </c>
      <c r="MD68" s="367">
        <f t="shared" si="160"/>
        <v>0</v>
      </c>
      <c r="ME68" s="367">
        <f t="shared" si="161"/>
        <v>0</v>
      </c>
      <c r="MF68" s="367">
        <f t="shared" si="162"/>
        <v>0</v>
      </c>
      <c r="MG68" s="379">
        <f t="shared" si="163"/>
        <v>1</v>
      </c>
      <c r="MH68" s="375">
        <f t="shared" si="88"/>
        <v>0</v>
      </c>
      <c r="MI68" s="367">
        <f t="shared" si="164"/>
        <v>0</v>
      </c>
      <c r="MJ68" s="78">
        <f t="shared" si="89"/>
        <v>3.9339088499999999</v>
      </c>
      <c r="MK68" s="78">
        <f t="shared" si="165"/>
        <v>3.9339088499999999</v>
      </c>
      <c r="ML68" s="78">
        <f t="shared" si="306"/>
        <v>0</v>
      </c>
      <c r="MM68" s="78">
        <f t="shared" si="91"/>
        <v>0</v>
      </c>
      <c r="MN68" s="78">
        <f t="shared" si="92"/>
        <v>5.3339088500000003</v>
      </c>
      <c r="MO68" s="189">
        <f t="shared" si="166"/>
        <v>0</v>
      </c>
      <c r="MP68" s="78">
        <f t="shared" si="167"/>
        <v>12.908059420000001</v>
      </c>
      <c r="MQ68" s="78">
        <f t="shared" si="307"/>
        <v>12.908059420000001</v>
      </c>
      <c r="MR68" s="246">
        <f t="shared" si="168"/>
        <v>12.908059420000001</v>
      </c>
      <c r="MS68" s="380">
        <f t="shared" si="94"/>
        <v>13.084059420000001</v>
      </c>
      <c r="MT68" s="382">
        <f t="shared" si="95"/>
        <v>13.244059420000001</v>
      </c>
      <c r="MU68" s="382">
        <f t="shared" si="232"/>
        <v>13.684059420000001</v>
      </c>
      <c r="MV68" s="382">
        <f t="shared" si="97"/>
        <v>16.684059420000001</v>
      </c>
      <c r="MW68" s="382">
        <f t="shared" si="98"/>
        <v>16.844059420000001</v>
      </c>
      <c r="MX68" s="246">
        <f t="shared" si="233"/>
        <v>4.5339088499999995</v>
      </c>
      <c r="MY68" s="246">
        <f t="shared" si="100"/>
        <v>0</v>
      </c>
      <c r="MZ68" s="78">
        <f t="shared" si="101"/>
        <v>5.9339088499999999</v>
      </c>
      <c r="NA68" s="78">
        <f t="shared" si="102"/>
        <v>0</v>
      </c>
      <c r="NB68" s="78">
        <f t="shared" si="169"/>
        <v>14.360059420000001</v>
      </c>
      <c r="NC68" s="246">
        <f t="shared" si="308"/>
        <v>14.360059420000001</v>
      </c>
      <c r="ND68" s="246">
        <f t="shared" si="234"/>
        <v>14.360059420000001</v>
      </c>
      <c r="NE68" s="386">
        <f t="shared" si="235"/>
        <v>14.600059420000001</v>
      </c>
      <c r="NF68" s="382">
        <f t="shared" si="106"/>
        <v>14.760059420000001</v>
      </c>
      <c r="NG68" s="150">
        <f t="shared" si="236"/>
        <v>15.200059420000001</v>
      </c>
      <c r="NH68" s="246">
        <f t="shared" si="108"/>
        <v>18.200059420000002</v>
      </c>
      <c r="NI68" s="382">
        <f t="shared" si="109"/>
        <v>18.360059420000002</v>
      </c>
      <c r="NK68" s="390">
        <f t="shared" si="110"/>
        <v>0.55895532449539242</v>
      </c>
      <c r="NL68" s="390">
        <f t="shared" si="111"/>
        <v>24.030253735615553</v>
      </c>
      <c r="NM68" s="390">
        <f t="shared" si="112"/>
        <v>0.55895532449539242</v>
      </c>
      <c r="NN68" s="390">
        <f t="shared" si="113"/>
        <v>24.153361143899339</v>
      </c>
      <c r="NO68" s="390">
        <f t="shared" si="114"/>
        <v>0.80506404181822433</v>
      </c>
      <c r="NP68" s="390">
        <f t="shared" si="115"/>
        <v>24.954965832306403</v>
      </c>
      <c r="NQ68" s="390">
        <f t="shared" si="116"/>
        <v>0.80506404181822433</v>
      </c>
      <c r="NR68" s="390">
        <f t="shared" si="117"/>
        <v>25.090612214380329</v>
      </c>
      <c r="NS68" s="390">
        <f t="shared" si="118"/>
        <v>0.57734332062676408</v>
      </c>
      <c r="NT68" s="390">
        <f t="shared" si="119"/>
        <v>0.57734332062676408</v>
      </c>
      <c r="NU68" s="390">
        <f t="shared" si="120"/>
        <v>0.82556963718291509</v>
      </c>
      <c r="NV68" s="390">
        <f t="shared" si="121"/>
        <v>0.82556963718291509</v>
      </c>
      <c r="NW68" s="9">
        <f t="shared" si="122"/>
        <v>0.65710498851269028</v>
      </c>
      <c r="NX68" s="9">
        <f>各项系数!$M$9*NK68</f>
        <v>0.16768659734861771</v>
      </c>
      <c r="NY68" s="9">
        <f t="shared" si="123"/>
        <v>0.57734332062676397</v>
      </c>
    </row>
    <row r="69" spans="1:389" s="9" customFormat="1" ht="15" hidden="1" customHeight="1">
      <c r="A69" s="65"/>
      <c r="B69" s="81"/>
      <c r="C69" s="67"/>
      <c r="D69" s="58" t="s">
        <v>206</v>
      </c>
      <c r="E69" s="399">
        <f t="shared" si="325"/>
        <v>19.173260989999999</v>
      </c>
      <c r="F69" s="68">
        <f>$F$21</f>
        <v>165.41681820668899</v>
      </c>
      <c r="G69" s="58"/>
      <c r="H69" s="16"/>
      <c r="I69" s="62"/>
      <c r="J69" s="62"/>
      <c r="K69" s="16"/>
      <c r="L69" s="107" t="s">
        <v>467</v>
      </c>
      <c r="M69" s="98">
        <f t="shared" si="2"/>
        <v>0.7</v>
      </c>
      <c r="N69" s="98">
        <f t="shared" si="252"/>
        <v>0</v>
      </c>
      <c r="O69" s="58">
        <f t="shared" si="326"/>
        <v>0.08</v>
      </c>
      <c r="P69" s="99">
        <v>0.1</v>
      </c>
      <c r="Q69" s="136">
        <f t="shared" si="322"/>
        <v>0.1</v>
      </c>
      <c r="R69" s="151">
        <v>0.8</v>
      </c>
      <c r="S69" s="144" t="str">
        <f>各项系数!$D$43</f>
        <v>钢带</v>
      </c>
      <c r="T69" s="62">
        <v>0.2</v>
      </c>
      <c r="U69" s="62">
        <v>2</v>
      </c>
      <c r="V69" s="143"/>
      <c r="W69" s="145">
        <v>1.8</v>
      </c>
      <c r="X69" s="139">
        <f t="shared" si="323"/>
        <v>0.2</v>
      </c>
      <c r="Y69" s="139"/>
      <c r="Z69" s="169"/>
      <c r="AA69" s="170">
        <f>$AA$21</f>
        <v>1.0109999999999999</v>
      </c>
      <c r="AB69" s="153">
        <f>PI()*EJ69*EJ69/4*EH69*(1-H69)*AA69*各项系数!$F$5*各项系数!$J$4*10^-7</f>
        <v>0.13453127076823812</v>
      </c>
      <c r="AC69" s="170">
        <f t="shared" si="327"/>
        <v>165.41681820668899</v>
      </c>
      <c r="AD69" s="153">
        <f t="shared" si="5"/>
        <v>15.208920956666134</v>
      </c>
      <c r="AE69" s="153">
        <f>POWER(4*EU69/PI()/EG69/10^-7/EH69/(1-H69)/各项系数!$F$5/各项系数!$J$4,0.5)</f>
        <v>166.32412244418023</v>
      </c>
      <c r="AF69" s="16">
        <v>1</v>
      </c>
      <c r="AG69" s="16">
        <f>IF(EM69=0,0,PI()*ER69*ER69/4*EP69*(1-K69)*(1+AF69)*各项系数!$F$5*各项系数!$J$4*10^-7)</f>
        <v>0</v>
      </c>
      <c r="AH69" s="16">
        <f t="shared" si="328"/>
        <v>0</v>
      </c>
      <c r="AI69" s="69">
        <f t="shared" si="128"/>
        <v>0</v>
      </c>
      <c r="AJ69" s="69">
        <f>IF(OR(EP69="",EP69=0),0,POWER(4*EW69/PI()/EO69/10^-7/EP69/(1-K69)/各项系数!$F$5/各项系数!$J$4,0.5))</f>
        <v>0</v>
      </c>
      <c r="AK69" s="16" t="str">
        <f t="shared" si="8"/>
        <v>√</v>
      </c>
      <c r="AL69" s="16">
        <f t="shared" si="329"/>
        <v>38.732247522399781</v>
      </c>
      <c r="AM69" s="106">
        <f t="shared" si="330"/>
        <v>16</v>
      </c>
      <c r="AN69" s="107" t="s">
        <v>486</v>
      </c>
      <c r="AO69" s="146">
        <f>AP69+各项系数!$M$9*$NK69</f>
        <v>37.972791688627233</v>
      </c>
      <c r="AP69" s="146">
        <f>AQ69*(1+$BI69+(VLOOKUP($AM69,$A$12:$B$323,2,0))+各项系数!$J$6+各项系数!$M$5)*(1+$E$2)</f>
        <v>37.729483328052041</v>
      </c>
      <c r="AQ69" s="199">
        <f>AR69+各项系数!$L$9*$NK69</f>
        <v>38.499472783726574</v>
      </c>
      <c r="AR69" s="199">
        <f>AS69*(1+$BJ69+各项系数!$J$5+各项系数!$L$5)</f>
        <v>38.256164423151382</v>
      </c>
      <c r="AS69" s="199">
        <f t="shared" si="129"/>
        <v>37.506043552109197</v>
      </c>
      <c r="AT69" s="146">
        <f>AU69+各项系数!$M$9*$NM69</f>
        <v>38.945037611579906</v>
      </c>
      <c r="AU69" s="146">
        <f>AV69*(1+$BI69+(VLOOKUP($AM69,$A$12:$B$323,2,0))+各项系数!$J$6+各项系数!$M$5)*(1+$E$2)</f>
        <v>38.701729251004714</v>
      </c>
      <c r="AV69" s="199">
        <f>AW69+各项系数!$L$9*$NM69</f>
        <v>39.491560460208895</v>
      </c>
      <c r="AW69" s="199">
        <f>AX69*(1+$BJ69+各项系数!$J$5+各项系数!$L$5)</f>
        <v>39.248252099633703</v>
      </c>
      <c r="AX69" s="199">
        <f t="shared" si="130"/>
        <v>38.478678529052651</v>
      </c>
      <c r="AY69" s="146">
        <f>AZ69+各项系数!$M$9*$NS69</f>
        <v>39.474304802424477</v>
      </c>
      <c r="AZ69" s="146">
        <f>BA69*(1+$BI69+(VLOOKUP($AM69,$A$12:$B$214,2,0))+各项系数!$J$6+各项系数!$M$5)*(1+$E$2)</f>
        <v>39.224436943141228</v>
      </c>
      <c r="BA69" s="199">
        <f>BB69+各项系数!$L$9*$NS69</f>
        <v>40.024935656266557</v>
      </c>
      <c r="BB69" s="199">
        <f>BC69*(1+$BJ69+各项系数!$J$5+各项系数!$L$5)</f>
        <v>39.775067796983308</v>
      </c>
      <c r="BC69" s="199">
        <f t="shared" si="131"/>
        <v>38.995164506846379</v>
      </c>
      <c r="BD69" s="146">
        <f>BE69+各项系数!$M$9*$NS69</f>
        <v>40.455504677531671</v>
      </c>
      <c r="BE69" s="146">
        <f>BF69*(1+$BI69+(VLOOKUP($AM69,$A$12:$B$214,2,0))+各项系数!$J$6+各项系数!$M$5)*(1+$E$2)</f>
        <v>40.205636818248422</v>
      </c>
      <c r="BF69" s="199">
        <f>BG69+各项系数!$L$9*$NS69</f>
        <v>41.026160018620843</v>
      </c>
      <c r="BG69" s="199">
        <f>BH69*(1+$BJ69+各项系数!$J$5+各项系数!$L$5)</f>
        <v>40.776292159337594</v>
      </c>
      <c r="BH69" s="199">
        <f t="shared" si="132"/>
        <v>39.976757018958423</v>
      </c>
      <c r="BI69" s="214"/>
      <c r="BJ69" s="215"/>
      <c r="BK69" s="78" t="s">
        <v>514</v>
      </c>
      <c r="BL69" s="146">
        <f>BM69+各项系数!$M$9*$NM69</f>
        <v>38.485397476866872</v>
      </c>
      <c r="BM69" s="146">
        <f>BN69*(1+$CF69+(VLOOKUP($AM69,$A$12:$B$323,2,0))+各项系数!$J$6+各项系数!$M$5)*(1+$E$2)</f>
        <v>38.24208911629168</v>
      </c>
      <c r="BN69" s="199">
        <f>BO69+各项系数!$L$9*$NM69</f>
        <v>39.022539914583348</v>
      </c>
      <c r="BO69" s="199">
        <f>BP69*(1+$CG69+各项系数!$J$5+各项系数!$L$5)</f>
        <v>38.779231554008156</v>
      </c>
      <c r="BP69" s="199">
        <f t="shared" si="133"/>
        <v>37.649739372823454</v>
      </c>
      <c r="BQ69" s="146">
        <f>BR69+各项系数!$M$9*$NM69</f>
        <v>39.322128661164626</v>
      </c>
      <c r="BR69" s="146">
        <f>BS69*(1+$CF69+(VLOOKUP($AM69,$A$12:$B$323,2,0))+各项系数!$J$6+各项系数!$M$5)*(1+$E$2)</f>
        <v>39.078820300589435</v>
      </c>
      <c r="BS69" s="199">
        <f>BT69+各项系数!$L$9*$NM69</f>
        <v>39.876347245499424</v>
      </c>
      <c r="BT69" s="199">
        <f>BU69*(1+$CG69+各项系数!$J$5+各项系数!$L$5)</f>
        <v>39.633038884924233</v>
      </c>
      <c r="BU69" s="199">
        <f t="shared" si="134"/>
        <v>38.478678529052651</v>
      </c>
      <c r="BV69" s="146">
        <f>BW69+各项系数!$M$9*$NT69</f>
        <v>39.766067423278017</v>
      </c>
      <c r="BW69" s="146">
        <f>BX69*(1+$CF69+(VLOOKUP($AM69,$A$12:$B$214,2,0))+各项系数!$J$6+各项系数!$M$5)*(1+$E$2)</f>
        <v>39.516199563994768</v>
      </c>
      <c r="BX69" s="199">
        <f>BY69+各项系数!$L$9*$NT$12</f>
        <v>40.322652616321193</v>
      </c>
      <c r="BY69" s="199">
        <f>BZ69*(1+$CG69+各项系数!$J$5+各项系数!$L$5)</f>
        <v>40.314389213166223</v>
      </c>
      <c r="BZ69" s="199">
        <f t="shared" si="11"/>
        <v>39.14018370210313</v>
      </c>
      <c r="CA69" s="146">
        <f>CB69+各项系数!$M$9*$NT69</f>
        <v>40.610504529311754</v>
      </c>
      <c r="CB69" s="146">
        <f>CC69*(1+$CF69+(VLOOKUP($AM69,$A$12:$B$214,2,0))+各项系数!$J$6+各项系数!$M$5)*(1+$E$2)</f>
        <v>40.360636670028505</v>
      </c>
      <c r="CC69" s="199">
        <f>CD69+各项系数!$L$9*$NT$12</f>
        <v>41.184323132682145</v>
      </c>
      <c r="CD69" s="199">
        <f>CE69*(1+$CG69+各项系数!$J$5+各项系数!$L$5)</f>
        <v>41.176059729527175</v>
      </c>
      <c r="CE69" s="199">
        <f t="shared" si="135"/>
        <v>39.976757018958423</v>
      </c>
      <c r="CF69" s="214">
        <f t="shared" si="136"/>
        <v>0</v>
      </c>
      <c r="CG69" s="214">
        <f t="shared" si="12"/>
        <v>0.01</v>
      </c>
      <c r="CH69" s="106"/>
      <c r="CI69" s="146">
        <f>CJ69+各项系数!$M$9*$NO69</f>
        <v>39.528646009940545</v>
      </c>
      <c r="CJ69" s="146">
        <f>CK69*(1+$DC69+(VLOOKUP($AM69,$A$12:$B$323,2,0))+各项系数!$J$6+各项系数!$M$5)*(1+$E$2)+各项系数!$M$9*$NK69</f>
        <v>39.187305180205215</v>
      </c>
      <c r="CK69" s="199">
        <f>CL69+各项系数!$L$9*$NO69</f>
        <v>39.738772264928592</v>
      </c>
      <c r="CL69" s="199">
        <f>CM69*(1+$DD69+各项系数!$J$5+各项系数!$L$5)</f>
        <v>39.397431435193262</v>
      </c>
      <c r="CM69" s="199">
        <f t="shared" si="13"/>
        <v>38.624932779601238</v>
      </c>
      <c r="CN69" s="146">
        <f>CO69+各项系数!$M$9*$NO69</f>
        <v>40.375552350887013</v>
      </c>
      <c r="CO69" s="146">
        <f>CP69*(1+$DC69+(VLOOKUP($AM69,$A$12:$B$323,2,0))+各项系数!$J$6+各项系数!$M$5)*(1+$E$2)+各项系数!$M$9*$NK69</f>
        <v>40.034211521151683</v>
      </c>
      <c r="CP69" s="199">
        <f>CQ69+各项系数!$L$9*$NO69</f>
        <v>40.602962408751523</v>
      </c>
      <c r="CQ69" s="199">
        <f>CR69*(1+$DD69+各项系数!$J$5+各项系数!$L$5)</f>
        <v>40.261621579016193</v>
      </c>
      <c r="CR69" s="199">
        <f t="shared" si="14"/>
        <v>39.472178018643326</v>
      </c>
      <c r="CS69" s="146">
        <f>CT69+各项系数!$M$9*$NU69</f>
        <v>40.930989390176933</v>
      </c>
      <c r="CT69" s="146">
        <f t="shared" si="15"/>
        <v>40.582453781963551</v>
      </c>
      <c r="CU69" s="199">
        <f>CV69+各项系数!$L$9*$NU69</f>
        <v>41.410667124452601</v>
      </c>
      <c r="CV69" s="199">
        <f>CW69*(1+$DD69+各项系数!$J$5+各项系数!$L$5)</f>
        <v>41.062131516239219</v>
      </c>
      <c r="CW69" s="199">
        <f t="shared" si="16"/>
        <v>40.256991682587469</v>
      </c>
      <c r="CX69" s="146">
        <f>CY69+各项系数!$M$9*$NU69</f>
        <v>41.997027961948199</v>
      </c>
      <c r="CY69" s="146">
        <f t="shared" si="17"/>
        <v>41.648492353734817</v>
      </c>
      <c r="CZ69" s="199">
        <f>DA69+各项系数!$L$9*$NU69</f>
        <v>42.498461585443692</v>
      </c>
      <c r="DA69" s="199">
        <f>DB69*(1+$DD69+各项系数!$J$5+各项系数!$L$5)</f>
        <v>42.149925977230311</v>
      </c>
      <c r="DB69" s="199">
        <f t="shared" si="18"/>
        <v>41.323456840421869</v>
      </c>
      <c r="DC69" s="214">
        <f t="shared" si="137"/>
        <v>0</v>
      </c>
      <c r="DD69" s="214">
        <f t="shared" si="19"/>
        <v>0</v>
      </c>
      <c r="DE69" s="78" t="s">
        <v>498</v>
      </c>
      <c r="DF69" s="78" t="s">
        <v>513</v>
      </c>
      <c r="DG69" s="146">
        <f>DH69+各项系数!$M$9*$NQ69</f>
        <v>40.064873752753378</v>
      </c>
      <c r="DH69" s="146">
        <f>DI69*(1+$EA69+(VLOOKUP($AM69,$A$12:$B$323,2,0))+各项系数!$J$6+各项系数!$M$5)*(1+$E$2)+各项系数!$M$9*$NK69</f>
        <v>39.723532923018048</v>
      </c>
      <c r="DI69" s="199">
        <f>DJ69+各项系数!$L$9*$NQ69</f>
        <v>40.28594343106414</v>
      </c>
      <c r="DJ69" s="199">
        <f>DK69*(1+$EB69+各项系数!$J$5+各项系数!$L$5)</f>
        <v>39.94460260132881</v>
      </c>
      <c r="DK69" s="199">
        <f t="shared" si="20"/>
        <v>38.781167574105638</v>
      </c>
      <c r="DL69" s="146">
        <f>DM69+各项系数!$M$9*$NQ69</f>
        <v>40.97461854549951</v>
      </c>
      <c r="DM69" s="146">
        <f>DN69*(1+$EA69+(VLOOKUP($AM69,$A$12:$B$323,2,0))+各项系数!$J$6+各项系数!$M$5)*(1+$E$2)+各项系数!$M$9*$NK69</f>
        <v>40.63327771576418</v>
      </c>
      <c r="DN69" s="199">
        <f>DO69+各项系数!$L$9*$NQ69</f>
        <v>41.214254444070399</v>
      </c>
      <c r="DO69" s="199">
        <f>DP69*(1+$EB69+各项系数!$J$5+各项系数!$L$5)</f>
        <v>40.872913614335069</v>
      </c>
      <c r="DP69" s="199">
        <f t="shared" si="21"/>
        <v>39.682440402267055</v>
      </c>
      <c r="DQ69" s="146">
        <f>DR69+各项系数!$M$9*$NV69</f>
        <v>41.484547124502228</v>
      </c>
      <c r="DR69" s="146">
        <f t="shared" si="22"/>
        <v>41.136011516288846</v>
      </c>
      <c r="DS69" s="199">
        <f>DT69+各项系数!$L$9*$NV69</f>
        <v>41.975521955396779</v>
      </c>
      <c r="DT69" s="199">
        <f>DU69*(1+$EB69+各项系数!$J$5+各项系数!$L$5)</f>
        <v>41.626986347183397</v>
      </c>
      <c r="DU69" s="199">
        <f t="shared" si="23"/>
        <v>40.414549851634362</v>
      </c>
      <c r="DV69" s="146">
        <f>DW69+各项系数!$M$9*$NV69</f>
        <v>41.78122144214786</v>
      </c>
      <c r="DW69" s="146">
        <f t="shared" si="24"/>
        <v>41.432685833934478</v>
      </c>
      <c r="DX69" s="199">
        <f>DY69+各项系数!$L$9*$NV69</f>
        <v>42.278250850953548</v>
      </c>
      <c r="DY69" s="199">
        <f>DZ69*(1+$EB69+各项系数!$J$5+各项系数!$L$5)</f>
        <v>41.929715242740166</v>
      </c>
      <c r="DZ69" s="199">
        <f t="shared" si="25"/>
        <v>40.708461400718605</v>
      </c>
      <c r="EA69" s="214">
        <f t="shared" si="324"/>
        <v>0</v>
      </c>
      <c r="EB69" s="214">
        <f t="shared" si="27"/>
        <v>0.01</v>
      </c>
      <c r="EC69" s="235">
        <f t="shared" si="138"/>
        <v>4</v>
      </c>
      <c r="ED69" s="237" t="str">
        <f t="shared" si="331"/>
        <v>4*16</v>
      </c>
      <c r="EE69" s="78">
        <f t="shared" si="239"/>
        <v>16</v>
      </c>
      <c r="EF69" s="78" t="str">
        <f>LOOKUP(EH69,{1,7,10,14,19,24,30,37,48,61},{1,"1+6","2+8","4+10","1+6+12","2+8+14","4+10+16","1+6+12+18","3+9+15+21","1+6+12+18+24"})</f>
        <v>1+6</v>
      </c>
      <c r="EG69" s="106">
        <f t="shared" si="29"/>
        <v>4</v>
      </c>
      <c r="EH69" s="199">
        <f>VLOOKUP(EE69,各项系数!$B$87:$C$124,2,0)</f>
        <v>7</v>
      </c>
      <c r="EI69" s="106">
        <f>IF(EH69=0,0,VLOOKUP(EH69,各项系数!$D$142:$E$195,2,0))*1</f>
        <v>3</v>
      </c>
      <c r="EJ69" s="240">
        <f t="shared" si="141"/>
        <v>165.41681820668899</v>
      </c>
      <c r="EK69" s="78">
        <f t="shared" si="332"/>
        <v>0</v>
      </c>
      <c r="EL69" s="78">
        <f t="shared" si="31"/>
        <v>0</v>
      </c>
      <c r="EM69" s="78">
        <f t="shared" si="333"/>
        <v>0</v>
      </c>
      <c r="EN69" s="78">
        <f>IF(EP69=0,0,LOOKUP(EP69,{1,7,10,14,19,24,30,37,48,61},{1,"1+6","2+8","4+10","1+6+12","2+8+14","4+10+16","1+6+12+18","3+9+15+21","1+6+12+18+24"}))</f>
        <v>0</v>
      </c>
      <c r="EO69" s="78">
        <f t="shared" si="334"/>
        <v>0</v>
      </c>
      <c r="EP69" s="78">
        <f>IF(EM69=0,0,IF(EM69&lt;10,1,IF(AND(EM69&gt;=10,EM69&lt;=35),7,LOOKUP(EM69,{50,70,95,120,150,185,240,300},{10,14,19,24,30,37,48,61})*1)))</f>
        <v>0</v>
      </c>
      <c r="EQ69" s="78">
        <f>IF(EP69=0,0,VLOOKUP(EP69,各项系数!$D$142:$E$195,2,0))*1</f>
        <v>0</v>
      </c>
      <c r="ER69" s="78">
        <f t="shared" si="335"/>
        <v>0</v>
      </c>
      <c r="ES69" s="237">
        <f t="shared" si="336"/>
        <v>4</v>
      </c>
      <c r="ET69" s="78">
        <f>VLOOKUP(ES69,各项系数!$D$142:$E$195,2,0)*1</f>
        <v>2.42</v>
      </c>
      <c r="EU69" s="243">
        <f>((各项系数!$F$76/4*$EJ69^2*$EG69*$EH69*1*10^-7)*(1-$H69)*AA69)*(VLOOKUP($EY$9,各项系数!$D$4:$F$143,3,0))*各项系数!$J$4</f>
        <v>0.53812508307295248</v>
      </c>
      <c r="EV69" s="244">
        <f>EU69*(VLOOKUP($EY$9,各项系数!$D$4:$F$143,2,0))</f>
        <v>35.247192941278385</v>
      </c>
      <c r="EW69" s="252">
        <f>(IF($EO69=0,0,(各项系数!$F$76/4*$ER69^2*$EO69*$EP69*1*10^-7))*(1-$K69)*$AF69)*(VLOOKUP($EY$9,各项系数!$D$4:$F$143,3,0))*各项系数!$J$4</f>
        <v>0</v>
      </c>
      <c r="EX69" s="253">
        <f>EW69*(VLOOKUP($EY$9,各项系数!$D$4:$F$143,2,0))</f>
        <v>0</v>
      </c>
      <c r="EY69" s="189">
        <f>((各项系数!$F$76/4*$EJ69^2*$EG69*$EH69*1*10^-7)*(1-$H69)*AA69+IF($EO69=0,0,(各项系数!$F$76/4*$ER69^2*$EO69*$EP69*1*10^-7))*(1-$K69)*$AF69)*(VLOOKUP($EY$9,各项系数!$D$4:$F$143,3,0))*各项系数!$J$4</f>
        <v>0.53812508307295248</v>
      </c>
      <c r="EZ69" s="106">
        <v>1</v>
      </c>
      <c r="FA69" s="78">
        <f t="shared" si="268"/>
        <v>0.53812508307295248</v>
      </c>
      <c r="FB69" s="246">
        <f>FA69*(VLOOKUP($EY$9,各项系数!$D$4:$F$143,2,0))</f>
        <v>35.247192941278385</v>
      </c>
      <c r="FC69" s="257"/>
      <c r="FD69" s="237">
        <f>各项系数!$F$76/4*($MN69^2-MK69^2)*10^-2*(VLOOKUP(L69,各项系数!$D$1:$F$143,3,0))*10^-3*10^2*$EG69*各项系数!$J$4</f>
        <v>5.4517035651428902E-2</v>
      </c>
      <c r="FE69" s="264">
        <f>FD69*VLOOKUP(L69,各项系数!$D$1:$F$143,2,0)</f>
        <v>0.55607376364457473</v>
      </c>
      <c r="FF69" s="106">
        <f>各项系数!$F$76/4*($MO69^2-ML69^2)*10^-2*(VLOOKUP(L69,各项系数!$D$1:$F$143,3,0))*10^-3*10^2*$EO69*各项系数!$J$4</f>
        <v>0</v>
      </c>
      <c r="FG69" s="264">
        <f>FF69*VLOOKUP(L69,各项系数!$D$1:$F$143,2,0)</f>
        <v>0</v>
      </c>
      <c r="FH69" s="237">
        <f t="shared" si="142"/>
        <v>5.4517035651428902E-2</v>
      </c>
      <c r="FI69" s="106">
        <v>1</v>
      </c>
      <c r="FJ69" s="78">
        <f t="shared" si="269"/>
        <v>5.4517035651428902E-2</v>
      </c>
      <c r="FK69" s="264">
        <f>FJ69*VLOOKUP(L69,各项系数!$D$1:$F$143,2,0)</f>
        <v>0.55607376364457473</v>
      </c>
      <c r="FL69" s="237"/>
      <c r="FM69" s="106"/>
      <c r="FN69" s="78"/>
      <c r="FO69" s="264"/>
      <c r="FP69" s="289">
        <f t="shared" si="270"/>
        <v>5.4517035651428902E-2</v>
      </c>
      <c r="FQ69" s="289">
        <f t="shared" si="271"/>
        <v>0.55607376364457473</v>
      </c>
      <c r="FR69" s="283">
        <f>各项系数!$F$76/4*($MQ69^2-$MN69^2*$EG69-$MO69^2*$EO69)*10^-2</f>
        <v>0.59022506973520605</v>
      </c>
      <c r="FS69" s="284">
        <f t="shared" si="143"/>
        <v>1</v>
      </c>
      <c r="FT69" s="285">
        <f t="shared" si="40"/>
        <v>0.59022506973520605</v>
      </c>
      <c r="FU69" s="309">
        <f>$FT69*(VLOOKUP($FT$9,各项系数!$D$1:$F$143,3,0))*10^-3*10^2*各项系数!$J$55</f>
        <v>7.0472873326383606E-2</v>
      </c>
      <c r="FV69" s="310">
        <v>1</v>
      </c>
      <c r="FW69" s="311">
        <f t="shared" si="272"/>
        <v>7.0472873326383606E-2</v>
      </c>
      <c r="FX69" s="290">
        <f>FW69*(VLOOKUP($FT$9,各项系数!$D$1:$F$143,2,0))</f>
        <v>0.21141861997915082</v>
      </c>
      <c r="FY69" s="309">
        <f>IF($BK69&lt;&gt;$FY$9,0,各项系数!$F$76/4*($MS69^2-$MQ69^2)*10^-2*(VLOOKUP($FY$9,各项系数!$D$1:$F$143,3,0))*10^-3*10^2)*各项系数!$J$4</f>
        <v>0</v>
      </c>
      <c r="FZ69" s="310">
        <v>1</v>
      </c>
      <c r="GA69" s="311">
        <f t="shared" si="273"/>
        <v>0</v>
      </c>
      <c r="GB69" s="290">
        <f>GA69*(VLOOKUP($FY$9,各项系数!$D$1:$F$143,2,0))</f>
        <v>0</v>
      </c>
      <c r="GC69" s="309">
        <f>IF($BK69&lt;&gt;$GC$9,0,各项系数!$F$76/4*($MS69^2-$MQ69^2)*10^-2*(VLOOKUP($GC$9,各项系数!$D$1:$F$143,3,0))*10^-3*10^2)*各项系数!$J$4</f>
        <v>4.2170558189527953E-3</v>
      </c>
      <c r="GD69" s="310">
        <v>1</v>
      </c>
      <c r="GE69" s="311">
        <f t="shared" si="274"/>
        <v>4.2170558189527953E-3</v>
      </c>
      <c r="GF69" s="290">
        <f>GE69*(VLOOKUP($GC$9,各项系数!$D$1:$F$143,2,0))</f>
        <v>5.4400020064491059E-2</v>
      </c>
      <c r="GG69" s="309">
        <f>IF($BK69&lt;&gt;$GG$9,0,各项系数!$F$76/4*($MS69^2-$MQ69^2)*10^-2*(VLOOKUP($GG$9,各项系数!$D$1:$F$143,3,0))*10^-3*10^2)*各项系数!$J$4</f>
        <v>0</v>
      </c>
      <c r="GH69" s="310">
        <v>1</v>
      </c>
      <c r="GI69" s="311">
        <f t="shared" si="275"/>
        <v>0</v>
      </c>
      <c r="GJ69" s="290">
        <f>GI69*(VLOOKUP($GG$9,各项系数!$D$1:$F$143,2,0))</f>
        <v>0</v>
      </c>
      <c r="GK69" s="309">
        <f>IF($BK69&lt;&gt;$GK$9,0,各项系数!$F$76/4*($MS69^2-$MQ69^2)*10^-2*(VLOOKUP($GK$9,各项系数!$D$1:$F$143,3,0))*10^-3*10^2)*各项系数!$J$4</f>
        <v>0</v>
      </c>
      <c r="GL69" s="310">
        <v>1</v>
      </c>
      <c r="GM69" s="311">
        <f t="shared" si="276"/>
        <v>0</v>
      </c>
      <c r="GN69" s="290">
        <f>GM69*(VLOOKUP($GK$9,各项系数!$D$1:$F$143,2,0))</f>
        <v>0</v>
      </c>
      <c r="GO69" s="311">
        <f t="shared" si="277"/>
        <v>4.2170558189527953E-3</v>
      </c>
      <c r="GP69" s="311">
        <f t="shared" si="278"/>
        <v>5.4400020064491059E-2</v>
      </c>
      <c r="GQ69" s="317">
        <f>各项系数!$F$76/4*($MU69^2-$MS69^2)*10^-2*(VLOOKUP($S69,各项系数!$D$1:$F$143,3,0))*10^-3*10^2*各项系数!$J$4</f>
        <v>0.1164037893241348</v>
      </c>
      <c r="GR69" s="310">
        <v>1</v>
      </c>
      <c r="GS69" s="311">
        <f t="shared" si="279"/>
        <v>0.1164037893241348</v>
      </c>
      <c r="GT69" s="311">
        <f t="shared" si="200"/>
        <v>0</v>
      </c>
      <c r="GU69" s="311">
        <f>ROUND($GS69*(VLOOKUP($S69,各项系数!$D$1:$F$143,2,0))+$E$3*GS69,GT69)</f>
        <v>1</v>
      </c>
      <c r="GV69" s="315">
        <f>各项系数!$F$76/4*($MT69^2-$MS69^2)*10^-2*(VLOOKUP($GV$9,各项系数!$D$1:$F$143,3,0))*10^-3*10^2*各项系数!$J$4*PI()/4*R69</f>
        <v>2.1864995693514574E-2</v>
      </c>
      <c r="GW69" s="310">
        <v>1</v>
      </c>
      <c r="GX69" s="311">
        <f t="shared" si="280"/>
        <v>2.1864995693514574E-2</v>
      </c>
      <c r="GY69" s="311">
        <f>$GX69*(VLOOKUP($GV$9,各项系数!$D$1:$F$143,2,0))</f>
        <v>1.4758872093122337</v>
      </c>
      <c r="GZ69" s="317">
        <f>各项系数!$F$76/4*($MV69^2-$MS69^2)*10^-2*(VLOOKUP($GZ$9,各项系数!$D$1:$F$143,3,0))*10^-3*10^2*各项系数!$J$4</f>
        <v>0.14174077553447353</v>
      </c>
      <c r="HA69" s="310">
        <v>1</v>
      </c>
      <c r="HB69" s="311">
        <f t="shared" si="144"/>
        <v>0.14174077553447353</v>
      </c>
      <c r="HC69" s="311">
        <f>HB69*(VLOOKUP($GZ$9,各项系数!$D$1:$F$143,2,0))</f>
        <v>2.4095931840860501</v>
      </c>
      <c r="HD69" s="317">
        <f>各项系数!$F$76/4*($MW69^2-$MT69^2)*10^-2*(VLOOKUP($HD$9,各项系数!$D$1:$F$143,3,0))*10^-3*10^2*各项系数!$J$4</f>
        <v>0.14304614498115201</v>
      </c>
      <c r="HE69" s="310">
        <v>1</v>
      </c>
      <c r="HF69" s="311">
        <f t="shared" si="145"/>
        <v>0.14304614498115201</v>
      </c>
      <c r="HG69" s="311">
        <f>HF69*(VLOOKUP($HD$9,各项系数!$D$1:$F$143,2,0))</f>
        <v>2.4317844646795841</v>
      </c>
      <c r="HH69" s="317">
        <f>各项系数!$F$76/4*($MV69^2-$MS69^2)*10^-2*(VLOOKUP($HH$9,各项系数!$D$1:$F$143,3,0))*10^-3*10^2*各项系数!$J$4</f>
        <v>0.14174077553447353</v>
      </c>
      <c r="HI69" s="311">
        <v>1</v>
      </c>
      <c r="HJ69" s="311">
        <f t="shared" si="146"/>
        <v>0.14174077553447353</v>
      </c>
      <c r="HK69" s="311">
        <f>HJ69*(VLOOKUP($HH$9,各项系数!$D$1:$F$143,2,0))</f>
        <v>2.4095931840860501</v>
      </c>
      <c r="HL69" s="317">
        <f>各项系数!$F$76/4*($MW69^2-$MT69^2)*10^-2*(VLOOKUP($HL$9,各项系数!$D$1:$F$143,3,0))*10^-3*10^2*各项系数!$J$4</f>
        <v>0.14304614498115201</v>
      </c>
      <c r="HM69" s="311">
        <v>1</v>
      </c>
      <c r="HN69" s="311">
        <f t="shared" si="147"/>
        <v>0.14304614498115201</v>
      </c>
      <c r="HO69" s="311">
        <f>HN69*(VLOOKUP($HL$9,各项系数!$D$1:$F$143,2,0))</f>
        <v>2.4317844646795841</v>
      </c>
      <c r="HP69" s="317">
        <f>各项系数!$F$76/4*($MV69^2-$MS69^2)*10^-2*(VLOOKUP(AN69,各项系数!$D$1:$F$143,3,0))*10^-3*10^2*各项系数!$J$4</f>
        <v>0.14369582071425938</v>
      </c>
      <c r="HQ69" s="310">
        <v>1</v>
      </c>
      <c r="HR69" s="311">
        <f t="shared" si="281"/>
        <v>0.14369582071425938</v>
      </c>
      <c r="HS69" s="311">
        <f>HR69*(VLOOKUP(AN69,各项系数!$D$1:$F$143,2,0))</f>
        <v>1.4369582071425937</v>
      </c>
      <c r="HT69" s="317">
        <f>各项系数!$F$76/4*($MW69^2-$MT69^2)*10^-2*(VLOOKUP(AN69,各项系数!$D$1:$F$143,3,0))*10^-3*10^2*各项系数!$J$4</f>
        <v>0.14501919525675408</v>
      </c>
      <c r="HU69" s="310">
        <v>1</v>
      </c>
      <c r="HV69" s="311">
        <f t="shared" si="282"/>
        <v>0.14501919525675408</v>
      </c>
      <c r="HW69" s="311">
        <f>HV69*(VLOOKUP(AN69,各项系数!$D$1:$F$143,2,0))</f>
        <v>1.4501919525675409</v>
      </c>
      <c r="HX69" s="317">
        <f>各项系数!$F$76/4*($MV69^2-$MS69^2)*10^-2*(VLOOKUP($HX$9,各项系数!$D$1:$F$143,3,0))*10^-3*10^2*各项系数!$J$4</f>
        <v>0.14369582071425938</v>
      </c>
      <c r="HY69" s="311">
        <v>1</v>
      </c>
      <c r="HZ69" s="311">
        <f t="shared" si="283"/>
        <v>0.14369582071425938</v>
      </c>
      <c r="IA69" s="311">
        <f>HZ69*(VLOOKUP($HX$9,各项系数!$D$1:$F$143,2,0))</f>
        <v>1.580654027856853</v>
      </c>
      <c r="IB69" s="317">
        <f>各项系数!$F$76/4*($MW69^2-$MT69^2)*10^-2*(VLOOKUP($IB$9,各项系数!$D$1:$F$143,3,0))*10^-3*10^2*各项系数!$J$4</f>
        <v>0.14501919525675408</v>
      </c>
      <c r="IC69" s="311">
        <v>1</v>
      </c>
      <c r="ID69" s="311">
        <f t="shared" si="284"/>
        <v>0.14501919525675408</v>
      </c>
      <c r="IE69" s="311">
        <f>ID69*(VLOOKUP($IB$9,各项系数!$D$1:$F$143,2,0))</f>
        <v>1.595211147824295</v>
      </c>
      <c r="IF69" s="309"/>
      <c r="IG69" s="317">
        <f t="shared" si="148"/>
        <v>2.9609968273803383E-2</v>
      </c>
      <c r="IH69" s="310">
        <v>1</v>
      </c>
      <c r="II69" s="311">
        <f t="shared" si="285"/>
        <v>2.9609968273803383E-2</v>
      </c>
      <c r="IJ69" s="311">
        <f>II69*(VLOOKUP($IG$8,各项系数!$D$1:$F$143,2,0))</f>
        <v>0.74024920684508455</v>
      </c>
      <c r="IK69" s="317">
        <f>(各项系数!$F$76/4*($MX69^2-$MK69^2)*$EG69)*10^-2*(VLOOKUP($IG$8,各项系数!$D$1:$F$143,3,0))*10^-3*10^2*各项系数!$J$4</f>
        <v>2.9609968273803383E-2</v>
      </c>
      <c r="IL69" s="310">
        <f>IK69*(VLOOKUP($IG$8,各项系数!$D$1:$F$143,2,0))</f>
        <v>0.74024920684508455</v>
      </c>
      <c r="IM69" s="311">
        <f>(各项系数!$F$76/4*(($MM69+3*$X69)^2-MM69^2)*$EO69)*10^-2*(VLOOKUP($IG$8,各项系数!$D$1:$F$143,3,0))*10^-3*10^2*各项系数!$J$4</f>
        <v>0</v>
      </c>
      <c r="IN69" s="310">
        <f>IM69*(VLOOKUP($IG$8,各项系数!$D$1:$F$143,2,0))</f>
        <v>0</v>
      </c>
      <c r="IO69" s="317">
        <f>各项系数!$F$76/4*($MZ69^2-$MX69^2)*10^-2*(VLOOKUP(L69,各项系数!$D$1:$F$143,3,0))*10^-3*10^2*$ES69*各项系数!$J$4</f>
        <v>6.0293670559143739E-2</v>
      </c>
      <c r="IP69" s="310">
        <v>1</v>
      </c>
      <c r="IQ69" s="311">
        <f t="shared" si="286"/>
        <v>6.0293670559143739E-2</v>
      </c>
      <c r="IR69" s="290">
        <f>IQ69*(VLOOKUP(L69,各项系数!$D$1:$F$143,2,0))</f>
        <v>0.61499543970326609</v>
      </c>
      <c r="IS69" s="317">
        <f>IF($L69&lt;&gt;$IS$9,0,各项系数!$F$76/4*($MZ69^2-$MX69^2)*10^-2*各项系数!$F$12*10^-3*10^2)*$ES69*各项系数!$J$4</f>
        <v>0</v>
      </c>
      <c r="IT69" s="310">
        <v>1</v>
      </c>
      <c r="IU69" s="311">
        <f t="shared" si="287"/>
        <v>0</v>
      </c>
      <c r="IV69" s="290">
        <f>IU69*各项系数!$E$12</f>
        <v>0</v>
      </c>
      <c r="IW69" s="309">
        <f t="shared" si="288"/>
        <v>6.0293670559143739E-2</v>
      </c>
      <c r="IX69" s="309">
        <f t="shared" si="289"/>
        <v>0.61499543970326609</v>
      </c>
      <c r="IY69" s="339">
        <f>各项系数!$F$76/4*($NB69^2-$MZ69^2*$EG69-$NA69^2*$EO69)*10^-2</f>
        <v>0.70679330062570289</v>
      </c>
      <c r="IZ69" s="284">
        <f t="shared" si="231"/>
        <v>1</v>
      </c>
      <c r="JA69" s="285">
        <f t="shared" si="64"/>
        <v>0.70679330062570289</v>
      </c>
      <c r="JB69" s="289">
        <f>IF($DE69&lt;&gt;$JB$9,0,$JA69*各项系数!$F$32*10^-3*10^2)*各项系数!$J$4</f>
        <v>0</v>
      </c>
      <c r="JC69" s="106">
        <v>1</v>
      </c>
      <c r="JD69" s="78">
        <f t="shared" si="290"/>
        <v>0</v>
      </c>
      <c r="JE69" s="264">
        <f>JD69*各项系数!$E$32</f>
        <v>0</v>
      </c>
      <c r="JF69" s="282">
        <f>IF($DE69&lt;&gt;$JF$9,0,$JA69*VLOOKUP($JF$9,各项系数!$D$4:$F$540,2,0)*10^-3*10^2)*各项系数!$J$4</f>
        <v>0.35162966706128718</v>
      </c>
      <c r="JG69" s="102">
        <v>1</v>
      </c>
      <c r="JH69" s="189">
        <f t="shared" si="66"/>
        <v>0.35162966706128718</v>
      </c>
      <c r="JI69" s="262">
        <f>JH69*VLOOKUP($JF$9,各项系数!$D$4:$F$540,3,0)</f>
        <v>0.42195560047354458</v>
      </c>
      <c r="JJ69" s="289">
        <f t="shared" si="291"/>
        <v>0.35162966706128718</v>
      </c>
      <c r="JK69" s="78">
        <f t="shared" si="292"/>
        <v>0.42195560047354458</v>
      </c>
      <c r="JL69" s="289">
        <f>IF($DF69&lt;&gt;$JL$9,0,各项系数!$F$76/4*($NE69^2-$NC69^2)*10^-2*各项系数!$F$39*10^-3*10^2)*各项系数!$J$4</f>
        <v>1.9095823128497907E-3</v>
      </c>
      <c r="JM69" s="106">
        <v>1</v>
      </c>
      <c r="JN69" s="78">
        <f t="shared" si="293"/>
        <v>1.9095823128497907E-3</v>
      </c>
      <c r="JO69" s="264">
        <f>JN69*各项系数!$E$39</f>
        <v>3.8191646256995816E-2</v>
      </c>
      <c r="JP69" s="289">
        <f>IF($DF69&lt;&gt;$JP$9,0,各项系数!$F$76/4*($NE69^2-$NC69^2)*10^-2*各项系数!$F$36*10^-3*10^2)*各项系数!$J$4</f>
        <v>0</v>
      </c>
      <c r="JQ69" s="106">
        <v>1</v>
      </c>
      <c r="JR69" s="78">
        <f t="shared" si="294"/>
        <v>0</v>
      </c>
      <c r="JS69" s="264">
        <f>JR69*各项系数!$E$36</f>
        <v>0</v>
      </c>
      <c r="JT69" s="289">
        <f>IF($DF69&lt;&gt;$JT$9,0,各项系数!$F$76/4*($NE69^2-$NC69^2)*10^-2*各项系数!$F$40*10^-3*10^2)*各项系数!$J$4</f>
        <v>0</v>
      </c>
      <c r="JU69" s="106">
        <v>1</v>
      </c>
      <c r="JV69" s="78">
        <f t="shared" si="295"/>
        <v>0</v>
      </c>
      <c r="JW69" s="264">
        <f>JV69*各项系数!$E$40</f>
        <v>0</v>
      </c>
      <c r="JX69" s="289">
        <f>IF($DF69&lt;&gt;$JX$9,0,各项系数!$F$76/4*($NE69^2-$NC69^2)*10^-2*各项系数!$F$38*10^-3*10^2)*各项系数!$J$4</f>
        <v>0</v>
      </c>
      <c r="JY69" s="106">
        <v>1</v>
      </c>
      <c r="JZ69" s="78">
        <f t="shared" si="296"/>
        <v>0</v>
      </c>
      <c r="KA69" s="264">
        <f>JZ69*各项系数!$E$38</f>
        <v>0</v>
      </c>
      <c r="KB69" s="289">
        <f>IF($DF69&lt;&gt;$KB$9,0,各项系数!$F$76/4*($NE69^2-$NC69^2)*10^-2*各项系数!$F$41*10^-3*10^2)*各项系数!$J$4</f>
        <v>0</v>
      </c>
      <c r="KC69" s="106">
        <v>1</v>
      </c>
      <c r="KD69" s="78">
        <f t="shared" si="297"/>
        <v>0</v>
      </c>
      <c r="KE69" s="264">
        <f>KD69*各项系数!$E$41</f>
        <v>0</v>
      </c>
      <c r="KF69" s="78">
        <f t="shared" si="298"/>
        <v>1.9095823128497907E-3</v>
      </c>
      <c r="KG69" s="78">
        <f t="shared" si="299"/>
        <v>3.8191646256995816E-2</v>
      </c>
      <c r="KH69" s="237">
        <f>各项系数!$F$76/4*($NG69^2-$NE69^2)*10^-2*各项系数!$F$44*10^-3*10^2*各项系数!$J$4*0.75*$U69</f>
        <v>0.1912816661356701</v>
      </c>
      <c r="KI69" s="106">
        <v>1</v>
      </c>
      <c r="KJ69" s="78">
        <f t="shared" si="300"/>
        <v>0.1912816661356701</v>
      </c>
      <c r="KK69" s="78">
        <f>ROUND(KJ69*各项系数!$E$43,GT69)</f>
        <v>1</v>
      </c>
      <c r="KL69" s="235">
        <f>各项系数!$F$76/4*($NF69^2-$NE69^2)*10^-2*各项系数!$F$46*10^-3*10^2*各项系数!$J$4*PI()/4*R69</f>
        <v>2.3982594926833797E-2</v>
      </c>
      <c r="KM69" s="106">
        <v>1</v>
      </c>
      <c r="KN69" s="78">
        <f t="shared" si="301"/>
        <v>2.3982594926833797E-2</v>
      </c>
      <c r="KO69" s="78">
        <f>KN69*各项系数!$E$46</f>
        <v>1.6188251575612813</v>
      </c>
      <c r="KP69" s="237">
        <f>各项系数!$F$76/4*($NH69^2-$NE69^2)*10^-2*(VLOOKUP($KP$9,各项系数!$D$1:$F$143,3,0))*10^-3*10^2*各项系数!$J$4</f>
        <v>0.15410915104175149</v>
      </c>
      <c r="KQ69" s="106">
        <v>1</v>
      </c>
      <c r="KR69" s="78">
        <f t="shared" si="150"/>
        <v>0.15410915104175149</v>
      </c>
      <c r="KS69" s="78">
        <f>KR69*(VLOOKUP($KP$9,各项系数!$D$1:$F$143,2,0))</f>
        <v>2.6198555677097755</v>
      </c>
      <c r="KT69" s="237">
        <f>各项系数!$F$76/4*($NI69^2-$NF69^2)*10^-2*(VLOOKUP($KT$9,各项系数!$D$1:$F$143,3,0))*10^-3*10^2*各项系数!$J$4</f>
        <v>0.15541452048842985</v>
      </c>
      <c r="KU69" s="106">
        <v>1</v>
      </c>
      <c r="KV69" s="78">
        <f t="shared" si="151"/>
        <v>0.15541452048842985</v>
      </c>
      <c r="KW69" s="78">
        <f>KV69*(VLOOKUP($KT$9,各项系数!$D$1:$F$143,2,0))</f>
        <v>2.6420468483033073</v>
      </c>
      <c r="KX69" s="78">
        <f>各项系数!$F$76/4*($NH69^2-$NE69^2)*10^-2*(VLOOKUP($KX$9,各项系数!$D$1:$F$143,3,0))*10^-3*10^2*各项系数!$J$4</f>
        <v>0.15410915104175149</v>
      </c>
      <c r="KY69" s="355">
        <v>1</v>
      </c>
      <c r="KZ69" s="78">
        <f t="shared" si="152"/>
        <v>0.15410915104175149</v>
      </c>
      <c r="LA69" s="78">
        <f>KZ69*(VLOOKUP($KX$9,各项系数!$D$1:$F$143,2,0))</f>
        <v>2.6198555677097755</v>
      </c>
      <c r="LB69" s="78">
        <f>各项系数!$F$76/4*($NI69^2-$NF69^2)*10^-2*(VLOOKUP($LB$9,各项系数!$D$1:$F$143,3,0))*10^-3*10^2*各项系数!$J$4</f>
        <v>0.15541452048842985</v>
      </c>
      <c r="LC69" s="355">
        <v>1</v>
      </c>
      <c r="LD69" s="78">
        <f t="shared" si="153"/>
        <v>0.15541452048842985</v>
      </c>
      <c r="LE69" s="78">
        <f>LD69*(VLOOKUP($LB$9,各项系数!$D$1:$F$143,2,0))</f>
        <v>2.6420468483033073</v>
      </c>
      <c r="LF69" s="237">
        <f>各项系数!$F$76/4*($NH69^2-$NE69^2)*10^-2*(VLOOKUP(AN69,各项系数!$D$1:$F$143,3,0))*10^-3*10^2*各项系数!$J$4</f>
        <v>0.15623479450439634</v>
      </c>
      <c r="LG69" s="106">
        <v>1</v>
      </c>
      <c r="LH69" s="78">
        <f t="shared" si="302"/>
        <v>0.15623479450439634</v>
      </c>
      <c r="LI69" s="78">
        <f>LH69*(VLOOKUP(AN69,各项系数!$D$1:$F$143,2,0))</f>
        <v>1.5623479450439635</v>
      </c>
      <c r="LJ69" s="237">
        <f>各项系数!$F$76/4*($NI69^2-$NF69^2)*10^-2*(VLOOKUP(AN69,各项系数!$D$1:$F$143,3,0))*10^-3*10^2*各项系数!$J$4</f>
        <v>0.15755816904689099</v>
      </c>
      <c r="LK69" s="106">
        <v>1</v>
      </c>
      <c r="LL69" s="78">
        <f t="shared" si="303"/>
        <v>0.15755816904689099</v>
      </c>
      <c r="LM69" s="78">
        <f>LL69*(VLOOKUP(AN69,各项系数!$D$1:$F$143,2,0))</f>
        <v>1.5755816904689099</v>
      </c>
      <c r="LN69" s="78">
        <f>各项系数!$F$76/4*($NH69^2-$NE69^2)*10^-2*(VLOOKUP($LN$9,各项系数!$D$1:$F$143,3,0))*10^-3*10^2*各项系数!$J$4</f>
        <v>0.15623479450439634</v>
      </c>
      <c r="LO69" s="355">
        <v>1</v>
      </c>
      <c r="LP69" s="78">
        <f t="shared" si="304"/>
        <v>0.15623479450439634</v>
      </c>
      <c r="LQ69" s="78">
        <f>LP69*(VLOOKUP($LN$9,各项系数!$D$1:$F$143,2,0))</f>
        <v>1.7185827395483597</v>
      </c>
      <c r="LR69" s="78">
        <f>各项系数!$F$76/4*($NI69^2-$NF69^2)*10^-2*(VLOOKUP($LR$9,各项系数!$D$1:$F$143,3,0))*10^-3*10^2*各项系数!$J$4</f>
        <v>0.15755816904689099</v>
      </c>
      <c r="LS69" s="355">
        <v>1</v>
      </c>
      <c r="LT69" s="78">
        <f t="shared" si="305"/>
        <v>0.15755816904689099</v>
      </c>
      <c r="LU69" s="78">
        <f>LT69*(VLOOKUP($LR$9,各项系数!$D$1:$F$143,2,0))</f>
        <v>1.733139859515801</v>
      </c>
      <c r="LV69" s="367">
        <f t="shared" si="154"/>
        <v>77.366278519999995</v>
      </c>
      <c r="LW69" s="367">
        <f t="shared" si="155"/>
        <v>60.17377218</v>
      </c>
      <c r="LX69" s="367">
        <f t="shared" si="156"/>
        <v>8.7530352618654863</v>
      </c>
      <c r="LY69" s="367">
        <f t="shared" si="157"/>
        <v>17.192506339999994</v>
      </c>
      <c r="LZ69" s="374">
        <f t="shared" si="86"/>
        <v>1</v>
      </c>
      <c r="MA69" s="375">
        <f t="shared" si="87"/>
        <v>77.366278519999995</v>
      </c>
      <c r="MB69" s="367">
        <f t="shared" si="158"/>
        <v>4.9625045400000003</v>
      </c>
      <c r="MC69" s="367">
        <f t="shared" si="159"/>
        <v>0</v>
      </c>
      <c r="MD69" s="367">
        <f t="shared" si="160"/>
        <v>0</v>
      </c>
      <c r="ME69" s="367">
        <f t="shared" si="161"/>
        <v>0</v>
      </c>
      <c r="MF69" s="367">
        <f t="shared" si="162"/>
        <v>0</v>
      </c>
      <c r="MG69" s="379">
        <f t="shared" si="163"/>
        <v>1</v>
      </c>
      <c r="MH69" s="375">
        <f t="shared" si="88"/>
        <v>0</v>
      </c>
      <c r="MI69" s="367">
        <f t="shared" si="164"/>
        <v>0</v>
      </c>
      <c r="MJ69" s="78">
        <f t="shared" si="89"/>
        <v>4.9625045400000003</v>
      </c>
      <c r="MK69" s="78">
        <f t="shared" si="165"/>
        <v>4.9625045400000003</v>
      </c>
      <c r="ML69" s="78">
        <f t="shared" si="306"/>
        <v>0</v>
      </c>
      <c r="MM69" s="78">
        <f t="shared" si="91"/>
        <v>0</v>
      </c>
      <c r="MN69" s="78">
        <f t="shared" si="92"/>
        <v>6.3625045399999998</v>
      </c>
      <c r="MO69" s="189">
        <f t="shared" si="166"/>
        <v>0</v>
      </c>
      <c r="MP69" s="78">
        <f t="shared" si="167"/>
        <v>15.397260989999999</v>
      </c>
      <c r="MQ69" s="78">
        <f t="shared" si="307"/>
        <v>15.397260989999999</v>
      </c>
      <c r="MR69" s="246">
        <f t="shared" si="168"/>
        <v>15.397260989999999</v>
      </c>
      <c r="MS69" s="380">
        <f t="shared" si="94"/>
        <v>15.57326099</v>
      </c>
      <c r="MT69" s="382">
        <f t="shared" si="95"/>
        <v>15.73326099</v>
      </c>
      <c r="MU69" s="382">
        <f t="shared" si="232"/>
        <v>16.173260989999999</v>
      </c>
      <c r="MV69" s="382">
        <f t="shared" si="97"/>
        <v>19.173260989999999</v>
      </c>
      <c r="MW69" s="382">
        <f t="shared" si="98"/>
        <v>19.333260989999999</v>
      </c>
      <c r="MX69" s="246">
        <f t="shared" si="233"/>
        <v>5.5625045400000008</v>
      </c>
      <c r="MY69" s="246">
        <f t="shared" si="100"/>
        <v>0</v>
      </c>
      <c r="MZ69" s="78">
        <f t="shared" si="101"/>
        <v>6.9625045400000012</v>
      </c>
      <c r="NA69" s="78">
        <f t="shared" si="102"/>
        <v>0</v>
      </c>
      <c r="NB69" s="78">
        <f t="shared" si="169"/>
        <v>16.849260990000001</v>
      </c>
      <c r="NC69" s="246">
        <f t="shared" si="308"/>
        <v>16.849260990000001</v>
      </c>
      <c r="ND69" s="246">
        <f t="shared" si="234"/>
        <v>16.849260990000001</v>
      </c>
      <c r="NE69" s="386">
        <f t="shared" si="235"/>
        <v>17.08926099</v>
      </c>
      <c r="NF69" s="382">
        <f t="shared" si="106"/>
        <v>17.24926099</v>
      </c>
      <c r="NG69" s="150">
        <f t="shared" si="236"/>
        <v>17.689260990000001</v>
      </c>
      <c r="NH69" s="246">
        <f t="shared" si="108"/>
        <v>20.689260990000001</v>
      </c>
      <c r="NI69" s="382">
        <f t="shared" si="109"/>
        <v>20.849260990000001</v>
      </c>
      <c r="NK69" s="390">
        <f t="shared" si="110"/>
        <v>0.81102786858397713</v>
      </c>
      <c r="NL69" s="390">
        <f t="shared" si="111"/>
        <v>37.506043552109197</v>
      </c>
      <c r="NM69" s="390">
        <f t="shared" si="112"/>
        <v>0.81102786858397713</v>
      </c>
      <c r="NN69" s="390">
        <f t="shared" si="113"/>
        <v>37.649739372823454</v>
      </c>
      <c r="NO69" s="390">
        <f t="shared" si="114"/>
        <v>1.137802765784433</v>
      </c>
      <c r="NP69" s="390">
        <f t="shared" si="115"/>
        <v>38.624932779601238</v>
      </c>
      <c r="NQ69" s="390">
        <f t="shared" si="116"/>
        <v>1.137802765784433</v>
      </c>
      <c r="NR69" s="390">
        <f t="shared" si="117"/>
        <v>38.781167574105638</v>
      </c>
      <c r="NS69" s="390">
        <f t="shared" si="118"/>
        <v>0.83289286427749165</v>
      </c>
      <c r="NT69" s="390">
        <f t="shared" si="119"/>
        <v>0.83289286427749165</v>
      </c>
      <c r="NU69" s="390">
        <f t="shared" si="120"/>
        <v>1.1617853607112667</v>
      </c>
      <c r="NV69" s="390">
        <f t="shared" si="121"/>
        <v>1.1617853607112667</v>
      </c>
      <c r="NW69" s="9">
        <f t="shared" si="122"/>
        <v>0.92743165790811188</v>
      </c>
      <c r="NX69" s="9">
        <f>各项系数!$M$9*NK69</f>
        <v>0.24330836057519312</v>
      </c>
      <c r="NY69" s="9">
        <f t="shared" si="123"/>
        <v>0.83289286427749176</v>
      </c>
    </row>
    <row r="70" spans="1:389" s="9" customFormat="1" ht="15" hidden="1" customHeight="1">
      <c r="A70" s="65"/>
      <c r="B70" s="81"/>
      <c r="C70" s="67"/>
      <c r="D70" s="58" t="s">
        <v>219</v>
      </c>
      <c r="E70" s="399">
        <f t="shared" si="325"/>
        <v>23.23620944</v>
      </c>
      <c r="F70" s="68">
        <f>$F$22</f>
        <v>208.046961644752</v>
      </c>
      <c r="G70" s="58"/>
      <c r="H70" s="16"/>
      <c r="I70" s="62"/>
      <c r="J70" s="62"/>
      <c r="K70" s="16"/>
      <c r="L70" s="107" t="s">
        <v>467</v>
      </c>
      <c r="M70" s="98">
        <f t="shared" si="2"/>
        <v>0.9</v>
      </c>
      <c r="N70" s="98">
        <f t="shared" si="252"/>
        <v>0</v>
      </c>
      <c r="O70" s="58">
        <f t="shared" si="326"/>
        <v>0.08</v>
      </c>
      <c r="P70" s="99">
        <v>0.1</v>
      </c>
      <c r="Q70" s="136">
        <f t="shared" si="322"/>
        <v>0.1</v>
      </c>
      <c r="R70" s="151">
        <v>0.8</v>
      </c>
      <c r="S70" s="144" t="str">
        <f>各项系数!$D$43</f>
        <v>钢带</v>
      </c>
      <c r="T70" s="62">
        <v>0.2</v>
      </c>
      <c r="U70" s="62">
        <v>2</v>
      </c>
      <c r="V70" s="143"/>
      <c r="W70" s="145">
        <v>1.8</v>
      </c>
      <c r="X70" s="139">
        <f t="shared" si="323"/>
        <v>0.2</v>
      </c>
      <c r="Y70" s="139"/>
      <c r="Z70" s="169"/>
      <c r="AA70" s="170">
        <f>$AA$22</f>
        <v>1.0109999999999999</v>
      </c>
      <c r="AB70" s="153">
        <f>PI()*EJ70*EJ70/4*EH70*(1-H70)*AA70*各项系数!$F$5*各项系数!$J$4*10^-7</f>
        <v>0.21280737466777744</v>
      </c>
      <c r="AC70" s="170">
        <f t="shared" si="327"/>
        <v>208.046961644752</v>
      </c>
      <c r="AD70" s="153">
        <f t="shared" si="5"/>
        <v>24.058128060751155</v>
      </c>
      <c r="AE70" s="153">
        <f>POWER(4*EU70/PI()/EG70/10^-7/EH70/(1-H70)/各项系数!$F$5/各项系数!$J$4,0.5)</f>
        <v>209.18809041233357</v>
      </c>
      <c r="AF70" s="16">
        <v>1</v>
      </c>
      <c r="AG70" s="16">
        <f>IF(EM70=0,0,PI()*ER70*ER70/4*EP70*(1-K70)*(1+AF70)*各项系数!$F$5*各项系数!$J$4*10^-7)</f>
        <v>0</v>
      </c>
      <c r="AH70" s="16">
        <f t="shared" si="328"/>
        <v>0</v>
      </c>
      <c r="AI70" s="69">
        <f t="shared" si="128"/>
        <v>0</v>
      </c>
      <c r="AJ70" s="69">
        <f>IF(OR(EP70="",EP70=0),0,POWER(4*EW70/PI()/EO70/10^-7/EP70/(1-K70)/各项系数!$F$5/各项系数!$J$4,0.5))</f>
        <v>0</v>
      </c>
      <c r="AK70" s="16" t="str">
        <f t="shared" si="8"/>
        <v>√</v>
      </c>
      <c r="AL70" s="16">
        <f t="shared" si="329"/>
        <v>60.737492085416072</v>
      </c>
      <c r="AM70" s="106">
        <f t="shared" si="330"/>
        <v>25</v>
      </c>
      <c r="AN70" s="107" t="s">
        <v>486</v>
      </c>
      <c r="AO70" s="146">
        <f>AP70+各项系数!$M$9*$NK70</f>
        <v>59.546560868054975</v>
      </c>
      <c r="AP70" s="146">
        <f>AQ70*(1+$BI70+(VLOOKUP($AM70,$A$12:$B$323,2,0))+各项系数!$J$6+各项系数!$M$5)*(1+$E$2)</f>
        <v>59.176113154718514</v>
      </c>
      <c r="AQ70" s="199">
        <f>AR70+各项系数!$L$9*$NK70</f>
        <v>60.383788933386242</v>
      </c>
      <c r="AR70" s="199">
        <f>AS70*(1+$BJ70+各项系数!$J$5+各项系数!$L$5)</f>
        <v>60.013341220049782</v>
      </c>
      <c r="AS70" s="199">
        <f t="shared" si="129"/>
        <v>58.836609039264488</v>
      </c>
      <c r="AT70" s="146">
        <f>AU70+各项系数!$M$9*$NM70</f>
        <v>60.74617832868001</v>
      </c>
      <c r="AU70" s="146">
        <f>AV70*(1+$BI70+(VLOOKUP($AM70,$A$12:$B$323,2,0))+各项系数!$J$6+各项系数!$M$5)*(1+$E$2)</f>
        <v>60.375730615343549</v>
      </c>
      <c r="AV70" s="199">
        <f>AW70+各项系数!$L$9*$NM70</f>
        <v>61.607888383003626</v>
      </c>
      <c r="AW70" s="199">
        <f>AX70*(1+$BJ70+各项系数!$J$5+各项系数!$L$5)</f>
        <v>61.237440669667166</v>
      </c>
      <c r="AX70" s="199">
        <f t="shared" si="130"/>
        <v>60.036706538889376</v>
      </c>
      <c r="AY70" s="146">
        <f>AZ70+各项系数!$M$9*$NS70</f>
        <v>61.434372010356832</v>
      </c>
      <c r="AZ70" s="146">
        <f>BA70*(1+$BI70+(VLOOKUP($AM70,$A$12:$B$214,2,0))+各项系数!$J$6+各项系数!$M$5)*(1+$E$2)</f>
        <v>61.055662219844756</v>
      </c>
      <c r="BA70" s="199">
        <f>BB70+各项系数!$L$9*$NS70</f>
        <v>62.301696142698731</v>
      </c>
      <c r="BB70" s="199">
        <f>BC70*(1+$BJ70+各项系数!$J$5+各项系数!$L$5)</f>
        <v>61.922986352186655</v>
      </c>
      <c r="BC70" s="199">
        <f t="shared" si="131"/>
        <v>60.708810149202598</v>
      </c>
      <c r="BD70" s="146">
        <f>BE70+各项系数!$M$9*$NS70</f>
        <v>62.64294342313638</v>
      </c>
      <c r="BE70" s="146">
        <f>BF70*(1+$BI70+(VLOOKUP($AM70,$A$12:$B$214,2,0))+各项系数!$J$6+各项系数!$M$5)*(1+$E$2)</f>
        <v>62.264233632624304</v>
      </c>
      <c r="BF70" s="199">
        <f>BG70+各项系数!$L$9*$NS70</f>
        <v>63.534932278188066</v>
      </c>
      <c r="BG70" s="199">
        <f>BH70*(1+$BJ70+各项系数!$J$5+各项系数!$L$5)</f>
        <v>63.15622248767599</v>
      </c>
      <c r="BH70" s="199">
        <f t="shared" si="132"/>
        <v>61.917865183996071</v>
      </c>
      <c r="BI70" s="214"/>
      <c r="BJ70" s="215"/>
      <c r="BK70" s="78" t="s">
        <v>514</v>
      </c>
      <c r="BL70" s="146">
        <f>BM70+各项系数!$M$9*$NM70</f>
        <v>60.302127101132072</v>
      </c>
      <c r="BM70" s="146">
        <f>BN70*(1+$CF70+(VLOOKUP($AM70,$A$12:$B$323,2,0))+各项系数!$J$6+各项系数!$M$5)*(1+$E$2)</f>
        <v>59.931679387795612</v>
      </c>
      <c r="BN70" s="199">
        <f>BO70+各项系数!$L$9*$NM70</f>
        <v>61.154774885505724</v>
      </c>
      <c r="BO70" s="199">
        <f>BP70*(1+$CG70+各项系数!$J$5+各项系数!$L$5)</f>
        <v>60.784327172169263</v>
      </c>
      <c r="BP70" s="199">
        <f t="shared" si="133"/>
        <v>59.013909875892487</v>
      </c>
      <c r="BQ70" s="146">
        <f>BR70+各项系数!$M$9*$NM70</f>
        <v>61.334538052761133</v>
      </c>
      <c r="BR70" s="146">
        <f>BS70*(1+$CF70+(VLOOKUP($AM70,$A$12:$B$323,2,0))+各项系数!$J$6+各项系数!$M$5)*(1+$E$2)</f>
        <v>60.964090339424672</v>
      </c>
      <c r="BS70" s="199">
        <f>BT70+各项系数!$L$9*$NM70</f>
        <v>62.208255448392521</v>
      </c>
      <c r="BT70" s="199">
        <f>BU70*(1+$CG70+各项系数!$J$5+各项系数!$L$5)</f>
        <v>61.83780773505606</v>
      </c>
      <c r="BU70" s="199">
        <f t="shared" si="134"/>
        <v>60.036706538889376</v>
      </c>
      <c r="BV70" s="146">
        <f>BW70+各项系数!$M$9*$NT70</f>
        <v>61.84658416896454</v>
      </c>
      <c r="BW70" s="146">
        <f>BX70*(1+$CF70+(VLOOKUP($AM70,$A$12:$B$214,2,0))+各项系数!$J$6+各项系数!$M$5)*(1+$E$2)</f>
        <v>61.467874378452464</v>
      </c>
      <c r="BX70" s="199">
        <f>BY70+各项系数!$L$9*$NT$12</f>
        <v>62.722320794339254</v>
      </c>
      <c r="BY70" s="199">
        <f>BZ70*(1+$CG70+各项系数!$J$5+各项系数!$L$5)</f>
        <v>62.714057391184284</v>
      </c>
      <c r="BZ70" s="199">
        <f t="shared" si="11"/>
        <v>60.887434360373092</v>
      </c>
      <c r="CA70" s="146">
        <f>CB70+各项系数!$M$9*$NT70</f>
        <v>62.886701042329584</v>
      </c>
      <c r="CB70" s="146">
        <f>CC70*(1+$CF70+(VLOOKUP($AM70,$A$12:$B$214,2,0))+各项系数!$J$6+各项系数!$M$5)*(1+$E$2)</f>
        <v>62.507991251817508</v>
      </c>
      <c r="CC70" s="199">
        <f>CD70+各项系数!$L$9*$NT$12</f>
        <v>63.783664542670927</v>
      </c>
      <c r="CD70" s="199">
        <f>CE70*(1+$CG70+各项系数!$J$5+各项系数!$L$5)</f>
        <v>63.775401139515957</v>
      </c>
      <c r="CE70" s="199">
        <f t="shared" si="135"/>
        <v>61.917865183996071</v>
      </c>
      <c r="CF70" s="214">
        <f t="shared" si="136"/>
        <v>0</v>
      </c>
      <c r="CG70" s="214">
        <f t="shared" si="12"/>
        <v>0.01</v>
      </c>
      <c r="CH70" s="106"/>
      <c r="CI70" s="146">
        <f>CJ70+各项系数!$M$9*$NO70</f>
        <v>61.615512342808195</v>
      </c>
      <c r="CJ70" s="146">
        <f>CK70*(1+$DC70+(VLOOKUP($AM70,$A$12:$B$323,2,0))+各项系数!$J$6+各项系数!$M$5)*(1+$E$2)+各项系数!$M$9*$NK70</f>
        <v>61.100194814609253</v>
      </c>
      <c r="CK70" s="199">
        <f>CL70+各项系数!$L$9*$NO70</f>
        <v>61.969129695176321</v>
      </c>
      <c r="CL70" s="199">
        <f>CM70*(1+$DD70+各项系数!$J$5+各项系数!$L$5)</f>
        <v>61.453812166977379</v>
      </c>
      <c r="CM70" s="199">
        <f t="shared" si="13"/>
        <v>60.24883545782096</v>
      </c>
      <c r="CN70" s="146">
        <f>CO70+各项系数!$M$9*$NO70</f>
        <v>62.689790221427025</v>
      </c>
      <c r="CO70" s="146">
        <f>CP70*(1+$DC70+(VLOOKUP($AM70,$A$12:$B$323,2,0))+各项系数!$J$6+各项系数!$M$5)*(1+$E$2)+各项系数!$M$9*$NK70</f>
        <v>62.174472693228083</v>
      </c>
      <c r="CP70" s="199">
        <f>CQ70+各项系数!$L$9*$NO70</f>
        <v>63.065331612134308</v>
      </c>
      <c r="CQ70" s="199">
        <f>CR70*(1+$DD70+各项系数!$J$5+各项系数!$L$5)</f>
        <v>62.550014083935366</v>
      </c>
      <c r="CR70" s="199">
        <f t="shared" si="14"/>
        <v>61.323543219544476</v>
      </c>
      <c r="CS70" s="146">
        <f>CT70+各项系数!$M$9*$NU70</f>
        <v>63.277014398787934</v>
      </c>
      <c r="CT70" s="146">
        <f t="shared" si="15"/>
        <v>62.752799513643382</v>
      </c>
      <c r="CU70" s="199">
        <f>CV70+各项系数!$L$9*$NU70</f>
        <v>64.033468891472836</v>
      </c>
      <c r="CV70" s="199">
        <f>CW70*(1+$DD70+各项系数!$J$5+各项系数!$L$5)</f>
        <v>63.509254006328291</v>
      </c>
      <c r="CW70" s="199">
        <f t="shared" si="16"/>
        <v>62.263974516008126</v>
      </c>
      <c r="CX70" s="146">
        <f>CY70+各项系数!$M$9*$NU70</f>
        <v>64.570424508231554</v>
      </c>
      <c r="CY70" s="146">
        <f t="shared" si="17"/>
        <v>64.046209623086995</v>
      </c>
      <c r="CZ70" s="199">
        <f>DA70+各项系数!$L$9*$NU70</f>
        <v>65.353275125598969</v>
      </c>
      <c r="DA70" s="199">
        <f>DB70*(1+$DD70+各项系数!$J$5+各项系数!$L$5)</f>
        <v>64.829060240454425</v>
      </c>
      <c r="DB70" s="199">
        <f t="shared" si="18"/>
        <v>63.557902196523948</v>
      </c>
      <c r="DC70" s="214">
        <f t="shared" si="137"/>
        <v>0</v>
      </c>
      <c r="DD70" s="214">
        <f t="shared" si="19"/>
        <v>0</v>
      </c>
      <c r="DE70" s="78" t="s">
        <v>498</v>
      </c>
      <c r="DF70" s="78" t="s">
        <v>513</v>
      </c>
      <c r="DG70" s="146">
        <f>DH70+各项系数!$M$9*$NQ70</f>
        <v>62.397575234930912</v>
      </c>
      <c r="DH70" s="146">
        <f>DI70*(1+$EA70+(VLOOKUP($AM70,$A$12:$B$323,2,0))+各项系数!$J$6+各项系数!$M$5)*(1+$E$2)+各项系数!$M$9*$NK70</f>
        <v>61.88225770673197</v>
      </c>
      <c r="DI70" s="199">
        <f>DJ70+各项系数!$L$9*$NQ70</f>
        <v>62.767153054485213</v>
      </c>
      <c r="DJ70" s="199">
        <f>DK70*(1+$EB70+各项系数!$J$5+各项系数!$L$5)</f>
        <v>62.251835526286271</v>
      </c>
      <c r="DK70" s="199">
        <f t="shared" si="20"/>
        <v>60.438675268239095</v>
      </c>
      <c r="DL70" s="146">
        <f>DM70+各项系数!$M$9*$NQ70</f>
        <v>63.502999795008343</v>
      </c>
      <c r="DM70" s="146">
        <f>DN70*(1+$EA70+(VLOOKUP($AM70,$A$12:$B$323,2,0))+各项系数!$J$6+各项系数!$M$5)*(1+$E$2)+各项系数!$M$9*$NK70</f>
        <v>62.987682266809401</v>
      </c>
      <c r="DN70" s="199">
        <f>DO70+各项系数!$L$9*$NQ70</f>
        <v>63.895137299462185</v>
      </c>
      <c r="DO70" s="199">
        <f>DP70*(1+$EB70+各项系数!$J$5+各项系数!$L$5)</f>
        <v>63.379819771263243</v>
      </c>
      <c r="DP70" s="199">
        <f t="shared" si="21"/>
        <v>61.533805603168197</v>
      </c>
      <c r="DQ70" s="146">
        <f>DR70+各项系数!$M$9*$NV70</f>
        <v>64.080161467944066</v>
      </c>
      <c r="DR70" s="146">
        <f t="shared" si="22"/>
        <v>63.555946582799514</v>
      </c>
      <c r="DS70" s="199">
        <f>DT70+各项系数!$L$9*$NV70</f>
        <v>64.853006717142364</v>
      </c>
      <c r="DT70" s="199">
        <f>DU70*(1+$EB70+各项系数!$J$5+各项系数!$L$5)</f>
        <v>64.328791831997819</v>
      </c>
      <c r="DU70" s="199">
        <f t="shared" si="23"/>
        <v>62.455137700968756</v>
      </c>
      <c r="DV70" s="146">
        <f>DW70+各项系数!$M$9*$NV70</f>
        <v>64.206668083614744</v>
      </c>
      <c r="DW70" s="146">
        <f t="shared" si="24"/>
        <v>63.682453198470199</v>
      </c>
      <c r="DX70" s="199">
        <f>DY70+各项系数!$L$9*$NV70</f>
        <v>64.982095100479796</v>
      </c>
      <c r="DY70" s="199">
        <f>DZ70*(1+$EB70+各项系数!$J$5+各项系数!$L$5)</f>
        <v>64.457880215335237</v>
      </c>
      <c r="DZ70" s="199">
        <f t="shared" si="25"/>
        <v>62.580466228480809</v>
      </c>
      <c r="EA70" s="214">
        <f t="shared" si="324"/>
        <v>0</v>
      </c>
      <c r="EB70" s="214">
        <f t="shared" si="27"/>
        <v>0.01</v>
      </c>
      <c r="EC70" s="235">
        <f t="shared" si="138"/>
        <v>4</v>
      </c>
      <c r="ED70" s="237" t="str">
        <f t="shared" si="331"/>
        <v>4*25</v>
      </c>
      <c r="EE70" s="78">
        <f t="shared" si="239"/>
        <v>25</v>
      </c>
      <c r="EF70" s="78" t="str">
        <f>LOOKUP(EH70,{1,7,10,14,19,24,30,37,48,61},{1,"1+6","2+8","4+10","1+6+12","2+8+14","4+10+16","1+6+12+18","3+9+15+21","1+6+12+18+24"})</f>
        <v>1+6</v>
      </c>
      <c r="EG70" s="106">
        <f t="shared" si="29"/>
        <v>4</v>
      </c>
      <c r="EH70" s="199">
        <f>VLOOKUP(EE70,各项系数!$B$87:$C$124,2,0)</f>
        <v>7</v>
      </c>
      <c r="EI70" s="106">
        <f>IF(EH70=0,0,VLOOKUP(EH70,各项系数!$D$142:$E$195,2,0))*1</f>
        <v>3</v>
      </c>
      <c r="EJ70" s="240">
        <f t="shared" si="141"/>
        <v>208.046961644752</v>
      </c>
      <c r="EK70" s="78">
        <f t="shared" si="332"/>
        <v>0</v>
      </c>
      <c r="EL70" s="78">
        <f t="shared" si="31"/>
        <v>0</v>
      </c>
      <c r="EM70" s="78">
        <f t="shared" si="333"/>
        <v>0</v>
      </c>
      <c r="EN70" s="78">
        <f>IF(EP70=0,0,LOOKUP(EP70,{1,7,10,14,19,24,30,37,48,61},{1,"1+6","2+8","4+10","1+6+12","2+8+14","4+10+16","1+6+12+18","3+9+15+21","1+6+12+18+24"}))</f>
        <v>0</v>
      </c>
      <c r="EO70" s="78">
        <f t="shared" si="334"/>
        <v>0</v>
      </c>
      <c r="EP70" s="78">
        <f>IF(EM70=0,0,IF(EM70&lt;10,1,IF(AND(EM70&gt;=10,EM70&lt;=35),7,LOOKUP(EM70,{50,70,95,120,150,185,240,300},{10,14,19,24,30,37,48,61})*1)))</f>
        <v>0</v>
      </c>
      <c r="EQ70" s="78">
        <f>IF(EP70=0,0,VLOOKUP(EP70,各项系数!$D$142:$E$195,2,0))*1</f>
        <v>0</v>
      </c>
      <c r="ER70" s="78">
        <f t="shared" si="335"/>
        <v>0</v>
      </c>
      <c r="ES70" s="237">
        <f t="shared" si="336"/>
        <v>4</v>
      </c>
      <c r="ET70" s="78">
        <f>VLOOKUP(ES70,各项系数!$D$142:$E$195,2,0)*1</f>
        <v>2.42</v>
      </c>
      <c r="EU70" s="243">
        <f>((各项系数!$F$76/4*$EJ70^2*$EG70*$EH70*1*10^-7)*(1-$H70)*AA70)*(VLOOKUP($EY$9,各项系数!$D$4:$F$143,3,0))*各项系数!$J$4</f>
        <v>0.85122949867110975</v>
      </c>
      <c r="EV70" s="244">
        <f>EU70*(VLOOKUP($EY$9,各项系数!$D$4:$F$143,2,0))</f>
        <v>55.755532162957692</v>
      </c>
      <c r="EW70" s="252">
        <f>(IF($EO70=0,0,(各项系数!$F$76/4*$ER70^2*$EO70*$EP70*1*10^-7))*(1-$K70)*$AF70)*(VLOOKUP($EY$9,各项系数!$D$4:$F$143,3,0))*各项系数!$J$4</f>
        <v>0</v>
      </c>
      <c r="EX70" s="253">
        <f>EW70*(VLOOKUP($EY$9,各项系数!$D$4:$F$143,2,0))</f>
        <v>0</v>
      </c>
      <c r="EY70" s="189">
        <f>((各项系数!$F$76/4*$EJ70^2*$EG70*$EH70*1*10^-7)*(1-$H70)*AA70+IF($EO70=0,0,(各项系数!$F$76/4*$ER70^2*$EO70*$EP70*1*10^-7))*(1-$K70)*$AF70)*(VLOOKUP($EY$9,各项系数!$D$4:$F$143,3,0))*各项系数!$J$4</f>
        <v>0.85122949867110975</v>
      </c>
      <c r="EZ70" s="106">
        <v>1</v>
      </c>
      <c r="FA70" s="78">
        <f t="shared" si="268"/>
        <v>0.85122949867110975</v>
      </c>
      <c r="FB70" s="246">
        <f>FA70*(VLOOKUP($EY$9,各项系数!$D$4:$F$143,2,0))</f>
        <v>55.755532162957692</v>
      </c>
      <c r="FC70" s="257"/>
      <c r="FD70" s="237">
        <f>各项系数!$F$76/4*($MN70^2-MK70^2)*10^-2*(VLOOKUP(L70,各项系数!$D$1:$F$143,3,0))*10^-3*10^2*$EG70*各项系数!$J$4</f>
        <v>8.8399953666299005E-2</v>
      </c>
      <c r="FE70" s="264">
        <f>FD70*VLOOKUP(L70,各项系数!$D$1:$F$143,2,0)</f>
        <v>0.90167952739624979</v>
      </c>
      <c r="FF70" s="106">
        <f>各项系数!$F$76/4*($MO70^2-ML70^2)*10^-2*(VLOOKUP(L70,各项系数!$D$1:$F$143,3,0))*10^-3*10^2*$EO70*各项系数!$J$4</f>
        <v>0</v>
      </c>
      <c r="FG70" s="264">
        <f>FF70*VLOOKUP(L70,各项系数!$D$1:$F$143,2,0)</f>
        <v>0</v>
      </c>
      <c r="FH70" s="237">
        <f t="shared" si="142"/>
        <v>8.8399953666299005E-2</v>
      </c>
      <c r="FI70" s="106">
        <v>1</v>
      </c>
      <c r="FJ70" s="78">
        <f t="shared" si="269"/>
        <v>8.8399953666299005E-2</v>
      </c>
      <c r="FK70" s="264">
        <f>FJ70*VLOOKUP(L70,各项系数!$D$1:$F$143,2,0)</f>
        <v>0.90167952739624979</v>
      </c>
      <c r="FL70" s="237"/>
      <c r="FM70" s="106"/>
      <c r="FN70" s="78"/>
      <c r="FO70" s="264"/>
      <c r="FP70" s="289">
        <f t="shared" si="270"/>
        <v>8.8399953666299005E-2</v>
      </c>
      <c r="FQ70" s="289">
        <f t="shared" si="271"/>
        <v>0.90167952739624979</v>
      </c>
      <c r="FR70" s="283">
        <f>各项系数!$F$76/4*($MQ70^2-$MN70^2*$EG70-$MO70^2*$EO70)*10^-2</f>
        <v>0.9428133624210383</v>
      </c>
      <c r="FS70" s="284">
        <f t="shared" si="143"/>
        <v>1</v>
      </c>
      <c r="FT70" s="285">
        <f t="shared" si="40"/>
        <v>0.9428133624210383</v>
      </c>
      <c r="FU70" s="309">
        <f>$FT70*(VLOOKUP($FT$9,各项系数!$D$1:$F$143,3,0))*10^-3*10^2*各项系数!$J$55</f>
        <v>0.11257191547307198</v>
      </c>
      <c r="FV70" s="310">
        <v>1</v>
      </c>
      <c r="FW70" s="311">
        <f t="shared" si="272"/>
        <v>0.11257191547307198</v>
      </c>
      <c r="FX70" s="290">
        <f>FW70*(VLOOKUP($FT$9,各项系数!$D$1:$F$143,2,0))</f>
        <v>0.33771574641921592</v>
      </c>
      <c r="FY70" s="309">
        <f>IF($BK70&lt;&gt;$FY$9,0,各项系数!$F$76/4*($MS70^2-$MQ70^2)*10^-2*(VLOOKUP($FY$9,各项系数!$D$1:$F$143,3,0))*10^-3*10^2)*各项系数!$J$4</f>
        <v>0</v>
      </c>
      <c r="FZ70" s="310">
        <v>1</v>
      </c>
      <c r="GA70" s="311">
        <f t="shared" si="273"/>
        <v>0</v>
      </c>
      <c r="GB70" s="290">
        <f>GA70*(VLOOKUP($FY$9,各项系数!$D$1:$F$143,2,0))</f>
        <v>0</v>
      </c>
      <c r="GC70" s="309">
        <f>IF($BK70&lt;&gt;$GC$9,0,各项系数!$F$76/4*($MS70^2-$MQ70^2)*10^-2*(VLOOKUP($GC$9,各项系数!$D$1:$F$143,3,0))*10^-3*10^2)*各项系数!$J$4</f>
        <v>5.3235066830513624E-3</v>
      </c>
      <c r="GD70" s="310">
        <v>1</v>
      </c>
      <c r="GE70" s="311">
        <f t="shared" si="274"/>
        <v>5.3235066830513624E-3</v>
      </c>
      <c r="GF70" s="290">
        <f>GE70*(VLOOKUP($GC$9,各项系数!$D$1:$F$143,2,0))</f>
        <v>6.8673236211362579E-2</v>
      </c>
      <c r="GG70" s="309">
        <f>IF($BK70&lt;&gt;$GG$9,0,各项系数!$F$76/4*($MS70^2-$MQ70^2)*10^-2*(VLOOKUP($GG$9,各项系数!$D$1:$F$143,3,0))*10^-3*10^2)*各项系数!$J$4</f>
        <v>0</v>
      </c>
      <c r="GH70" s="310">
        <v>1</v>
      </c>
      <c r="GI70" s="311">
        <f t="shared" si="275"/>
        <v>0</v>
      </c>
      <c r="GJ70" s="290">
        <f>GI70*(VLOOKUP($GG$9,各项系数!$D$1:$F$143,2,0))</f>
        <v>0</v>
      </c>
      <c r="GK70" s="309">
        <f>IF($BK70&lt;&gt;$GK$9,0,各项系数!$F$76/4*($MS70^2-$MQ70^2)*10^-2*(VLOOKUP($GK$9,各项系数!$D$1:$F$143,3,0))*10^-3*10^2)*各项系数!$J$4</f>
        <v>0</v>
      </c>
      <c r="GL70" s="310">
        <v>1</v>
      </c>
      <c r="GM70" s="311">
        <f t="shared" si="276"/>
        <v>0</v>
      </c>
      <c r="GN70" s="290">
        <f>GM70*(VLOOKUP($GK$9,各项系数!$D$1:$F$143,2,0))</f>
        <v>0</v>
      </c>
      <c r="GO70" s="311">
        <f t="shared" si="277"/>
        <v>5.3235066830513624E-3</v>
      </c>
      <c r="GP70" s="311">
        <f t="shared" si="278"/>
        <v>6.8673236211362579E-2</v>
      </c>
      <c r="GQ70" s="317">
        <f>各项系数!$F$76/4*($MU70^2-$MS70^2)*10^-2*(VLOOKUP($S70,各项系数!$D$1:$F$143,3,0))*10^-3*10^2*各项系数!$J$4</f>
        <v>0.14619871273064688</v>
      </c>
      <c r="GR70" s="310">
        <v>1</v>
      </c>
      <c r="GS70" s="311">
        <f t="shared" si="279"/>
        <v>0.14619871273064688</v>
      </c>
      <c r="GT70" s="311">
        <f t="shared" si="200"/>
        <v>0</v>
      </c>
      <c r="GU70" s="311">
        <f>ROUND($GS70*(VLOOKUP($S70,各项系数!$D$1:$F$143,2,0))+$E$3*GS70,GT70)</f>
        <v>1</v>
      </c>
      <c r="GV70" s="315">
        <f>各项系数!$F$76/4*($MT70^2-$MS70^2)*10^-2*(VLOOKUP($GV$9,各项系数!$D$1:$F$143,3,0))*10^-3*10^2*各项系数!$J$4*PI()/4*R70</f>
        <v>2.7540257252046858E-2</v>
      </c>
      <c r="GW70" s="310">
        <v>1</v>
      </c>
      <c r="GX70" s="311">
        <f t="shared" si="280"/>
        <v>2.7540257252046858E-2</v>
      </c>
      <c r="GY70" s="311">
        <f>$GX70*(VLOOKUP($GV$9,各项系数!$D$1:$F$143,2,0))</f>
        <v>1.8589673645131628</v>
      </c>
      <c r="GZ70" s="317">
        <f>各项系数!$F$76/4*($MV70^2-$MS70^2)*10^-2*(VLOOKUP($GZ$9,各项系数!$D$1:$F$143,3,0))*10^-3*10^2*各项系数!$J$4</f>
        <v>0.17488858034734467</v>
      </c>
      <c r="HA70" s="310">
        <v>1</v>
      </c>
      <c r="HB70" s="311">
        <f t="shared" si="144"/>
        <v>0.17488858034734467</v>
      </c>
      <c r="HC70" s="311">
        <f>HB70*(VLOOKUP($GZ$9,各项系数!$D$1:$F$143,2,0))</f>
        <v>2.9731058659048593</v>
      </c>
      <c r="HD70" s="317">
        <f>各项系数!$F$76/4*($MW70^2-$MT70^2)*10^-2*(VLOOKUP($HD$9,各项系数!$D$1:$F$143,3,0))*10^-3*10^2*各项系数!$J$4</f>
        <v>0.17619394979402317</v>
      </c>
      <c r="HE70" s="310">
        <v>1</v>
      </c>
      <c r="HF70" s="311">
        <f t="shared" si="145"/>
        <v>0.17619394979402317</v>
      </c>
      <c r="HG70" s="311">
        <f>HF70*(VLOOKUP($HD$9,各项系数!$D$1:$F$143,2,0))</f>
        <v>2.9952971464983937</v>
      </c>
      <c r="HH70" s="317">
        <f>各项系数!$F$76/4*($MV70^2-$MS70^2)*10^-2*(VLOOKUP($HH$9,各项系数!$D$1:$F$143,3,0))*10^-3*10^2*各项系数!$J$4</f>
        <v>0.17488858034734467</v>
      </c>
      <c r="HI70" s="311">
        <v>1</v>
      </c>
      <c r="HJ70" s="311">
        <f t="shared" si="146"/>
        <v>0.17488858034734467</v>
      </c>
      <c r="HK70" s="311">
        <f>HJ70*(VLOOKUP($HH$9,各项系数!$D$1:$F$143,2,0))</f>
        <v>2.9731058659048593</v>
      </c>
      <c r="HL70" s="317">
        <f>各项系数!$F$76/4*($MW70^2-$MT70^2)*10^-2*(VLOOKUP($HL$9,各项系数!$D$1:$F$143,3,0))*10^-3*10^2*各项系数!$J$4</f>
        <v>0.17619394979402317</v>
      </c>
      <c r="HM70" s="311">
        <v>1</v>
      </c>
      <c r="HN70" s="311">
        <f t="shared" si="147"/>
        <v>0.17619394979402317</v>
      </c>
      <c r="HO70" s="311">
        <f>HN70*(VLOOKUP($HL$9,各项系数!$D$1:$F$143,2,0))</f>
        <v>2.9952971464983937</v>
      </c>
      <c r="HP70" s="317">
        <f>各项系数!$F$76/4*($MV70^2-$MS70^2)*10^-2*(VLOOKUP(AN70,各项系数!$D$1:$F$143,3,0))*10^-3*10^2*各项系数!$J$4</f>
        <v>0.17730083662799773</v>
      </c>
      <c r="HQ70" s="310">
        <v>1</v>
      </c>
      <c r="HR70" s="311">
        <f t="shared" si="281"/>
        <v>0.17730083662799773</v>
      </c>
      <c r="HS70" s="311">
        <f>HR70*(VLOOKUP(AN70,各项系数!$D$1:$F$143,2,0))</f>
        <v>1.7730083662799774</v>
      </c>
      <c r="HT70" s="317">
        <f>各项系数!$F$76/4*($MW70^2-$MT70^2)*10^-2*(VLOOKUP(AN70,各项系数!$D$1:$F$143,3,0))*10^-3*10^2*各项系数!$J$4</f>
        <v>0.17862421117049243</v>
      </c>
      <c r="HU70" s="310">
        <v>1</v>
      </c>
      <c r="HV70" s="311">
        <f t="shared" si="282"/>
        <v>0.17862421117049243</v>
      </c>
      <c r="HW70" s="311">
        <f>HV70*(VLOOKUP(AN70,各项系数!$D$1:$F$143,2,0))</f>
        <v>1.7862421117049243</v>
      </c>
      <c r="HX70" s="317">
        <f>各项系数!$F$76/4*($MV70^2-$MS70^2)*10^-2*(VLOOKUP($HX$9,各项系数!$D$1:$F$143,3,0))*10^-3*10^2*各项系数!$J$4</f>
        <v>0.17730083662799773</v>
      </c>
      <c r="HY70" s="311">
        <v>1</v>
      </c>
      <c r="HZ70" s="311">
        <f t="shared" si="283"/>
        <v>0.17730083662799773</v>
      </c>
      <c r="IA70" s="311">
        <f>HZ70*(VLOOKUP($HX$9,各项系数!$D$1:$F$143,2,0))</f>
        <v>1.9503092029079749</v>
      </c>
      <c r="IB70" s="317">
        <f>各项系数!$F$76/4*($MW70^2-$MT70^2)*10^-2*(VLOOKUP($IB$9,各项系数!$D$1:$F$143,3,0))*10^-3*10^2*各项系数!$J$4</f>
        <v>0.17862421117049243</v>
      </c>
      <c r="IC70" s="311">
        <v>1</v>
      </c>
      <c r="ID70" s="311">
        <f t="shared" si="284"/>
        <v>0.17862421117049243</v>
      </c>
      <c r="IE70" s="311">
        <f>ID70*(VLOOKUP($IB$9,各项系数!$D$1:$F$143,2,0))</f>
        <v>1.9648663228754168</v>
      </c>
      <c r="IF70" s="309"/>
      <c r="IG70" s="317">
        <f t="shared" si="148"/>
        <v>3.6805841655497357E-2</v>
      </c>
      <c r="IH70" s="310">
        <v>1</v>
      </c>
      <c r="II70" s="311">
        <f t="shared" si="285"/>
        <v>3.6805841655497357E-2</v>
      </c>
      <c r="IJ70" s="311">
        <f>II70*(VLOOKUP($IG$8,各项系数!$D$1:$F$143,2,0))</f>
        <v>0.92014604138743394</v>
      </c>
      <c r="IK70" s="317">
        <f>(各项系数!$F$76/4*($MX70^2-$MK70^2)*$EG70)*10^-2*(VLOOKUP($IG$8,各项系数!$D$1:$F$143,3,0))*10^-3*10^2*各项系数!$J$4</f>
        <v>3.6805841655497357E-2</v>
      </c>
      <c r="IL70" s="310">
        <f>IK70*(VLOOKUP($IG$8,各项系数!$D$1:$F$143,2,0))</f>
        <v>0.92014604138743394</v>
      </c>
      <c r="IM70" s="311">
        <f>(各项系数!$F$76/4*(($MM70+3*$X70)^2-MM70^2)*$EO70)*10^-2*(VLOOKUP($IG$8,各项系数!$D$1:$F$143,3,0))*10^-3*10^2*各项系数!$J$4</f>
        <v>0</v>
      </c>
      <c r="IN70" s="310">
        <f>IM70*(VLOOKUP($IG$8,各项系数!$D$1:$F$143,2,0))</f>
        <v>0</v>
      </c>
      <c r="IO70" s="317">
        <f>各项系数!$F$76/4*($MZ70^2-$MX70^2)*10^-2*(VLOOKUP(L70,各项系数!$D$1:$F$143,3,0))*10^-3*10^2*$ES70*各项系数!$J$4</f>
        <v>9.5827055690503746E-2</v>
      </c>
      <c r="IP70" s="310">
        <v>1</v>
      </c>
      <c r="IQ70" s="311">
        <f t="shared" si="286"/>
        <v>9.5827055690503746E-2</v>
      </c>
      <c r="IR70" s="290">
        <f>IQ70*(VLOOKUP(L70,各项系数!$D$1:$F$143,2,0))</f>
        <v>0.97743596804313815</v>
      </c>
      <c r="IS70" s="317">
        <f>IF($L70&lt;&gt;$IS$9,0,各项系数!$F$76/4*($MZ70^2-$MX70^2)*10^-2*各项系数!$F$12*10^-3*10^2)*$ES70*各项系数!$J$4</f>
        <v>0</v>
      </c>
      <c r="IT70" s="310">
        <v>1</v>
      </c>
      <c r="IU70" s="311">
        <f t="shared" si="287"/>
        <v>0</v>
      </c>
      <c r="IV70" s="290">
        <f>IU70*各项系数!$E$12</f>
        <v>0</v>
      </c>
      <c r="IW70" s="309">
        <f t="shared" si="288"/>
        <v>9.5827055690503746E-2</v>
      </c>
      <c r="IX70" s="309">
        <f t="shared" si="289"/>
        <v>0.97743596804313815</v>
      </c>
      <c r="IY70" s="339">
        <f>各项系数!$F$76/4*($NB70^2-$MZ70^2*$EG70-$NA70^2*$EO70)*10^-2</f>
        <v>1.0887559681357011</v>
      </c>
      <c r="IZ70" s="284">
        <f t="shared" si="231"/>
        <v>1</v>
      </c>
      <c r="JA70" s="285">
        <f t="shared" si="64"/>
        <v>1.0887559681357011</v>
      </c>
      <c r="JB70" s="289">
        <f>IF($DE70&lt;&gt;$JB$9,0,$JA70*各项系数!$F$32*10^-3*10^2)*各项系数!$J$4</f>
        <v>0</v>
      </c>
      <c r="JC70" s="106">
        <v>1</v>
      </c>
      <c r="JD70" s="78">
        <f t="shared" si="290"/>
        <v>0</v>
      </c>
      <c r="JE70" s="264">
        <f>JD70*各项系数!$E$32</f>
        <v>0</v>
      </c>
      <c r="JF70" s="282">
        <f>IF($DE70&lt;&gt;$JF$9,0,$JA70*VLOOKUP($JF$9,各项系数!$D$4:$F$540,2,0)*10^-3*10^2)*各项系数!$J$4</f>
        <v>0.54165609414751137</v>
      </c>
      <c r="JG70" s="102">
        <v>1</v>
      </c>
      <c r="JH70" s="189">
        <f t="shared" si="66"/>
        <v>0.54165609414751137</v>
      </c>
      <c r="JI70" s="262">
        <f>JH70*VLOOKUP($JF$9,各项系数!$D$4:$F$540,3,0)</f>
        <v>0.64998731297701362</v>
      </c>
      <c r="JJ70" s="289">
        <f t="shared" si="291"/>
        <v>0.54165609414751137</v>
      </c>
      <c r="JK70" s="78">
        <f t="shared" si="292"/>
        <v>0.64998731297701362</v>
      </c>
      <c r="JL70" s="289">
        <f>IF($DF70&lt;&gt;$JL$9,0,各项系数!$F$76/4*($NE70^2-$NC70^2)*10^-2*各项系数!$F$39*10^-3*10^2)*各项系数!$J$4</f>
        <v>2.3667934137169729E-3</v>
      </c>
      <c r="JM70" s="106">
        <v>1</v>
      </c>
      <c r="JN70" s="78">
        <f t="shared" si="293"/>
        <v>2.3667934137169729E-3</v>
      </c>
      <c r="JO70" s="264">
        <f>JN70*各项系数!$E$39</f>
        <v>4.7335868274339457E-2</v>
      </c>
      <c r="JP70" s="289">
        <f>IF($DF70&lt;&gt;$JP$9,0,各项系数!$F$76/4*($NE70^2-$NC70^2)*10^-2*各项系数!$F$36*10^-3*10^2)*各项系数!$J$4</f>
        <v>0</v>
      </c>
      <c r="JQ70" s="106">
        <v>1</v>
      </c>
      <c r="JR70" s="78">
        <f t="shared" si="294"/>
        <v>0</v>
      </c>
      <c r="JS70" s="264">
        <f>JR70*各项系数!$E$36</f>
        <v>0</v>
      </c>
      <c r="JT70" s="289">
        <f>IF($DF70&lt;&gt;$JT$9,0,各项系数!$F$76/4*($NE70^2-$NC70^2)*10^-2*各项系数!$F$40*10^-3*10^2)*各项系数!$J$4</f>
        <v>0</v>
      </c>
      <c r="JU70" s="106">
        <v>1</v>
      </c>
      <c r="JV70" s="78">
        <f t="shared" si="295"/>
        <v>0</v>
      </c>
      <c r="JW70" s="264">
        <f>JV70*各项系数!$E$40</f>
        <v>0</v>
      </c>
      <c r="JX70" s="289">
        <f>IF($DF70&lt;&gt;$JX$9,0,各项系数!$F$76/4*($NE70^2-$NC70^2)*10^-2*各项系数!$F$38*10^-3*10^2)*各项系数!$J$4</f>
        <v>0</v>
      </c>
      <c r="JY70" s="106">
        <v>1</v>
      </c>
      <c r="JZ70" s="78">
        <f t="shared" si="296"/>
        <v>0</v>
      </c>
      <c r="KA70" s="264">
        <f>JZ70*各项系数!$E$38</f>
        <v>0</v>
      </c>
      <c r="KB70" s="289">
        <f>IF($DF70&lt;&gt;$KB$9,0,各项系数!$F$76/4*($NE70^2-$NC70^2)*10^-2*各项系数!$F$41*10^-3*10^2)*各项系数!$J$4</f>
        <v>0</v>
      </c>
      <c r="KC70" s="106">
        <v>1</v>
      </c>
      <c r="KD70" s="78">
        <f t="shared" si="297"/>
        <v>0</v>
      </c>
      <c r="KE70" s="264">
        <f>KD70*各项系数!$E$41</f>
        <v>0</v>
      </c>
      <c r="KF70" s="78">
        <f t="shared" si="298"/>
        <v>2.3667934137169729E-3</v>
      </c>
      <c r="KG70" s="78">
        <f t="shared" si="299"/>
        <v>4.7335868274339457E-2</v>
      </c>
      <c r="KH70" s="237">
        <f>各项系数!$F$76/4*($NG70^2-$NE70^2)*10^-2*各项系数!$F$44*10^-3*10^2*各项系数!$J$4*0.75*$U70</f>
        <v>0.23597405124543819</v>
      </c>
      <c r="KI70" s="106">
        <v>1</v>
      </c>
      <c r="KJ70" s="78">
        <f t="shared" si="300"/>
        <v>0.23597405124543819</v>
      </c>
      <c r="KK70" s="78">
        <f>ROUND(KJ70*各项系数!$E$43,GT70)</f>
        <v>1</v>
      </c>
      <c r="KL70" s="235">
        <f>各项系数!$F$76/4*($NF70^2-$NE70^2)*10^-2*各项系数!$F$46*10^-3*10^2*各项系数!$J$4*PI()/4*R70</f>
        <v>2.9657856485366198E-2</v>
      </c>
      <c r="KM70" s="106">
        <v>1</v>
      </c>
      <c r="KN70" s="78">
        <f t="shared" si="301"/>
        <v>2.9657856485366198E-2</v>
      </c>
      <c r="KO70" s="78">
        <f>KN70*各项系数!$E$46</f>
        <v>2.0019053127622186</v>
      </c>
      <c r="KP70" s="237">
        <f>各项系数!$F$76/4*($NH70^2-$NE70^2)*10^-2*(VLOOKUP($KP$9,各项系数!$D$1:$F$143,3,0))*10^-3*10^2*各项系数!$J$4</f>
        <v>0.18725695585462257</v>
      </c>
      <c r="KQ70" s="106">
        <v>1</v>
      </c>
      <c r="KR70" s="78">
        <f t="shared" si="150"/>
        <v>0.18725695585462257</v>
      </c>
      <c r="KS70" s="78">
        <f>KR70*(VLOOKUP($KP$9,各项系数!$D$1:$F$143,2,0))</f>
        <v>3.1833682495285838</v>
      </c>
      <c r="KT70" s="237">
        <f>各项系数!$F$76/4*($NI70^2-$NF70^2)*10^-2*(VLOOKUP($KT$9,各项系数!$D$1:$F$143,3,0))*10^-3*10^2*各项系数!$J$4</f>
        <v>0.18856232530130093</v>
      </c>
      <c r="KU70" s="106">
        <v>1</v>
      </c>
      <c r="KV70" s="78">
        <f t="shared" si="151"/>
        <v>0.18856232530130093</v>
      </c>
      <c r="KW70" s="78">
        <f>KV70*(VLOOKUP($KT$9,各项系数!$D$1:$F$143,2,0))</f>
        <v>3.205559530122116</v>
      </c>
      <c r="KX70" s="78">
        <f>各项系数!$F$76/4*($NH70^2-$NE70^2)*10^-2*(VLOOKUP($KX$9,各项系数!$D$1:$F$143,3,0))*10^-3*10^2*各项系数!$J$4</f>
        <v>0.18725695585462257</v>
      </c>
      <c r="KY70" s="355">
        <v>1</v>
      </c>
      <c r="KZ70" s="78">
        <f t="shared" si="152"/>
        <v>0.18725695585462257</v>
      </c>
      <c r="LA70" s="78">
        <f>KZ70*(VLOOKUP($KX$9,各项系数!$D$1:$F$143,2,0))</f>
        <v>3.1833682495285838</v>
      </c>
      <c r="LB70" s="78">
        <f>各项系数!$F$76/4*($NI70^2-$NF70^2)*10^-2*(VLOOKUP($LB$9,各项系数!$D$1:$F$143,3,0))*10^-3*10^2*各项系数!$J$4</f>
        <v>0.18856232530130093</v>
      </c>
      <c r="LC70" s="355">
        <v>1</v>
      </c>
      <c r="LD70" s="78">
        <f t="shared" si="153"/>
        <v>0.18856232530130093</v>
      </c>
      <c r="LE70" s="78">
        <f>LD70*(VLOOKUP($LB$9,各项系数!$D$1:$F$143,2,0))</f>
        <v>3.205559530122116</v>
      </c>
      <c r="LF70" s="237">
        <f>各项系数!$F$76/4*($NH70^2-$NE70^2)*10^-2*(VLOOKUP(AN70,各项系数!$D$1:$F$143,3,0))*10^-3*10^2*各项系数!$J$4</f>
        <v>0.18983981041813461</v>
      </c>
      <c r="LG70" s="106">
        <v>1</v>
      </c>
      <c r="LH70" s="78">
        <f t="shared" si="302"/>
        <v>0.18983981041813461</v>
      </c>
      <c r="LI70" s="78">
        <f>LH70*(VLOOKUP(AN70,各项系数!$D$1:$F$143,2,0))</f>
        <v>1.898398104181346</v>
      </c>
      <c r="LJ70" s="237">
        <f>各项系数!$F$76/4*($NI70^2-$NF70^2)*10^-2*(VLOOKUP(AN70,各项系数!$D$1:$F$143,3,0))*10^-3*10^2*各项系数!$J$4</f>
        <v>0.19116318496062923</v>
      </c>
      <c r="LK70" s="106">
        <v>1</v>
      </c>
      <c r="LL70" s="78">
        <f t="shared" si="303"/>
        <v>0.19116318496062923</v>
      </c>
      <c r="LM70" s="78">
        <f>LL70*(VLOOKUP(AN70,各项系数!$D$1:$F$143,2,0))</f>
        <v>1.9116318496062923</v>
      </c>
      <c r="LN70" s="78">
        <f>各项系数!$F$76/4*($NH70^2-$NE70^2)*10^-2*(VLOOKUP($LN$9,各项系数!$D$1:$F$143,3,0))*10^-3*10^2*各项系数!$J$4</f>
        <v>0.18983981041813461</v>
      </c>
      <c r="LO70" s="355">
        <v>1</v>
      </c>
      <c r="LP70" s="78">
        <f t="shared" si="304"/>
        <v>0.18983981041813461</v>
      </c>
      <c r="LQ70" s="78">
        <f>LP70*(VLOOKUP($LN$9,各项系数!$D$1:$F$143,2,0))</f>
        <v>2.0882379145994805</v>
      </c>
      <c r="LR70" s="78">
        <f>各项系数!$F$76/4*($NI70^2-$NF70^2)*10^-2*(VLOOKUP($LR$9,各项系数!$D$1:$F$143,3,0))*10^-3*10^2*各项系数!$J$4</f>
        <v>0.19116318496062923</v>
      </c>
      <c r="LS70" s="355">
        <v>1</v>
      </c>
      <c r="LT70" s="78">
        <f t="shared" si="305"/>
        <v>0.19116318496062923</v>
      </c>
      <c r="LU70" s="78">
        <f>LT70*(VLOOKUP($LR$9,各项系数!$D$1:$F$143,2,0))</f>
        <v>2.1027950345669213</v>
      </c>
      <c r="LV70" s="367">
        <f t="shared" si="154"/>
        <v>122.38132163</v>
      </c>
      <c r="LW70" s="367">
        <f t="shared" si="155"/>
        <v>95.185472379999993</v>
      </c>
      <c r="LX70" s="367">
        <f t="shared" si="156"/>
        <v>11.008810449749447</v>
      </c>
      <c r="LY70" s="367">
        <f t="shared" si="157"/>
        <v>27.195849250000009</v>
      </c>
      <c r="LZ70" s="374">
        <f t="shared" si="86"/>
        <v>1</v>
      </c>
      <c r="MA70" s="375">
        <f t="shared" si="87"/>
        <v>122.38132163</v>
      </c>
      <c r="MB70" s="367">
        <f t="shared" si="158"/>
        <v>6.2414088599999999</v>
      </c>
      <c r="MC70" s="367">
        <f t="shared" si="159"/>
        <v>0</v>
      </c>
      <c r="MD70" s="367">
        <f t="shared" si="160"/>
        <v>0</v>
      </c>
      <c r="ME70" s="367">
        <f t="shared" si="161"/>
        <v>0</v>
      </c>
      <c r="MF70" s="367">
        <f t="shared" si="162"/>
        <v>0</v>
      </c>
      <c r="MG70" s="379">
        <f t="shared" si="163"/>
        <v>1</v>
      </c>
      <c r="MH70" s="375">
        <f t="shared" si="88"/>
        <v>0</v>
      </c>
      <c r="MI70" s="367">
        <f t="shared" si="164"/>
        <v>0</v>
      </c>
      <c r="MJ70" s="78">
        <f t="shared" si="89"/>
        <v>6.2414088599999999</v>
      </c>
      <c r="MK70" s="78">
        <f t="shared" si="165"/>
        <v>6.2414088599999999</v>
      </c>
      <c r="ML70" s="78">
        <f t="shared" si="306"/>
        <v>0</v>
      </c>
      <c r="MM70" s="78">
        <f t="shared" si="91"/>
        <v>0</v>
      </c>
      <c r="MN70" s="78">
        <f t="shared" si="92"/>
        <v>8.0414088600000007</v>
      </c>
      <c r="MO70" s="189">
        <f t="shared" si="166"/>
        <v>0</v>
      </c>
      <c r="MP70" s="78">
        <f t="shared" si="167"/>
        <v>19.46020944</v>
      </c>
      <c r="MQ70" s="78">
        <f t="shared" si="307"/>
        <v>19.46020944</v>
      </c>
      <c r="MR70" s="246">
        <f t="shared" si="168"/>
        <v>19.46020944</v>
      </c>
      <c r="MS70" s="380">
        <f t="shared" si="94"/>
        <v>19.636209439999998</v>
      </c>
      <c r="MT70" s="382">
        <f t="shared" si="95"/>
        <v>19.796209439999998</v>
      </c>
      <c r="MU70" s="382">
        <f t="shared" si="232"/>
        <v>20.23620944</v>
      </c>
      <c r="MV70" s="382">
        <f t="shared" si="97"/>
        <v>23.23620944</v>
      </c>
      <c r="MW70" s="382">
        <f t="shared" si="98"/>
        <v>23.39620944</v>
      </c>
      <c r="MX70" s="246">
        <f t="shared" si="233"/>
        <v>6.8414088599999996</v>
      </c>
      <c r="MY70" s="246">
        <f t="shared" si="100"/>
        <v>0</v>
      </c>
      <c r="MZ70" s="78">
        <f t="shared" si="101"/>
        <v>8.6414088600000003</v>
      </c>
      <c r="NA70" s="78">
        <f t="shared" si="102"/>
        <v>0</v>
      </c>
      <c r="NB70" s="78">
        <f t="shared" si="169"/>
        <v>20.912209440000002</v>
      </c>
      <c r="NC70" s="246">
        <f t="shared" si="308"/>
        <v>20.912209440000002</v>
      </c>
      <c r="ND70" s="246">
        <f t="shared" si="234"/>
        <v>20.912209440000002</v>
      </c>
      <c r="NE70" s="386">
        <f t="shared" si="235"/>
        <v>21.15220944</v>
      </c>
      <c r="NF70" s="382">
        <f t="shared" si="106"/>
        <v>21.31220944</v>
      </c>
      <c r="NG70" s="150">
        <f t="shared" si="236"/>
        <v>21.752209440000001</v>
      </c>
      <c r="NH70" s="246">
        <f t="shared" si="108"/>
        <v>24.752209440000001</v>
      </c>
      <c r="NI70" s="382">
        <f t="shared" si="109"/>
        <v>24.912209440000002</v>
      </c>
      <c r="NK70" s="390">
        <f t="shared" si="110"/>
        <v>1.2348257111215299</v>
      </c>
      <c r="NL70" s="390">
        <f t="shared" si="111"/>
        <v>58.836609039264488</v>
      </c>
      <c r="NM70" s="390">
        <f t="shared" si="112"/>
        <v>1.2348257111215299</v>
      </c>
      <c r="NN70" s="390">
        <f t="shared" si="113"/>
        <v>59.013909875892487</v>
      </c>
      <c r="NO70" s="390">
        <f t="shared" si="114"/>
        <v>1.7177250939964739</v>
      </c>
      <c r="NP70" s="390">
        <f t="shared" si="115"/>
        <v>60.24883545782096</v>
      </c>
      <c r="NQ70" s="390">
        <f t="shared" si="116"/>
        <v>1.7177250939964739</v>
      </c>
      <c r="NR70" s="390">
        <f t="shared" si="117"/>
        <v>60.438675268239095</v>
      </c>
      <c r="NS70" s="390">
        <f t="shared" si="118"/>
        <v>1.2623659683735768</v>
      </c>
      <c r="NT70" s="390">
        <f t="shared" si="119"/>
        <v>1.2623659683735768</v>
      </c>
      <c r="NU70" s="390">
        <f t="shared" si="120"/>
        <v>1.7473829504818401</v>
      </c>
      <c r="NV70" s="390">
        <f t="shared" si="121"/>
        <v>1.7473829504818401</v>
      </c>
      <c r="NW70" s="9">
        <f t="shared" si="122"/>
        <v>1.3810244238521769</v>
      </c>
      <c r="NX70" s="9">
        <f>各项系数!$M$9*NK70</f>
        <v>0.37044771333645898</v>
      </c>
      <c r="NY70" s="9">
        <f t="shared" si="123"/>
        <v>1.2623659683735766</v>
      </c>
    </row>
    <row r="71" spans="1:389" s="9" customFormat="1" ht="15" hidden="1" customHeight="1">
      <c r="A71" s="65"/>
      <c r="B71" s="66"/>
      <c r="C71" s="67"/>
      <c r="D71" s="58" t="s">
        <v>229</v>
      </c>
      <c r="E71" s="399">
        <f t="shared" si="325"/>
        <v>25.922967230000001</v>
      </c>
      <c r="F71" s="68">
        <f>$F$23</f>
        <v>245.05464536042999</v>
      </c>
      <c r="G71" s="58"/>
      <c r="H71" s="16"/>
      <c r="I71" s="62"/>
      <c r="J71" s="62"/>
      <c r="K71" s="16"/>
      <c r="L71" s="107" t="s">
        <v>467</v>
      </c>
      <c r="M71" s="98">
        <f t="shared" si="2"/>
        <v>0.9</v>
      </c>
      <c r="N71" s="98">
        <f t="shared" si="252"/>
        <v>0</v>
      </c>
      <c r="O71" s="58">
        <f t="shared" si="326"/>
        <v>0.08</v>
      </c>
      <c r="P71" s="99">
        <v>0.1</v>
      </c>
      <c r="Q71" s="136">
        <f t="shared" si="322"/>
        <v>0.1</v>
      </c>
      <c r="R71" s="151">
        <v>0.8</v>
      </c>
      <c r="S71" s="144" t="str">
        <f>各项系数!$D$43</f>
        <v>钢带</v>
      </c>
      <c r="T71" s="62">
        <v>0.2</v>
      </c>
      <c r="U71" s="62">
        <v>2</v>
      </c>
      <c r="V71" s="143"/>
      <c r="W71" s="145">
        <v>1.8</v>
      </c>
      <c r="X71" s="139">
        <f t="shared" si="323"/>
        <v>0.2</v>
      </c>
      <c r="Y71" s="139"/>
      <c r="Z71" s="169"/>
      <c r="AA71" s="170">
        <f>$AA$23</f>
        <v>1.0109999999999999</v>
      </c>
      <c r="AB71" s="153">
        <f>PI()*EJ71*EJ71/4*EH71*(1-H71)*AA71*各项系数!$F$5*各项系数!$J$4*10^-7</f>
        <v>0.29524992630433911</v>
      </c>
      <c r="AC71" s="170">
        <f t="shared" si="327"/>
        <v>245.05464536042999</v>
      </c>
      <c r="AD71" s="153">
        <f t="shared" si="5"/>
        <v>33.378357061385572</v>
      </c>
      <c r="AE71" s="153">
        <f>POWER(4*EU71/PI()/EG71/10^-7/EH71/(1-H71)/各项系数!$F$5/各项系数!$J$4,0.5)</f>
        <v>246.39875970480472</v>
      </c>
      <c r="AF71" s="16">
        <v>1</v>
      </c>
      <c r="AG71" s="16">
        <f>IF(EM71=0,0,PI()*ER71*ER71/4*EP71*(1-K71)*(1+AF71)*各项系数!$F$5*各项系数!$J$4*10^-7)</f>
        <v>0</v>
      </c>
      <c r="AH71" s="16">
        <f t="shared" si="328"/>
        <v>0</v>
      </c>
      <c r="AI71" s="69">
        <f t="shared" si="128"/>
        <v>0</v>
      </c>
      <c r="AJ71" s="69">
        <f>IF(OR(EP71="",EP71=0),0,POWER(4*EW71/PI()/EO71/10^-7/EP71/(1-K71)/各项系数!$F$5/各项系数!$J$4,0.5))</f>
        <v>0</v>
      </c>
      <c r="AK71" s="16" t="str">
        <f t="shared" si="8"/>
        <v>√</v>
      </c>
      <c r="AL71" s="16">
        <f t="shared" si="329"/>
        <v>83.483565380598378</v>
      </c>
      <c r="AM71" s="106">
        <f t="shared" si="330"/>
        <v>35</v>
      </c>
      <c r="AN71" s="107" t="s">
        <v>486</v>
      </c>
      <c r="AO71" s="146">
        <f>AP71+各项系数!$M$9*$NK71</f>
        <v>81.846632726076834</v>
      </c>
      <c r="AP71" s="146">
        <f>AQ71*(1+$BI71+(VLOOKUP($AM71,$A$12:$B$323,2,0))+各项系数!$J$6+各项系数!$M$5)*(1+$E$2)</f>
        <v>81.356275791274939</v>
      </c>
      <c r="AQ71" s="199">
        <f>AR71+各项系数!$L$9*$NK71</f>
        <v>83.016607950280545</v>
      </c>
      <c r="AR71" s="199">
        <f>AS71*(1+$BJ71+各项系数!$J$5+各项系数!$L$5)</f>
        <v>82.52625101547865</v>
      </c>
      <c r="AS71" s="199">
        <f t="shared" si="129"/>
        <v>80.908089230861421</v>
      </c>
      <c r="AT71" s="146">
        <f>AU71+各项系数!$M$9*$NM71</f>
        <v>83.196607066092113</v>
      </c>
      <c r="AU71" s="146">
        <f>AV71*(1+$BI71+(VLOOKUP($AM71,$A$12:$B$323,2,0))+各项系数!$J$6+各项系数!$M$5)*(1+$E$2)</f>
        <v>82.706250131290219</v>
      </c>
      <c r="AV71" s="199">
        <f>AW71+各项系数!$L$9*$NM71</f>
        <v>84.394132787030841</v>
      </c>
      <c r="AW71" s="199">
        <f>AX71*(1+$BJ71+各项系数!$J$5+各项系数!$L$5)</f>
        <v>83.903775852228947</v>
      </c>
      <c r="AX71" s="199">
        <f t="shared" si="130"/>
        <v>82.25860377669504</v>
      </c>
      <c r="AY71" s="146">
        <f>AZ71+各项系数!$M$9*$NS71</f>
        <v>83.989896097251162</v>
      </c>
      <c r="AZ71" s="146">
        <f>BA71*(1+$BI71+(VLOOKUP($AM71,$A$12:$B$214,2,0))+各项系数!$J$6+各项系数!$M$5)*(1+$E$2)</f>
        <v>83.490151199474923</v>
      </c>
      <c r="BA71" s="199">
        <f>BB71+各项系数!$L$9*$NS71</f>
        <v>85.194031836198903</v>
      </c>
      <c r="BB71" s="199">
        <f>BC71*(1+$BJ71+各项系数!$J$5+各项系数!$L$5)</f>
        <v>84.694286938422664</v>
      </c>
      <c r="BC71" s="199">
        <f t="shared" si="131"/>
        <v>83.033614645512415</v>
      </c>
      <c r="BD71" s="146">
        <f>BE71+各项系数!$M$9*$NS71</f>
        <v>85.348824389420969</v>
      </c>
      <c r="BE71" s="146">
        <f>BF71*(1+$BI71+(VLOOKUP($AM71,$A$12:$B$214,2,0))+各项系数!$J$6+各项系数!$M$5)*(1+$E$2)</f>
        <v>84.84907949164473</v>
      </c>
      <c r="BF71" s="199">
        <f>BG71+各项系数!$L$9*$NS71</f>
        <v>86.580693358821151</v>
      </c>
      <c r="BG71" s="199">
        <f>BH71*(1+$BJ71+各项系数!$J$5+各项系数!$L$5)</f>
        <v>86.080948461044912</v>
      </c>
      <c r="BH71" s="199">
        <f t="shared" si="132"/>
        <v>84.393086726514625</v>
      </c>
      <c r="BI71" s="214"/>
      <c r="BJ71" s="215"/>
      <c r="BK71" s="78" t="s">
        <v>514</v>
      </c>
      <c r="BL71" s="146">
        <f>BM71+各项系数!$M$9*$NM71</f>
        <v>82.840930773641759</v>
      </c>
      <c r="BM71" s="146">
        <f>BN71*(1+$CF71+(VLOOKUP($AM71,$A$12:$B$323,2,0))+各项系数!$J$6+各项系数!$M$5)*(1+$E$2)</f>
        <v>82.350573838839864</v>
      </c>
      <c r="BN71" s="199">
        <f>BO71+各项系数!$L$9*$NM71</f>
        <v>84.031197794734553</v>
      </c>
      <c r="BO71" s="199">
        <f>BP71*(1+$CG71+各项系数!$J$5+各项系数!$L$5)</f>
        <v>83.540840859932658</v>
      </c>
      <c r="BP71" s="199">
        <f t="shared" si="133"/>
        <v>81.107612485371504</v>
      </c>
      <c r="BQ71" s="146">
        <f>BR71+各项系数!$M$9*$NM71</f>
        <v>84.002741383103725</v>
      </c>
      <c r="BR71" s="146">
        <f>BS71*(1+$CF71+(VLOOKUP($AM71,$A$12:$B$323,2,0))+各项系数!$J$6+各项系数!$M$5)*(1+$E$2)</f>
        <v>83.51238444830183</v>
      </c>
      <c r="BS71" s="199">
        <f>BT71+各项系数!$L$9*$NM71</f>
        <v>85.216718824797795</v>
      </c>
      <c r="BT71" s="199">
        <f>BU71*(1+$CG71+各项系数!$J$5+各项系数!$L$5)</f>
        <v>84.7263618899959</v>
      </c>
      <c r="BU71" s="199">
        <f t="shared" si="134"/>
        <v>82.25860377669504</v>
      </c>
      <c r="BV71" s="146">
        <f>BW71+各项系数!$M$9*$NT71</f>
        <v>84.52470824341404</v>
      </c>
      <c r="BW71" s="146">
        <f>BX71*(1+$CF71+(VLOOKUP($AM71,$A$12:$B$214,2,0))+各项系数!$J$6+各项系数!$M$5)*(1+$E$2)</f>
        <v>84.024963345637801</v>
      </c>
      <c r="BX71" s="199">
        <f>BY71+各项系数!$L$9*$NT$12</f>
        <v>85.739758515956936</v>
      </c>
      <c r="BY71" s="199">
        <f>BZ71*(1+$CG71+各项系数!$J$5+各项系数!$L$5)</f>
        <v>85.731495112801966</v>
      </c>
      <c r="BZ71" s="199">
        <f t="shared" si="11"/>
        <v>83.234461274565007</v>
      </c>
      <c r="CA71" s="146">
        <f>CB71+各项系数!$M$9*$NT71</f>
        <v>85.694224774611982</v>
      </c>
      <c r="CB71" s="146">
        <f>CC71*(1+$CF71+(VLOOKUP($AM71,$A$12:$B$214,2,0))+各项系数!$J$6+各项系数!$M$5)*(1+$E$2)</f>
        <v>85.194479876835743</v>
      </c>
      <c r="CC71" s="199">
        <f>CD71+各项系数!$L$9*$NT$12</f>
        <v>86.93314273146504</v>
      </c>
      <c r="CD71" s="199">
        <f>CE71*(1+$CG71+各项系数!$J$5+各项系数!$L$5)</f>
        <v>86.92487932831007</v>
      </c>
      <c r="CE71" s="199">
        <f t="shared" si="135"/>
        <v>84.393086726514625</v>
      </c>
      <c r="CF71" s="214">
        <f t="shared" si="136"/>
        <v>0</v>
      </c>
      <c r="CG71" s="214">
        <f t="shared" si="12"/>
        <v>0.01</v>
      </c>
      <c r="CH71" s="106"/>
      <c r="CI71" s="146">
        <f>CJ71+各项系数!$M$9*$NO71</f>
        <v>84.337938280235051</v>
      </c>
      <c r="CJ71" s="146">
        <f>CK71*(1+$DC71+(VLOOKUP($AM71,$A$12:$B$323,2,0))+各项系数!$J$6+各项系数!$M$5)*(1+$E$2)+各项系数!$M$9*$NK71</f>
        <v>83.666498532811474</v>
      </c>
      <c r="CK71" s="199">
        <f>CL71+各项系数!$L$9*$NO71</f>
        <v>84.873613875519979</v>
      </c>
      <c r="CL71" s="199">
        <f>CM71*(1+$DD71+各项系数!$J$5+各项系数!$L$5)</f>
        <v>84.202174128096402</v>
      </c>
      <c r="CM71" s="199">
        <f t="shared" si="13"/>
        <v>82.551151105976857</v>
      </c>
      <c r="CN71" s="146">
        <f>CO71+各项系数!$M$9*$NO71</f>
        <v>85.562573038244125</v>
      </c>
      <c r="CO71" s="146">
        <f>CP71*(1+$DC71+(VLOOKUP($AM71,$A$12:$B$323,2,0))+各项系数!$J$6+各项系数!$M$5)*(1+$E$2)+各项系数!$M$9*$NK71</f>
        <v>84.891133290820548</v>
      </c>
      <c r="CP71" s="199">
        <f>CQ71+各项系数!$L$9*$NO71</f>
        <v>86.123241179610872</v>
      </c>
      <c r="CQ71" s="199">
        <f>CR71*(1+$DD71+各项系数!$J$5+各项系数!$L$5)</f>
        <v>85.451801432187295</v>
      </c>
      <c r="CR71" s="199">
        <f t="shared" si="14"/>
        <v>83.776275913909117</v>
      </c>
      <c r="CS71" s="146">
        <f>CT71+各项系数!$M$9*$NU71</f>
        <v>86.134983343621826</v>
      </c>
      <c r="CT71" s="146">
        <f t="shared" si="15"/>
        <v>85.453520353453911</v>
      </c>
      <c r="CU71" s="199">
        <f>CV71+各项系数!$L$9*$NU71</f>
        <v>87.197469748422364</v>
      </c>
      <c r="CV71" s="199">
        <f>CW71*(1+$DD71+各项系数!$J$5+各项系数!$L$5)</f>
        <v>86.516006758254449</v>
      </c>
      <c r="CW71" s="199">
        <f t="shared" si="16"/>
        <v>84.819614468876907</v>
      </c>
      <c r="CX71" s="146">
        <f>CY71+各项系数!$M$9*$NU71</f>
        <v>87.578750332455712</v>
      </c>
      <c r="CY71" s="146">
        <f t="shared" si="17"/>
        <v>86.897287342287797</v>
      </c>
      <c r="CZ71" s="199">
        <f>DA71+各项系数!$L$9*$NU71</f>
        <v>88.670701369681424</v>
      </c>
      <c r="DA71" s="199">
        <f>DB71*(1+$DD71+各项系数!$J$5+各项系数!$L$5)</f>
        <v>87.989238379513509</v>
      </c>
      <c r="DB71" s="199">
        <f t="shared" si="18"/>
        <v>86.263959195601473</v>
      </c>
      <c r="DC71" s="214">
        <f t="shared" si="137"/>
        <v>0</v>
      </c>
      <c r="DD71" s="214">
        <f t="shared" si="19"/>
        <v>0</v>
      </c>
      <c r="DE71" s="78" t="s">
        <v>498</v>
      </c>
      <c r="DF71" s="78" t="s">
        <v>513</v>
      </c>
      <c r="DG71" s="146">
        <f>DH71+各项系数!$M$9*$NQ71</f>
        <v>85.360995174319868</v>
      </c>
      <c r="DH71" s="146">
        <f>DI71*(1+$EA71+(VLOOKUP($AM71,$A$12:$B$323,2,0))+各项系数!$J$6+各项系数!$M$5)*(1+$E$2)+各项系数!$M$9*$NK71</f>
        <v>84.689555426896291</v>
      </c>
      <c r="DI71" s="199">
        <f>DJ71+各项系数!$L$9*$NQ71</f>
        <v>85.917549481728983</v>
      </c>
      <c r="DJ71" s="199">
        <f>DK71*(1+$EB71+各项系数!$J$5+各项系数!$L$5)</f>
        <v>85.246109734305406</v>
      </c>
      <c r="DK71" s="199">
        <f t="shared" si="20"/>
        <v>82.763213334277097</v>
      </c>
      <c r="DL71" s="146">
        <f>DM71+各项系数!$M$9*$NQ71</f>
        <v>86.595819392230212</v>
      </c>
      <c r="DM71" s="146">
        <f>DN71*(1+$EA71+(VLOOKUP($AM71,$A$12:$B$323,2,0))+各项系数!$J$6+各项系数!$M$5)*(1+$E$2)+各项系数!$M$9*$NK71</f>
        <v>85.924379644806635</v>
      </c>
      <c r="DN71" s="199">
        <f>DO71+各项系数!$L$9*$NQ71</f>
        <v>87.177574193882393</v>
      </c>
      <c r="DO71" s="199">
        <f>DP71*(1+$EB71+各项系数!$J$5+各项系数!$L$5)</f>
        <v>86.506134446458816</v>
      </c>
      <c r="DP71" s="199">
        <f t="shared" si="21"/>
        <v>83.986538297532832</v>
      </c>
      <c r="DQ71" s="146">
        <f>DR71+各项系数!$M$9*$NV71</f>
        <v>87.181606992926262</v>
      </c>
      <c r="DR71" s="146">
        <f t="shared" si="22"/>
        <v>86.500144002758347</v>
      </c>
      <c r="DS71" s="199">
        <f>DT71+各项系数!$L$9*$NV71</f>
        <v>88.265453064039136</v>
      </c>
      <c r="DT71" s="199">
        <f>DU71*(1+$EB71+各项系数!$J$5+各项系数!$L$5)</f>
        <v>87.58399007387122</v>
      </c>
      <c r="DU71" s="199">
        <f t="shared" si="23"/>
        <v>85.033000071719627</v>
      </c>
      <c r="DV71" s="146">
        <f>DW71+各项系数!$M$9*$NV71</f>
        <v>87.296017071336323</v>
      </c>
      <c r="DW71" s="146">
        <f t="shared" si="24"/>
        <v>86.614554081168407</v>
      </c>
      <c r="DX71" s="199">
        <f>DY71+各项系数!$L$9*$NV71</f>
        <v>88.382198042008582</v>
      </c>
      <c r="DY71" s="199">
        <f>DZ71*(1+$EB71+各项系数!$J$5+各项系数!$L$5)</f>
        <v>87.700735051840667</v>
      </c>
      <c r="DZ71" s="199">
        <f t="shared" si="25"/>
        <v>85.146344710524914</v>
      </c>
      <c r="EA71" s="214">
        <f t="shared" si="324"/>
        <v>0</v>
      </c>
      <c r="EB71" s="214">
        <f t="shared" si="27"/>
        <v>0.01</v>
      </c>
      <c r="EC71" s="235">
        <f t="shared" si="138"/>
        <v>4</v>
      </c>
      <c r="ED71" s="237" t="str">
        <f t="shared" si="331"/>
        <v>4*35</v>
      </c>
      <c r="EE71" s="78">
        <f t="shared" si="239"/>
        <v>35</v>
      </c>
      <c r="EF71" s="78" t="str">
        <f>LOOKUP(EH71,{1,7,10,14,19,24,30,37,48,61},{1,"1+6","2+8","4+10","1+6+12","2+8+14","4+10+16","1+6+12+18","3+9+15+21","1+6+12+18+24"})</f>
        <v>1+6</v>
      </c>
      <c r="EG71" s="106">
        <f t="shared" si="29"/>
        <v>4</v>
      </c>
      <c r="EH71" s="199">
        <f>VLOOKUP(EE71,各项系数!$B$87:$C$124,2,0)</f>
        <v>7</v>
      </c>
      <c r="EI71" s="106">
        <f>IF(EH71=0,0,VLOOKUP(EH71,各项系数!$D$142:$E$195,2,0))*1</f>
        <v>3</v>
      </c>
      <c r="EJ71" s="240">
        <f t="shared" si="141"/>
        <v>245.05464536042999</v>
      </c>
      <c r="EK71" s="78">
        <f t="shared" si="332"/>
        <v>0</v>
      </c>
      <c r="EL71" s="78">
        <f t="shared" si="31"/>
        <v>0</v>
      </c>
      <c r="EM71" s="78">
        <f t="shared" si="333"/>
        <v>0</v>
      </c>
      <c r="EN71" s="78">
        <f>IF(EP71=0,0,LOOKUP(EP71,{1,7,10,14,19,24,30,37,48,61},{1,"1+6","2+8","4+10","1+6+12","2+8+14","4+10+16","1+6+12+18","3+9+15+21","1+6+12+18+24"}))</f>
        <v>0</v>
      </c>
      <c r="EO71" s="78">
        <f t="shared" si="334"/>
        <v>0</v>
      </c>
      <c r="EP71" s="78">
        <f>IF(EM71=0,0,IF(EM71&lt;10,1,IF(AND(EM71&gt;=10,EM71&lt;=35),7,LOOKUP(EM71,{50,70,95,120,150,185,240,300},{10,14,19,24,30,37,48,61})*1)))</f>
        <v>0</v>
      </c>
      <c r="EQ71" s="78">
        <f>IF(EP71=0,0,VLOOKUP(EP71,各项系数!$D$142:$E$195,2,0))*1</f>
        <v>0</v>
      </c>
      <c r="ER71" s="78">
        <f t="shared" si="335"/>
        <v>0</v>
      </c>
      <c r="ES71" s="237">
        <f t="shared" si="336"/>
        <v>4</v>
      </c>
      <c r="ET71" s="78">
        <f>VLOOKUP(ES71,各项系数!$D$142:$E$195,2,0)*1</f>
        <v>2.42</v>
      </c>
      <c r="EU71" s="243">
        <f>((各项系数!$F$76/4*$EJ71^2*$EG71*$EH71*1*10^-7)*(1-$H71)*AA71)*(VLOOKUP($EY$9,各项系数!$D$4:$F$143,3,0))*各项系数!$J$4</f>
        <v>1.1809997052173564</v>
      </c>
      <c r="EV71" s="244">
        <f>EU71*(VLOOKUP($EY$9,各项系数!$D$4:$F$143,2,0))</f>
        <v>77.355480691736844</v>
      </c>
      <c r="EW71" s="252">
        <f>(IF($EO71=0,0,(各项系数!$F$76/4*$ER71^2*$EO71*$EP71*1*10^-7))*(1-$K71)*$AF71)*(VLOOKUP($EY$9,各项系数!$D$4:$F$143,3,0))*各项系数!$J$4</f>
        <v>0</v>
      </c>
      <c r="EX71" s="253">
        <f>EW71*(VLOOKUP($EY$9,各项系数!$D$4:$F$143,2,0))</f>
        <v>0</v>
      </c>
      <c r="EY71" s="189">
        <f>((各项系数!$F$76/4*$EJ71^2*$EG71*$EH71*1*10^-7)*(1-$H71)*AA71+IF($EO71=0,0,(各项系数!$F$76/4*$ER71^2*$EO71*$EP71*1*10^-7))*(1-$K71)*$AF71)*(VLOOKUP($EY$9,各项系数!$D$4:$F$143,3,0))*各项系数!$J$4</f>
        <v>1.1809997052173564</v>
      </c>
      <c r="EZ71" s="106">
        <v>1</v>
      </c>
      <c r="FA71" s="78">
        <f t="shared" si="268"/>
        <v>1.1809997052173564</v>
      </c>
      <c r="FB71" s="246">
        <f>FA71*(VLOOKUP($EY$9,各项系数!$D$4:$F$143,2,0))</f>
        <v>77.355480691736844</v>
      </c>
      <c r="FC71" s="257"/>
      <c r="FD71" s="237">
        <f>各项系数!$F$76/4*($MN71^2-MK71^2)*10^-2*(VLOOKUP(L71,各项系数!$D$1:$F$143,3,0))*10^-3*10^2*$EG71*各项系数!$J$4</f>
        <v>0.10214294553232026</v>
      </c>
      <c r="FE71" s="264">
        <f>FD71*VLOOKUP(L71,各项系数!$D$1:$F$143,2,0)</f>
        <v>1.0418580444296666</v>
      </c>
      <c r="FF71" s="106">
        <f>各项系数!$F$76/4*($MO71^2-ML71^2)*10^-2*(VLOOKUP(L71,各项系数!$D$1:$F$143,3,0))*10^-3*10^2*$EO71*各项系数!$J$4</f>
        <v>0</v>
      </c>
      <c r="FG71" s="264">
        <f>FF71*VLOOKUP(L71,各项系数!$D$1:$F$143,2,0)</f>
        <v>0</v>
      </c>
      <c r="FH71" s="237">
        <f t="shared" si="142"/>
        <v>0.10214294553232026</v>
      </c>
      <c r="FI71" s="106">
        <v>1</v>
      </c>
      <c r="FJ71" s="78">
        <f t="shared" si="269"/>
        <v>0.10214294553232026</v>
      </c>
      <c r="FK71" s="264">
        <f>FJ71*VLOOKUP(L71,各项系数!$D$1:$F$143,2,0)</f>
        <v>1.0418580444296666</v>
      </c>
      <c r="FL71" s="237"/>
      <c r="FM71" s="106"/>
      <c r="FN71" s="78"/>
      <c r="FO71" s="264"/>
      <c r="FP71" s="289">
        <f t="shared" si="270"/>
        <v>0.10214294553232026</v>
      </c>
      <c r="FQ71" s="289">
        <f t="shared" si="271"/>
        <v>1.0418580444296666</v>
      </c>
      <c r="FR71" s="283">
        <f>各项系数!$F$76/4*($MQ71^2-$MN71^2*$EG71-$MO71^2*$EO71)*10^-2</f>
        <v>1.2211225056567034</v>
      </c>
      <c r="FS71" s="284">
        <f t="shared" si="143"/>
        <v>1</v>
      </c>
      <c r="FT71" s="285">
        <f t="shared" si="40"/>
        <v>1.2211225056567034</v>
      </c>
      <c r="FU71" s="309">
        <f>$FT71*(VLOOKUP($FT$9,各项系数!$D$1:$F$143,3,0))*10^-3*10^2*各项系数!$J$55</f>
        <v>0.14580202717541041</v>
      </c>
      <c r="FV71" s="310">
        <v>1</v>
      </c>
      <c r="FW71" s="311">
        <f t="shared" si="272"/>
        <v>0.14580202717541041</v>
      </c>
      <c r="FX71" s="290">
        <f>FW71*(VLOOKUP($FT$9,各项系数!$D$1:$F$143,2,0))</f>
        <v>0.43740608152623123</v>
      </c>
      <c r="FY71" s="309">
        <f>IF($BK71&lt;&gt;$FY$9,0,各项系数!$F$76/4*($MS71^2-$MQ71^2)*10^-2*(VLOOKUP($FY$9,各项系数!$D$1:$F$143,3,0))*10^-3*10^2)*各项系数!$J$4</f>
        <v>0</v>
      </c>
      <c r="FZ71" s="310">
        <v>1</v>
      </c>
      <c r="GA71" s="311">
        <f t="shared" si="273"/>
        <v>0</v>
      </c>
      <c r="GB71" s="290">
        <f>GA71*(VLOOKUP($FY$9,各项系数!$D$1:$F$143,2,0))</f>
        <v>0</v>
      </c>
      <c r="GC71" s="309">
        <f>IF($BK71&lt;&gt;$GC$9,0,各项系数!$F$76/4*($MS71^2-$MQ71^2)*10^-2*(VLOOKUP($GC$9,各项系数!$D$1:$F$143,3,0))*10^-3*10^2)*各项系数!$J$4</f>
        <v>6.0551835711420967E-3</v>
      </c>
      <c r="GD71" s="310">
        <v>1</v>
      </c>
      <c r="GE71" s="311">
        <f t="shared" si="274"/>
        <v>6.0551835711420967E-3</v>
      </c>
      <c r="GF71" s="290">
        <f>GE71*(VLOOKUP($GC$9,各项系数!$D$1:$F$143,2,0))</f>
        <v>7.8111868067733056E-2</v>
      </c>
      <c r="GG71" s="309">
        <f>IF($BK71&lt;&gt;$GG$9,0,各项系数!$F$76/4*($MS71^2-$MQ71^2)*10^-2*(VLOOKUP($GG$9,各项系数!$D$1:$F$143,3,0))*10^-3*10^2)*各项系数!$J$4</f>
        <v>0</v>
      </c>
      <c r="GH71" s="310">
        <v>1</v>
      </c>
      <c r="GI71" s="311">
        <f t="shared" si="275"/>
        <v>0</v>
      </c>
      <c r="GJ71" s="290">
        <f>GI71*(VLOOKUP($GG$9,各项系数!$D$1:$F$143,2,0))</f>
        <v>0</v>
      </c>
      <c r="GK71" s="309">
        <f>IF($BK71&lt;&gt;$GK$9,0,各项系数!$F$76/4*($MS71^2-$MQ71^2)*10^-2*(VLOOKUP($GK$9,各项系数!$D$1:$F$143,3,0))*10^-3*10^2)*各项系数!$J$4</f>
        <v>0</v>
      </c>
      <c r="GL71" s="310">
        <v>1</v>
      </c>
      <c r="GM71" s="311">
        <f t="shared" si="276"/>
        <v>0</v>
      </c>
      <c r="GN71" s="290">
        <f>GM71*(VLOOKUP($GK$9,各项系数!$D$1:$F$143,2,0))</f>
        <v>0</v>
      </c>
      <c r="GO71" s="311">
        <f t="shared" si="277"/>
        <v>6.0551835711420967E-3</v>
      </c>
      <c r="GP71" s="311">
        <f t="shared" si="278"/>
        <v>7.8111868067733056E-2</v>
      </c>
      <c r="GQ71" s="317">
        <f>各项系数!$F$76/4*($MU71^2-$MS71^2)*10^-2*(VLOOKUP($S71,各项系数!$D$1:$F$143,3,0))*10^-3*10^2*各项系数!$J$4</f>
        <v>0.16590158210003278</v>
      </c>
      <c r="GR71" s="310">
        <v>1</v>
      </c>
      <c r="GS71" s="311">
        <f t="shared" si="279"/>
        <v>0.16590158210003278</v>
      </c>
      <c r="GT71" s="311">
        <f t="shared" si="200"/>
        <v>0</v>
      </c>
      <c r="GU71" s="311">
        <f>ROUND($GS71*(VLOOKUP($S71,各项系数!$D$1:$F$143,2,0))+$E$3*GS71,GT71)</f>
        <v>1</v>
      </c>
      <c r="GV71" s="315">
        <f>各项系数!$F$76/4*($MT71^2-$MS71^2)*10^-2*(VLOOKUP($GV$9,各项系数!$D$1:$F$143,3,0))*10^-3*10^2*各项系数!$J$4*PI()/4*R71</f>
        <v>3.1293209914460024E-2</v>
      </c>
      <c r="GW71" s="310">
        <v>1</v>
      </c>
      <c r="GX71" s="311">
        <f t="shared" si="280"/>
        <v>3.1293209914460024E-2</v>
      </c>
      <c r="GY71" s="311">
        <f>$GX71*(VLOOKUP($GV$9,各项系数!$D$1:$F$143,2,0))</f>
        <v>2.1122916692260518</v>
      </c>
      <c r="GZ71" s="317">
        <f>各项系数!$F$76/4*($MV71^2-$MS71^2)*10^-2*(VLOOKUP($GZ$9,各项系数!$D$1:$F$143,3,0))*10^-3*10^2*各项系数!$J$4</f>
        <v>0.19680865240791467</v>
      </c>
      <c r="HA71" s="310">
        <v>1</v>
      </c>
      <c r="HB71" s="311">
        <f t="shared" si="144"/>
        <v>0.19680865240791467</v>
      </c>
      <c r="HC71" s="311">
        <f>HB71*(VLOOKUP($GZ$9,各项系数!$D$1:$F$143,2,0))</f>
        <v>3.3457470909345495</v>
      </c>
      <c r="HD71" s="317">
        <f>各项系数!$F$76/4*($MW71^2-$MT71^2)*10^-2*(VLOOKUP($HD$9,各项系数!$D$1:$F$143,3,0))*10^-3*10^2*各项系数!$J$4</f>
        <v>0.19811402185459298</v>
      </c>
      <c r="HE71" s="310">
        <v>1</v>
      </c>
      <c r="HF71" s="311">
        <f t="shared" si="145"/>
        <v>0.19811402185459298</v>
      </c>
      <c r="HG71" s="311">
        <f>HF71*(VLOOKUP($HD$9,各项系数!$D$1:$F$143,2,0))</f>
        <v>3.3679383715280808</v>
      </c>
      <c r="HH71" s="317">
        <f>各项系数!$F$76/4*($MV71^2-$MS71^2)*10^-2*(VLOOKUP($HH$9,各项系数!$D$1:$F$143,3,0))*10^-3*10^2*各项系数!$J$4</f>
        <v>0.19680865240791467</v>
      </c>
      <c r="HI71" s="311">
        <v>1</v>
      </c>
      <c r="HJ71" s="311">
        <f t="shared" si="146"/>
        <v>0.19680865240791467</v>
      </c>
      <c r="HK71" s="311">
        <f>HJ71*(VLOOKUP($HH$9,各项系数!$D$1:$F$143,2,0))</f>
        <v>3.3457470909345495</v>
      </c>
      <c r="HL71" s="317">
        <f>各项系数!$F$76/4*($MW71^2-$MT71^2)*10^-2*(VLOOKUP($HL$9,各项系数!$D$1:$F$143,3,0))*10^-3*10^2*各项系数!$J$4</f>
        <v>0.19811402185459298</v>
      </c>
      <c r="HM71" s="311">
        <v>1</v>
      </c>
      <c r="HN71" s="311">
        <f t="shared" si="147"/>
        <v>0.19811402185459298</v>
      </c>
      <c r="HO71" s="311">
        <f>HN71*(VLOOKUP($HL$9,各项系数!$D$1:$F$143,2,0))</f>
        <v>3.3679383715280808</v>
      </c>
      <c r="HP71" s="317">
        <f>各项系数!$F$76/4*($MV71^2-$MS71^2)*10^-2*(VLOOKUP(AN71,各项系数!$D$1:$F$143,3,0))*10^-3*10^2*各项系数!$J$4</f>
        <v>0.19952325451009281</v>
      </c>
      <c r="HQ71" s="310">
        <v>1</v>
      </c>
      <c r="HR71" s="311">
        <f t="shared" si="281"/>
        <v>0.19952325451009281</v>
      </c>
      <c r="HS71" s="311">
        <f>HR71*(VLOOKUP(AN71,各项系数!$D$1:$F$143,2,0))</f>
        <v>1.9952325451009281</v>
      </c>
      <c r="HT71" s="317">
        <f>各项系数!$F$76/4*($MW71^2-$MT71^2)*10^-2*(VLOOKUP(AN71,各项系数!$D$1:$F$143,3,0))*10^-3*10^2*各项系数!$J$4</f>
        <v>0.20084662905258741</v>
      </c>
      <c r="HU71" s="310">
        <v>1</v>
      </c>
      <c r="HV71" s="311">
        <f t="shared" si="282"/>
        <v>0.20084662905258741</v>
      </c>
      <c r="HW71" s="311">
        <f>HV71*(VLOOKUP(AN71,各项系数!$D$1:$F$143,2,0))</f>
        <v>2.0084662905258739</v>
      </c>
      <c r="HX71" s="317">
        <f>各项系数!$F$76/4*($MV71^2-$MS71^2)*10^-2*(VLOOKUP($HX$9,各项系数!$D$1:$F$143,3,0))*10^-3*10^2*各项系数!$J$4</f>
        <v>0.19952325451009281</v>
      </c>
      <c r="HY71" s="311">
        <v>1</v>
      </c>
      <c r="HZ71" s="311">
        <f t="shared" si="283"/>
        <v>0.19952325451009281</v>
      </c>
      <c r="IA71" s="311">
        <f>HZ71*(VLOOKUP($HX$9,各项系数!$D$1:$F$143,2,0))</f>
        <v>2.1947557996110207</v>
      </c>
      <c r="IB71" s="317">
        <f>各项系数!$F$76/4*($MW71^2-$MT71^2)*10^-2*(VLOOKUP($IB$9,各项系数!$D$1:$F$143,3,0))*10^-3*10^2*各项系数!$J$4</f>
        <v>0.20084662905258741</v>
      </c>
      <c r="IC71" s="311">
        <v>1</v>
      </c>
      <c r="ID71" s="311">
        <f t="shared" si="284"/>
        <v>0.20084662905258741</v>
      </c>
      <c r="IE71" s="311">
        <f>ID71*(VLOOKUP($IB$9,各项系数!$D$1:$F$143,2,0))</f>
        <v>2.2093129195784615</v>
      </c>
      <c r="IF71" s="309"/>
      <c r="IG71" s="317">
        <f t="shared" si="148"/>
        <v>4.3052656140052582E-2</v>
      </c>
      <c r="IH71" s="310">
        <v>1</v>
      </c>
      <c r="II71" s="311">
        <f t="shared" si="285"/>
        <v>4.3052656140052582E-2</v>
      </c>
      <c r="IJ71" s="311">
        <f>II71*(VLOOKUP($IG$8,各项系数!$D$1:$F$143,2,0))</f>
        <v>1.0763164035013146</v>
      </c>
      <c r="IK71" s="317">
        <f>(各项系数!$F$76/4*($MX71^2-$MK71^2)*$EG71)*10^-2*(VLOOKUP($IG$8,各项系数!$D$1:$F$143,3,0))*10^-3*10^2*各项系数!$J$4</f>
        <v>4.3052656140052582E-2</v>
      </c>
      <c r="IL71" s="310">
        <f>IK71*(VLOOKUP($IG$8,各项系数!$D$1:$F$143,2,0))</f>
        <v>1.0763164035013146</v>
      </c>
      <c r="IM71" s="311">
        <f>(各项系数!$F$76/4*(($MM71+3*$X71)^2-MM71^2)*$EO71)*10^-2*(VLOOKUP($IG$8,各项系数!$D$1:$F$143,3,0))*10^-3*10^2*各项系数!$J$4</f>
        <v>0</v>
      </c>
      <c r="IN71" s="310">
        <f>IM71*(VLOOKUP($IG$8,各项系数!$D$1:$F$143,2,0))</f>
        <v>0</v>
      </c>
      <c r="IO71" s="317">
        <f>各项系数!$F$76/4*($MZ71^2-$MX71^2)*10^-2*(VLOOKUP(L71,各项系数!$D$1:$F$143,3,0))*10^-3*10^2*$ES71*各项系数!$J$4</f>
        <v>0.10957004755652505</v>
      </c>
      <c r="IP71" s="310">
        <v>1</v>
      </c>
      <c r="IQ71" s="311">
        <f t="shared" si="286"/>
        <v>0.10957004755652505</v>
      </c>
      <c r="IR71" s="290">
        <f>IQ71*(VLOOKUP(L71,各项系数!$D$1:$F$143,2,0))</f>
        <v>1.1176144850765555</v>
      </c>
      <c r="IS71" s="317">
        <f>IF($L71&lt;&gt;$IS$9,0,各项系数!$F$76/4*($MZ71^2-$MX71^2)*10^-2*各项系数!$F$12*10^-3*10^2)*$ES71*各项系数!$J$4</f>
        <v>0</v>
      </c>
      <c r="IT71" s="310">
        <v>1</v>
      </c>
      <c r="IU71" s="311">
        <f t="shared" si="287"/>
        <v>0</v>
      </c>
      <c r="IV71" s="290">
        <f>IU71*各项系数!$E$12</f>
        <v>0</v>
      </c>
      <c r="IW71" s="309">
        <f t="shared" si="288"/>
        <v>0.10957004755652505</v>
      </c>
      <c r="IX71" s="309">
        <f t="shared" si="289"/>
        <v>1.1176144850765555</v>
      </c>
      <c r="IY71" s="339">
        <f>各项系数!$F$76/4*($NB71^2-$MZ71^2*$EG71-$NA71^2*$EO71)*10^-2</f>
        <v>1.3864898793216442</v>
      </c>
      <c r="IZ71" s="284">
        <f t="shared" si="231"/>
        <v>1</v>
      </c>
      <c r="JA71" s="285">
        <f t="shared" si="64"/>
        <v>1.3864898793216442</v>
      </c>
      <c r="JB71" s="289">
        <f>IF($DE71&lt;&gt;$JB$9,0,$JA71*各项系数!$F$32*10^-3*10^2)*各项系数!$J$4</f>
        <v>0</v>
      </c>
      <c r="JC71" s="106">
        <v>1</v>
      </c>
      <c r="JD71" s="78">
        <f t="shared" si="290"/>
        <v>0</v>
      </c>
      <c r="JE71" s="264">
        <f>JD71*各项系数!$E$32</f>
        <v>0</v>
      </c>
      <c r="JF71" s="282">
        <f>IF($DE71&lt;&gt;$JF$9,0,$JA71*VLOOKUP($JF$9,各项系数!$D$4:$F$540,2,0)*10^-3*10^2)*各项系数!$J$4</f>
        <v>0.68977871496251797</v>
      </c>
      <c r="JG71" s="102">
        <v>1</v>
      </c>
      <c r="JH71" s="189">
        <f t="shared" si="66"/>
        <v>0.68977871496251797</v>
      </c>
      <c r="JI71" s="262">
        <f>JH71*VLOOKUP($JF$9,各项系数!$D$4:$F$540,3,0)</f>
        <v>0.82773445795502154</v>
      </c>
      <c r="JJ71" s="289">
        <f t="shared" si="291"/>
        <v>0.68977871496251797</v>
      </c>
      <c r="JK71" s="78">
        <f t="shared" si="292"/>
        <v>0.82773445795502154</v>
      </c>
      <c r="JL71" s="289">
        <f>IF($DF71&lt;&gt;$JL$9,0,各项系数!$F$76/4*($NE71^2-$NC71^2)*10^-2*各项系数!$F$39*10^-3*10^2)*各项系数!$J$4</f>
        <v>2.6691392352420659E-3</v>
      </c>
      <c r="JM71" s="106">
        <v>1</v>
      </c>
      <c r="JN71" s="78">
        <f t="shared" si="293"/>
        <v>2.6691392352420659E-3</v>
      </c>
      <c r="JO71" s="264">
        <f>JN71*各项系数!$E$39</f>
        <v>5.338278470484132E-2</v>
      </c>
      <c r="JP71" s="289">
        <f>IF($DF71&lt;&gt;$JP$9,0,各项系数!$F$76/4*($NE71^2-$NC71^2)*10^-2*各项系数!$F$36*10^-3*10^2)*各项系数!$J$4</f>
        <v>0</v>
      </c>
      <c r="JQ71" s="106">
        <v>1</v>
      </c>
      <c r="JR71" s="78">
        <f t="shared" si="294"/>
        <v>0</v>
      </c>
      <c r="JS71" s="264">
        <f>JR71*各项系数!$E$36</f>
        <v>0</v>
      </c>
      <c r="JT71" s="289">
        <f>IF($DF71&lt;&gt;$JT$9,0,各项系数!$F$76/4*($NE71^2-$NC71^2)*10^-2*各项系数!$F$40*10^-3*10^2)*各项系数!$J$4</f>
        <v>0</v>
      </c>
      <c r="JU71" s="106">
        <v>1</v>
      </c>
      <c r="JV71" s="78">
        <f t="shared" si="295"/>
        <v>0</v>
      </c>
      <c r="JW71" s="264">
        <f>JV71*各项系数!$E$40</f>
        <v>0</v>
      </c>
      <c r="JX71" s="289">
        <f>IF($DF71&lt;&gt;$JX$9,0,各项系数!$F$76/4*($NE71^2-$NC71^2)*10^-2*各项系数!$F$38*10^-3*10^2)*各项系数!$J$4</f>
        <v>0</v>
      </c>
      <c r="JY71" s="106">
        <v>1</v>
      </c>
      <c r="JZ71" s="78">
        <f t="shared" si="296"/>
        <v>0</v>
      </c>
      <c r="KA71" s="264">
        <f>JZ71*各项系数!$E$38</f>
        <v>0</v>
      </c>
      <c r="KB71" s="289">
        <f>IF($DF71&lt;&gt;$KB$9,0,各项系数!$F$76/4*($NE71^2-$NC71^2)*10^-2*各项系数!$F$41*10^-3*10^2)*各项系数!$J$4</f>
        <v>0</v>
      </c>
      <c r="KC71" s="106">
        <v>1</v>
      </c>
      <c r="KD71" s="78">
        <f t="shared" si="297"/>
        <v>0</v>
      </c>
      <c r="KE71" s="264">
        <f>KD71*各项系数!$E$41</f>
        <v>0</v>
      </c>
      <c r="KF71" s="78">
        <f t="shared" si="298"/>
        <v>2.6691392352420659E-3</v>
      </c>
      <c r="KG71" s="78">
        <f t="shared" si="299"/>
        <v>5.338278470484132E-2</v>
      </c>
      <c r="KH71" s="237">
        <f>各项系数!$F$76/4*($NG71^2-$NE71^2)*10^-2*各项系数!$F$44*10^-3*10^2*各项系数!$J$4*0.75*$U71</f>
        <v>0.26552835529951663</v>
      </c>
      <c r="KI71" s="106">
        <v>1</v>
      </c>
      <c r="KJ71" s="78">
        <f t="shared" si="300"/>
        <v>0.26552835529951663</v>
      </c>
      <c r="KK71" s="78">
        <f>ROUND(KJ71*各项系数!$E$43,GT71)</f>
        <v>2</v>
      </c>
      <c r="KL71" s="235">
        <f>各项系数!$F$76/4*($NF71^2-$NE71^2)*10^-2*各项系数!$F$46*10^-3*10^2*各项系数!$J$4*PI()/4*R71</f>
        <v>3.3410809147779122E-2</v>
      </c>
      <c r="KM71" s="106">
        <v>1</v>
      </c>
      <c r="KN71" s="78">
        <f t="shared" si="301"/>
        <v>3.3410809147779122E-2</v>
      </c>
      <c r="KO71" s="78">
        <f>KN71*各项系数!$E$46</f>
        <v>2.2552296174750905</v>
      </c>
      <c r="KP71" s="237">
        <f>各项系数!$F$76/4*($NH71^2-$NE71^2)*10^-2*(VLOOKUP($KP$9,各项系数!$D$1:$F$143,3,0))*10^-3*10^2*各项系数!$J$4</f>
        <v>0.20917702791519246</v>
      </c>
      <c r="KQ71" s="106">
        <v>1</v>
      </c>
      <c r="KR71" s="78">
        <f t="shared" si="150"/>
        <v>0.20917702791519246</v>
      </c>
      <c r="KS71" s="78">
        <f>KR71*(VLOOKUP($KP$9,各项系数!$D$1:$F$143,2,0))</f>
        <v>3.5560094745582718</v>
      </c>
      <c r="KT71" s="237">
        <f>各项系数!$F$76/4*($NI71^2-$NF71^2)*10^-2*(VLOOKUP($KT$9,各项系数!$D$1:$F$143,3,0))*10^-3*10^2*各项系数!$J$4</f>
        <v>0.21048239736187091</v>
      </c>
      <c r="KU71" s="106">
        <v>1</v>
      </c>
      <c r="KV71" s="78">
        <f t="shared" si="151"/>
        <v>0.21048239736187091</v>
      </c>
      <c r="KW71" s="78">
        <f>KV71*(VLOOKUP($KT$9,各项系数!$D$1:$F$143,2,0))</f>
        <v>3.5782007551518054</v>
      </c>
      <c r="KX71" s="78">
        <f>各项系数!$F$76/4*($NH71^2-$NE71^2)*10^-2*(VLOOKUP($KX$9,各项系数!$D$1:$F$143,3,0))*10^-3*10^2*各项系数!$J$4</f>
        <v>0.20917702791519246</v>
      </c>
      <c r="KY71" s="355">
        <v>1</v>
      </c>
      <c r="KZ71" s="78">
        <f t="shared" si="152"/>
        <v>0.20917702791519246</v>
      </c>
      <c r="LA71" s="78">
        <f>KZ71*(VLOOKUP($KX$9,各项系数!$D$1:$F$143,2,0))</f>
        <v>3.5560094745582718</v>
      </c>
      <c r="LB71" s="78">
        <f>各项系数!$F$76/4*($NI71^2-$NF71^2)*10^-2*(VLOOKUP($LB$9,各项系数!$D$1:$F$143,3,0))*10^-3*10^2*各项系数!$J$4</f>
        <v>0.21048239736187091</v>
      </c>
      <c r="LC71" s="355">
        <v>1</v>
      </c>
      <c r="LD71" s="78">
        <f t="shared" si="153"/>
        <v>0.21048239736187091</v>
      </c>
      <c r="LE71" s="78">
        <f>LD71*(VLOOKUP($LB$9,各项系数!$D$1:$F$143,2,0))</f>
        <v>3.5782007551518054</v>
      </c>
      <c r="LF71" s="237">
        <f>各项系数!$F$76/4*($NH71^2-$NE71^2)*10^-2*(VLOOKUP(AN71,各项系数!$D$1:$F$143,3,0))*10^-3*10^2*各项系数!$J$4</f>
        <v>0.21206222830022961</v>
      </c>
      <c r="LG71" s="106">
        <v>1</v>
      </c>
      <c r="LH71" s="78">
        <f t="shared" si="302"/>
        <v>0.21206222830022961</v>
      </c>
      <c r="LI71" s="78">
        <f>LH71*(VLOOKUP(AN71,各项系数!$D$1:$F$143,2,0))</f>
        <v>2.1206222830022963</v>
      </c>
      <c r="LJ71" s="237">
        <f>各项系数!$F$76/4*($NI71^2-$NF71^2)*10^-2*(VLOOKUP(AN71,各项系数!$D$1:$F$143,3,0))*10^-3*10^2*各项系数!$J$4</f>
        <v>0.21338560284272431</v>
      </c>
      <c r="LK71" s="106">
        <v>1</v>
      </c>
      <c r="LL71" s="78">
        <f t="shared" si="303"/>
        <v>0.21338560284272431</v>
      </c>
      <c r="LM71" s="78">
        <f>LL71*(VLOOKUP(AN71,各项系数!$D$1:$F$143,2,0))</f>
        <v>2.133856028427243</v>
      </c>
      <c r="LN71" s="78">
        <f>各项系数!$F$76/4*($NH71^2-$NE71^2)*10^-2*(VLOOKUP($LN$9,各项系数!$D$1:$F$143,3,0))*10^-3*10^2*各项系数!$J$4</f>
        <v>0.21206222830022961</v>
      </c>
      <c r="LO71" s="355">
        <v>1</v>
      </c>
      <c r="LP71" s="78">
        <f t="shared" si="304"/>
        <v>0.21206222830022961</v>
      </c>
      <c r="LQ71" s="78">
        <f>LP71*(VLOOKUP($LN$9,各项系数!$D$1:$F$143,2,0))</f>
        <v>2.3326845113025256</v>
      </c>
      <c r="LR71" s="78">
        <f>各项系数!$F$76/4*($NI71^2-$NF71^2)*10^-2*(VLOOKUP($LR$9,各项系数!$D$1:$F$143,3,0))*10^-3*10^2*各项系数!$J$4</f>
        <v>0.21338560284272431</v>
      </c>
      <c r="LS71" s="355">
        <v>1</v>
      </c>
      <c r="LT71" s="78">
        <f t="shared" si="305"/>
        <v>0.21338560284272431</v>
      </c>
      <c r="LU71" s="78">
        <f>LT71*(VLOOKUP($LR$9,各项系数!$D$1:$F$143,2,0))</f>
        <v>2.3472416312699673</v>
      </c>
      <c r="LV71" s="367">
        <f t="shared" si="154"/>
        <v>169.79240507</v>
      </c>
      <c r="LW71" s="367">
        <f t="shared" si="155"/>
        <v>132.06075949999999</v>
      </c>
      <c r="LX71" s="367">
        <f t="shared" si="156"/>
        <v>12.967072965907141</v>
      </c>
      <c r="LY71" s="367">
        <f t="shared" si="157"/>
        <v>37.731645570000012</v>
      </c>
      <c r="LZ71" s="374">
        <f t="shared" si="86"/>
        <v>1</v>
      </c>
      <c r="MA71" s="375">
        <f t="shared" si="87"/>
        <v>169.79240507</v>
      </c>
      <c r="MB71" s="367">
        <f t="shared" si="158"/>
        <v>7.3516393500000001</v>
      </c>
      <c r="MC71" s="367">
        <f t="shared" si="159"/>
        <v>0</v>
      </c>
      <c r="MD71" s="367">
        <f t="shared" si="160"/>
        <v>0</v>
      </c>
      <c r="ME71" s="367">
        <f t="shared" si="161"/>
        <v>0</v>
      </c>
      <c r="MF71" s="367">
        <f t="shared" si="162"/>
        <v>0</v>
      </c>
      <c r="MG71" s="379">
        <f t="shared" si="163"/>
        <v>1</v>
      </c>
      <c r="MH71" s="375">
        <f t="shared" si="88"/>
        <v>0</v>
      </c>
      <c r="MI71" s="367">
        <f t="shared" si="164"/>
        <v>0</v>
      </c>
      <c r="MJ71" s="78">
        <f t="shared" si="89"/>
        <v>7.3516393500000001</v>
      </c>
      <c r="MK71" s="78">
        <f t="shared" si="165"/>
        <v>7.3516393500000001</v>
      </c>
      <c r="ML71" s="78">
        <f t="shared" si="306"/>
        <v>0</v>
      </c>
      <c r="MM71" s="78">
        <f t="shared" si="91"/>
        <v>0</v>
      </c>
      <c r="MN71" s="78">
        <f t="shared" si="92"/>
        <v>9.15163935</v>
      </c>
      <c r="MO71" s="189">
        <f t="shared" si="166"/>
        <v>0</v>
      </c>
      <c r="MP71" s="78">
        <f t="shared" si="167"/>
        <v>22.146967230000001</v>
      </c>
      <c r="MQ71" s="78">
        <f t="shared" si="307"/>
        <v>22.146967230000001</v>
      </c>
      <c r="MR71" s="246">
        <f t="shared" si="168"/>
        <v>22.146967230000001</v>
      </c>
      <c r="MS71" s="380">
        <f t="shared" si="94"/>
        <v>22.32296723</v>
      </c>
      <c r="MT71" s="382">
        <f t="shared" si="95"/>
        <v>22.48296723</v>
      </c>
      <c r="MU71" s="382">
        <f t="shared" si="232"/>
        <v>22.922967230000001</v>
      </c>
      <c r="MV71" s="382">
        <f t="shared" si="97"/>
        <v>25.922967230000001</v>
      </c>
      <c r="MW71" s="382">
        <f t="shared" si="98"/>
        <v>26.082967230000001</v>
      </c>
      <c r="MX71" s="246">
        <f t="shared" si="233"/>
        <v>7.9516393500000007</v>
      </c>
      <c r="MY71" s="246">
        <f t="shared" si="100"/>
        <v>0</v>
      </c>
      <c r="MZ71" s="78">
        <f t="shared" si="101"/>
        <v>9.7516393500000014</v>
      </c>
      <c r="NA71" s="78">
        <f t="shared" si="102"/>
        <v>0</v>
      </c>
      <c r="NB71" s="78">
        <f t="shared" si="169"/>
        <v>23.59896723</v>
      </c>
      <c r="NC71" s="246">
        <f t="shared" si="308"/>
        <v>23.59896723</v>
      </c>
      <c r="ND71" s="246">
        <f t="shared" si="234"/>
        <v>23.59896723</v>
      </c>
      <c r="NE71" s="386">
        <f t="shared" si="235"/>
        <v>23.838967229999998</v>
      </c>
      <c r="NF71" s="382">
        <f t="shared" si="106"/>
        <v>23.998967229999998</v>
      </c>
      <c r="NG71" s="150">
        <f t="shared" si="236"/>
        <v>24.438967229999999</v>
      </c>
      <c r="NH71" s="246">
        <f t="shared" si="108"/>
        <v>27.438967229999999</v>
      </c>
      <c r="NI71" s="382">
        <f t="shared" si="109"/>
        <v>27.59896723</v>
      </c>
      <c r="NK71" s="390">
        <f t="shared" si="110"/>
        <v>1.6345231160063221</v>
      </c>
      <c r="NL71" s="390">
        <f t="shared" si="111"/>
        <v>80.908089230861421</v>
      </c>
      <c r="NM71" s="390">
        <f t="shared" si="112"/>
        <v>1.6345231160063221</v>
      </c>
      <c r="NN71" s="390">
        <f t="shared" si="113"/>
        <v>81.107612485371504</v>
      </c>
      <c r="NO71" s="390">
        <f t="shared" si="114"/>
        <v>2.2381324914119238</v>
      </c>
      <c r="NP71" s="390">
        <f t="shared" si="115"/>
        <v>82.551151105976871</v>
      </c>
      <c r="NQ71" s="390">
        <f t="shared" si="116"/>
        <v>2.2381324914119238</v>
      </c>
      <c r="NR71" s="390">
        <f t="shared" si="117"/>
        <v>82.763213334277097</v>
      </c>
      <c r="NS71" s="390">
        <f t="shared" si="118"/>
        <v>1.6658163259207821</v>
      </c>
      <c r="NT71" s="390">
        <f t="shared" si="119"/>
        <v>1.6658163259207821</v>
      </c>
      <c r="NU71" s="390">
        <f t="shared" si="120"/>
        <v>2.2715433005597028</v>
      </c>
      <c r="NV71" s="390">
        <f t="shared" si="121"/>
        <v>2.2715433005597028</v>
      </c>
      <c r="NW71" s="9">
        <f t="shared" si="122"/>
        <v>1.8004246981063547</v>
      </c>
      <c r="NX71" s="9">
        <f>各项系数!$M$9*NK71</f>
        <v>0.49035693480189657</v>
      </c>
      <c r="NY71" s="9">
        <f t="shared" si="123"/>
        <v>1.6658163259207819</v>
      </c>
    </row>
    <row r="72" spans="1:389" s="9" customFormat="1" ht="15" hidden="1" customHeight="1">
      <c r="A72" s="65"/>
      <c r="B72" s="66"/>
      <c r="C72" s="67"/>
      <c r="D72" s="58" t="s">
        <v>237</v>
      </c>
      <c r="E72" s="399">
        <f t="shared" si="325"/>
        <v>31.909910439999997</v>
      </c>
      <c r="F72" s="68">
        <f>$F$24</f>
        <v>238.573455311777</v>
      </c>
      <c r="G72" s="58"/>
      <c r="H72" s="16"/>
      <c r="I72" s="62"/>
      <c r="J72" s="62"/>
      <c r="K72" s="16"/>
      <c r="L72" s="107" t="s">
        <v>467</v>
      </c>
      <c r="M72" s="98">
        <f t="shared" si="2"/>
        <v>1</v>
      </c>
      <c r="N72" s="98">
        <f t="shared" si="252"/>
        <v>0</v>
      </c>
      <c r="O72" s="58">
        <f t="shared" si="326"/>
        <v>0.08</v>
      </c>
      <c r="P72" s="99">
        <v>0.1</v>
      </c>
      <c r="Q72" s="136">
        <f t="shared" si="322"/>
        <v>0.1</v>
      </c>
      <c r="R72" s="151">
        <v>0.8</v>
      </c>
      <c r="S72" s="144" t="str">
        <f>各项系数!$D$43</f>
        <v>钢带</v>
      </c>
      <c r="T72" s="62">
        <v>0.2</v>
      </c>
      <c r="U72" s="62">
        <v>2</v>
      </c>
      <c r="V72" s="143"/>
      <c r="W72" s="145">
        <v>1.9</v>
      </c>
      <c r="X72" s="139">
        <f t="shared" si="323"/>
        <v>0.2</v>
      </c>
      <c r="Y72" s="139"/>
      <c r="Z72" s="169"/>
      <c r="AA72" s="170">
        <f>$AA$24</f>
        <v>1.0109999999999999</v>
      </c>
      <c r="AB72" s="153">
        <f>PI()*EJ72*EJ72/4*EH72*(1-H72)*AA72*各项系数!$F$5*各项系数!$J$4*10^-7</f>
        <v>0.39976992605548828</v>
      </c>
      <c r="AC72" s="170">
        <f t="shared" si="327"/>
        <v>238.573455311777</v>
      </c>
      <c r="AD72" s="153">
        <f t="shared" si="5"/>
        <v>45.194467959085458</v>
      </c>
      <c r="AE72" s="153">
        <f>POWER(4*EU72/PI()/EG72/10^-7/EH72/(1-H72)/各项系数!$F$5/各项系数!$J$4,0.5)</f>
        <v>239.88202060340802</v>
      </c>
      <c r="AF72" s="16">
        <v>1</v>
      </c>
      <c r="AG72" s="16">
        <f>IF(EM72=0,0,PI()*ER72*ER72/4*EP72*(1-K72)*(1+AF72)*各项系数!$F$5*各项系数!$J$4*10^-7)</f>
        <v>0</v>
      </c>
      <c r="AH72" s="16">
        <f t="shared" si="328"/>
        <v>0</v>
      </c>
      <c r="AI72" s="69">
        <f t="shared" si="128"/>
        <v>0</v>
      </c>
      <c r="AJ72" s="69">
        <f>IF(OR(EP72="",EP72=0),0,POWER(4*EW72/PI()/EO72/10^-7/EP72/(1-K72)/各项系数!$F$5/各项系数!$J$4,0.5))</f>
        <v>0</v>
      </c>
      <c r="AK72" s="16" t="str">
        <f t="shared" si="8"/>
        <v>√</v>
      </c>
      <c r="AL72" s="16">
        <f t="shared" si="329"/>
        <v>113.14166961108521</v>
      </c>
      <c r="AM72" s="106">
        <f t="shared" si="330"/>
        <v>50</v>
      </c>
      <c r="AN72" s="107" t="s">
        <v>486</v>
      </c>
      <c r="AO72" s="146">
        <f>AP72+各项系数!$M$9*$NK72</f>
        <v>110.92320550106392</v>
      </c>
      <c r="AP72" s="146">
        <f>AQ72*(1+$BI72+(VLOOKUP($AM72,$A$12:$B$323,2,0))+各项系数!$J$6+各项系数!$M$5)*(1+$E$2)</f>
        <v>110.24950333763624</v>
      </c>
      <c r="AQ72" s="199">
        <f>AR72+各项系数!$L$9*$NK72</f>
        <v>112.49949320166964</v>
      </c>
      <c r="AR72" s="199">
        <f>AS72*(1+$BJ72+各项系数!$J$5+各项系数!$L$5)</f>
        <v>111.82579103824196</v>
      </c>
      <c r="AS72" s="199">
        <f t="shared" si="129"/>
        <v>109.63312846886467</v>
      </c>
      <c r="AT72" s="146">
        <f>AU72+各项系数!$M$9*$NM72</f>
        <v>112.69592728668266</v>
      </c>
      <c r="AU72" s="146">
        <f>AV72*(1+$BI72+(VLOOKUP($AM72,$A$12:$B$323,2,0))+各项系数!$J$6+各项系数!$M$5)*(1+$E$2)</f>
        <v>112.02222512325498</v>
      </c>
      <c r="AV72" s="199">
        <f>AW72+各项系数!$L$9*$NM72</f>
        <v>114.30839298291325</v>
      </c>
      <c r="AW72" s="199">
        <f>AX72*(1+$BJ72+各项系数!$J$5+各项系数!$L$5)</f>
        <v>113.63469081948557</v>
      </c>
      <c r="AX72" s="199">
        <f t="shared" si="130"/>
        <v>111.40655962694663</v>
      </c>
      <c r="AY72" s="146">
        <f>AZ72+各项系数!$M$9*$NS72</f>
        <v>113.61741621954508</v>
      </c>
      <c r="AZ72" s="146">
        <f>BA72*(1+$BI72+(VLOOKUP($AM72,$A$12:$B$214,2,0))+各项系数!$J$6+各项系数!$M$5)*(1+$E$2)</f>
        <v>112.93190107470545</v>
      </c>
      <c r="BA72" s="199">
        <f>BB72+各项系数!$L$9*$NS72</f>
        <v>115.23663374969944</v>
      </c>
      <c r="BB72" s="199">
        <f>BC72*(1+$BJ72+各项系数!$J$5+各项系数!$L$5)</f>
        <v>114.55111860485981</v>
      </c>
      <c r="BC72" s="199">
        <f t="shared" si="131"/>
        <v>112.30501824005863</v>
      </c>
      <c r="BD72" s="146">
        <f>BE72+各项系数!$M$9*$NS72</f>
        <v>115.39958939910468</v>
      </c>
      <c r="BE72" s="146">
        <f>BF72*(1+$BI72+(VLOOKUP($AM72,$A$12:$B$214,2,0))+各项系数!$J$6+各项系数!$M$5)*(1+$E$2)</f>
        <v>114.71407425426506</v>
      </c>
      <c r="BF72" s="199">
        <f>BG72+各项系数!$L$9*$NS72</f>
        <v>117.05517781047455</v>
      </c>
      <c r="BG72" s="199">
        <f>BH72*(1+$BJ72+各项系数!$J$5+各项系数!$L$5)</f>
        <v>116.36966266563492</v>
      </c>
      <c r="BH72" s="199">
        <f t="shared" si="132"/>
        <v>114.08790457415188</v>
      </c>
      <c r="BI72" s="214"/>
      <c r="BJ72" s="215"/>
      <c r="BK72" s="78" t="s">
        <v>514</v>
      </c>
      <c r="BL72" s="146">
        <f>BM72+各项系数!$M$9*$NM72</f>
        <v>112.26207740368923</v>
      </c>
      <c r="BM72" s="146">
        <f>BN72*(1+$CF72+(VLOOKUP($AM72,$A$12:$B$323,2,0))+各项系数!$J$6+各项系数!$M$5)*(1+$E$2)</f>
        <v>111.58837524026156</v>
      </c>
      <c r="BN72" s="199">
        <f>BO72+各项系数!$L$9*$NM72</f>
        <v>113.86568902067506</v>
      </c>
      <c r="BO72" s="199">
        <f>BP72*(1+$CG72+各项系数!$J$5+各项系数!$L$5)</f>
        <v>113.19198685724739</v>
      </c>
      <c r="BP72" s="199">
        <f t="shared" si="133"/>
        <v>109.89513287111396</v>
      </c>
      <c r="BQ72" s="146">
        <f>BR72+各项系数!$M$9*$NM72</f>
        <v>113.78771157102673</v>
      </c>
      <c r="BR72" s="146">
        <f>BS72*(1+$CF72+(VLOOKUP($AM72,$A$12:$B$323,2,0))+各项系数!$J$6+各项系数!$M$5)*(1+$E$2)</f>
        <v>113.11400940759906</v>
      </c>
      <c r="BS72" s="199">
        <f>BT72+各项系数!$L$9*$NM72</f>
        <v>115.42245857918272</v>
      </c>
      <c r="BT72" s="199">
        <f>BU72*(1+$CG72+各项系数!$J$5+各项系数!$L$5)</f>
        <v>114.74875641575504</v>
      </c>
      <c r="BU72" s="199">
        <f t="shared" si="134"/>
        <v>111.40655962694663</v>
      </c>
      <c r="BV72" s="146">
        <f>BW72+各项系数!$M$9*$NT72</f>
        <v>114.32017596124382</v>
      </c>
      <c r="BW72" s="146">
        <f>BX72*(1+$CF72+(VLOOKUP($AM72,$A$12:$B$214,2,0))+各项系数!$J$6+各项系数!$M$5)*(1+$E$2)</f>
        <v>113.63466081640419</v>
      </c>
      <c r="BX72" s="199">
        <f>BY72+各项系数!$L$9*$NT$12</f>
        <v>115.95373552694305</v>
      </c>
      <c r="BY72" s="199">
        <f>BZ72*(1+$CG72+各项系数!$J$5+各项系数!$L$5)</f>
        <v>115.94547212378808</v>
      </c>
      <c r="BZ72" s="199">
        <f t="shared" si="11"/>
        <v>112.56841953765833</v>
      </c>
      <c r="CA72" s="146">
        <f>CB72+各项系数!$M$9*$NT72</f>
        <v>115.85394415708041</v>
      </c>
      <c r="CB72" s="146">
        <f>CC72*(1+$CF72+(VLOOKUP($AM72,$A$12:$B$214,2,0))+各项系数!$J$6+各项系数!$M$5)*(1+$E$2)</f>
        <v>115.16842901224078</v>
      </c>
      <c r="CC72" s="199">
        <f>CD72+各项系数!$L$9*$NT$12</f>
        <v>117.5188051145314</v>
      </c>
      <c r="CD72" s="199">
        <f>CE72*(1+$CG72+各项系数!$J$5+各项系数!$L$5)</f>
        <v>117.51054171137643</v>
      </c>
      <c r="CE72" s="199">
        <f t="shared" si="135"/>
        <v>114.08790457415188</v>
      </c>
      <c r="CF72" s="214">
        <f t="shared" si="136"/>
        <v>0</v>
      </c>
      <c r="CG72" s="214">
        <f t="shared" si="12"/>
        <v>0.01</v>
      </c>
      <c r="CH72" s="106"/>
      <c r="CI72" s="146">
        <f>CJ72+各项系数!$M$9*$NO72</f>
        <v>114.29333643944297</v>
      </c>
      <c r="CJ72" s="146">
        <f>CK72*(1+$DC72+(VLOOKUP($AM72,$A$12:$B$323,2,0))+各项系数!$J$6+各项系数!$M$5)*(1+$E$2)+各项系数!$M$9*$NK72</f>
        <v>113.34658639165551</v>
      </c>
      <c r="CK72" s="199">
        <f>CL72+各项系数!$L$9*$NO72</f>
        <v>114.97233084513044</v>
      </c>
      <c r="CL72" s="199">
        <f>CM72*(1+$DD72+各项系数!$J$5+各项系数!$L$5)</f>
        <v>114.02558079734298</v>
      </c>
      <c r="CM72" s="199">
        <f t="shared" si="13"/>
        <v>111.7897850954343</v>
      </c>
      <c r="CN72" s="146">
        <f>CO72+各项系数!$M$9*$NO72</f>
        <v>115.93375533294405</v>
      </c>
      <c r="CO72" s="146">
        <f>CP72*(1+$DC72+(VLOOKUP($AM72,$A$12:$B$323,2,0))+各项系数!$J$6+各项系数!$M$5)*(1+$E$2)+各项系数!$M$9*$NK72</f>
        <v>114.98700528515658</v>
      </c>
      <c r="CP72" s="199">
        <f>CQ72+各项系数!$L$9*$NO72</f>
        <v>116.64622767523358</v>
      </c>
      <c r="CQ72" s="199">
        <f>CR72*(1+$DD72+各项系数!$J$5+各项系数!$L$5)</f>
        <v>115.69947762744611</v>
      </c>
      <c r="CR72" s="199">
        <f t="shared" si="14"/>
        <v>113.43086041906481</v>
      </c>
      <c r="CS72" s="146">
        <f>CT72+各项系数!$M$9*$NU72</f>
        <v>116.45798362151082</v>
      </c>
      <c r="CT72" s="146">
        <f t="shared" si="15"/>
        <v>115.4987853125414</v>
      </c>
      <c r="CU72" s="199">
        <f>CV72+各项系数!$L$9*$NU72</f>
        <v>117.85590338014428</v>
      </c>
      <c r="CV72" s="199">
        <f>CW72*(1+$DD72+各项系数!$J$5+各项系数!$L$5)</f>
        <v>116.89670507117486</v>
      </c>
      <c r="CW72" s="199">
        <f t="shared" si="16"/>
        <v>114.60461281487731</v>
      </c>
      <c r="CX72" s="146">
        <f>CY72+各项系数!$M$9*$NU72</f>
        <v>118.32970875866027</v>
      </c>
      <c r="CY72" s="146">
        <f t="shared" si="17"/>
        <v>117.37051044969085</v>
      </c>
      <c r="CZ72" s="199">
        <f>DA72+各项系数!$L$9*$NU72</f>
        <v>119.76582698948047</v>
      </c>
      <c r="DA72" s="199">
        <f>DB72*(1+$DD72+各项系数!$J$5+各项系数!$L$5)</f>
        <v>118.80662868051105</v>
      </c>
      <c r="DB72" s="199">
        <f t="shared" si="18"/>
        <v>116.4770869416775</v>
      </c>
      <c r="DC72" s="214">
        <f t="shared" si="137"/>
        <v>0</v>
      </c>
      <c r="DD72" s="214">
        <f t="shared" si="19"/>
        <v>0</v>
      </c>
      <c r="DE72" s="78" t="s">
        <v>498</v>
      </c>
      <c r="DF72" s="78" t="s">
        <v>513</v>
      </c>
      <c r="DG72" s="146">
        <f>DH72+各项系数!$M$9*$NQ72</f>
        <v>115.66670357493818</v>
      </c>
      <c r="DH72" s="146">
        <f>DI72*(1+$EA72+(VLOOKUP($AM72,$A$12:$B$323,2,0))+各项系数!$J$6+各项系数!$M$5)*(1+$E$2)+各项系数!$M$9*$NK72</f>
        <v>114.71995352715072</v>
      </c>
      <c r="DI72" s="199">
        <f>DJ72+各项系数!$L$9*$NQ72</f>
        <v>116.37372588135005</v>
      </c>
      <c r="DJ72" s="199">
        <f>DK72*(1+$EB72+各项系数!$J$5+各项系数!$L$5)</f>
        <v>115.42697583356259</v>
      </c>
      <c r="DK72" s="199">
        <f t="shared" si="20"/>
        <v>112.06502508112872</v>
      </c>
      <c r="DL72" s="146">
        <f>DM72+各项系数!$M$9*$NQ72</f>
        <v>117.26940766230453</v>
      </c>
      <c r="DM72" s="146">
        <f>DN72*(1+$EA72+(VLOOKUP($AM72,$A$12:$B$323,2,0))+各项系数!$J$6+各项系数!$M$5)*(1+$E$2)+各项系数!$M$9*$NK72</f>
        <v>116.32265761451707</v>
      </c>
      <c r="DN72" s="199">
        <f>DO72+各项系数!$L$9*$NQ72</f>
        <v>118.00913821539734</v>
      </c>
      <c r="DO72" s="199">
        <f>DP72*(1+$EB72+各项系数!$J$5+各项系数!$L$5)</f>
        <v>117.06238816760988</v>
      </c>
      <c r="DP72" s="199">
        <f t="shared" si="21"/>
        <v>113.65280404622318</v>
      </c>
      <c r="DQ72" s="146">
        <f>DR72+各项系数!$M$9*$NV72</f>
        <v>117.86034609482329</v>
      </c>
      <c r="DR72" s="146">
        <f t="shared" si="22"/>
        <v>116.90114778585387</v>
      </c>
      <c r="DS72" s="199">
        <f>DT72+各项系数!$L$9*$NV72</f>
        <v>119.28688549576925</v>
      </c>
      <c r="DT72" s="199">
        <f>DU72*(1+$EB72+各项系数!$J$5+各项系数!$L$5)</f>
        <v>118.32768718679984</v>
      </c>
      <c r="DU72" s="199">
        <f t="shared" si="23"/>
        <v>114.88124969592216</v>
      </c>
      <c r="DV72" s="146">
        <f>DW72+各项系数!$M$9*$NV72</f>
        <v>117.8932502474624</v>
      </c>
      <c r="DW72" s="146">
        <f t="shared" si="24"/>
        <v>116.93405193849298</v>
      </c>
      <c r="DX72" s="199">
        <f>DY72+各项系数!$L$9*$NV72</f>
        <v>119.32046116172754</v>
      </c>
      <c r="DY72" s="199">
        <f>DZ72*(1+$EB72+各项系数!$J$5+各项系数!$L$5)</f>
        <v>118.36126285275812</v>
      </c>
      <c r="DZ72" s="199">
        <f t="shared" si="25"/>
        <v>114.91384742986224</v>
      </c>
      <c r="EA72" s="214">
        <f t="shared" si="324"/>
        <v>0</v>
      </c>
      <c r="EB72" s="214">
        <f t="shared" si="27"/>
        <v>0.01</v>
      </c>
      <c r="EC72" s="235">
        <f t="shared" si="138"/>
        <v>4</v>
      </c>
      <c r="ED72" s="237" t="str">
        <f t="shared" si="331"/>
        <v>4*50</v>
      </c>
      <c r="EE72" s="78">
        <f t="shared" si="239"/>
        <v>50</v>
      </c>
      <c r="EF72" s="78" t="str">
        <f>LOOKUP(EH72,{1,7,10,14,19,24,30,37,48,61},{1,"1+6","2+8","4+10","1+6+12","2+8+14","4+10+16","1+6+12+18","3+9+15+21","1+6+12+18+24"})</f>
        <v>2+8</v>
      </c>
      <c r="EG72" s="106">
        <f t="shared" si="29"/>
        <v>4</v>
      </c>
      <c r="EH72" s="199">
        <f>VLOOKUP(EE72,各项系数!$B$87:$C$124,2,0)</f>
        <v>10</v>
      </c>
      <c r="EI72" s="106">
        <f>IF(EH72=0,0,VLOOKUP(EH72,各项系数!$D$142:$E$195,2,0))*1</f>
        <v>4</v>
      </c>
      <c r="EJ72" s="240">
        <f t="shared" si="141"/>
        <v>238.573455311777</v>
      </c>
      <c r="EK72" s="78">
        <f t="shared" si="332"/>
        <v>0</v>
      </c>
      <c r="EL72" s="78">
        <f t="shared" si="31"/>
        <v>0</v>
      </c>
      <c r="EM72" s="78">
        <f t="shared" si="333"/>
        <v>0</v>
      </c>
      <c r="EN72" s="78">
        <f>IF(EP72=0,0,LOOKUP(EP72,{1,7,10,14,19,24,30,37,48,61},{1,"1+6","2+8","4+10","1+6+12","2+8+14","4+10+16","1+6+12+18","3+9+15+21","1+6+12+18+24"}))</f>
        <v>0</v>
      </c>
      <c r="EO72" s="78">
        <f t="shared" si="334"/>
        <v>0</v>
      </c>
      <c r="EP72" s="78">
        <f>IF(EM72=0,0,IF(EM72&lt;10,1,IF(AND(EM72&gt;=10,EM72&lt;=35),7,LOOKUP(EM72,{50,70,95,120,150,185,240,300},{10,14,19,24,30,37,48,61})*1)))</f>
        <v>0</v>
      </c>
      <c r="EQ72" s="78">
        <f>IF(EP72=0,0,VLOOKUP(EP72,各项系数!$D$142:$E$195,2,0))*1</f>
        <v>0</v>
      </c>
      <c r="ER72" s="78">
        <f t="shared" si="335"/>
        <v>0</v>
      </c>
      <c r="ES72" s="237">
        <f t="shared" si="336"/>
        <v>4</v>
      </c>
      <c r="ET72" s="78">
        <f>VLOOKUP(ES72,各项系数!$D$142:$E$195,2,0)*1</f>
        <v>2.42</v>
      </c>
      <c r="EU72" s="243">
        <f>((各项系数!$F$76/4*$EJ72^2*$EG72*$EH72*1*10^-7)*(1-$H72)*AA72)*(VLOOKUP($EY$9,各项系数!$D$4:$F$143,3,0))*各项系数!$J$4</f>
        <v>1.5990797042219531</v>
      </c>
      <c r="EV72" s="244">
        <f>EU72*(VLOOKUP($EY$9,各项系数!$D$4:$F$143,2,0))</f>
        <v>104.73972062653793</v>
      </c>
      <c r="EW72" s="252">
        <f>(IF($EO72=0,0,(各项系数!$F$76/4*$ER72^2*$EO72*$EP72*1*10^-7))*(1-$K72)*$AF72)*(VLOOKUP($EY$9,各项系数!$D$4:$F$143,3,0))*各项系数!$J$4</f>
        <v>0</v>
      </c>
      <c r="EX72" s="253">
        <f>EW72*(VLOOKUP($EY$9,各项系数!$D$4:$F$143,2,0))</f>
        <v>0</v>
      </c>
      <c r="EY72" s="189">
        <f>((各项系数!$F$76/4*$EJ72^2*$EG72*$EH72*1*10^-7)*(1-$H72)*AA72+IF($EO72=0,0,(各项系数!$F$76/4*$ER72^2*$EO72*$EP72*1*10^-7))*(1-$K72)*$AF72)*(VLOOKUP($EY$9,各项系数!$D$4:$F$143,3,0))*各项系数!$J$4</f>
        <v>1.5990797042219531</v>
      </c>
      <c r="EZ72" s="106">
        <v>1</v>
      </c>
      <c r="FA72" s="78">
        <f t="shared" si="268"/>
        <v>1.5990797042219531</v>
      </c>
      <c r="FB72" s="246">
        <f>FA72*(VLOOKUP($EY$9,各项系数!$D$4:$F$143,2,0))</f>
        <v>104.73972062653793</v>
      </c>
      <c r="FC72" s="257"/>
      <c r="FD72" s="237">
        <f>各项系数!$F$76/4*($MN72^2-MK72^2)*10^-2*(VLOOKUP(L72,各项系数!$D$1:$F$143,3,0))*10^-3*10^2*$EG72*各项系数!$J$4</f>
        <v>0.14500644008571317</v>
      </c>
      <c r="FE72" s="264">
        <f>FD72*VLOOKUP(L72,各项系数!$D$1:$F$143,2,0)</f>
        <v>1.4790656888742744</v>
      </c>
      <c r="FF72" s="106">
        <f>各项系数!$F$76/4*($MO72^2-ML72^2)*10^-2*(VLOOKUP(L72,各项系数!$D$1:$F$143,3,0))*10^-3*10^2*$EO72*各项系数!$J$4</f>
        <v>0</v>
      </c>
      <c r="FG72" s="264">
        <f>FF72*VLOOKUP(L72,各项系数!$D$1:$F$143,2,0)</f>
        <v>0</v>
      </c>
      <c r="FH72" s="237">
        <f t="shared" si="142"/>
        <v>0.14500644008571317</v>
      </c>
      <c r="FI72" s="106">
        <v>1</v>
      </c>
      <c r="FJ72" s="78">
        <f t="shared" si="269"/>
        <v>0.14500644008571317</v>
      </c>
      <c r="FK72" s="264">
        <f>FJ72*VLOOKUP(L72,各项系数!$D$1:$F$143,2,0)</f>
        <v>1.4790656888742744</v>
      </c>
      <c r="FL72" s="237"/>
      <c r="FM72" s="106"/>
      <c r="FN72" s="78"/>
      <c r="FO72" s="264"/>
      <c r="FP72" s="289">
        <f t="shared" si="270"/>
        <v>0.14500644008571317</v>
      </c>
      <c r="FQ72" s="289">
        <f t="shared" si="271"/>
        <v>1.4790656888742744</v>
      </c>
      <c r="FR72" s="283">
        <f>各项系数!$F$76/4*($MQ72^2-$MN72^2*$EG72-$MO72^2*$EO72)*10^-2</f>
        <v>1.9426482969103236</v>
      </c>
      <c r="FS72" s="284">
        <f t="shared" si="143"/>
        <v>1</v>
      </c>
      <c r="FT72" s="285">
        <f t="shared" si="40"/>
        <v>1.9426482969103236</v>
      </c>
      <c r="FU72" s="309">
        <f>$FT72*(VLOOKUP($FT$9,各项系数!$D$1:$F$143,3,0))*10^-3*10^2*各项系数!$J$55</f>
        <v>0.23195220665109265</v>
      </c>
      <c r="FV72" s="310">
        <v>1</v>
      </c>
      <c r="FW72" s="311">
        <f t="shared" si="272"/>
        <v>0.23195220665109265</v>
      </c>
      <c r="FX72" s="290">
        <f>FW72*(VLOOKUP($FT$9,各项系数!$D$1:$F$143,2,0))</f>
        <v>0.69585661995327797</v>
      </c>
      <c r="FY72" s="309">
        <f>IF($BK72&lt;&gt;$FY$9,0,各项系数!$F$76/4*($MS72^2-$MQ72^2)*10^-2*(VLOOKUP($FY$9,各项系数!$D$1:$F$143,3,0))*10^-3*10^2)*各项系数!$J$4</f>
        <v>0</v>
      </c>
      <c r="FZ72" s="310">
        <v>1</v>
      </c>
      <c r="GA72" s="311">
        <f t="shared" si="273"/>
        <v>0</v>
      </c>
      <c r="GB72" s="290">
        <f>GA72*(VLOOKUP($FY$9,各项系数!$D$1:$F$143,2,0))</f>
        <v>0</v>
      </c>
      <c r="GC72" s="309">
        <f>IF($BK72&lt;&gt;$GC$9,0,各项系数!$F$76/4*($MS72^2-$MQ72^2)*10^-2*(VLOOKUP($GC$9,各项系数!$D$1:$F$143,3,0))*10^-3*10^2)*各项系数!$J$4</f>
        <v>7.6311248842034999E-3</v>
      </c>
      <c r="GD72" s="310">
        <v>1</v>
      </c>
      <c r="GE72" s="311">
        <f t="shared" si="274"/>
        <v>7.6311248842034999E-3</v>
      </c>
      <c r="GF72" s="290">
        <f>GE72*(VLOOKUP($GC$9,各项系数!$D$1:$F$143,2,0))</f>
        <v>9.8441511006225155E-2</v>
      </c>
      <c r="GG72" s="309">
        <f>IF($BK72&lt;&gt;$GG$9,0,各项系数!$F$76/4*($MS72^2-$MQ72^2)*10^-2*(VLOOKUP($GG$9,各项系数!$D$1:$F$143,3,0))*10^-3*10^2)*各项系数!$J$4</f>
        <v>0</v>
      </c>
      <c r="GH72" s="310">
        <v>1</v>
      </c>
      <c r="GI72" s="311">
        <f t="shared" si="275"/>
        <v>0</v>
      </c>
      <c r="GJ72" s="290">
        <f>GI72*(VLOOKUP($GG$9,各项系数!$D$1:$F$143,2,0))</f>
        <v>0</v>
      </c>
      <c r="GK72" s="309">
        <f>IF($BK72&lt;&gt;$GK$9,0,各项系数!$F$76/4*($MS72^2-$MQ72^2)*10^-2*(VLOOKUP($GK$9,各项系数!$D$1:$F$143,3,0))*10^-3*10^2)*各项系数!$J$4</f>
        <v>0</v>
      </c>
      <c r="GL72" s="310">
        <v>1</v>
      </c>
      <c r="GM72" s="311">
        <f t="shared" si="276"/>
        <v>0</v>
      </c>
      <c r="GN72" s="290">
        <f>GM72*(VLOOKUP($GK$9,各项系数!$D$1:$F$143,2,0))</f>
        <v>0</v>
      </c>
      <c r="GO72" s="311">
        <f t="shared" si="277"/>
        <v>7.6311248842034999E-3</v>
      </c>
      <c r="GP72" s="311">
        <f t="shared" si="278"/>
        <v>9.8441511006225155E-2</v>
      </c>
      <c r="GQ72" s="317">
        <f>各项系数!$F$76/4*($MU72^2-$MS72^2)*10^-2*(VLOOKUP($S72,各项系数!$D$1:$F$143,3,0))*10^-3*10^2*各项系数!$J$4</f>
        <v>0.20833912021346407</v>
      </c>
      <c r="GR72" s="310">
        <v>1</v>
      </c>
      <c r="GS72" s="311">
        <f t="shared" si="279"/>
        <v>0.20833912021346407</v>
      </c>
      <c r="GT72" s="311">
        <f t="shared" si="200"/>
        <v>0</v>
      </c>
      <c r="GU72" s="311">
        <f>ROUND($GS72*(VLOOKUP($S72,各项系数!$D$1:$F$143,2,0))+$E$3*GS72,GT72)</f>
        <v>1</v>
      </c>
      <c r="GV72" s="315">
        <f>各项系数!$F$76/4*($MT72^2-$MS72^2)*10^-2*(VLOOKUP($GV$9,各项系数!$D$1:$F$143,3,0))*10^-3*10^2*各项系数!$J$4*PI()/4*R72</f>
        <v>3.9376604706516341E-2</v>
      </c>
      <c r="GW72" s="310">
        <v>1</v>
      </c>
      <c r="GX72" s="311">
        <f t="shared" si="280"/>
        <v>3.9376604706516341E-2</v>
      </c>
      <c r="GY72" s="311">
        <f>$GX72*(VLOOKUP($GV$9,各项系数!$D$1:$F$143,2,0))</f>
        <v>2.657920817689853</v>
      </c>
      <c r="GZ72" s="317">
        <f>各项系数!$F$76/4*($MV72^2-$MS72^2)*10^-2*(VLOOKUP($GZ$9,各项系数!$D$1:$F$143,3,0))*10^-3*10^2*各项系数!$J$4</f>
        <v>0.25843971650440728</v>
      </c>
      <c r="HA72" s="310">
        <v>1</v>
      </c>
      <c r="HB72" s="311">
        <f t="shared" si="144"/>
        <v>0.25843971650440728</v>
      </c>
      <c r="HC72" s="311">
        <f>HB72*(VLOOKUP($GZ$9,各项系数!$D$1:$F$143,2,0))</f>
        <v>4.3934751805749235</v>
      </c>
      <c r="HD72" s="317">
        <f>各项系数!$F$76/4*($MW72^2-$MT72^2)*10^-2*(VLOOKUP($HD$9,各项系数!$D$1:$F$143,3,0))*10^-3*10^2*各项系数!$J$4</f>
        <v>0.25981760647590091</v>
      </c>
      <c r="HE72" s="310">
        <v>1</v>
      </c>
      <c r="HF72" s="311">
        <f t="shared" si="145"/>
        <v>0.25981760647590091</v>
      </c>
      <c r="HG72" s="311">
        <f>HF72*(VLOOKUP($HD$9,各项系数!$D$1:$F$143,2,0))</f>
        <v>4.4168993100903151</v>
      </c>
      <c r="HH72" s="317">
        <f>各项系数!$F$76/4*($MV72^2-$MS72^2)*10^-2*(VLOOKUP($HH$9,各项系数!$D$1:$F$143,3,0))*10^-3*10^2*各项系数!$J$4</f>
        <v>0.25843971650440728</v>
      </c>
      <c r="HI72" s="311">
        <v>1</v>
      </c>
      <c r="HJ72" s="311">
        <f t="shared" si="146"/>
        <v>0.25843971650440728</v>
      </c>
      <c r="HK72" s="311">
        <f>HJ72*(VLOOKUP($HH$9,各项系数!$D$1:$F$143,2,0))</f>
        <v>4.3934751805749235</v>
      </c>
      <c r="HL72" s="317">
        <f>各项系数!$F$76/4*($MW72^2-$MT72^2)*10^-2*(VLOOKUP($HL$9,各项系数!$D$1:$F$143,3,0))*10^-3*10^2*各项系数!$J$4</f>
        <v>0.25981760647590091</v>
      </c>
      <c r="HM72" s="311">
        <v>1</v>
      </c>
      <c r="HN72" s="311">
        <f t="shared" si="147"/>
        <v>0.25981760647590091</v>
      </c>
      <c r="HO72" s="311">
        <f>HN72*(VLOOKUP($HL$9,各项系数!$D$1:$F$143,2,0))</f>
        <v>4.4168993100903151</v>
      </c>
      <c r="HP72" s="317">
        <f>各项系数!$F$76/4*($MV72^2-$MS72^2)*10^-2*(VLOOKUP(AN72,各项系数!$D$1:$F$143,3,0))*10^-3*10^2*各项系数!$J$4</f>
        <v>0.26200440224929572</v>
      </c>
      <c r="HQ72" s="310">
        <v>1</v>
      </c>
      <c r="HR72" s="311">
        <f t="shared" si="281"/>
        <v>0.26200440224929572</v>
      </c>
      <c r="HS72" s="311">
        <f>HR72*(VLOOKUP(AN72,各项系数!$D$1:$F$143,2,0))</f>
        <v>2.6200440224929573</v>
      </c>
      <c r="HT72" s="317">
        <f>各项系数!$F$76/4*($MW72^2-$MT72^2)*10^-2*(VLOOKUP(AN72,各项系数!$D$1:$F$143,3,0))*10^-3*10^2*各项系数!$J$4</f>
        <v>0.26340129759970649</v>
      </c>
      <c r="HU72" s="310">
        <v>1</v>
      </c>
      <c r="HV72" s="311">
        <f t="shared" si="282"/>
        <v>0.26340129759970649</v>
      </c>
      <c r="HW72" s="311">
        <f>HV72*(VLOOKUP(AN72,各项系数!$D$1:$F$143,2,0))</f>
        <v>2.6340129759970647</v>
      </c>
      <c r="HX72" s="317">
        <f>各项系数!$F$76/4*($MV72^2-$MS72^2)*10^-2*(VLOOKUP($HX$9,各项系数!$D$1:$F$143,3,0))*10^-3*10^2*各项系数!$J$4</f>
        <v>0.26200440224929572</v>
      </c>
      <c r="HY72" s="311">
        <v>1</v>
      </c>
      <c r="HZ72" s="311">
        <f t="shared" si="283"/>
        <v>0.26200440224929572</v>
      </c>
      <c r="IA72" s="311">
        <f>HZ72*(VLOOKUP($HX$9,各项系数!$D$1:$F$143,2,0))</f>
        <v>2.8820484247422531</v>
      </c>
      <c r="IB72" s="317">
        <f>各项系数!$F$76/4*($MW72^2-$MT72^2)*10^-2*(VLOOKUP($IB$9,各项系数!$D$1:$F$143,3,0))*10^-3*10^2*各项系数!$J$4</f>
        <v>0.26340129759970649</v>
      </c>
      <c r="IC72" s="311">
        <v>1</v>
      </c>
      <c r="ID72" s="311">
        <f t="shared" si="284"/>
        <v>0.26340129759970649</v>
      </c>
      <c r="IE72" s="311">
        <f>ID72*(VLOOKUP($IB$9,各项系数!$D$1:$F$143,2,0))</f>
        <v>2.8974142735967714</v>
      </c>
      <c r="IF72" s="309"/>
      <c r="IG72" s="317">
        <f t="shared" si="148"/>
        <v>5.5382201688895294E-2</v>
      </c>
      <c r="IH72" s="310">
        <v>1</v>
      </c>
      <c r="II72" s="311">
        <f t="shared" si="285"/>
        <v>5.5382201688895294E-2</v>
      </c>
      <c r="IJ72" s="311">
        <f>II72*(VLOOKUP($IG$8,各项系数!$D$1:$F$143,2,0))</f>
        <v>1.3845550422223822</v>
      </c>
      <c r="IK72" s="317">
        <f>(各项系数!$F$76/4*($MX72^2-$MK72^2)*$EG72)*10^-2*(VLOOKUP($IG$8,各项系数!$D$1:$F$143,3,0))*10^-3*10^2*各项系数!$J$4</f>
        <v>5.5382201688895294E-2</v>
      </c>
      <c r="IL72" s="310">
        <f>IK72*(VLOOKUP($IG$8,各项系数!$D$1:$F$143,2,0))</f>
        <v>1.3845550422223822</v>
      </c>
      <c r="IM72" s="311">
        <f>(各项系数!$F$76/4*(($MM72+3*$X72)^2-MM72^2)*$EO72)*10^-2*(VLOOKUP($IG$8,各项系数!$D$1:$F$143,3,0))*10^-3*10^2*各项系数!$J$4</f>
        <v>0</v>
      </c>
      <c r="IN72" s="310">
        <f>IM72*(VLOOKUP($IG$8,各项系数!$D$1:$F$143,2,0))</f>
        <v>0</v>
      </c>
      <c r="IO72" s="317">
        <f>各项系数!$F$76/4*($MZ72^2-$MX72^2)*10^-2*(VLOOKUP(L72,各项系数!$D$1:$F$143,3,0))*10^-3*10^2*$ES72*各项系数!$J$4</f>
        <v>0.15325877566816273</v>
      </c>
      <c r="IP72" s="310">
        <v>1</v>
      </c>
      <c r="IQ72" s="311">
        <f t="shared" si="286"/>
        <v>0.15325877566816273</v>
      </c>
      <c r="IR72" s="290">
        <f>IQ72*(VLOOKUP(L72,各项系数!$D$1:$F$143,2,0))</f>
        <v>1.5632395118152598</v>
      </c>
      <c r="IS72" s="317">
        <f>IF($L72&lt;&gt;$IS$9,0,各项系数!$F$76/4*($MZ72^2-$MX72^2)*10^-2*各项系数!$F$12*10^-3*10^2)*$ES72*各项系数!$J$4</f>
        <v>0</v>
      </c>
      <c r="IT72" s="310">
        <v>1</v>
      </c>
      <c r="IU72" s="311">
        <f t="shared" si="287"/>
        <v>0</v>
      </c>
      <c r="IV72" s="290">
        <f>IU72*各项系数!$E$12</f>
        <v>0</v>
      </c>
      <c r="IW72" s="309">
        <f t="shared" si="288"/>
        <v>0.15325877566816273</v>
      </c>
      <c r="IX72" s="309">
        <f t="shared" si="289"/>
        <v>1.5632395118152598</v>
      </c>
      <c r="IY72" s="339">
        <f>各项系数!$F$76/4*($NB72^2-$MZ72^2*$EG72-$NA72^2*$EO72)*10^-2</f>
        <v>2.1498542124574076</v>
      </c>
      <c r="IZ72" s="284">
        <f t="shared" si="231"/>
        <v>1</v>
      </c>
      <c r="JA72" s="285">
        <f t="shared" si="64"/>
        <v>2.1498542124574076</v>
      </c>
      <c r="JB72" s="289">
        <f>IF($DE72&lt;&gt;$JB$9,0,$JA72*各项系数!$F$32*10^-3*10^2)*各项系数!$J$4</f>
        <v>0</v>
      </c>
      <c r="JC72" s="106">
        <v>1</v>
      </c>
      <c r="JD72" s="78">
        <f t="shared" si="290"/>
        <v>0</v>
      </c>
      <c r="JE72" s="264">
        <f>JD72*各项系数!$E$32</f>
        <v>0</v>
      </c>
      <c r="JF72" s="282">
        <f>IF($DE72&lt;&gt;$JF$9,0,$JA72*VLOOKUP($JF$9,各项系数!$D$4:$F$540,2,0)*10^-3*10^2)*各项系数!$J$4</f>
        <v>1.0695524706975603</v>
      </c>
      <c r="JG72" s="102">
        <v>1</v>
      </c>
      <c r="JH72" s="189">
        <f t="shared" si="66"/>
        <v>1.0695524706975603</v>
      </c>
      <c r="JI72" s="262">
        <f>JH72*VLOOKUP($JF$9,各项系数!$D$4:$F$540,3,0)</f>
        <v>1.2834629648370723</v>
      </c>
      <c r="JJ72" s="289">
        <f t="shared" si="291"/>
        <v>1.0695524706975603</v>
      </c>
      <c r="JK72" s="78">
        <f t="shared" si="292"/>
        <v>1.2834629648370723</v>
      </c>
      <c r="JL72" s="289">
        <f>IF($DF72&lt;&gt;$JL$9,0,各项系数!$F$76/4*($NE72^2-$NC72^2)*10^-2*各项系数!$F$39*10^-3*10^2)*各项系数!$J$4</f>
        <v>3.3203546538624847E-3</v>
      </c>
      <c r="JM72" s="106">
        <v>1</v>
      </c>
      <c r="JN72" s="78">
        <f t="shared" si="293"/>
        <v>3.3203546538624847E-3</v>
      </c>
      <c r="JO72" s="264">
        <f>JN72*各项系数!$E$39</f>
        <v>6.6407093077249693E-2</v>
      </c>
      <c r="JP72" s="289">
        <f>IF($DF72&lt;&gt;$JP$9,0,各项系数!$F$76/4*($NE72^2-$NC72^2)*10^-2*各项系数!$F$36*10^-3*10^2)*各项系数!$J$4</f>
        <v>0</v>
      </c>
      <c r="JQ72" s="106">
        <v>1</v>
      </c>
      <c r="JR72" s="78">
        <f t="shared" si="294"/>
        <v>0</v>
      </c>
      <c r="JS72" s="264">
        <f>JR72*各项系数!$E$36</f>
        <v>0</v>
      </c>
      <c r="JT72" s="289">
        <f>IF($DF72&lt;&gt;$JT$9,0,各项系数!$F$76/4*($NE72^2-$NC72^2)*10^-2*各项系数!$F$40*10^-3*10^2)*各项系数!$J$4</f>
        <v>0</v>
      </c>
      <c r="JU72" s="106">
        <v>1</v>
      </c>
      <c r="JV72" s="78">
        <f t="shared" si="295"/>
        <v>0</v>
      </c>
      <c r="JW72" s="264">
        <f>JV72*各项系数!$E$40</f>
        <v>0</v>
      </c>
      <c r="JX72" s="289">
        <f>IF($DF72&lt;&gt;$JX$9,0,各项系数!$F$76/4*($NE72^2-$NC72^2)*10^-2*各项系数!$F$38*10^-3*10^2)*各项系数!$J$4</f>
        <v>0</v>
      </c>
      <c r="JY72" s="106">
        <v>1</v>
      </c>
      <c r="JZ72" s="78">
        <f t="shared" si="296"/>
        <v>0</v>
      </c>
      <c r="KA72" s="264">
        <f>JZ72*各项系数!$E$38</f>
        <v>0</v>
      </c>
      <c r="KB72" s="289">
        <f>IF($DF72&lt;&gt;$KB$9,0,各项系数!$F$76/4*($NE72^2-$NC72^2)*10^-2*各项系数!$F$41*10^-3*10^2)*各项系数!$J$4</f>
        <v>0</v>
      </c>
      <c r="KC72" s="106">
        <v>1</v>
      </c>
      <c r="KD72" s="78">
        <f t="shared" si="297"/>
        <v>0</v>
      </c>
      <c r="KE72" s="264">
        <f>KD72*各项系数!$E$41</f>
        <v>0</v>
      </c>
      <c r="KF72" s="78">
        <f t="shared" si="298"/>
        <v>3.3203546538624847E-3</v>
      </c>
      <c r="KG72" s="78">
        <f t="shared" si="299"/>
        <v>6.6407093077249693E-2</v>
      </c>
      <c r="KH72" s="237">
        <f>各项系数!$F$76/4*($NG72^2-$NE72^2)*10^-2*各项系数!$F$44*10^-3*10^2*各项系数!$J$4*0.75*$U72</f>
        <v>0.32918466246966516</v>
      </c>
      <c r="KI72" s="106">
        <v>1</v>
      </c>
      <c r="KJ72" s="78">
        <f t="shared" si="300"/>
        <v>0.32918466246966516</v>
      </c>
      <c r="KK72" s="78">
        <f>ROUND(KJ72*各项系数!$E$43,GT72)</f>
        <v>2</v>
      </c>
      <c r="KL72" s="235">
        <f>各项系数!$F$76/4*($NF72^2-$NE72^2)*10^-2*各项系数!$F$46*10^-3*10^2*各项系数!$J$4*PI()/4*R72</f>
        <v>4.1494203939835675E-2</v>
      </c>
      <c r="KM72" s="106">
        <v>1</v>
      </c>
      <c r="KN72" s="78">
        <f t="shared" si="301"/>
        <v>4.1494203939835675E-2</v>
      </c>
      <c r="KO72" s="78">
        <f>KN72*各项系数!$E$46</f>
        <v>2.8008587659389081</v>
      </c>
      <c r="KP72" s="237">
        <f>各项系数!$F$76/4*($NH72^2-$NE72^2)*10^-2*(VLOOKUP($KP$9,各项系数!$D$1:$F$143,3,0))*10^-3*10^2*各项系数!$J$4</f>
        <v>0.27149522398431158</v>
      </c>
      <c r="KQ72" s="106">
        <v>1</v>
      </c>
      <c r="KR72" s="78">
        <f t="shared" si="150"/>
        <v>0.27149522398431158</v>
      </c>
      <c r="KS72" s="78">
        <f>KR72*(VLOOKUP($KP$9,各项系数!$D$1:$F$143,2,0))</f>
        <v>4.6154188077332972</v>
      </c>
      <c r="KT72" s="237">
        <f>各项系数!$F$76/4*($NI72^2-$NF72^2)*10^-2*(VLOOKUP($KT$9,各项系数!$D$1:$F$143,3,0))*10^-3*10^2*各项系数!$J$4</f>
        <v>0.27287311395580544</v>
      </c>
      <c r="KU72" s="106">
        <v>1</v>
      </c>
      <c r="KV72" s="78">
        <f t="shared" si="151"/>
        <v>0.27287311395580544</v>
      </c>
      <c r="KW72" s="78">
        <f>KV72*(VLOOKUP($KT$9,各项系数!$D$1:$F$143,2,0))</f>
        <v>4.6388429372486923</v>
      </c>
      <c r="KX72" s="78">
        <f>各项系数!$F$76/4*($NH72^2-$NE72^2)*10^-2*(VLOOKUP($KX$9,各项系数!$D$1:$F$143,3,0))*10^-3*10^2*各项系数!$J$4</f>
        <v>0.27149522398431158</v>
      </c>
      <c r="KY72" s="355">
        <v>1</v>
      </c>
      <c r="KZ72" s="78">
        <f t="shared" si="152"/>
        <v>0.27149522398431158</v>
      </c>
      <c r="LA72" s="78">
        <f>KZ72*(VLOOKUP($KX$9,各项系数!$D$1:$F$143,2,0))</f>
        <v>4.6154188077332972</v>
      </c>
      <c r="LB72" s="78">
        <f>各项系数!$F$76/4*($NI72^2-$NF72^2)*10^-2*(VLOOKUP($LB$9,各项系数!$D$1:$F$143,3,0))*10^-3*10^2*各项系数!$J$4</f>
        <v>0.27287311395580544</v>
      </c>
      <c r="LC72" s="355">
        <v>1</v>
      </c>
      <c r="LD72" s="78">
        <f t="shared" si="153"/>
        <v>0.27287311395580544</v>
      </c>
      <c r="LE72" s="78">
        <f>LD72*(VLOOKUP($LB$9,各项系数!$D$1:$F$143,2,0))</f>
        <v>4.6388429372486923</v>
      </c>
      <c r="LF72" s="237">
        <f>各项系数!$F$76/4*($NH72^2-$NE72^2)*10^-2*(VLOOKUP(AN72,各项系数!$D$1:$F$143,3,0))*10^-3*10^2*各项系数!$J$4</f>
        <v>0.27523998569444003</v>
      </c>
      <c r="LG72" s="106">
        <v>1</v>
      </c>
      <c r="LH72" s="78">
        <f t="shared" si="302"/>
        <v>0.27523998569444003</v>
      </c>
      <c r="LI72" s="78">
        <f>LH72*(VLOOKUP(AN72,各项系数!$D$1:$F$143,2,0))</f>
        <v>2.7523998569444004</v>
      </c>
      <c r="LJ72" s="237">
        <f>各项系数!$F$76/4*($NI72^2-$NF72^2)*10^-2*(VLOOKUP(AN72,各项系数!$D$1:$F$143,3,0))*10^-3*10^2*各项系数!$J$4</f>
        <v>0.27663688104485107</v>
      </c>
      <c r="LK72" s="106">
        <v>1</v>
      </c>
      <c r="LL72" s="78">
        <f t="shared" si="303"/>
        <v>0.27663688104485107</v>
      </c>
      <c r="LM72" s="78">
        <f>LL72*(VLOOKUP(AN72,各项系数!$D$1:$F$143,2,0))</f>
        <v>2.7663688104485109</v>
      </c>
      <c r="LN72" s="78">
        <f>各项系数!$F$76/4*($NH72^2-$NE72^2)*10^-2*(VLOOKUP($LN$9,各项系数!$D$1:$F$143,3,0))*10^-3*10^2*各项系数!$J$4</f>
        <v>0.27523998569444003</v>
      </c>
      <c r="LO72" s="355">
        <v>1</v>
      </c>
      <c r="LP72" s="78">
        <f t="shared" si="304"/>
        <v>0.27523998569444003</v>
      </c>
      <c r="LQ72" s="78">
        <f>LP72*(VLOOKUP($LN$9,各项系数!$D$1:$F$143,2,0))</f>
        <v>3.0276398426388402</v>
      </c>
      <c r="LR72" s="78">
        <f>各项系数!$F$76/4*($NI72^2-$NF72^2)*10^-2*(VLOOKUP($LR$9,各项系数!$D$1:$F$143,3,0))*10^-3*10^2*各项系数!$J$4</f>
        <v>0.27663688104485107</v>
      </c>
      <c r="LS72" s="355">
        <v>1</v>
      </c>
      <c r="LT72" s="78">
        <f t="shared" si="305"/>
        <v>0.27663688104485107</v>
      </c>
      <c r="LU72" s="78">
        <f>LT72*(VLOOKUP($LR$9,各项系数!$D$1:$F$143,2,0))</f>
        <v>3.0430056914933616</v>
      </c>
      <c r="LV72" s="367">
        <f t="shared" si="154"/>
        <v>286.09752144999999</v>
      </c>
      <c r="LW72" s="367">
        <f t="shared" si="155"/>
        <v>178.81095089999999</v>
      </c>
      <c r="LX72" s="367">
        <f t="shared" si="156"/>
        <v>15.088710140949011</v>
      </c>
      <c r="LY72" s="367">
        <f t="shared" si="157"/>
        <v>107.28657054999999</v>
      </c>
      <c r="LZ72" s="374">
        <f t="shared" si="86"/>
        <v>1</v>
      </c>
      <c r="MA72" s="375">
        <f t="shared" si="87"/>
        <v>286.09752144999999</v>
      </c>
      <c r="MB72" s="367">
        <f t="shared" si="158"/>
        <v>9.5429382</v>
      </c>
      <c r="MC72" s="367">
        <f t="shared" si="159"/>
        <v>0</v>
      </c>
      <c r="MD72" s="367">
        <f t="shared" si="160"/>
        <v>0</v>
      </c>
      <c r="ME72" s="367">
        <f t="shared" si="161"/>
        <v>0</v>
      </c>
      <c r="MF72" s="367">
        <f t="shared" si="162"/>
        <v>0</v>
      </c>
      <c r="MG72" s="379">
        <f t="shared" si="163"/>
        <v>1</v>
      </c>
      <c r="MH72" s="375">
        <f t="shared" si="88"/>
        <v>0</v>
      </c>
      <c r="MI72" s="367">
        <f t="shared" si="164"/>
        <v>0</v>
      </c>
      <c r="MJ72" s="78">
        <f t="shared" si="89"/>
        <v>9.5429382</v>
      </c>
      <c r="MK72" s="78">
        <f t="shared" si="165"/>
        <v>9.5429382</v>
      </c>
      <c r="ML72" s="78">
        <f t="shared" si="306"/>
        <v>0</v>
      </c>
      <c r="MM72" s="78">
        <f t="shared" si="91"/>
        <v>0</v>
      </c>
      <c r="MN72" s="78">
        <f t="shared" si="92"/>
        <v>11.5429382</v>
      </c>
      <c r="MO72" s="189">
        <f t="shared" si="166"/>
        <v>0</v>
      </c>
      <c r="MP72" s="78">
        <f t="shared" si="167"/>
        <v>27.933910439999998</v>
      </c>
      <c r="MQ72" s="78">
        <f t="shared" si="307"/>
        <v>27.933910439999998</v>
      </c>
      <c r="MR72" s="246">
        <f t="shared" si="168"/>
        <v>27.933910439999998</v>
      </c>
      <c r="MS72" s="380">
        <f t="shared" si="94"/>
        <v>28.109910439999997</v>
      </c>
      <c r="MT72" s="382">
        <f t="shared" si="95"/>
        <v>28.269910439999997</v>
      </c>
      <c r="MU72" s="382">
        <f t="shared" si="232"/>
        <v>28.709910439999998</v>
      </c>
      <c r="MV72" s="382">
        <f t="shared" si="97"/>
        <v>31.909910439999997</v>
      </c>
      <c r="MW72" s="382">
        <f t="shared" si="98"/>
        <v>32.069910439999994</v>
      </c>
      <c r="MX72" s="246">
        <f t="shared" si="233"/>
        <v>10.1429382</v>
      </c>
      <c r="MY72" s="246">
        <f t="shared" si="100"/>
        <v>0</v>
      </c>
      <c r="MZ72" s="78">
        <f t="shared" si="101"/>
        <v>12.1429382</v>
      </c>
      <c r="NA72" s="78">
        <f t="shared" si="102"/>
        <v>0</v>
      </c>
      <c r="NB72" s="78">
        <f t="shared" si="169"/>
        <v>29.38591044</v>
      </c>
      <c r="NC72" s="246">
        <f t="shared" si="308"/>
        <v>29.38591044</v>
      </c>
      <c r="ND72" s="246">
        <f t="shared" si="234"/>
        <v>29.38591044</v>
      </c>
      <c r="NE72" s="386">
        <f t="shared" si="235"/>
        <v>29.625910439999998</v>
      </c>
      <c r="NF72" s="382">
        <f t="shared" si="106"/>
        <v>29.785910439999999</v>
      </c>
      <c r="NG72" s="150">
        <f t="shared" si="236"/>
        <v>30.22591044</v>
      </c>
      <c r="NH72" s="246">
        <f t="shared" si="108"/>
        <v>33.425910439999996</v>
      </c>
      <c r="NI72" s="382">
        <f t="shared" si="109"/>
        <v>33.585910439999999</v>
      </c>
      <c r="NK72" s="390">
        <f t="shared" si="110"/>
        <v>2.245673878092258</v>
      </c>
      <c r="NL72" s="390">
        <f t="shared" si="111"/>
        <v>109.63312846886467</v>
      </c>
      <c r="NM72" s="390">
        <f t="shared" si="112"/>
        <v>2.245673878092258</v>
      </c>
      <c r="NN72" s="390">
        <f t="shared" si="113"/>
        <v>109.89513287111396</v>
      </c>
      <c r="NO72" s="390">
        <f t="shared" si="114"/>
        <v>3.1558334926248737</v>
      </c>
      <c r="NP72" s="390">
        <f t="shared" si="115"/>
        <v>111.7897850954343</v>
      </c>
      <c r="NQ72" s="390">
        <f t="shared" si="116"/>
        <v>3.1558334926248737</v>
      </c>
      <c r="NR72" s="390">
        <f t="shared" si="117"/>
        <v>112.06502508112872</v>
      </c>
      <c r="NS72" s="390">
        <f t="shared" si="118"/>
        <v>2.2850504827987743</v>
      </c>
      <c r="NT72" s="390">
        <f t="shared" si="119"/>
        <v>2.2850504827987743</v>
      </c>
      <c r="NU72" s="390">
        <f t="shared" si="120"/>
        <v>3.1973276965647095</v>
      </c>
      <c r="NV72" s="390">
        <f t="shared" si="121"/>
        <v>3.1973276965647095</v>
      </c>
      <c r="NW72" s="9">
        <f t="shared" si="122"/>
        <v>2.4540129983057222</v>
      </c>
      <c r="NX72" s="9">
        <f>各项系数!$M$9*NK72</f>
        <v>0.67370216342767741</v>
      </c>
      <c r="NY72" s="9">
        <f t="shared" si="123"/>
        <v>2.2850504827987743</v>
      </c>
    </row>
    <row r="73" spans="1:389" s="9" customFormat="1" ht="15" hidden="1" customHeight="1">
      <c r="A73" s="65"/>
      <c r="B73" s="66"/>
      <c r="C73" s="67"/>
      <c r="D73" s="58" t="s">
        <v>246</v>
      </c>
      <c r="E73" s="399">
        <f t="shared" si="325"/>
        <v>35.558310399999996</v>
      </c>
      <c r="F73" s="68">
        <f>$F$25</f>
        <v>242.29596858910099</v>
      </c>
      <c r="G73" s="58"/>
      <c r="H73" s="16"/>
      <c r="I73" s="62"/>
      <c r="J73" s="62"/>
      <c r="K73" s="16"/>
      <c r="L73" s="107" t="s">
        <v>467</v>
      </c>
      <c r="M73" s="98">
        <f t="shared" si="2"/>
        <v>1.1000000000000001</v>
      </c>
      <c r="N73" s="98">
        <f t="shared" si="252"/>
        <v>0</v>
      </c>
      <c r="O73" s="58">
        <f t="shared" si="326"/>
        <v>0.08</v>
      </c>
      <c r="P73" s="99">
        <v>0.1</v>
      </c>
      <c r="Q73" s="136">
        <f t="shared" si="322"/>
        <v>0.1</v>
      </c>
      <c r="R73" s="151">
        <v>0.8</v>
      </c>
      <c r="S73" s="144" t="str">
        <f>各项系数!$D$43</f>
        <v>钢带</v>
      </c>
      <c r="T73" s="62">
        <v>0.5</v>
      </c>
      <c r="U73" s="62">
        <v>2</v>
      </c>
      <c r="V73" s="143"/>
      <c r="W73" s="145">
        <v>2.1</v>
      </c>
      <c r="X73" s="139">
        <f t="shared" si="323"/>
        <v>0.2</v>
      </c>
      <c r="Y73" s="139"/>
      <c r="Z73" s="169"/>
      <c r="AA73" s="170">
        <f>$AA$25</f>
        <v>1.0129999999999999</v>
      </c>
      <c r="AB73" s="153">
        <f>PI()*EJ73*EJ73/4*EH73*(1-H73)*AA73*各项系数!$F$5*各项系数!$J$4*10^-7</f>
        <v>0.57842170409620475</v>
      </c>
      <c r="AC73" s="170">
        <f t="shared" si="327"/>
        <v>242.29596858910099</v>
      </c>
      <c r="AD73" s="153">
        <f t="shared" si="5"/>
        <v>65.39126499722515</v>
      </c>
      <c r="AE73" s="153">
        <f>POWER(4*EU73/PI()/EG73/10^-7/EH73/(1-H73)/各项系数!$F$5/各项系数!$J$4,0.5)</f>
        <v>243.86580688497418</v>
      </c>
      <c r="AF73" s="16">
        <v>1</v>
      </c>
      <c r="AG73" s="16">
        <f>IF(EM73=0,0,PI()*ER73*ER73/4*EP73*(1-K73)*(1+AF73)*各项系数!$F$5*各项系数!$J$4*10^-7)</f>
        <v>0</v>
      </c>
      <c r="AH73" s="16">
        <f t="shared" si="328"/>
        <v>0</v>
      </c>
      <c r="AI73" s="69">
        <f t="shared" si="128"/>
        <v>0</v>
      </c>
      <c r="AJ73" s="69">
        <f>IF(OR(EP73="",EP73=0),0,POWER(4*EW73/PI()/EO73/10^-7/EP73/(1-K73)/各项系数!$F$5/各项系数!$J$4,0.5))</f>
        <v>0</v>
      </c>
      <c r="AK73" s="16" t="str">
        <f t="shared" si="8"/>
        <v>√</v>
      </c>
      <c r="AL73" s="16">
        <f t="shared" si="329"/>
        <v>162.54359344215175</v>
      </c>
      <c r="AM73" s="106">
        <f t="shared" si="330"/>
        <v>70</v>
      </c>
      <c r="AN73" s="107" t="s">
        <v>486</v>
      </c>
      <c r="AO73" s="146">
        <f>AP73+各项系数!$M$9*$NK73</f>
        <v>159.3564641589723</v>
      </c>
      <c r="AP73" s="146">
        <f>AQ73*(1+$BI73+(VLOOKUP($AM73,$A$12:$B$323,2,0))+各项系数!$J$6+各项系数!$M$5)*(1+$E$2)</f>
        <v>158.42274407739814</v>
      </c>
      <c r="AQ73" s="199">
        <f>AR73+各项系数!$L$9*$NK73</f>
        <v>161.65586130346747</v>
      </c>
      <c r="AR73" s="199">
        <f>AS73*(1+$BJ73+各项系数!$J$5+各项系数!$L$5)</f>
        <v>160.72214122189331</v>
      </c>
      <c r="AS73" s="199">
        <f t="shared" si="129"/>
        <v>157.57072668813069</v>
      </c>
      <c r="AT73" s="146">
        <f>AU73+各项系数!$M$9*$NM73</f>
        <v>161.54093163131446</v>
      </c>
      <c r="AU73" s="146">
        <f>AV73*(1+$BI73+(VLOOKUP($AM73,$A$12:$B$323,2,0))+各项系数!$J$6+各项系数!$M$5)*(1+$E$2)</f>
        <v>160.6072115497403</v>
      </c>
      <c r="AV73" s="199">
        <f>AW73+各项系数!$L$9*$NM73</f>
        <v>163.88490974463295</v>
      </c>
      <c r="AW73" s="199">
        <f>AX73*(1+$BJ73+各项系数!$J$5+各项系数!$L$5)</f>
        <v>162.95118966305878</v>
      </c>
      <c r="AX73" s="199">
        <f t="shared" si="130"/>
        <v>159.75606829711646</v>
      </c>
      <c r="AY73" s="146">
        <f>AZ73+各项系数!$M$9*$NS73</f>
        <v>162.36099688897295</v>
      </c>
      <c r="AZ73" s="146">
        <f>BA73*(1+$BI73+(VLOOKUP($AM73,$A$12:$B$214,2,0))+各项系数!$J$6+各项系数!$M$5)*(1+$E$2)</f>
        <v>161.41410258404787</v>
      </c>
      <c r="BA73" s="199">
        <f>BB73+各项系数!$L$9*$NS73</f>
        <v>164.70826794290599</v>
      </c>
      <c r="BB73" s="199">
        <f>BC73*(1+$BJ73+各项系数!$J$5+各项系数!$L$5)</f>
        <v>163.76137363798091</v>
      </c>
      <c r="BC73" s="199">
        <f t="shared" si="131"/>
        <v>160.55036631174599</v>
      </c>
      <c r="BD73" s="146">
        <f>BE73+各项系数!$M$9*$NS73</f>
        <v>164.55591063882869</v>
      </c>
      <c r="BE73" s="146">
        <f>BF73*(1+$BI73+(VLOOKUP($AM73,$A$12:$B$214,2,0))+各项系数!$J$6+各项系数!$M$5)*(1+$E$2)</f>
        <v>163.60901633390361</v>
      </c>
      <c r="BF73" s="199">
        <f>BG73+各项系数!$L$9*$NS73</f>
        <v>166.94797585092206</v>
      </c>
      <c r="BG73" s="199">
        <f>BH73*(1+$BJ73+各项系数!$J$5+各项系数!$L$5)</f>
        <v>166.00108154599698</v>
      </c>
      <c r="BH73" s="199">
        <f t="shared" si="132"/>
        <v>162.74615837842842</v>
      </c>
      <c r="BI73" s="214"/>
      <c r="BJ73" s="215"/>
      <c r="BK73" s="78" t="s">
        <v>514</v>
      </c>
      <c r="BL73" s="146">
        <f>BM73+各项系数!$M$9*$NM73</f>
        <v>161.2265516740398</v>
      </c>
      <c r="BM73" s="146">
        <f>BN73*(1+$CF73+(VLOOKUP($AM73,$A$12:$B$323,2,0))+各项系数!$J$6+各项系数!$M$5)*(1+$E$2)</f>
        <v>160.29283159246563</v>
      </c>
      <c r="BN73" s="199">
        <f>BO73+各项系数!$L$9*$NM73</f>
        <v>163.56411386986289</v>
      </c>
      <c r="BO73" s="199">
        <f>BP73*(1+$CG73+各项系数!$J$5+各项系数!$L$5)</f>
        <v>162.63039378828873</v>
      </c>
      <c r="BP73" s="199">
        <f t="shared" si="133"/>
        <v>157.89358620222205</v>
      </c>
      <c r="BQ73" s="146">
        <f>BR73+各项系数!$M$9*$NM73</f>
        <v>163.1065411006262</v>
      </c>
      <c r="BR73" s="146">
        <f>BS73*(1+$CF73+(VLOOKUP($AM73,$A$12:$B$323,2,0))+各项系数!$J$6+各项系数!$M$5)*(1+$E$2)</f>
        <v>162.17282101905204</v>
      </c>
      <c r="BS73" s="199">
        <f>BT73+各项系数!$L$9*$NM73</f>
        <v>165.48247042760411</v>
      </c>
      <c r="BT73" s="199">
        <f>BU73*(1+$CG73+各项系数!$J$5+各项系数!$L$5)</f>
        <v>164.54875034602995</v>
      </c>
      <c r="BU73" s="199">
        <f t="shared" si="134"/>
        <v>159.75606829711646</v>
      </c>
      <c r="BV73" s="146">
        <f>BW73+各项系数!$M$9*$NT73</f>
        <v>163.34198503859091</v>
      </c>
      <c r="BW73" s="146">
        <f>BX73*(1+$CF73+(VLOOKUP($AM73,$A$12:$B$214,2,0))+各项系数!$J$6+各项系数!$M$5)*(1+$E$2)</f>
        <v>162.39509073366582</v>
      </c>
      <c r="BX73" s="199">
        <f>BY73+各项系数!$L$9*$NT$12</f>
        <v>165.70927625884269</v>
      </c>
      <c r="BY73" s="199">
        <f>BZ73*(1+$CG73+各项系数!$J$5+各项系数!$L$5)</f>
        <v>165.70101285568771</v>
      </c>
      <c r="BZ73" s="199">
        <f t="shared" si="11"/>
        <v>160.8747697628036</v>
      </c>
      <c r="CA73" s="146">
        <f>CB73+各项系数!$M$9*$NT73</f>
        <v>165.23096470720259</v>
      </c>
      <c r="CB73" s="146">
        <f>CC73*(1+$CF73+(VLOOKUP($AM73,$A$12:$B$214,2,0))+各项系数!$J$6+各项系数!$M$5)*(1+$E$2)</f>
        <v>164.28407040227751</v>
      </c>
      <c r="CC73" s="199">
        <f>CD73+各项系数!$L$9*$NT$12</f>
        <v>167.63680653293625</v>
      </c>
      <c r="CD73" s="199">
        <f>CE73*(1+$CG73+各项系数!$J$5+各项系数!$L$5)</f>
        <v>167.62854312978126</v>
      </c>
      <c r="CE73" s="199">
        <f t="shared" si="135"/>
        <v>162.74615837842842</v>
      </c>
      <c r="CF73" s="214">
        <f t="shared" si="136"/>
        <v>0</v>
      </c>
      <c r="CG73" s="214">
        <f t="shared" si="12"/>
        <v>0.01</v>
      </c>
      <c r="CH73" s="106"/>
      <c r="CI73" s="146">
        <f>CJ73+各项系数!$M$9*$NO73</f>
        <v>163.41275206122506</v>
      </c>
      <c r="CJ73" s="146">
        <f>CK73*(1+$DC73+(VLOOKUP($AM73,$A$12:$B$323,2,0))+各项系数!$J$6+各项系数!$M$5)*(1+$E$2)+各项系数!$M$9*$NK73</f>
        <v>162.145811495277</v>
      </c>
      <c r="CK73" s="199">
        <f>CL73+各项系数!$L$9*$NO73</f>
        <v>164.50213409561513</v>
      </c>
      <c r="CL73" s="199">
        <f>CM73*(1+$DD73+各项系数!$J$5+各项系数!$L$5)</f>
        <v>163.23519352966707</v>
      </c>
      <c r="CM73" s="199">
        <f t="shared" si="13"/>
        <v>160.0345034604579</v>
      </c>
      <c r="CN73" s="146">
        <f>CO73+各项系数!$M$9*$NO73</f>
        <v>165.45099002122663</v>
      </c>
      <c r="CO73" s="146">
        <f>CP73*(1+$DC73+(VLOOKUP($AM73,$A$12:$B$323,2,0))+各项系数!$J$6+各项系数!$M$5)*(1+$E$2)+各项系数!$M$9*$NK73</f>
        <v>164.18404945527857</v>
      </c>
      <c r="CP73" s="199">
        <f>CQ73+各项系数!$L$9*$NO73</f>
        <v>166.58196874867795</v>
      </c>
      <c r="CQ73" s="199">
        <f>CR73*(1+$DD73+各项系数!$J$5+各项系数!$L$5)</f>
        <v>165.31502818272989</v>
      </c>
      <c r="CR73" s="199">
        <f t="shared" si="14"/>
        <v>162.07355704189206</v>
      </c>
      <c r="CS73" s="146">
        <f>CT73+各项系数!$M$9*$NU73</f>
        <v>165.62770333666572</v>
      </c>
      <c r="CT73" s="146">
        <f t="shared" si="15"/>
        <v>164.34695326759677</v>
      </c>
      <c r="CU73" s="199">
        <f>CV73+各项系数!$L$9*$NU73</f>
        <v>167.70097272203753</v>
      </c>
      <c r="CV73" s="199">
        <f>CW73*(1+$DD73+各项系数!$J$5+各项系数!$L$5)</f>
        <v>166.42022265296859</v>
      </c>
      <c r="CW73" s="199">
        <f t="shared" si="16"/>
        <v>163.15708103232214</v>
      </c>
      <c r="CX73" s="146">
        <f>CY73+各项系数!$M$9*$NU73</f>
        <v>167.92159556596295</v>
      </c>
      <c r="CY73" s="146">
        <f t="shared" si="17"/>
        <v>166.640845496894</v>
      </c>
      <c r="CZ73" s="199">
        <f>DA73+各项系数!$L$9*$NU73</f>
        <v>170.04167907846326</v>
      </c>
      <c r="DA73" s="199">
        <f>DB73*(1+$DD73+各项系数!$J$5+各项系数!$L$5)</f>
        <v>168.76092900939432</v>
      </c>
      <c r="DB73" s="199">
        <f t="shared" si="18"/>
        <v>165.45189118568069</v>
      </c>
      <c r="DC73" s="214">
        <f t="shared" si="137"/>
        <v>0</v>
      </c>
      <c r="DD73" s="214">
        <f t="shared" si="19"/>
        <v>0</v>
      </c>
      <c r="DE73" s="78" t="s">
        <v>498</v>
      </c>
      <c r="DF73" s="78" t="s">
        <v>513</v>
      </c>
      <c r="DG73" s="146">
        <f>DH73+各项系数!$M$9*$NQ73</f>
        <v>165.32175090216242</v>
      </c>
      <c r="DH73" s="146">
        <f>DI73*(1+$EA73+(VLOOKUP($AM73,$A$12:$B$323,2,0))+各项系数!$J$6+各项系数!$M$5)*(1+$E$2)+各项系数!$M$9*$NK73</f>
        <v>164.05481033621436</v>
      </c>
      <c r="DI73" s="199">
        <f>DJ73+各项系数!$L$9*$NQ73</f>
        <v>166.45009209657164</v>
      </c>
      <c r="DJ73" s="199">
        <f>DK73*(1+$EB73+各项系数!$J$5+各项系数!$L$5)</f>
        <v>165.18315153062358</v>
      </c>
      <c r="DK73" s="199">
        <f t="shared" si="20"/>
        <v>160.37199177730443</v>
      </c>
      <c r="DL73" s="146">
        <f>DM73+各项系数!$M$9*$NQ73</f>
        <v>167.28692287193863</v>
      </c>
      <c r="DM73" s="146">
        <f>DN73*(1+$EA73+(VLOOKUP($AM73,$A$12:$B$323,2,0))+各项系数!$J$6+各项系数!$M$5)*(1+$E$2)+各项系数!$M$9*$NK73</f>
        <v>166.01998230599057</v>
      </c>
      <c r="DN73" s="199">
        <f>DO73+各项系数!$L$9*$NQ73</f>
        <v>168.45536961675143</v>
      </c>
      <c r="DO73" s="199">
        <f>DP73*(1+$EB73+各项系数!$J$5+各项系数!$L$5)</f>
        <v>167.18842905080336</v>
      </c>
      <c r="DP73" s="199">
        <f t="shared" si="21"/>
        <v>162.31886315611976</v>
      </c>
      <c r="DQ73" s="146">
        <f>DR73+各项系数!$M$9*$NV73</f>
        <v>167.56886188778108</v>
      </c>
      <c r="DR73" s="146">
        <f t="shared" si="22"/>
        <v>166.28811181871214</v>
      </c>
      <c r="DS73" s="199">
        <f>DT73+各项系数!$L$9*$NV73</f>
        <v>169.68174675378791</v>
      </c>
      <c r="DT73" s="199">
        <f>DU73*(1+$EB73+各项系数!$J$5+各项系数!$L$5)</f>
        <v>168.40099668471896</v>
      </c>
      <c r="DU73" s="199">
        <f t="shared" si="23"/>
        <v>163.49611328613491</v>
      </c>
      <c r="DV73" s="146">
        <f>DW73+各项系数!$M$9*$NV73</f>
        <v>167.61378238930141</v>
      </c>
      <c r="DW73" s="146">
        <f t="shared" si="24"/>
        <v>166.33303232023246</v>
      </c>
      <c r="DX73" s="199">
        <f>DY73+各项系数!$L$9*$NV73</f>
        <v>169.72758400023721</v>
      </c>
      <c r="DY73" s="199">
        <f>DZ73*(1+$EB73+各项系数!$J$5+各项系数!$L$5)</f>
        <v>168.44683393116827</v>
      </c>
      <c r="DZ73" s="199">
        <f t="shared" si="25"/>
        <v>163.54061546715366</v>
      </c>
      <c r="EA73" s="214">
        <f t="shared" si="324"/>
        <v>0</v>
      </c>
      <c r="EB73" s="214">
        <f t="shared" si="27"/>
        <v>0.01</v>
      </c>
      <c r="EC73" s="235">
        <f t="shared" si="138"/>
        <v>4</v>
      </c>
      <c r="ED73" s="237" t="str">
        <f t="shared" si="331"/>
        <v>4*70</v>
      </c>
      <c r="EE73" s="78">
        <f t="shared" si="239"/>
        <v>70</v>
      </c>
      <c r="EF73" s="78" t="str">
        <f>LOOKUP(EH73,{1,7,10,14,19,24,30,37,48,61},{1,"1+6","2+8","4+10","1+6+12","2+8+14","4+10+16","1+6+12+18","3+9+15+21","1+6+12+18+24"})</f>
        <v>4+10</v>
      </c>
      <c r="EG73" s="106">
        <f t="shared" si="29"/>
        <v>4</v>
      </c>
      <c r="EH73" s="199">
        <f>VLOOKUP(EE73,各项系数!$B$87:$C$124,2,0)</f>
        <v>14</v>
      </c>
      <c r="EI73" s="106">
        <f>IF(EH73=0,0,VLOOKUP(EH73,各项系数!$D$142:$E$195,2,0))*1</f>
        <v>4.41</v>
      </c>
      <c r="EJ73" s="240">
        <f t="shared" si="141"/>
        <v>242.29596858910099</v>
      </c>
      <c r="EK73" s="78">
        <f t="shared" si="332"/>
        <v>0</v>
      </c>
      <c r="EL73" s="78">
        <f t="shared" si="31"/>
        <v>0</v>
      </c>
      <c r="EM73" s="78">
        <f t="shared" si="333"/>
        <v>0</v>
      </c>
      <c r="EN73" s="78">
        <f>IF(EP73=0,0,LOOKUP(EP73,{1,7,10,14,19,24,30,37,48,61},{1,"1+6","2+8","4+10","1+6+12","2+8+14","4+10+16","1+6+12+18","3+9+15+21","1+6+12+18+24"}))</f>
        <v>0</v>
      </c>
      <c r="EO73" s="78">
        <f t="shared" si="334"/>
        <v>0</v>
      </c>
      <c r="EP73" s="78">
        <f>IF(EM73=0,0,IF(EM73&lt;10,1,IF(AND(EM73&gt;=10,EM73&lt;=35),7,LOOKUP(EM73,{50,70,95,120,150,185,240,300},{10,14,19,24,30,37,48,61})*1)))</f>
        <v>0</v>
      </c>
      <c r="EQ73" s="78">
        <f>IF(EP73=0,0,VLOOKUP(EP73,各项系数!$D$142:$E$195,2,0))*1</f>
        <v>0</v>
      </c>
      <c r="ER73" s="78">
        <f t="shared" si="335"/>
        <v>0</v>
      </c>
      <c r="ES73" s="237">
        <f t="shared" si="336"/>
        <v>4</v>
      </c>
      <c r="ET73" s="78">
        <f>VLOOKUP(ES73,各项系数!$D$142:$E$195,2,0)*1</f>
        <v>2.42</v>
      </c>
      <c r="EU73" s="243">
        <f>((各项系数!$F$76/4*$EJ73^2*$EG73*$EH73*1*10^-7)*(1-$H73)*AA73)*(VLOOKUP($EY$9,各项系数!$D$4:$F$143,3,0))*各项系数!$J$4</f>
        <v>2.3136868163848194</v>
      </c>
      <c r="EV73" s="244">
        <f>EU73*(VLOOKUP($EY$9,各项系数!$D$4:$F$143,2,0))</f>
        <v>151.54648647320568</v>
      </c>
      <c r="EW73" s="252">
        <f>(IF($EO73=0,0,(各项系数!$F$76/4*$ER73^2*$EO73*$EP73*1*10^-7))*(1-$K73)*$AF73)*(VLOOKUP($EY$9,各项系数!$D$4:$F$143,3,0))*各项系数!$J$4</f>
        <v>0</v>
      </c>
      <c r="EX73" s="253">
        <f>EW73*(VLOOKUP($EY$9,各项系数!$D$4:$F$143,2,0))</f>
        <v>0</v>
      </c>
      <c r="EY73" s="189">
        <f>((各项系数!$F$76/4*$EJ73^2*$EG73*$EH73*1*10^-7)*(1-$H73)*AA73+IF($EO73=0,0,(各项系数!$F$76/4*$ER73^2*$EO73*$EP73*1*10^-7))*(1-$K73)*$AF73)*(VLOOKUP($EY$9,各项系数!$D$4:$F$143,3,0))*各项系数!$J$4</f>
        <v>2.3136868163848194</v>
      </c>
      <c r="EZ73" s="106">
        <v>1</v>
      </c>
      <c r="FA73" s="78">
        <f t="shared" si="268"/>
        <v>2.3136868163848194</v>
      </c>
      <c r="FB73" s="246">
        <f>FA73*(VLOOKUP($EY$9,各项系数!$D$4:$F$143,2,0))</f>
        <v>151.54648647320568</v>
      </c>
      <c r="FC73" s="257"/>
      <c r="FD73" s="237">
        <f>各项系数!$F$76/4*($MN73^2-MK73^2)*10^-2*(VLOOKUP(L73,各项系数!$D$1:$F$143,3,0))*10^-3*10^2*$EG73*各项系数!$J$4</f>
        <v>0.17830240326391772</v>
      </c>
      <c r="FE73" s="264">
        <f>FD73*VLOOKUP(L73,各项系数!$D$1:$F$143,2,0)</f>
        <v>1.8186845132919607</v>
      </c>
      <c r="FF73" s="106">
        <f>各项系数!$F$76/4*($MO73^2-ML73^2)*10^-2*(VLOOKUP(L73,各项系数!$D$1:$F$143,3,0))*10^-3*10^2*$EO73*各项系数!$J$4</f>
        <v>0</v>
      </c>
      <c r="FG73" s="264">
        <f>FF73*VLOOKUP(L73,各项系数!$D$1:$F$143,2,0)</f>
        <v>0</v>
      </c>
      <c r="FH73" s="237">
        <f t="shared" si="142"/>
        <v>0.17830240326391772</v>
      </c>
      <c r="FI73" s="106">
        <v>1</v>
      </c>
      <c r="FJ73" s="78">
        <f t="shared" si="269"/>
        <v>0.17830240326391772</v>
      </c>
      <c r="FK73" s="264">
        <f>FJ73*VLOOKUP(L73,各项系数!$D$1:$F$143,2,0)</f>
        <v>1.8186845132919607</v>
      </c>
      <c r="FL73" s="237"/>
      <c r="FM73" s="106"/>
      <c r="FN73" s="78"/>
      <c r="FO73" s="264"/>
      <c r="FP73" s="289">
        <f t="shared" si="270"/>
        <v>0.17830240326391772</v>
      </c>
      <c r="FQ73" s="289">
        <f t="shared" si="271"/>
        <v>1.8186845132919607</v>
      </c>
      <c r="FR73" s="283">
        <f>各项系数!$F$76/4*($MQ73^2-$MN73^2*$EG73-$MO73^2*$EO73)*10^-2</f>
        <v>2.4207352264037509</v>
      </c>
      <c r="FS73" s="284">
        <f t="shared" si="143"/>
        <v>1</v>
      </c>
      <c r="FT73" s="285">
        <f t="shared" si="40"/>
        <v>2.4207352264037509</v>
      </c>
      <c r="FU73" s="309">
        <f>$FT73*(VLOOKUP($FT$9,各项系数!$D$1:$F$143,3,0))*10^-3*10^2*各项系数!$J$55</f>
        <v>0.28903578603260782</v>
      </c>
      <c r="FV73" s="310">
        <v>1</v>
      </c>
      <c r="FW73" s="311">
        <f t="shared" si="272"/>
        <v>0.28903578603260782</v>
      </c>
      <c r="FX73" s="290">
        <f>FW73*(VLOOKUP($FT$9,各项系数!$D$1:$F$143,2,0))</f>
        <v>0.86710735809782347</v>
      </c>
      <c r="FY73" s="309">
        <f>IF($BK73&lt;&gt;$FY$9,0,各项系数!$F$76/4*($MS73^2-$MQ73^2)*10^-2*(VLOOKUP($FY$9,各项系数!$D$1:$F$143,3,0))*10^-3*10^2)*各项系数!$J$4</f>
        <v>0</v>
      </c>
      <c r="FZ73" s="310">
        <v>1</v>
      </c>
      <c r="GA73" s="311">
        <f t="shared" si="273"/>
        <v>0</v>
      </c>
      <c r="GB73" s="290">
        <f>GA73*(VLOOKUP($FY$9,各项系数!$D$1:$F$143,2,0))</f>
        <v>0</v>
      </c>
      <c r="GC73" s="309">
        <f>IF($BK73&lt;&gt;$GC$9,0,各项系数!$F$76/4*($MS73^2-$MQ73^2)*10^-2*(VLOOKUP($GC$9,各项系数!$D$1:$F$143,3,0))*10^-3*10^2)*各项系数!$J$4</f>
        <v>8.5157521412094032E-3</v>
      </c>
      <c r="GD73" s="310">
        <v>1</v>
      </c>
      <c r="GE73" s="311">
        <f t="shared" si="274"/>
        <v>8.5157521412094032E-3</v>
      </c>
      <c r="GF73" s="290">
        <f>GE73*(VLOOKUP($GC$9,各项系数!$D$1:$F$143,2,0))</f>
        <v>0.10985320262160131</v>
      </c>
      <c r="GG73" s="309">
        <f>IF($BK73&lt;&gt;$GG$9,0,各项系数!$F$76/4*($MS73^2-$MQ73^2)*10^-2*(VLOOKUP($GG$9,各项系数!$D$1:$F$143,3,0))*10^-3*10^2)*各项系数!$J$4</f>
        <v>0</v>
      </c>
      <c r="GH73" s="310">
        <v>1</v>
      </c>
      <c r="GI73" s="311">
        <f t="shared" si="275"/>
        <v>0</v>
      </c>
      <c r="GJ73" s="290">
        <f>GI73*(VLOOKUP($GG$9,各项系数!$D$1:$F$143,2,0))</f>
        <v>0</v>
      </c>
      <c r="GK73" s="309">
        <f>IF($BK73&lt;&gt;$GK$9,0,各项系数!$F$76/4*($MS73^2-$MQ73^2)*10^-2*(VLOOKUP($GK$9,各项系数!$D$1:$F$143,3,0))*10^-3*10^2)*各项系数!$J$4</f>
        <v>0</v>
      </c>
      <c r="GL73" s="310">
        <v>1</v>
      </c>
      <c r="GM73" s="311">
        <f t="shared" si="276"/>
        <v>0</v>
      </c>
      <c r="GN73" s="290">
        <f>GM73*(VLOOKUP($GK$9,各项系数!$D$1:$F$143,2,0))</f>
        <v>0</v>
      </c>
      <c r="GO73" s="311">
        <f t="shared" si="277"/>
        <v>8.5157521412094032E-3</v>
      </c>
      <c r="GP73" s="311">
        <f t="shared" si="278"/>
        <v>0.10985320262160131</v>
      </c>
      <c r="GQ73" s="317">
        <f>各项系数!$F$76/4*($MU73^2-$MS73^2)*10^-2*(VLOOKUP($S73,各项系数!$D$1:$F$143,3,0))*10^-3*10^2*各项系数!$J$4</f>
        <v>0.58865172722072079</v>
      </c>
      <c r="GR73" s="310">
        <v>1</v>
      </c>
      <c r="GS73" s="311">
        <f t="shared" si="279"/>
        <v>0.58865172722072079</v>
      </c>
      <c r="GT73" s="311">
        <f t="shared" si="200"/>
        <v>0</v>
      </c>
      <c r="GU73" s="311">
        <f>ROUND($GS73*(VLOOKUP($S73,各项系数!$D$1:$F$143,2,0))+$E$3*GS73,GT73)</f>
        <v>3</v>
      </c>
      <c r="GV73" s="315">
        <f>各项系数!$F$76/4*($MT73^2-$MS73^2)*10^-2*(VLOOKUP($GV$9,各项系数!$D$1:$F$143,3,0))*10^-3*10^2*各项系数!$J$4*PI()/4*R73</f>
        <v>4.3914077836338161E-2</v>
      </c>
      <c r="GW73" s="310">
        <v>1</v>
      </c>
      <c r="GX73" s="311">
        <f t="shared" si="280"/>
        <v>4.3914077836338161E-2</v>
      </c>
      <c r="GY73" s="311">
        <f>$GX73*(VLOOKUP($GV$9,各项系数!$D$1:$F$143,2,0))</f>
        <v>2.9642002539528258</v>
      </c>
      <c r="GZ73" s="317">
        <f>各项系数!$F$76/4*($MV73^2-$MS73^2)*10^-2*(VLOOKUP($GZ$9,各项系数!$D$1:$F$143,3,0))*10^-3*10^2*各项系数!$J$4</f>
        <v>0.31846686764114107</v>
      </c>
      <c r="HA73" s="310">
        <v>1</v>
      </c>
      <c r="HB73" s="311">
        <f t="shared" si="144"/>
        <v>0.31846686764114107</v>
      </c>
      <c r="HC73" s="311">
        <f>HB73*(VLOOKUP($GZ$9,各项系数!$D$1:$F$143,2,0))</f>
        <v>5.4139367498993982</v>
      </c>
      <c r="HD73" s="317">
        <f>各项系数!$F$76/4*($MW73^2-$MT73^2)*10^-2*(VLOOKUP($HD$9,各项系数!$D$1:$F$143,3,0))*10^-3*10^2*各项系数!$J$4</f>
        <v>0.31998979866226612</v>
      </c>
      <c r="HE73" s="310">
        <v>1</v>
      </c>
      <c r="HF73" s="311">
        <f t="shared" si="145"/>
        <v>0.31998979866226612</v>
      </c>
      <c r="HG73" s="311">
        <f>HF73*(VLOOKUP($HD$9,各项系数!$D$1:$F$143,2,0))</f>
        <v>5.4398265772585237</v>
      </c>
      <c r="HH73" s="317">
        <f>各项系数!$F$76/4*($MV73^2-$MS73^2)*10^-2*(VLOOKUP($HH$9,各项系数!$D$1:$F$143,3,0))*10^-3*10^2*各项系数!$J$4</f>
        <v>0.31846686764114107</v>
      </c>
      <c r="HI73" s="311">
        <v>1</v>
      </c>
      <c r="HJ73" s="311">
        <f t="shared" si="146"/>
        <v>0.31846686764114107</v>
      </c>
      <c r="HK73" s="311">
        <f>HJ73*(VLOOKUP($HH$9,各项系数!$D$1:$F$143,2,0))</f>
        <v>5.4139367498993982</v>
      </c>
      <c r="HL73" s="317">
        <f>各项系数!$F$76/4*($MW73^2-$MT73^2)*10^-2*(VLOOKUP($HL$9,各项系数!$D$1:$F$143,3,0))*10^-3*10^2*各项系数!$J$4</f>
        <v>0.31998979866226612</v>
      </c>
      <c r="HM73" s="311">
        <v>1</v>
      </c>
      <c r="HN73" s="311">
        <f t="shared" si="147"/>
        <v>0.31998979866226612</v>
      </c>
      <c r="HO73" s="311">
        <f>HN73*(VLOOKUP($HL$9,各项系数!$D$1:$F$143,2,0))</f>
        <v>5.4398265772585237</v>
      </c>
      <c r="HP73" s="317">
        <f>各项系数!$F$76/4*($MV73^2-$MS73^2)*10^-2*(VLOOKUP(AN73,各项系数!$D$1:$F$143,3,0))*10^-3*10^2*各项系数!$J$4</f>
        <v>0.32285951409136365</v>
      </c>
      <c r="HQ73" s="310">
        <v>1</v>
      </c>
      <c r="HR73" s="311">
        <f t="shared" si="281"/>
        <v>0.32285951409136365</v>
      </c>
      <c r="HS73" s="311">
        <f>HR73*(VLOOKUP(AN73,各项系数!$D$1:$F$143,2,0))</f>
        <v>3.2285951409136366</v>
      </c>
      <c r="HT73" s="317">
        <f>各项系数!$F$76/4*($MW73^2-$MT73^2)*10^-2*(VLOOKUP(AN73,各项系数!$D$1:$F$143,3,0))*10^-3*10^2*各项系数!$J$4</f>
        <v>0.32440345105760776</v>
      </c>
      <c r="HU73" s="310">
        <v>1</v>
      </c>
      <c r="HV73" s="311">
        <f t="shared" si="282"/>
        <v>0.32440345105760776</v>
      </c>
      <c r="HW73" s="311">
        <f>HV73*(VLOOKUP(AN73,各项系数!$D$1:$F$143,2,0))</f>
        <v>3.2440345105760775</v>
      </c>
      <c r="HX73" s="317">
        <f>各项系数!$F$76/4*($MV73^2-$MS73^2)*10^-2*(VLOOKUP($HX$9,各项系数!$D$1:$F$143,3,0))*10^-3*10^2*各项系数!$J$4</f>
        <v>0.32285951409136365</v>
      </c>
      <c r="HY73" s="311">
        <v>1</v>
      </c>
      <c r="HZ73" s="311">
        <f t="shared" si="283"/>
        <v>0.32285951409136365</v>
      </c>
      <c r="IA73" s="311">
        <f>HZ73*(VLOOKUP($HX$9,各项系数!$D$1:$F$143,2,0))</f>
        <v>3.5514546550050001</v>
      </c>
      <c r="IB73" s="317">
        <f>各项系数!$F$76/4*($MW73^2-$MT73^2)*10^-2*(VLOOKUP($IB$9,各项系数!$D$1:$F$143,3,0))*10^-3*10^2*各项系数!$J$4</f>
        <v>0.32440345105760776</v>
      </c>
      <c r="IC73" s="311">
        <v>1</v>
      </c>
      <c r="ID73" s="311">
        <f t="shared" si="284"/>
        <v>0.32440345105760776</v>
      </c>
      <c r="IE73" s="311">
        <f>ID73*(VLOOKUP($IB$9,各项系数!$D$1:$F$143,2,0))</f>
        <v>3.5684379616336854</v>
      </c>
      <c r="IF73" s="309"/>
      <c r="IG73" s="317">
        <f t="shared" si="148"/>
        <v>6.1809537177145581E-2</v>
      </c>
      <c r="IH73" s="310">
        <v>1</v>
      </c>
      <c r="II73" s="311">
        <f t="shared" si="285"/>
        <v>6.1809537177145581E-2</v>
      </c>
      <c r="IJ73" s="311">
        <f>II73*(VLOOKUP($IG$8,各项系数!$D$1:$F$143,2,0))</f>
        <v>1.5452384294286394</v>
      </c>
      <c r="IK73" s="317">
        <f>(各项系数!$F$76/4*($MX73^2-$MK73^2)*$EG73)*10^-2*(VLOOKUP($IG$8,各项系数!$D$1:$F$143,3,0))*10^-3*10^2*各项系数!$J$4</f>
        <v>6.1809537177145581E-2</v>
      </c>
      <c r="IL73" s="310">
        <f>IK73*(VLOOKUP($IG$8,各项系数!$D$1:$F$143,2,0))</f>
        <v>1.5452384294286394</v>
      </c>
      <c r="IM73" s="311">
        <f>(各项系数!$F$76/4*(($MM73+3*$X73)^2-MM73^2)*$EO73)*10^-2*(VLOOKUP($IG$8,各项系数!$D$1:$F$143,3,0))*10^-3*10^2*各项系数!$J$4</f>
        <v>0</v>
      </c>
      <c r="IN73" s="310">
        <f>IM73*(VLOOKUP($IG$8,各项系数!$D$1:$F$143,2,0))</f>
        <v>0</v>
      </c>
      <c r="IO73" s="317">
        <f>各项系数!$F$76/4*($MZ73^2-$MX73^2)*10^-2*(VLOOKUP(L73,各项系数!$D$1:$F$143,3,0))*10^-3*10^2*$ES73*各项系数!$J$4</f>
        <v>0.18737997240461246</v>
      </c>
      <c r="IP73" s="310">
        <v>1</v>
      </c>
      <c r="IQ73" s="311">
        <f t="shared" si="286"/>
        <v>0.18737997240461246</v>
      </c>
      <c r="IR73" s="290">
        <f>IQ73*(VLOOKUP(L73,各项系数!$D$1:$F$143,2,0))</f>
        <v>1.911275718527047</v>
      </c>
      <c r="IS73" s="317">
        <f>IF($L73&lt;&gt;$IS$9,0,各项系数!$F$76/4*($MZ73^2-$MX73^2)*10^-2*各项系数!$F$12*10^-3*10^2)*$ES73*各项系数!$J$4</f>
        <v>0</v>
      </c>
      <c r="IT73" s="310">
        <v>1</v>
      </c>
      <c r="IU73" s="311">
        <f t="shared" si="287"/>
        <v>0</v>
      </c>
      <c r="IV73" s="290">
        <f>IU73*各项系数!$E$12</f>
        <v>0</v>
      </c>
      <c r="IW73" s="309">
        <f t="shared" si="288"/>
        <v>0.18737997240461246</v>
      </c>
      <c r="IX73" s="309">
        <f t="shared" si="289"/>
        <v>1.911275718527047</v>
      </c>
      <c r="IY73" s="339">
        <f>各项系数!$F$76/4*($NB73^2-$MZ73^2*$EG73-$NA73^2*$EO73)*10^-2</f>
        <v>2.6514264802141985</v>
      </c>
      <c r="IZ73" s="284">
        <f t="shared" si="231"/>
        <v>1</v>
      </c>
      <c r="JA73" s="285">
        <f t="shared" si="64"/>
        <v>2.6514264802141985</v>
      </c>
      <c r="JB73" s="289">
        <f>IF($DE73&lt;&gt;$JB$9,0,$JA73*各项系数!$F$32*10^-3*10^2)*各项系数!$J$4</f>
        <v>0</v>
      </c>
      <c r="JC73" s="106">
        <v>1</v>
      </c>
      <c r="JD73" s="78">
        <f t="shared" si="290"/>
        <v>0</v>
      </c>
      <c r="JE73" s="264">
        <f>JD73*各项系数!$E$32</f>
        <v>0</v>
      </c>
      <c r="JF73" s="282">
        <f>IF($DE73&lt;&gt;$JF$9,0,$JA73*VLOOKUP($JF$9,各项系数!$D$4:$F$540,2,0)*10^-3*10^2)*各项系数!$J$4</f>
        <v>1.3190846739065638</v>
      </c>
      <c r="JG73" s="102">
        <v>1</v>
      </c>
      <c r="JH73" s="189">
        <f t="shared" si="66"/>
        <v>1.3190846739065638</v>
      </c>
      <c r="JI73" s="262">
        <f>JH73*VLOOKUP($JF$9,各项系数!$D$4:$F$540,3,0)</f>
        <v>1.5829016086878764</v>
      </c>
      <c r="JJ73" s="289">
        <f t="shared" si="291"/>
        <v>1.3190846739065638</v>
      </c>
      <c r="JK73" s="78">
        <f t="shared" si="292"/>
        <v>1.5829016086878764</v>
      </c>
      <c r="JL73" s="289">
        <f>IF($DF73&lt;&gt;$JL$9,0,各项系数!$F$76/4*($NE73^2-$NC73^2)*10^-2*各项系数!$F$39*10^-3*10^2)*各项系数!$J$4</f>
        <v>3.6859031071707449E-3</v>
      </c>
      <c r="JM73" s="106">
        <v>1</v>
      </c>
      <c r="JN73" s="78">
        <f t="shared" si="293"/>
        <v>3.6859031071707449E-3</v>
      </c>
      <c r="JO73" s="264">
        <f>JN73*各项系数!$E$39</f>
        <v>7.3718062143414892E-2</v>
      </c>
      <c r="JP73" s="289">
        <f>IF($DF73&lt;&gt;$JP$9,0,各项系数!$F$76/4*($NE73^2-$NC73^2)*10^-2*各项系数!$F$36*10^-3*10^2)*各项系数!$J$4</f>
        <v>0</v>
      </c>
      <c r="JQ73" s="106">
        <v>1</v>
      </c>
      <c r="JR73" s="78">
        <f t="shared" si="294"/>
        <v>0</v>
      </c>
      <c r="JS73" s="264">
        <f>JR73*各项系数!$E$36</f>
        <v>0</v>
      </c>
      <c r="JT73" s="289">
        <f>IF($DF73&lt;&gt;$JT$9,0,各项系数!$F$76/4*($NE73^2-$NC73^2)*10^-2*各项系数!$F$40*10^-3*10^2)*各项系数!$J$4</f>
        <v>0</v>
      </c>
      <c r="JU73" s="106">
        <v>1</v>
      </c>
      <c r="JV73" s="78">
        <f t="shared" si="295"/>
        <v>0</v>
      </c>
      <c r="JW73" s="264">
        <f>JV73*各项系数!$E$40</f>
        <v>0</v>
      </c>
      <c r="JX73" s="289">
        <f>IF($DF73&lt;&gt;$JX$9,0,各项系数!$F$76/4*($NE73^2-$NC73^2)*10^-2*各项系数!$F$38*10^-3*10^2)*各项系数!$J$4</f>
        <v>0</v>
      </c>
      <c r="JY73" s="106">
        <v>1</v>
      </c>
      <c r="JZ73" s="78">
        <f t="shared" si="296"/>
        <v>0</v>
      </c>
      <c r="KA73" s="264">
        <f>JZ73*各项系数!$E$38</f>
        <v>0</v>
      </c>
      <c r="KB73" s="289">
        <f>IF($DF73&lt;&gt;$KB$9,0,各项系数!$F$76/4*($NE73^2-$NC73^2)*10^-2*各项系数!$F$41*10^-3*10^2)*各项系数!$J$4</f>
        <v>0</v>
      </c>
      <c r="KC73" s="106">
        <v>1</v>
      </c>
      <c r="KD73" s="78">
        <f t="shared" si="297"/>
        <v>0</v>
      </c>
      <c r="KE73" s="264">
        <f>KD73*各项系数!$E$41</f>
        <v>0</v>
      </c>
      <c r="KF73" s="78">
        <f t="shared" si="298"/>
        <v>3.6859031071707449E-3</v>
      </c>
      <c r="KG73" s="78">
        <f t="shared" si="299"/>
        <v>7.3718062143414892E-2</v>
      </c>
      <c r="KH73" s="237">
        <f>各项系数!$F$76/4*($NG73^2-$NE73^2)*10^-2*各项系数!$F$44*10^-3*10^2*各项系数!$J$4*0.75*$U73</f>
        <v>0.92466754620475355</v>
      </c>
      <c r="KI73" s="106">
        <v>1</v>
      </c>
      <c r="KJ73" s="78">
        <f t="shared" si="300"/>
        <v>0.92466754620475355</v>
      </c>
      <c r="KK73" s="78">
        <f>ROUND(KJ73*各项系数!$E$43,GT73)</f>
        <v>5</v>
      </c>
      <c r="KL73" s="235">
        <f>各项系数!$F$76/4*($NF73^2-$NE73^2)*10^-2*各项系数!$F$46*10^-3*10^2*各项系数!$J$4*PI()/4*R73</f>
        <v>4.603167706965651E-2</v>
      </c>
      <c r="KM73" s="106">
        <v>1</v>
      </c>
      <c r="KN73" s="78">
        <f t="shared" si="301"/>
        <v>4.603167706965651E-2</v>
      </c>
      <c r="KO73" s="78">
        <f>KN73*各项系数!$E$46</f>
        <v>3.1071382022018144</v>
      </c>
      <c r="KP73" s="237">
        <f>各项系数!$F$76/4*($NH73^2-$NE73^2)*10^-2*(VLOOKUP($KP$9,各项系数!$D$1:$F$143,3,0))*10^-3*10^2*各项系数!$J$4</f>
        <v>0.33289663906629896</v>
      </c>
      <c r="KQ73" s="106">
        <v>1</v>
      </c>
      <c r="KR73" s="78">
        <f t="shared" si="150"/>
        <v>0.33289663906629896</v>
      </c>
      <c r="KS73" s="78">
        <f>KR73*(VLOOKUP($KP$9,各项系数!$D$1:$F$143,2,0))</f>
        <v>5.6592428641270827</v>
      </c>
      <c r="KT73" s="237">
        <f>各项系数!$F$76/4*($NI73^2-$NF73^2)*10^-2*(VLOOKUP($KT$9,各项系数!$D$1:$F$143,3,0))*10^-3*10^2*各项系数!$J$4</f>
        <v>0.33441957008742385</v>
      </c>
      <c r="KU73" s="106">
        <v>1</v>
      </c>
      <c r="KV73" s="78">
        <f t="shared" si="151"/>
        <v>0.33441957008742385</v>
      </c>
      <c r="KW73" s="78">
        <f>KV73*(VLOOKUP($KT$9,各项系数!$D$1:$F$143,2,0))</f>
        <v>5.6851326914862055</v>
      </c>
      <c r="KX73" s="78">
        <f>各项系数!$F$76/4*($NH73^2-$NE73^2)*10^-2*(VLOOKUP($KX$9,各项系数!$D$1:$F$143,3,0))*10^-3*10^2*各项系数!$J$4</f>
        <v>0.33289663906629896</v>
      </c>
      <c r="KY73" s="355">
        <v>1</v>
      </c>
      <c r="KZ73" s="78">
        <f t="shared" si="152"/>
        <v>0.33289663906629896</v>
      </c>
      <c r="LA73" s="78">
        <f>KZ73*(VLOOKUP($KX$9,各项系数!$D$1:$F$143,2,0))</f>
        <v>5.6592428641270827</v>
      </c>
      <c r="LB73" s="78">
        <f>各项系数!$F$76/4*($NI73^2-$NF73^2)*10^-2*(VLOOKUP($LB$9,各项系数!$D$1:$F$143,3,0))*10^-3*10^2*各项系数!$J$4</f>
        <v>0.33441957008742385</v>
      </c>
      <c r="LC73" s="355">
        <v>1</v>
      </c>
      <c r="LD73" s="78">
        <f t="shared" si="153"/>
        <v>0.33441957008742385</v>
      </c>
      <c r="LE73" s="78">
        <f>LD73*(VLOOKUP($LB$9,各项系数!$D$1:$F$143,2,0))</f>
        <v>5.6851326914862055</v>
      </c>
      <c r="LF73" s="237">
        <f>各项系数!$F$76/4*($NH73^2-$NE73^2)*10^-2*(VLOOKUP(AN73,各项系数!$D$1:$F$143,3,0))*10^-3*10^2*各项系数!$J$4</f>
        <v>0.33748831684652375</v>
      </c>
      <c r="LG73" s="106">
        <v>1</v>
      </c>
      <c r="LH73" s="78">
        <f t="shared" si="302"/>
        <v>0.33748831684652375</v>
      </c>
      <c r="LI73" s="78">
        <f>LH73*(VLOOKUP(AN73,各项系数!$D$1:$F$143,2,0))</f>
        <v>3.3748831684652374</v>
      </c>
      <c r="LJ73" s="237">
        <f>各项系数!$F$76/4*($NI73^2-$NF73^2)*10^-2*(VLOOKUP(AN73,各项系数!$D$1:$F$143,3,0))*10^-3*10^2*各项系数!$J$4</f>
        <v>0.33903225381276758</v>
      </c>
      <c r="LK73" s="106">
        <v>1</v>
      </c>
      <c r="LL73" s="78">
        <f t="shared" si="303"/>
        <v>0.33903225381276758</v>
      </c>
      <c r="LM73" s="78">
        <f>LL73*(VLOOKUP(AN73,各项系数!$D$1:$F$143,2,0))</f>
        <v>3.390322538127676</v>
      </c>
      <c r="LN73" s="78">
        <f>各项系数!$F$76/4*($NH73^2-$NE73^2)*10^-2*(VLOOKUP($LN$9,各项系数!$D$1:$F$143,3,0))*10^-3*10^2*各项系数!$J$4</f>
        <v>0.33748831684652375</v>
      </c>
      <c r="LO73" s="355">
        <v>1</v>
      </c>
      <c r="LP73" s="78">
        <f t="shared" si="304"/>
        <v>0.33748831684652375</v>
      </c>
      <c r="LQ73" s="78">
        <f>LP73*(VLOOKUP($LN$9,各项系数!$D$1:$F$143,2,0))</f>
        <v>3.7123714853117611</v>
      </c>
      <c r="LR73" s="78">
        <f>各项系数!$F$76/4*($NI73^2-$NF73^2)*10^-2*(VLOOKUP($LR$9,各项系数!$D$1:$F$143,3,0))*10^-3*10^2*各项系数!$J$4</f>
        <v>0.33903225381276758</v>
      </c>
      <c r="LS73" s="355">
        <v>1</v>
      </c>
      <c r="LT73" s="78">
        <f t="shared" si="305"/>
        <v>0.33903225381276758</v>
      </c>
      <c r="LU73" s="78">
        <f>LT73*(VLOOKUP($LR$9,各项系数!$D$1:$F$143,2,0))</f>
        <v>3.7293547919404433</v>
      </c>
      <c r="LV73" s="367">
        <f t="shared" si="154"/>
        <v>358.69013239999998</v>
      </c>
      <c r="LW73" s="367">
        <f t="shared" si="155"/>
        <v>258.2083523</v>
      </c>
      <c r="LX73" s="367">
        <f t="shared" si="156"/>
        <v>18.131770044021309</v>
      </c>
      <c r="LY73" s="367">
        <f t="shared" si="157"/>
        <v>100.48178009999998</v>
      </c>
      <c r="LZ73" s="374">
        <f t="shared" si="86"/>
        <v>1</v>
      </c>
      <c r="MA73" s="375">
        <f t="shared" si="87"/>
        <v>358.69013239999998</v>
      </c>
      <c r="MB73" s="367">
        <f t="shared" si="158"/>
        <v>10.68525223</v>
      </c>
      <c r="MC73" s="367">
        <f t="shared" si="159"/>
        <v>0</v>
      </c>
      <c r="MD73" s="367">
        <f t="shared" si="160"/>
        <v>0</v>
      </c>
      <c r="ME73" s="367">
        <f t="shared" si="161"/>
        <v>0</v>
      </c>
      <c r="MF73" s="367">
        <f t="shared" si="162"/>
        <v>0</v>
      </c>
      <c r="MG73" s="379">
        <f t="shared" si="163"/>
        <v>1</v>
      </c>
      <c r="MH73" s="375">
        <f t="shared" si="88"/>
        <v>0</v>
      </c>
      <c r="MI73" s="367">
        <f t="shared" si="164"/>
        <v>0</v>
      </c>
      <c r="MJ73" s="78">
        <f t="shared" si="89"/>
        <v>10.68525223</v>
      </c>
      <c r="MK73" s="78">
        <f t="shared" si="165"/>
        <v>10.68525223</v>
      </c>
      <c r="ML73" s="78">
        <f t="shared" si="306"/>
        <v>0</v>
      </c>
      <c r="MM73" s="78">
        <f t="shared" si="91"/>
        <v>0</v>
      </c>
      <c r="MN73" s="78">
        <f t="shared" si="92"/>
        <v>12.885252229999999</v>
      </c>
      <c r="MO73" s="189">
        <f t="shared" si="166"/>
        <v>0</v>
      </c>
      <c r="MP73" s="78">
        <f t="shared" si="167"/>
        <v>31.182310399999999</v>
      </c>
      <c r="MQ73" s="78">
        <f t="shared" si="307"/>
        <v>31.182310399999999</v>
      </c>
      <c r="MR73" s="246">
        <f t="shared" si="168"/>
        <v>31.182310399999999</v>
      </c>
      <c r="MS73" s="380">
        <f t="shared" si="94"/>
        <v>31.358310399999997</v>
      </c>
      <c r="MT73" s="382">
        <f t="shared" si="95"/>
        <v>31.518310399999997</v>
      </c>
      <c r="MU73" s="382">
        <f t="shared" si="232"/>
        <v>32.858310399999993</v>
      </c>
      <c r="MV73" s="382">
        <f t="shared" si="97"/>
        <v>35.558310399999996</v>
      </c>
      <c r="MW73" s="382">
        <f t="shared" si="98"/>
        <v>35.7183104</v>
      </c>
      <c r="MX73" s="246">
        <f t="shared" si="233"/>
        <v>11.285252229999999</v>
      </c>
      <c r="MY73" s="246">
        <f t="shared" si="100"/>
        <v>0</v>
      </c>
      <c r="MZ73" s="78">
        <f t="shared" si="101"/>
        <v>13.48525223</v>
      </c>
      <c r="NA73" s="78">
        <f t="shared" si="102"/>
        <v>0</v>
      </c>
      <c r="NB73" s="78">
        <f t="shared" si="169"/>
        <v>32.634310399999997</v>
      </c>
      <c r="NC73" s="246">
        <f t="shared" si="308"/>
        <v>32.634310399999997</v>
      </c>
      <c r="ND73" s="246">
        <f t="shared" si="234"/>
        <v>32.634310399999997</v>
      </c>
      <c r="NE73" s="386">
        <f t="shared" si="235"/>
        <v>32.874310399999999</v>
      </c>
      <c r="NF73" s="382">
        <f t="shared" si="106"/>
        <v>33.034310399999995</v>
      </c>
      <c r="NG73" s="150">
        <f t="shared" si="236"/>
        <v>34.374310399999999</v>
      </c>
      <c r="NH73" s="246">
        <f t="shared" si="108"/>
        <v>37.074310400000002</v>
      </c>
      <c r="NI73" s="382">
        <f t="shared" si="109"/>
        <v>37.234310399999998</v>
      </c>
      <c r="NK73" s="390">
        <f t="shared" si="110"/>
        <v>3.1124002719139181</v>
      </c>
      <c r="NL73" s="390">
        <f t="shared" si="111"/>
        <v>157.57072668813069</v>
      </c>
      <c r="NM73" s="390">
        <f t="shared" si="112"/>
        <v>3.1124002719139181</v>
      </c>
      <c r="NN73" s="390">
        <f t="shared" si="113"/>
        <v>157.89358620222205</v>
      </c>
      <c r="NO73" s="390">
        <f t="shared" si="114"/>
        <v>4.2231352198268359</v>
      </c>
      <c r="NP73" s="390">
        <f t="shared" si="115"/>
        <v>160.0345034604579</v>
      </c>
      <c r="NQ73" s="390">
        <f t="shared" si="116"/>
        <v>4.2231352198268359</v>
      </c>
      <c r="NR73" s="390">
        <f t="shared" si="117"/>
        <v>160.37199177730443</v>
      </c>
      <c r="NS73" s="390">
        <f t="shared" si="118"/>
        <v>3.1563143497502564</v>
      </c>
      <c r="NT73" s="390">
        <f t="shared" si="119"/>
        <v>3.1563143497502564</v>
      </c>
      <c r="NU73" s="390">
        <f t="shared" si="120"/>
        <v>4.2691668968964924</v>
      </c>
      <c r="NV73" s="390">
        <f t="shared" si="121"/>
        <v>4.2691668968964924</v>
      </c>
      <c r="NW73" s="9">
        <f t="shared" si="122"/>
        <v>3.7010519991346387</v>
      </c>
      <c r="NX73" s="9">
        <f>各项系数!$M$9*NK73</f>
        <v>0.93372008157417541</v>
      </c>
      <c r="NY73" s="9">
        <f t="shared" si="123"/>
        <v>3.1563143497502564</v>
      </c>
    </row>
    <row r="74" spans="1:389" s="9" customFormat="1" ht="15" hidden="1" customHeight="1">
      <c r="A74" s="65"/>
      <c r="B74" s="66"/>
      <c r="C74" s="67"/>
      <c r="D74" s="58" t="s">
        <v>255</v>
      </c>
      <c r="E74" s="399">
        <f t="shared" si="325"/>
        <v>39.5556549</v>
      </c>
      <c r="F74" s="68">
        <f>$F$26</f>
        <v>245.088056587712</v>
      </c>
      <c r="G74" s="58"/>
      <c r="H74" s="16"/>
      <c r="I74" s="62"/>
      <c r="J74" s="62"/>
      <c r="K74" s="16"/>
      <c r="L74" s="107" t="s">
        <v>467</v>
      </c>
      <c r="M74" s="98">
        <f t="shared" si="2"/>
        <v>1.1000000000000001</v>
      </c>
      <c r="N74" s="98">
        <f t="shared" si="252"/>
        <v>0</v>
      </c>
      <c r="O74" s="58">
        <f t="shared" si="326"/>
        <v>0.08</v>
      </c>
      <c r="P74" s="99">
        <v>0.1</v>
      </c>
      <c r="Q74" s="136">
        <f t="shared" ref="Q74:Q83" si="337">$Q$12</f>
        <v>0.1</v>
      </c>
      <c r="R74" s="151">
        <v>0.8</v>
      </c>
      <c r="S74" s="144" t="str">
        <f>各项系数!$D$43</f>
        <v>钢带</v>
      </c>
      <c r="T74" s="62">
        <v>0.5</v>
      </c>
      <c r="U74" s="62">
        <v>2</v>
      </c>
      <c r="V74" s="143"/>
      <c r="W74" s="145">
        <v>2.2000000000000002</v>
      </c>
      <c r="X74" s="139">
        <f t="shared" ref="X74:X83" si="338">$X$12</f>
        <v>0.2</v>
      </c>
      <c r="Y74" s="139"/>
      <c r="Z74" s="169"/>
      <c r="AA74" s="170">
        <f>$AA$26</f>
        <v>1.0129999999999999</v>
      </c>
      <c r="AB74" s="153">
        <f>PI()*EJ74*EJ74/4*EH74*(1-H74)*AA74*各项系数!$F$5*各项系数!$J$4*10^-7</f>
        <v>0.80319697770872212</v>
      </c>
      <c r="AC74" s="170">
        <f t="shared" si="327"/>
        <v>245.088056587712</v>
      </c>
      <c r="AD74" s="153">
        <f t="shared" si="5"/>
        <v>90.802378338116014</v>
      </c>
      <c r="AE74" s="153">
        <f>POWER(4*EU74/PI()/EG74/10^-7/EH74/(1-H74)/各项系数!$F$5/各项系数!$J$4,0.5)</f>
        <v>246.67598485301878</v>
      </c>
      <c r="AF74" s="16">
        <v>1</v>
      </c>
      <c r="AG74" s="16">
        <f>IF(EM74=0,0,PI()*ER74*ER74/4*EP74*(1-K74)*(1+AF74)*各项系数!$F$5*各项系数!$J$4*10^-7)</f>
        <v>0</v>
      </c>
      <c r="AH74" s="16">
        <f t="shared" si="328"/>
        <v>0</v>
      </c>
      <c r="AI74" s="69">
        <f t="shared" si="128"/>
        <v>0</v>
      </c>
      <c r="AJ74" s="69">
        <f>IF(OR(EP74="",EP74=0),0,POWER(4*EW74/PI()/EO74/10^-7/EP74/(1-K74)/各项系数!$F$5/各项系数!$J$4,0.5))</f>
        <v>0</v>
      </c>
      <c r="AK74" s="16" t="str">
        <f t="shared" si="8"/>
        <v>√</v>
      </c>
      <c r="AL74" s="16">
        <f t="shared" si="329"/>
        <v>224.27409753468029</v>
      </c>
      <c r="AM74" s="106">
        <f t="shared" si="330"/>
        <v>95</v>
      </c>
      <c r="AN74" s="107" t="s">
        <v>486</v>
      </c>
      <c r="AO74" s="146">
        <f>AP74+各项系数!$M$9*$NK74</f>
        <v>219.87656621047088</v>
      </c>
      <c r="AP74" s="146">
        <f>AQ74*(1+$BI74+(VLOOKUP($AM74,$A$12:$B$323,2,0))+各项系数!$J$6+各项系数!$M$5)*(1+$E$2)</f>
        <v>218.62684665620313</v>
      </c>
      <c r="AQ74" s="199">
        <f>AR74+各项系数!$L$9*$NK74</f>
        <v>223.08861903694196</v>
      </c>
      <c r="AR74" s="199">
        <f>AS74*(1+$BJ74+各项系数!$J$5+各项系数!$L$5)</f>
        <v>221.83889948267421</v>
      </c>
      <c r="AS74" s="199">
        <f t="shared" si="129"/>
        <v>217.48911713987667</v>
      </c>
      <c r="AT74" s="146">
        <f>AU74+各项系数!$M$9*$NM74</f>
        <v>222.43162746979618</v>
      </c>
      <c r="AU74" s="146">
        <f>AV74*(1+$BI74+(VLOOKUP($AM74,$A$12:$B$323,2,0))+各项系数!$J$6+各项系数!$M$5)*(1+$E$2)</f>
        <v>221.18190791552843</v>
      </c>
      <c r="AV74" s="199">
        <f>AW74+各项系数!$L$9*$NM74</f>
        <v>225.69582440360045</v>
      </c>
      <c r="AW74" s="199">
        <f>AX74*(1+$BJ74+各项系数!$J$5+各项系数!$L$5)</f>
        <v>224.4461048493327</v>
      </c>
      <c r="AX74" s="199">
        <f t="shared" si="130"/>
        <v>220.04520083267911</v>
      </c>
      <c r="AY74" s="146">
        <f>AZ74+各项系数!$M$9*$NS74</f>
        <v>223.24287872421033</v>
      </c>
      <c r="AZ74" s="146">
        <f>BA74*(1+$BI74+(VLOOKUP($AM74,$A$12:$B$214,2,0))+各项系数!$J$6+各项系数!$M$5)*(1+$E$2)</f>
        <v>221.97839366945411</v>
      </c>
      <c r="BA74" s="199">
        <f>BB74+各项系数!$L$9*$NS74</f>
        <v>226.50856496883071</v>
      </c>
      <c r="BB74" s="199">
        <f>BC74*(1+$BJ74+各项系数!$J$5+各项系数!$L$5)</f>
        <v>225.24407991407449</v>
      </c>
      <c r="BC74" s="199">
        <f t="shared" si="131"/>
        <v>220.82752932752402</v>
      </c>
      <c r="BD74" s="146">
        <f>BE74+各项系数!$M$9*$NS74</f>
        <v>225.80888370283563</v>
      </c>
      <c r="BE74" s="146">
        <f>BF74*(1+$BI74+(VLOOKUP($AM74,$A$12:$B$214,2,0))+各项系数!$J$6+各项系数!$M$5)*(1+$E$2)</f>
        <v>224.54439864807941</v>
      </c>
      <c r="BF74" s="199">
        <f>BG74+各项系数!$L$9*$NS74</f>
        <v>229.12693739599939</v>
      </c>
      <c r="BG74" s="199">
        <f>BH74*(1+$BJ74+各项系数!$J$5+各项系数!$L$5)</f>
        <v>227.86245234124317</v>
      </c>
      <c r="BH74" s="199">
        <f t="shared" si="132"/>
        <v>223.39456111886585</v>
      </c>
      <c r="BI74" s="214"/>
      <c r="BJ74" s="215"/>
      <c r="BK74" s="78" t="s">
        <v>514</v>
      </c>
      <c r="BL74" s="146">
        <f>BM74+各项系数!$M$9*$NM74</f>
        <v>222.38914176878205</v>
      </c>
      <c r="BM74" s="146">
        <f>BN74*(1+$CF74+(VLOOKUP($AM74,$A$12:$B$323,2,0))+各项系数!$J$6+各项系数!$M$5)*(1+$E$2)</f>
        <v>221.1394222145143</v>
      </c>
      <c r="BN74" s="199">
        <f>BO74+各项系数!$L$9*$NM74</f>
        <v>225.65247164746359</v>
      </c>
      <c r="BO74" s="199">
        <f>BP74*(1+$CG74+各项系数!$J$5+各项系数!$L$5)</f>
        <v>224.40275209319583</v>
      </c>
      <c r="BP74" s="199">
        <f t="shared" si="133"/>
        <v>217.86674960504448</v>
      </c>
      <c r="BQ74" s="146">
        <f>BR74+各项系数!$M$9*$NM74</f>
        <v>224.58807043795647</v>
      </c>
      <c r="BR74" s="146">
        <f>BS74*(1+$CF74+(VLOOKUP($AM74,$A$12:$B$323,2,0))+各项系数!$J$6+各项系数!$M$5)*(1+$E$2)</f>
        <v>223.33835088368872</v>
      </c>
      <c r="BS74" s="199">
        <f>BT74+各项系数!$L$9*$NM74</f>
        <v>227.89627641192726</v>
      </c>
      <c r="BT74" s="199">
        <f>BU74*(1+$CG74+各项系数!$J$5+各项系数!$L$5)</f>
        <v>226.6465568576595</v>
      </c>
      <c r="BU74" s="199">
        <f t="shared" si="134"/>
        <v>220.04520083267911</v>
      </c>
      <c r="BV74" s="146">
        <f>BW74+各项系数!$M$9*$NT74</f>
        <v>224.55870616526849</v>
      </c>
      <c r="BW74" s="146">
        <f>BX74*(1+$CF74+(VLOOKUP($AM74,$A$12:$B$214,2,0))+各项系数!$J$6+各项系数!$M$5)*(1+$E$2)</f>
        <v>223.29422111051227</v>
      </c>
      <c r="BX74" s="199">
        <f>BY74+各项系数!$L$9*$NT$12</f>
        <v>227.85124603113496</v>
      </c>
      <c r="BY74" s="199">
        <f>BZ74*(1+$CG74+各项系数!$J$5+各项系数!$L$5)</f>
        <v>227.84298262797998</v>
      </c>
      <c r="BZ74" s="199">
        <f t="shared" si="11"/>
        <v>221.20677925046598</v>
      </c>
      <c r="CA74" s="146">
        <f>CB74+各项系数!$M$9*$NT74</f>
        <v>226.7670531832313</v>
      </c>
      <c r="CB74" s="146">
        <f>CC74*(1+$CF74+(VLOOKUP($AM74,$A$12:$B$214,2,0))+各项系数!$J$6+各项系数!$M$5)*(1+$E$2)</f>
        <v>225.50256812847508</v>
      </c>
      <c r="CC74" s="199">
        <f>CD74+各项系数!$L$9*$NT$12</f>
        <v>230.10466135558681</v>
      </c>
      <c r="CD74" s="199">
        <f>CE74*(1+$CG74+各项系数!$J$5+各项系数!$L$5)</f>
        <v>230.09639795243183</v>
      </c>
      <c r="CE74" s="199">
        <f t="shared" si="135"/>
        <v>223.39456111886585</v>
      </c>
      <c r="CF74" s="214">
        <f t="shared" si="136"/>
        <v>0</v>
      </c>
      <c r="CG74" s="214">
        <f t="shared" si="12"/>
        <v>0.01</v>
      </c>
      <c r="CH74" s="106"/>
      <c r="CI74" s="146">
        <f>CJ74+各项系数!$M$9*$NO74</f>
        <v>224.79124159708294</v>
      </c>
      <c r="CJ74" s="146">
        <f>CK74*(1+$DC74+(VLOOKUP($AM74,$A$12:$B$323,2,0))+各项系数!$J$6+各项系数!$M$5)*(1+$E$2)+各项系数!$M$9*$NK74</f>
        <v>223.13057927413641</v>
      </c>
      <c r="CK74" s="199">
        <f>CL74+各项系数!$L$9*$NO74</f>
        <v>226.40904053047822</v>
      </c>
      <c r="CL74" s="199">
        <f>CM74*(1+$DD74+各项系数!$J$5+各项系数!$L$5)</f>
        <v>224.74837820753169</v>
      </c>
      <c r="CM74" s="199">
        <f t="shared" si="13"/>
        <v>220.34154726228596</v>
      </c>
      <c r="CN74" s="146">
        <f>CO74+各项系数!$M$9*$NO74</f>
        <v>227.19311003395623</v>
      </c>
      <c r="CO74" s="146">
        <f>CP74*(1+$DC74+(VLOOKUP($AM74,$A$12:$B$323,2,0))+各项系数!$J$6+各项系数!$M$5)*(1+$E$2)+各项系数!$M$9*$NK74</f>
        <v>225.5324477110097</v>
      </c>
      <c r="CP74" s="199">
        <f>CQ74+各项系数!$L$9*$NO74</f>
        <v>228.85992669055301</v>
      </c>
      <c r="CQ74" s="199">
        <f>CR74*(1+$DD74+各项系数!$J$5+各项系数!$L$5)</f>
        <v>227.19926436760647</v>
      </c>
      <c r="CR74" s="199">
        <f t="shared" si="14"/>
        <v>222.74437683098674</v>
      </c>
      <c r="CS74" s="146">
        <f>CT74+各项系数!$M$9*$NU74</f>
        <v>227.05197318356903</v>
      </c>
      <c r="CT74" s="146">
        <f t="shared" si="15"/>
        <v>225.37591008036401</v>
      </c>
      <c r="CU74" s="199">
        <f>CV74+各项系数!$L$9*$NU74</f>
        <v>229.97541844935103</v>
      </c>
      <c r="CV74" s="199">
        <f>CW74*(1+$DD74+各项系数!$J$5+各项系数!$L$5)</f>
        <v>228.299355346146</v>
      </c>
      <c r="CW74" s="199">
        <f t="shared" si="16"/>
        <v>223.82289739818236</v>
      </c>
      <c r="CX74" s="146">
        <f>CY74+各项系数!$M$9*$NU74</f>
        <v>229.72166990256156</v>
      </c>
      <c r="CY74" s="146">
        <f t="shared" si="17"/>
        <v>228.04560679935653</v>
      </c>
      <c r="CZ74" s="199">
        <f>DA74+各项系数!$L$9*$NU74</f>
        <v>232.6995987748536</v>
      </c>
      <c r="DA74" s="199">
        <f>DB74*(1+$DD74+各项系数!$J$5+各项系数!$L$5)</f>
        <v>231.02353567164857</v>
      </c>
      <c r="DB74" s="199">
        <f t="shared" si="18"/>
        <v>226.49366242318487</v>
      </c>
      <c r="DC74" s="214">
        <f t="shared" si="137"/>
        <v>0</v>
      </c>
      <c r="DD74" s="214">
        <f t="shared" si="19"/>
        <v>0</v>
      </c>
      <c r="DE74" s="78" t="s">
        <v>498</v>
      </c>
      <c r="DF74" s="78" t="s">
        <v>513</v>
      </c>
      <c r="DG74" s="146">
        <f>DH74+各项系数!$M$9*$NQ74</f>
        <v>227.34724044188053</v>
      </c>
      <c r="DH74" s="146">
        <f>DI74*(1+$EA74+(VLOOKUP($AM74,$A$12:$B$323,2,0))+各项系数!$J$6+各项系数!$M$5)*(1+$E$2)+各项系数!$M$9*$NK74</f>
        <v>225.68657811893399</v>
      </c>
      <c r="DI74" s="199">
        <f>DJ74+各项系数!$L$9*$NQ74</f>
        <v>229.01720261700638</v>
      </c>
      <c r="DJ74" s="199">
        <f>DK74*(1+$EB74+各项系数!$J$5+各项系数!$L$5)</f>
        <v>227.35654029405984</v>
      </c>
      <c r="DK74" s="199">
        <f t="shared" si="20"/>
        <v>220.73450513986393</v>
      </c>
      <c r="DL74" s="146">
        <f>DM74+各项系数!$M$9*$NQ74</f>
        <v>229.63540796582524</v>
      </c>
      <c r="DM74" s="146">
        <f>DN74*(1+$EA74+(VLOOKUP($AM74,$A$12:$B$323,2,0))+各项系数!$J$6+各项系数!$M$5)*(1+$E$2)+各项系数!$M$9*$NK74</f>
        <v>227.9747456428787</v>
      </c>
      <c r="DN74" s="199">
        <f>DO74+各项系数!$L$9*$NQ74</f>
        <v>231.3520674373581</v>
      </c>
      <c r="DO74" s="199">
        <f>DP74*(1+$EB74+各项系数!$J$5+各项系数!$L$5)</f>
        <v>229.69140511441157</v>
      </c>
      <c r="DP74" s="199">
        <f t="shared" si="21"/>
        <v>223.00136418874908</v>
      </c>
      <c r="DQ74" s="146">
        <f>DR74+各项系数!$M$9*$NV74</f>
        <v>229.64372192157566</v>
      </c>
      <c r="DR74" s="146">
        <f t="shared" si="22"/>
        <v>227.96765881837064</v>
      </c>
      <c r="DS74" s="199">
        <f>DT74+各项系数!$L$9*$NV74</f>
        <v>232.62006001874556</v>
      </c>
      <c r="DT74" s="199">
        <f>DU74*(1+$EB74+各项系数!$J$5+各项系数!$L$5)</f>
        <v>230.94399691554054</v>
      </c>
      <c r="DU74" s="199">
        <f t="shared" si="23"/>
        <v>224.21747273353449</v>
      </c>
      <c r="DV74" s="146">
        <f>DW74+各项系数!$M$9*$NV74</f>
        <v>229.76764063595434</v>
      </c>
      <c r="DW74" s="146">
        <f t="shared" si="24"/>
        <v>228.09157753274931</v>
      </c>
      <c r="DX74" s="199">
        <f>DY74+各项系数!$L$9*$NV74</f>
        <v>232.74650768647891</v>
      </c>
      <c r="DY74" s="199">
        <f>DZ74*(1+$EB74+各项系数!$J$5+各项系数!$L$5)</f>
        <v>231.07044458327388</v>
      </c>
      <c r="DZ74" s="199">
        <f t="shared" si="25"/>
        <v>224.3402374594892</v>
      </c>
      <c r="EA74" s="214">
        <f t="shared" si="324"/>
        <v>0</v>
      </c>
      <c r="EB74" s="214">
        <f t="shared" si="27"/>
        <v>0.01</v>
      </c>
      <c r="EC74" s="235">
        <f t="shared" si="138"/>
        <v>4</v>
      </c>
      <c r="ED74" s="237" t="str">
        <f t="shared" si="331"/>
        <v>4*95</v>
      </c>
      <c r="EE74" s="78">
        <f t="shared" si="239"/>
        <v>95</v>
      </c>
      <c r="EF74" s="78" t="str">
        <f>LOOKUP(EH74,{1,7,10,14,19,24,30,37,48,61},{1,"1+6","2+8","4+10","1+6+12","2+8+14","4+10+16","1+6+12+18","3+9+15+21","1+6+12+18+24"})</f>
        <v>1+6+12</v>
      </c>
      <c r="EG74" s="106">
        <f t="shared" si="29"/>
        <v>4</v>
      </c>
      <c r="EH74" s="199">
        <f>VLOOKUP(EE74,各项系数!$B$87:$C$124,2,0)</f>
        <v>19</v>
      </c>
      <c r="EI74" s="106">
        <f>IF(EH74=0,0,VLOOKUP(EH74,各项系数!$D$142:$E$195,2,0))*1</f>
        <v>5</v>
      </c>
      <c r="EJ74" s="240">
        <f t="shared" si="141"/>
        <v>245.088056587712</v>
      </c>
      <c r="EK74" s="78">
        <f t="shared" si="332"/>
        <v>0</v>
      </c>
      <c r="EL74" s="78">
        <f t="shared" si="31"/>
        <v>0</v>
      </c>
      <c r="EM74" s="78">
        <f t="shared" si="333"/>
        <v>0</v>
      </c>
      <c r="EN74" s="78">
        <f>IF(EP74=0,0,LOOKUP(EP74,{1,7,10,14,19,24,30,37,48,61},{1,"1+6","2+8","4+10","1+6+12","2+8+14","4+10+16","1+6+12+18","3+9+15+21","1+6+12+18+24"}))</f>
        <v>0</v>
      </c>
      <c r="EO74" s="78">
        <f t="shared" si="334"/>
        <v>0</v>
      </c>
      <c r="EP74" s="78">
        <f>IF(EM74=0,0,IF(EM74&lt;10,1,IF(AND(EM74&gt;=10,EM74&lt;=35),7,LOOKUP(EM74,{50,70,95,120,150,185,240,300},{10,14,19,24,30,37,48,61})*1)))</f>
        <v>0</v>
      </c>
      <c r="EQ74" s="78">
        <f>IF(EP74=0,0,VLOOKUP(EP74,各项系数!$D$142:$E$195,2,0))*1</f>
        <v>0</v>
      </c>
      <c r="ER74" s="78">
        <f t="shared" si="335"/>
        <v>0</v>
      </c>
      <c r="ES74" s="237">
        <f t="shared" si="336"/>
        <v>4</v>
      </c>
      <c r="ET74" s="78">
        <f>VLOOKUP(ES74,各项系数!$D$142:$E$195,2,0)*1</f>
        <v>2.42</v>
      </c>
      <c r="EU74" s="243">
        <f>((各项系数!$F$76/4*$EJ74^2*$EG74*$EH74*1*10^-7)*(1-$H74)*AA74)*(VLOOKUP($EY$9,各项系数!$D$4:$F$143,3,0))*各项系数!$J$4</f>
        <v>3.212787910834888</v>
      </c>
      <c r="EV74" s="244">
        <f>EU74*(VLOOKUP($EY$9,各项系数!$D$4:$F$143,2,0))</f>
        <v>210.43760815968517</v>
      </c>
      <c r="EW74" s="252">
        <f>(IF($EO74=0,0,(各项系数!$F$76/4*$ER74^2*$EO74*$EP74*1*10^-7))*(1-$K74)*$AF74)*(VLOOKUP($EY$9,各项系数!$D$4:$F$143,3,0))*各项系数!$J$4</f>
        <v>0</v>
      </c>
      <c r="EX74" s="253">
        <f>EW74*(VLOOKUP($EY$9,各项系数!$D$4:$F$143,2,0))</f>
        <v>0</v>
      </c>
      <c r="EY74" s="189">
        <f>((各项系数!$F$76/4*$EJ74^2*$EG74*$EH74*1*10^-7)*(1-$H74)*AA74+IF($EO74=0,0,(各项系数!$F$76/4*$ER74^2*$EO74*$EP74*1*10^-7))*(1-$K74)*$AF74)*(VLOOKUP($EY$9,各项系数!$D$4:$F$143,3,0))*各项系数!$J$4</f>
        <v>3.212787910834888</v>
      </c>
      <c r="EZ74" s="106">
        <v>1</v>
      </c>
      <c r="FA74" s="78">
        <f t="shared" si="268"/>
        <v>3.212787910834888</v>
      </c>
      <c r="FB74" s="246">
        <f>FA74*(VLOOKUP($EY$9,各项系数!$D$4:$F$143,2,0))</f>
        <v>210.43760815968517</v>
      </c>
      <c r="FC74" s="257"/>
      <c r="FD74" s="237">
        <f>各项系数!$F$76/4*($MN74^2-MK74^2)*10^-2*(VLOOKUP(L74,各项系数!$D$1:$F$143,3,0))*10^-3*10^2*$EG74*各项系数!$J$4</f>
        <v>0.20204252533927422</v>
      </c>
      <c r="FE74" s="264">
        <f>FD74*VLOOKUP(L74,各项系数!$D$1:$F$143,2,0)</f>
        <v>2.0608337584605967</v>
      </c>
      <c r="FF74" s="106">
        <f>各项系数!$F$76/4*($MO74^2-ML74^2)*10^-2*(VLOOKUP(L74,各项系数!$D$1:$F$143,3,0))*10^-3*10^2*$EO74*各项系数!$J$4</f>
        <v>0</v>
      </c>
      <c r="FG74" s="264">
        <f>FF74*VLOOKUP(L74,各项系数!$D$1:$F$143,2,0)</f>
        <v>0</v>
      </c>
      <c r="FH74" s="237">
        <f t="shared" si="142"/>
        <v>0.20204252533927422</v>
      </c>
      <c r="FI74" s="106">
        <v>1</v>
      </c>
      <c r="FJ74" s="78">
        <f t="shared" si="269"/>
        <v>0.20204252533927422</v>
      </c>
      <c r="FK74" s="264">
        <f>FJ74*VLOOKUP(L74,各项系数!$D$1:$F$143,2,0)</f>
        <v>2.0608337584605967</v>
      </c>
      <c r="FL74" s="237"/>
      <c r="FM74" s="106"/>
      <c r="FN74" s="78"/>
      <c r="FO74" s="264"/>
      <c r="FP74" s="289">
        <f t="shared" si="270"/>
        <v>0.20204252533927422</v>
      </c>
      <c r="FQ74" s="289">
        <f t="shared" si="271"/>
        <v>2.0608337584605967</v>
      </c>
      <c r="FR74" s="283">
        <f>各项系数!$F$76/4*($MQ74^2-$MN74^2*$EG74-$MO74^2*$EO74)*10^-2</f>
        <v>3.0462234033377964</v>
      </c>
      <c r="FS74" s="284">
        <f t="shared" si="143"/>
        <v>1</v>
      </c>
      <c r="FT74" s="285">
        <f t="shared" si="40"/>
        <v>3.0462234033377964</v>
      </c>
      <c r="FU74" s="309">
        <f>$FT74*(VLOOKUP($FT$9,各项系数!$D$1:$F$143,3,0))*10^-3*10^2*各项系数!$J$55</f>
        <v>0.36371907435853285</v>
      </c>
      <c r="FV74" s="310">
        <v>1</v>
      </c>
      <c r="FW74" s="311">
        <f t="shared" si="272"/>
        <v>0.36371907435853285</v>
      </c>
      <c r="FX74" s="290">
        <f>FW74*(VLOOKUP($FT$9,各项系数!$D$1:$F$143,2,0))</f>
        <v>1.0911572230755986</v>
      </c>
      <c r="FY74" s="309">
        <f>IF($BK74&lt;&gt;$FY$9,0,各项系数!$F$76/4*($MS74^2-$MQ74^2)*10^-2*(VLOOKUP($FY$9,各项系数!$D$1:$F$143,3,0))*10^-3*10^2)*各项系数!$J$4</f>
        <v>0</v>
      </c>
      <c r="FZ74" s="310">
        <v>1</v>
      </c>
      <c r="GA74" s="311">
        <f t="shared" si="273"/>
        <v>0</v>
      </c>
      <c r="GB74" s="290">
        <f>GA74*(VLOOKUP($FY$9,各项系数!$D$1:$F$143,2,0))</f>
        <v>0</v>
      </c>
      <c r="GC74" s="309">
        <f>IF($BK74&lt;&gt;$GC$9,0,各项系数!$F$76/4*($MS74^2-$MQ74^2)*10^-2*(VLOOKUP($GC$9,各项系数!$D$1:$F$143,3,0))*10^-3*10^2)*各项系数!$J$4</f>
        <v>9.5498718587031569E-3</v>
      </c>
      <c r="GD74" s="310">
        <v>1</v>
      </c>
      <c r="GE74" s="311">
        <f t="shared" si="274"/>
        <v>9.5498718587031569E-3</v>
      </c>
      <c r="GF74" s="290">
        <f>GE74*(VLOOKUP($GC$9,各项系数!$D$1:$F$143,2,0))</f>
        <v>0.12319334697727073</v>
      </c>
      <c r="GG74" s="309">
        <f>IF($BK74&lt;&gt;$GG$9,0,各项系数!$F$76/4*($MS74^2-$MQ74^2)*10^-2*(VLOOKUP($GG$9,各项系数!$D$1:$F$143,3,0))*10^-3*10^2)*各项系数!$J$4</f>
        <v>0</v>
      </c>
      <c r="GH74" s="310">
        <v>1</v>
      </c>
      <c r="GI74" s="311">
        <f t="shared" si="275"/>
        <v>0</v>
      </c>
      <c r="GJ74" s="290">
        <f>GI74*(VLOOKUP($GG$9,各项系数!$D$1:$F$143,2,0))</f>
        <v>0</v>
      </c>
      <c r="GK74" s="309">
        <f>IF($BK74&lt;&gt;$GK$9,0,各项系数!$F$76/4*($MS74^2-$MQ74^2)*10^-2*(VLOOKUP($GK$9,各项系数!$D$1:$F$143,3,0))*10^-3*10^2)*各项系数!$J$4</f>
        <v>0</v>
      </c>
      <c r="GL74" s="310">
        <v>1</v>
      </c>
      <c r="GM74" s="311">
        <f t="shared" si="276"/>
        <v>0</v>
      </c>
      <c r="GN74" s="290">
        <f>GM74*(VLOOKUP($GK$9,各项系数!$D$1:$F$143,2,0))</f>
        <v>0</v>
      </c>
      <c r="GO74" s="311">
        <f t="shared" si="277"/>
        <v>9.5498718587031569E-3</v>
      </c>
      <c r="GP74" s="311">
        <f t="shared" si="278"/>
        <v>0.12319334697727073</v>
      </c>
      <c r="GQ74" s="317">
        <f>各项系数!$F$76/4*($MU74^2-$MS74^2)*10^-2*(VLOOKUP($S74,各项系数!$D$1:$F$143,3,0))*10^-3*10^2*各项系数!$J$4</f>
        <v>0.65826963519937232</v>
      </c>
      <c r="GR74" s="310">
        <v>1</v>
      </c>
      <c r="GS74" s="311">
        <f t="shared" si="279"/>
        <v>0.65826963519937232</v>
      </c>
      <c r="GT74" s="311">
        <f t="shared" si="200"/>
        <v>0</v>
      </c>
      <c r="GU74" s="311">
        <f>ROUND($GS74*(VLOOKUP($S74,各项系数!$D$1:$F$143,2,0))+$E$3*GS74,GT74)</f>
        <v>4</v>
      </c>
      <c r="GV74" s="315">
        <f>各项系数!$F$76/4*($MT74^2-$MS74^2)*10^-2*(VLOOKUP($GV$9,各项系数!$D$1:$F$143,3,0))*10^-3*10^2*各项系数!$J$4*PI()/4*R74</f>
        <v>4.9218334961566912E-2</v>
      </c>
      <c r="GW74" s="310">
        <v>1</v>
      </c>
      <c r="GX74" s="311">
        <f t="shared" si="280"/>
        <v>4.9218334961566912E-2</v>
      </c>
      <c r="GY74" s="311">
        <f>$GX74*(VLOOKUP($GV$9,各项系数!$D$1:$F$143,2,0))</f>
        <v>3.3222376099057667</v>
      </c>
      <c r="GZ74" s="317">
        <f>各项系数!$F$76/4*($MV74^2-$MS74^2)*10^-2*(VLOOKUP($GZ$9,各项系数!$D$1:$F$143,3,0))*10^-3*10^2*各项系数!$J$4</f>
        <v>0.37249460849885113</v>
      </c>
      <c r="HA74" s="310">
        <v>1</v>
      </c>
      <c r="HB74" s="311">
        <f t="shared" si="144"/>
        <v>0.37249460849885113</v>
      </c>
      <c r="HC74" s="311">
        <f>HB74*(VLOOKUP($GZ$9,各项系数!$D$1:$F$143,2,0))</f>
        <v>6.3324083444804691</v>
      </c>
      <c r="HD74" s="317">
        <f>各项系数!$F$76/4*($MW74^2-$MT74^2)*10^-2*(VLOOKUP($HD$9,各项系数!$D$1:$F$143,3,0))*10^-3*10^2*各项系数!$J$4</f>
        <v>0.37409006004479123</v>
      </c>
      <c r="HE74" s="310">
        <v>1</v>
      </c>
      <c r="HF74" s="311">
        <f t="shared" si="145"/>
        <v>0.37409006004479123</v>
      </c>
      <c r="HG74" s="311">
        <f>HF74*(VLOOKUP($HD$9,各项系数!$D$1:$F$143,2,0))</f>
        <v>6.3595310207614508</v>
      </c>
      <c r="HH74" s="317">
        <f>各项系数!$F$76/4*($MV74^2-$MS74^2)*10^-2*(VLOOKUP($HH$9,各项系数!$D$1:$F$143,3,0))*10^-3*10^2*各项系数!$J$4</f>
        <v>0.37249460849885113</v>
      </c>
      <c r="HI74" s="311">
        <v>1</v>
      </c>
      <c r="HJ74" s="311">
        <f t="shared" si="146"/>
        <v>0.37249460849885113</v>
      </c>
      <c r="HK74" s="311">
        <f>HJ74*(VLOOKUP($HH$9,各项系数!$D$1:$F$143,2,0))</f>
        <v>6.3324083444804691</v>
      </c>
      <c r="HL74" s="317">
        <f>各项系数!$F$76/4*($MW74^2-$MT74^2)*10^-2*(VLOOKUP($HL$9,各项系数!$D$1:$F$143,3,0))*10^-3*10^2*各项系数!$J$4</f>
        <v>0.37409006004479123</v>
      </c>
      <c r="HM74" s="311">
        <v>1</v>
      </c>
      <c r="HN74" s="311">
        <f t="shared" si="147"/>
        <v>0.37409006004479123</v>
      </c>
      <c r="HO74" s="311">
        <f>HN74*(VLOOKUP($HL$9,各项系数!$D$1:$F$143,2,0))</f>
        <v>6.3595310207614508</v>
      </c>
      <c r="HP74" s="317">
        <f>各项系数!$F$76/4*($MV74^2-$MS74^2)*10^-2*(VLOOKUP(AN74,各项系数!$D$1:$F$143,3,0))*10^-3*10^2*各项系数!$J$4</f>
        <v>0.37763246516780086</v>
      </c>
      <c r="HQ74" s="310">
        <v>1</v>
      </c>
      <c r="HR74" s="311">
        <f t="shared" si="281"/>
        <v>0.37763246516780086</v>
      </c>
      <c r="HS74" s="311">
        <f>HR74*(VLOOKUP(AN74,各项系数!$D$1:$F$143,2,0))</f>
        <v>3.7763246516780087</v>
      </c>
      <c r="HT74" s="317">
        <f>各项系数!$F$76/4*($MW74^2-$MT74^2)*10^-2*(VLOOKUP(AN74,各项系数!$D$1:$F$143,3,0))*10^-3*10^2*各项系数!$J$4</f>
        <v>0.37924992294196075</v>
      </c>
      <c r="HU74" s="310">
        <v>1</v>
      </c>
      <c r="HV74" s="311">
        <f t="shared" si="282"/>
        <v>0.37924992294196075</v>
      </c>
      <c r="HW74" s="311">
        <f>HV74*(VLOOKUP(AN74,各项系数!$D$1:$F$143,2,0))</f>
        <v>3.7924992294196076</v>
      </c>
      <c r="HX74" s="317">
        <f>各项系数!$F$76/4*($MV74^2-$MS74^2)*10^-2*(VLOOKUP($HX$9,各项系数!$D$1:$F$143,3,0))*10^-3*10^2*各项系数!$J$4</f>
        <v>0.37763246516780086</v>
      </c>
      <c r="HY74" s="311">
        <v>1</v>
      </c>
      <c r="HZ74" s="311">
        <f t="shared" si="283"/>
        <v>0.37763246516780086</v>
      </c>
      <c r="IA74" s="311">
        <f>HZ74*(VLOOKUP($HX$9,各项系数!$D$1:$F$143,2,0))</f>
        <v>4.1539571168458096</v>
      </c>
      <c r="IB74" s="317">
        <f>各项系数!$F$76/4*($MW74^2-$MT74^2)*10^-2*(VLOOKUP($IB$9,各项系数!$D$1:$F$143,3,0))*10^-3*10^2*各项系数!$J$4</f>
        <v>0.37924992294196075</v>
      </c>
      <c r="IC74" s="311">
        <v>1</v>
      </c>
      <c r="ID74" s="311">
        <f t="shared" si="284"/>
        <v>0.37924992294196075</v>
      </c>
      <c r="IE74" s="311">
        <f>ID74*(VLOOKUP($IB$9,各项系数!$D$1:$F$143,2,0))</f>
        <v>4.171749152361568</v>
      </c>
      <c r="IF74" s="309"/>
      <c r="IG74" s="317">
        <f t="shared" si="148"/>
        <v>7.0638508196906216E-2</v>
      </c>
      <c r="IH74" s="310">
        <v>1</v>
      </c>
      <c r="II74" s="311">
        <f t="shared" si="285"/>
        <v>7.0638508196906216E-2</v>
      </c>
      <c r="IJ74" s="311">
        <f>II74*(VLOOKUP($IG$8,各项系数!$D$1:$F$143,2,0))</f>
        <v>1.7659627049226554</v>
      </c>
      <c r="IK74" s="317">
        <f>(各项系数!$F$76/4*($MX74^2-$MK74^2)*$EG74)*10^-2*(VLOOKUP($IG$8,各项系数!$D$1:$F$143,3,0))*10^-3*10^2*各项系数!$J$4</f>
        <v>7.0638508196906216E-2</v>
      </c>
      <c r="IL74" s="310">
        <f>IK74*(VLOOKUP($IG$8,各项系数!$D$1:$F$143,2,0))</f>
        <v>1.7659627049226554</v>
      </c>
      <c r="IM74" s="311">
        <f>(各项系数!$F$76/4*(($MM74+3*$X74)^2-MM74^2)*$EO74)*10^-2*(VLOOKUP($IG$8,各项系数!$D$1:$F$143,3,0))*10^-3*10^2*各项系数!$J$4</f>
        <v>0</v>
      </c>
      <c r="IN74" s="310">
        <f>IM74*(VLOOKUP($IG$8,各项系数!$D$1:$F$143,2,0))</f>
        <v>0</v>
      </c>
      <c r="IO74" s="317">
        <f>各项系数!$F$76/4*($MZ74^2-$MX74^2)*10^-2*(VLOOKUP(L74,各项系数!$D$1:$F$143,3,0))*10^-3*10^2*$ES74*各项系数!$J$4</f>
        <v>0.21112009447996871</v>
      </c>
      <c r="IP74" s="310">
        <v>1</v>
      </c>
      <c r="IQ74" s="311">
        <f t="shared" si="286"/>
        <v>0.21112009447996871</v>
      </c>
      <c r="IR74" s="290">
        <f>IQ74*(VLOOKUP(L74,各项系数!$D$1:$F$143,2,0))</f>
        <v>2.1534249636956808</v>
      </c>
      <c r="IS74" s="317">
        <f>IF($L74&lt;&gt;$IS$9,0,各项系数!$F$76/4*($MZ74^2-$MX74^2)*10^-2*各项系数!$F$12*10^-3*10^2)*$ES74*各项系数!$J$4</f>
        <v>0</v>
      </c>
      <c r="IT74" s="310">
        <v>1</v>
      </c>
      <c r="IU74" s="311">
        <f t="shared" si="287"/>
        <v>0</v>
      </c>
      <c r="IV74" s="290">
        <f>IU74*各项系数!$E$12</f>
        <v>0</v>
      </c>
      <c r="IW74" s="309">
        <f t="shared" si="288"/>
        <v>0.21112009447996871</v>
      </c>
      <c r="IX74" s="309">
        <f t="shared" si="289"/>
        <v>2.1534249636956808</v>
      </c>
      <c r="IY74" s="339">
        <f>各项系数!$F$76/4*($NB74^2-$MZ74^2*$EG74-$NA74^2*$EO74)*10^-2</f>
        <v>3.3043687640086108</v>
      </c>
      <c r="IZ74" s="284">
        <f t="shared" si="231"/>
        <v>1</v>
      </c>
      <c r="JA74" s="285">
        <f t="shared" si="64"/>
        <v>3.3043687640086108</v>
      </c>
      <c r="JB74" s="289">
        <f>IF($DE74&lt;&gt;$JB$9,0,$JA74*各项系数!$F$32*10^-3*10^2)*各项系数!$J$4</f>
        <v>0</v>
      </c>
      <c r="JC74" s="106">
        <v>1</v>
      </c>
      <c r="JD74" s="78">
        <f t="shared" si="290"/>
        <v>0</v>
      </c>
      <c r="JE74" s="264">
        <f>JD74*各项系数!$E$32</f>
        <v>0</v>
      </c>
      <c r="JF74" s="282">
        <f>IF($DE74&lt;&gt;$JF$9,0,$JA74*VLOOKUP($JF$9,各项系数!$D$4:$F$540,2,0)*10^-3*10^2)*各项系数!$J$4</f>
        <v>1.6439234600942836</v>
      </c>
      <c r="JG74" s="102">
        <v>1</v>
      </c>
      <c r="JH74" s="189">
        <f t="shared" si="66"/>
        <v>1.6439234600942836</v>
      </c>
      <c r="JI74" s="262">
        <f>JH74*VLOOKUP($JF$9,各项系数!$D$4:$F$540,3,0)</f>
        <v>1.9727081521131402</v>
      </c>
      <c r="JJ74" s="289">
        <f t="shared" si="291"/>
        <v>1.6439234600942836</v>
      </c>
      <c r="JK74" s="78">
        <f t="shared" si="292"/>
        <v>1.9727081521131402</v>
      </c>
      <c r="JL74" s="289">
        <f>IF($DF74&lt;&gt;$JL$9,0,各项系数!$F$76/4*($NE74^2-$NC74^2)*10^-2*各项系数!$F$39*10^-3*10^2)*各项系数!$J$4</f>
        <v>4.113225304482159E-3</v>
      </c>
      <c r="JM74" s="106">
        <v>1</v>
      </c>
      <c r="JN74" s="78">
        <f t="shared" si="293"/>
        <v>4.113225304482159E-3</v>
      </c>
      <c r="JO74" s="264">
        <f>JN74*各项系数!$E$39</f>
        <v>8.2264506089643183E-2</v>
      </c>
      <c r="JP74" s="289">
        <f>IF($DF74&lt;&gt;$JP$9,0,各项系数!$F$76/4*($NE74^2-$NC74^2)*10^-2*各项系数!$F$36*10^-3*10^2)*各项系数!$J$4</f>
        <v>0</v>
      </c>
      <c r="JQ74" s="106">
        <v>1</v>
      </c>
      <c r="JR74" s="78">
        <f t="shared" si="294"/>
        <v>0</v>
      </c>
      <c r="JS74" s="264">
        <f>JR74*各项系数!$E$36</f>
        <v>0</v>
      </c>
      <c r="JT74" s="289">
        <f>IF($DF74&lt;&gt;$JT$9,0,各项系数!$F$76/4*($NE74^2-$NC74^2)*10^-2*各项系数!$F$40*10^-3*10^2)*各项系数!$J$4</f>
        <v>0</v>
      </c>
      <c r="JU74" s="106">
        <v>1</v>
      </c>
      <c r="JV74" s="78">
        <f t="shared" si="295"/>
        <v>0</v>
      </c>
      <c r="JW74" s="264">
        <f>JV74*各项系数!$E$40</f>
        <v>0</v>
      </c>
      <c r="JX74" s="289">
        <f>IF($DF74&lt;&gt;$JX$9,0,各项系数!$F$76/4*($NE74^2-$NC74^2)*10^-2*各项系数!$F$38*10^-3*10^2)*各项系数!$J$4</f>
        <v>0</v>
      </c>
      <c r="JY74" s="106">
        <v>1</v>
      </c>
      <c r="JZ74" s="78">
        <f t="shared" si="296"/>
        <v>0</v>
      </c>
      <c r="KA74" s="264">
        <f>JZ74*各项系数!$E$38</f>
        <v>0</v>
      </c>
      <c r="KB74" s="289">
        <f>IF($DF74&lt;&gt;$KB$9,0,各项系数!$F$76/4*($NE74^2-$NC74^2)*10^-2*各项系数!$F$41*10^-3*10^2)*各项系数!$J$4</f>
        <v>0</v>
      </c>
      <c r="KC74" s="106">
        <v>1</v>
      </c>
      <c r="KD74" s="78">
        <f t="shared" si="297"/>
        <v>0</v>
      </c>
      <c r="KE74" s="264">
        <f>KD74*各项系数!$E$41</f>
        <v>0</v>
      </c>
      <c r="KF74" s="78">
        <f t="shared" si="298"/>
        <v>4.113225304482159E-3</v>
      </c>
      <c r="KG74" s="78">
        <f t="shared" si="299"/>
        <v>8.2264506089643183E-2</v>
      </c>
      <c r="KH74" s="237">
        <f>各项系数!$F$76/4*($NG74^2-$NE74^2)*10^-2*各项系数!$F$44*10^-3*10^2*各项系数!$J$4*0.75*$U74</f>
        <v>1.0290944081727282</v>
      </c>
      <c r="KI74" s="106">
        <v>1</v>
      </c>
      <c r="KJ74" s="78">
        <f t="shared" si="300"/>
        <v>1.0290944081727282</v>
      </c>
      <c r="KK74" s="78">
        <f>ROUND(KJ74*各项系数!$E$43,GT74)</f>
        <v>6</v>
      </c>
      <c r="KL74" s="235">
        <f>各项系数!$F$76/4*($NF74^2-$NE74^2)*10^-2*各项系数!$F$46*10^-3*10^2*各项系数!$J$4*PI()/4*R74</f>
        <v>5.1335934194886246E-2</v>
      </c>
      <c r="KM74" s="106">
        <v>1</v>
      </c>
      <c r="KN74" s="78">
        <f t="shared" si="301"/>
        <v>5.1335934194886246E-2</v>
      </c>
      <c r="KO74" s="78">
        <f>KN74*各项系数!$E$46</f>
        <v>3.4651755581548214</v>
      </c>
      <c r="KP74" s="237">
        <f>各项系数!$F$76/4*($NH74^2-$NE74^2)*10^-2*(VLOOKUP($KP$9,各项系数!$D$1:$F$143,3,0))*10^-3*10^2*各项系数!$J$4</f>
        <v>0.38761151189663512</v>
      </c>
      <c r="KQ74" s="106">
        <v>1</v>
      </c>
      <c r="KR74" s="78">
        <f t="shared" si="150"/>
        <v>0.38761151189663512</v>
      </c>
      <c r="KS74" s="78">
        <f>KR74*(VLOOKUP($KP$9,各项系数!$D$1:$F$143,2,0))</f>
        <v>6.5893957022427969</v>
      </c>
      <c r="KT74" s="237">
        <f>各项系数!$F$76/4*($NI74^2-$NF74^2)*10^-2*(VLOOKUP($KT$9,各项系数!$D$1:$F$143,3,0))*10^-3*10^2*各项系数!$J$4</f>
        <v>0.38920696344257527</v>
      </c>
      <c r="KU74" s="106">
        <v>1</v>
      </c>
      <c r="KV74" s="78">
        <f t="shared" si="151"/>
        <v>0.38920696344257527</v>
      </c>
      <c r="KW74" s="78">
        <f>KV74*(VLOOKUP($KT$9,各项系数!$D$1:$F$143,2,0))</f>
        <v>6.6165183785237796</v>
      </c>
      <c r="KX74" s="78">
        <f>各项系数!$F$76/4*($NH74^2-$NE74^2)*10^-2*(VLOOKUP($KX$9,各项系数!$D$1:$F$143,3,0))*10^-3*10^2*各项系数!$J$4</f>
        <v>0.38761151189663512</v>
      </c>
      <c r="KY74" s="355">
        <v>1</v>
      </c>
      <c r="KZ74" s="78">
        <f t="shared" si="152"/>
        <v>0.38761151189663512</v>
      </c>
      <c r="LA74" s="78">
        <f>KZ74*(VLOOKUP($KX$9,各项系数!$D$1:$F$143,2,0))</f>
        <v>6.5893957022427969</v>
      </c>
      <c r="LB74" s="78">
        <f>各项系数!$F$76/4*($NI74^2-$NF74^2)*10^-2*(VLOOKUP($LB$9,各项系数!$D$1:$F$143,3,0))*10^-3*10^2*各项系数!$J$4</f>
        <v>0.38920696344257527</v>
      </c>
      <c r="LC74" s="355">
        <v>1</v>
      </c>
      <c r="LD74" s="78">
        <f t="shared" si="153"/>
        <v>0.38920696344257527</v>
      </c>
      <c r="LE74" s="78">
        <f>LD74*(VLOOKUP($LB$9,各项系数!$D$1:$F$143,2,0))</f>
        <v>6.6165183785237796</v>
      </c>
      <c r="LF74" s="237">
        <f>各项系数!$F$76/4*($NH74^2-$NE74^2)*10^-2*(VLOOKUP(AN74,各项系数!$D$1:$F$143,3,0))*10^-3*10^2*各项系数!$J$4</f>
        <v>0.39295787757796796</v>
      </c>
      <c r="LG74" s="106">
        <v>1</v>
      </c>
      <c r="LH74" s="78">
        <f t="shared" si="302"/>
        <v>0.39295787757796796</v>
      </c>
      <c r="LI74" s="78">
        <f>LH74*(VLOOKUP(AN74,各项系数!$D$1:$F$143,2,0))</f>
        <v>3.9295787757796798</v>
      </c>
      <c r="LJ74" s="237">
        <f>各项系数!$F$76/4*($NI74^2-$NF74^2)*10^-2*(VLOOKUP(AN74,各项系数!$D$1:$F$143,3,0))*10^-3*10^2*各项系数!$J$4</f>
        <v>0.39457533535212802</v>
      </c>
      <c r="LK74" s="106">
        <v>1</v>
      </c>
      <c r="LL74" s="78">
        <f t="shared" si="303"/>
        <v>0.39457533535212802</v>
      </c>
      <c r="LM74" s="78">
        <f>LL74*(VLOOKUP(AN74,各项系数!$D$1:$F$143,2,0))</f>
        <v>3.9457533535212801</v>
      </c>
      <c r="LN74" s="78">
        <f>各项系数!$F$76/4*($NH74^2-$NE74^2)*10^-2*(VLOOKUP($LN$9,各项系数!$D$1:$F$143,3,0))*10^-3*10^2*各项系数!$J$4</f>
        <v>0.39295787757796796</v>
      </c>
      <c r="LO74" s="355">
        <v>1</v>
      </c>
      <c r="LP74" s="78">
        <f t="shared" si="304"/>
        <v>0.39295787757796796</v>
      </c>
      <c r="LQ74" s="78">
        <f>LP74*(VLOOKUP($LN$9,各项系数!$D$1:$F$143,2,0))</f>
        <v>4.3225366533576475</v>
      </c>
      <c r="LR74" s="78">
        <f>各项系数!$F$76/4*($NI74^2-$NF74^2)*10^-2*(VLOOKUP($LR$9,各项系数!$D$1:$F$143,3,0))*10^-3*10^2*各项系数!$J$4</f>
        <v>0.39457533535212802</v>
      </c>
      <c r="LS74" s="355">
        <v>1</v>
      </c>
      <c r="LT74" s="78">
        <f t="shared" si="305"/>
        <v>0.39457533535212802</v>
      </c>
      <c r="LU74" s="78">
        <f>LT74*(VLOOKUP($LR$9,各项系数!$D$1:$F$143,2,0))</f>
        <v>4.3403286888734085</v>
      </c>
      <c r="LV74" s="367">
        <f t="shared" si="154"/>
        <v>471.77419153</v>
      </c>
      <c r="LW74" s="367">
        <f t="shared" si="155"/>
        <v>358.54838555999999</v>
      </c>
      <c r="LX74" s="367">
        <f t="shared" si="156"/>
        <v>21.366281454570938</v>
      </c>
      <c r="LY74" s="367">
        <f t="shared" si="157"/>
        <v>113.22580597000001</v>
      </c>
      <c r="LZ74" s="374">
        <f t="shared" si="86"/>
        <v>1</v>
      </c>
      <c r="MA74" s="375">
        <f t="shared" si="87"/>
        <v>471.77419153</v>
      </c>
      <c r="MB74" s="367">
        <f t="shared" si="158"/>
        <v>12.25440285</v>
      </c>
      <c r="MC74" s="367">
        <f t="shared" si="159"/>
        <v>0</v>
      </c>
      <c r="MD74" s="367">
        <f t="shared" si="160"/>
        <v>0</v>
      </c>
      <c r="ME74" s="367">
        <f t="shared" si="161"/>
        <v>0</v>
      </c>
      <c r="MF74" s="367">
        <f t="shared" si="162"/>
        <v>0</v>
      </c>
      <c r="MG74" s="379">
        <f t="shared" si="163"/>
        <v>1</v>
      </c>
      <c r="MH74" s="375">
        <f t="shared" si="88"/>
        <v>0</v>
      </c>
      <c r="MI74" s="367">
        <f t="shared" si="164"/>
        <v>0</v>
      </c>
      <c r="MJ74" s="78">
        <f t="shared" si="89"/>
        <v>12.25440285</v>
      </c>
      <c r="MK74" s="78">
        <f t="shared" si="165"/>
        <v>12.25440285</v>
      </c>
      <c r="ML74" s="78">
        <f t="shared" si="306"/>
        <v>0</v>
      </c>
      <c r="MM74" s="78">
        <f t="shared" si="91"/>
        <v>0</v>
      </c>
      <c r="MN74" s="78">
        <f t="shared" si="92"/>
        <v>14.454402850000001</v>
      </c>
      <c r="MO74" s="189">
        <f t="shared" si="166"/>
        <v>0</v>
      </c>
      <c r="MP74" s="78">
        <f t="shared" si="167"/>
        <v>34.9796549</v>
      </c>
      <c r="MQ74" s="78">
        <f t="shared" si="307"/>
        <v>34.9796549</v>
      </c>
      <c r="MR74" s="246">
        <f t="shared" si="168"/>
        <v>34.9796549</v>
      </c>
      <c r="MS74" s="380">
        <f t="shared" si="94"/>
        <v>35.155654900000002</v>
      </c>
      <c r="MT74" s="382">
        <f t="shared" si="95"/>
        <v>35.315654899999998</v>
      </c>
      <c r="MU74" s="382">
        <f t="shared" si="232"/>
        <v>36.655654900000002</v>
      </c>
      <c r="MV74" s="382">
        <f t="shared" si="97"/>
        <v>39.5556549</v>
      </c>
      <c r="MW74" s="382">
        <f t="shared" si="98"/>
        <v>39.715654899999997</v>
      </c>
      <c r="MX74" s="246">
        <f t="shared" si="233"/>
        <v>12.85440285</v>
      </c>
      <c r="MY74" s="246">
        <f t="shared" si="100"/>
        <v>0</v>
      </c>
      <c r="MZ74" s="78">
        <f t="shared" si="101"/>
        <v>15.054402849999999</v>
      </c>
      <c r="NA74" s="78">
        <f t="shared" si="102"/>
        <v>0</v>
      </c>
      <c r="NB74" s="78">
        <f t="shared" si="169"/>
        <v>36.431654899999998</v>
      </c>
      <c r="NC74" s="246">
        <f t="shared" si="308"/>
        <v>36.431654899999998</v>
      </c>
      <c r="ND74" s="246">
        <f t="shared" si="234"/>
        <v>36.431654899999998</v>
      </c>
      <c r="NE74" s="386">
        <f t="shared" si="235"/>
        <v>36.6716549</v>
      </c>
      <c r="NF74" s="382">
        <f t="shared" si="106"/>
        <v>36.831654899999997</v>
      </c>
      <c r="NG74" s="150">
        <f t="shared" si="236"/>
        <v>38.1716549</v>
      </c>
      <c r="NH74" s="246">
        <f t="shared" si="108"/>
        <v>41.071654899999999</v>
      </c>
      <c r="NI74" s="382">
        <f t="shared" si="109"/>
        <v>41.231654899999995</v>
      </c>
      <c r="NK74" s="390">
        <f t="shared" si="110"/>
        <v>4.1657318475591989</v>
      </c>
      <c r="NL74" s="390">
        <f t="shared" si="111"/>
        <v>217.48911713987667</v>
      </c>
      <c r="NM74" s="390">
        <f t="shared" si="112"/>
        <v>4.1657318475591989</v>
      </c>
      <c r="NN74" s="390">
        <f t="shared" si="113"/>
        <v>217.86674960504448</v>
      </c>
      <c r="NO74" s="390">
        <f t="shared" si="114"/>
        <v>5.5355410764884958</v>
      </c>
      <c r="NP74" s="390">
        <f t="shared" si="115"/>
        <v>220.34154726228596</v>
      </c>
      <c r="NQ74" s="390">
        <f t="shared" si="116"/>
        <v>5.5355410764884958</v>
      </c>
      <c r="NR74" s="390">
        <f t="shared" si="117"/>
        <v>220.73450513986393</v>
      </c>
      <c r="NS74" s="390">
        <f t="shared" si="118"/>
        <v>4.2149501825207656</v>
      </c>
      <c r="NT74" s="390">
        <f t="shared" si="119"/>
        <v>4.2149501825207656</v>
      </c>
      <c r="NU74" s="390">
        <f t="shared" si="120"/>
        <v>5.5868770106833825</v>
      </c>
      <c r="NV74" s="390">
        <f t="shared" si="121"/>
        <v>5.5868770106833825</v>
      </c>
      <c r="NW74" s="9">
        <f t="shared" si="122"/>
        <v>4.8240014827585709</v>
      </c>
      <c r="NX74" s="9">
        <f>各项系数!$M$9*NK74</f>
        <v>1.2497195542677597</v>
      </c>
      <c r="NY74" s="9">
        <f t="shared" si="123"/>
        <v>4.2149501825207665</v>
      </c>
    </row>
    <row r="75" spans="1:389" s="9" customFormat="1" ht="15" hidden="1" customHeight="1">
      <c r="A75" s="65"/>
      <c r="B75" s="66"/>
      <c r="C75" s="67"/>
      <c r="D75" s="58" t="s">
        <v>307</v>
      </c>
      <c r="E75" s="399">
        <f t="shared" si="325"/>
        <v>46.346549089999996</v>
      </c>
      <c r="F75" s="68">
        <f>$F$27</f>
        <v>244.921136962963</v>
      </c>
      <c r="G75" s="58"/>
      <c r="H75" s="16"/>
      <c r="I75" s="62"/>
      <c r="J75" s="62"/>
      <c r="K75" s="16"/>
      <c r="L75" s="107" t="s">
        <v>467</v>
      </c>
      <c r="M75" s="98">
        <f t="shared" si="2"/>
        <v>1.2</v>
      </c>
      <c r="N75" s="98">
        <f t="shared" si="252"/>
        <v>0</v>
      </c>
      <c r="O75" s="58">
        <f t="shared" si="326"/>
        <v>0.08</v>
      </c>
      <c r="P75" s="99">
        <v>0.1</v>
      </c>
      <c r="Q75" s="136">
        <f t="shared" si="337"/>
        <v>0.1</v>
      </c>
      <c r="R75" s="151">
        <v>0.8</v>
      </c>
      <c r="S75" s="144" t="str">
        <f>各项系数!$D$43</f>
        <v>钢带</v>
      </c>
      <c r="T75" s="62">
        <v>0.5</v>
      </c>
      <c r="U75" s="62">
        <v>2</v>
      </c>
      <c r="V75" s="143"/>
      <c r="W75" s="145">
        <v>2.4</v>
      </c>
      <c r="X75" s="139">
        <f t="shared" si="338"/>
        <v>0.2</v>
      </c>
      <c r="Y75" s="139"/>
      <c r="Z75" s="169"/>
      <c r="AA75" s="170">
        <f>$AA$27</f>
        <v>1.0129999999999999</v>
      </c>
      <c r="AB75" s="153">
        <f>PI()*EJ75*EJ75/4*EH75*(1-H75)*AA75*各项系数!$F$5*各项系数!$J$4*10^-7</f>
        <v>1.013183115671781</v>
      </c>
      <c r="AC75" s="170">
        <f t="shared" si="327"/>
        <v>244.921136962963</v>
      </c>
      <c r="AD75" s="153">
        <f t="shared" si="5"/>
        <v>114.54156221736139</v>
      </c>
      <c r="AE75" s="153">
        <f>POWER(4*EU75/PI()/EG75/10^-7/EH75/(1-H75)/各项系数!$F$5/各项系数!$J$4,0.5)</f>
        <v>246.50798375415039</v>
      </c>
      <c r="AF75" s="16">
        <v>1</v>
      </c>
      <c r="AG75" s="16">
        <f>IF(EM75=0,0,PI()*ER75*ER75/4*EP75*(1-K75)*(1+AF75)*各项系数!$F$5*各项系数!$J$4*10^-7)</f>
        <v>0</v>
      </c>
      <c r="AH75" s="16">
        <f t="shared" si="328"/>
        <v>0</v>
      </c>
      <c r="AI75" s="69">
        <f t="shared" si="128"/>
        <v>0</v>
      </c>
      <c r="AJ75" s="69">
        <f>IF(OR(EP75="",EP75=0),0,POWER(4*EW75/PI()/EO75/10^-7/EP75/(1-K75)/各项系数!$F$5/各项系数!$J$4,0.5))</f>
        <v>0</v>
      </c>
      <c r="AK75" s="16" t="str">
        <f t="shared" si="8"/>
        <v>√</v>
      </c>
      <c r="AL75" s="16">
        <f t="shared" si="329"/>
        <v>283.25238668100428</v>
      </c>
      <c r="AM75" s="106">
        <f t="shared" si="330"/>
        <v>120</v>
      </c>
      <c r="AN75" s="107" t="s">
        <v>486</v>
      </c>
      <c r="AO75" s="146">
        <f>AP75+各项系数!$M$9*$NK75</f>
        <v>277.69841831471007</v>
      </c>
      <c r="AP75" s="146">
        <f>AQ75*(1+$BI75+(VLOOKUP($AM75,$A$12:$B$323,2,0))+各项系数!$J$6+各项系数!$M$5)*(1+$E$2)</f>
        <v>276.10248364375411</v>
      </c>
      <c r="AQ75" s="199">
        <f>AR75+各项系数!$L$9*$NK75</f>
        <v>281.73722820791238</v>
      </c>
      <c r="AR75" s="199">
        <f>AS75*(1+$BJ75+各项系数!$J$5+各项系数!$L$5)</f>
        <v>280.14129353695643</v>
      </c>
      <c r="AS75" s="199">
        <f t="shared" si="129"/>
        <v>274.64832699701611</v>
      </c>
      <c r="AT75" s="146">
        <f>AU75+各项系数!$M$9*$NM75</f>
        <v>280.97754579727734</v>
      </c>
      <c r="AU75" s="146">
        <f>AV75*(1+$BI75+(VLOOKUP($AM75,$A$12:$B$323,2,0))+各项系数!$J$6+各项系数!$M$5)*(1+$E$2)</f>
        <v>279.38161112632139</v>
      </c>
      <c r="AV75" s="199">
        <f>AW75+各项系数!$L$9*$NM75</f>
        <v>285.08327665951163</v>
      </c>
      <c r="AW75" s="199">
        <f>AX75*(1+$BJ75+各项系数!$J$5+各项系数!$L$5)</f>
        <v>283.48734198855567</v>
      </c>
      <c r="AX75" s="199">
        <f t="shared" si="130"/>
        <v>277.92876665544674</v>
      </c>
      <c r="AY75" s="146">
        <f>AZ75+各项系数!$M$9*$NS75</f>
        <v>281.67383569202224</v>
      </c>
      <c r="AZ75" s="146">
        <f>BA75*(1+$BI75+(VLOOKUP($AM75,$A$12:$B$214,2,0))+各项系数!$J$6+各项系数!$M$5)*(1+$E$2)</f>
        <v>280.06045741649399</v>
      </c>
      <c r="BA75" s="199">
        <f>BB75+各项系数!$L$9*$NS75</f>
        <v>285.7759769556061</v>
      </c>
      <c r="BB75" s="199">
        <f>BC75*(1+$BJ75+各项系数!$J$5+各项系数!$L$5)</f>
        <v>284.16259868007785</v>
      </c>
      <c r="BC75" s="199">
        <f t="shared" si="131"/>
        <v>278.59078301968418</v>
      </c>
      <c r="BD75" s="146">
        <f>BE75+各项系数!$M$9*$NS75</f>
        <v>284.96490177746216</v>
      </c>
      <c r="BE75" s="146">
        <f>BF75*(1+$BI75+(VLOOKUP($AM75,$A$12:$B$214,2,0))+各项系数!$J$6+各项系数!$M$5)*(1+$E$2)</f>
        <v>283.35152350193391</v>
      </c>
      <c r="BF75" s="199">
        <f>BG75+各项系数!$L$9*$NS75</f>
        <v>289.13420765503463</v>
      </c>
      <c r="BG75" s="199">
        <f>BH75*(1+$BJ75+各项系数!$J$5+各项系数!$L$5)</f>
        <v>287.52082937950638</v>
      </c>
      <c r="BH75" s="199">
        <f t="shared" si="132"/>
        <v>281.88316605833961</v>
      </c>
      <c r="BI75" s="214"/>
      <c r="BJ75" s="215"/>
      <c r="BK75" s="78" t="s">
        <v>514</v>
      </c>
      <c r="BL75" s="146">
        <f>BM75+各项系数!$M$9*$NM75</f>
        <v>280.87917547838566</v>
      </c>
      <c r="BM75" s="146">
        <f>BN75*(1+$CF75+(VLOOKUP($AM75,$A$12:$B$323,2,0))+各项系数!$J$6+各项系数!$M$5)*(1+$E$2)</f>
        <v>279.28324080742971</v>
      </c>
      <c r="BN75" s="199">
        <f>BO75+各项系数!$L$9*$NM75</f>
        <v>284.98289878309157</v>
      </c>
      <c r="BO75" s="199">
        <f>BP75*(1+$CG75+各项系数!$J$5+各项系数!$L$5)</f>
        <v>283.38696411213562</v>
      </c>
      <c r="BP75" s="199">
        <f t="shared" si="133"/>
        <v>275.13297486615107</v>
      </c>
      <c r="BQ75" s="146">
        <f>BR75+各项系数!$M$9*$NM75</f>
        <v>283.7012477105007</v>
      </c>
      <c r="BR75" s="146">
        <f>BS75*(1+$CF75+(VLOOKUP($AM75,$A$12:$B$323,2,0))+各项系数!$J$6+各项系数!$M$5)*(1+$E$2)</f>
        <v>282.10531303954474</v>
      </c>
      <c r="BS75" s="199">
        <f>BT75+各项系数!$L$9*$NM75</f>
        <v>287.86256432606609</v>
      </c>
      <c r="BT75" s="199">
        <f>BU75*(1+$CG75+各项系数!$J$5+各项系数!$L$5)</f>
        <v>286.26662965511014</v>
      </c>
      <c r="BU75" s="199">
        <f t="shared" si="134"/>
        <v>277.92876665544674</v>
      </c>
      <c r="BV75" s="146">
        <f>BW75+各项系数!$M$9*$NT75</f>
        <v>283.32199743547841</v>
      </c>
      <c r="BW75" s="146">
        <f>BX75*(1+$CF75+(VLOOKUP($AM75,$A$12:$B$214,2,0))+各项系数!$J$6+各项系数!$M$5)*(1+$E$2)</f>
        <v>281.70861915995016</v>
      </c>
      <c r="BX75" s="199">
        <f>BY75+各项系数!$L$9*$NT$12</f>
        <v>287.45777465301035</v>
      </c>
      <c r="BY75" s="199">
        <f>BZ75*(1+$CG75+各项系数!$J$5+各项系数!$L$5)</f>
        <v>287.44951124985539</v>
      </c>
      <c r="BZ75" s="199">
        <f t="shared" si="11"/>
        <v>279.07719538820913</v>
      </c>
      <c r="CA75" s="146">
        <f>CB75+各项系数!$M$9*$NT75</f>
        <v>286.15434422990813</v>
      </c>
      <c r="CB75" s="146">
        <f>CC75*(1+$CF75+(VLOOKUP($AM75,$A$12:$B$214,2,0))+各项系数!$J$6+各项系数!$M$5)*(1+$E$2)</f>
        <v>284.54096595437989</v>
      </c>
      <c r="CC75" s="199">
        <f>CD75+各项系数!$L$9*$NT$12</f>
        <v>290.34792444324478</v>
      </c>
      <c r="CD75" s="199">
        <f>CE75*(1+$CG75+各项系数!$J$5+各项系数!$L$5)</f>
        <v>290.33966104008982</v>
      </c>
      <c r="CE75" s="199">
        <f t="shared" si="135"/>
        <v>281.88316605833961</v>
      </c>
      <c r="CF75" s="214">
        <f t="shared" si="136"/>
        <v>0</v>
      </c>
      <c r="CG75" s="214">
        <f t="shared" si="12"/>
        <v>0.01</v>
      </c>
      <c r="CH75" s="106"/>
      <c r="CI75" s="146">
        <f>CJ75+各项系数!$M$9*$NO75</f>
        <v>283.92969699950453</v>
      </c>
      <c r="CJ75" s="146">
        <f>CK75*(1+$DC75+(VLOOKUP($AM75,$A$12:$B$323,2,0))+各项系数!$J$6+各项系数!$M$5)*(1+$E$2)+各项系数!$M$9*$NK75</f>
        <v>281.77365012068731</v>
      </c>
      <c r="CK75" s="199">
        <f>CL75+各项系数!$L$9*$NO75</f>
        <v>285.89562800992996</v>
      </c>
      <c r="CL75" s="199">
        <f>CM75*(1+$DD75+各项系数!$J$5+各项系数!$L$5)</f>
        <v>283.73958113111274</v>
      </c>
      <c r="CM75" s="199">
        <f t="shared" si="13"/>
        <v>278.17605993246349</v>
      </c>
      <c r="CN75" s="146">
        <f>CO75+各项系数!$M$9*$NO75</f>
        <v>287.04170503939685</v>
      </c>
      <c r="CO75" s="146">
        <f>CP75*(1+$DC75+(VLOOKUP($AM75,$A$12:$B$323,2,0))+各项系数!$J$6+各项系数!$M$5)*(1+$E$2)+各项系数!$M$9*$NK75</f>
        <v>284.88565816057962</v>
      </c>
      <c r="CP75" s="199">
        <f>CQ75+各项系数!$L$9*$NO75</f>
        <v>289.07114641798336</v>
      </c>
      <c r="CQ75" s="199">
        <f>CR75*(1+$DD75+各项系数!$J$5+各项系数!$L$5)</f>
        <v>286.91509953916614</v>
      </c>
      <c r="CR75" s="199">
        <f t="shared" si="14"/>
        <v>281.2893132736923</v>
      </c>
      <c r="CS75" s="146">
        <f>CT75+各项系数!$M$9*$NU75</f>
        <v>286.45331833287503</v>
      </c>
      <c r="CT75" s="146">
        <f t="shared" si="15"/>
        <v>284.27919256971552</v>
      </c>
      <c r="CU75" s="199">
        <f>CV75+各项系数!$L$9*$NU75</f>
        <v>290.08080874460768</v>
      </c>
      <c r="CV75" s="199">
        <f>CW75*(1+$DD75+各项系数!$J$5+各项系数!$L$5)</f>
        <v>287.90668298144817</v>
      </c>
      <c r="CW75" s="199">
        <f t="shared" si="16"/>
        <v>282.26145390338053</v>
      </c>
      <c r="CX75" s="146">
        <f>CY75+各项系数!$M$9*$NU75</f>
        <v>289.85750268053374</v>
      </c>
      <c r="CY75" s="146">
        <f t="shared" si="17"/>
        <v>287.68337691737423</v>
      </c>
      <c r="CZ75" s="199">
        <f>DA75+各项系数!$L$9*$NU75</f>
        <v>293.55446624221861</v>
      </c>
      <c r="DA75" s="199">
        <f>DB75*(1+$DD75+各项系数!$J$5+各项系数!$L$5)</f>
        <v>291.3803404790591</v>
      </c>
      <c r="DB75" s="199">
        <f t="shared" si="18"/>
        <v>285.66700046966577</v>
      </c>
      <c r="DC75" s="214">
        <f t="shared" si="137"/>
        <v>0</v>
      </c>
      <c r="DD75" s="214">
        <f t="shared" si="19"/>
        <v>0</v>
      </c>
      <c r="DE75" s="78" t="s">
        <v>498</v>
      </c>
      <c r="DF75" s="78" t="s">
        <v>513</v>
      </c>
      <c r="DG75" s="146">
        <f>DH75+各项系数!$M$9*$NQ75</f>
        <v>287.16190173280592</v>
      </c>
      <c r="DH75" s="146">
        <f>DI75*(1+$EA75+(VLOOKUP($AM75,$A$12:$B$323,2,0))+各项系数!$J$6+各项系数!$M$5)*(1+$E$2)+各项系数!$M$9*$NK75</f>
        <v>285.00585485398869</v>
      </c>
      <c r="DI75" s="199">
        <f>DJ75+各项系数!$L$9*$NQ75</f>
        <v>289.19379610513545</v>
      </c>
      <c r="DJ75" s="199">
        <f>DK75*(1+$EB75+各项系数!$J$5+各项系数!$L$5)</f>
        <v>287.03774922631823</v>
      </c>
      <c r="DK75" s="199">
        <f t="shared" si="20"/>
        <v>278.67742643331866</v>
      </c>
      <c r="DL75" s="146">
        <f>DM75+各项系数!$M$9*$NQ75</f>
        <v>290.08132544285206</v>
      </c>
      <c r="DM75" s="146">
        <f>DN75*(1+$EA75+(VLOOKUP($AM75,$A$12:$B$323,2,0))+各项系数!$J$6+各项系数!$M$5)*(1+$E$2)+各项系数!$M$9*$NK75</f>
        <v>287.92527856403484</v>
      </c>
      <c r="DN75" s="199">
        <f>DO75+各项系数!$L$9*$NQ75</f>
        <v>292.17279989089684</v>
      </c>
      <c r="DO75" s="199">
        <f>DP75*(1+$EB75+各项系数!$J$5+各项系数!$L$5)</f>
        <v>290.01675301207962</v>
      </c>
      <c r="DP75" s="199">
        <f t="shared" si="21"/>
        <v>281.56966311852392</v>
      </c>
      <c r="DQ75" s="146">
        <f>DR75+各项系数!$M$9*$NV75</f>
        <v>289.72734101277564</v>
      </c>
      <c r="DR75" s="146">
        <f t="shared" si="22"/>
        <v>287.55321524961613</v>
      </c>
      <c r="DS75" s="199">
        <f>DT75+各项系数!$L$9*$NV75</f>
        <v>293.421648213894</v>
      </c>
      <c r="DT75" s="199">
        <f>DU75*(1+$EB75+各项系数!$J$5+各项系数!$L$5)</f>
        <v>291.24752245073449</v>
      </c>
      <c r="DU75" s="199">
        <f t="shared" si="23"/>
        <v>282.76458490362569</v>
      </c>
      <c r="DV75" s="146">
        <f>DW75+各项系数!$M$9*$NV75</f>
        <v>289.85399648012128</v>
      </c>
      <c r="DW75" s="146">
        <f t="shared" si="24"/>
        <v>287.67987071696177</v>
      </c>
      <c r="DX75" s="199">
        <f>DY75+各项系数!$L$9*$NV75</f>
        <v>293.55088848669567</v>
      </c>
      <c r="DY75" s="199">
        <f>DZ75*(1+$EB75+各项系数!$J$5+各项系数!$L$5)</f>
        <v>291.37676272353616</v>
      </c>
      <c r="DZ75" s="199">
        <f t="shared" si="25"/>
        <v>282.89006089663707</v>
      </c>
      <c r="EA75" s="214">
        <f t="shared" si="324"/>
        <v>0</v>
      </c>
      <c r="EB75" s="214">
        <f t="shared" si="27"/>
        <v>0.01</v>
      </c>
      <c r="EC75" s="235">
        <f t="shared" si="138"/>
        <v>4</v>
      </c>
      <c r="ED75" s="237" t="str">
        <f t="shared" si="331"/>
        <v>4*120</v>
      </c>
      <c r="EE75" s="78">
        <f t="shared" si="239"/>
        <v>120</v>
      </c>
      <c r="EF75" s="78" t="str">
        <f>LOOKUP(EH75,{1,7,10,14,19,24,30,37,48,61},{1,"1+6","2+8","4+10","1+6+12","2+8+14","4+10+16","1+6+12+18","3+9+15+21","1+6+12+18+24"})</f>
        <v>2+8+14</v>
      </c>
      <c r="EG75" s="106">
        <f t="shared" si="29"/>
        <v>4</v>
      </c>
      <c r="EH75" s="199">
        <f>VLOOKUP(EE75,各项系数!$B$87:$C$124,2,0)</f>
        <v>24</v>
      </c>
      <c r="EI75" s="106">
        <f>IF(EH75=0,0,VLOOKUP(EH75,各项系数!$D$142:$E$195,2,0))*1</f>
        <v>6</v>
      </c>
      <c r="EJ75" s="240">
        <f t="shared" si="141"/>
        <v>244.921136962963</v>
      </c>
      <c r="EK75" s="78">
        <f t="shared" si="332"/>
        <v>0</v>
      </c>
      <c r="EL75" s="78">
        <f t="shared" si="31"/>
        <v>0</v>
      </c>
      <c r="EM75" s="78">
        <f t="shared" si="333"/>
        <v>0</v>
      </c>
      <c r="EN75" s="78">
        <f>IF(EP75=0,0,LOOKUP(EP75,{1,7,10,14,19,24,30,37,48,61},{1,"1+6","2+8","4+10","1+6+12","2+8+14","4+10+16","1+6+12+18","3+9+15+21","1+6+12+18+24"}))</f>
        <v>0</v>
      </c>
      <c r="EO75" s="78">
        <f t="shared" si="334"/>
        <v>0</v>
      </c>
      <c r="EP75" s="78">
        <f>IF(EM75=0,0,IF(EM75&lt;10,1,IF(AND(EM75&gt;=10,EM75&lt;=35),7,LOOKUP(EM75,{50,70,95,120,150,185,240,300},{10,14,19,24,30,37,48,61})*1)))</f>
        <v>0</v>
      </c>
      <c r="EQ75" s="78">
        <f>IF(EP75=0,0,VLOOKUP(EP75,各项系数!$D$142:$E$195,2,0))*1</f>
        <v>0</v>
      </c>
      <c r="ER75" s="78">
        <f t="shared" si="335"/>
        <v>0</v>
      </c>
      <c r="ES75" s="237">
        <f t="shared" si="336"/>
        <v>4</v>
      </c>
      <c r="ET75" s="78">
        <f>VLOOKUP(ES75,各项系数!$D$142:$E$195,2,0)*1</f>
        <v>2.42</v>
      </c>
      <c r="EU75" s="243">
        <f>((各项系数!$F$76/4*$EJ75^2*$EG75*$EH75*1*10^-7)*(1-$H75)*AA75)*(VLOOKUP($EY$9,各项系数!$D$4:$F$143,3,0))*各项系数!$J$4</f>
        <v>4.0527324626871239</v>
      </c>
      <c r="EV75" s="244">
        <f>EU75*(VLOOKUP($EY$9,各项系数!$D$4:$F$143,2,0))</f>
        <v>265.45397630600661</v>
      </c>
      <c r="EW75" s="252">
        <f>(IF($EO75=0,0,(各项系数!$F$76/4*$ER75^2*$EO75*$EP75*1*10^-7))*(1-$K75)*$AF75)*(VLOOKUP($EY$9,各项系数!$D$4:$F$143,3,0))*各项系数!$J$4</f>
        <v>0</v>
      </c>
      <c r="EX75" s="253">
        <f>EW75*(VLOOKUP($EY$9,各项系数!$D$4:$F$143,2,0))</f>
        <v>0</v>
      </c>
      <c r="EY75" s="189">
        <f>((各项系数!$F$76/4*$EJ75^2*$EG75*$EH75*1*10^-7)*(1-$H75)*AA75+IF($EO75=0,0,(各项系数!$F$76/4*$ER75^2*$EO75*$EP75*1*10^-7))*(1-$K75)*$AF75)*(VLOOKUP($EY$9,各项系数!$D$4:$F$143,3,0))*各项系数!$J$4</f>
        <v>4.0527324626871239</v>
      </c>
      <c r="EZ75" s="106">
        <v>1</v>
      </c>
      <c r="FA75" s="78">
        <f t="shared" si="268"/>
        <v>4.0527324626871239</v>
      </c>
      <c r="FB75" s="246">
        <f>FA75*(VLOOKUP($EY$9,各项系数!$D$4:$F$143,2,0))</f>
        <v>265.45397630600661</v>
      </c>
      <c r="FC75" s="257"/>
      <c r="FD75" s="237">
        <f>各项系数!$F$76/4*($MN75^2-MK75^2)*10^-2*(VLOOKUP(L75,各项系数!$D$1:$F$143,3,0))*10^-3*10^2*$EG75*各项系数!$J$4</f>
        <v>0.26234617504897495</v>
      </c>
      <c r="FE75" s="264">
        <f>FD75*VLOOKUP(L75,各项系数!$D$1:$F$143,2,0)</f>
        <v>2.6759309854995443</v>
      </c>
      <c r="FF75" s="106">
        <f>各项系数!$F$76/4*($MO75^2-ML75^2)*10^-2*(VLOOKUP(L75,各项系数!$D$1:$F$143,3,0))*10^-3*10^2*$EO75*各项系数!$J$4</f>
        <v>0</v>
      </c>
      <c r="FG75" s="264">
        <f>FF75*VLOOKUP(L75,各项系数!$D$1:$F$143,2,0)</f>
        <v>0</v>
      </c>
      <c r="FH75" s="237">
        <f t="shared" si="142"/>
        <v>0.26234617504897495</v>
      </c>
      <c r="FI75" s="106">
        <v>1</v>
      </c>
      <c r="FJ75" s="78">
        <f t="shared" si="269"/>
        <v>0.26234617504897495</v>
      </c>
      <c r="FK75" s="264">
        <f>FJ75*VLOOKUP(L75,各项系数!$D$1:$F$143,2,0)</f>
        <v>2.6759309854995443</v>
      </c>
      <c r="FL75" s="237"/>
      <c r="FM75" s="106"/>
      <c r="FN75" s="78"/>
      <c r="FO75" s="264"/>
      <c r="FP75" s="289">
        <f t="shared" si="270"/>
        <v>0.26234617504897495</v>
      </c>
      <c r="FQ75" s="289">
        <f t="shared" si="271"/>
        <v>2.6759309854995443</v>
      </c>
      <c r="FR75" s="283">
        <f>各项系数!$F$76/4*($MQ75^2-$MN75^2*$EG75-$MO75^2*$EO75)*10^-2</f>
        <v>4.2610171212203358</v>
      </c>
      <c r="FS75" s="284">
        <f t="shared" si="143"/>
        <v>1</v>
      </c>
      <c r="FT75" s="285">
        <f t="shared" si="40"/>
        <v>4.2610171212203358</v>
      </c>
      <c r="FU75" s="309">
        <f>$FT75*(VLOOKUP($FT$9,各项系数!$D$1:$F$143,3,0))*10^-3*10^2*各项系数!$J$55</f>
        <v>0.50876544427370807</v>
      </c>
      <c r="FV75" s="310">
        <v>1</v>
      </c>
      <c r="FW75" s="311">
        <f t="shared" si="272"/>
        <v>0.50876544427370807</v>
      </c>
      <c r="FX75" s="290">
        <f>FW75*(VLOOKUP($FT$9,各项系数!$D$1:$F$143,2,0))</f>
        <v>1.5262963328211243</v>
      </c>
      <c r="FY75" s="309">
        <f>IF($BK75&lt;&gt;$FY$9,0,各项系数!$F$76/4*($MS75^2-$MQ75^2)*10^-2*(VLOOKUP($FY$9,各项系数!$D$1:$F$143,3,0))*10^-3*10^2)*各项系数!$J$4</f>
        <v>0</v>
      </c>
      <c r="FZ75" s="310">
        <v>1</v>
      </c>
      <c r="GA75" s="311">
        <f t="shared" si="273"/>
        <v>0</v>
      </c>
      <c r="GB75" s="290">
        <f>GA75*(VLOOKUP($FY$9,各项系数!$D$1:$F$143,2,0))</f>
        <v>0</v>
      </c>
      <c r="GC75" s="309">
        <f>IF($BK75&lt;&gt;$GC$9,0,各项系数!$F$76/4*($MS75^2-$MQ75^2)*10^-2*(VLOOKUP($GC$9,各项系数!$D$1:$F$143,3,0))*10^-3*10^2)*各项系数!$J$4</f>
        <v>1.1290285375120841E-2</v>
      </c>
      <c r="GD75" s="310">
        <v>1</v>
      </c>
      <c r="GE75" s="311">
        <f t="shared" si="274"/>
        <v>1.1290285375120841E-2</v>
      </c>
      <c r="GF75" s="290">
        <f>GE75*(VLOOKUP($GC$9,各项系数!$D$1:$F$143,2,0))</f>
        <v>0.14564468133905886</v>
      </c>
      <c r="GG75" s="309">
        <f>IF($BK75&lt;&gt;$GG$9,0,各项系数!$F$76/4*($MS75^2-$MQ75^2)*10^-2*(VLOOKUP($GG$9,各项系数!$D$1:$F$143,3,0))*10^-3*10^2)*各项系数!$J$4</f>
        <v>0</v>
      </c>
      <c r="GH75" s="310">
        <v>1</v>
      </c>
      <c r="GI75" s="311">
        <f t="shared" si="275"/>
        <v>0</v>
      </c>
      <c r="GJ75" s="290">
        <f>GI75*(VLOOKUP($GG$9,各项系数!$D$1:$F$143,2,0))</f>
        <v>0</v>
      </c>
      <c r="GK75" s="309">
        <f>IF($BK75&lt;&gt;$GK$9,0,各项系数!$F$76/4*($MS75^2-$MQ75^2)*10^-2*(VLOOKUP($GK$9,各项系数!$D$1:$F$143,3,0))*10^-3*10^2)*各项系数!$J$4</f>
        <v>0</v>
      </c>
      <c r="GL75" s="310">
        <v>1</v>
      </c>
      <c r="GM75" s="311">
        <f t="shared" si="276"/>
        <v>0</v>
      </c>
      <c r="GN75" s="290">
        <f>GM75*(VLOOKUP($GK$9,各项系数!$D$1:$F$143,2,0))</f>
        <v>0</v>
      </c>
      <c r="GO75" s="311">
        <f t="shared" si="277"/>
        <v>1.1290285375120841E-2</v>
      </c>
      <c r="GP75" s="311">
        <f t="shared" si="278"/>
        <v>0.14564468133905886</v>
      </c>
      <c r="GQ75" s="317">
        <f>各项系数!$F$76/4*($MU75^2-$MS75^2)*10^-2*(VLOOKUP($S75,各项系数!$D$1:$F$143,3,0))*10^-3*10^2*各项系数!$J$4</f>
        <v>0.77543590326399103</v>
      </c>
      <c r="GR75" s="310">
        <v>1</v>
      </c>
      <c r="GS75" s="311">
        <f t="shared" si="279"/>
        <v>0.77543590326399103</v>
      </c>
      <c r="GT75" s="311">
        <f t="shared" si="200"/>
        <v>0</v>
      </c>
      <c r="GU75" s="311">
        <f>ROUND($GS75*(VLOOKUP($S75,各项系数!$D$1:$F$143,2,0))+$E$3*GS75,GT75)</f>
        <v>4</v>
      </c>
      <c r="GV75" s="315">
        <f>各项系数!$F$76/4*($MT75^2-$MS75^2)*10^-2*(VLOOKUP($GV$9,各项系数!$D$1:$F$143,3,0))*10^-3*10^2*各项系数!$J$4*PI()/4*R75</f>
        <v>5.8145348574342774E-2</v>
      </c>
      <c r="GW75" s="310">
        <v>1</v>
      </c>
      <c r="GX75" s="311">
        <f t="shared" si="280"/>
        <v>5.8145348574342774E-2</v>
      </c>
      <c r="GY75" s="311">
        <f>$GX75*(VLOOKUP($GV$9,各项系数!$D$1:$F$143,2,0))</f>
        <v>3.9248110287681373</v>
      </c>
      <c r="GZ75" s="317">
        <f>各项系数!$F$76/4*($MV75^2-$MS75^2)*10^-2*(VLOOKUP($GZ$9,各项系数!$D$1:$F$143,3,0))*10^-3*10^2*各项系数!$J$4</f>
        <v>0.47805402057532065</v>
      </c>
      <c r="HA75" s="310">
        <v>1</v>
      </c>
      <c r="HB75" s="311">
        <f t="shared" si="144"/>
        <v>0.47805402057532065</v>
      </c>
      <c r="HC75" s="311">
        <f>HB75*(VLOOKUP($GZ$9,各项系数!$D$1:$F$143,2,0))</f>
        <v>8.1269183497804516</v>
      </c>
      <c r="HD75" s="317">
        <f>各项系数!$F$76/4*($MW75^2-$MT75^2)*10^-2*(VLOOKUP($HD$9,各项系数!$D$1:$F$143,3,0))*10^-3*10^2*各项系数!$J$4</f>
        <v>0.47979451317089172</v>
      </c>
      <c r="HE75" s="310">
        <v>1</v>
      </c>
      <c r="HF75" s="311">
        <f t="shared" si="145"/>
        <v>0.47979451317089172</v>
      </c>
      <c r="HG75" s="311">
        <f>HF75*(VLOOKUP($HD$9,各项系数!$D$1:$F$143,2,0))</f>
        <v>8.1565067239051601</v>
      </c>
      <c r="HH75" s="317">
        <f>各项系数!$F$76/4*($MV75^2-$MS75^2)*10^-2*(VLOOKUP($HH$9,各项系数!$D$1:$F$143,3,0))*10^-3*10^2*各项系数!$J$4</f>
        <v>0.47805402057532065</v>
      </c>
      <c r="HI75" s="311">
        <v>1</v>
      </c>
      <c r="HJ75" s="311">
        <f t="shared" si="146"/>
        <v>0.47805402057532065</v>
      </c>
      <c r="HK75" s="311">
        <f>HJ75*(VLOOKUP($HH$9,各项系数!$D$1:$F$143,2,0))</f>
        <v>8.1269183497804516</v>
      </c>
      <c r="HL75" s="317">
        <f>各项系数!$F$76/4*($MW75^2-$MT75^2)*10^-2*(VLOOKUP($HL$9,各项系数!$D$1:$F$143,3,0))*10^-3*10^2*各项系数!$J$4</f>
        <v>0.47979451317089172</v>
      </c>
      <c r="HM75" s="311">
        <v>1</v>
      </c>
      <c r="HN75" s="311">
        <f t="shared" si="147"/>
        <v>0.47979451317089172</v>
      </c>
      <c r="HO75" s="311">
        <f>HN75*(VLOOKUP($HL$9,各项系数!$D$1:$F$143,2,0))</f>
        <v>8.1565067239051601</v>
      </c>
      <c r="HP75" s="317">
        <f>各项系数!$F$76/4*($MV75^2-$MS75^2)*10^-2*(VLOOKUP(AN75,各项系数!$D$1:$F$143,3,0))*10^-3*10^2*各项系数!$J$4</f>
        <v>0.48464786913498031</v>
      </c>
      <c r="HQ75" s="310">
        <v>1</v>
      </c>
      <c r="HR75" s="311">
        <f t="shared" si="281"/>
        <v>0.48464786913498031</v>
      </c>
      <c r="HS75" s="311">
        <f>HR75*(VLOOKUP(AN75,各项系数!$D$1:$F$143,2,0))</f>
        <v>4.8464786913498035</v>
      </c>
      <c r="HT75" s="317">
        <f>各项系数!$F$76/4*($MW75^2-$MT75^2)*10^-2*(VLOOKUP(AN75,各项系数!$D$1:$F$143,3,0))*10^-3*10^2*各项系数!$J$4</f>
        <v>0.48641236852497299</v>
      </c>
      <c r="HU75" s="310">
        <v>1</v>
      </c>
      <c r="HV75" s="311">
        <f t="shared" si="282"/>
        <v>0.48641236852497299</v>
      </c>
      <c r="HW75" s="311">
        <f>HV75*(VLOOKUP(AN75,各项系数!$D$1:$F$143,2,0))</f>
        <v>4.86412368524973</v>
      </c>
      <c r="HX75" s="317">
        <f>各项系数!$F$76/4*($MV75^2-$MS75^2)*10^-2*(VLOOKUP($HX$9,各项系数!$D$1:$F$143,3,0))*10^-3*10^2*各项系数!$J$4</f>
        <v>0.48464786913498031</v>
      </c>
      <c r="HY75" s="311">
        <v>1</v>
      </c>
      <c r="HZ75" s="311">
        <f t="shared" si="283"/>
        <v>0.48464786913498031</v>
      </c>
      <c r="IA75" s="311">
        <f>HZ75*(VLOOKUP($HX$9,各项系数!$D$1:$F$143,2,0))</f>
        <v>5.3311265604847833</v>
      </c>
      <c r="IB75" s="317">
        <f>各项系数!$F$76/4*($MW75^2-$MT75^2)*10^-2*(VLOOKUP($IB$9,各项系数!$D$1:$F$143,3,0))*10^-3*10^2*各项系数!$J$4</f>
        <v>0.48641236852497299</v>
      </c>
      <c r="IC75" s="311">
        <v>1</v>
      </c>
      <c r="ID75" s="311">
        <f t="shared" si="284"/>
        <v>0.48641236852497299</v>
      </c>
      <c r="IE75" s="311">
        <f>ID75*(VLOOKUP($IB$9,各项系数!$D$1:$F$143,2,0))</f>
        <v>5.3505360537747029</v>
      </c>
      <c r="IF75" s="309"/>
      <c r="IG75" s="317">
        <f t="shared" si="148"/>
        <v>8.4372262841101844E-2</v>
      </c>
      <c r="IH75" s="310">
        <v>1</v>
      </c>
      <c r="II75" s="311">
        <f t="shared" si="285"/>
        <v>8.4372262841101844E-2</v>
      </c>
      <c r="IJ75" s="311">
        <f>II75*(VLOOKUP($IG$8,各项系数!$D$1:$F$143,2,0))</f>
        <v>2.1093065710275463</v>
      </c>
      <c r="IK75" s="317">
        <f>(各项系数!$F$76/4*($MX75^2-$MK75^2)*$EG75)*10^-2*(VLOOKUP($IG$8,各项系数!$D$1:$F$143,3,0))*10^-3*10^2*各项系数!$J$4</f>
        <v>8.4372262841101844E-2</v>
      </c>
      <c r="IL75" s="310">
        <f>IK75*(VLOOKUP($IG$8,各项系数!$D$1:$F$143,2,0))</f>
        <v>2.1093065710275463</v>
      </c>
      <c r="IM75" s="311">
        <f>(各项系数!$F$76/4*(($MM75+3*$X75)^2-MM75^2)*$EO75)*10^-2*(VLOOKUP($IG$8,各项系数!$D$1:$F$143,3,0))*10^-3*10^2*各项系数!$J$4</f>
        <v>0</v>
      </c>
      <c r="IN75" s="310">
        <f>IM75*(VLOOKUP($IG$8,各项系数!$D$1:$F$143,2,0))</f>
        <v>0</v>
      </c>
      <c r="IO75" s="317">
        <f>各项系数!$F$76/4*($MZ75^2-$MX75^2)*10^-2*(VLOOKUP(L75,各项系数!$D$1:$F$143,3,0))*10^-3*10^2*$ES75*各项系数!$J$4</f>
        <v>0.27224897774791423</v>
      </c>
      <c r="IP75" s="310">
        <v>1</v>
      </c>
      <c r="IQ75" s="311">
        <f t="shared" si="286"/>
        <v>0.27224897774791423</v>
      </c>
      <c r="IR75" s="290">
        <f>IQ75*(VLOOKUP(L75,各项系数!$D$1:$F$143,2,0))</f>
        <v>2.776939573028725</v>
      </c>
      <c r="IS75" s="317">
        <f>IF($L75&lt;&gt;$IS$9,0,各项系数!$F$76/4*($MZ75^2-$MX75^2)*10^-2*各项系数!$F$12*10^-3*10^2)*$ES75*各项系数!$J$4</f>
        <v>0</v>
      </c>
      <c r="IT75" s="310">
        <v>1</v>
      </c>
      <c r="IU75" s="311">
        <f t="shared" si="287"/>
        <v>0</v>
      </c>
      <c r="IV75" s="290">
        <f>IU75*各项系数!$E$12</f>
        <v>0</v>
      </c>
      <c r="IW75" s="309">
        <f t="shared" si="288"/>
        <v>0.27224897774791423</v>
      </c>
      <c r="IX75" s="309">
        <f t="shared" si="289"/>
        <v>2.776939573028725</v>
      </c>
      <c r="IY75" s="339">
        <f>各项系数!$F$76/4*($NB75^2-$MZ75^2*$EG75-$NA75^2*$EO75)*10^-2</f>
        <v>4.5653674790268974</v>
      </c>
      <c r="IZ75" s="284">
        <f t="shared" si="231"/>
        <v>1</v>
      </c>
      <c r="JA75" s="285">
        <f t="shared" si="64"/>
        <v>4.5653674790268974</v>
      </c>
      <c r="JB75" s="289">
        <f>IF($DE75&lt;&gt;$JB$9,0,$JA75*各项系数!$F$32*10^-3*10^2)*各项系数!$J$4</f>
        <v>0</v>
      </c>
      <c r="JC75" s="106">
        <v>1</v>
      </c>
      <c r="JD75" s="78">
        <f t="shared" si="290"/>
        <v>0</v>
      </c>
      <c r="JE75" s="264">
        <f>JD75*各项系数!$E$32</f>
        <v>0</v>
      </c>
      <c r="JF75" s="282">
        <f>IF($DE75&lt;&gt;$JF$9,0,$JA75*VLOOKUP($JF$9,各项系数!$D$4:$F$540,2,0)*10^-3*10^2)*各项系数!$J$4</f>
        <v>2.2712703208158813</v>
      </c>
      <c r="JG75" s="102">
        <v>1</v>
      </c>
      <c r="JH75" s="189">
        <f t="shared" si="66"/>
        <v>2.2712703208158813</v>
      </c>
      <c r="JI75" s="262">
        <f>JH75*VLOOKUP($JF$9,各项系数!$D$4:$F$540,3,0)</f>
        <v>2.7255243849790576</v>
      </c>
      <c r="JJ75" s="289">
        <f t="shared" si="291"/>
        <v>2.2712703208158813</v>
      </c>
      <c r="JK75" s="78">
        <f t="shared" si="292"/>
        <v>2.7255243849790576</v>
      </c>
      <c r="JL75" s="289">
        <f>IF($DF75&lt;&gt;$JL$9,0,各项系数!$F$76/4*($NE75^2-$NC75^2)*10^-2*各项系数!$F$39*10^-3*10^2)*各项系数!$J$4</f>
        <v>4.8324044434977292E-3</v>
      </c>
      <c r="JM75" s="106">
        <v>1</v>
      </c>
      <c r="JN75" s="78">
        <f t="shared" si="293"/>
        <v>4.8324044434977292E-3</v>
      </c>
      <c r="JO75" s="264">
        <f>JN75*各项系数!$E$39</f>
        <v>9.6648088869954588E-2</v>
      </c>
      <c r="JP75" s="289">
        <f>IF($DF75&lt;&gt;$JP$9,0,各项系数!$F$76/4*($NE75^2-$NC75^2)*10^-2*各项系数!$F$36*10^-3*10^2)*各项系数!$J$4</f>
        <v>0</v>
      </c>
      <c r="JQ75" s="106">
        <v>1</v>
      </c>
      <c r="JR75" s="78">
        <f t="shared" si="294"/>
        <v>0</v>
      </c>
      <c r="JS75" s="264">
        <f>JR75*各项系数!$E$36</f>
        <v>0</v>
      </c>
      <c r="JT75" s="289">
        <f>IF($DF75&lt;&gt;$JT$9,0,各项系数!$F$76/4*($NE75^2-$NC75^2)*10^-2*各项系数!$F$40*10^-3*10^2)*各项系数!$J$4</f>
        <v>0</v>
      </c>
      <c r="JU75" s="106">
        <v>1</v>
      </c>
      <c r="JV75" s="78">
        <f t="shared" si="295"/>
        <v>0</v>
      </c>
      <c r="JW75" s="264">
        <f>JV75*各项系数!$E$40</f>
        <v>0</v>
      </c>
      <c r="JX75" s="289">
        <f>IF($DF75&lt;&gt;$JX$9,0,各项系数!$F$76/4*($NE75^2-$NC75^2)*10^-2*各项系数!$F$38*10^-3*10^2)*各项系数!$J$4</f>
        <v>0</v>
      </c>
      <c r="JY75" s="106">
        <v>1</v>
      </c>
      <c r="JZ75" s="78">
        <f t="shared" si="296"/>
        <v>0</v>
      </c>
      <c r="KA75" s="264">
        <f>JZ75*各项系数!$E$38</f>
        <v>0</v>
      </c>
      <c r="KB75" s="289">
        <f>IF($DF75&lt;&gt;$KB$9,0,各项系数!$F$76/4*($NE75^2-$NC75^2)*10^-2*各项系数!$F$41*10^-3*10^2)*各项系数!$J$4</f>
        <v>0</v>
      </c>
      <c r="KC75" s="106">
        <v>1</v>
      </c>
      <c r="KD75" s="78">
        <f t="shared" si="297"/>
        <v>0</v>
      </c>
      <c r="KE75" s="264">
        <f>KD75*各项系数!$E$41</f>
        <v>0</v>
      </c>
      <c r="KF75" s="78">
        <f t="shared" si="298"/>
        <v>4.8324044434977292E-3</v>
      </c>
      <c r="KG75" s="78">
        <f t="shared" si="299"/>
        <v>9.6648088869954588E-2</v>
      </c>
      <c r="KH75" s="237">
        <f>各项系数!$F$76/4*($NG75^2-$NE75^2)*10^-2*各项系数!$F$44*10^-3*10^2*各项系数!$J$4*0.75*$U75</f>
        <v>1.2048438102696561</v>
      </c>
      <c r="KI75" s="106">
        <v>1</v>
      </c>
      <c r="KJ75" s="78">
        <f t="shared" si="300"/>
        <v>1.2048438102696561</v>
      </c>
      <c r="KK75" s="78">
        <f>ROUND(KJ75*各项系数!$E$43,GT75)</f>
        <v>7</v>
      </c>
      <c r="KL75" s="235">
        <f>各项系数!$F$76/4*($NF75^2-$NE75^2)*10^-2*各项系数!$F$46*10^-3*10^2*各项系数!$J$4*PI()/4*R75</f>
        <v>6.0262947807661144E-2</v>
      </c>
      <c r="KM75" s="106">
        <v>1</v>
      </c>
      <c r="KN75" s="78">
        <f t="shared" si="301"/>
        <v>6.0262947807661144E-2</v>
      </c>
      <c r="KO75" s="78">
        <f>KN75*各项系数!$E$46</f>
        <v>4.0677489770171276</v>
      </c>
      <c r="KP75" s="237">
        <f>各项系数!$F$76/4*($NH75^2-$NE75^2)*10^-2*(VLOOKUP($KP$9,各项系数!$D$1:$F$143,3,0))*10^-3*10^2*各项系数!$J$4</f>
        <v>0.49454518791835783</v>
      </c>
      <c r="KQ75" s="106">
        <v>1</v>
      </c>
      <c r="KR75" s="78">
        <f t="shared" si="150"/>
        <v>0.49454518791835783</v>
      </c>
      <c r="KS75" s="78">
        <f>KR75*(VLOOKUP($KP$9,各项系数!$D$1:$F$143,2,0))</f>
        <v>8.4072681946120831</v>
      </c>
      <c r="KT75" s="237">
        <f>各项系数!$F$76/4*($NI75^2-$NF75^2)*10^-2*(VLOOKUP($KT$9,各项系数!$D$1:$F$143,3,0))*10^-3*10^2*各项系数!$J$4</f>
        <v>0.49628568051392941</v>
      </c>
      <c r="KU75" s="106">
        <v>1</v>
      </c>
      <c r="KV75" s="78">
        <f t="shared" si="151"/>
        <v>0.49628568051392941</v>
      </c>
      <c r="KW75" s="78">
        <f>KV75*(VLOOKUP($KT$9,各项系数!$D$1:$F$143,2,0))</f>
        <v>8.4368565687368005</v>
      </c>
      <c r="KX75" s="78">
        <f>各项系数!$F$76/4*($NH75^2-$NE75^2)*10^-2*(VLOOKUP($KX$9,各项系数!$D$1:$F$143,3,0))*10^-3*10^2*各项系数!$J$4</f>
        <v>0.49454518791835783</v>
      </c>
      <c r="KY75" s="355">
        <v>1</v>
      </c>
      <c r="KZ75" s="78">
        <f t="shared" si="152"/>
        <v>0.49454518791835783</v>
      </c>
      <c r="LA75" s="78">
        <f>KZ75*(VLOOKUP($KX$9,各项系数!$D$1:$F$143,2,0))</f>
        <v>8.4072681946120831</v>
      </c>
      <c r="LB75" s="78">
        <f>各项系数!$F$76/4*($NI75^2-$NF75^2)*10^-2*(VLOOKUP($LB$9,各项系数!$D$1:$F$143,3,0))*10^-3*10^2*各项系数!$J$4</f>
        <v>0.49628568051392941</v>
      </c>
      <c r="LC75" s="355">
        <v>1</v>
      </c>
      <c r="LD75" s="78">
        <f t="shared" si="153"/>
        <v>0.49628568051392941</v>
      </c>
      <c r="LE75" s="78">
        <f>LD75*(VLOOKUP($LB$9,各项系数!$D$1:$F$143,2,0))</f>
        <v>8.4368565687368005</v>
      </c>
      <c r="LF75" s="237">
        <f>各项系数!$F$76/4*($NH75^2-$NE75^2)*10^-2*(VLOOKUP(AN75,各项系数!$D$1:$F$143,3,0))*10^-3*10^2*各项系数!$J$4</f>
        <v>0.50136650085516277</v>
      </c>
      <c r="LG75" s="106">
        <v>1</v>
      </c>
      <c r="LH75" s="78">
        <f t="shared" si="302"/>
        <v>0.50136650085516277</v>
      </c>
      <c r="LI75" s="78">
        <f>LH75*(VLOOKUP(AN75,各项系数!$D$1:$F$143,2,0))</f>
        <v>5.0136650085516274</v>
      </c>
      <c r="LJ75" s="237">
        <f>各项系数!$F$76/4*($NI75^2-$NF75^2)*10^-2*(VLOOKUP(AN75,各项系数!$D$1:$F$143,3,0))*10^-3*10^2*各项系数!$J$4</f>
        <v>0.50313100024515589</v>
      </c>
      <c r="LK75" s="106">
        <v>1</v>
      </c>
      <c r="LL75" s="78">
        <f t="shared" si="303"/>
        <v>0.50313100024515589</v>
      </c>
      <c r="LM75" s="78">
        <f>LL75*(VLOOKUP(AN75,各项系数!$D$1:$F$143,2,0))</f>
        <v>5.0313100024515585</v>
      </c>
      <c r="LN75" s="78">
        <f>各项系数!$F$76/4*($NH75^2-$NE75^2)*10^-2*(VLOOKUP($LN$9,各项系数!$D$1:$F$143,3,0))*10^-3*10^2*各项系数!$J$4</f>
        <v>0.50136650085516277</v>
      </c>
      <c r="LO75" s="355">
        <v>1</v>
      </c>
      <c r="LP75" s="78">
        <f t="shared" si="304"/>
        <v>0.50136650085516277</v>
      </c>
      <c r="LQ75" s="78">
        <f>LP75*(VLOOKUP($LN$9,各项系数!$D$1:$F$143,2,0))</f>
        <v>5.5150315094067901</v>
      </c>
      <c r="LR75" s="78">
        <f>各项系数!$F$76/4*($NI75^2-$NF75^2)*10^-2*(VLOOKUP($LR$9,各项系数!$D$1:$F$143,3,0))*10^-3*10^2*各项系数!$J$4</f>
        <v>0.50313100024515589</v>
      </c>
      <c r="LS75" s="355">
        <v>1</v>
      </c>
      <c r="LT75" s="78">
        <f t="shared" si="305"/>
        <v>0.50313100024515589</v>
      </c>
      <c r="LU75" s="78">
        <f>LT75*(VLOOKUP($LR$9,各项系数!$D$1:$F$143,2,0))</f>
        <v>5.534441002696715</v>
      </c>
      <c r="LV75" s="367">
        <f t="shared" si="154"/>
        <v>678.42978629000004</v>
      </c>
      <c r="LW75" s="367">
        <f t="shared" si="155"/>
        <v>452.28652419000002</v>
      </c>
      <c r="LX75" s="367">
        <f t="shared" si="156"/>
        <v>23.997272514798944</v>
      </c>
      <c r="LY75" s="367">
        <f t="shared" si="157"/>
        <v>226.14326210000002</v>
      </c>
      <c r="LZ75" s="374">
        <f t="shared" si="86"/>
        <v>1</v>
      </c>
      <c r="MA75" s="375">
        <f t="shared" si="87"/>
        <v>678.42978629000004</v>
      </c>
      <c r="MB75" s="367">
        <f t="shared" si="158"/>
        <v>14.695268220000001</v>
      </c>
      <c r="MC75" s="367">
        <f t="shared" si="159"/>
        <v>0</v>
      </c>
      <c r="MD75" s="367">
        <f t="shared" si="160"/>
        <v>0</v>
      </c>
      <c r="ME75" s="367">
        <f t="shared" si="161"/>
        <v>0</v>
      </c>
      <c r="MF75" s="367">
        <f t="shared" si="162"/>
        <v>0</v>
      </c>
      <c r="MG75" s="379">
        <f t="shared" si="163"/>
        <v>1</v>
      </c>
      <c r="MH75" s="375">
        <f t="shared" si="88"/>
        <v>0</v>
      </c>
      <c r="MI75" s="367">
        <f t="shared" si="164"/>
        <v>0</v>
      </c>
      <c r="MJ75" s="78">
        <f t="shared" si="89"/>
        <v>14.695268220000001</v>
      </c>
      <c r="MK75" s="78">
        <f t="shared" si="165"/>
        <v>14.695268220000001</v>
      </c>
      <c r="ML75" s="78">
        <f t="shared" si="306"/>
        <v>0</v>
      </c>
      <c r="MM75" s="78">
        <f t="shared" si="91"/>
        <v>0</v>
      </c>
      <c r="MN75" s="78">
        <f t="shared" si="92"/>
        <v>17.095268220000001</v>
      </c>
      <c r="MO75" s="189">
        <f t="shared" si="166"/>
        <v>0</v>
      </c>
      <c r="MP75" s="78">
        <f t="shared" si="167"/>
        <v>41.370549089999997</v>
      </c>
      <c r="MQ75" s="78">
        <f t="shared" si="307"/>
        <v>41.370549089999997</v>
      </c>
      <c r="MR75" s="246">
        <f t="shared" si="168"/>
        <v>41.370549089999997</v>
      </c>
      <c r="MS75" s="380">
        <f t="shared" si="94"/>
        <v>41.546549089999999</v>
      </c>
      <c r="MT75" s="382">
        <f t="shared" si="95"/>
        <v>41.706549089999996</v>
      </c>
      <c r="MU75" s="382">
        <f t="shared" si="232"/>
        <v>43.046549089999999</v>
      </c>
      <c r="MV75" s="382">
        <f t="shared" si="97"/>
        <v>46.346549089999996</v>
      </c>
      <c r="MW75" s="382">
        <f t="shared" si="98"/>
        <v>46.506549089999993</v>
      </c>
      <c r="MX75" s="246">
        <f t="shared" si="233"/>
        <v>15.295268220000001</v>
      </c>
      <c r="MY75" s="246">
        <f t="shared" si="100"/>
        <v>0</v>
      </c>
      <c r="MZ75" s="78">
        <f t="shared" si="101"/>
        <v>17.695268219999999</v>
      </c>
      <c r="NA75" s="78">
        <f t="shared" si="102"/>
        <v>0</v>
      </c>
      <c r="NB75" s="78">
        <f t="shared" si="169"/>
        <v>42.822549090000003</v>
      </c>
      <c r="NC75" s="246">
        <f t="shared" si="308"/>
        <v>42.822549090000003</v>
      </c>
      <c r="ND75" s="246">
        <f t="shared" si="234"/>
        <v>42.822549090000003</v>
      </c>
      <c r="NE75" s="386">
        <f t="shared" si="235"/>
        <v>43.062549090000005</v>
      </c>
      <c r="NF75" s="382">
        <f t="shared" si="106"/>
        <v>43.222549090000001</v>
      </c>
      <c r="NG75" s="150">
        <f t="shared" si="236"/>
        <v>44.562549090000005</v>
      </c>
      <c r="NH75" s="246">
        <f t="shared" si="108"/>
        <v>47.862549090000002</v>
      </c>
      <c r="NI75" s="382">
        <f t="shared" si="109"/>
        <v>48.022549089999998</v>
      </c>
      <c r="NK75" s="390">
        <f t="shared" si="110"/>
        <v>5.3197822365199077</v>
      </c>
      <c r="NL75" s="390">
        <f t="shared" si="111"/>
        <v>274.64832699701611</v>
      </c>
      <c r="NM75" s="390">
        <f t="shared" si="112"/>
        <v>5.3197822365199077</v>
      </c>
      <c r="NN75" s="390">
        <f t="shared" si="113"/>
        <v>275.13297486615107</v>
      </c>
      <c r="NO75" s="390">
        <f t="shared" si="114"/>
        <v>7.186822929390682</v>
      </c>
      <c r="NP75" s="390">
        <f t="shared" si="115"/>
        <v>278.17605993246355</v>
      </c>
      <c r="NQ75" s="390">
        <f t="shared" si="116"/>
        <v>7.186822929390682</v>
      </c>
      <c r="NR75" s="390">
        <f t="shared" si="117"/>
        <v>278.67742643331866</v>
      </c>
      <c r="NS75" s="390">
        <f t="shared" si="118"/>
        <v>5.3779275850942501</v>
      </c>
      <c r="NT75" s="390">
        <f t="shared" si="119"/>
        <v>5.3779275850942501</v>
      </c>
      <c r="NU75" s="390">
        <f t="shared" si="120"/>
        <v>7.2470858771983435</v>
      </c>
      <c r="NV75" s="390">
        <f t="shared" si="121"/>
        <v>7.2470858771983435</v>
      </c>
      <c r="NW75" s="9">
        <f t="shared" si="122"/>
        <v>6.0952181397838991</v>
      </c>
      <c r="NX75" s="9">
        <f>各项系数!$M$9*NK75</f>
        <v>1.5959346709559723</v>
      </c>
      <c r="NY75" s="9">
        <f t="shared" si="123"/>
        <v>5.377927585094251</v>
      </c>
    </row>
    <row r="76" spans="1:389" s="9" customFormat="1" ht="15" hidden="1" customHeight="1">
      <c r="A76" s="65"/>
      <c r="B76" s="66"/>
      <c r="C76" s="67"/>
      <c r="D76" s="58" t="s">
        <v>316</v>
      </c>
      <c r="E76" s="399">
        <f t="shared" si="325"/>
        <v>49.698746830000005</v>
      </c>
      <c r="F76" s="68">
        <f>$F$28</f>
        <v>243.33587022849699</v>
      </c>
      <c r="G76" s="58"/>
      <c r="H76" s="16"/>
      <c r="I76" s="62"/>
      <c r="J76" s="62"/>
      <c r="K76" s="16"/>
      <c r="L76" s="107" t="s">
        <v>467</v>
      </c>
      <c r="M76" s="98">
        <f t="shared" ref="M76:M139" si="339">VLOOKUP(EE76,$A$12:$C$46,3,0)</f>
        <v>1.4</v>
      </c>
      <c r="N76" s="98">
        <f t="shared" ref="N76:N107" si="340">IF(EM76=0,0,VLOOKUP(EM76,$A$12:$C$46,3,0))</f>
        <v>0</v>
      </c>
      <c r="O76" s="58">
        <f t="shared" si="326"/>
        <v>0.08</v>
      </c>
      <c r="P76" s="99">
        <v>0.1</v>
      </c>
      <c r="Q76" s="136">
        <f t="shared" si="337"/>
        <v>0.1</v>
      </c>
      <c r="R76" s="151">
        <v>0.8</v>
      </c>
      <c r="S76" s="144" t="str">
        <f>各项系数!$D$43</f>
        <v>钢带</v>
      </c>
      <c r="T76" s="62">
        <v>0.5</v>
      </c>
      <c r="U76" s="62">
        <v>2</v>
      </c>
      <c r="V76" s="143"/>
      <c r="W76" s="145">
        <v>2.5</v>
      </c>
      <c r="X76" s="139">
        <f t="shared" si="338"/>
        <v>0.2</v>
      </c>
      <c r="Y76" s="139"/>
      <c r="Z76" s="169"/>
      <c r="AA76" s="170">
        <f>$AA$28</f>
        <v>1.0149999999999999</v>
      </c>
      <c r="AB76" s="153">
        <f>PI()*EJ76*EJ76/4*EH76*(1-H76)*AA76*各项系数!$F$5*各项系数!$J$4*10^-7</f>
        <v>1.2526054194523586</v>
      </c>
      <c r="AC76" s="170">
        <f t="shared" si="327"/>
        <v>243.33587022849699</v>
      </c>
      <c r="AD76" s="153">
        <f t="shared" ref="AD76:AD139" si="341">PI()*AE76*AE76*10^-4/4*EH76</f>
        <v>141.60853982537648</v>
      </c>
      <c r="AE76" s="153">
        <f>POWER(4*EU76/PI()/EG76/10^-7/EH76/(1-H76)/各项系数!$F$5/各项系数!$J$4,0.5)</f>
        <v>245.15409628631096</v>
      </c>
      <c r="AF76" s="16">
        <v>1</v>
      </c>
      <c r="AG76" s="16">
        <f>IF(EM76=0,0,PI()*ER76*ER76/4*EP76*(1-K76)*(1+AF76)*各项系数!$F$5*各项系数!$J$4*10^-7)</f>
        <v>0</v>
      </c>
      <c r="AH76" s="16">
        <f t="shared" si="328"/>
        <v>0</v>
      </c>
      <c r="AI76" s="69">
        <f t="shared" si="128"/>
        <v>0</v>
      </c>
      <c r="AJ76" s="69">
        <f>IF(OR(EP76="",EP76=0),0,POWER(4*EW76/PI()/EO76/10^-7/EP76/(1-K76)/各项系数!$F$5/各项系数!$J$4,0.5))</f>
        <v>0</v>
      </c>
      <c r="AK76" s="16" t="str">
        <f t="shared" ref="AK76:AK139" si="342">IF((EG76*AB76+EO76*AG76)-EY76&lt;0.000001,"√",EY76)</f>
        <v>√</v>
      </c>
      <c r="AL76" s="16">
        <f t="shared" si="329"/>
        <v>349.433566651028</v>
      </c>
      <c r="AM76" s="106">
        <f t="shared" si="330"/>
        <v>150</v>
      </c>
      <c r="AN76" s="107" t="s">
        <v>486</v>
      </c>
      <c r="AO76" s="146">
        <f>AP76+各项系数!$M$9*$NK76</f>
        <v>342.58192808924315</v>
      </c>
      <c r="AP76" s="146">
        <f>AQ76*(1+$BI76+(VLOOKUP($AM76,$A$12:$B$323,2,0))+各项系数!$J$6+各项系数!$M$5)*(1+$E$2)</f>
        <v>340.63753151554846</v>
      </c>
      <c r="AQ76" s="199">
        <f>AR76+各项系数!$L$9*$NK76</f>
        <v>347.58931787300867</v>
      </c>
      <c r="AR76" s="199">
        <f>AS76*(1+$BJ76+各项系数!$J$5+各项系数!$L$5)</f>
        <v>345.64492129931398</v>
      </c>
      <c r="AS76" s="199">
        <f t="shared" si="129"/>
        <v>338.86756990128822</v>
      </c>
      <c r="AT76" s="146">
        <f>AU76+各项系数!$M$9*$NM76</f>
        <v>346.25046386067601</v>
      </c>
      <c r="AU76" s="146">
        <f>AV76*(1+$BI76+(VLOOKUP($AM76,$A$12:$B$323,2,0))+各项系数!$J$6+各项系数!$M$5)*(1+$E$2)</f>
        <v>344.30606728698132</v>
      </c>
      <c r="AV76" s="199">
        <f>AW76+各项系数!$L$9*$NM76</f>
        <v>351.33272172140954</v>
      </c>
      <c r="AW76" s="199">
        <f>AX76*(1+$BJ76+各项系数!$J$5+各项系数!$L$5)</f>
        <v>349.38832514771485</v>
      </c>
      <c r="AX76" s="199">
        <f t="shared" si="130"/>
        <v>342.53757367423026</v>
      </c>
      <c r="AY76" s="146">
        <f>AZ76+各项系数!$M$9*$NS76</f>
        <v>346.8577858253542</v>
      </c>
      <c r="AZ76" s="146">
        <f>BA76*(1+$BI76+(VLOOKUP($AM76,$A$12:$B$214,2,0))+各项系数!$J$6+各项系数!$M$5)*(1+$E$2)</f>
        <v>344.8946247186866</v>
      </c>
      <c r="BA76" s="199">
        <f>BB76+各项系数!$L$9*$NS76</f>
        <v>351.93329052927203</v>
      </c>
      <c r="BB76" s="199">
        <f>BC76*(1+$BJ76+各项系数!$J$5+各项系数!$L$5)</f>
        <v>349.97012942260443</v>
      </c>
      <c r="BC76" s="199">
        <f t="shared" si="131"/>
        <v>343.10797002216123</v>
      </c>
      <c r="BD76" s="146">
        <f>BE76+各项系数!$M$9*$NS76</f>
        <v>350.53875764144618</v>
      </c>
      <c r="BE76" s="146">
        <f>BF76*(1+$BI76+(VLOOKUP($AM76,$A$12:$B$214,2,0))+各项系数!$J$6+各项系数!$M$5)*(1+$E$2)</f>
        <v>348.57559653477858</v>
      </c>
      <c r="BF76" s="199">
        <f>BG76+各项系数!$L$9*$NS76</f>
        <v>355.68938421916181</v>
      </c>
      <c r="BG76" s="199">
        <f>BH76*(1+$BJ76+各项系数!$J$5+各项系数!$L$5)</f>
        <v>353.72622311249421</v>
      </c>
      <c r="BH76" s="199">
        <f t="shared" si="132"/>
        <v>346.79041481617077</v>
      </c>
      <c r="BI76" s="214"/>
      <c r="BJ76" s="215"/>
      <c r="BK76" s="78" t="s">
        <v>514</v>
      </c>
      <c r="BL76" s="146">
        <f>BM76+各项系数!$M$9*$NM76</f>
        <v>346.45012853139741</v>
      </c>
      <c r="BM76" s="146">
        <f>BN76*(1+$CF76+(VLOOKUP($AM76,$A$12:$B$323,2,0))+各项系数!$J$6+各项系数!$M$5)*(1+$E$2)</f>
        <v>344.50573195770272</v>
      </c>
      <c r="BN76" s="199">
        <f>BO76+各项系数!$L$9*$NM76</f>
        <v>351.53646118132929</v>
      </c>
      <c r="BO76" s="199">
        <f>BP76*(1+$CG76+各项系数!$J$5+各项系数!$L$5)</f>
        <v>349.5920646076346</v>
      </c>
      <c r="BP76" s="199">
        <f t="shared" si="133"/>
        <v>339.4097714637229</v>
      </c>
      <c r="BQ76" s="146">
        <f>BR76+各项系数!$M$9*$NM76</f>
        <v>349.60733208268346</v>
      </c>
      <c r="BR76" s="146">
        <f>BS76*(1+$CF76+(VLOOKUP($AM76,$A$12:$B$323,2,0))+各项系数!$J$6+各项系数!$M$5)*(1+$E$2)</f>
        <v>347.66293550898877</v>
      </c>
      <c r="BS76" s="199">
        <f>BT76+各项系数!$L$9*$NM76</f>
        <v>354.75809745815184</v>
      </c>
      <c r="BT76" s="199">
        <f>BU76*(1+$CG76+各项系数!$J$5+各项系数!$L$5)</f>
        <v>352.81370088445715</v>
      </c>
      <c r="BU76" s="199">
        <f t="shared" si="134"/>
        <v>342.53757367423026</v>
      </c>
      <c r="BV76" s="146">
        <f>BW76+各项系数!$M$9*$NT76</f>
        <v>348.85359773683831</v>
      </c>
      <c r="BW76" s="146">
        <f>BX76*(1+$CF76+(VLOOKUP($AM76,$A$12:$B$214,2,0))+各项系数!$J$6+各项系数!$M$5)*(1+$E$2)</f>
        <v>346.89043663017071</v>
      </c>
      <c r="BX76" s="199">
        <f>BY76+各项系数!$L$9*$NT$12</f>
        <v>353.96983329609259</v>
      </c>
      <c r="BY76" s="199">
        <f>BZ76*(1+$CG76+各项系数!$J$5+各项系数!$L$5)</f>
        <v>353.96156989293763</v>
      </c>
      <c r="BZ76" s="199">
        <f t="shared" ref="BZ76:BZ139" si="343">SUM($FB76,$FQ76,$FX76,$GP76,$GY76,$IE76)</f>
        <v>343.65200960479382</v>
      </c>
      <c r="CA76" s="146">
        <f>CB76+各项系数!$M$9*$NT76</f>
        <v>352.02150395720219</v>
      </c>
      <c r="CB76" s="146">
        <f>CC76*(1+$CF76+(VLOOKUP($AM76,$A$12:$B$214,2,0))+各项系数!$J$6+各项系数!$M$5)*(1+$E$2)</f>
        <v>350.05834285053459</v>
      </c>
      <c r="CC76" s="199">
        <f>CD76+各项系数!$L$9*$NT$12</f>
        <v>357.20239066381083</v>
      </c>
      <c r="CD76" s="199">
        <f>CE76*(1+$CG76+各项系数!$J$5+各项系数!$L$5)</f>
        <v>357.19412726065588</v>
      </c>
      <c r="CE76" s="199">
        <f t="shared" si="135"/>
        <v>346.79041481617077</v>
      </c>
      <c r="CF76" s="214">
        <f t="shared" si="136"/>
        <v>0</v>
      </c>
      <c r="CG76" s="214">
        <f t="shared" ref="CG76:CG139" si="344">BJ76+$E$4</f>
        <v>0.01</v>
      </c>
      <c r="CH76" s="106"/>
      <c r="CI76" s="146">
        <f>CJ76+各项系数!$M$9*$NO76</f>
        <v>349.64512915883392</v>
      </c>
      <c r="CJ76" s="146">
        <f>CK76*(1+$DC76+(VLOOKUP($AM76,$A$12:$B$323,2,0))+各项系数!$J$6+各项系数!$M$5)*(1+$E$2)+各项系数!$M$9*$NK76</f>
        <v>347.05868299956296</v>
      </c>
      <c r="CK76" s="199">
        <f>CL76+各项系数!$L$9*$NO76</f>
        <v>352.15743512843704</v>
      </c>
      <c r="CL76" s="199">
        <f>CM76*(1+$DD76+各项系数!$J$5+各项系数!$L$5)</f>
        <v>349.57098896916608</v>
      </c>
      <c r="CM76" s="199">
        <f t="shared" ref="CM76:CM139" si="345">SUM($FB76,$IJ76,$IX76,$JK76,$KG76,$LI76)</f>
        <v>342.71665585212361</v>
      </c>
      <c r="CN76" s="146">
        <f>CO76+各项系数!$M$9*$NO76</f>
        <v>353.13958217748041</v>
      </c>
      <c r="CO76" s="146">
        <f>CP76*(1+$DC76+(VLOOKUP($AM76,$A$12:$B$323,2,0))+各项系数!$J$6+各项系数!$M$5)*(1+$E$2)+各项系数!$M$9*$NK76</f>
        <v>350.55313601820944</v>
      </c>
      <c r="CP76" s="199">
        <f>CQ76+各项系数!$L$9*$NO76</f>
        <v>355.72320351481096</v>
      </c>
      <c r="CQ76" s="199">
        <f>CR76*(1+$DD76+各项系数!$J$5+各项系数!$L$5)</f>
        <v>353.13675735554</v>
      </c>
      <c r="CR76" s="199">
        <f t="shared" ref="CR76:CR139" si="346">SUM($FB76,$IJ76,$IX76,$JK76,$KG76,$HC76)</f>
        <v>346.21250721131372</v>
      </c>
      <c r="CS76" s="146">
        <f>CT76+各项系数!$M$9*$NU76</f>
        <v>352.12072894826451</v>
      </c>
      <c r="CT76" s="146">
        <f t="shared" ref="CT76:CT139" si="347">CU76*(1+$DC76+(VLOOKUP($AM76,$A$12:$B$323,2,0)))*(1+$E$2)+$E$3*$OM76</f>
        <v>349.5148829762507</v>
      </c>
      <c r="CU76" s="199">
        <f>CV76+各项系数!$L$9*$NU76</f>
        <v>356.6478397716844</v>
      </c>
      <c r="CV76" s="199">
        <f>CW76*(1+$DD76+各项系数!$J$5+各项系数!$L$5)</f>
        <v>354.04199379967059</v>
      </c>
      <c r="CW76" s="199">
        <f t="shared" ref="CW76:CW139" si="348">SUM($FB76,$IJ76,$IX76,$JK76,$KG76,$KO76,$LM76)</f>
        <v>347.0999939212457</v>
      </c>
      <c r="CX76" s="146">
        <f>CY76+各项系数!$M$9*$NU76</f>
        <v>355.919532287501</v>
      </c>
      <c r="CY76" s="146">
        <f t="shared" ref="CY76:CY139" si="349">CZ76*(1+$DC76+(VLOOKUP($AM76,$A$12:$B$323,2,0)))*(1+$E$2)+$E$3*$OM76</f>
        <v>353.31368631548719</v>
      </c>
      <c r="CZ76" s="199">
        <f>DA76+各项系数!$L$9*$NU76</f>
        <v>360.52416970968079</v>
      </c>
      <c r="DA76" s="199">
        <f>DB76*(1+$DD76+各项系数!$J$5+各项系数!$L$5)</f>
        <v>357.91832373766698</v>
      </c>
      <c r="DB76" s="199">
        <f t="shared" ref="DB76:DB139" si="350">SUM($FB76,$IJ76,$IX76,$JK76,$KG76,$KO76,$KW76)</f>
        <v>350.9003173898696</v>
      </c>
      <c r="DC76" s="214">
        <f t="shared" si="137"/>
        <v>0</v>
      </c>
      <c r="DD76" s="214">
        <f t="shared" ref="DD76:DD139" si="351">BJ76+$E$5</f>
        <v>0</v>
      </c>
      <c r="DE76" s="78" t="s">
        <v>498</v>
      </c>
      <c r="DF76" s="78" t="s">
        <v>513</v>
      </c>
      <c r="DG76" s="146">
        <f>DH76+各项系数!$M$9*$NQ76</f>
        <v>353.5686295879504</v>
      </c>
      <c r="DH76" s="146">
        <f>DI76*(1+$EA76+(VLOOKUP($AM76,$A$12:$B$323,2,0))+各项系数!$J$6+各项系数!$M$5)*(1+$E$2)+各项系数!$M$9*$NK76</f>
        <v>350.98218342867943</v>
      </c>
      <c r="DI76" s="199">
        <f>DJ76+各项系数!$L$9*$NQ76</f>
        <v>356.16100699488243</v>
      </c>
      <c r="DJ76" s="199">
        <f>DK76*(1+$EB76+各项系数!$J$5+各项系数!$L$5)</f>
        <v>353.57456083561146</v>
      </c>
      <c r="DK76" s="199">
        <f t="shared" ref="DK76:DK139" si="352">SUM($FB76,$IJ76,$IX76,$JK76,$KG76,$LQ76)</f>
        <v>343.27627265593344</v>
      </c>
      <c r="DL76" s="146">
        <f>DM76+各项系数!$M$9*$NQ76</f>
        <v>356.82724092874815</v>
      </c>
      <c r="DM76" s="146">
        <f>DN76*(1+$EA76+(VLOOKUP($AM76,$A$12:$B$323,2,0))+各项系数!$J$6+各项系数!$M$5)*(1+$E$2)+各项系数!$M$9*$NK76</f>
        <v>354.24079476947719</v>
      </c>
      <c r="DN76" s="199">
        <f>DO76+各项系数!$L$9*$NQ76</f>
        <v>359.48612060794136</v>
      </c>
      <c r="DO76" s="199">
        <f>DP76*(1+$EB76+各项系数!$J$5+各项系数!$L$5)</f>
        <v>356.8996744486704</v>
      </c>
      <c r="DP76" s="199">
        <f t="shared" ref="DP76:DP139" si="353">SUM($FB76,$IJ76,$IX76,$JK76,$KG76,$LA76)</f>
        <v>346.50453829968001</v>
      </c>
      <c r="DQ76" s="146">
        <f>DR76+各项系数!$M$9*$NV76</f>
        <v>356.08904138804616</v>
      </c>
      <c r="DR76" s="146">
        <f t="shared" ref="DR76:DR139" si="354">DS76*(1+$EA76+(VLOOKUP($AM76,$A$12:$B$323,2,0)))*(1+$E$2)+$E$3*$NV76</f>
        <v>353.48319541603234</v>
      </c>
      <c r="DS76" s="199">
        <f>DT76+各项系数!$L$9*$NV76</f>
        <v>360.69713817962486</v>
      </c>
      <c r="DT76" s="199">
        <f>DU76*(1+$EB76+各项系数!$J$5+各项系数!$L$5)</f>
        <v>358.09129220761105</v>
      </c>
      <c r="DU76" s="199">
        <f t="shared" ref="DU76:DU139" si="355">SUM($FB76,IX76,$IJ76,$JK76,$KG76,$LU76,$KO76)</f>
        <v>347.66144874525344</v>
      </c>
      <c r="DV76" s="146">
        <f>DW76+各项系数!$M$9*$NV76</f>
        <v>355.86955407998312</v>
      </c>
      <c r="DW76" s="146">
        <f t="shared" ref="DW76:DW139" si="356">DX76*(1+$EA76+(VLOOKUP($AM76,$A$12:$B$323,2,0)))*(1+$E$2)+$E$3*$NV76</f>
        <v>353.26370810796931</v>
      </c>
      <c r="DX76" s="199">
        <f>DY76+各项系数!$L$9*$NV76</f>
        <v>360.47317153874423</v>
      </c>
      <c r="DY76" s="199">
        <f>DZ76*(1+$EB76+各项系数!$J$5+各项系数!$L$5)</f>
        <v>357.86732556673041</v>
      </c>
      <c r="DZ76" s="199">
        <f t="shared" ref="DZ76:DZ139" si="357">SUM($FB76,JE76,$IJ76,$JK76,$KG76,$LE76,$KO76)</f>
        <v>347.44400540459264</v>
      </c>
      <c r="EA76" s="214">
        <f t="shared" si="324"/>
        <v>0</v>
      </c>
      <c r="EB76" s="214">
        <f t="shared" ref="EB76:EB139" si="358">BJ76+$E$6</f>
        <v>0.01</v>
      </c>
      <c r="EC76" s="235">
        <f t="shared" si="138"/>
        <v>4</v>
      </c>
      <c r="ED76" s="237" t="str">
        <f t="shared" si="331"/>
        <v>4*150</v>
      </c>
      <c r="EE76" s="78">
        <f t="shared" si="239"/>
        <v>150</v>
      </c>
      <c r="EF76" s="78" t="str">
        <f>LOOKUP(EH76,{1,7,10,14,19,24,30,37,48,61},{1,"1+6","2+8","4+10","1+6+12","2+8+14","4+10+16","1+6+12+18","3+9+15+21","1+6+12+18+24"})</f>
        <v>4+10+16</v>
      </c>
      <c r="EG76" s="106">
        <f t="shared" ref="EG76:EG139" si="359">IF(D76="",0,MID(D76,1,FIND("*",D76)-1))*1</f>
        <v>4</v>
      </c>
      <c r="EH76" s="199">
        <f>VLOOKUP(EE76,各项系数!$B$87:$C$124,2,0)</f>
        <v>30</v>
      </c>
      <c r="EI76" s="106">
        <f>IF(EH76=0,0,VLOOKUP(EH76,各项系数!$D$142:$E$195,2,0))*1</f>
        <v>6.41</v>
      </c>
      <c r="EJ76" s="240">
        <f t="shared" si="141"/>
        <v>243.33587022849699</v>
      </c>
      <c r="EK76" s="78">
        <f t="shared" si="332"/>
        <v>0</v>
      </c>
      <c r="EL76" s="78">
        <f t="shared" ref="EL76:EL139" si="360">IF(COUNTIF(D76,"*+*")&gt;0,(MID(D76,FIND("#",SUBSTITUTE(D76,"*","#",2))+1,FIND("#",SUBSTITUTE(D76,"*","#",2))-1)),0)</f>
        <v>0</v>
      </c>
      <c r="EM76" s="78">
        <f t="shared" si="333"/>
        <v>0</v>
      </c>
      <c r="EN76" s="78">
        <f>IF(EP76=0,0,LOOKUP(EP76,{1,7,10,14,19,24,30,37,48,61},{1,"1+6","2+8","4+10","1+6+12","2+8+14","4+10+16","1+6+12+18","3+9+15+21","1+6+12+18+24"}))</f>
        <v>0</v>
      </c>
      <c r="EO76" s="78">
        <f t="shared" si="334"/>
        <v>0</v>
      </c>
      <c r="EP76" s="78">
        <f>IF(EM76=0,0,IF(EM76&lt;10,1,IF(AND(EM76&gt;=10,EM76&lt;=35),7,LOOKUP(EM76,{50,70,95,120,150,185,240,300},{10,14,19,24,30,37,48,61})*1)))</f>
        <v>0</v>
      </c>
      <c r="EQ76" s="78">
        <f>IF(EP76=0,0,VLOOKUP(EP76,各项系数!$D$142:$E$195,2,0))*1</f>
        <v>0</v>
      </c>
      <c r="ER76" s="78">
        <f t="shared" si="335"/>
        <v>0</v>
      </c>
      <c r="ES76" s="237">
        <f t="shared" si="336"/>
        <v>4</v>
      </c>
      <c r="ET76" s="78">
        <f>VLOOKUP(ES76,各项系数!$D$142:$E$195,2,0)*1</f>
        <v>2.42</v>
      </c>
      <c r="EU76" s="243">
        <f>((各项系数!$F$76/4*$EJ76^2*$EG76*$EH76*1*10^-7)*(1-$H76)*AA76)*(VLOOKUP($EY$9,各项系数!$D$4:$F$143,3,0))*各项系数!$J$4</f>
        <v>5.0104216778094344</v>
      </c>
      <c r="EV76" s="244">
        <f>EU76*(VLOOKUP($EY$9,各项系数!$D$4:$F$143,2,0))</f>
        <v>328.18261989651796</v>
      </c>
      <c r="EW76" s="252">
        <f>(IF($EO76=0,0,(各项系数!$F$76/4*$ER76^2*$EO76*$EP76*1*10^-7))*(1-$K76)*$AF76)*(VLOOKUP($EY$9,各项系数!$D$4:$F$143,3,0))*各项系数!$J$4</f>
        <v>0</v>
      </c>
      <c r="EX76" s="253">
        <f>EW76*(VLOOKUP($EY$9,各项系数!$D$4:$F$143,2,0))</f>
        <v>0</v>
      </c>
      <c r="EY76" s="189">
        <f>((各项系数!$F$76/4*$EJ76^2*$EG76*$EH76*1*10^-7)*(1-$H76)*AA76+IF($EO76=0,0,(各项系数!$F$76/4*$ER76^2*$EO76*$EP76*1*10^-7))*(1-$K76)*$AF76)*(VLOOKUP($EY$9,各项系数!$D$4:$F$143,3,0))*各项系数!$J$4</f>
        <v>5.0104216778094344</v>
      </c>
      <c r="EZ76" s="106">
        <v>1</v>
      </c>
      <c r="FA76" s="78">
        <f t="shared" si="268"/>
        <v>5.0104216778094344</v>
      </c>
      <c r="FB76" s="246">
        <f>FA76*(VLOOKUP($EY$9,各项系数!$D$4:$F$143,2,0))</f>
        <v>328.18261989651796</v>
      </c>
      <c r="FC76" s="257"/>
      <c r="FD76" s="237">
        <f>各项系数!$F$76/4*($MN76^2-MK76^2)*10^-2*(VLOOKUP(L76,各项系数!$D$1:$F$143,3,0))*10^-3*10^2*$EG76*各项系数!$J$4</f>
        <v>0.32730084638819268</v>
      </c>
      <c r="FE76" s="264">
        <f>FD76*VLOOKUP(L76,各项系数!$D$1:$F$143,2,0)</f>
        <v>3.338468633159565</v>
      </c>
      <c r="FF76" s="106">
        <f>各项系数!$F$76/4*($MO76^2-ML76^2)*10^-2*(VLOOKUP(L76,各项系数!$D$1:$F$143,3,0))*10^-3*10^2*$EO76*各项系数!$J$4</f>
        <v>0</v>
      </c>
      <c r="FG76" s="264">
        <f>FF76*VLOOKUP(L76,各项系数!$D$1:$F$143,2,0)</f>
        <v>0</v>
      </c>
      <c r="FH76" s="237">
        <f t="shared" si="142"/>
        <v>0.32730084638819268</v>
      </c>
      <c r="FI76" s="106">
        <v>1</v>
      </c>
      <c r="FJ76" s="78">
        <f t="shared" si="269"/>
        <v>0.32730084638819268</v>
      </c>
      <c r="FK76" s="264">
        <f>FJ76*VLOOKUP(L76,各项系数!$D$1:$F$143,2,0)</f>
        <v>3.338468633159565</v>
      </c>
      <c r="FL76" s="237"/>
      <c r="FM76" s="106"/>
      <c r="FN76" s="78"/>
      <c r="FO76" s="264"/>
      <c r="FP76" s="289">
        <f t="shared" si="270"/>
        <v>0.32730084638819268</v>
      </c>
      <c r="FQ76" s="289">
        <f t="shared" si="271"/>
        <v>3.338468633159565</v>
      </c>
      <c r="FR76" s="283">
        <f>各项系数!$F$76/4*($MQ76^2-$MN76^2*$EG76-$MO76^2*$EO76)*10^-2</f>
        <v>4.9350846861004465</v>
      </c>
      <c r="FS76" s="284">
        <f t="shared" si="143"/>
        <v>1</v>
      </c>
      <c r="FT76" s="285">
        <f t="shared" ref="FT76:FT139" si="361">FR76*$FS76</f>
        <v>4.9350846861004465</v>
      </c>
      <c r="FU76" s="309">
        <f>$FT76*(VLOOKUP($FT$9,各项系数!$D$1:$F$143,3,0))*10^-3*10^2*各项系数!$J$55</f>
        <v>0.58924911152039328</v>
      </c>
      <c r="FV76" s="310">
        <v>1</v>
      </c>
      <c r="FW76" s="311">
        <f t="shared" si="272"/>
        <v>0.58924911152039328</v>
      </c>
      <c r="FX76" s="290">
        <f>FW76*(VLOOKUP($FT$9,各项系数!$D$1:$F$143,2,0))</f>
        <v>1.7677473345611798</v>
      </c>
      <c r="FY76" s="309">
        <f>IF($BK76&lt;&gt;$FY$9,0,各项系数!$F$76/4*($MS76^2-$MQ76^2)*10^-2*(VLOOKUP($FY$9,各项系数!$D$1:$F$143,3,0))*10^-3*10^2)*各项系数!$J$4</f>
        <v>0</v>
      </c>
      <c r="FZ76" s="310">
        <v>1</v>
      </c>
      <c r="GA76" s="311">
        <f t="shared" si="273"/>
        <v>0</v>
      </c>
      <c r="GB76" s="290">
        <f>GA76*(VLOOKUP($FY$9,各项系数!$D$1:$F$143,2,0))</f>
        <v>0</v>
      </c>
      <c r="GC76" s="309">
        <f>IF($BK76&lt;&gt;$GC$9,0,各项系数!$F$76/4*($MS76^2-$MQ76^2)*10^-2*(VLOOKUP($GC$9,各项系数!$D$1:$F$143,3,0))*10^-3*10^2)*各项系数!$J$4</f>
        <v>1.2148714163020697E-2</v>
      </c>
      <c r="GD76" s="310">
        <v>1</v>
      </c>
      <c r="GE76" s="311">
        <f t="shared" si="274"/>
        <v>1.2148714163020697E-2</v>
      </c>
      <c r="GF76" s="290">
        <f>GE76*(VLOOKUP($GC$9,各项系数!$D$1:$F$143,2,0))</f>
        <v>0.15671841270296699</v>
      </c>
      <c r="GG76" s="309">
        <f>IF($BK76&lt;&gt;$GG$9,0,各项系数!$F$76/4*($MS76^2-$MQ76^2)*10^-2*(VLOOKUP($GG$9,各项系数!$D$1:$F$143,3,0))*10^-3*10^2)*各项系数!$J$4</f>
        <v>0</v>
      </c>
      <c r="GH76" s="310">
        <v>1</v>
      </c>
      <c r="GI76" s="311">
        <f t="shared" si="275"/>
        <v>0</v>
      </c>
      <c r="GJ76" s="290">
        <f>GI76*(VLOOKUP($GG$9,各项系数!$D$1:$F$143,2,0))</f>
        <v>0</v>
      </c>
      <c r="GK76" s="309">
        <f>IF($BK76&lt;&gt;$GK$9,0,各项系数!$F$76/4*($MS76^2-$MQ76^2)*10^-2*(VLOOKUP($GK$9,各项系数!$D$1:$F$143,3,0))*10^-3*10^2)*各项系数!$J$4</f>
        <v>0</v>
      </c>
      <c r="GL76" s="310">
        <v>1</v>
      </c>
      <c r="GM76" s="311">
        <f t="shared" si="276"/>
        <v>0</v>
      </c>
      <c r="GN76" s="290">
        <f>GM76*(VLOOKUP($GK$9,各项系数!$D$1:$F$143,2,0))</f>
        <v>0</v>
      </c>
      <c r="GO76" s="311">
        <f t="shared" si="277"/>
        <v>1.2148714163020697E-2</v>
      </c>
      <c r="GP76" s="311">
        <f t="shared" si="278"/>
        <v>0.15671841270296699</v>
      </c>
      <c r="GQ76" s="317">
        <f>各项系数!$F$76/4*($MU76^2-$MS76^2)*10^-2*(VLOOKUP($S76,各项系数!$D$1:$F$143,3,0))*10^-3*10^2*各项系数!$J$4</f>
        <v>0.8332261333033838</v>
      </c>
      <c r="GR76" s="310">
        <v>1</v>
      </c>
      <c r="GS76" s="311">
        <f t="shared" si="279"/>
        <v>0.8332261333033838</v>
      </c>
      <c r="GT76" s="311">
        <f t="shared" si="200"/>
        <v>0</v>
      </c>
      <c r="GU76" s="311">
        <f>ROUND($GS76*(VLOOKUP($S76,各项系数!$D$1:$F$143,2,0))+$E$3*GS76,GT76)</f>
        <v>5</v>
      </c>
      <c r="GV76" s="315">
        <f>各项系数!$F$76/4*($MT76^2-$MS76^2)*10^-2*(VLOOKUP($GV$9,各项系数!$D$1:$F$143,3,0))*10^-3*10^2*各项系数!$J$4*PI()/4*R76</f>
        <v>6.2548443242873203E-2</v>
      </c>
      <c r="GW76" s="310">
        <v>1</v>
      </c>
      <c r="GX76" s="311">
        <f t="shared" si="280"/>
        <v>6.2548443242873203E-2</v>
      </c>
      <c r="GY76" s="311">
        <f>$GX76*(VLOOKUP($GV$9,各项系数!$D$1:$F$143,2,0))</f>
        <v>4.2220199188939409</v>
      </c>
      <c r="GZ76" s="317">
        <f>各项系数!$F$76/4*($MV76^2-$MS76^2)*10^-2*(VLOOKUP($GZ$9,各项系数!$D$1:$F$143,3,0))*10^-3*10^2*各项系数!$J$4</f>
        <v>0.53482467042874215</v>
      </c>
      <c r="HA76" s="310">
        <v>1</v>
      </c>
      <c r="HB76" s="311">
        <f t="shared" si="144"/>
        <v>0.53482467042874215</v>
      </c>
      <c r="HC76" s="311">
        <f>HB76*(VLOOKUP($GZ$9,各项系数!$D$1:$F$143,2,0))</f>
        <v>9.0920193972886167</v>
      </c>
      <c r="HD76" s="317">
        <f>各项系数!$F$76/4*($MW76^2-$MT76^2)*10^-2*(VLOOKUP($HD$9,各项系数!$D$1:$F$143,3,0))*10^-3*10^2*各项系数!$J$4</f>
        <v>0.53663768354912877</v>
      </c>
      <c r="HE76" s="310">
        <v>1</v>
      </c>
      <c r="HF76" s="311">
        <f t="shared" si="145"/>
        <v>0.53663768354912877</v>
      </c>
      <c r="HG76" s="311">
        <f>HF76*(VLOOKUP($HD$9,各项系数!$D$1:$F$143,2,0))</f>
        <v>9.1228406203351895</v>
      </c>
      <c r="HH76" s="317">
        <f>各项系数!$F$76/4*($MV76^2-$MS76^2)*10^-2*(VLOOKUP($HH$9,各项系数!$D$1:$F$143,3,0))*10^-3*10^2*各项系数!$J$4</f>
        <v>0.53482467042874215</v>
      </c>
      <c r="HI76" s="311">
        <v>1</v>
      </c>
      <c r="HJ76" s="311">
        <f t="shared" si="146"/>
        <v>0.53482467042874215</v>
      </c>
      <c r="HK76" s="311">
        <f>HJ76*(VLOOKUP($HH$9,各项系数!$D$1:$F$143,2,0))</f>
        <v>9.0920193972886167</v>
      </c>
      <c r="HL76" s="317">
        <f>各项系数!$F$76/4*($MW76^2-$MT76^2)*10^-2*(VLOOKUP($HL$9,各项系数!$D$1:$F$143,3,0))*10^-3*10^2*各项系数!$J$4</f>
        <v>0.53663768354912877</v>
      </c>
      <c r="HM76" s="311">
        <v>1</v>
      </c>
      <c r="HN76" s="311">
        <f t="shared" ref="HN76:HN139" si="362">HM76*HL76</f>
        <v>0.53663768354912877</v>
      </c>
      <c r="HO76" s="311">
        <f>HN76*(VLOOKUP($HL$9,各项系数!$D$1:$F$143,2,0))</f>
        <v>9.1228406203351895</v>
      </c>
      <c r="HP76" s="317">
        <f>各项系数!$F$76/4*($MV76^2-$MS76^2)*10^-2*(VLOOKUP(AN76,各项系数!$D$1:$F$143,3,0))*10^-3*10^2*各项系数!$J$4</f>
        <v>0.54220156243465589</v>
      </c>
      <c r="HQ76" s="310">
        <v>1</v>
      </c>
      <c r="HR76" s="311">
        <f t="shared" si="281"/>
        <v>0.54220156243465589</v>
      </c>
      <c r="HS76" s="311">
        <f>HR76*(VLOOKUP(AN76,各项系数!$D$1:$F$143,2,0))</f>
        <v>5.4220156243465585</v>
      </c>
      <c r="HT76" s="317">
        <f>各项系数!$F$76/4*($MW76^2-$MT76^2)*10^-2*(VLOOKUP(AN76,各项系数!$D$1:$F$143,3,0))*10^-3*10^2*各项系数!$J$4</f>
        <v>0.54403958263256524</v>
      </c>
      <c r="HU76" s="310">
        <v>1</v>
      </c>
      <c r="HV76" s="311">
        <f t="shared" si="282"/>
        <v>0.54403958263256524</v>
      </c>
      <c r="HW76" s="311">
        <f>HV76*(VLOOKUP(AN76,各项系数!$D$1:$F$143,2,0))</f>
        <v>5.440395826325652</v>
      </c>
      <c r="HX76" s="317">
        <f>各项系数!$F$76/4*($MV76^2-$MS76^2)*10^-2*(VLOOKUP($HX$9,各项系数!$D$1:$F$143,3,0))*10^-3*10^2*各项系数!$J$4</f>
        <v>0.54220156243465589</v>
      </c>
      <c r="HY76" s="311">
        <v>1</v>
      </c>
      <c r="HZ76" s="311">
        <f t="shared" si="283"/>
        <v>0.54220156243465589</v>
      </c>
      <c r="IA76" s="311">
        <f>HZ76*(VLOOKUP($HX$9,各项系数!$D$1:$F$143,2,0))</f>
        <v>5.964217186781215</v>
      </c>
      <c r="IB76" s="317">
        <f>各项系数!$F$76/4*($MW76^2-$MT76^2)*10^-2*(VLOOKUP($IB$9,各项系数!$D$1:$F$143,3,0))*10^-3*10^2*各项系数!$J$4</f>
        <v>0.54403958263256524</v>
      </c>
      <c r="IC76" s="311">
        <v>1</v>
      </c>
      <c r="ID76" s="311">
        <f t="shared" si="284"/>
        <v>0.54403958263256524</v>
      </c>
      <c r="IE76" s="311">
        <f>ID76*(VLOOKUP($IB$9,各项系数!$D$1:$F$143,2,0))</f>
        <v>5.9844354089582179</v>
      </c>
      <c r="IF76" s="309"/>
      <c r="IG76" s="317">
        <f t="shared" si="148"/>
        <v>8.9450606023998416E-2</v>
      </c>
      <c r="IH76" s="310">
        <v>1</v>
      </c>
      <c r="II76" s="311">
        <f t="shared" si="285"/>
        <v>8.9450606023998416E-2</v>
      </c>
      <c r="IJ76" s="311">
        <f>II76*(VLOOKUP($IG$8,各项系数!$D$1:$F$143,2,0))</f>
        <v>2.2362651505999604</v>
      </c>
      <c r="IK76" s="317">
        <f>(各项系数!$F$76/4*($MX76^2-$MK76^2)*$EG76)*10^-2*(VLOOKUP($IG$8,各项系数!$D$1:$F$143,3,0))*10^-3*10^2*各项系数!$J$4</f>
        <v>8.9450606023998416E-2</v>
      </c>
      <c r="IL76" s="310">
        <f>IK76*(VLOOKUP($IG$8,各项系数!$D$1:$F$143,2,0))</f>
        <v>2.2362651505999604</v>
      </c>
      <c r="IM76" s="311">
        <f>(各项系数!$F$76/4*(($MM76+3*$X76)^2-MM76^2)*$EO76)*10^-2*(VLOOKUP($IG$8,各项系数!$D$1:$F$143,3,0))*10^-3*10^2*各项系数!$J$4</f>
        <v>0</v>
      </c>
      <c r="IN76" s="310">
        <f>IM76*(VLOOKUP($IG$8,各项系数!$D$1:$F$143,2,0))</f>
        <v>0</v>
      </c>
      <c r="IO76" s="317">
        <f>各项系数!$F$76/4*($MZ76^2-$MX76^2)*10^-2*(VLOOKUP(L76,各项系数!$D$1:$F$143,3,0))*10^-3*10^2*$ES76*各项系数!$J$4</f>
        <v>0.33885411620362238</v>
      </c>
      <c r="IP76" s="310">
        <v>1</v>
      </c>
      <c r="IQ76" s="311">
        <f t="shared" si="286"/>
        <v>0.33885411620362238</v>
      </c>
      <c r="IR76" s="290">
        <f>IQ76*(VLOOKUP(L76,各项系数!$D$1:$F$143,2,0))</f>
        <v>3.4563119852769479</v>
      </c>
      <c r="IS76" s="317">
        <f>IF($L76&lt;&gt;$IS$9,0,各项系数!$F$76/4*($MZ76^2-$MX76^2)*10^-2*各项系数!$F$12*10^-3*10^2)*$ES76*各项系数!$J$4</f>
        <v>0</v>
      </c>
      <c r="IT76" s="310">
        <v>1</v>
      </c>
      <c r="IU76" s="311">
        <f t="shared" si="287"/>
        <v>0</v>
      </c>
      <c r="IV76" s="290">
        <f>IU76*各项系数!$E$12</f>
        <v>0</v>
      </c>
      <c r="IW76" s="309">
        <f t="shared" si="288"/>
        <v>0.33885411620362238</v>
      </c>
      <c r="IX76" s="309">
        <f t="shared" si="289"/>
        <v>3.4563119852769479</v>
      </c>
      <c r="IY76" s="339">
        <f>各项系数!$F$76/4*($NB76^2-$MZ76^2*$EG76-$NA76^2*$EO76)*10^-2</f>
        <v>5.2622248575674222</v>
      </c>
      <c r="IZ76" s="284">
        <f t="shared" si="231"/>
        <v>1</v>
      </c>
      <c r="JA76" s="285">
        <f t="shared" ref="JA76:JA139" si="363">IY76*$IZ76</f>
        <v>5.2622248575674222</v>
      </c>
      <c r="JB76" s="289">
        <f>IF($DE76&lt;&gt;$JB$9,0,$JA76*各项系数!$F$32*10^-3*10^2)*各项系数!$J$4</f>
        <v>0</v>
      </c>
      <c r="JC76" s="106">
        <v>1</v>
      </c>
      <c r="JD76" s="78">
        <f t="shared" si="290"/>
        <v>0</v>
      </c>
      <c r="JE76" s="264">
        <f>JD76*各项系数!$E$32</f>
        <v>0</v>
      </c>
      <c r="JF76" s="282">
        <f>IF($DE76&lt;&gt;$JF$9,0,$JA76*VLOOKUP($JF$9,各项系数!$D$4:$F$540,2,0)*10^-3*10^2)*各项系数!$J$4</f>
        <v>2.6179568666397923</v>
      </c>
      <c r="JG76" s="102">
        <v>1</v>
      </c>
      <c r="JH76" s="189">
        <f t="shared" ref="JH76:JH139" si="364">JG76*JF76</f>
        <v>2.6179568666397923</v>
      </c>
      <c r="JI76" s="262">
        <f>JH76*VLOOKUP($JF$9,各项系数!$D$4:$F$540,3,0)</f>
        <v>3.1415482399677508</v>
      </c>
      <c r="JJ76" s="289">
        <f t="shared" si="291"/>
        <v>2.6179568666397923</v>
      </c>
      <c r="JK76" s="78">
        <f t="shared" si="292"/>
        <v>3.1415482399677508</v>
      </c>
      <c r="JL76" s="289">
        <f>IF($DF76&lt;&gt;$JL$9,0,各项系数!$F$76/4*($NE76^2-$NC76^2)*10^-2*各项系数!$F$39*10^-3*10^2)*各项系数!$J$4</f>
        <v>5.1871270831257135E-3</v>
      </c>
      <c r="JM76" s="106">
        <v>1</v>
      </c>
      <c r="JN76" s="78">
        <f t="shared" si="293"/>
        <v>5.1871270831257135E-3</v>
      </c>
      <c r="JO76" s="264">
        <f>JN76*各项系数!$E$39</f>
        <v>0.10374254166251427</v>
      </c>
      <c r="JP76" s="289">
        <f>IF($DF76&lt;&gt;$JP$9,0,各项系数!$F$76/4*($NE76^2-$NC76^2)*10^-2*各项系数!$F$36*10^-3*10^2)*各项系数!$J$4</f>
        <v>0</v>
      </c>
      <c r="JQ76" s="106">
        <v>1</v>
      </c>
      <c r="JR76" s="78">
        <f t="shared" si="294"/>
        <v>0</v>
      </c>
      <c r="JS76" s="264">
        <f>JR76*各项系数!$E$36</f>
        <v>0</v>
      </c>
      <c r="JT76" s="289">
        <f>IF($DF76&lt;&gt;$JT$9,0,各项系数!$F$76/4*($NE76^2-$NC76^2)*10^-2*各项系数!$F$40*10^-3*10^2)*各项系数!$J$4</f>
        <v>0</v>
      </c>
      <c r="JU76" s="106">
        <v>1</v>
      </c>
      <c r="JV76" s="78">
        <f t="shared" si="295"/>
        <v>0</v>
      </c>
      <c r="JW76" s="264">
        <f>JV76*各项系数!$E$40</f>
        <v>0</v>
      </c>
      <c r="JX76" s="289">
        <f>IF($DF76&lt;&gt;$JX$9,0,各项系数!$F$76/4*($NE76^2-$NC76^2)*10^-2*各项系数!$F$38*10^-3*10^2)*各项系数!$J$4</f>
        <v>0</v>
      </c>
      <c r="JY76" s="106">
        <v>1</v>
      </c>
      <c r="JZ76" s="78">
        <f t="shared" si="296"/>
        <v>0</v>
      </c>
      <c r="KA76" s="264">
        <f>JZ76*各项系数!$E$38</f>
        <v>0</v>
      </c>
      <c r="KB76" s="289">
        <f>IF($DF76&lt;&gt;$KB$9,0,各项系数!$F$76/4*($NE76^2-$NC76^2)*10^-2*各项系数!$F$41*10^-3*10^2)*各项系数!$J$4</f>
        <v>0</v>
      </c>
      <c r="KC76" s="106">
        <v>1</v>
      </c>
      <c r="KD76" s="78">
        <f t="shared" si="297"/>
        <v>0</v>
      </c>
      <c r="KE76" s="264">
        <f>KD76*各项系数!$E$41</f>
        <v>0</v>
      </c>
      <c r="KF76" s="78">
        <f t="shared" si="298"/>
        <v>5.1871270831257135E-3</v>
      </c>
      <c r="KG76" s="78">
        <f t="shared" si="299"/>
        <v>0.10374254166251427</v>
      </c>
      <c r="KH76" s="237">
        <f>各项系数!$F$76/4*($NG76^2-$NE76^2)*10^-2*各项系数!$F$44*10^-3*10^2*各项系数!$J$4*0.75*$U76</f>
        <v>1.2915291553287449</v>
      </c>
      <c r="KI76" s="106">
        <v>1</v>
      </c>
      <c r="KJ76" s="78">
        <f t="shared" si="300"/>
        <v>1.2915291553287449</v>
      </c>
      <c r="KK76" s="78">
        <f>ROUND(KJ76*各项系数!$E$43,GT76)</f>
        <v>7</v>
      </c>
      <c r="KL76" s="235">
        <f>各项系数!$F$76/4*($NF76^2-$NE76^2)*10^-2*各项系数!$F$46*10^-3*10^2*各项系数!$J$4*PI()/4*R76</f>
        <v>6.4666042476192551E-2</v>
      </c>
      <c r="KM76" s="106">
        <v>1</v>
      </c>
      <c r="KN76" s="78">
        <f t="shared" si="301"/>
        <v>6.4666042476192551E-2</v>
      </c>
      <c r="KO76" s="78">
        <f>KN76*各项系数!$E$46</f>
        <v>4.3649578671429969</v>
      </c>
      <c r="KP76" s="237">
        <f>各项系数!$F$76/4*($NH76^2-$NE76^2)*10^-2*(VLOOKUP($KP$9,各项系数!$D$1:$F$143,3,0))*10^-3*10^2*各项系数!$J$4</f>
        <v>0.55200296974440588</v>
      </c>
      <c r="KQ76" s="106">
        <v>1</v>
      </c>
      <c r="KR76" s="78">
        <f t="shared" si="150"/>
        <v>0.55200296974440588</v>
      </c>
      <c r="KS76" s="78">
        <f>KR76*(VLOOKUP($KP$9,各项系数!$D$1:$F$143,2,0))</f>
        <v>9.3840504856548996</v>
      </c>
      <c r="KT76" s="237">
        <f>各项系数!$F$76/4*($NI76^2-$NF76^2)*10^-2*(VLOOKUP($KT$9,各项系数!$D$1:$F$143,3,0))*10^-3*10^2*各项系数!$J$4</f>
        <v>0.5538159828647925</v>
      </c>
      <c r="KU76" s="106">
        <v>1</v>
      </c>
      <c r="KV76" s="78">
        <f t="shared" si="151"/>
        <v>0.5538159828647925</v>
      </c>
      <c r="KW76" s="78">
        <f>KV76*(VLOOKUP($KT$9,各项系数!$D$1:$F$143,2,0))</f>
        <v>9.4148717087014724</v>
      </c>
      <c r="KX76" s="78">
        <f>各项系数!$F$76/4*($NH76^2-$NE76^2)*10^-2*(VLOOKUP($KX$9,各项系数!$D$1:$F$143,3,0))*10^-3*10^2*各项系数!$J$4</f>
        <v>0.55200296974440588</v>
      </c>
      <c r="KY76" s="355">
        <v>1</v>
      </c>
      <c r="KZ76" s="78">
        <f t="shared" si="152"/>
        <v>0.55200296974440588</v>
      </c>
      <c r="LA76" s="78">
        <f>KZ76*(VLOOKUP($KX$9,各项系数!$D$1:$F$143,2,0))</f>
        <v>9.3840504856548996</v>
      </c>
      <c r="LB76" s="78">
        <f>各项系数!$F$76/4*($NI76^2-$NF76^2)*10^-2*(VLOOKUP($LB$9,各项系数!$D$1:$F$143,3,0))*10^-3*10^2*各项系数!$J$4</f>
        <v>0.5538159828647925</v>
      </c>
      <c r="LC76" s="355">
        <v>1</v>
      </c>
      <c r="LD76" s="78">
        <f t="shared" si="153"/>
        <v>0.5538159828647925</v>
      </c>
      <c r="LE76" s="78">
        <f>LD76*(VLOOKUP($LB$9,各项系数!$D$1:$F$143,2,0))</f>
        <v>9.4148717087014724</v>
      </c>
      <c r="LF76" s="237">
        <f>各项系数!$F$76/4*($NH76^2-$NE76^2)*10^-2*(VLOOKUP(AN76,各项系数!$D$1:$F$143,3,0))*10^-3*10^2*各项系数!$J$4</f>
        <v>0.55961680380984602</v>
      </c>
      <c r="LG76" s="106">
        <v>1</v>
      </c>
      <c r="LH76" s="78">
        <f t="shared" si="302"/>
        <v>0.55961680380984602</v>
      </c>
      <c r="LI76" s="78">
        <f>LH76*(VLOOKUP(AN76,各项系数!$D$1:$F$143,2,0))</f>
        <v>5.59616803809846</v>
      </c>
      <c r="LJ76" s="237">
        <f>各项系数!$F$76/4*($NI76^2-$NF76^2)*10^-2*(VLOOKUP(AN76,各项系数!$D$1:$F$143,3,0))*10^-3*10^2*各项系数!$J$4</f>
        <v>0.56145482400775515</v>
      </c>
      <c r="LK76" s="106">
        <v>1</v>
      </c>
      <c r="LL76" s="78">
        <f t="shared" si="303"/>
        <v>0.56145482400775515</v>
      </c>
      <c r="LM76" s="78">
        <f>LL76*(VLOOKUP(AN76,各项系数!$D$1:$F$143,2,0))</f>
        <v>5.6145482400775517</v>
      </c>
      <c r="LN76" s="78">
        <f>各项系数!$F$76/4*($NH76^2-$NE76^2)*10^-2*(VLOOKUP($LN$9,各项系数!$D$1:$F$143,3,0))*10^-3*10^2*各项系数!$J$4</f>
        <v>0.55961680380984602</v>
      </c>
      <c r="LO76" s="355">
        <v>1</v>
      </c>
      <c r="LP76" s="78">
        <f t="shared" si="304"/>
        <v>0.55961680380984602</v>
      </c>
      <c r="LQ76" s="78">
        <f>LP76*(VLOOKUP($LN$9,各项系数!$D$1:$F$143,2,0))</f>
        <v>6.1557848419083063</v>
      </c>
      <c r="LR76" s="78">
        <f>各项系数!$F$76/4*($NI76^2-$NF76^2)*10^-2*(VLOOKUP($LR$9,各项系数!$D$1:$F$143,3,0))*10^-3*10^2*各项系数!$J$4</f>
        <v>0.56145482400775515</v>
      </c>
      <c r="LS76" s="355">
        <v>1</v>
      </c>
      <c r="LT76" s="78">
        <f t="shared" si="305"/>
        <v>0.56145482400775515</v>
      </c>
      <c r="LU76" s="78">
        <f>LT76*(VLOOKUP($LR$9,各项系数!$D$1:$F$143,2,0))</f>
        <v>6.1760030640853065</v>
      </c>
      <c r="LV76" s="367">
        <f t="shared" si="154"/>
        <v>764.32523303999994</v>
      </c>
      <c r="LW76" s="367">
        <f t="shared" si="155"/>
        <v>558.06321008999998</v>
      </c>
      <c r="LX76" s="367">
        <f t="shared" si="156"/>
        <v>26.656109009914314</v>
      </c>
      <c r="LY76" s="367">
        <f t="shared" si="157"/>
        <v>206.26202294999996</v>
      </c>
      <c r="LZ76" s="374">
        <f t="shared" ref="LZ76:LZ139" si="365">$LZ$8</f>
        <v>1</v>
      </c>
      <c r="MA76" s="375">
        <f t="shared" ref="MA76:MA139" si="366">LV76-LY76*(1-LZ76)</f>
        <v>764.32523303999994</v>
      </c>
      <c r="MB76" s="367">
        <f t="shared" si="158"/>
        <v>15.59782927</v>
      </c>
      <c r="MC76" s="367">
        <f t="shared" si="159"/>
        <v>0</v>
      </c>
      <c r="MD76" s="367">
        <f t="shared" si="160"/>
        <v>0</v>
      </c>
      <c r="ME76" s="367">
        <f t="shared" si="161"/>
        <v>0</v>
      </c>
      <c r="MF76" s="367">
        <f t="shared" si="162"/>
        <v>0</v>
      </c>
      <c r="MG76" s="379">
        <f t="shared" si="163"/>
        <v>1</v>
      </c>
      <c r="MH76" s="375">
        <f t="shared" ref="MH76:MH139" si="367">MC76-MF76*(1-MG76)</f>
        <v>0</v>
      </c>
      <c r="MI76" s="367">
        <f t="shared" si="164"/>
        <v>0</v>
      </c>
      <c r="MJ76" s="78">
        <f t="shared" ref="MJ76:MJ139" si="368">ROUND(ROUND($EJ76*10^-2,8)*$EI76,8)</f>
        <v>15.59782927</v>
      </c>
      <c r="MK76" s="78">
        <f t="shared" si="165"/>
        <v>15.59782927</v>
      </c>
      <c r="ML76" s="78">
        <f t="shared" si="306"/>
        <v>0</v>
      </c>
      <c r="MM76" s="78">
        <f t="shared" ref="MM76:MM139" si="369">(1-$K76)^(1/2)*$MI76</f>
        <v>0</v>
      </c>
      <c r="MN76" s="78">
        <f t="shared" ref="MN76:MN139" si="370">MK76+M76*2</f>
        <v>18.397829269999999</v>
      </c>
      <c r="MO76" s="189">
        <f t="shared" si="166"/>
        <v>0</v>
      </c>
      <c r="MP76" s="78">
        <f t="shared" si="167"/>
        <v>44.522746830000003</v>
      </c>
      <c r="MQ76" s="78">
        <f t="shared" si="307"/>
        <v>44.522746830000003</v>
      </c>
      <c r="MR76" s="246">
        <f t="shared" si="168"/>
        <v>44.522746830000003</v>
      </c>
      <c r="MS76" s="380">
        <f t="shared" ref="MS76:MS139" si="371">MR76+2*O76*(1+P76)</f>
        <v>44.698746830000005</v>
      </c>
      <c r="MT76" s="382">
        <f t="shared" ref="MT76:MT139" si="372">MS76+(Q76*R76*2)</f>
        <v>44.858746830000001</v>
      </c>
      <c r="MU76" s="382">
        <f t="shared" ref="MU76:MU139" si="373">MS76+(T76*U76*1.5)</f>
        <v>46.198746830000005</v>
      </c>
      <c r="MV76" s="382">
        <f t="shared" ref="MV76:MV139" si="374">MS76+W76*2</f>
        <v>49.698746830000005</v>
      </c>
      <c r="MW76" s="382">
        <f t="shared" ref="MW76:MW139" si="375">MT76+W76*2</f>
        <v>49.858746830000001</v>
      </c>
      <c r="MX76" s="246">
        <f t="shared" ref="MX76:MX139" si="376">MK76+3*X76</f>
        <v>16.19782927</v>
      </c>
      <c r="MY76" s="246">
        <f t="shared" ref="MY76:MY139" si="377">IF(MM76=0,0,MM76+3*X76)</f>
        <v>0</v>
      </c>
      <c r="MZ76" s="78">
        <f t="shared" ref="MZ76:MZ139" si="378">MX76+M76*2</f>
        <v>18.99782927</v>
      </c>
      <c r="NA76" s="78">
        <f t="shared" ref="NA76:NA139" si="379">IF(MM76=0,0,MY76+M76*2)</f>
        <v>0</v>
      </c>
      <c r="NB76" s="78">
        <f t="shared" si="169"/>
        <v>45.974746830000001</v>
      </c>
      <c r="NC76" s="246">
        <f t="shared" si="308"/>
        <v>45.974746830000001</v>
      </c>
      <c r="ND76" s="246">
        <f t="shared" si="234"/>
        <v>45.974746830000001</v>
      </c>
      <c r="NE76" s="386">
        <f t="shared" si="235"/>
        <v>46.214746830000003</v>
      </c>
      <c r="NF76" s="382">
        <f t="shared" ref="NF76:NF139" si="380">NE76++(Q76*R76*2)</f>
        <v>46.374746829999999</v>
      </c>
      <c r="NG76" s="150">
        <f t="shared" ref="NG76:NG139" si="381">NE76+(T76*U76*1.5)</f>
        <v>47.714746830000003</v>
      </c>
      <c r="NH76" s="246">
        <f t="shared" ref="NH76:NH139" si="382">NE76+W76*2</f>
        <v>51.214746830000003</v>
      </c>
      <c r="NI76" s="382">
        <f t="shared" ref="NI76:NI139" si="383">NF76+W76*2</f>
        <v>51.374746829999999</v>
      </c>
      <c r="NK76" s="390">
        <f t="shared" ref="NK76:NK139" si="384">SUM(HR76,GM76,GI76,GE76,GA76,FW76,FN76,FJ76,FF76,FA76)</f>
        <v>6.4813219123156962</v>
      </c>
      <c r="NL76" s="390">
        <f t="shared" ref="NL76:NL139" si="385">SUM(FB76,FG76,FK76,FO76,FX76,GB76,GF76,GJ76,GN76,HS76)</f>
        <v>338.86756990128822</v>
      </c>
      <c r="NM76" s="390">
        <f t="shared" ref="NM76:NM139" si="386">SUM(HZ76,GM76,GI76,GE76,GA76,FW76,FN76,FJ76,FF76,FA76)</f>
        <v>6.4813219123156962</v>
      </c>
      <c r="NN76" s="390">
        <f t="shared" ref="NN76:NN139" si="387">SUM(FB76,FG76,FK76,FO76,FX76,GB76,GF76,GJ76,GN76,IA76)</f>
        <v>339.4097714637229</v>
      </c>
      <c r="NO76" s="390">
        <f t="shared" ref="NO76:NO139" si="388">SUM(LH76,KD76,JZ76,JV76,JR76,JN76,JH76,JD76,IU76,IQ76,IM76,II76,FA76)</f>
        <v>8.6214871975698202</v>
      </c>
      <c r="NP76" s="390">
        <f t="shared" ref="NP76:NP139" si="389">SUM(LI76,KE76,KA76,JW76,JS76,JO76,JI76,JE76,IV76,IR76,IN76,IJ76,FB76)</f>
        <v>342.71665585212361</v>
      </c>
      <c r="NQ76" s="390">
        <f t="shared" ref="NQ76:NQ139" si="390">SUM(LN76,KD76,JZ76,JV76,JR76,JN76,JH76,JD76,IU76,IQ76,IM76,II76,FA76)</f>
        <v>8.6214871975698202</v>
      </c>
      <c r="NR76" s="390">
        <f t="shared" ref="NR76:NR139" si="391">SUM(FB76,IJ76,IN76,IR76,IV76,JE76,JI76,JO76,JS76,JW76,KA76,KE76,LQ76)</f>
        <v>343.27627265593344</v>
      </c>
      <c r="NS76" s="390">
        <f t="shared" ref="NS76:NS139" si="392">SUM(HR76,GM76,GI76,GE76,GA76,FW76,FN76,FJ76,FF76,FA76,GV76)</f>
        <v>6.5438703555585693</v>
      </c>
      <c r="NT76" s="390">
        <f t="shared" ref="NT76:NT139" si="393">SUM(HZ76,GM76,GI76,GE76,GA76,FW76,FN76,FJ76,FF76,FA76,GV76)</f>
        <v>6.5438703555585693</v>
      </c>
      <c r="NU76" s="390">
        <f t="shared" ref="NU76:NU139" si="394">SUM(LH76,KD76,JZ76,JV76,JR76,JN76,JH76,JD76,IU76,IQ76,IM76,II76,FA76,KL76)</f>
        <v>8.6861532400460124</v>
      </c>
      <c r="NV76" s="390">
        <f t="shared" ref="NV76:NV139" si="395">SUM(LN76,KD76,JZ76,JV76,JR76,JN76,JH76,JD76,IU76,IQ76,IM76,II76,FA76,KL76)</f>
        <v>8.6861532400460124</v>
      </c>
      <c r="NW76" s="9">
        <f t="shared" ref="NW76:NW139" si="396">NK76+GS76</f>
        <v>7.3145480456190803</v>
      </c>
      <c r="NX76" s="9">
        <f>各项系数!$M$9*NK76</f>
        <v>1.9443965736947089</v>
      </c>
      <c r="NY76" s="9">
        <f t="shared" ref="NY76:NY139" si="397">SUM(HR76,GX76,GM76,GI76,GE76,GA76,FW76,FN76,FJ76,FF76,FA76)</f>
        <v>6.5438703555585702</v>
      </c>
    </row>
    <row r="77" spans="1:389" s="9" customFormat="1" ht="15" hidden="1" customHeight="1">
      <c r="A77" s="65"/>
      <c r="B77" s="66"/>
      <c r="C77" s="67"/>
      <c r="D77" s="58" t="s">
        <v>322</v>
      </c>
      <c r="E77" s="399">
        <f t="shared" si="325"/>
        <v>54.839615260000002</v>
      </c>
      <c r="F77" s="68">
        <f>$F$29</f>
        <v>245.09808262108001</v>
      </c>
      <c r="G77" s="58"/>
      <c r="H77" s="16"/>
      <c r="I77" s="62"/>
      <c r="J77" s="62"/>
      <c r="K77" s="16"/>
      <c r="L77" s="107" t="s">
        <v>467</v>
      </c>
      <c r="M77" s="98">
        <f t="shared" si="339"/>
        <v>1.6</v>
      </c>
      <c r="N77" s="98">
        <f t="shared" si="340"/>
        <v>0</v>
      </c>
      <c r="O77" s="58">
        <f t="shared" si="326"/>
        <v>0.08</v>
      </c>
      <c r="P77" s="99">
        <v>0.1</v>
      </c>
      <c r="Q77" s="136">
        <f t="shared" si="337"/>
        <v>0.1</v>
      </c>
      <c r="R77" s="151">
        <v>0.8</v>
      </c>
      <c r="S77" s="144" t="str">
        <f>各项系数!$D$43</f>
        <v>钢带</v>
      </c>
      <c r="T77" s="62">
        <v>0.5</v>
      </c>
      <c r="U77" s="62">
        <v>2</v>
      </c>
      <c r="V77" s="143"/>
      <c r="W77" s="145">
        <v>2.7</v>
      </c>
      <c r="X77" s="139">
        <f t="shared" si="338"/>
        <v>0.2</v>
      </c>
      <c r="Y77" s="139"/>
      <c r="Z77" s="169"/>
      <c r="AA77" s="170">
        <f>$AA$29</f>
        <v>1.0149999999999999</v>
      </c>
      <c r="AB77" s="153">
        <f>PI()*EJ77*EJ77/4*EH77*(1-H77)*AA77*各项系数!$F$5*各项系数!$J$4*10^-7</f>
        <v>1.5673367508788369</v>
      </c>
      <c r="AC77" s="170">
        <f t="shared" si="327"/>
        <v>245.09808262108001</v>
      </c>
      <c r="AD77" s="153">
        <f t="shared" si="341"/>
        <v>177.18929302065297</v>
      </c>
      <c r="AE77" s="153">
        <f>POWER(4*EU77/PI()/EG77/10^-7/EH77/(1-H77)/各项系数!$F$5/各项系数!$J$4,0.5)</f>
        <v>246.92947607788284</v>
      </c>
      <c r="AF77" s="16">
        <v>1</v>
      </c>
      <c r="AG77" s="16">
        <f>IF(EM77=0,0,PI()*ER77*ER77/4*EP77*(1-K77)*(1+AF77)*各项系数!$F$5*各项系数!$J$4*10^-7)</f>
        <v>0</v>
      </c>
      <c r="AH77" s="16">
        <f t="shared" si="328"/>
        <v>0</v>
      </c>
      <c r="AI77" s="69">
        <f t="shared" ref="AI77:AI140" si="398">PI()*AJ77*AJ77*10^-4/4*EP77</f>
        <v>0</v>
      </c>
      <c r="AJ77" s="69">
        <f>IF(OR(EP77="",EP77=0),0,POWER(4*EW77/PI()/EO77/10^-7/EP77/(1-K77)/各项系数!$F$5/各项系数!$J$4,0.5))</f>
        <v>0</v>
      </c>
      <c r="AK77" s="16" t="str">
        <f t="shared" si="342"/>
        <v>√</v>
      </c>
      <c r="AL77" s="16">
        <f t="shared" si="329"/>
        <v>436.84491418564187</v>
      </c>
      <c r="AM77" s="106">
        <f t="shared" si="330"/>
        <v>185</v>
      </c>
      <c r="AN77" s="107" t="s">
        <v>486</v>
      </c>
      <c r="AO77" s="146">
        <f>AP77+各项系数!$M$9*$NK77</f>
        <v>428.27932763298224</v>
      </c>
      <c r="AP77" s="146">
        <f>AQ77*(1+$BI77+(VLOOKUP($AM77,$A$12:$B$323,2,0))+各项系数!$J$6+各项系数!$M$5)*(1+$E$2)</f>
        <v>425.86017235347424</v>
      </c>
      <c r="AQ77" s="199">
        <f>AR77+各项系数!$L$9*$NK77</f>
        <v>434.55119627905538</v>
      </c>
      <c r="AR77" s="199">
        <f>AS77*(1+$BJ77+各项系数!$J$5+各项系数!$L$5)</f>
        <v>432.13204099954737</v>
      </c>
      <c r="AS77" s="199">
        <f t="shared" ref="AS77:AS140" si="399">SUM($FB77,$FQ77,$FX77,$GP77,$HS77)</f>
        <v>423.65886372504644</v>
      </c>
      <c r="AT77" s="146">
        <f>AU77+各项系数!$M$9*$NM77</f>
        <v>432.65609907416723</v>
      </c>
      <c r="AU77" s="146">
        <f>AV77*(1+$BI77+(VLOOKUP($AM77,$A$12:$B$323,2,0))+各项系数!$J$6+各项系数!$M$5)*(1+$E$2)</f>
        <v>430.23694379465923</v>
      </c>
      <c r="AV77" s="199">
        <f>AW77+各项系数!$L$9*$NM77</f>
        <v>439.01728958638699</v>
      </c>
      <c r="AW77" s="199">
        <f>AX77*(1+$BJ77+各项系数!$J$5+各项系数!$L$5)</f>
        <v>436.59813430687899</v>
      </c>
      <c r="AX77" s="199">
        <f t="shared" ref="AX77:AX140" si="400">SUM($FB77,$FQ77,$FX77,$GP77,$HC77)</f>
        <v>428.03738657537156</v>
      </c>
      <c r="AY77" s="146">
        <f>AZ77+各项系数!$M$9*$NS77</f>
        <v>433.00740867093464</v>
      </c>
      <c r="AZ77" s="146">
        <f>BA77*(1+$BI77+(VLOOKUP($AM77,$A$12:$B$214,2,0))+各项系数!$J$6+各项系数!$M$5)*(1+$E$2)</f>
        <v>430.567502197632</v>
      </c>
      <c r="BA77" s="199">
        <f>BB77+各项系数!$L$9*$NS77</f>
        <v>439.35459407921633</v>
      </c>
      <c r="BB77" s="199">
        <f>BC77*(1+$BJ77+各项系数!$J$5+各项系数!$L$5)</f>
        <v>436.91468760591368</v>
      </c>
      <c r="BC77" s="199">
        <f t="shared" ref="BC77:BC140" si="401">SUM($FB77,$FQ77,$FX77,$GP77,$GY77,$HW77)</f>
        <v>428.34773294697419</v>
      </c>
      <c r="BD77" s="146">
        <f>BE77+各项系数!$M$9*$NS77</f>
        <v>437.39761104035131</v>
      </c>
      <c r="BE77" s="146">
        <f>BF77*(1+$BI77+(VLOOKUP($AM77,$A$12:$B$214,2,0))+各项系数!$J$6+各项系数!$M$5)*(1+$E$2)</f>
        <v>434.95770456704867</v>
      </c>
      <c r="BF77" s="199">
        <f>BG77+各项系数!$L$9*$NS77</f>
        <v>443.83439241535581</v>
      </c>
      <c r="BG77" s="199">
        <f>BH77*(1+$BJ77+各项系数!$J$5+各项系数!$L$5)</f>
        <v>441.39448594205317</v>
      </c>
      <c r="BH77" s="199">
        <f t="shared" ref="BH77:BH140" si="402">SUM($FB77,$FQ77,$FX77,$GP77,$GY77,$HO77)</f>
        <v>432.73969210005214</v>
      </c>
      <c r="BI77" s="214"/>
      <c r="BJ77" s="215"/>
      <c r="BK77" s="78" t="s">
        <v>514</v>
      </c>
      <c r="BL77" s="146">
        <f>BM77+各项系数!$M$9*$NM77</f>
        <v>433.08414238881682</v>
      </c>
      <c r="BM77" s="146">
        <f>BN77*(1+$CF77+(VLOOKUP($AM77,$A$12:$B$323,2,0))+各项系数!$J$6+各项系数!$M$5)*(1+$E$2)</f>
        <v>430.66498710930881</v>
      </c>
      <c r="BN77" s="199">
        <f>BO77+各项系数!$L$9*$NM77</f>
        <v>439.45406847888654</v>
      </c>
      <c r="BO77" s="199">
        <f>BP77*(1+$CG77+各项系数!$J$5+各项系数!$L$5)</f>
        <v>437.03491319937854</v>
      </c>
      <c r="BP77" s="199">
        <f t="shared" ref="BP77:BP140" si="403">SUM(FB77,FQ77,FX77,GP77,IA77)</f>
        <v>424.30574097027039</v>
      </c>
      <c r="BQ77" s="146">
        <f>BR77+各项系数!$M$9*$NM77</f>
        <v>436.8508654626059</v>
      </c>
      <c r="BR77" s="146">
        <f>BS77*(1+$CF77+(VLOOKUP($AM77,$A$12:$B$323,2,0))+各项系数!$J$6+各项系数!$M$5)*(1+$E$2)</f>
        <v>434.43171018309789</v>
      </c>
      <c r="BS77" s="199">
        <f>BT77+各项系数!$L$9*$NM77</f>
        <v>443.29766345214074</v>
      </c>
      <c r="BT77" s="199">
        <f>BU77*(1+$CG77+各项系数!$J$5+各项系数!$L$5)</f>
        <v>440.87850817263273</v>
      </c>
      <c r="BU77" s="199">
        <f t="shared" ref="BU77:BU140" si="404">SUM(FB77,FQ77,FX77,GP77,HK77)</f>
        <v>428.03738657537156</v>
      </c>
      <c r="BV77" s="146">
        <f>BW77+各项系数!$M$9*$NT77</f>
        <v>435.47716785779403</v>
      </c>
      <c r="BW77" s="146">
        <f>BX77*(1+$CF77+(VLOOKUP($AM77,$A$12:$B$214,2,0))+各项系数!$J$6+各项系数!$M$5)*(1+$E$2)</f>
        <v>433.03726138449139</v>
      </c>
      <c r="BX77" s="199">
        <f>BY77+各项系数!$L$9*$NT$12</f>
        <v>441.87475651478712</v>
      </c>
      <c r="BY77" s="199">
        <f>BZ77*(1+$CG77+各项系数!$J$5+各项系数!$L$5)</f>
        <v>441.86649311163217</v>
      </c>
      <c r="BZ77" s="199">
        <f t="shared" si="343"/>
        <v>428.99659525401182</v>
      </c>
      <c r="CA77" s="146">
        <f>CB77+各项系数!$M$9*$NT77</f>
        <v>439.25544981418716</v>
      </c>
      <c r="CB77" s="146">
        <f>CC77*(1+$CF77+(VLOOKUP($AM77,$A$12:$B$214,2,0))+各项系数!$J$6+各项系数!$M$5)*(1+$E$2)</f>
        <v>436.81554334088452</v>
      </c>
      <c r="CC77" s="199">
        <f>CD77+各项系数!$L$9*$NT$12</f>
        <v>445.73014626620869</v>
      </c>
      <c r="CD77" s="199">
        <f>CE77*(1+$CG77+各项系数!$J$5+各项系数!$L$5)</f>
        <v>445.72188286305374</v>
      </c>
      <c r="CE77" s="199">
        <f t="shared" ref="CE77:CE140" si="405">SUM($FB77,$FQ77,$FX77,$GP77,$GY77,$HO77)</f>
        <v>432.73969210005214</v>
      </c>
      <c r="CF77" s="214">
        <f t="shared" ref="CF77:CF116" si="406">BI77+$CF$2</f>
        <v>0</v>
      </c>
      <c r="CG77" s="214">
        <f t="shared" si="344"/>
        <v>0.01</v>
      </c>
      <c r="CH77" s="106"/>
      <c r="CI77" s="146">
        <f>CJ77+各项系数!$M$9*$NO77</f>
        <v>436.61127112417142</v>
      </c>
      <c r="CJ77" s="146">
        <f>CK77*(1+$DC77+(VLOOKUP($AM77,$A$12:$B$323,2,0))+各项系数!$J$6+各项系数!$M$5)*(1+$E$2)+各项系数!$M$9*$NK77</f>
        <v>433.41607174476667</v>
      </c>
      <c r="CK77" s="199">
        <f>CL77+各项系数!$L$9*$NO77</f>
        <v>439.79277190332516</v>
      </c>
      <c r="CL77" s="199">
        <f>CM77*(1+$DD77+各项系数!$J$5+各项系数!$L$5)</f>
        <v>436.59757252392041</v>
      </c>
      <c r="CM77" s="199">
        <f t="shared" si="345"/>
        <v>428.0368358077651</v>
      </c>
      <c r="CN77" s="146">
        <f>CO77+各项系数!$M$9*$NO77</f>
        <v>440.80003319234703</v>
      </c>
      <c r="CO77" s="146">
        <f>CP77*(1+$DC77+(VLOOKUP($AM77,$A$12:$B$323,2,0))+各项系数!$J$6+各项系数!$M$5)*(1+$E$2)+各项系数!$M$9*$NK77</f>
        <v>437.60483381294227</v>
      </c>
      <c r="CP77" s="199">
        <f>CQ77+各项系数!$L$9*$NO77</f>
        <v>444.06701891166762</v>
      </c>
      <c r="CQ77" s="199">
        <f>CR77*(1+$DD77+各项系数!$J$5+各项系数!$L$5)</f>
        <v>440.87181953226286</v>
      </c>
      <c r="CR77" s="199">
        <f t="shared" si="346"/>
        <v>432.22727405123811</v>
      </c>
      <c r="CS77" s="146">
        <f>CT77+各项系数!$M$9*$NU77</f>
        <v>439.06433550963004</v>
      </c>
      <c r="CT77" s="146">
        <f t="shared" si="347"/>
        <v>435.84774965666071</v>
      </c>
      <c r="CU77" s="199">
        <f>CV77+各项系数!$L$9*$NU77</f>
        <v>444.74260169047011</v>
      </c>
      <c r="CV77" s="199">
        <f>CW77*(1+$DD77+各项系数!$J$5+各项系数!$L$5)</f>
        <v>441.52601583750078</v>
      </c>
      <c r="CW77" s="199">
        <f t="shared" si="348"/>
        <v>432.86864297794193</v>
      </c>
      <c r="CX77" s="146">
        <f>CY77+各项系数!$M$9*$NU77</f>
        <v>443.58179592404281</v>
      </c>
      <c r="CY77" s="146">
        <f t="shared" si="349"/>
        <v>440.36521007107348</v>
      </c>
      <c r="CZ77" s="199">
        <f>DA77+各项系数!$L$9*$NU77</f>
        <v>449.35225517456479</v>
      </c>
      <c r="DA77" s="199">
        <f>DB77*(1+$DD77+各项系数!$J$5+各项系数!$L$5)</f>
        <v>446.13566932159546</v>
      </c>
      <c r="DB77" s="199">
        <f t="shared" si="350"/>
        <v>437.3879110996034</v>
      </c>
      <c r="DC77" s="214">
        <f t="shared" ref="DC77:DC100" si="407">BI77+$DC$2</f>
        <v>0</v>
      </c>
      <c r="DD77" s="214">
        <f t="shared" si="351"/>
        <v>0</v>
      </c>
      <c r="DE77" s="78" t="s">
        <v>498</v>
      </c>
      <c r="DF77" s="78" t="s">
        <v>513</v>
      </c>
      <c r="DG77" s="146">
        <f>DH77+各项系数!$M$9*$NQ77</f>
        <v>441.47797526663214</v>
      </c>
      <c r="DH77" s="146">
        <f>DI77*(1+$EA77+(VLOOKUP($AM77,$A$12:$B$323,2,0))+各项系数!$J$6+各项系数!$M$5)*(1+$E$2)+各项系数!$M$9*$NK77</f>
        <v>438.28277588722739</v>
      </c>
      <c r="DI77" s="199">
        <f>DJ77+各项系数!$L$9*$NQ77</f>
        <v>444.75879653848915</v>
      </c>
      <c r="DJ77" s="199">
        <f>DK77*(1+$EB77+各项系数!$J$5+各项系数!$L$5)</f>
        <v>441.5635971590844</v>
      </c>
      <c r="DK77" s="199">
        <f t="shared" si="352"/>
        <v>428.70252151367418</v>
      </c>
      <c r="DL77" s="146">
        <f>DM77+各项系数!$M$9*$NQ77</f>
        <v>445.35421875309379</v>
      </c>
      <c r="DM77" s="146">
        <f>DN77*(1+$EA77+(VLOOKUP($AM77,$A$12:$B$323,2,0))+各项系数!$J$6+各项系数!$M$5)*(1+$E$2)+各项系数!$M$9*$NK77</f>
        <v>442.15901937368903</v>
      </c>
      <c r="DN77" s="199">
        <f>DO77+各项系数!$L$9*$NQ77</f>
        <v>448.71414703487864</v>
      </c>
      <c r="DO77" s="199">
        <f>DP77*(1+$EB77+各项系数!$J$5+各项系数!$L$5)</f>
        <v>445.51894765547388</v>
      </c>
      <c r="DP77" s="199">
        <f t="shared" si="353"/>
        <v>432.54266762667368</v>
      </c>
      <c r="DQ77" s="146">
        <f>DR77+各项系数!$M$9*$NV77</f>
        <v>443.98039508375325</v>
      </c>
      <c r="DR77" s="146">
        <f t="shared" si="354"/>
        <v>440.76380923078392</v>
      </c>
      <c r="DS77" s="199">
        <f>DT77+各项系数!$L$9*$NV77</f>
        <v>449.75898901100402</v>
      </c>
      <c r="DT77" s="199">
        <f>DU77*(1+$EB77+各项系数!$J$5+各项系数!$L$5)</f>
        <v>446.54240315803469</v>
      </c>
      <c r="DU77" s="199">
        <f t="shared" si="355"/>
        <v>433.53631374566476</v>
      </c>
      <c r="DV77" s="146">
        <f>DW77+各项系数!$M$9*$NV77</f>
        <v>443.48244490748561</v>
      </c>
      <c r="DW77" s="146">
        <f t="shared" si="356"/>
        <v>440.26585905451628</v>
      </c>
      <c r="DX77" s="199">
        <f>DY77+各项系数!$L$9*$NV77</f>
        <v>449.25087658624113</v>
      </c>
      <c r="DY77" s="199">
        <f>DZ77*(1+$EB77+各项系数!$J$5+各项系数!$L$5)</f>
        <v>446.0342907332718</v>
      </c>
      <c r="DZ77" s="199">
        <f t="shared" si="357"/>
        <v>433.04300071191437</v>
      </c>
      <c r="EA77" s="214">
        <f t="shared" si="324"/>
        <v>0</v>
      </c>
      <c r="EB77" s="214">
        <f t="shared" si="358"/>
        <v>0.01</v>
      </c>
      <c r="EC77" s="235">
        <f t="shared" ref="EC77:EC140" si="408">IF(EO77=0,EG77,EG77&amp;"+"&amp;EO77)</f>
        <v>4</v>
      </c>
      <c r="ED77" s="237" t="str">
        <f t="shared" si="331"/>
        <v>4*185</v>
      </c>
      <c r="EE77" s="78">
        <f t="shared" si="239"/>
        <v>185</v>
      </c>
      <c r="EF77" s="78" t="str">
        <f>LOOKUP(EH77,{1,7,10,14,19,24,30,37,48,61},{1,"1+6","2+8","4+10","1+6+12","2+8+14","4+10+16","1+6+12+18","3+9+15+21","1+6+12+18+24"})</f>
        <v>1+6+12+18</v>
      </c>
      <c r="EG77" s="106">
        <f t="shared" si="359"/>
        <v>4</v>
      </c>
      <c r="EH77" s="199">
        <f>VLOOKUP(EE77,各项系数!$B$87:$C$124,2,0)</f>
        <v>37</v>
      </c>
      <c r="EI77" s="106">
        <f>IF(EH77=0,0,VLOOKUP(EH77,各项系数!$D$142:$E$195,2,0))*1</f>
        <v>7</v>
      </c>
      <c r="EJ77" s="240">
        <f t="shared" ref="EJ77:EJ140" si="409">$F77-$G77</f>
        <v>245.09808262108001</v>
      </c>
      <c r="EK77" s="78">
        <f t="shared" si="332"/>
        <v>0</v>
      </c>
      <c r="EL77" s="78">
        <f t="shared" si="360"/>
        <v>0</v>
      </c>
      <c r="EM77" s="78">
        <f t="shared" si="333"/>
        <v>0</v>
      </c>
      <c r="EN77" s="78">
        <f>IF(EP77=0,0,LOOKUP(EP77,{1,7,10,14,19,24,30,37,48,61},{1,"1+6","2+8","4+10","1+6+12","2+8+14","4+10+16","1+6+12+18","3+9+15+21","1+6+12+18+24"}))</f>
        <v>0</v>
      </c>
      <c r="EO77" s="78">
        <f t="shared" si="334"/>
        <v>0</v>
      </c>
      <c r="EP77" s="78">
        <f>IF(EM77=0,0,IF(EM77&lt;10,1,IF(AND(EM77&gt;=10,EM77&lt;=35),7,LOOKUP(EM77,{50,70,95,120,150,185,240,300},{10,14,19,24,30,37,48,61})*1)))</f>
        <v>0</v>
      </c>
      <c r="EQ77" s="78">
        <f>IF(EP77=0,0,VLOOKUP(EP77,各项系数!$D$142:$E$195,2,0))*1</f>
        <v>0</v>
      </c>
      <c r="ER77" s="78">
        <f t="shared" si="335"/>
        <v>0</v>
      </c>
      <c r="ES77" s="237">
        <f t="shared" si="336"/>
        <v>4</v>
      </c>
      <c r="ET77" s="78">
        <f>VLOOKUP(ES77,各项系数!$D$142:$E$195,2,0)*1</f>
        <v>2.42</v>
      </c>
      <c r="EU77" s="243">
        <f>((各项系数!$F$76/4*$EJ77^2*$EG77*$EH77*1*10^-7)*(1-$H77)*AA77)*(VLOOKUP($EY$9,各项系数!$D$4:$F$143,3,0))*各项系数!$J$4</f>
        <v>6.2693470035153469</v>
      </c>
      <c r="EV77" s="244">
        <f>EU77*(VLOOKUP($EY$9,各项系数!$D$4:$F$143,2,0))</f>
        <v>410.64222873025523</v>
      </c>
      <c r="EW77" s="252">
        <f>(IF($EO77=0,0,(各项系数!$F$76/4*$ER77^2*$EO77*$EP77*1*10^-7))*(1-$K77)*$AF77)*(VLOOKUP($EY$9,各项系数!$D$4:$F$143,3,0))*各项系数!$J$4</f>
        <v>0</v>
      </c>
      <c r="EX77" s="253">
        <f>EW77*(VLOOKUP($EY$9,各项系数!$D$4:$F$143,2,0))</f>
        <v>0</v>
      </c>
      <c r="EY77" s="189">
        <f>((各项系数!$F$76/4*$EJ77^2*$EG77*$EH77*1*10^-7)*(1-$H77)*AA77+IF($EO77=0,0,(各项系数!$F$76/4*$ER77^2*$EO77*$EP77*1*10^-7))*(1-$K77)*$AF77)*(VLOOKUP($EY$9,各项系数!$D$4:$F$143,3,0))*各项系数!$J$4</f>
        <v>6.2693470035153469</v>
      </c>
      <c r="EZ77" s="106">
        <v>1</v>
      </c>
      <c r="FA77" s="78">
        <f t="shared" si="268"/>
        <v>6.2693470035153469</v>
      </c>
      <c r="FB77" s="246">
        <f>FA77*(VLOOKUP($EY$9,各项系数!$D$4:$F$143,2,0))</f>
        <v>410.64222873025523</v>
      </c>
      <c r="FC77" s="257"/>
      <c r="FD77" s="237">
        <f>各项系数!$F$76/4*($MN77^2-MK77^2)*10^-2*(VLOOKUP(L77,各项系数!$D$1:$F$143,3,0))*10^-3*10^2*$EG77*各项系数!$J$4</f>
        <v>0.4127678697042575</v>
      </c>
      <c r="FE77" s="264">
        <f>FD77*VLOOKUP(L77,各项系数!$D$1:$F$143,2,0)</f>
        <v>4.2102322709834263</v>
      </c>
      <c r="FF77" s="106">
        <f>各项系数!$F$76/4*($MO77^2-ML77^2)*10^-2*(VLOOKUP(L77,各项系数!$D$1:$F$143,3,0))*10^-3*10^2*$EO77*各项系数!$J$4</f>
        <v>0</v>
      </c>
      <c r="FG77" s="264">
        <f>FF77*VLOOKUP(L77,各项系数!$D$1:$F$143,2,0)</f>
        <v>0</v>
      </c>
      <c r="FH77" s="237">
        <f t="shared" ref="FH77:FH140" si="410">FF77+FD77</f>
        <v>0.4127678697042575</v>
      </c>
      <c r="FI77" s="106">
        <v>1</v>
      </c>
      <c r="FJ77" s="78">
        <f t="shared" si="269"/>
        <v>0.4127678697042575</v>
      </c>
      <c r="FK77" s="264">
        <f>FJ77*VLOOKUP(L77,各项系数!$D$1:$F$143,2,0)</f>
        <v>4.2102322709834263</v>
      </c>
      <c r="FL77" s="237"/>
      <c r="FM77" s="106"/>
      <c r="FN77" s="78"/>
      <c r="FO77" s="264"/>
      <c r="FP77" s="289">
        <f t="shared" si="270"/>
        <v>0.4127678697042575</v>
      </c>
      <c r="FQ77" s="289">
        <f t="shared" si="271"/>
        <v>4.2102322709834263</v>
      </c>
      <c r="FR77" s="283">
        <f>各项系数!$F$76/4*($MQ77^2-$MN77^2*$EG77-$MO77^2*$EO77)*10^-2</f>
        <v>6.0420354460474526</v>
      </c>
      <c r="FS77" s="284">
        <f t="shared" ref="FS77:FS140" si="411">VLOOKUP(EC77,$A$38:$B$65,2,0)</f>
        <v>1</v>
      </c>
      <c r="FT77" s="285">
        <f t="shared" si="361"/>
        <v>6.0420354460474526</v>
      </c>
      <c r="FU77" s="309">
        <f>$FT77*(VLOOKUP($FT$9,各项系数!$D$1:$F$143,3,0))*10^-3*10^2*各项系数!$J$55</f>
        <v>0.72141903225806581</v>
      </c>
      <c r="FV77" s="310">
        <v>1</v>
      </c>
      <c r="FW77" s="311">
        <f t="shared" si="272"/>
        <v>0.72141903225806581</v>
      </c>
      <c r="FX77" s="290">
        <f>FW77*(VLOOKUP($FT$9,各项系数!$D$1:$F$143,2,0))</f>
        <v>2.1642570967741976</v>
      </c>
      <c r="FY77" s="309">
        <f>IF($BK77&lt;&gt;$FY$9,0,各项系数!$F$76/4*($MS77^2-$MQ77^2)*10^-2*(VLOOKUP($FY$9,各项系数!$D$1:$F$143,3,0))*10^-3*10^2)*各项系数!$J$4</f>
        <v>0</v>
      </c>
      <c r="FZ77" s="310">
        <v>1</v>
      </c>
      <c r="GA77" s="311">
        <f t="shared" si="273"/>
        <v>0</v>
      </c>
      <c r="GB77" s="290">
        <f>GA77*(VLOOKUP($FY$9,各项系数!$D$1:$F$143,2,0))</f>
        <v>0</v>
      </c>
      <c r="GC77" s="309">
        <f>IF($BK77&lt;&gt;$GC$9,0,各项系数!$F$76/4*($MS77^2-$MQ77^2)*10^-2*(VLOOKUP($GC$9,各项系数!$D$1:$F$143,3,0))*10^-3*10^2)*各项系数!$J$4</f>
        <v>1.3439780991828378E-2</v>
      </c>
      <c r="GD77" s="310">
        <v>1</v>
      </c>
      <c r="GE77" s="311">
        <f t="shared" si="274"/>
        <v>1.3439780991828378E-2</v>
      </c>
      <c r="GF77" s="290">
        <f>GE77*(VLOOKUP($GC$9,各项系数!$D$1:$F$143,2,0))</f>
        <v>0.17337317479458608</v>
      </c>
      <c r="GG77" s="309">
        <f>IF($BK77&lt;&gt;$GG$9,0,各项系数!$F$76/4*($MS77^2-$MQ77^2)*10^-2*(VLOOKUP($GG$9,各项系数!$D$1:$F$143,3,0))*10^-3*10^2)*各项系数!$J$4</f>
        <v>0</v>
      </c>
      <c r="GH77" s="310">
        <v>1</v>
      </c>
      <c r="GI77" s="311">
        <f t="shared" si="275"/>
        <v>0</v>
      </c>
      <c r="GJ77" s="290">
        <f>GI77*(VLOOKUP($GG$9,各项系数!$D$1:$F$143,2,0))</f>
        <v>0</v>
      </c>
      <c r="GK77" s="309">
        <f>IF($BK77&lt;&gt;$GK$9,0,各项系数!$F$76/4*($MS77^2-$MQ77^2)*10^-2*(VLOOKUP($GK$9,各项系数!$D$1:$F$143,3,0))*10^-3*10^2)*各项系数!$J$4</f>
        <v>0</v>
      </c>
      <c r="GL77" s="310">
        <v>1</v>
      </c>
      <c r="GM77" s="311">
        <f t="shared" si="276"/>
        <v>0</v>
      </c>
      <c r="GN77" s="290">
        <f>GM77*(VLOOKUP($GK$9,各项系数!$D$1:$F$143,2,0))</f>
        <v>0</v>
      </c>
      <c r="GO77" s="311">
        <f t="shared" si="277"/>
        <v>1.3439780991828378E-2</v>
      </c>
      <c r="GP77" s="311">
        <f t="shared" si="278"/>
        <v>0.17337317479458608</v>
      </c>
      <c r="GQ77" s="317">
        <f>各项系数!$F$76/4*($MU77^2-$MS77^2)*10^-2*(VLOOKUP($S77,各项系数!$D$1:$F$143,3,0))*10^-3*10^2*各项系数!$J$4</f>
        <v>0.92014196148242589</v>
      </c>
      <c r="GR77" s="310">
        <v>1</v>
      </c>
      <c r="GS77" s="311">
        <f t="shared" si="279"/>
        <v>0.92014196148242589</v>
      </c>
      <c r="GT77" s="311">
        <f t="shared" si="200"/>
        <v>0</v>
      </c>
      <c r="GU77" s="311">
        <f>ROUND($GS77*(VLOOKUP($S77,各项系数!$D$1:$F$143,2,0))+$E$3*GS77,GT77)</f>
        <v>5</v>
      </c>
      <c r="GV77" s="315">
        <f>各项系数!$F$76/4*($MT77^2-$MS77^2)*10^-2*(VLOOKUP($GV$9,各项系数!$D$1:$F$143,3,0))*10^-3*10^2*各项系数!$J$4*PI()/4*R77</f>
        <v>6.9170645982078546E-2</v>
      </c>
      <c r="GW77" s="310">
        <v>1</v>
      </c>
      <c r="GX77" s="311">
        <f t="shared" si="280"/>
        <v>6.9170645982078546E-2</v>
      </c>
      <c r="GY77" s="311">
        <f>$GX77*(VLOOKUP($GV$9,各项系数!$D$1:$F$143,2,0))</f>
        <v>4.6690186037903016</v>
      </c>
      <c r="GZ77" s="317">
        <f>各项系数!$F$76/4*($MV77^2-$MS77^2)*10^-2*(VLOOKUP($GZ$9,各项系数!$D$1:$F$143,3,0))*10^-3*10^2*各项系数!$J$4</f>
        <v>0.63807619426847761</v>
      </c>
      <c r="HA77" s="310">
        <v>1</v>
      </c>
      <c r="HB77" s="311">
        <f t="shared" ref="HB77:HB140" si="412">HA77*GZ77</f>
        <v>0.63807619426847761</v>
      </c>
      <c r="HC77" s="311">
        <f>HB77*(VLOOKUP($GZ$9,各项系数!$D$1:$F$143,2,0))</f>
        <v>10.84729530256412</v>
      </c>
      <c r="HD77" s="317">
        <f>各项系数!$F$76/4*($MW77^2-$MT77^2)*10^-2*(VLOOKUP($HD$9,各项系数!$D$1:$F$143,3,0))*10^-3*10^2*各项系数!$J$4</f>
        <v>0.64003424843849521</v>
      </c>
      <c r="HE77" s="310">
        <v>1</v>
      </c>
      <c r="HF77" s="311">
        <f t="shared" ref="HF77:HF140" si="413">HE77*HD77</f>
        <v>0.64003424843849521</v>
      </c>
      <c r="HG77" s="311">
        <f>HF77*(VLOOKUP($HD$9,各项系数!$D$1:$F$143,2,0))</f>
        <v>10.880582223454418</v>
      </c>
      <c r="HH77" s="317">
        <f>各项系数!$F$76/4*($MV77^2-$MS77^2)*10^-2*(VLOOKUP($HH$9,各项系数!$D$1:$F$143,3,0))*10^-3*10^2*各项系数!$J$4</f>
        <v>0.63807619426847761</v>
      </c>
      <c r="HI77" s="311">
        <v>1</v>
      </c>
      <c r="HJ77" s="311">
        <f t="shared" ref="HJ77:HJ140" si="414">HI77*HH77</f>
        <v>0.63807619426847761</v>
      </c>
      <c r="HK77" s="311">
        <f>HJ77*(VLOOKUP($HH$9,各项系数!$D$1:$F$143,2,0))</f>
        <v>10.84729530256412</v>
      </c>
      <c r="HL77" s="317">
        <f>各项系数!$F$76/4*($MW77^2-$MT77^2)*10^-2*(VLOOKUP($HL$9,各项系数!$D$1:$F$143,3,0))*10^-3*10^2*各项系数!$J$4</f>
        <v>0.64003424843849521</v>
      </c>
      <c r="HM77" s="311">
        <v>1</v>
      </c>
      <c r="HN77" s="311">
        <f t="shared" si="362"/>
        <v>0.64003424843849521</v>
      </c>
      <c r="HO77" s="311">
        <f>HN77*(VLOOKUP($HL$9,各项系数!$D$1:$F$143,2,0))</f>
        <v>10.880582223454418</v>
      </c>
      <c r="HP77" s="317">
        <f>各项系数!$F$76/4*($MV77^2-$MS77^2)*10^-2*(VLOOKUP(AN77,各项系数!$D$1:$F$143,3,0))*10^-3*10^2*各项系数!$J$4</f>
        <v>0.64687724522390488</v>
      </c>
      <c r="HQ77" s="310">
        <v>1</v>
      </c>
      <c r="HR77" s="311">
        <f t="shared" si="281"/>
        <v>0.64687724522390488</v>
      </c>
      <c r="HS77" s="311">
        <f>HR77*(VLOOKUP(AN77,各项系数!$D$1:$F$143,2,0))</f>
        <v>6.4687724522390493</v>
      </c>
      <c r="HT77" s="317">
        <f>各项系数!$F$76/4*($MW77^2-$MT77^2)*10^-2*(VLOOKUP(AN77,各项系数!$D$1:$F$143,3,0))*10^-3*10^2*各项系数!$J$4</f>
        <v>0.64886230703764691</v>
      </c>
      <c r="HU77" s="310">
        <v>1</v>
      </c>
      <c r="HV77" s="311">
        <f t="shared" si="282"/>
        <v>0.64886230703764691</v>
      </c>
      <c r="HW77" s="311">
        <f>HV77*(VLOOKUP(AN77,各项系数!$D$1:$F$143,2,0))</f>
        <v>6.4886230703764696</v>
      </c>
      <c r="HX77" s="317">
        <f>各项系数!$F$76/4*($MV77^2-$MS77^2)*10^-2*(VLOOKUP($HX$9,各项系数!$D$1:$F$143,3,0))*10^-3*10^2*各项系数!$J$4</f>
        <v>0.64687724522390488</v>
      </c>
      <c r="HY77" s="311">
        <v>1</v>
      </c>
      <c r="HZ77" s="311">
        <f t="shared" si="283"/>
        <v>0.64687724522390488</v>
      </c>
      <c r="IA77" s="311">
        <f>HZ77*(VLOOKUP($HX$9,各项系数!$D$1:$F$143,2,0))</f>
        <v>7.1156496974629535</v>
      </c>
      <c r="IB77" s="317">
        <f>各项系数!$F$76/4*($MW77^2-$MT77^2)*10^-2*(VLOOKUP($IB$9,各项系数!$D$1:$F$143,3,0))*10^-3*10^2*各项系数!$J$4</f>
        <v>0.64886230703764691</v>
      </c>
      <c r="IC77" s="311">
        <v>1</v>
      </c>
      <c r="ID77" s="311">
        <f t="shared" si="284"/>
        <v>0.64886230703764691</v>
      </c>
      <c r="IE77" s="311">
        <f>ID77*(VLOOKUP($IB$9,各项系数!$D$1:$F$143,2,0))</f>
        <v>7.1374853774141158</v>
      </c>
      <c r="IF77" s="309"/>
      <c r="IG77" s="317">
        <f t="shared" ref="IG77:IG140" si="415">IK77+IM77</f>
        <v>9.822266923766737E-2</v>
      </c>
      <c r="IH77" s="310">
        <v>1</v>
      </c>
      <c r="II77" s="311">
        <f t="shared" si="285"/>
        <v>9.822266923766737E-2</v>
      </c>
      <c r="IJ77" s="311">
        <f>II77*(VLOOKUP($IG$8,各项系数!$D$1:$F$143,2,0))</f>
        <v>2.4555667309416842</v>
      </c>
      <c r="IK77" s="317">
        <f>(各项系数!$F$76/4*($MX77^2-$MK77^2)*$EG77)*10^-2*(VLOOKUP($IG$8,各项系数!$D$1:$F$143,3,0))*10^-3*10^2*各项系数!$J$4</f>
        <v>9.822266923766737E-2</v>
      </c>
      <c r="IL77" s="310">
        <f>IK77*(VLOOKUP($IG$8,各项系数!$D$1:$F$143,2,0))</f>
        <v>2.4555667309416842</v>
      </c>
      <c r="IM77" s="311">
        <f>(各项系数!$F$76/4*(($MM77+3*$X77)^2-MM77^2)*$EO77)*10^-2*(VLOOKUP($IG$8,各项系数!$D$1:$F$143,3,0))*10^-3*10^2*各项系数!$J$4</f>
        <v>0</v>
      </c>
      <c r="IN77" s="310">
        <f>IM77*(VLOOKUP($IG$8,各项系数!$D$1:$F$143,2,0))</f>
        <v>0</v>
      </c>
      <c r="IO77" s="317">
        <f>各项系数!$F$76/4*($MZ77^2-$MX77^2)*10^-2*(VLOOKUP(L77,各项系数!$D$1:$F$143,3,0))*10^-3*10^2*$ES77*各项系数!$J$4</f>
        <v>0.42597160663617711</v>
      </c>
      <c r="IP77" s="310">
        <v>1</v>
      </c>
      <c r="IQ77" s="311">
        <f t="shared" si="286"/>
        <v>0.42597160663617711</v>
      </c>
      <c r="IR77" s="290">
        <f>IQ77*(VLOOKUP(L77,各项系数!$D$1:$F$143,2,0))</f>
        <v>4.3449103876890058</v>
      </c>
      <c r="IS77" s="317">
        <f>IF($L77&lt;&gt;$IS$9,0,各项系数!$F$76/4*($MZ77^2-$MX77^2)*10^-2*各项系数!$F$12*10^-3*10^2)*$ES77*各项系数!$J$4</f>
        <v>0</v>
      </c>
      <c r="IT77" s="310">
        <v>1</v>
      </c>
      <c r="IU77" s="311">
        <f t="shared" si="287"/>
        <v>0</v>
      </c>
      <c r="IV77" s="290">
        <f>IU77*各项系数!$E$12</f>
        <v>0</v>
      </c>
      <c r="IW77" s="309">
        <f t="shared" si="288"/>
        <v>0.42597160663617711</v>
      </c>
      <c r="IX77" s="309">
        <f t="shared" si="289"/>
        <v>4.3449103876890058</v>
      </c>
      <c r="IY77" s="339">
        <f>各项系数!$F$76/4*($NB77^2-$MZ77^2*$EG77-$NA77^2*$EO77)*10^-2</f>
        <v>6.403451230039706</v>
      </c>
      <c r="IZ77" s="284">
        <f t="shared" si="231"/>
        <v>1</v>
      </c>
      <c r="JA77" s="285">
        <f t="shared" si="363"/>
        <v>6.403451230039706</v>
      </c>
      <c r="JB77" s="289">
        <f>IF($DE77&lt;&gt;$JB$9,0,$JA77*各项系数!$F$32*10^-3*10^2)*各项系数!$J$4</f>
        <v>0</v>
      </c>
      <c r="JC77" s="106">
        <v>1</v>
      </c>
      <c r="JD77" s="78">
        <f t="shared" si="290"/>
        <v>0</v>
      </c>
      <c r="JE77" s="264">
        <f>JD77*各项系数!$E$32</f>
        <v>0</v>
      </c>
      <c r="JF77" s="282">
        <f>IF($DE77&lt;&gt;$JF$9,0,$JA77*VLOOKUP($JF$9,各项系数!$D$4:$F$540,2,0)*10^-3*10^2)*各项系数!$J$4</f>
        <v>3.1857169869447537</v>
      </c>
      <c r="JG77" s="102">
        <v>1</v>
      </c>
      <c r="JH77" s="189">
        <f t="shared" si="364"/>
        <v>3.1857169869447537</v>
      </c>
      <c r="JI77" s="262">
        <f>JH77*VLOOKUP($JF$9,各项系数!$D$4:$F$540,3,0)</f>
        <v>3.8228603843337043</v>
      </c>
      <c r="JJ77" s="289">
        <f t="shared" si="291"/>
        <v>3.1857169869447537</v>
      </c>
      <c r="JK77" s="78">
        <f t="shared" si="292"/>
        <v>3.8228603843337043</v>
      </c>
      <c r="JL77" s="289">
        <f>IF($DF77&lt;&gt;$JL$9,0,各项系数!$F$76/4*($NE77^2-$NC77^2)*10^-2*各项系数!$F$39*10^-3*10^2)*各项系数!$J$4</f>
        <v>5.7206257727156771E-3</v>
      </c>
      <c r="JM77" s="106">
        <v>1</v>
      </c>
      <c r="JN77" s="78">
        <f t="shared" si="293"/>
        <v>5.7206257727156771E-3</v>
      </c>
      <c r="JO77" s="264">
        <f>JN77*各项系数!$E$39</f>
        <v>0.11441251545431354</v>
      </c>
      <c r="JP77" s="289">
        <f>IF($DF77&lt;&gt;$JP$9,0,各项系数!$F$76/4*($NE77^2-$NC77^2)*10^-2*各项系数!$F$36*10^-3*10^2)*各项系数!$J$4</f>
        <v>0</v>
      </c>
      <c r="JQ77" s="106">
        <v>1</v>
      </c>
      <c r="JR77" s="78">
        <f t="shared" si="294"/>
        <v>0</v>
      </c>
      <c r="JS77" s="264">
        <f>JR77*各项系数!$E$36</f>
        <v>0</v>
      </c>
      <c r="JT77" s="289">
        <f>IF($DF77&lt;&gt;$JT$9,0,各项系数!$F$76/4*($NE77^2-$NC77^2)*10^-2*各项系数!$F$40*10^-3*10^2)*各项系数!$J$4</f>
        <v>0</v>
      </c>
      <c r="JU77" s="106">
        <v>1</v>
      </c>
      <c r="JV77" s="78">
        <f t="shared" si="295"/>
        <v>0</v>
      </c>
      <c r="JW77" s="264">
        <f>JV77*各项系数!$E$40</f>
        <v>0</v>
      </c>
      <c r="JX77" s="289">
        <f>IF($DF77&lt;&gt;$JX$9,0,各项系数!$F$76/4*($NE77^2-$NC77^2)*10^-2*各项系数!$F$38*10^-3*10^2)*各项系数!$J$4</f>
        <v>0</v>
      </c>
      <c r="JY77" s="106">
        <v>1</v>
      </c>
      <c r="JZ77" s="78">
        <f t="shared" si="296"/>
        <v>0</v>
      </c>
      <c r="KA77" s="264">
        <f>JZ77*各项系数!$E$38</f>
        <v>0</v>
      </c>
      <c r="KB77" s="289">
        <f>IF($DF77&lt;&gt;$KB$9,0,各项系数!$F$76/4*($NE77^2-$NC77^2)*10^-2*各项系数!$F$41*10^-3*10^2)*各项系数!$J$4</f>
        <v>0</v>
      </c>
      <c r="KC77" s="106">
        <v>1</v>
      </c>
      <c r="KD77" s="78">
        <f t="shared" si="297"/>
        <v>0</v>
      </c>
      <c r="KE77" s="264">
        <f>KD77*各项系数!$E$41</f>
        <v>0</v>
      </c>
      <c r="KF77" s="78">
        <f t="shared" si="298"/>
        <v>5.7206257727156771E-3</v>
      </c>
      <c r="KG77" s="78">
        <f t="shared" si="299"/>
        <v>0.11441251545431354</v>
      </c>
      <c r="KH77" s="237">
        <f>各项系数!$F$76/4*($NG77^2-$NE77^2)*10^-2*各项系数!$F$44*10^-3*10^2*各项系数!$J$4*0.75*$U77</f>
        <v>1.4219028975973058</v>
      </c>
      <c r="KI77" s="106">
        <v>1</v>
      </c>
      <c r="KJ77" s="78">
        <f t="shared" si="300"/>
        <v>1.4219028975973058</v>
      </c>
      <c r="KK77" s="78">
        <f>ROUND(KJ77*各项系数!$E$43,GT77)</f>
        <v>8</v>
      </c>
      <c r="KL77" s="235">
        <f>各项系数!$F$76/4*($NF77^2-$NE77^2)*10^-2*各项系数!$F$46*10^-3*10^2*各项系数!$J$4*PI()/4*R77</f>
        <v>7.1288245215398893E-2</v>
      </c>
      <c r="KM77" s="106">
        <v>1</v>
      </c>
      <c r="KN77" s="78">
        <f t="shared" si="301"/>
        <v>7.1288245215398893E-2</v>
      </c>
      <c r="KO77" s="78">
        <f>KN77*各项系数!$E$46</f>
        <v>4.8119565520394252</v>
      </c>
      <c r="KP77" s="237">
        <f>各项系数!$F$76/4*($NH77^2-$NE77^2)*10^-2*(VLOOKUP($KP$9,各项系数!$D$1:$F$143,3,0))*10^-3*10^2*各项系数!$J$4</f>
        <v>0.65662875752939454</v>
      </c>
      <c r="KQ77" s="106">
        <v>1</v>
      </c>
      <c r="KR77" s="78">
        <f t="shared" ref="KR77:KR140" si="416">KQ77*KP77</f>
        <v>0.65662875752939454</v>
      </c>
      <c r="KS77" s="78">
        <f>KR77*(VLOOKUP($KP$9,各项系数!$D$1:$F$143,2,0))</f>
        <v>11.162688877999708</v>
      </c>
      <c r="KT77" s="237">
        <f>各项系数!$F$76/4*($NI77^2-$NF77^2)*10^-2*(VLOOKUP($KT$9,各项系数!$D$1:$F$143,3,0))*10^-3*10^2*各项系数!$J$4</f>
        <v>0.65858681169941213</v>
      </c>
      <c r="KU77" s="106">
        <v>1</v>
      </c>
      <c r="KV77" s="78">
        <f t="shared" ref="KV77:KV140" si="417">KU77*KT77</f>
        <v>0.65858681169941213</v>
      </c>
      <c r="KW77" s="78">
        <f>KV77*(VLOOKUP($KT$9,各项系数!$D$1:$F$143,2,0))</f>
        <v>11.195975798890005</v>
      </c>
      <c r="KX77" s="78">
        <f>各项系数!$F$76/4*($NH77^2-$NE77^2)*10^-2*(VLOOKUP($KX$9,各项系数!$D$1:$F$143,3,0))*10^-3*10^2*各项系数!$J$4</f>
        <v>0.65662875752939454</v>
      </c>
      <c r="KY77" s="355">
        <v>1</v>
      </c>
      <c r="KZ77" s="78">
        <f t="shared" ref="KZ77:KZ140" si="418">KY77*KX77</f>
        <v>0.65662875752939454</v>
      </c>
      <c r="LA77" s="78">
        <f>KZ77*(VLOOKUP($KX$9,各项系数!$D$1:$F$143,2,0))</f>
        <v>11.162688877999708</v>
      </c>
      <c r="LB77" s="78">
        <f>各项系数!$F$76/4*($NI77^2-$NF77^2)*10^-2*(VLOOKUP($LB$9,各项系数!$D$1:$F$143,3,0))*10^-3*10^2*各项系数!$J$4</f>
        <v>0.65858681169941213</v>
      </c>
      <c r="LC77" s="355">
        <v>1</v>
      </c>
      <c r="LD77" s="78">
        <f t="shared" ref="LD77:LD140" si="419">LC77*LB77</f>
        <v>0.65858681169941213</v>
      </c>
      <c r="LE77" s="78">
        <f>LD77*(VLOOKUP($LB$9,各项系数!$D$1:$F$143,2,0))</f>
        <v>11.195975798890005</v>
      </c>
      <c r="LF77" s="237">
        <f>各项系数!$F$76/4*($NH77^2-$NE77^2)*10^-2*(VLOOKUP(AN77,各项系数!$D$1:$F$143,3,0))*10^-3*10^2*各项系数!$J$4</f>
        <v>0.66568570590911036</v>
      </c>
      <c r="LG77" s="106">
        <v>1</v>
      </c>
      <c r="LH77" s="78">
        <f t="shared" si="302"/>
        <v>0.66568570590911036</v>
      </c>
      <c r="LI77" s="78">
        <f>LH77*(VLOOKUP(AN77,各项系数!$D$1:$F$143,2,0))</f>
        <v>6.656857059091104</v>
      </c>
      <c r="LJ77" s="237">
        <f>各项系数!$F$76/4*($NI77^2-$NF77^2)*10^-2*(VLOOKUP(AN77,各项系数!$D$1:$F$143,3,0))*10^-3*10^2*各项系数!$J$4</f>
        <v>0.66767076772285239</v>
      </c>
      <c r="LK77" s="106">
        <v>1</v>
      </c>
      <c r="LL77" s="78">
        <f t="shared" si="303"/>
        <v>0.66767076772285239</v>
      </c>
      <c r="LM77" s="78">
        <f>LL77*(VLOOKUP(AN77,各项系数!$D$1:$F$143,2,0))</f>
        <v>6.6767076772285243</v>
      </c>
      <c r="LN77" s="78">
        <f>各项系数!$F$76/4*($NH77^2-$NE77^2)*10^-2*(VLOOKUP($LN$9,各项系数!$D$1:$F$143,3,0))*10^-3*10^2*各项系数!$J$4</f>
        <v>0.66568570590911036</v>
      </c>
      <c r="LO77" s="355">
        <v>1</v>
      </c>
      <c r="LP77" s="78">
        <f t="shared" si="304"/>
        <v>0.66568570590911036</v>
      </c>
      <c r="LQ77" s="78">
        <f>LP77*(VLOOKUP($LN$9,各项系数!$D$1:$F$143,2,0))</f>
        <v>7.3225427650002137</v>
      </c>
      <c r="LR77" s="78">
        <f>各项系数!$F$76/4*($NI77^2-$NF77^2)*10^-2*(VLOOKUP($LR$9,各项系数!$D$1:$F$143,3,0))*10^-3*10^2*各项系数!$J$4</f>
        <v>0.66767076772285239</v>
      </c>
      <c r="LS77" s="355">
        <v>1</v>
      </c>
      <c r="LT77" s="78">
        <f t="shared" si="305"/>
        <v>0.66767076772285239</v>
      </c>
      <c r="LU77" s="78">
        <f>LT77*(VLOOKUP($LR$9,各项系数!$D$1:$F$143,2,0))</f>
        <v>7.344378444951376</v>
      </c>
      <c r="LV77" s="367">
        <f t="shared" ref="LV77:LV140" si="420">ROUND(PI()*MJ77*MJ77/4*EG77,8)</f>
        <v>924.75306988</v>
      </c>
      <c r="LW77" s="367">
        <f t="shared" ref="LW77:LW140" si="421">ROUND(PI()*ROUND($EJ77*10^-2,8)^2/4*$EG77*$EH77,8)</f>
        <v>698.28293031999999</v>
      </c>
      <c r="LX77" s="367">
        <f t="shared" ref="LX77:LX140" si="422">SQRT(LW77/PI()*4)</f>
        <v>29.817468710421615</v>
      </c>
      <c r="LY77" s="367">
        <f t="shared" ref="LY77:LY140" si="423">LV77-LW77</f>
        <v>226.47013956000001</v>
      </c>
      <c r="LZ77" s="374">
        <f t="shared" si="365"/>
        <v>1</v>
      </c>
      <c r="MA77" s="375">
        <f t="shared" si="366"/>
        <v>924.75306988</v>
      </c>
      <c r="MB77" s="367">
        <f t="shared" ref="MB77:MB140" si="424">ROUND(SQRT(MA77/EG77/PI()*4),8)</f>
        <v>17.156865809999999</v>
      </c>
      <c r="MC77" s="367">
        <f t="shared" ref="MC77:MC140" si="425">ROUND(PI()*ML77*ML77/4*EO77,8)</f>
        <v>0</v>
      </c>
      <c r="MD77" s="367">
        <f t="shared" ref="MD77:MD140" si="426">ROUND(PI()*ROUND($ER77*10^-2,8)^2/4*$EO77*$EP77,8)</f>
        <v>0</v>
      </c>
      <c r="ME77" s="367">
        <f t="shared" ref="ME77:ME140" si="427">SQRT(MD77/PI()*4)</f>
        <v>0</v>
      </c>
      <c r="MF77" s="367">
        <f t="shared" ref="MF77:MF140" si="428">MC77-MD77</f>
        <v>0</v>
      </c>
      <c r="MG77" s="379">
        <f t="shared" ref="MG77:MG140" si="429">$MG$8</f>
        <v>1</v>
      </c>
      <c r="MH77" s="375">
        <f t="shared" si="367"/>
        <v>0</v>
      </c>
      <c r="MI77" s="367">
        <f t="shared" ref="MI77:MI140" si="430">IF(EK77=0,0,SQRT(MH77/EO77/PI()*4))</f>
        <v>0</v>
      </c>
      <c r="MJ77" s="78">
        <f t="shared" si="368"/>
        <v>17.156865809999999</v>
      </c>
      <c r="MK77" s="78">
        <f t="shared" ref="MK77:MK140" si="431">ROUND((1-$H77)^(1/2)*$MB77,8)</f>
        <v>17.156865809999999</v>
      </c>
      <c r="ML77" s="78">
        <f t="shared" si="306"/>
        <v>0</v>
      </c>
      <c r="MM77" s="78">
        <f t="shared" si="369"/>
        <v>0</v>
      </c>
      <c r="MN77" s="78">
        <f t="shared" si="370"/>
        <v>20.356865809999999</v>
      </c>
      <c r="MO77" s="189">
        <f t="shared" ref="MO77:MO140" si="432">IF(MM77=0,0,MM77+N77*2)</f>
        <v>0</v>
      </c>
      <c r="MP77" s="78">
        <f t="shared" ref="MP77:MP140" si="433">ROUND($ET77*($EG77*MN77+$EO77*MO77)/$ES77,8)</f>
        <v>49.263615260000002</v>
      </c>
      <c r="MQ77" s="78">
        <f t="shared" si="307"/>
        <v>49.263615260000002</v>
      </c>
      <c r="MR77" s="246">
        <f t="shared" ref="MR77:MR140" si="434">IF(FR77=0,MQ77,ROUND(SQRT((PI()*MQ77*MQ77/4-(FR77-FT77))*4/PI()),8))</f>
        <v>49.263615260000002</v>
      </c>
      <c r="MS77" s="380">
        <f t="shared" si="371"/>
        <v>49.439615260000004</v>
      </c>
      <c r="MT77" s="382">
        <f t="shared" si="372"/>
        <v>49.59961526</v>
      </c>
      <c r="MU77" s="382">
        <f t="shared" si="373"/>
        <v>50.939615260000004</v>
      </c>
      <c r="MV77" s="382">
        <f t="shared" si="374"/>
        <v>54.839615260000002</v>
      </c>
      <c r="MW77" s="382">
        <f t="shared" si="375"/>
        <v>54.999615259999999</v>
      </c>
      <c r="MX77" s="246">
        <f t="shared" si="376"/>
        <v>17.756865810000001</v>
      </c>
      <c r="MY77" s="246">
        <f t="shared" si="377"/>
        <v>0</v>
      </c>
      <c r="MZ77" s="78">
        <f t="shared" si="378"/>
        <v>20.95686581</v>
      </c>
      <c r="NA77" s="78">
        <f t="shared" si="379"/>
        <v>0</v>
      </c>
      <c r="NB77" s="78">
        <f t="shared" ref="NB77:NB140" si="435">ROUND($ET77*($EG77*MZ77+$EO77*NA77)/$ES77,8)</f>
        <v>50.71561526</v>
      </c>
      <c r="NC77" s="246">
        <f t="shared" si="308"/>
        <v>50.71561526</v>
      </c>
      <c r="ND77" s="246">
        <f t="shared" ref="ND77:ND140" si="436">IF(IY77=0,NC77,ROUND(SQRT((PI()*NC77*NC77/4-(IY77-JA77))*4/PI()),8))</f>
        <v>50.71561526</v>
      </c>
      <c r="NE77" s="386">
        <f t="shared" ref="NE77:NE140" si="437">ND77+3*O77</f>
        <v>50.955615260000002</v>
      </c>
      <c r="NF77" s="382">
        <f t="shared" si="380"/>
        <v>51.115615259999998</v>
      </c>
      <c r="NG77" s="150">
        <f t="shared" si="381"/>
        <v>52.455615260000002</v>
      </c>
      <c r="NH77" s="246">
        <f t="shared" si="382"/>
        <v>56.35561526</v>
      </c>
      <c r="NI77" s="382">
        <f t="shared" si="383"/>
        <v>56.515615259999997</v>
      </c>
      <c r="NK77" s="390">
        <f t="shared" si="384"/>
        <v>8.0638509316934037</v>
      </c>
      <c r="NL77" s="390">
        <f t="shared" si="385"/>
        <v>423.65886372504644</v>
      </c>
      <c r="NM77" s="390">
        <f t="shared" si="386"/>
        <v>8.0638509316934037</v>
      </c>
      <c r="NN77" s="390">
        <f t="shared" si="387"/>
        <v>424.30574097027039</v>
      </c>
      <c r="NO77" s="390">
        <f t="shared" si="388"/>
        <v>10.650664598015773</v>
      </c>
      <c r="NP77" s="390">
        <f t="shared" si="389"/>
        <v>428.03683580776504</v>
      </c>
      <c r="NQ77" s="390">
        <f t="shared" si="390"/>
        <v>10.650664598015773</v>
      </c>
      <c r="NR77" s="390">
        <f t="shared" si="391"/>
        <v>428.70252151367418</v>
      </c>
      <c r="NS77" s="390">
        <f t="shared" si="392"/>
        <v>8.133021577675482</v>
      </c>
      <c r="NT77" s="390">
        <f t="shared" si="393"/>
        <v>8.133021577675482</v>
      </c>
      <c r="NU77" s="390">
        <f t="shared" si="394"/>
        <v>10.721952843231172</v>
      </c>
      <c r="NV77" s="390">
        <f t="shared" si="395"/>
        <v>10.721952843231172</v>
      </c>
      <c r="NW77" s="9">
        <f t="shared" si="396"/>
        <v>8.9839928931758291</v>
      </c>
      <c r="NX77" s="9">
        <f>各项系数!$M$9*NK77</f>
        <v>2.4191552795080211</v>
      </c>
      <c r="NY77" s="9">
        <f t="shared" si="397"/>
        <v>8.133021577675482</v>
      </c>
    </row>
    <row r="78" spans="1:389" s="9" customFormat="1" ht="15" hidden="1" customHeight="1">
      <c r="A78" s="65"/>
      <c r="B78" s="66"/>
      <c r="C78" s="67"/>
      <c r="D78" s="58" t="s">
        <v>327</v>
      </c>
      <c r="E78" s="399">
        <f t="shared" si="325"/>
        <v>62.860883189999996</v>
      </c>
      <c r="F78" s="68">
        <f>$F$30</f>
        <v>246.701228113631</v>
      </c>
      <c r="G78" s="58"/>
      <c r="H78" s="16"/>
      <c r="I78" s="62"/>
      <c r="J78" s="62"/>
      <c r="K78" s="16"/>
      <c r="L78" s="107" t="s">
        <v>467</v>
      </c>
      <c r="M78" s="98">
        <f t="shared" si="339"/>
        <v>1.7</v>
      </c>
      <c r="N78" s="98">
        <f t="shared" si="340"/>
        <v>0</v>
      </c>
      <c r="O78" s="58">
        <f t="shared" ref="O78:O87" si="438">$O$36</f>
        <v>0.08</v>
      </c>
      <c r="P78" s="99">
        <v>0.1</v>
      </c>
      <c r="Q78" s="136">
        <f t="shared" si="337"/>
        <v>0.1</v>
      </c>
      <c r="R78" s="151">
        <v>0.8</v>
      </c>
      <c r="S78" s="144" t="str">
        <f>各项系数!$D$43</f>
        <v>钢带</v>
      </c>
      <c r="T78" s="62">
        <v>0.5</v>
      </c>
      <c r="U78" s="62">
        <v>2</v>
      </c>
      <c r="V78" s="143"/>
      <c r="W78" s="145">
        <v>2.9</v>
      </c>
      <c r="X78" s="139">
        <f t="shared" si="338"/>
        <v>0.2</v>
      </c>
      <c r="Y78" s="139"/>
      <c r="Z78" s="169"/>
      <c r="AA78" s="170">
        <f>$AA$30</f>
        <v>1.0149999999999999</v>
      </c>
      <c r="AB78" s="153">
        <f>PI()*EJ78*EJ78/4*EH78*(1-H78)*AA78*各项系数!$F$5*各项系数!$J$4*10^-7</f>
        <v>2.05998769246807</v>
      </c>
      <c r="AC78" s="170">
        <f t="shared" si="327"/>
        <v>246.701228113631</v>
      </c>
      <c r="AD78" s="153">
        <f t="shared" si="341"/>
        <v>232.88407080035392</v>
      </c>
      <c r="AE78" s="153">
        <f>POWER(4*EU78/PI()/EG78/10^-7/EH78/(1-H78)/各项系数!$F$5/各项系数!$J$4,0.5)</f>
        <v>248.54460040818714</v>
      </c>
      <c r="AF78" s="16">
        <v>1</v>
      </c>
      <c r="AG78" s="16">
        <f>IF(EM78=0,0,PI()*ER78*ER78/4*EP78*(1-K78)*(1+AF78)*各项系数!$F$5*各项系数!$J$4*10^-7)</f>
        <v>0</v>
      </c>
      <c r="AH78" s="16">
        <f t="shared" si="328"/>
        <v>0</v>
      </c>
      <c r="AI78" s="69">
        <f t="shared" si="398"/>
        <v>0</v>
      </c>
      <c r="AJ78" s="69">
        <f>IF(OR(EP78="",EP78=0),0,POWER(4*EW78/PI()/EO78/10^-7/EP78/(1-K78)/各项系数!$F$5/各项系数!$J$4,0.5))</f>
        <v>0</v>
      </c>
      <c r="AK78" s="16" t="str">
        <f t="shared" si="342"/>
        <v>√</v>
      </c>
      <c r="AL78" s="16">
        <f t="shared" si="329"/>
        <v>573.26405646052956</v>
      </c>
      <c r="AM78" s="106">
        <f t="shared" si="330"/>
        <v>240</v>
      </c>
      <c r="AN78" s="107" t="s">
        <v>486</v>
      </c>
      <c r="AO78" s="146">
        <f>AP78+各项系数!$M$9*$NK78</f>
        <v>562.023584765225</v>
      </c>
      <c r="AP78" s="146">
        <f>AQ78*(1+$BI78+(VLOOKUP($AM78,$A$12:$B$323,2,0))+各项系数!$J$6+各项系数!$M$5)*(1+$E$2)</f>
        <v>558.86571154247542</v>
      </c>
      <c r="AQ78" s="199">
        <f>AR78+各项系数!$L$9*$NK78</f>
        <v>570.27113422701575</v>
      </c>
      <c r="AR78" s="199">
        <f>AS78*(1+$BJ78+各项系数!$J$5+各项系数!$L$5)</f>
        <v>567.11326100426618</v>
      </c>
      <c r="AS78" s="199">
        <f t="shared" si="399"/>
        <v>555.99339314143742</v>
      </c>
      <c r="AT78" s="146">
        <f>AU78+各项系数!$M$9*$NM78</f>
        <v>567.42973736854196</v>
      </c>
      <c r="AU78" s="146">
        <f>AV78*(1+$BI78+(VLOOKUP($AM78,$A$12:$B$323,2,0))+各项系数!$J$6+各项系数!$M$5)*(1+$E$2)</f>
        <v>564.27186414579239</v>
      </c>
      <c r="AV78" s="199">
        <f>AW78+各项系数!$L$9*$NM78</f>
        <v>575.78761647529836</v>
      </c>
      <c r="AW78" s="199">
        <f>AX78*(1+$BJ78+各项系数!$J$5+各项系数!$L$5)</f>
        <v>572.62974325254879</v>
      </c>
      <c r="AX78" s="199">
        <f t="shared" si="400"/>
        <v>561.40170907112622</v>
      </c>
      <c r="AY78" s="146">
        <f>AZ78+各项系数!$M$9*$NS78</f>
        <v>567.47775244880677</v>
      </c>
      <c r="AZ78" s="146">
        <f>BA78*(1+$BI78+(VLOOKUP($AM78,$A$12:$B$214,2,0))+各项系数!$J$6+各项系数!$M$5)*(1+$E$2)</f>
        <v>564.29593434008734</v>
      </c>
      <c r="BA78" s="199">
        <f>BB78+各项系数!$L$9*$NS78</f>
        <v>575.81217789804828</v>
      </c>
      <c r="BB78" s="199">
        <f>BC78*(1+$BJ78+各项系数!$J$5+各项系数!$L$5)</f>
        <v>572.63035978932885</v>
      </c>
      <c r="BC78" s="199">
        <f t="shared" si="401"/>
        <v>561.40231351894988</v>
      </c>
      <c r="BD78" s="146">
        <f>BE78+各项系数!$M$9*$NS78</f>
        <v>572.89833086392821</v>
      </c>
      <c r="BE78" s="146">
        <f>BF78*(1+$BI78+(VLOOKUP($AM78,$A$12:$B$214,2,0))+各项系数!$J$6+各项系数!$M$5)*(1+$E$2)</f>
        <v>569.71651275520878</v>
      </c>
      <c r="BF78" s="199">
        <f>BG78+各项系数!$L$9*$NS78</f>
        <v>581.34338036245799</v>
      </c>
      <c r="BG78" s="199">
        <f>BH78*(1+$BJ78+各项系数!$J$5+各项系数!$L$5)</f>
        <v>578.16156225373857</v>
      </c>
      <c r="BH78" s="199">
        <f t="shared" si="402"/>
        <v>566.82506103307696</v>
      </c>
      <c r="BI78" s="214"/>
      <c r="BJ78" s="215"/>
      <c r="BK78" s="78" t="s">
        <v>514</v>
      </c>
      <c r="BL78" s="146">
        <f>BM78+各项系数!$M$9*$NM78</f>
        <v>568.27884831209747</v>
      </c>
      <c r="BM78" s="146">
        <f>BN78*(1+$CF78+(VLOOKUP($AM78,$A$12:$B$323,2,0))+各项系数!$J$6+各项系数!$M$5)*(1+$E$2)</f>
        <v>565.12097508934789</v>
      </c>
      <c r="BN78" s="199">
        <f>BO78+各项系数!$L$9*$NM78</f>
        <v>576.65405621362027</v>
      </c>
      <c r="BO78" s="199">
        <f>BP78*(1+$CG78+各项系数!$J$5+各项系数!$L$5)</f>
        <v>573.49618299087069</v>
      </c>
      <c r="BP78" s="199">
        <f t="shared" si="403"/>
        <v>556.79241067074827</v>
      </c>
      <c r="BQ78" s="146">
        <f>BR78+各项系数!$M$9*$NM78</f>
        <v>572.93147411743905</v>
      </c>
      <c r="BR78" s="146">
        <f>BS78*(1+$CF78+(VLOOKUP($AM78,$A$12:$B$323,2,0))+各项系数!$J$6+各项系数!$M$5)*(1+$E$2)</f>
        <v>569.77360089468948</v>
      </c>
      <c r="BS78" s="199">
        <f>BT78+各项系数!$L$9*$NM78</f>
        <v>581.40163356600965</v>
      </c>
      <c r="BT78" s="199">
        <f>BU78*(1+$CG78+各项系数!$J$5+各项系数!$L$5)</f>
        <v>578.24376034326008</v>
      </c>
      <c r="BU78" s="199">
        <f t="shared" si="404"/>
        <v>561.40170907112622</v>
      </c>
      <c r="BV78" s="146">
        <f>BW78+各项系数!$M$9*$NT78</f>
        <v>570.67809194912741</v>
      </c>
      <c r="BW78" s="146">
        <f>BX78*(1+$CF78+(VLOOKUP($AM78,$A$12:$B$214,2,0))+各项系数!$J$6+各项系数!$M$5)*(1+$E$2)</f>
        <v>567.49627384040798</v>
      </c>
      <c r="BX78" s="199">
        <f>BY78+各项系数!$L$9*$NT$12</f>
        <v>579.07783044939595</v>
      </c>
      <c r="BY78" s="199">
        <f>BZ78*(1+$CG78+各项系数!$J$5+各项系数!$L$5)</f>
        <v>579.06956704624099</v>
      </c>
      <c r="BZ78" s="199">
        <f t="shared" si="343"/>
        <v>562.20346315169024</v>
      </c>
      <c r="CA78" s="146">
        <f>CB78+各项系数!$M$9*$NT78</f>
        <v>575.34313285059909</v>
      </c>
      <c r="CB78" s="146">
        <f>CC78*(1+$CF78+(VLOOKUP($AM78,$A$12:$B$214,2,0))+各项系数!$J$6+各项系数!$M$5)*(1+$E$2)</f>
        <v>572.16131474187966</v>
      </c>
      <c r="CC78" s="199">
        <f>CD78+各项系数!$L$9*$NT$12</f>
        <v>583.83807626722421</v>
      </c>
      <c r="CD78" s="199">
        <f>CE78*(1+$CG78+各项系数!$J$5+各项系数!$L$5)</f>
        <v>583.82981286406925</v>
      </c>
      <c r="CE78" s="199">
        <f t="shared" si="405"/>
        <v>566.82506103307696</v>
      </c>
      <c r="CF78" s="214">
        <f t="shared" si="406"/>
        <v>0</v>
      </c>
      <c r="CG78" s="214">
        <f t="shared" si="344"/>
        <v>0.01</v>
      </c>
      <c r="CH78" s="106"/>
      <c r="CI78" s="146">
        <f>CJ78+各项系数!$M$9*$NO78</f>
        <v>572.51438488968427</v>
      </c>
      <c r="CJ78" s="146">
        <f>CK78*(1+$DC78+(VLOOKUP($AM78,$A$12:$B$323,2,0))+各项系数!$J$6+各项系数!$M$5)*(1+$E$2)+各项系数!$M$9*$NK78</f>
        <v>568.33851082222884</v>
      </c>
      <c r="CK78" s="199">
        <f>CL78+各项系数!$L$9*$NO78</f>
        <v>576.71493632599925</v>
      </c>
      <c r="CL78" s="199">
        <f>CM78*(1+$DD78+各项系数!$J$5+各项系数!$L$5)</f>
        <v>572.53906225854382</v>
      </c>
      <c r="CM78" s="199">
        <f t="shared" si="345"/>
        <v>561.31280613582726</v>
      </c>
      <c r="CN78" s="146">
        <f>CO78+各项系数!$M$9*$NO78</f>
        <v>577.71860149976885</v>
      </c>
      <c r="CO78" s="146">
        <f>CP78*(1+$DC78+(VLOOKUP($AM78,$A$12:$B$323,2,0))+各项系数!$J$6+各项系数!$M$5)*(1+$E$2)+各项系数!$M$9*$NK78</f>
        <v>573.54272743231343</v>
      </c>
      <c r="CP78" s="199">
        <f>CQ78+各项系数!$L$9*$NO78</f>
        <v>582.02536143833049</v>
      </c>
      <c r="CQ78" s="199">
        <f>CR78*(1+$DD78+各项系数!$J$5+各项系数!$L$5)</f>
        <v>577.84948737087507</v>
      </c>
      <c r="CR78" s="199">
        <f t="shared" si="346"/>
        <v>566.51910526556378</v>
      </c>
      <c r="CS78" s="146">
        <f>CT78+各项系数!$M$9*$NU78</f>
        <v>574.95481797753064</v>
      </c>
      <c r="CT78" s="146">
        <f t="shared" si="347"/>
        <v>570.75436374433536</v>
      </c>
      <c r="CU78" s="199">
        <f>CV78+各项系数!$L$9*$NU78</f>
        <v>582.40241198401566</v>
      </c>
      <c r="CV78" s="199">
        <f>CW78*(1+$DD78+各项系数!$J$5+各项系数!$L$5)</f>
        <v>578.20195775082038</v>
      </c>
      <c r="CW78" s="199">
        <f t="shared" si="348"/>
        <v>566.86466446158863</v>
      </c>
      <c r="CX78" s="146">
        <f>CY78+各项系数!$M$9*$NU78</f>
        <v>580.5120809594996</v>
      </c>
      <c r="CY78" s="146">
        <f t="shared" si="349"/>
        <v>576.31162672630433</v>
      </c>
      <c r="CZ78" s="199">
        <f>DA78+各项系数!$L$9*$NU78</f>
        <v>588.07308849622893</v>
      </c>
      <c r="DA78" s="199">
        <f>DB78*(1+$DD78+各项系数!$J$5+各项系数!$L$5)</f>
        <v>583.87263426303366</v>
      </c>
      <c r="DB78" s="199">
        <f t="shared" si="350"/>
        <v>572.42415123826834</v>
      </c>
      <c r="DC78" s="214">
        <f t="shared" si="407"/>
        <v>0</v>
      </c>
      <c r="DD78" s="214">
        <f t="shared" si="351"/>
        <v>0</v>
      </c>
      <c r="DE78" s="78" t="s">
        <v>498</v>
      </c>
      <c r="DF78" s="78" t="s">
        <v>513</v>
      </c>
      <c r="DG78" s="146">
        <f>DH78+各项系数!$M$9*$NQ78</f>
        <v>578.84217025968871</v>
      </c>
      <c r="DH78" s="146">
        <f>DI78*(1+$EA78+(VLOOKUP($AM78,$A$12:$B$323,2,0))+各项系数!$J$6+各项系数!$M$5)*(1+$E$2)+各项系数!$M$9*$NK78</f>
        <v>574.66629619223329</v>
      </c>
      <c r="DI78" s="199">
        <f>DJ78+各项系数!$L$9*$NQ78</f>
        <v>583.17186017294262</v>
      </c>
      <c r="DJ78" s="199">
        <f>DK78*(1+$EB78+各项系数!$J$5+各项系数!$L$5)</f>
        <v>578.99598610548719</v>
      </c>
      <c r="DK78" s="199">
        <f t="shared" si="352"/>
        <v>562.13202534513323</v>
      </c>
      <c r="DL78" s="146">
        <f>DM78+各项系数!$M$9*$NQ78</f>
        <v>583.61242910086378</v>
      </c>
      <c r="DM78" s="146">
        <f>DN78*(1+$EA78+(VLOOKUP($AM78,$A$12:$B$323,2,0))+各项系数!$J$6+各项系数!$M$5)*(1+$E$2)+各项系数!$M$9*$NK78</f>
        <v>579.43655503340835</v>
      </c>
      <c r="DN78" s="199">
        <f>DO78+各项系数!$L$9*$NQ78</f>
        <v>588.03947123536614</v>
      </c>
      <c r="DO78" s="199">
        <f>DP78*(1+$EB78+各项系数!$J$5+各项系数!$L$5)</f>
        <v>583.86359716791071</v>
      </c>
      <c r="DP78" s="199">
        <f t="shared" si="353"/>
        <v>566.85786132806868</v>
      </c>
      <c r="DQ78" s="146">
        <f>DR78+各项系数!$M$9*$NV78</f>
        <v>581.33916370432951</v>
      </c>
      <c r="DR78" s="146">
        <f t="shared" si="354"/>
        <v>577.13870947113423</v>
      </c>
      <c r="DS78" s="199">
        <f>DT78+各项系数!$L$9*$NV78</f>
        <v>588.91705048074925</v>
      </c>
      <c r="DT78" s="199">
        <f>DU78*(1+$EB78+各项系数!$J$5+各项系数!$L$5)</f>
        <v>584.71659624755398</v>
      </c>
      <c r="DU78" s="199">
        <f t="shared" si="355"/>
        <v>567.68601577432423</v>
      </c>
      <c r="DV78" s="146">
        <f>DW78+各项系数!$M$9*$NV78</f>
        <v>580.72790816315626</v>
      </c>
      <c r="DW78" s="146">
        <f t="shared" si="356"/>
        <v>576.52745392996098</v>
      </c>
      <c r="DX78" s="199">
        <f>DY78+各项系数!$L$9*$NV78</f>
        <v>588.29332033669493</v>
      </c>
      <c r="DY78" s="199">
        <f>DZ78*(1+$EB78+各项系数!$J$5+各项系数!$L$5)</f>
        <v>584.09286610349966</v>
      </c>
      <c r="DZ78" s="199">
        <f t="shared" si="357"/>
        <v>567.08045252766954</v>
      </c>
      <c r="EA78" s="214">
        <f t="shared" si="324"/>
        <v>0</v>
      </c>
      <c r="EB78" s="214">
        <f t="shared" si="358"/>
        <v>0.01</v>
      </c>
      <c r="EC78" s="235">
        <f t="shared" si="408"/>
        <v>4</v>
      </c>
      <c r="ED78" s="237" t="str">
        <f t="shared" si="331"/>
        <v>4*240</v>
      </c>
      <c r="EE78" s="78">
        <f t="shared" si="239"/>
        <v>240</v>
      </c>
      <c r="EF78" s="78" t="str">
        <f>LOOKUP(EH78,{1,7,10,14,19,24,30,37,48,61},{1,"1+6","2+8","4+10","1+6+12","2+8+14","4+10+16","1+6+12+18","3+9+15+21","1+6+12+18+24"})</f>
        <v>3+9+15+21</v>
      </c>
      <c r="EG78" s="106">
        <f t="shared" si="359"/>
        <v>4</v>
      </c>
      <c r="EH78" s="199">
        <f>VLOOKUP(EE78,各项系数!$B$87:$C$124,2,0)</f>
        <v>48</v>
      </c>
      <c r="EI78" s="106">
        <f>IF(EH78=0,0,VLOOKUP(EH78,各项系数!$D$142:$E$195,2,0))*1</f>
        <v>8.15</v>
      </c>
      <c r="EJ78" s="240">
        <f t="shared" si="409"/>
        <v>246.701228113631</v>
      </c>
      <c r="EK78" s="78">
        <f t="shared" si="332"/>
        <v>0</v>
      </c>
      <c r="EL78" s="78">
        <f t="shared" si="360"/>
        <v>0</v>
      </c>
      <c r="EM78" s="78">
        <f t="shared" si="333"/>
        <v>0</v>
      </c>
      <c r="EN78" s="78">
        <f>IF(EP78=0,0,LOOKUP(EP78,{1,7,10,14,19,24,30,37,48,61},{1,"1+6","2+8","4+10","1+6+12","2+8+14","4+10+16","1+6+12+18","3+9+15+21","1+6+12+18+24"}))</f>
        <v>0</v>
      </c>
      <c r="EO78" s="78">
        <f t="shared" si="334"/>
        <v>0</v>
      </c>
      <c r="EP78" s="78">
        <f>IF(EM78=0,0,IF(EM78&lt;10,1,IF(AND(EM78&gt;=10,EM78&lt;=35),7,LOOKUP(EM78,{50,70,95,120,150,185,240,300},{10,14,19,24,30,37,48,61})*1)))</f>
        <v>0</v>
      </c>
      <c r="EQ78" s="78">
        <f>IF(EP78=0,0,VLOOKUP(EP78,各项系数!$D$142:$E$195,2,0))*1</f>
        <v>0</v>
      </c>
      <c r="ER78" s="78">
        <f t="shared" si="335"/>
        <v>0</v>
      </c>
      <c r="ES78" s="237">
        <f t="shared" si="336"/>
        <v>4</v>
      </c>
      <c r="ET78" s="78">
        <f>VLOOKUP(ES78,各项系数!$D$142:$E$195,2,0)*1</f>
        <v>2.42</v>
      </c>
      <c r="EU78" s="243">
        <f>((各项系数!$F$76/4*$EJ78^2*$EG78*$EH78*1*10^-7)*(1-$H78)*AA78)*(VLOOKUP($EY$9,各项系数!$D$4:$F$143,3,0))*各项系数!$J$4</f>
        <v>8.23995076987228</v>
      </c>
      <c r="EV78" s="244">
        <f>EU78*(VLOOKUP($EY$9,各项系数!$D$4:$F$143,2,0))</f>
        <v>539.71677542663429</v>
      </c>
      <c r="EW78" s="252">
        <f>(IF($EO78=0,0,(各项系数!$F$76/4*$ER78^2*$EO78*$EP78*1*10^-7))*(1-$K78)*$AF78)*(VLOOKUP($EY$9,各项系数!$D$4:$F$143,3,0))*各项系数!$J$4</f>
        <v>0</v>
      </c>
      <c r="EX78" s="253">
        <f>EW78*(VLOOKUP($EY$9,各项系数!$D$4:$F$143,2,0))</f>
        <v>0</v>
      </c>
      <c r="EY78" s="189">
        <f>((各项系数!$F$76/4*$EJ78^2*$EG78*$EH78*1*10^-7)*(1-$H78)*AA78+IF($EO78=0,0,(各项系数!$F$76/4*$ER78^2*$EO78*$EP78*1*10^-7))*(1-$K78)*$AF78)*(VLOOKUP($EY$9,各项系数!$D$4:$F$143,3,0))*各项系数!$J$4</f>
        <v>8.23995076987228</v>
      </c>
      <c r="EZ78" s="106">
        <v>1</v>
      </c>
      <c r="FA78" s="78">
        <f t="shared" si="268"/>
        <v>8.23995076987228</v>
      </c>
      <c r="FB78" s="246">
        <f>FA78*(VLOOKUP($EY$9,各项系数!$D$4:$F$143,2,0))</f>
        <v>539.71677542663429</v>
      </c>
      <c r="FC78" s="257"/>
      <c r="FD78" s="237">
        <f>各项系数!$F$76/4*($MN78^2-MK78^2)*10^-2*(VLOOKUP(L78,各项系数!$D$1:$F$143,3,0))*10^-3*10^2*$EG78*各项系数!$J$4</f>
        <v>0.5098630599606947</v>
      </c>
      <c r="FE78" s="264">
        <f>FD78*VLOOKUP(L78,各项系数!$D$1:$F$143,2,0)</f>
        <v>5.2006032115990859</v>
      </c>
      <c r="FF78" s="106">
        <f>各项系数!$F$76/4*($MO78^2-ML78^2)*10^-2*(VLOOKUP(L78,各项系数!$D$1:$F$143,3,0))*10^-3*10^2*$EO78*各项系数!$J$4</f>
        <v>0</v>
      </c>
      <c r="FG78" s="264">
        <f>FF78*VLOOKUP(L78,各项系数!$D$1:$F$143,2,0)</f>
        <v>0</v>
      </c>
      <c r="FH78" s="237">
        <f t="shared" si="410"/>
        <v>0.5098630599606947</v>
      </c>
      <c r="FI78" s="106">
        <v>1</v>
      </c>
      <c r="FJ78" s="78">
        <f t="shared" si="269"/>
        <v>0.5098630599606947</v>
      </c>
      <c r="FK78" s="264">
        <f>FJ78*VLOOKUP(L78,各项系数!$D$1:$F$143,2,0)</f>
        <v>5.2006032115990859</v>
      </c>
      <c r="FL78" s="237"/>
      <c r="FM78" s="106"/>
      <c r="FN78" s="78"/>
      <c r="FO78" s="264"/>
      <c r="FP78" s="289">
        <f t="shared" si="270"/>
        <v>0.5098630599606947</v>
      </c>
      <c r="FQ78" s="289">
        <f t="shared" si="271"/>
        <v>5.2006032115990859</v>
      </c>
      <c r="FR78" s="283">
        <f>各项系数!$F$76/4*($MQ78^2-$MN78^2*$EG78-$MO78^2*$EO78)*10^-2</f>
        <v>8.0560926138950837</v>
      </c>
      <c r="FS78" s="284">
        <f t="shared" si="411"/>
        <v>1</v>
      </c>
      <c r="FT78" s="285">
        <f t="shared" si="361"/>
        <v>8.0560926138950837</v>
      </c>
      <c r="FU78" s="309">
        <f>$FT78*(VLOOKUP($FT$9,各项系数!$D$1:$F$143,3,0))*10^-3*10^2*各项系数!$J$55</f>
        <v>0.96189745809907279</v>
      </c>
      <c r="FV78" s="310">
        <v>1</v>
      </c>
      <c r="FW78" s="311">
        <f t="shared" si="272"/>
        <v>0.96189745809907279</v>
      </c>
      <c r="FX78" s="290">
        <f>FW78*(VLOOKUP($FT$9,各项系数!$D$1:$F$143,2,0))</f>
        <v>2.8856923742972183</v>
      </c>
      <c r="FY78" s="309">
        <f>IF($BK78&lt;&gt;$FY$9,0,各项系数!$F$76/4*($MS78^2-$MQ78^2)*10^-2*(VLOOKUP($FY$9,各项系数!$D$1:$F$143,3,0))*10^-3*10^2)*各项系数!$J$4</f>
        <v>0</v>
      </c>
      <c r="FZ78" s="310">
        <v>1</v>
      </c>
      <c r="GA78" s="311">
        <f t="shared" si="273"/>
        <v>0</v>
      </c>
      <c r="GB78" s="290">
        <f>GA78*(VLOOKUP($FY$9,各项系数!$D$1:$F$143,2,0))</f>
        <v>0</v>
      </c>
      <c r="GC78" s="309">
        <f>IF($BK78&lt;&gt;$GC$9,0,各项系数!$F$76/4*($MS78^2-$MQ78^2)*10^-2*(VLOOKUP($GC$9,各项系数!$D$1:$F$143,3,0))*10^-3*10^2)*各项系数!$J$4</f>
        <v>1.5515258589058507E-2</v>
      </c>
      <c r="GD78" s="310">
        <v>1</v>
      </c>
      <c r="GE78" s="311">
        <f t="shared" si="274"/>
        <v>1.5515258589058507E-2</v>
      </c>
      <c r="GF78" s="290">
        <f>GE78*(VLOOKUP($GC$9,各项系数!$D$1:$F$143,2,0))</f>
        <v>0.20014683579885476</v>
      </c>
      <c r="GG78" s="309">
        <f>IF($BK78&lt;&gt;$GG$9,0,各项系数!$F$76/4*($MS78^2-$MQ78^2)*10^-2*(VLOOKUP($GG$9,各项系数!$D$1:$F$143,3,0))*10^-3*10^2)*各项系数!$J$4</f>
        <v>0</v>
      </c>
      <c r="GH78" s="310">
        <v>1</v>
      </c>
      <c r="GI78" s="311">
        <f t="shared" si="275"/>
        <v>0</v>
      </c>
      <c r="GJ78" s="290">
        <f>GI78*(VLOOKUP($GG$9,各项系数!$D$1:$F$143,2,0))</f>
        <v>0</v>
      </c>
      <c r="GK78" s="309">
        <f>IF($BK78&lt;&gt;$GK$9,0,各项系数!$F$76/4*($MS78^2-$MQ78^2)*10^-2*(VLOOKUP($GK$9,各项系数!$D$1:$F$143,3,0))*10^-3*10^2)*各项系数!$J$4</f>
        <v>0</v>
      </c>
      <c r="GL78" s="310">
        <v>1</v>
      </c>
      <c r="GM78" s="311">
        <f t="shared" si="276"/>
        <v>0</v>
      </c>
      <c r="GN78" s="290">
        <f>GM78*(VLOOKUP($GK$9,各项系数!$D$1:$F$143,2,0))</f>
        <v>0</v>
      </c>
      <c r="GO78" s="311">
        <f t="shared" si="277"/>
        <v>1.5515258589058507E-2</v>
      </c>
      <c r="GP78" s="311">
        <f t="shared" si="278"/>
        <v>0.20014683579885476</v>
      </c>
      <c r="GQ78" s="317">
        <f>各项系数!$F$76/4*($MU78^2-$MS78^2)*10^-2*(VLOOKUP($S78,各项系数!$D$1:$F$143,3,0))*10^-3*10^2*各项系数!$J$4</f>
        <v>1.0598650573014574</v>
      </c>
      <c r="GR78" s="310">
        <v>1</v>
      </c>
      <c r="GS78" s="311">
        <f t="shared" si="279"/>
        <v>1.0598650573014574</v>
      </c>
      <c r="GT78" s="311">
        <f t="shared" si="200"/>
        <v>0</v>
      </c>
      <c r="GU78" s="311">
        <f>ROUND($GS78*(VLOOKUP($S78,各项系数!$D$1:$F$143,2,0))+$E$3*GS78,GT78)</f>
        <v>6</v>
      </c>
      <c r="GV78" s="315">
        <f>各项系数!$F$76/4*($MT78^2-$MS78^2)*10^-2*(VLOOKUP($GV$9,各项系数!$D$1:$F$143,3,0))*10^-3*10^2*各项系数!$J$4*PI()/4*R78</f>
        <v>7.9816286566173178E-2</v>
      </c>
      <c r="GW78" s="310">
        <v>1</v>
      </c>
      <c r="GX78" s="311">
        <f t="shared" si="280"/>
        <v>7.9816286566173178E-2</v>
      </c>
      <c r="GY78" s="311">
        <f>$GX78*(VLOOKUP($GV$9,各项系数!$D$1:$F$143,2,0))</f>
        <v>5.3875993432166895</v>
      </c>
      <c r="GZ78" s="317">
        <f>各项系数!$F$76/4*($MV78^2-$MS78^2)*10^-2*(VLOOKUP($GZ$9,各项系数!$D$1:$F$143,3,0))*10^-3*10^2*各项系数!$J$4</f>
        <v>0.78814654251745819</v>
      </c>
      <c r="HA78" s="310">
        <v>1</v>
      </c>
      <c r="HB78" s="311">
        <f t="shared" si="412"/>
        <v>0.78814654251745819</v>
      </c>
      <c r="HC78" s="311">
        <f>HB78*(VLOOKUP($GZ$9,各项系数!$D$1:$F$143,2,0))</f>
        <v>13.398491222796789</v>
      </c>
      <c r="HD78" s="317">
        <f>各项系数!$F$76/4*($MW78^2-$MT78^2)*10^-2*(VLOOKUP($HD$9,各项系数!$D$1:$F$143,3,0))*10^-3*10^2*各项系数!$J$4</f>
        <v>0.79024963773710655</v>
      </c>
      <c r="HE78" s="310">
        <v>1</v>
      </c>
      <c r="HF78" s="311">
        <f t="shared" si="413"/>
        <v>0.79024963773710655</v>
      </c>
      <c r="HG78" s="311">
        <f>HF78*(VLOOKUP($HD$9,各项系数!$D$1:$F$143,2,0))</f>
        <v>13.434243841530812</v>
      </c>
      <c r="HH78" s="317">
        <f>各项系数!$F$76/4*($MV78^2-$MS78^2)*10^-2*(VLOOKUP($HH$9,各项系数!$D$1:$F$143,3,0))*10^-3*10^2*各项系数!$J$4</f>
        <v>0.78814654251745819</v>
      </c>
      <c r="HI78" s="311">
        <v>1</v>
      </c>
      <c r="HJ78" s="311">
        <f t="shared" si="414"/>
        <v>0.78814654251745819</v>
      </c>
      <c r="HK78" s="311">
        <f>HJ78*(VLOOKUP($HH$9,各项系数!$D$1:$F$143,2,0))</f>
        <v>13.398491222796789</v>
      </c>
      <c r="HL78" s="317">
        <f>各项系数!$F$76/4*($MW78^2-$MT78^2)*10^-2*(VLOOKUP($HL$9,各项系数!$D$1:$F$143,3,0))*10^-3*10^2*各项系数!$J$4</f>
        <v>0.79024963773710655</v>
      </c>
      <c r="HM78" s="311">
        <v>1</v>
      </c>
      <c r="HN78" s="311">
        <f t="shared" si="362"/>
        <v>0.79024963773710655</v>
      </c>
      <c r="HO78" s="311">
        <f>HN78*(VLOOKUP($HL$9,各项系数!$D$1:$F$143,2,0))</f>
        <v>13.434243841530812</v>
      </c>
      <c r="HP78" s="317">
        <f>各项系数!$F$76/4*($MV78^2-$MS78^2)*10^-2*(VLOOKUP(AN78,各项系数!$D$1:$F$143,3,0))*10^-3*10^2*各项系数!$J$4</f>
        <v>0.79901752931080239</v>
      </c>
      <c r="HQ78" s="310">
        <v>1</v>
      </c>
      <c r="HR78" s="311">
        <f t="shared" si="281"/>
        <v>0.79901752931080239</v>
      </c>
      <c r="HS78" s="311">
        <f>HR78*(VLOOKUP(AN78,各项系数!$D$1:$F$143,2,0))</f>
        <v>7.9901752931080239</v>
      </c>
      <c r="HT78" s="317">
        <f>各项系数!$F$76/4*($MW78^2-$MT78^2)*10^-2*(VLOOKUP(AN78,各项系数!$D$1:$F$143,3,0))*10^-3*10^2*各项系数!$J$4</f>
        <v>0.80114963274037698</v>
      </c>
      <c r="HU78" s="310">
        <v>1</v>
      </c>
      <c r="HV78" s="311">
        <f t="shared" si="282"/>
        <v>0.80114963274037698</v>
      </c>
      <c r="HW78" s="311">
        <f>HV78*(VLOOKUP(AN78,各项系数!$D$1:$F$143,2,0))</f>
        <v>8.0114963274037692</v>
      </c>
      <c r="HX78" s="317">
        <f>各项系数!$F$76/4*($MV78^2-$MS78^2)*10^-2*(VLOOKUP($HX$9,各项系数!$D$1:$F$143,3,0))*10^-3*10^2*各项系数!$J$4</f>
        <v>0.79901752931080239</v>
      </c>
      <c r="HY78" s="311">
        <v>1</v>
      </c>
      <c r="HZ78" s="311">
        <f t="shared" si="283"/>
        <v>0.79901752931080239</v>
      </c>
      <c r="IA78" s="311">
        <f>HZ78*(VLOOKUP($HX$9,各项系数!$D$1:$F$143,2,0))</f>
        <v>8.7891928224188263</v>
      </c>
      <c r="IB78" s="317">
        <f>各项系数!$F$76/4*($MW78^2-$MT78^2)*10^-2*(VLOOKUP($IB$9,各项系数!$D$1:$F$143,3,0))*10^-3*10^2*各项系数!$J$4</f>
        <v>0.80114963274037698</v>
      </c>
      <c r="IC78" s="311">
        <v>1</v>
      </c>
      <c r="ID78" s="311">
        <f t="shared" si="284"/>
        <v>0.80114963274037698</v>
      </c>
      <c r="IE78" s="311">
        <f>ID78*(VLOOKUP($IB$9,各项系数!$D$1:$F$143,2,0))</f>
        <v>8.8126459601441471</v>
      </c>
      <c r="IF78" s="309"/>
      <c r="IG78" s="317">
        <f t="shared" si="415"/>
        <v>0.11481708982226782</v>
      </c>
      <c r="IH78" s="310">
        <v>1</v>
      </c>
      <c r="II78" s="311">
        <f t="shared" si="285"/>
        <v>0.11481708982226782</v>
      </c>
      <c r="IJ78" s="311">
        <f>II78*(VLOOKUP($IG$8,各项系数!$D$1:$F$143,2,0))</f>
        <v>2.8704272455566957</v>
      </c>
      <c r="IK78" s="317">
        <f>(各项系数!$F$76/4*($MX78^2-$MK78^2)*$EG78)*10^-2*(VLOOKUP($IG$8,各项系数!$D$1:$F$143,3,0))*10^-3*10^2*各项系数!$J$4</f>
        <v>0.11481708982226782</v>
      </c>
      <c r="IL78" s="310">
        <f>IK78*(VLOOKUP($IG$8,各项系数!$D$1:$F$143,2,0))</f>
        <v>2.8704272455566957</v>
      </c>
      <c r="IM78" s="311">
        <f>(各项系数!$F$76/4*(($MM78+3*$X78)^2-MM78^2)*$EO78)*10^-2*(VLOOKUP($IG$8,各项系数!$D$1:$F$143,3,0))*10^-3*10^2*各项系数!$J$4</f>
        <v>0</v>
      </c>
      <c r="IN78" s="310">
        <f>IM78*(VLOOKUP($IG$8,各项系数!$D$1:$F$143,2,0))</f>
        <v>0</v>
      </c>
      <c r="IO78" s="317">
        <f>各项系数!$F$76/4*($MZ78^2-$MX78^2)*10^-2*(VLOOKUP(L78,各项系数!$D$1:$F$143,3,0))*10^-3*10^2*$ES78*各项系数!$J$4</f>
        <v>0.52389203045085919</v>
      </c>
      <c r="IP78" s="310">
        <v>1</v>
      </c>
      <c r="IQ78" s="311">
        <f t="shared" si="286"/>
        <v>0.52389203045085919</v>
      </c>
      <c r="IR78" s="290">
        <f>IQ78*(VLOOKUP(L78,各项系数!$D$1:$F$143,2,0))</f>
        <v>5.3436987105987637</v>
      </c>
      <c r="IS78" s="317">
        <f>IF($L78&lt;&gt;$IS$9,0,各项系数!$F$76/4*($MZ78^2-$MX78^2)*10^-2*各项系数!$F$12*10^-3*10^2)*$ES78*各项系数!$J$4</f>
        <v>0</v>
      </c>
      <c r="IT78" s="310">
        <v>1</v>
      </c>
      <c r="IU78" s="311">
        <f t="shared" si="287"/>
        <v>0</v>
      </c>
      <c r="IV78" s="290">
        <f>IU78*各项系数!$E$12</f>
        <v>0</v>
      </c>
      <c r="IW78" s="309">
        <f t="shared" si="288"/>
        <v>0.52389203045085919</v>
      </c>
      <c r="IX78" s="309">
        <f t="shared" si="289"/>
        <v>5.3436987105987637</v>
      </c>
      <c r="IY78" s="339">
        <f>各项系数!$F$76/4*($NB78^2-$MZ78^2*$EG78-$NA78^2*$EO78)*10^-2</f>
        <v>8.4726087723748407</v>
      </c>
      <c r="IZ78" s="284">
        <f t="shared" si="231"/>
        <v>1</v>
      </c>
      <c r="JA78" s="285">
        <f t="shared" si="363"/>
        <v>8.4726087723748407</v>
      </c>
      <c r="JB78" s="289">
        <f>IF($DE78&lt;&gt;$JB$9,0,$JA78*各项系数!$F$32*10^-3*10^2)*各项系数!$J$4</f>
        <v>0</v>
      </c>
      <c r="JC78" s="106">
        <v>1</v>
      </c>
      <c r="JD78" s="78">
        <f t="shared" si="290"/>
        <v>0</v>
      </c>
      <c r="JE78" s="264">
        <f>JD78*各项系数!$E$32</f>
        <v>0</v>
      </c>
      <c r="JF78" s="282">
        <f>IF($DE78&lt;&gt;$JF$9,0,$JA78*VLOOKUP($JF$9,各项系数!$D$4:$F$540,2,0)*10^-3*10^2)*各项系数!$J$4</f>
        <v>4.2151228642564833</v>
      </c>
      <c r="JG78" s="102">
        <v>1</v>
      </c>
      <c r="JH78" s="189">
        <f t="shared" si="364"/>
        <v>4.2151228642564833</v>
      </c>
      <c r="JI78" s="262">
        <f>JH78*VLOOKUP($JF$9,各项系数!$D$4:$F$540,3,0)</f>
        <v>5.0581474371077801</v>
      </c>
      <c r="JJ78" s="289">
        <f t="shared" si="291"/>
        <v>4.2151228642564833</v>
      </c>
      <c r="JK78" s="78">
        <f t="shared" si="292"/>
        <v>5.0581474371077801</v>
      </c>
      <c r="JL78" s="289">
        <f>IF($DF78&lt;&gt;$JL$9,0,各项系数!$F$76/4*($NE78^2-$NC78^2)*10^-2*各项系数!$F$39*10^-3*10^2)*各项系数!$J$4</f>
        <v>6.5782611434719784E-3</v>
      </c>
      <c r="JM78" s="106">
        <v>1</v>
      </c>
      <c r="JN78" s="78">
        <f t="shared" si="293"/>
        <v>6.5782611434719784E-3</v>
      </c>
      <c r="JO78" s="264">
        <f>JN78*各项系数!$E$39</f>
        <v>0.13156522286943956</v>
      </c>
      <c r="JP78" s="289">
        <f>IF($DF78&lt;&gt;$JP$9,0,各项系数!$F$76/4*($NE78^2-$NC78^2)*10^-2*各项系数!$F$36*10^-3*10^2)*各项系数!$J$4</f>
        <v>0</v>
      </c>
      <c r="JQ78" s="106">
        <v>1</v>
      </c>
      <c r="JR78" s="78">
        <f t="shared" si="294"/>
        <v>0</v>
      </c>
      <c r="JS78" s="264">
        <f>JR78*各项系数!$E$36</f>
        <v>0</v>
      </c>
      <c r="JT78" s="289">
        <f>IF($DF78&lt;&gt;$JT$9,0,各项系数!$F$76/4*($NE78^2-$NC78^2)*10^-2*各项系数!$F$40*10^-3*10^2)*各项系数!$J$4</f>
        <v>0</v>
      </c>
      <c r="JU78" s="106">
        <v>1</v>
      </c>
      <c r="JV78" s="78">
        <f t="shared" si="295"/>
        <v>0</v>
      </c>
      <c r="JW78" s="264">
        <f>JV78*各项系数!$E$40</f>
        <v>0</v>
      </c>
      <c r="JX78" s="289">
        <f>IF($DF78&lt;&gt;$JX$9,0,各项系数!$F$76/4*($NE78^2-$NC78^2)*10^-2*各项系数!$F$38*10^-3*10^2)*各项系数!$J$4</f>
        <v>0</v>
      </c>
      <c r="JY78" s="106">
        <v>1</v>
      </c>
      <c r="JZ78" s="78">
        <f t="shared" si="296"/>
        <v>0</v>
      </c>
      <c r="KA78" s="264">
        <f>JZ78*各项系数!$E$38</f>
        <v>0</v>
      </c>
      <c r="KB78" s="289">
        <f>IF($DF78&lt;&gt;$KB$9,0,各项系数!$F$76/4*($NE78^2-$NC78^2)*10^-2*各项系数!$F$41*10^-3*10^2)*各项系数!$J$4</f>
        <v>0</v>
      </c>
      <c r="KC78" s="106">
        <v>1</v>
      </c>
      <c r="KD78" s="78">
        <f t="shared" si="297"/>
        <v>0</v>
      </c>
      <c r="KE78" s="264">
        <f>KD78*各项系数!$E$41</f>
        <v>0</v>
      </c>
      <c r="KF78" s="78">
        <f t="shared" si="298"/>
        <v>6.5782611434719784E-3</v>
      </c>
      <c r="KG78" s="78">
        <f t="shared" si="299"/>
        <v>0.13156522286943956</v>
      </c>
      <c r="KH78" s="237">
        <f>各项系数!$F$76/4*($NG78^2-$NE78^2)*10^-2*各项系数!$F$44*10^-3*10^2*各项系数!$J$4*0.75*$U78</f>
        <v>1.6314875413258532</v>
      </c>
      <c r="KI78" s="106">
        <v>1</v>
      </c>
      <c r="KJ78" s="78">
        <f t="shared" si="300"/>
        <v>1.6314875413258532</v>
      </c>
      <c r="KK78" s="78">
        <f>ROUND(KJ78*各项系数!$E$43,GT78)</f>
        <v>9</v>
      </c>
      <c r="KL78" s="235">
        <f>各项系数!$F$76/4*($NF78^2-$NE78^2)*10^-2*各项系数!$F$46*10^-3*10^2*各项系数!$J$4*PI()/4*R78</f>
        <v>8.1933885799491513E-2</v>
      </c>
      <c r="KM78" s="106">
        <v>1</v>
      </c>
      <c r="KN78" s="78">
        <f t="shared" si="301"/>
        <v>8.1933885799491513E-2</v>
      </c>
      <c r="KO78" s="78">
        <f>KN78*各项系数!$E$46</f>
        <v>5.5305372914656772</v>
      </c>
      <c r="KP78" s="237">
        <f>各项系数!$F$76/4*($NH78^2-$NE78^2)*10^-2*(VLOOKUP($KP$9,各项系数!$D$1:$F$143,3,0))*10^-3*10^2*各项系数!$J$4</f>
        <v>0.80807336972362798</v>
      </c>
      <c r="KQ78" s="106">
        <v>1</v>
      </c>
      <c r="KR78" s="78">
        <f t="shared" si="416"/>
        <v>0.80807336972362798</v>
      </c>
      <c r="KS78" s="78">
        <f>KR78*(VLOOKUP($KP$9,各项系数!$D$1:$F$143,2,0))</f>
        <v>13.737247285301676</v>
      </c>
      <c r="KT78" s="237">
        <f>各项系数!$F$76/4*($NI78^2-$NF78^2)*10^-2*(VLOOKUP($KT$9,各项系数!$D$1:$F$143,3,0))*10^-3*10^2*各项系数!$J$4</f>
        <v>0.81017646494327666</v>
      </c>
      <c r="KU78" s="106">
        <v>1</v>
      </c>
      <c r="KV78" s="78">
        <f t="shared" si="417"/>
        <v>0.81017646494327666</v>
      </c>
      <c r="KW78" s="78">
        <f>KV78*(VLOOKUP($KT$9,各项系数!$D$1:$F$143,2,0))</f>
        <v>13.772999904035704</v>
      </c>
      <c r="KX78" s="78">
        <f>各项系数!$F$76/4*($NH78^2-$NE78^2)*10^-2*(VLOOKUP($KX$9,各项系数!$D$1:$F$143,3,0))*10^-3*10^2*各项系数!$J$4</f>
        <v>0.80807336972362798</v>
      </c>
      <c r="KY78" s="355">
        <v>1</v>
      </c>
      <c r="KZ78" s="78">
        <f t="shared" si="418"/>
        <v>0.80807336972362798</v>
      </c>
      <c r="LA78" s="78">
        <f>KZ78*(VLOOKUP($KX$9,各项系数!$D$1:$F$143,2,0))</f>
        <v>13.737247285301676</v>
      </c>
      <c r="LB78" s="78">
        <f>各项系数!$F$76/4*($NI78^2-$NF78^2)*10^-2*(VLOOKUP($LB$9,各项系数!$D$1:$F$143,3,0))*10^-3*10^2*各项系数!$J$4</f>
        <v>0.81017646494327666</v>
      </c>
      <c r="LC78" s="355">
        <v>1</v>
      </c>
      <c r="LD78" s="78">
        <f t="shared" si="419"/>
        <v>0.81017646494327666</v>
      </c>
      <c r="LE78" s="78">
        <f>LD78*(VLOOKUP($LB$9,各项系数!$D$1:$F$143,2,0))</f>
        <v>13.772999904035704</v>
      </c>
      <c r="LF78" s="237">
        <f>各项系数!$F$76/4*($NH78^2-$NE78^2)*10^-2*(VLOOKUP(AN78,各项系数!$D$1:$F$143,3,0))*10^-3*10^2*各项系数!$J$4</f>
        <v>0.81921920930602288</v>
      </c>
      <c r="LG78" s="106">
        <v>1</v>
      </c>
      <c r="LH78" s="78">
        <f t="shared" si="302"/>
        <v>0.81921920930602288</v>
      </c>
      <c r="LI78" s="78">
        <f>LH78*(VLOOKUP(AN78,各项系数!$D$1:$F$143,2,0))</f>
        <v>8.1921920930602283</v>
      </c>
      <c r="LJ78" s="237">
        <f>各项系数!$F$76/4*($NI78^2-$NF78^2)*10^-2*(VLOOKUP(AN78,各项系数!$D$1:$F$143,3,0))*10^-3*10^2*各项系数!$J$4</f>
        <v>0.82135131273559758</v>
      </c>
      <c r="LK78" s="106">
        <v>1</v>
      </c>
      <c r="LL78" s="78">
        <f t="shared" si="303"/>
        <v>0.82135131273559758</v>
      </c>
      <c r="LM78" s="78">
        <f>LL78*(VLOOKUP(AN78,各项系数!$D$1:$F$143,2,0))</f>
        <v>8.2135131273559754</v>
      </c>
      <c r="LN78" s="78">
        <f>各项系数!$F$76/4*($NH78^2-$NE78^2)*10^-2*(VLOOKUP($LN$9,各项系数!$D$1:$F$143,3,0))*10^-3*10^2*各项系数!$J$4</f>
        <v>0.81921920930602288</v>
      </c>
      <c r="LO78" s="355">
        <v>1</v>
      </c>
      <c r="LP78" s="78">
        <f t="shared" si="304"/>
        <v>0.81921920930602288</v>
      </c>
      <c r="LQ78" s="78">
        <f>LP78*(VLOOKUP($LN$9,各项系数!$D$1:$F$143,2,0))</f>
        <v>9.0114113023662519</v>
      </c>
      <c r="LR78" s="78">
        <f>各项系数!$F$76/4*($NI78^2-$NF78^2)*10^-2*(VLOOKUP($LR$9,各项系数!$D$1:$F$143,3,0))*10^-3*10^2*各项系数!$J$4</f>
        <v>0.82135131273559758</v>
      </c>
      <c r="LS78" s="355">
        <v>1</v>
      </c>
      <c r="LT78" s="78">
        <f t="shared" si="305"/>
        <v>0.82135131273559758</v>
      </c>
      <c r="LU78" s="78">
        <f>LT78*(VLOOKUP($LR$9,各项系数!$D$1:$F$143,2,0))</f>
        <v>9.0348644400915727</v>
      </c>
      <c r="LV78" s="367">
        <f t="shared" si="420"/>
        <v>1270.0116728600001</v>
      </c>
      <c r="LW78" s="367">
        <f t="shared" si="421"/>
        <v>917.76973629999998</v>
      </c>
      <c r="LX78" s="367">
        <f t="shared" si="422"/>
        <v>34.183924894873059</v>
      </c>
      <c r="LY78" s="367">
        <f t="shared" si="423"/>
        <v>352.24193656000011</v>
      </c>
      <c r="LZ78" s="374">
        <f t="shared" si="365"/>
        <v>1</v>
      </c>
      <c r="MA78" s="375">
        <f t="shared" si="366"/>
        <v>1270.0116728600001</v>
      </c>
      <c r="MB78" s="367">
        <f t="shared" si="424"/>
        <v>20.106150079999999</v>
      </c>
      <c r="MC78" s="367">
        <f t="shared" si="425"/>
        <v>0</v>
      </c>
      <c r="MD78" s="367">
        <f t="shared" si="426"/>
        <v>0</v>
      </c>
      <c r="ME78" s="367">
        <f t="shared" si="427"/>
        <v>0</v>
      </c>
      <c r="MF78" s="367">
        <f t="shared" si="428"/>
        <v>0</v>
      </c>
      <c r="MG78" s="379">
        <f t="shared" si="429"/>
        <v>1</v>
      </c>
      <c r="MH78" s="375">
        <f t="shared" si="367"/>
        <v>0</v>
      </c>
      <c r="MI78" s="367">
        <f t="shared" si="430"/>
        <v>0</v>
      </c>
      <c r="MJ78" s="78">
        <f t="shared" si="368"/>
        <v>20.106150079999999</v>
      </c>
      <c r="MK78" s="78">
        <f t="shared" si="431"/>
        <v>20.106150079999999</v>
      </c>
      <c r="ML78" s="78">
        <f t="shared" si="306"/>
        <v>0</v>
      </c>
      <c r="MM78" s="78">
        <f t="shared" si="369"/>
        <v>0</v>
      </c>
      <c r="MN78" s="78">
        <f t="shared" si="370"/>
        <v>23.506150079999998</v>
      </c>
      <c r="MO78" s="189">
        <f t="shared" si="432"/>
        <v>0</v>
      </c>
      <c r="MP78" s="78">
        <f t="shared" si="433"/>
        <v>56.884883189999996</v>
      </c>
      <c r="MQ78" s="78">
        <f t="shared" si="307"/>
        <v>56.884883189999996</v>
      </c>
      <c r="MR78" s="246">
        <f t="shared" si="434"/>
        <v>56.884883189999996</v>
      </c>
      <c r="MS78" s="380">
        <f t="shared" si="371"/>
        <v>57.060883189999998</v>
      </c>
      <c r="MT78" s="382">
        <f t="shared" si="372"/>
        <v>57.220883189999995</v>
      </c>
      <c r="MU78" s="382">
        <f t="shared" si="373"/>
        <v>58.560883189999998</v>
      </c>
      <c r="MV78" s="382">
        <f t="shared" si="374"/>
        <v>62.860883189999996</v>
      </c>
      <c r="MW78" s="382">
        <f t="shared" si="375"/>
        <v>63.020883189999992</v>
      </c>
      <c r="MX78" s="246">
        <f t="shared" si="376"/>
        <v>20.70615008</v>
      </c>
      <c r="MY78" s="246">
        <f t="shared" si="377"/>
        <v>0</v>
      </c>
      <c r="MZ78" s="78">
        <f t="shared" si="378"/>
        <v>24.106150079999999</v>
      </c>
      <c r="NA78" s="78">
        <f t="shared" si="379"/>
        <v>0</v>
      </c>
      <c r="NB78" s="78">
        <f t="shared" si="435"/>
        <v>58.336883190000002</v>
      </c>
      <c r="NC78" s="246">
        <f t="shared" si="308"/>
        <v>58.336883190000002</v>
      </c>
      <c r="ND78" s="246">
        <f t="shared" si="436"/>
        <v>58.336883190000002</v>
      </c>
      <c r="NE78" s="386">
        <f t="shared" si="437"/>
        <v>58.576883190000004</v>
      </c>
      <c r="NF78" s="382">
        <f t="shared" si="380"/>
        <v>58.73688319</v>
      </c>
      <c r="NG78" s="150">
        <f t="shared" si="381"/>
        <v>60.076883190000004</v>
      </c>
      <c r="NH78" s="246">
        <f t="shared" si="382"/>
        <v>64.376883190000001</v>
      </c>
      <c r="NI78" s="382">
        <f t="shared" si="383"/>
        <v>64.536883189999998</v>
      </c>
      <c r="NK78" s="390">
        <f t="shared" si="384"/>
        <v>10.526244075831908</v>
      </c>
      <c r="NL78" s="390">
        <f t="shared" si="385"/>
        <v>555.99339314143742</v>
      </c>
      <c r="NM78" s="390">
        <f t="shared" si="386"/>
        <v>10.526244075831908</v>
      </c>
      <c r="NN78" s="390">
        <f t="shared" si="387"/>
        <v>556.79241067074827</v>
      </c>
      <c r="NO78" s="390">
        <f t="shared" si="388"/>
        <v>13.919580224851387</v>
      </c>
      <c r="NP78" s="390">
        <f t="shared" si="389"/>
        <v>561.31280613582715</v>
      </c>
      <c r="NQ78" s="390">
        <f t="shared" si="390"/>
        <v>13.919580224851387</v>
      </c>
      <c r="NR78" s="390">
        <f t="shared" si="391"/>
        <v>562.13202534513323</v>
      </c>
      <c r="NS78" s="390">
        <f t="shared" si="392"/>
        <v>10.606060362398081</v>
      </c>
      <c r="NT78" s="390">
        <f t="shared" si="393"/>
        <v>10.606060362398081</v>
      </c>
      <c r="NU78" s="390">
        <f t="shared" si="394"/>
        <v>14.001514110650879</v>
      </c>
      <c r="NV78" s="390">
        <f t="shared" si="395"/>
        <v>14.001514110650879</v>
      </c>
      <c r="NW78" s="9">
        <f t="shared" si="396"/>
        <v>11.586109133133366</v>
      </c>
      <c r="NX78" s="9">
        <f>各项系数!$M$9*NK78</f>
        <v>3.1578732227495725</v>
      </c>
      <c r="NY78" s="9">
        <f t="shared" si="397"/>
        <v>10.606060362398082</v>
      </c>
    </row>
    <row r="79" spans="1:389" s="9" customFormat="1" ht="15" hidden="1" customHeight="1">
      <c r="A79" s="65"/>
      <c r="B79" s="66"/>
      <c r="C79" s="67"/>
      <c r="D79" s="58" t="s">
        <v>334</v>
      </c>
      <c r="E79" s="399">
        <f t="shared" si="325"/>
        <v>68.674730460000006</v>
      </c>
      <c r="F79" s="68">
        <f>$F$31</f>
        <v>245.118138379664</v>
      </c>
      <c r="G79" s="58"/>
      <c r="H79" s="16"/>
      <c r="I79" s="62"/>
      <c r="J79" s="62"/>
      <c r="K79" s="16"/>
      <c r="L79" s="107" t="s">
        <v>467</v>
      </c>
      <c r="M79" s="98">
        <f t="shared" si="339"/>
        <v>1.8</v>
      </c>
      <c r="N79" s="98">
        <f t="shared" si="340"/>
        <v>0</v>
      </c>
      <c r="O79" s="58">
        <f t="shared" si="438"/>
        <v>0.08</v>
      </c>
      <c r="P79" s="99">
        <v>0.1</v>
      </c>
      <c r="Q79" s="136">
        <f t="shared" si="337"/>
        <v>0.1</v>
      </c>
      <c r="R79" s="151">
        <v>0.8</v>
      </c>
      <c r="S79" s="144" t="str">
        <f>各项系数!$D$43</f>
        <v>钢带</v>
      </c>
      <c r="T79" s="62">
        <v>0.5</v>
      </c>
      <c r="U79" s="62">
        <v>2</v>
      </c>
      <c r="V79" s="143"/>
      <c r="W79" s="145">
        <v>3.2</v>
      </c>
      <c r="X79" s="139">
        <f t="shared" si="338"/>
        <v>0.2</v>
      </c>
      <c r="Y79" s="139"/>
      <c r="Z79" s="169"/>
      <c r="AA79" s="170">
        <f>$AA$31</f>
        <v>1.02</v>
      </c>
      <c r="AB79" s="153">
        <f>PI()*EJ79*EJ79/4*EH79*(1-H79)*AA79*各项系数!$F$5*各项系数!$J$4*10^-7</f>
        <v>2.5971416022939482</v>
      </c>
      <c r="AC79" s="170">
        <f t="shared" si="327"/>
        <v>245.118138379664</v>
      </c>
      <c r="AD79" s="153">
        <f t="shared" si="341"/>
        <v>293.60996233065771</v>
      </c>
      <c r="AE79" s="153">
        <f>POWER(4*EU79/PI()/EG79/10^-7/EH79/(1-H79)/各项系数!$F$5/各项系数!$J$4,0.5)</f>
        <v>247.5571849047536</v>
      </c>
      <c r="AF79" s="16">
        <v>1</v>
      </c>
      <c r="AG79" s="16">
        <f>IF(EM79=0,0,PI()*ER79*ER79/4*EP79*(1-K79)*(1+AF79)*各项系数!$F$5*各项系数!$J$4*10^-7)</f>
        <v>0</v>
      </c>
      <c r="AH79" s="16">
        <f t="shared" si="328"/>
        <v>0</v>
      </c>
      <c r="AI79" s="69">
        <f t="shared" si="398"/>
        <v>0</v>
      </c>
      <c r="AJ79" s="69">
        <f>IF(OR(EP79="",EP79=0),0,POWER(4*EW79/PI()/EO79/10^-7/EP79/(1-K79)/各项系数!$F$5/各项系数!$J$4,0.5))</f>
        <v>0</v>
      </c>
      <c r="AK79" s="16" t="str">
        <f t="shared" si="342"/>
        <v>√</v>
      </c>
      <c r="AL79" s="16">
        <f t="shared" si="329"/>
        <v>721.41126076367277</v>
      </c>
      <c r="AM79" s="106">
        <f t="shared" si="330"/>
        <v>300</v>
      </c>
      <c r="AN79" s="107" t="s">
        <v>486</v>
      </c>
      <c r="AO79" s="146">
        <f>AP79+各项系数!$M$9*$NK79</f>
        <v>707.26594192516939</v>
      </c>
      <c r="AP79" s="146">
        <f>AQ79*(1+$BI79+(VLOOKUP($AM79,$A$12:$B$323,2,0))+各项系数!$J$6+各项系数!$M$5)*(1+$E$2)</f>
        <v>703.33435907544981</v>
      </c>
      <c r="AQ79" s="199">
        <f>AR79+各项系数!$L$9*$NK79</f>
        <v>717.68812150556107</v>
      </c>
      <c r="AR79" s="199">
        <f>AS79*(1+$BJ79+各项系数!$J$5+各项系数!$L$5)</f>
        <v>713.7565386558415</v>
      </c>
      <c r="AS79" s="199">
        <f t="shared" si="399"/>
        <v>699.76131240768768</v>
      </c>
      <c r="AT79" s="146">
        <f>AU79+各项系数!$M$9*$NM79</f>
        <v>713.77991530149006</v>
      </c>
      <c r="AU79" s="146">
        <f>AV79*(1+$BI79+(VLOOKUP($AM79,$A$12:$B$323,2,0))+各项系数!$J$6+各项系数!$M$5)*(1+$E$2)</f>
        <v>709.84833245177049</v>
      </c>
      <c r="AV79" s="199">
        <f>AW79+各项系数!$L$9*$NM79</f>
        <v>724.3350331140515</v>
      </c>
      <c r="AW79" s="199">
        <f>AX79*(1+$BJ79+各项系数!$J$5+各项系数!$L$5)</f>
        <v>720.40345026433192</v>
      </c>
      <c r="AX79" s="199">
        <f t="shared" si="400"/>
        <v>706.2778924160117</v>
      </c>
      <c r="AY79" s="146">
        <f>AZ79+各项系数!$M$9*$NS79</f>
        <v>713.21803782498694</v>
      </c>
      <c r="AZ79" s="146">
        <f>BA79*(1+$BI79+(VLOOKUP($AM79,$A$12:$B$214,2,0))+各项系数!$J$6+各项系数!$M$5)*(1+$E$2)</f>
        <v>709.26032522670221</v>
      </c>
      <c r="BA79" s="199">
        <f>BB79+各项系数!$L$9*$NS79</f>
        <v>723.73502574153292</v>
      </c>
      <c r="BB79" s="199">
        <f>BC79*(1+$BJ79+各项系数!$J$5+各项系数!$L$5)</f>
        <v>719.77731314324819</v>
      </c>
      <c r="BC79" s="199">
        <f t="shared" si="401"/>
        <v>705.66403249338055</v>
      </c>
      <c r="BD79" s="146">
        <f>BE79+各项系数!$M$9*$NS79</f>
        <v>719.74792933847129</v>
      </c>
      <c r="BE79" s="146">
        <f>BF79*(1+$BI79+(VLOOKUP($AM79,$A$12:$B$214,2,0))+各项系数!$J$6+各项系数!$M$5)*(1+$E$2)</f>
        <v>715.79021674018657</v>
      </c>
      <c r="BF79" s="199">
        <f>BG79+各项系数!$L$9*$NS79</f>
        <v>730.39818034712914</v>
      </c>
      <c r="BG79" s="199">
        <f>BH79*(1+$BJ79+各项系数!$J$5+各项系数!$L$5)</f>
        <v>726.44046774884441</v>
      </c>
      <c r="BH79" s="199">
        <f t="shared" si="402"/>
        <v>712.19653700867093</v>
      </c>
      <c r="BI79" s="214"/>
      <c r="BJ79" s="215"/>
      <c r="BK79" s="78" t="s">
        <v>514</v>
      </c>
      <c r="BL79" s="146">
        <f>BM79+各项系数!$M$9*$NM79</f>
        <v>715.09540366262308</v>
      </c>
      <c r="BM79" s="146">
        <f>BN79*(1+$CF79+(VLOOKUP($AM79,$A$12:$B$323,2,0))+各项系数!$J$6+各项系数!$M$5)*(1+$E$2)</f>
        <v>711.16382081290351</v>
      </c>
      <c r="BN79" s="199">
        <f>BO79+各项系数!$L$9*$NM79</f>
        <v>725.6773681764322</v>
      </c>
      <c r="BO79" s="199">
        <f>BP79*(1+$CG79+各项系数!$J$5+各项系数!$L$5)</f>
        <v>721.74578532671262</v>
      </c>
      <c r="BP79" s="199">
        <f t="shared" si="403"/>
        <v>700.72406342399279</v>
      </c>
      <c r="BQ79" s="146">
        <f>BR79+各项系数!$M$9*$NM79</f>
        <v>720.70143864716704</v>
      </c>
      <c r="BR79" s="146">
        <f>BS79*(1+$CF79+(VLOOKUP($AM79,$A$12:$B$323,2,0))+各项系数!$J$6+各项系数!$M$5)*(1+$E$2)</f>
        <v>716.76985579744746</v>
      </c>
      <c r="BS79" s="199">
        <f>BT79+各项系数!$L$9*$NM79</f>
        <v>731.39781203821167</v>
      </c>
      <c r="BT79" s="199">
        <f>BU79*(1+$CG79+各项系数!$J$5+各项系数!$L$5)</f>
        <v>727.46622918849209</v>
      </c>
      <c r="BU79" s="199">
        <f t="shared" si="404"/>
        <v>706.2778924160117</v>
      </c>
      <c r="BV79" s="146">
        <f>BW79+各项系数!$M$9*$NT79</f>
        <v>717.23726078896561</v>
      </c>
      <c r="BW79" s="146">
        <f>BX79*(1+$CF79+(VLOOKUP($AM79,$A$12:$B$214,2,0))+各项系数!$J$6+各项系数!$M$5)*(1+$E$2)</f>
        <v>713.27954819068088</v>
      </c>
      <c r="BX79" s="199">
        <f>BY79+各项系数!$L$9*$NT$12</f>
        <v>727.83627366396013</v>
      </c>
      <c r="BY79" s="199">
        <f>BZ79*(1+$CG79+各项系数!$J$5+各项系数!$L$5)</f>
        <v>727.82801026080517</v>
      </c>
      <c r="BZ79" s="199">
        <f t="shared" si="343"/>
        <v>706.62913617553897</v>
      </c>
      <c r="CA79" s="146">
        <f>CB79+各项系数!$M$9*$NT79</f>
        <v>722.85699518992897</v>
      </c>
      <c r="CB79" s="146">
        <f>CC79*(1+$CF79+(VLOOKUP($AM79,$A$12:$B$214,2,0))+各项系数!$J$6+各项系数!$M$5)*(1+$E$2)</f>
        <v>718.89928259164424</v>
      </c>
      <c r="CC79" s="199">
        <f>CD79+各项系数!$L$9*$NT$12</f>
        <v>733.570696522086</v>
      </c>
      <c r="CD79" s="199">
        <f>CE79*(1+$CG79+各项系数!$J$5+各项系数!$L$5)</f>
        <v>733.56243311893104</v>
      </c>
      <c r="CE79" s="199">
        <f t="shared" si="405"/>
        <v>712.19653700867093</v>
      </c>
      <c r="CF79" s="214">
        <f t="shared" si="406"/>
        <v>0</v>
      </c>
      <c r="CG79" s="214">
        <f t="shared" si="344"/>
        <v>0.01</v>
      </c>
      <c r="CH79" s="106"/>
      <c r="CI79" s="146">
        <f>CJ79+各项系数!$M$9*$NO79</f>
        <v>719.58493786194902</v>
      </c>
      <c r="CJ79" s="146">
        <f>CK79*(1+$DC79+(VLOOKUP($AM79,$A$12:$B$323,2,0))+各项系数!$J$6+各项系数!$M$5)*(1+$E$2)+各项系数!$M$9*$NK79</f>
        <v>714.45061656908945</v>
      </c>
      <c r="CK79" s="199">
        <f>CL79+各项系数!$L$9*$NO79</f>
        <v>725.01942216262228</v>
      </c>
      <c r="CL79" s="199">
        <f>CM79*(1+$DD79+各项系数!$J$5+各项系数!$L$5)</f>
        <v>719.88510086976271</v>
      </c>
      <c r="CM79" s="199">
        <f t="shared" si="345"/>
        <v>705.7697067350615</v>
      </c>
      <c r="CN79" s="146">
        <f>CO79+各项系数!$M$9*$NO79</f>
        <v>725.87608531470312</v>
      </c>
      <c r="CO79" s="146">
        <f>CP79*(1+$DC79+(VLOOKUP($AM79,$A$12:$B$323,2,0))+各项系数!$J$6+各项系数!$M$5)*(1+$E$2)+各项系数!$M$9*$NK79</f>
        <v>720.74176402184355</v>
      </c>
      <c r="CP79" s="199">
        <f>CQ79+各项系数!$L$9*$NO79</f>
        <v>731.43896037971831</v>
      </c>
      <c r="CQ79" s="199">
        <f>CR79*(1+$DD79+各项系数!$J$5+各项系数!$L$5)</f>
        <v>726.30463908685874</v>
      </c>
      <c r="CR79" s="199">
        <f t="shared" si="346"/>
        <v>712.06337165378307</v>
      </c>
      <c r="CS79" s="146">
        <f>CT79+各项系数!$M$9*$NU79</f>
        <v>721.7495895390615</v>
      </c>
      <c r="CT79" s="146">
        <f t="shared" si="347"/>
        <v>716.58850321786679</v>
      </c>
      <c r="CU79" s="199">
        <f>CV79+各项系数!$L$9*$NU79</f>
        <v>731.21275838557835</v>
      </c>
      <c r="CV79" s="199">
        <f>CW79*(1+$DD79+各项系数!$J$5+各项系数!$L$5)</f>
        <v>726.05167206438364</v>
      </c>
      <c r="CW79" s="199">
        <f t="shared" si="348"/>
        <v>711.81536476900351</v>
      </c>
      <c r="CX79" s="146">
        <f>CY79+各项系数!$M$9*$NU79</f>
        <v>728.43030540217069</v>
      </c>
      <c r="CY79" s="146">
        <f t="shared" si="349"/>
        <v>723.26921908097597</v>
      </c>
      <c r="CZ79" s="199">
        <f>DA79+各项系数!$L$9*$NU79</f>
        <v>738.02981538875099</v>
      </c>
      <c r="DA79" s="199">
        <f>DB79*(1+$DD79+各项系数!$J$5+各项系数!$L$5)</f>
        <v>732.86872906755627</v>
      </c>
      <c r="DB79" s="199">
        <f t="shared" si="350"/>
        <v>718.49875398780023</v>
      </c>
      <c r="DC79" s="214">
        <f t="shared" si="407"/>
        <v>0</v>
      </c>
      <c r="DD79" s="214">
        <f t="shared" si="351"/>
        <v>0</v>
      </c>
      <c r="DE79" s="78" t="s">
        <v>498</v>
      </c>
      <c r="DF79" s="78" t="s">
        <v>513</v>
      </c>
      <c r="DG79" s="146">
        <f>DH79+各项系数!$M$9*$NQ79</f>
        <v>727.49578291295552</v>
      </c>
      <c r="DH79" s="146">
        <f>DI79*(1+$EA79+(VLOOKUP($AM79,$A$12:$B$323,2,0))+各项系数!$J$6+各项系数!$M$5)*(1+$E$2)+各项系数!$M$9*$NK79</f>
        <v>722.36146162009595</v>
      </c>
      <c r="DI79" s="199">
        <f>DJ79+各项系数!$L$9*$NQ79</f>
        <v>733.09171303099629</v>
      </c>
      <c r="DJ79" s="199">
        <f>DK79*(1+$EB79+各项系数!$J$5+各项系数!$L$5)</f>
        <v>727.95739173813672</v>
      </c>
      <c r="DK79" s="199">
        <f t="shared" si="352"/>
        <v>706.75474926032689</v>
      </c>
      <c r="DL79" s="146">
        <f>DM79+各项系数!$M$9*$NQ79</f>
        <v>733.23161986807406</v>
      </c>
      <c r="DM79" s="146">
        <f>DN79*(1+$EA79+(VLOOKUP($AM79,$A$12:$B$323,2,0))+各项系数!$J$6+各项系数!$M$5)*(1+$E$2)+各项系数!$M$9*$NK79</f>
        <v>728.0972985752145</v>
      </c>
      <c r="DN79" s="199">
        <f>DO79+各项系数!$L$9*$NQ79</f>
        <v>738.94460788315814</v>
      </c>
      <c r="DO79" s="199">
        <f>DP79*(1+$EB79+各项系数!$J$5+各项系数!$L$5)</f>
        <v>733.81028659029857</v>
      </c>
      <c r="DP79" s="199">
        <f t="shared" si="353"/>
        <v>712.43717144689185</v>
      </c>
      <c r="DQ79" s="146">
        <f>DR79+各项系数!$M$9*$NV79</f>
        <v>729.72205681971286</v>
      </c>
      <c r="DR79" s="146">
        <f t="shared" si="354"/>
        <v>724.56097049851815</v>
      </c>
      <c r="DS79" s="199">
        <f>DT79+各项系数!$L$9*$NV79</f>
        <v>739.34792908012059</v>
      </c>
      <c r="DT79" s="199">
        <f>DU79*(1+$EB79+各项系数!$J$5+各项系数!$L$5)</f>
        <v>734.18684275892588</v>
      </c>
      <c r="DU79" s="199">
        <f t="shared" si="355"/>
        <v>712.80275996012222</v>
      </c>
      <c r="DV79" s="146">
        <f>DW79+各项系数!$M$9*$NV79</f>
        <v>729.23669611683999</v>
      </c>
      <c r="DW79" s="146">
        <f t="shared" si="356"/>
        <v>724.07560979564528</v>
      </c>
      <c r="DX79" s="199">
        <f>DY79+各项系数!$L$9*$NV79</f>
        <v>738.8526630567809</v>
      </c>
      <c r="DY79" s="199">
        <f>DZ79*(1+$EB79+各项系数!$J$5+各项系数!$L$5)</f>
        <v>733.69157673558618</v>
      </c>
      <c r="DZ79" s="199">
        <f t="shared" si="357"/>
        <v>712.32191916076329</v>
      </c>
      <c r="EA79" s="214">
        <f t="shared" si="324"/>
        <v>0</v>
      </c>
      <c r="EB79" s="214">
        <f t="shared" si="358"/>
        <v>0.01</v>
      </c>
      <c r="EC79" s="235">
        <f t="shared" si="408"/>
        <v>4</v>
      </c>
      <c r="ED79" s="237" t="str">
        <f t="shared" si="331"/>
        <v>4*300</v>
      </c>
      <c r="EE79" s="78">
        <f t="shared" si="239"/>
        <v>300</v>
      </c>
      <c r="EF79" s="78" t="str">
        <f>LOOKUP(EH79,{1,7,10,14,19,24,30,37,48,61},{1,"1+6","2+8","4+10","1+6+12","2+8+14","4+10+16","1+6+12+18","3+9+15+21","1+6+12+18+24"})</f>
        <v>1+6+12+18+24</v>
      </c>
      <c r="EG79" s="106">
        <f t="shared" si="359"/>
        <v>4</v>
      </c>
      <c r="EH79" s="199">
        <f>VLOOKUP(EE79,各项系数!$B$87:$C$124,2,0)</f>
        <v>61</v>
      </c>
      <c r="EI79" s="106">
        <f>IF(EH79=0,0,VLOOKUP(EH79,各项系数!$D$142:$E$195,2,0))*1</f>
        <v>9</v>
      </c>
      <c r="EJ79" s="240">
        <f t="shared" si="409"/>
        <v>245.118138379664</v>
      </c>
      <c r="EK79" s="78">
        <f t="shared" si="332"/>
        <v>0</v>
      </c>
      <c r="EL79" s="78">
        <f t="shared" si="360"/>
        <v>0</v>
      </c>
      <c r="EM79" s="78">
        <f t="shared" si="333"/>
        <v>0</v>
      </c>
      <c r="EN79" s="78">
        <f>IF(EP79=0,0,LOOKUP(EP79,{1,7,10,14,19,24,30,37,48,61},{1,"1+6","2+8","4+10","1+6+12","2+8+14","4+10+16","1+6+12+18","3+9+15+21","1+6+12+18+24"}))</f>
        <v>0</v>
      </c>
      <c r="EO79" s="78">
        <f t="shared" si="334"/>
        <v>0</v>
      </c>
      <c r="EP79" s="78">
        <f>IF(EM79=0,0,IF(EM79&lt;10,1,IF(AND(EM79&gt;=10,EM79&lt;=35),7,LOOKUP(EM79,{50,70,95,120,150,185,240,300},{10,14,19,24,30,37,48,61})*1)))</f>
        <v>0</v>
      </c>
      <c r="EQ79" s="78">
        <f>IF(EP79=0,0,VLOOKUP(EP79,各项系数!$D$142:$E$195,2,0))*1</f>
        <v>0</v>
      </c>
      <c r="ER79" s="78">
        <f t="shared" si="335"/>
        <v>0</v>
      </c>
      <c r="ES79" s="237">
        <f t="shared" si="336"/>
        <v>4</v>
      </c>
      <c r="ET79" s="78">
        <f>VLOOKUP(ES79,各项系数!$D$142:$E$195,2,0)*1</f>
        <v>2.42</v>
      </c>
      <c r="EU79" s="243">
        <f>((各项系数!$F$76/4*$EJ79^2*$EG79*$EH79*1*10^-7)*(1-$H79)*AA79)*(VLOOKUP($EY$9,各项系数!$D$4:$F$143,3,0))*各项系数!$J$4</f>
        <v>10.388566409175793</v>
      </c>
      <c r="EV79" s="244">
        <f>EU79*(VLOOKUP($EY$9,各项系数!$D$4:$F$143,2,0))</f>
        <v>680.45109980101438</v>
      </c>
      <c r="EW79" s="252">
        <f>(IF($EO79=0,0,(各项系数!$F$76/4*$ER79^2*$EO79*$EP79*1*10^-7))*(1-$K79)*$AF79)*(VLOOKUP($EY$9,各项系数!$D$4:$F$143,3,0))*各项系数!$J$4</f>
        <v>0</v>
      </c>
      <c r="EX79" s="253">
        <f>EW79*(VLOOKUP($EY$9,各项系数!$D$4:$F$143,2,0))</f>
        <v>0</v>
      </c>
      <c r="EY79" s="189">
        <f>((各项系数!$F$76/4*$EJ79^2*$EG79*$EH79*1*10^-7)*(1-$H79)*AA79+IF($EO79=0,0,(各项系数!$F$76/4*$ER79^2*$EO79*$EP79*1*10^-7))*(1-$K79)*$AF79)*(VLOOKUP($EY$9,各项系数!$D$4:$F$143,3,0))*各项系数!$J$4</f>
        <v>10.388566409175793</v>
      </c>
      <c r="EZ79" s="106">
        <v>1</v>
      </c>
      <c r="FA79" s="78">
        <f t="shared" si="268"/>
        <v>10.388566409175793</v>
      </c>
      <c r="FB79" s="246">
        <f>FA79*(VLOOKUP($EY$9,各项系数!$D$4:$F$143,2,0))</f>
        <v>680.45109980101438</v>
      </c>
      <c r="FC79" s="257"/>
      <c r="FD79" s="237">
        <f>各项系数!$F$76/4*($MN79^2-MK79^2)*10^-2*(VLOOKUP(L79,各项系数!$D$1:$F$143,3,0))*10^-3*10^2*$EG79*各项系数!$J$4</f>
        <v>0.59071783781795473</v>
      </c>
      <c r="FE79" s="264">
        <f>FD79*VLOOKUP(L79,各项系数!$D$1:$F$143,2,0)</f>
        <v>6.025321945743138</v>
      </c>
      <c r="FF79" s="106">
        <f>各项系数!$F$76/4*($MO79^2-ML79^2)*10^-2*(VLOOKUP(L79,各项系数!$D$1:$F$143,3,0))*10^-3*10^2*$EO79*各项系数!$J$4</f>
        <v>0</v>
      </c>
      <c r="FG79" s="264">
        <f>FF79*VLOOKUP(L79,各项系数!$D$1:$F$143,2,0)</f>
        <v>0</v>
      </c>
      <c r="FH79" s="237">
        <f t="shared" si="410"/>
        <v>0.59071783781795473</v>
      </c>
      <c r="FI79" s="106">
        <v>1</v>
      </c>
      <c r="FJ79" s="78">
        <f t="shared" si="269"/>
        <v>0.59071783781795473</v>
      </c>
      <c r="FK79" s="264">
        <f>FJ79*VLOOKUP(L79,各项系数!$D$1:$F$143,2,0)</f>
        <v>6.025321945743138</v>
      </c>
      <c r="FL79" s="237"/>
      <c r="FM79" s="106"/>
      <c r="FN79" s="78"/>
      <c r="FO79" s="264"/>
      <c r="FP79" s="289">
        <f t="shared" si="270"/>
        <v>0.59071783781795473</v>
      </c>
      <c r="FQ79" s="289">
        <f t="shared" si="271"/>
        <v>6.025321945743138</v>
      </c>
      <c r="FR79" s="283">
        <f>各项系数!$F$76/4*($MQ79^2-$MN79^2*$EG79-$MO79^2*$EO79)*10^-2</f>
        <v>9.6005508548712974</v>
      </c>
      <c r="FS79" s="284">
        <f t="shared" si="411"/>
        <v>1</v>
      </c>
      <c r="FT79" s="285">
        <f t="shared" si="361"/>
        <v>9.6005508548712974</v>
      </c>
      <c r="FU79" s="309">
        <f>$FT79*(VLOOKUP($FT$9,各项系数!$D$1:$F$143,3,0))*10^-3*10^2*各项系数!$J$55</f>
        <v>1.146305772071633</v>
      </c>
      <c r="FV79" s="310">
        <v>1</v>
      </c>
      <c r="FW79" s="311">
        <f t="shared" si="272"/>
        <v>1.146305772071633</v>
      </c>
      <c r="FX79" s="290">
        <f>FW79*(VLOOKUP($FT$9,各项系数!$D$1:$F$143,2,0))</f>
        <v>3.4389173162148987</v>
      </c>
      <c r="FY79" s="309">
        <f>IF($BK79&lt;&gt;$FY$9,0,各项系数!$F$76/4*($MS79^2-$MQ79^2)*10^-2*(VLOOKUP($FY$9,各项系数!$D$1:$F$143,3,0))*10^-3*10^2)*各项系数!$J$4</f>
        <v>0</v>
      </c>
      <c r="FZ79" s="310">
        <v>1</v>
      </c>
      <c r="GA79" s="311">
        <f t="shared" si="273"/>
        <v>0</v>
      </c>
      <c r="GB79" s="290">
        <f>GA79*(VLOOKUP($FY$9,各项系数!$D$1:$F$143,2,0))</f>
        <v>0</v>
      </c>
      <c r="GC79" s="309">
        <f>IF($BK79&lt;&gt;$GC$9,0,各项系数!$F$76/4*($MS79^2-$MQ79^2)*10^-2*(VLOOKUP($GC$9,各项系数!$D$1:$F$143,3,0))*10^-3*10^2)*各项系数!$J$4</f>
        <v>1.6935130361532106E-2</v>
      </c>
      <c r="GD79" s="310">
        <v>1</v>
      </c>
      <c r="GE79" s="311">
        <f t="shared" si="274"/>
        <v>1.6935130361532106E-2</v>
      </c>
      <c r="GF79" s="290">
        <f>GE79*(VLOOKUP($GC$9,各项系数!$D$1:$F$143,2,0))</f>
        <v>0.21846318166376416</v>
      </c>
      <c r="GG79" s="309">
        <f>IF($BK79&lt;&gt;$GG$9,0,各项系数!$F$76/4*($MS79^2-$MQ79^2)*10^-2*(VLOOKUP($GG$9,各项系数!$D$1:$F$143,3,0))*10^-3*10^2)*各项系数!$J$4</f>
        <v>0</v>
      </c>
      <c r="GH79" s="310">
        <v>1</v>
      </c>
      <c r="GI79" s="311">
        <f t="shared" si="275"/>
        <v>0</v>
      </c>
      <c r="GJ79" s="290">
        <f>GI79*(VLOOKUP($GG$9,各项系数!$D$1:$F$143,2,0))</f>
        <v>0</v>
      </c>
      <c r="GK79" s="309">
        <f>IF($BK79&lt;&gt;$GK$9,0,各项系数!$F$76/4*($MS79^2-$MQ79^2)*10^-2*(VLOOKUP($GK$9,各项系数!$D$1:$F$143,3,0))*10^-3*10^2)*各项系数!$J$4</f>
        <v>0</v>
      </c>
      <c r="GL79" s="310">
        <v>1</v>
      </c>
      <c r="GM79" s="311">
        <f t="shared" si="276"/>
        <v>0</v>
      </c>
      <c r="GN79" s="290">
        <f>GM79*(VLOOKUP($GK$9,各项系数!$D$1:$F$143,2,0))</f>
        <v>0</v>
      </c>
      <c r="GO79" s="311">
        <f t="shared" si="277"/>
        <v>1.6935130361532106E-2</v>
      </c>
      <c r="GP79" s="311">
        <f t="shared" si="278"/>
        <v>0.21846318166376416</v>
      </c>
      <c r="GQ79" s="317">
        <f>各项系数!$F$76/4*($MU79^2-$MS79^2)*10^-2*(VLOOKUP($S79,各项系数!$D$1:$F$143,3,0))*10^-3*10^2*各项系数!$J$4</f>
        <v>1.1554521549318102</v>
      </c>
      <c r="GR79" s="310">
        <v>1</v>
      </c>
      <c r="GS79" s="311">
        <f t="shared" si="279"/>
        <v>1.1554521549318102</v>
      </c>
      <c r="GT79" s="311">
        <f t="shared" si="200"/>
        <v>0</v>
      </c>
      <c r="GU79" s="311">
        <f>ROUND($GS79*(VLOOKUP($S79,各项系数!$D$1:$F$143,2,0))+$E$3*GS79,GT79)</f>
        <v>7</v>
      </c>
      <c r="GV79" s="315">
        <f>各项系数!$F$76/4*($MT79^2-$MS79^2)*10^-2*(VLOOKUP($GV$9,各项系数!$D$1:$F$143,3,0))*10^-3*10^2*各项系数!$J$4*PI()/4*R79</f>
        <v>8.7099161883847115E-2</v>
      </c>
      <c r="GW79" s="310">
        <v>1</v>
      </c>
      <c r="GX79" s="311">
        <f t="shared" si="280"/>
        <v>8.7099161883847115E-2</v>
      </c>
      <c r="GY79" s="311">
        <f>$GX79*(VLOOKUP($GV$9,各项系数!$D$1:$F$143,2,0))</f>
        <v>5.87919342715968</v>
      </c>
      <c r="GZ79" s="317">
        <f>各项系数!$F$76/4*($MV79^2-$MS79^2)*10^-2*(VLOOKUP($GZ$9,各项系数!$D$1:$F$143,3,0))*10^-3*10^2*各项系数!$J$4</f>
        <v>0.94965236302208689</v>
      </c>
      <c r="HA79" s="310">
        <v>1</v>
      </c>
      <c r="HB79" s="311">
        <f t="shared" si="412"/>
        <v>0.94965236302208689</v>
      </c>
      <c r="HC79" s="311">
        <f>HB79*(VLOOKUP($GZ$9,各项系数!$D$1:$F$143,2,0))</f>
        <v>16.144090171375478</v>
      </c>
      <c r="HD79" s="317">
        <f>各项系数!$F$76/4*($MW79^2-$MT79^2)*10^-2*(VLOOKUP($HD$9,各项系数!$D$1:$F$143,3,0))*10^-3*10^2*各项系数!$J$4</f>
        <v>0.95197301981618143</v>
      </c>
      <c r="HE79" s="310">
        <v>1</v>
      </c>
      <c r="HF79" s="311">
        <f t="shared" si="413"/>
        <v>0.95197301981618143</v>
      </c>
      <c r="HG79" s="311">
        <f>HF79*(VLOOKUP($HD$9,各项系数!$D$1:$F$143,2,0))</f>
        <v>16.183541336875084</v>
      </c>
      <c r="HH79" s="317">
        <f>各项系数!$F$76/4*($MV79^2-$MS79^2)*10^-2*(VLOOKUP($HH$9,各项系数!$D$1:$F$143,3,0))*10^-3*10^2*各项系数!$J$4</f>
        <v>0.94965236302208689</v>
      </c>
      <c r="HI79" s="311">
        <v>1</v>
      </c>
      <c r="HJ79" s="311">
        <f t="shared" si="414"/>
        <v>0.94965236302208689</v>
      </c>
      <c r="HK79" s="311">
        <f>HJ79*(VLOOKUP($HH$9,各项系数!$D$1:$F$143,2,0))</f>
        <v>16.144090171375478</v>
      </c>
      <c r="HL79" s="317">
        <f>各项系数!$F$76/4*($MW79^2-$MT79^2)*10^-2*(VLOOKUP($HL$9,各项系数!$D$1:$F$143,3,0))*10^-3*10^2*各项系数!$J$4</f>
        <v>0.95197301981618143</v>
      </c>
      <c r="HM79" s="311">
        <v>1</v>
      </c>
      <c r="HN79" s="311">
        <f t="shared" si="362"/>
        <v>0.95197301981618143</v>
      </c>
      <c r="HO79" s="311">
        <f>HN79*(VLOOKUP($HL$9,各项系数!$D$1:$F$143,2,0))</f>
        <v>16.183541336875084</v>
      </c>
      <c r="HP79" s="317">
        <f>各项系数!$F$76/4*($MV79^2-$MS79^2)*10^-2*(VLOOKUP(AN79,各项系数!$D$1:$F$143,3,0))*10^-3*10^2*各项系数!$J$4</f>
        <v>0.96275101630515014</v>
      </c>
      <c r="HQ79" s="310">
        <v>1</v>
      </c>
      <c r="HR79" s="311">
        <f t="shared" si="281"/>
        <v>0.96275101630515014</v>
      </c>
      <c r="HS79" s="311">
        <f>HR79*(VLOOKUP(AN79,各项系数!$D$1:$F$143,2,0))</f>
        <v>9.6275101630515021</v>
      </c>
      <c r="HT79" s="317">
        <f>各项系数!$F$76/4*($MW79^2-$MT79^2)*10^-2*(VLOOKUP(AN79,各项系数!$D$1:$F$143,3,0))*10^-3*10^2*各项系数!$J$4</f>
        <v>0.96510368215847364</v>
      </c>
      <c r="HU79" s="310">
        <v>1</v>
      </c>
      <c r="HV79" s="311">
        <f t="shared" si="282"/>
        <v>0.96510368215847364</v>
      </c>
      <c r="HW79" s="311">
        <f>HV79*(VLOOKUP(AN79,各项系数!$D$1:$F$143,2,0))</f>
        <v>9.6510368215847357</v>
      </c>
      <c r="HX79" s="317">
        <f>各项系数!$F$76/4*($MV79^2-$MS79^2)*10^-2*(VLOOKUP($HX$9,各项系数!$D$1:$F$143,3,0))*10^-3*10^2*各项系数!$J$4</f>
        <v>0.96275101630515014</v>
      </c>
      <c r="HY79" s="311">
        <v>1</v>
      </c>
      <c r="HZ79" s="311">
        <f t="shared" si="283"/>
        <v>0.96275101630515014</v>
      </c>
      <c r="IA79" s="311">
        <f>HZ79*(VLOOKUP($HX$9,各项系数!$D$1:$F$143,2,0))</f>
        <v>10.590261179356652</v>
      </c>
      <c r="IB79" s="317">
        <f>各项系数!$F$76/4*($MW79^2-$MT79^2)*10^-2*(VLOOKUP($IB$9,各项系数!$D$1:$F$143,3,0))*10^-3*10^2*各项系数!$J$4</f>
        <v>0.96510368215847364</v>
      </c>
      <c r="IC79" s="311">
        <v>1</v>
      </c>
      <c r="ID79" s="311">
        <f t="shared" si="284"/>
        <v>0.96510368215847364</v>
      </c>
      <c r="IE79" s="311">
        <f>ID79*(VLOOKUP($IB$9,各项系数!$D$1:$F$143,2,0))</f>
        <v>10.61614050374321</v>
      </c>
      <c r="IF79" s="309"/>
      <c r="IG79" s="317">
        <f t="shared" si="415"/>
        <v>0.12581416538566612</v>
      </c>
      <c r="IH79" s="310">
        <v>1</v>
      </c>
      <c r="II79" s="311">
        <f t="shared" si="285"/>
        <v>0.12581416538566612</v>
      </c>
      <c r="IJ79" s="311">
        <f>II79*(VLOOKUP($IG$8,各项系数!$D$1:$F$143,2,0))</f>
        <v>3.1453541346416527</v>
      </c>
      <c r="IK79" s="317">
        <f>(各项系数!$F$76/4*($MX79^2-$MK79^2)*$EG79)*10^-2*(VLOOKUP($IG$8,各项系数!$D$1:$F$143,3,0))*10^-3*10^2*各项系数!$J$4</f>
        <v>0.12581416538566612</v>
      </c>
      <c r="IL79" s="310">
        <f>IK79*(VLOOKUP($IG$8,各项系数!$D$1:$F$143,2,0))</f>
        <v>3.1453541346416527</v>
      </c>
      <c r="IM79" s="311">
        <f>(各项系数!$F$76/4*(($MM79+3*$X79)^2-MM79^2)*$EO79)*10^-2*(VLOOKUP($IG$8,各项系数!$D$1:$F$143,3,0))*10^-3*10^2*各项系数!$J$4</f>
        <v>0</v>
      </c>
      <c r="IN79" s="310">
        <f>IM79*(VLOOKUP($IG$8,各项系数!$D$1:$F$143,2,0))</f>
        <v>0</v>
      </c>
      <c r="IO79" s="317">
        <f>各项系数!$F$76/4*($MZ79^2-$MX79^2)*10^-2*(VLOOKUP(L79,各项系数!$D$1:$F$143,3,0))*10^-3*10^2*$ES79*各项系数!$J$4</f>
        <v>0.60557204186636426</v>
      </c>
      <c r="IP79" s="310">
        <v>1</v>
      </c>
      <c r="IQ79" s="311">
        <f t="shared" si="286"/>
        <v>0.60557204186636426</v>
      </c>
      <c r="IR79" s="290">
        <f>IQ79*(VLOOKUP(L79,各项系数!$D$1:$F$143,2,0))</f>
        <v>6.1768348270369149</v>
      </c>
      <c r="IS79" s="317">
        <f>IF($L79&lt;&gt;$IS$9,0,各项系数!$F$76/4*($MZ79^2-$MX79^2)*10^-2*各项系数!$F$12*10^-3*10^2)*$ES79*各项系数!$J$4</f>
        <v>0</v>
      </c>
      <c r="IT79" s="310">
        <v>1</v>
      </c>
      <c r="IU79" s="311">
        <f t="shared" si="287"/>
        <v>0</v>
      </c>
      <c r="IV79" s="290">
        <f>IU79*各项系数!$E$12</f>
        <v>0</v>
      </c>
      <c r="IW79" s="309">
        <f t="shared" si="288"/>
        <v>0.60557204186636426</v>
      </c>
      <c r="IX79" s="309">
        <f t="shared" si="289"/>
        <v>6.1768348270369149</v>
      </c>
      <c r="IY79" s="339">
        <f>各项系数!$F$76/4*($NB79^2-$MZ79^2*$EG79-$NA79^2*$EO79)*10^-2</f>
        <v>10.05476217652695</v>
      </c>
      <c r="IZ79" s="284">
        <f t="shared" si="231"/>
        <v>1</v>
      </c>
      <c r="JA79" s="285">
        <f t="shared" si="363"/>
        <v>10.05476217652695</v>
      </c>
      <c r="JB79" s="289">
        <f>IF($DE79&lt;&gt;$JB$9,0,$JA79*各项系数!$F$32*10^-3*10^2)*各项系数!$J$4</f>
        <v>0</v>
      </c>
      <c r="JC79" s="106">
        <v>1</v>
      </c>
      <c r="JD79" s="78">
        <f t="shared" si="290"/>
        <v>0</v>
      </c>
      <c r="JE79" s="264">
        <f>JD79*各项系数!$E$32</f>
        <v>0</v>
      </c>
      <c r="JF79" s="282">
        <f>IF($DE79&lt;&gt;$JF$9,0,$JA79*VLOOKUP($JF$9,各项系数!$D$4:$F$540,2,0)*10^-3*10^2)*各项系数!$J$4</f>
        <v>5.0022441828221575</v>
      </c>
      <c r="JG79" s="102">
        <v>1</v>
      </c>
      <c r="JH79" s="189">
        <f t="shared" si="364"/>
        <v>5.0022441828221575</v>
      </c>
      <c r="JI79" s="262">
        <f>JH79*VLOOKUP($JF$9,各项系数!$D$4:$F$540,3,0)</f>
        <v>6.0026930193865891</v>
      </c>
      <c r="JJ79" s="289">
        <f t="shared" si="291"/>
        <v>5.0022441828221575</v>
      </c>
      <c r="JK79" s="78">
        <f t="shared" si="292"/>
        <v>6.0026930193865891</v>
      </c>
      <c r="JL79" s="289">
        <f>IF($DF79&lt;&gt;$JL$9,0,各项系数!$F$76/4*($NE79^2-$NC79^2)*10^-2*各项系数!$F$39*10^-3*10^2)*各项系数!$J$4</f>
        <v>7.1649850163948078E-3</v>
      </c>
      <c r="JM79" s="106">
        <v>1</v>
      </c>
      <c r="JN79" s="78">
        <f t="shared" si="293"/>
        <v>7.1649850163948078E-3</v>
      </c>
      <c r="JO79" s="264">
        <f>JN79*各项系数!$E$39</f>
        <v>0.14329970032789616</v>
      </c>
      <c r="JP79" s="289">
        <f>IF($DF79&lt;&gt;$JP$9,0,各项系数!$F$76/4*($NE79^2-$NC79^2)*10^-2*各项系数!$F$36*10^-3*10^2)*各项系数!$J$4</f>
        <v>0</v>
      </c>
      <c r="JQ79" s="106">
        <v>1</v>
      </c>
      <c r="JR79" s="78">
        <f t="shared" si="294"/>
        <v>0</v>
      </c>
      <c r="JS79" s="264">
        <f>JR79*各项系数!$E$36</f>
        <v>0</v>
      </c>
      <c r="JT79" s="289">
        <f>IF($DF79&lt;&gt;$JT$9,0,各项系数!$F$76/4*($NE79^2-$NC79^2)*10^-2*各项系数!$F$40*10^-3*10^2)*各项系数!$J$4</f>
        <v>0</v>
      </c>
      <c r="JU79" s="106">
        <v>1</v>
      </c>
      <c r="JV79" s="78">
        <f t="shared" si="295"/>
        <v>0</v>
      </c>
      <c r="JW79" s="264">
        <f>JV79*各项系数!$E$40</f>
        <v>0</v>
      </c>
      <c r="JX79" s="289">
        <f>IF($DF79&lt;&gt;$JX$9,0,各项系数!$F$76/4*($NE79^2-$NC79^2)*10^-2*各项系数!$F$38*10^-3*10^2)*各项系数!$J$4</f>
        <v>0</v>
      </c>
      <c r="JY79" s="106">
        <v>1</v>
      </c>
      <c r="JZ79" s="78">
        <f t="shared" si="296"/>
        <v>0</v>
      </c>
      <c r="KA79" s="264">
        <f>JZ79*各项系数!$E$38</f>
        <v>0</v>
      </c>
      <c r="KB79" s="289">
        <f>IF($DF79&lt;&gt;$KB$9,0,各项系数!$F$76/4*($NE79^2-$NC79^2)*10^-2*各项系数!$F$41*10^-3*10^2)*各项系数!$J$4</f>
        <v>0</v>
      </c>
      <c r="KC79" s="106">
        <v>1</v>
      </c>
      <c r="KD79" s="78">
        <f t="shared" si="297"/>
        <v>0</v>
      </c>
      <c r="KE79" s="264">
        <f>KD79*各项系数!$E$41</f>
        <v>0</v>
      </c>
      <c r="KF79" s="78">
        <f t="shared" si="298"/>
        <v>7.1649850163948078E-3</v>
      </c>
      <c r="KG79" s="78">
        <f t="shared" si="299"/>
        <v>0.14329970032789616</v>
      </c>
      <c r="KH79" s="237">
        <f>各项系数!$F$76/4*($NG79^2-$NE79^2)*10^-2*各项系数!$F$44*10^-3*10^2*各项系数!$J$4*0.75*$U79</f>
        <v>1.7748681877713823</v>
      </c>
      <c r="KI79" s="106">
        <v>1</v>
      </c>
      <c r="KJ79" s="78">
        <f t="shared" si="300"/>
        <v>1.7748681877713823</v>
      </c>
      <c r="KK79" s="78">
        <f>ROUND(KJ79*各项系数!$E$43,GT79)</f>
        <v>10</v>
      </c>
      <c r="KL79" s="235">
        <f>各项系数!$F$76/4*($NF79^2-$NE79^2)*10^-2*各项系数!$F$46*10^-3*10^2*各项系数!$J$4*PI()/4*R79</f>
        <v>8.9216761117167434E-2</v>
      </c>
      <c r="KM79" s="106">
        <v>1</v>
      </c>
      <c r="KN79" s="78">
        <f t="shared" si="301"/>
        <v>8.9216761117167434E-2</v>
      </c>
      <c r="KO79" s="78">
        <f>KN79*各项系数!$E$46</f>
        <v>6.0221313754088017</v>
      </c>
      <c r="KP79" s="237">
        <f>各项系数!$F$76/4*($NH79^2-$NE79^2)*10^-2*(VLOOKUP($KP$9,各项系数!$D$1:$F$143,3,0))*10^-3*10^2*各项系数!$J$4</f>
        <v>0.97164058614613513</v>
      </c>
      <c r="KQ79" s="106">
        <v>1</v>
      </c>
      <c r="KR79" s="78">
        <f t="shared" si="416"/>
        <v>0.97164058614613513</v>
      </c>
      <c r="KS79" s="78">
        <f>KR79*(VLOOKUP($KP$9,各项系数!$D$1:$F$143,2,0))</f>
        <v>16.517889964484297</v>
      </c>
      <c r="KT79" s="237">
        <f>各项系数!$F$76/4*($NI79^2-$NF79^2)*10^-2*(VLOOKUP($KT$9,各项系数!$D$1:$F$143,3,0))*10^-3*10^2*各项系数!$J$4</f>
        <v>0.97396124294022979</v>
      </c>
      <c r="KU79" s="106">
        <v>1</v>
      </c>
      <c r="KV79" s="78">
        <f t="shared" si="417"/>
        <v>0.97396124294022979</v>
      </c>
      <c r="KW79" s="78">
        <f>KV79*(VLOOKUP($KT$9,各项系数!$D$1:$F$143,2,0))</f>
        <v>16.557341129983907</v>
      </c>
      <c r="KX79" s="78">
        <f>各项系数!$F$76/4*($NH79^2-$NE79^2)*10^-2*(VLOOKUP($KX$9,各项系数!$D$1:$F$143,3,0))*10^-3*10^2*各项系数!$J$4</f>
        <v>0.97164058614613513</v>
      </c>
      <c r="KY79" s="355">
        <v>1</v>
      </c>
      <c r="KZ79" s="78">
        <f t="shared" si="418"/>
        <v>0.97164058614613513</v>
      </c>
      <c r="LA79" s="78">
        <f>KZ79*(VLOOKUP($KX$9,各项系数!$D$1:$F$143,2,0))</f>
        <v>16.517889964484297</v>
      </c>
      <c r="LB79" s="78">
        <f>各项系数!$F$76/4*($NI79^2-$NF79^2)*10^-2*(VLOOKUP($LB$9,各项系数!$D$1:$F$143,3,0))*10^-3*10^2*各项系数!$J$4</f>
        <v>0.97396124294022979</v>
      </c>
      <c r="LC79" s="355">
        <v>1</v>
      </c>
      <c r="LD79" s="78">
        <f t="shared" si="419"/>
        <v>0.97396124294022979</v>
      </c>
      <c r="LE79" s="78">
        <f>LD79*(VLOOKUP($LB$9,各项系数!$D$1:$F$143,2,0))</f>
        <v>16.557341129983907</v>
      </c>
      <c r="LF79" s="237">
        <f>各项系数!$F$76/4*($NH79^2-$NE79^2)*10^-2*(VLOOKUP(AN79,各项系数!$D$1:$F$143,3,0))*10^-3*10^2*各项系数!$J$4</f>
        <v>0.98504252526539227</v>
      </c>
      <c r="LG79" s="106">
        <v>1</v>
      </c>
      <c r="LH79" s="78">
        <f t="shared" si="302"/>
        <v>0.98504252526539227</v>
      </c>
      <c r="LI79" s="78">
        <f>LH79*(VLOOKUP(AN79,各项系数!$D$1:$F$143,2,0))</f>
        <v>9.8504252526539222</v>
      </c>
      <c r="LJ79" s="237">
        <f>各项系数!$F$76/4*($NI79^2-$NF79^2)*10^-2*(VLOOKUP(AN79,各项系数!$D$1:$F$143,3,0))*10^-3*10^2*各项系数!$J$4</f>
        <v>0.98739519111871565</v>
      </c>
      <c r="LK79" s="106">
        <v>1</v>
      </c>
      <c r="LL79" s="78">
        <f t="shared" si="303"/>
        <v>0.98739519111871565</v>
      </c>
      <c r="LM79" s="78">
        <f>LL79*(VLOOKUP(AN79,各项系数!$D$1:$F$143,2,0))</f>
        <v>9.8739519111871559</v>
      </c>
      <c r="LN79" s="78">
        <f>各项系数!$F$76/4*($NH79^2-$NE79^2)*10^-2*(VLOOKUP($LN$9,各项系数!$D$1:$F$143,3,0))*10^-3*10^2*各项系数!$J$4</f>
        <v>0.98504252526539227</v>
      </c>
      <c r="LO79" s="355">
        <v>1</v>
      </c>
      <c r="LP79" s="78">
        <f t="shared" si="304"/>
        <v>0.98504252526539227</v>
      </c>
      <c r="LQ79" s="78">
        <f>LP79*(VLOOKUP($LN$9,各项系数!$D$1:$F$143,2,0))</f>
        <v>10.835467777919314</v>
      </c>
      <c r="LR79" s="78">
        <f>各项系数!$F$76/4*($NI79^2-$NF79^2)*10^-2*(VLOOKUP($LR$9,各项系数!$D$1:$F$143,3,0))*10^-3*10^2*各项系数!$J$4</f>
        <v>0.98739519111871565</v>
      </c>
      <c r="LS79" s="355">
        <v>1</v>
      </c>
      <c r="LT79" s="78">
        <f t="shared" si="305"/>
        <v>0.98739519111871565</v>
      </c>
      <c r="LU79" s="78">
        <f>LT79*(VLOOKUP($LR$9,各项系数!$D$1:$F$143,2,0))</f>
        <v>10.861347102305873</v>
      </c>
      <c r="LV79" s="367">
        <f t="shared" si="420"/>
        <v>1528.92361781</v>
      </c>
      <c r="LW79" s="367">
        <f t="shared" si="421"/>
        <v>1151.4116134200001</v>
      </c>
      <c r="LX79" s="367">
        <f t="shared" si="422"/>
        <v>38.288677157531311</v>
      </c>
      <c r="LY79" s="367">
        <f t="shared" si="423"/>
        <v>377.5120043899999</v>
      </c>
      <c r="LZ79" s="374">
        <f t="shared" si="365"/>
        <v>1</v>
      </c>
      <c r="MA79" s="375">
        <f t="shared" si="366"/>
        <v>1528.92361781</v>
      </c>
      <c r="MB79" s="367">
        <f t="shared" si="424"/>
        <v>22.060632420000001</v>
      </c>
      <c r="MC79" s="367">
        <f t="shared" si="425"/>
        <v>0</v>
      </c>
      <c r="MD79" s="367">
        <f t="shared" si="426"/>
        <v>0</v>
      </c>
      <c r="ME79" s="367">
        <f t="shared" si="427"/>
        <v>0</v>
      </c>
      <c r="MF79" s="367">
        <f t="shared" si="428"/>
        <v>0</v>
      </c>
      <c r="MG79" s="379">
        <f t="shared" si="429"/>
        <v>1</v>
      </c>
      <c r="MH79" s="375">
        <f t="shared" si="367"/>
        <v>0</v>
      </c>
      <c r="MI79" s="367">
        <f t="shared" si="430"/>
        <v>0</v>
      </c>
      <c r="MJ79" s="78">
        <f t="shared" si="368"/>
        <v>22.060632420000001</v>
      </c>
      <c r="MK79" s="78">
        <f t="shared" si="431"/>
        <v>22.060632420000001</v>
      </c>
      <c r="ML79" s="78">
        <f t="shared" si="306"/>
        <v>0</v>
      </c>
      <c r="MM79" s="78">
        <f t="shared" si="369"/>
        <v>0</v>
      </c>
      <c r="MN79" s="78">
        <f t="shared" si="370"/>
        <v>25.660632420000002</v>
      </c>
      <c r="MO79" s="189">
        <f t="shared" si="432"/>
        <v>0</v>
      </c>
      <c r="MP79" s="78">
        <f t="shared" si="433"/>
        <v>62.098730459999999</v>
      </c>
      <c r="MQ79" s="78">
        <f t="shared" si="307"/>
        <v>62.098730459999999</v>
      </c>
      <c r="MR79" s="246">
        <f t="shared" si="434"/>
        <v>62.098730459999999</v>
      </c>
      <c r="MS79" s="380">
        <f t="shared" si="371"/>
        <v>62.274730460000001</v>
      </c>
      <c r="MT79" s="382">
        <f t="shared" si="372"/>
        <v>62.434730459999997</v>
      </c>
      <c r="MU79" s="382">
        <f t="shared" si="373"/>
        <v>63.774730460000001</v>
      </c>
      <c r="MV79" s="382">
        <f t="shared" si="374"/>
        <v>68.674730460000006</v>
      </c>
      <c r="MW79" s="382">
        <f t="shared" si="375"/>
        <v>68.834730460000003</v>
      </c>
      <c r="MX79" s="246">
        <f t="shared" si="376"/>
        <v>22.660632420000002</v>
      </c>
      <c r="MY79" s="246">
        <f t="shared" si="377"/>
        <v>0</v>
      </c>
      <c r="MZ79" s="78">
        <f t="shared" si="378"/>
        <v>26.260632420000004</v>
      </c>
      <c r="NA79" s="78">
        <f t="shared" si="379"/>
        <v>0</v>
      </c>
      <c r="NB79" s="78">
        <f t="shared" si="435"/>
        <v>63.550730459999997</v>
      </c>
      <c r="NC79" s="246">
        <f t="shared" si="308"/>
        <v>63.550730459999997</v>
      </c>
      <c r="ND79" s="246">
        <f t="shared" si="436"/>
        <v>63.550730459999997</v>
      </c>
      <c r="NE79" s="386">
        <f t="shared" si="437"/>
        <v>63.790730459999999</v>
      </c>
      <c r="NF79" s="382">
        <f t="shared" si="380"/>
        <v>63.950730459999996</v>
      </c>
      <c r="NG79" s="150">
        <f t="shared" si="381"/>
        <v>65.290730459999992</v>
      </c>
      <c r="NH79" s="246">
        <f t="shared" si="382"/>
        <v>70.190730459999997</v>
      </c>
      <c r="NI79" s="382">
        <f t="shared" si="383"/>
        <v>70.350730459999994</v>
      </c>
      <c r="NK79" s="390">
        <f t="shared" si="384"/>
        <v>13.105276165732063</v>
      </c>
      <c r="NL79" s="390">
        <f t="shared" si="385"/>
        <v>699.76131240768768</v>
      </c>
      <c r="NM79" s="390">
        <f t="shared" si="386"/>
        <v>13.105276165732063</v>
      </c>
      <c r="NN79" s="390">
        <f t="shared" si="387"/>
        <v>700.72406342399279</v>
      </c>
      <c r="NO79" s="390">
        <f t="shared" si="388"/>
        <v>17.114404309531768</v>
      </c>
      <c r="NP79" s="390">
        <f t="shared" si="389"/>
        <v>705.76970673506139</v>
      </c>
      <c r="NQ79" s="390">
        <f t="shared" si="390"/>
        <v>17.114404309531768</v>
      </c>
      <c r="NR79" s="390">
        <f t="shared" si="391"/>
        <v>706.75474926032689</v>
      </c>
      <c r="NS79" s="390">
        <f t="shared" si="392"/>
        <v>13.19237532761591</v>
      </c>
      <c r="NT79" s="390">
        <f t="shared" si="393"/>
        <v>13.19237532761591</v>
      </c>
      <c r="NU79" s="390">
        <f t="shared" si="394"/>
        <v>17.203621070648936</v>
      </c>
      <c r="NV79" s="390">
        <f t="shared" si="395"/>
        <v>17.203621070648936</v>
      </c>
      <c r="NW79" s="9">
        <f t="shared" si="396"/>
        <v>14.260728320663873</v>
      </c>
      <c r="NX79" s="9">
        <f>各项系数!$M$9*NK79</f>
        <v>3.9315828497196188</v>
      </c>
      <c r="NY79" s="9">
        <f t="shared" si="397"/>
        <v>13.19237532761591</v>
      </c>
    </row>
    <row r="80" spans="1:389" s="9" customFormat="1" ht="15" hidden="1" customHeight="1">
      <c r="A80" s="65"/>
      <c r="B80" s="66"/>
      <c r="C80" s="67"/>
      <c r="D80" s="58" t="s">
        <v>340</v>
      </c>
      <c r="E80" s="399">
        <f t="shared" si="325"/>
        <v>77.226063400000001</v>
      </c>
      <c r="F80" s="68">
        <f>$F$32</f>
        <v>277.18119106381198</v>
      </c>
      <c r="G80" s="58"/>
      <c r="H80" s="16"/>
      <c r="I80" s="62"/>
      <c r="J80" s="62"/>
      <c r="K80" s="16"/>
      <c r="L80" s="107" t="s">
        <v>467</v>
      </c>
      <c r="M80" s="98">
        <f t="shared" si="339"/>
        <v>2</v>
      </c>
      <c r="N80" s="98">
        <f t="shared" si="340"/>
        <v>0</v>
      </c>
      <c r="O80" s="58">
        <f t="shared" si="438"/>
        <v>0.08</v>
      </c>
      <c r="P80" s="99">
        <v>0.1</v>
      </c>
      <c r="Q80" s="136">
        <f t="shared" si="337"/>
        <v>0.1</v>
      </c>
      <c r="R80" s="151">
        <v>0.8</v>
      </c>
      <c r="S80" s="144" t="str">
        <f>各项系数!$D$43</f>
        <v>钢带</v>
      </c>
      <c r="T80" s="62">
        <v>0.5</v>
      </c>
      <c r="U80" s="62">
        <v>2</v>
      </c>
      <c r="V80" s="143"/>
      <c r="W80" s="145">
        <v>3.5</v>
      </c>
      <c r="X80" s="139">
        <f t="shared" si="338"/>
        <v>0.2</v>
      </c>
      <c r="Y80" s="139"/>
      <c r="Z80" s="169"/>
      <c r="AA80" s="170">
        <f>$AA$32</f>
        <v>1.02</v>
      </c>
      <c r="AB80" s="153">
        <f>PI()*EJ80*EJ80/4*EH80*(1-H80)*AA80*各项系数!$F$5*各项系数!$J$4*10^-7</f>
        <v>3.3210257510184449</v>
      </c>
      <c r="AC80" s="170">
        <f t="shared" si="327"/>
        <v>277.18119106381198</v>
      </c>
      <c r="AD80" s="153">
        <f t="shared" si="341"/>
        <v>375.44593055473609</v>
      </c>
      <c r="AE80" s="153">
        <f>POWER(4*EU80/PI()/EG80/10^-7/EH80/(1-H80)/各项系数!$F$5/各项系数!$J$4,0.5)</f>
        <v>279.93928079700521</v>
      </c>
      <c r="AF80" s="16">
        <v>1</v>
      </c>
      <c r="AG80" s="16">
        <f>IF(EM80=0,0,PI()*ER80*ER80/4*EP80*(1-K80)*(1+AF80)*各项系数!$F$5*各项系数!$J$4*10^-7)</f>
        <v>0</v>
      </c>
      <c r="AH80" s="16">
        <f t="shared" si="328"/>
        <v>0</v>
      </c>
      <c r="AI80" s="69">
        <f t="shared" si="398"/>
        <v>0</v>
      </c>
      <c r="AJ80" s="69">
        <f>IF(OR(EP80="",EP80=0),0,POWER(4*EW80/PI()/EO80/10^-7/EP80/(1-K80)/各项系数!$F$5/各项系数!$J$4,0.5))</f>
        <v>0</v>
      </c>
      <c r="AK80" s="16" t="str">
        <f t="shared" si="342"/>
        <v>√</v>
      </c>
      <c r="AL80" s="16">
        <f t="shared" si="329"/>
        <v>921.77838178085108</v>
      </c>
      <c r="AM80" s="106">
        <f t="shared" si="330"/>
        <v>400</v>
      </c>
      <c r="AN80" s="107" t="s">
        <v>486</v>
      </c>
      <c r="AO80" s="146">
        <f>AP80+各项系数!$M$9*$NK80</f>
        <v>903.70429586357943</v>
      </c>
      <c r="AP80" s="146">
        <f>AQ80*(1+$BI80+(VLOOKUP($AM80,$A$12:$B$323,2,0))+各项系数!$J$6+各项系数!$M$5)*(1+$E$2)</f>
        <v>898.69765509871058</v>
      </c>
      <c r="AQ80" s="199">
        <f>AR80+各项系数!$L$9*$NK80</f>
        <v>917.03842357011285</v>
      </c>
      <c r="AR80" s="199">
        <f>AS80*(1+$BJ80+各项系数!$J$5+各项系数!$L$5)</f>
        <v>912.03178280524401</v>
      </c>
      <c r="AS80" s="199">
        <f t="shared" si="399"/>
        <v>894.14880667180785</v>
      </c>
      <c r="AT80" s="146">
        <f>AU80+各项系数!$M$9*$NM80</f>
        <v>911.72682626214259</v>
      </c>
      <c r="AU80" s="146">
        <f>AV80*(1+$BI80+(VLOOKUP($AM80,$A$12:$B$323,2,0))+各项系数!$J$6+各项系数!$M$5)*(1+$E$2)</f>
        <v>906.72018549727375</v>
      </c>
      <c r="AV80" s="199">
        <f>AW80+各项系数!$L$9*$NM80</f>
        <v>925.22467907885073</v>
      </c>
      <c r="AW80" s="199">
        <f>AX80*(1+$BJ80+各项系数!$J$5+各项系数!$L$5)</f>
        <v>920.21803831398188</v>
      </c>
      <c r="AX80" s="199">
        <f t="shared" si="400"/>
        <v>902.17454736664888</v>
      </c>
      <c r="AY80" s="146">
        <f>AZ80+各项系数!$M$9*$NS80</f>
        <v>910.41459532656222</v>
      </c>
      <c r="AZ80" s="146">
        <f>BA80*(1+$BI80+(VLOOKUP($AM80,$A$12:$B$214,2,0))+各项系数!$J$6+各项系数!$M$5)*(1+$E$2)</f>
        <v>905.37849280721719</v>
      </c>
      <c r="BA80" s="199">
        <f>BB80+各项系数!$L$9*$NS80</f>
        <v>923.85560490532373</v>
      </c>
      <c r="BB80" s="199">
        <f>BC80*(1+$BJ80+各项系数!$J$5+各项系数!$L$5)</f>
        <v>918.81950238597869</v>
      </c>
      <c r="BC80" s="199">
        <f t="shared" si="401"/>
        <v>900.80343371174376</v>
      </c>
      <c r="BD80" s="146">
        <f>BE80+各项系数!$M$9*$NS80</f>
        <v>918.45453618764793</v>
      </c>
      <c r="BE80" s="146">
        <f>BF80*(1+$BI80+(VLOOKUP($AM80,$A$12:$B$214,2,0))+各项系数!$J$6+各项系数!$M$5)*(1+$E$2)</f>
        <v>913.4184336683029</v>
      </c>
      <c r="BF80" s="199">
        <f>BG80+各项系数!$L$9*$NS80</f>
        <v>932.05962619214586</v>
      </c>
      <c r="BG80" s="199">
        <f>BH80*(1+$BJ80+各项系数!$J$5+各项系数!$L$5)</f>
        <v>927.02352367280082</v>
      </c>
      <c r="BH80" s="199">
        <f t="shared" si="402"/>
        <v>908.84659183607926</v>
      </c>
      <c r="BI80" s="214"/>
      <c r="BJ80" s="215"/>
      <c r="BK80" s="78" t="s">
        <v>514</v>
      </c>
      <c r="BL80" s="146">
        <f>BM80+各项系数!$M$9*$NM80</f>
        <v>913.66381231030357</v>
      </c>
      <c r="BM80" s="146">
        <f>BN80*(1+$CF80+(VLOOKUP($AM80,$A$12:$B$323,2,0))+各项系数!$J$6+各项系数!$M$5)*(1+$E$2)</f>
        <v>908.65717154543472</v>
      </c>
      <c r="BN80" s="199">
        <f>BO80+各项系数!$L$9*$NM80</f>
        <v>927.20119545452519</v>
      </c>
      <c r="BO80" s="199">
        <f>BP80*(1+$CG80+各项系数!$J$5+各项系数!$L$5)</f>
        <v>922.19455468965634</v>
      </c>
      <c r="BP80" s="199">
        <f t="shared" si="403"/>
        <v>895.33451911617124</v>
      </c>
      <c r="BQ80" s="146">
        <f>BR80+各项系数!$M$9*$NM80</f>
        <v>920.5681368263356</v>
      </c>
      <c r="BR80" s="146">
        <f>BS80*(1+$CF80+(VLOOKUP($AM80,$A$12:$B$323,2,0))+各项系数!$J$6+各项系数!$M$5)*(1+$E$2)</f>
        <v>915.56149606146676</v>
      </c>
      <c r="BS80" s="199">
        <f>BT80+各项系数!$L$9*$NM80</f>
        <v>934.24642455251717</v>
      </c>
      <c r="BT80" s="199">
        <f>BU80*(1+$CG80+各项系数!$J$5+各项系数!$L$5)</f>
        <v>929.23978378764832</v>
      </c>
      <c r="BU80" s="199">
        <f t="shared" si="404"/>
        <v>902.17454736664888</v>
      </c>
      <c r="BV80" s="146">
        <f>BW80+各项系数!$M$9*$NT80</f>
        <v>915.51464220103446</v>
      </c>
      <c r="BW80" s="146">
        <f>BX80*(1+$CF80+(VLOOKUP($AM80,$A$12:$B$214,2,0))+各项系数!$J$6+各项系数!$M$5)*(1+$E$2)</f>
        <v>910.47853968168943</v>
      </c>
      <c r="BX80" s="199">
        <f>BY80+各项系数!$L$9*$NT$12</f>
        <v>929.05973436907084</v>
      </c>
      <c r="BY80" s="199">
        <f>BZ80*(1+$CG80+各项系数!$J$5+各项系数!$L$5)</f>
        <v>929.05147096591588</v>
      </c>
      <c r="BZ80" s="199">
        <f t="shared" si="343"/>
        <v>901.99171938438428</v>
      </c>
      <c r="CA80" s="146">
        <f>CB80+各项系数!$M$9*$NT80</f>
        <v>922.43395045377531</v>
      </c>
      <c r="CB80" s="146">
        <f>CC80*(1+$CF80+(VLOOKUP($AM80,$A$12:$B$214,2,0))+各项系数!$J$6+各项系数!$M$5)*(1+$E$2)</f>
        <v>917.39784793443027</v>
      </c>
      <c r="CC80" s="199">
        <f>CD80+各项系数!$L$9*$NT$12</f>
        <v>936.12025299431662</v>
      </c>
      <c r="CD80" s="199">
        <f>CE80*(1+$CG80+各项系数!$J$5+各项系数!$L$5)</f>
        <v>936.11198959116166</v>
      </c>
      <c r="CE80" s="199">
        <f t="shared" si="405"/>
        <v>908.84659183607926</v>
      </c>
      <c r="CF80" s="214">
        <f t="shared" si="406"/>
        <v>0</v>
      </c>
      <c r="CG80" s="214">
        <f t="shared" si="344"/>
        <v>0.01</v>
      </c>
      <c r="CH80" s="106"/>
      <c r="CI80" s="146">
        <f>CJ80+各项系数!$M$9*$NO80</f>
        <v>918.80616127024359</v>
      </c>
      <c r="CJ80" s="146">
        <f>CK80*(1+$DC80+(VLOOKUP($AM80,$A$12:$B$323,2,0))+各项系数!$J$6+各项系数!$M$5)*(1+$E$2)+各项系数!$M$9*$NK80</f>
        <v>912.28586008339153</v>
      </c>
      <c r="CK80" s="199">
        <f>CL80+各项系数!$L$9*$NO80</f>
        <v>925.79512175359457</v>
      </c>
      <c r="CL80" s="199">
        <f>CM80*(1+$DD80+各项系数!$J$5+各项系数!$L$5)</f>
        <v>919.27482056674251</v>
      </c>
      <c r="CM80" s="199">
        <f t="shared" si="345"/>
        <v>901.24982408504161</v>
      </c>
      <c r="CN80" s="146">
        <f>CO80+各项系数!$M$9*$NO80</f>
        <v>926.58497581490565</v>
      </c>
      <c r="CO80" s="146">
        <f>CP80*(1+$DC80+(VLOOKUP($AM80,$A$12:$B$323,2,0))+各项系数!$J$6+各项系数!$M$5)*(1+$E$2)+各项系数!$M$9*$NK80</f>
        <v>920.06467462805358</v>
      </c>
      <c r="CP80" s="199">
        <f>CQ80+各项系数!$L$9*$NO80</f>
        <v>933.73268761549468</v>
      </c>
      <c r="CQ80" s="199">
        <f>CR80*(1+$DD80+各项系数!$J$5+各项系数!$L$5)</f>
        <v>927.21238642864262</v>
      </c>
      <c r="CR80" s="199">
        <f t="shared" si="346"/>
        <v>909.03175140063001</v>
      </c>
      <c r="CS80" s="146">
        <f>CT80+各项系数!$M$9*$NU80</f>
        <v>920.6539585953725</v>
      </c>
      <c r="CT80" s="146">
        <f t="shared" si="347"/>
        <v>914.10356037427414</v>
      </c>
      <c r="CU80" s="199">
        <f>CV80+各项系数!$L$9*$NU80</f>
        <v>932.7587350757899</v>
      </c>
      <c r="CV80" s="199">
        <f>CW80*(1+$DD80+各项系数!$J$5+各项系数!$L$5)</f>
        <v>926.20833685469154</v>
      </c>
      <c r="CW80" s="199">
        <f t="shared" si="348"/>
        <v>908.04738907322701</v>
      </c>
      <c r="CX80" s="146">
        <f>CY80+各项系数!$M$9*$NU80</f>
        <v>928.85886358886069</v>
      </c>
      <c r="CY80" s="146">
        <f t="shared" si="349"/>
        <v>922.30846536776232</v>
      </c>
      <c r="CZ80" s="199">
        <f>DA80+各项系数!$L$9*$NU80</f>
        <v>941.13108710996153</v>
      </c>
      <c r="DA80" s="199">
        <f>DB80*(1+$DD80+各项系数!$J$5+各项系数!$L$5)</f>
        <v>934.58068888886316</v>
      </c>
      <c r="DB80" s="199">
        <f t="shared" si="350"/>
        <v>916.25557734202266</v>
      </c>
      <c r="DC80" s="214">
        <f t="shared" si="407"/>
        <v>0</v>
      </c>
      <c r="DD80" s="214">
        <f t="shared" si="351"/>
        <v>0</v>
      </c>
      <c r="DE80" s="78" t="s">
        <v>498</v>
      </c>
      <c r="DF80" s="78" t="s">
        <v>513</v>
      </c>
      <c r="DG80" s="146">
        <f>DH80+各项系数!$M$9*$NQ80</f>
        <v>928.85987821011918</v>
      </c>
      <c r="DH80" s="146">
        <f>DI80*(1+$EA80+(VLOOKUP($AM80,$A$12:$B$323,2,0))+各项系数!$J$6+各项系数!$M$5)*(1+$E$2)+各项系数!$M$9*$NK80</f>
        <v>922.33957702326711</v>
      </c>
      <c r="DI80" s="199">
        <f>DJ80+各项系数!$L$9*$NQ80</f>
        <v>936.05401659020231</v>
      </c>
      <c r="DJ80" s="199">
        <f>DK80*(1+$EB80+各项系数!$J$5+各项系数!$L$5)</f>
        <v>929.53371540335024</v>
      </c>
      <c r="DK80" s="199">
        <f t="shared" si="352"/>
        <v>902.45991786733032</v>
      </c>
      <c r="DL80" s="146">
        <f>DM80+各项系数!$M$9*$NQ80</f>
        <v>935.90617363146748</v>
      </c>
      <c r="DM80" s="146">
        <f>DN80*(1+$EA80+(VLOOKUP($AM80,$A$12:$B$323,2,0))+各项系数!$J$6+各项系数!$M$5)*(1+$E$2)+各项系数!$M$9*$NK80</f>
        <v>929.38587244461542</v>
      </c>
      <c r="DN80" s="199">
        <f>DO80+各项系数!$L$9*$NQ80</f>
        <v>943.24411395892514</v>
      </c>
      <c r="DO80" s="199">
        <f>DP80*(1+$EB80+各项系数!$J$5+各项系数!$L$5)</f>
        <v>936.72381277207307</v>
      </c>
      <c r="DP80" s="199">
        <f t="shared" si="353"/>
        <v>909.4405949243428</v>
      </c>
      <c r="DQ80" s="146">
        <f>DR80+各项系数!$M$9*$NV80</f>
        <v>930.77688908875518</v>
      </c>
      <c r="DR80" s="146">
        <f t="shared" si="354"/>
        <v>924.22649086765682</v>
      </c>
      <c r="DS80" s="199">
        <f>DT80+各项系数!$L$9*$NV80</f>
        <v>943.08825598740498</v>
      </c>
      <c r="DT80" s="199">
        <f>DU80*(1+$EB80+各项系数!$J$5+各项系数!$L$5)</f>
        <v>936.53785776630662</v>
      </c>
      <c r="DU80" s="199">
        <f t="shared" si="355"/>
        <v>909.26005608379285</v>
      </c>
      <c r="DV80" s="146">
        <f>DW80+各项系数!$M$9*$NV80</f>
        <v>930.03658972301412</v>
      </c>
      <c r="DW80" s="146">
        <f t="shared" si="356"/>
        <v>923.48619150191575</v>
      </c>
      <c r="DX80" s="199">
        <f>DY80+各项系数!$L$9*$NV80</f>
        <v>942.33284847134257</v>
      </c>
      <c r="DY80" s="199">
        <f>DZ80*(1+$EB80+各项系数!$J$5+各项系数!$L$5)</f>
        <v>935.78245025024421</v>
      </c>
      <c r="DZ80" s="199">
        <f t="shared" si="357"/>
        <v>908.52665072839238</v>
      </c>
      <c r="EA80" s="214">
        <f t="shared" si="324"/>
        <v>0</v>
      </c>
      <c r="EB80" s="214">
        <f t="shared" si="358"/>
        <v>0.01</v>
      </c>
      <c r="EC80" s="235">
        <f t="shared" si="408"/>
        <v>4</v>
      </c>
      <c r="ED80" s="237" t="str">
        <f t="shared" si="331"/>
        <v>4*400</v>
      </c>
      <c r="EE80" s="78">
        <f t="shared" si="239"/>
        <v>400</v>
      </c>
      <c r="EF80" s="78" t="str">
        <f>LOOKUP(EH80,{1,7,10,14,19,24,30,37,48,61},{1,"1+6","2+8","4+10","1+6+12","2+8+14","4+10+16","1+6+12+18","3+9+15+21","1+6+12+18+24"})</f>
        <v>1+6+12+18+24</v>
      </c>
      <c r="EG80" s="106">
        <f t="shared" si="359"/>
        <v>4</v>
      </c>
      <c r="EH80" s="199">
        <f>VLOOKUP(EE80,各项系数!$B$87:$C$124,2,0)</f>
        <v>61</v>
      </c>
      <c r="EI80" s="106">
        <f>IF(EH80=0,0,VLOOKUP(EH80,各项系数!$D$142:$E$195,2,0))*1</f>
        <v>9</v>
      </c>
      <c r="EJ80" s="240">
        <f t="shared" si="409"/>
        <v>277.18119106381198</v>
      </c>
      <c r="EK80" s="78">
        <f t="shared" si="332"/>
        <v>0</v>
      </c>
      <c r="EL80" s="78">
        <f t="shared" si="360"/>
        <v>0</v>
      </c>
      <c r="EM80" s="78">
        <f t="shared" si="333"/>
        <v>0</v>
      </c>
      <c r="EN80" s="78">
        <f>IF(EP80=0,0,LOOKUP(EP80,{1,7,10,14,19,24,30,37,48,61},{1,"1+6","2+8","4+10","1+6+12","2+8+14","4+10+16","1+6+12+18","3+9+15+21","1+6+12+18+24"}))</f>
        <v>0</v>
      </c>
      <c r="EO80" s="78">
        <f t="shared" si="334"/>
        <v>0</v>
      </c>
      <c r="EP80" s="78">
        <f>IF(EM80=0,0,IF(EM80&lt;10,1,IF(AND(EM80&gt;=10,EM80&lt;=35),7,LOOKUP(EM80,{50,70,95,120,150,185,240,300},{10,14,19,24,30,37,48,61})*1)))</f>
        <v>0</v>
      </c>
      <c r="EQ80" s="78">
        <f>IF(EP80=0,0,VLOOKUP(EP80,各项系数!$D$142:$E$195,2,0))*1</f>
        <v>0</v>
      </c>
      <c r="ER80" s="78">
        <f t="shared" si="335"/>
        <v>0</v>
      </c>
      <c r="ES80" s="237">
        <f t="shared" si="336"/>
        <v>4</v>
      </c>
      <c r="ET80" s="78">
        <f>VLOOKUP(ES80,各项系数!$D$142:$E$195,2,0)*1</f>
        <v>2.42</v>
      </c>
      <c r="EU80" s="243">
        <f>((各项系数!$F$76/4*$EJ80^2*$EG80*$EH80*1*10^-7)*(1-$H80)*AA80)*(VLOOKUP($EY$9,各项系数!$D$4:$F$143,3,0))*各项系数!$J$4</f>
        <v>13.284103004073778</v>
      </c>
      <c r="EV80" s="244">
        <f>EU80*(VLOOKUP($EY$9,各项系数!$D$4:$F$143,2,0))</f>
        <v>870.1087467668325</v>
      </c>
      <c r="EW80" s="252">
        <f>(IF($EO80=0,0,(各项系数!$F$76/4*$ER80^2*$EO80*$EP80*1*10^-7))*(1-$K80)*$AF80)*(VLOOKUP($EY$9,各项系数!$D$4:$F$143,3,0))*各项系数!$J$4</f>
        <v>0</v>
      </c>
      <c r="EX80" s="253">
        <f>EW80*(VLOOKUP($EY$9,各项系数!$D$4:$F$143,2,0))</f>
        <v>0</v>
      </c>
      <c r="EY80" s="189">
        <f>((各项系数!$F$76/4*$EJ80^2*$EG80*$EH80*1*10^-7)*(1-$H80)*AA80+IF($EO80=0,0,(各项系数!$F$76/4*$ER80^2*$EO80*$EP80*1*10^-7))*(1-$K80)*$AF80)*(VLOOKUP($EY$9,各项系数!$D$4:$F$143,3,0))*各项系数!$J$4</f>
        <v>13.284103004073778</v>
      </c>
      <c r="EZ80" s="106">
        <v>1</v>
      </c>
      <c r="FA80" s="78">
        <f t="shared" si="268"/>
        <v>13.284103004073778</v>
      </c>
      <c r="FB80" s="246">
        <f>FA80*(VLOOKUP($EY$9,各项系数!$D$4:$F$143,2,0))</f>
        <v>870.1087467668325</v>
      </c>
      <c r="FC80" s="257"/>
      <c r="FD80" s="237">
        <f>各项系数!$F$76/4*($MN80^2-MK80^2)*10^-2*(VLOOKUP(L80,各项系数!$D$1:$F$143,3,0))*10^-3*10^2*$EG80*各项系数!$J$4</f>
        <v>0.74123323213218784</v>
      </c>
      <c r="FE80" s="264">
        <f>FD80*VLOOKUP(L80,各项系数!$D$1:$F$143,2,0)</f>
        <v>7.5605789677483157</v>
      </c>
      <c r="FF80" s="106">
        <f>各项系数!$F$76/4*($MO80^2-ML80^2)*10^-2*(VLOOKUP(L80,各项系数!$D$1:$F$143,3,0))*10^-3*10^2*$EO80*各项系数!$J$4</f>
        <v>0</v>
      </c>
      <c r="FG80" s="264">
        <f>FF80*VLOOKUP(L80,各项系数!$D$1:$F$143,2,0)</f>
        <v>0</v>
      </c>
      <c r="FH80" s="237">
        <f t="shared" si="410"/>
        <v>0.74123323213218784</v>
      </c>
      <c r="FI80" s="106">
        <v>1</v>
      </c>
      <c r="FJ80" s="78">
        <f t="shared" si="269"/>
        <v>0.74123323213218784</v>
      </c>
      <c r="FK80" s="264">
        <f>FJ80*VLOOKUP(L80,各项系数!$D$1:$F$143,2,0)</f>
        <v>7.5605789677483157</v>
      </c>
      <c r="FL80" s="237"/>
      <c r="FM80" s="106"/>
      <c r="FN80" s="78"/>
      <c r="FO80" s="264"/>
      <c r="FP80" s="289">
        <f t="shared" si="270"/>
        <v>0.74123323213218784</v>
      </c>
      <c r="FQ80" s="289">
        <f t="shared" si="271"/>
        <v>7.5605789677483157</v>
      </c>
      <c r="FR80" s="283">
        <f>各项系数!$F$76/4*($MQ80^2-$MN80^2*$EG80-$MO80^2*$EO80)*10^-2</f>
        <v>12.216527432127284</v>
      </c>
      <c r="FS80" s="284">
        <f t="shared" si="411"/>
        <v>1</v>
      </c>
      <c r="FT80" s="285">
        <f t="shared" si="361"/>
        <v>12.216527432127284</v>
      </c>
      <c r="FU80" s="309">
        <f>$FT80*(VLOOKUP($FT$9,各项系数!$D$1:$F$143,3,0))*10^-3*10^2*各项系数!$J$55</f>
        <v>1.4586533753959978</v>
      </c>
      <c r="FV80" s="310">
        <v>1</v>
      </c>
      <c r="FW80" s="311">
        <f t="shared" si="272"/>
        <v>1.4586533753959978</v>
      </c>
      <c r="FX80" s="290">
        <f>FW80*(VLOOKUP($FT$9,各项系数!$D$1:$F$143,2,0))</f>
        <v>4.3759601261879935</v>
      </c>
      <c r="FY80" s="309">
        <f>IF($BK80&lt;&gt;$FY$9,0,各项系数!$F$76/4*($MS80^2-$MQ80^2)*10^-2*(VLOOKUP($FY$9,各项系数!$D$1:$F$143,3,0))*10^-3*10^2)*各项系数!$J$4</f>
        <v>0</v>
      </c>
      <c r="FZ80" s="310">
        <v>1</v>
      </c>
      <c r="GA80" s="311">
        <f t="shared" si="273"/>
        <v>0</v>
      </c>
      <c r="GB80" s="290">
        <f>GA80*(VLOOKUP($FY$9,各项系数!$D$1:$F$143,2,0))</f>
        <v>0</v>
      </c>
      <c r="GC80" s="309">
        <f>IF($BK80&lt;&gt;$GC$9,0,各项系数!$F$76/4*($MS80^2-$MQ80^2)*10^-2*(VLOOKUP($GC$9,各项系数!$D$1:$F$143,3,0))*10^-3*10^2)*各项系数!$J$4</f>
        <v>1.9100493597238009E-2</v>
      </c>
      <c r="GD80" s="310">
        <v>1</v>
      </c>
      <c r="GE80" s="311">
        <f t="shared" si="274"/>
        <v>1.9100493597238009E-2</v>
      </c>
      <c r="GF80" s="290">
        <f>GE80*(VLOOKUP($GC$9,各项系数!$D$1:$F$143,2,0))</f>
        <v>0.24639636740437032</v>
      </c>
      <c r="GG80" s="309">
        <f>IF($BK80&lt;&gt;$GG$9,0,各项系数!$F$76/4*($MS80^2-$MQ80^2)*10^-2*(VLOOKUP($GG$9,各项系数!$D$1:$F$143,3,0))*10^-3*10^2)*各项系数!$J$4</f>
        <v>0</v>
      </c>
      <c r="GH80" s="310">
        <v>1</v>
      </c>
      <c r="GI80" s="311">
        <f t="shared" si="275"/>
        <v>0</v>
      </c>
      <c r="GJ80" s="290">
        <f>GI80*(VLOOKUP($GG$9,各项系数!$D$1:$F$143,2,0))</f>
        <v>0</v>
      </c>
      <c r="GK80" s="309">
        <f>IF($BK80&lt;&gt;$GK$9,0,各项系数!$F$76/4*($MS80^2-$MQ80^2)*10^-2*(VLOOKUP($GK$9,各项系数!$D$1:$F$143,3,0))*10^-3*10^2)*各项系数!$J$4</f>
        <v>0</v>
      </c>
      <c r="GL80" s="310">
        <v>1</v>
      </c>
      <c r="GM80" s="311">
        <f t="shared" si="276"/>
        <v>0</v>
      </c>
      <c r="GN80" s="290">
        <f>GM80*(VLOOKUP($GK$9,各项系数!$D$1:$F$143,2,0))</f>
        <v>0</v>
      </c>
      <c r="GO80" s="311">
        <f t="shared" si="277"/>
        <v>1.9100493597238009E-2</v>
      </c>
      <c r="GP80" s="311">
        <f t="shared" si="278"/>
        <v>0.24639636740437032</v>
      </c>
      <c r="GQ80" s="317">
        <f>各项系数!$F$76/4*($MU80^2-$MS80^2)*10^-2*(VLOOKUP($S80,各项系数!$D$1:$F$143,3,0))*10^-3*10^2*各项系数!$J$4</f>
        <v>1.301226436123446</v>
      </c>
      <c r="GR80" s="310">
        <v>1</v>
      </c>
      <c r="GS80" s="311">
        <f t="shared" si="279"/>
        <v>1.301226436123446</v>
      </c>
      <c r="GT80" s="311">
        <f t="shared" si="200"/>
        <v>0</v>
      </c>
      <c r="GU80" s="311">
        <f>ROUND($GS80*(VLOOKUP($S80,各项系数!$D$1:$F$143,2,0))+$E$3*GS80,GT80)</f>
        <v>8</v>
      </c>
      <c r="GV80" s="315">
        <f>各项系数!$F$76/4*($MT80^2-$MS80^2)*10^-2*(VLOOKUP($GV$9,各项系数!$D$1:$F$143,3,0))*10^-3*10^2*各项系数!$J$4*PI()/4*R80</f>
        <v>9.8205848254299802E-2</v>
      </c>
      <c r="GW80" s="310">
        <v>1</v>
      </c>
      <c r="GX80" s="311">
        <f t="shared" si="280"/>
        <v>9.8205848254299802E-2</v>
      </c>
      <c r="GY80" s="311">
        <f>$GX80*(VLOOKUP($GV$9,各项系数!$D$1:$F$143,2,0))</f>
        <v>6.628894757165237</v>
      </c>
      <c r="GZ80" s="317">
        <f>各项系数!$F$76/4*($MV80^2-$MS80^2)*10^-2*(VLOOKUP($GZ$9,各项系数!$D$1:$F$143,3,0))*10^-3*10^2*各项系数!$J$4</f>
        <v>1.1695803022632698</v>
      </c>
      <c r="HA80" s="310">
        <v>1</v>
      </c>
      <c r="HB80" s="311">
        <f t="shared" si="412"/>
        <v>1.1695803022632698</v>
      </c>
      <c r="HC80" s="311">
        <f>HB80*(VLOOKUP($GZ$9,各项系数!$D$1:$F$143,2,0))</f>
        <v>19.882865138475587</v>
      </c>
      <c r="HD80" s="317">
        <f>各项系数!$F$76/4*($MW80^2-$MT80^2)*10^-2*(VLOOKUP($HD$9,各项系数!$D$1:$F$143,3,0))*10^-3*10^2*各项系数!$J$4</f>
        <v>1.172118520631811</v>
      </c>
      <c r="HE80" s="310">
        <v>1</v>
      </c>
      <c r="HF80" s="311">
        <f t="shared" si="413"/>
        <v>1.172118520631811</v>
      </c>
      <c r="HG80" s="311">
        <f>HF80*(VLOOKUP($HD$9,各项系数!$D$1:$F$143,2,0))</f>
        <v>19.926014850740788</v>
      </c>
      <c r="HH80" s="317">
        <f>各项系数!$F$76/4*($MV80^2-$MS80^2)*10^-2*(VLOOKUP($HH$9,各项系数!$D$1:$F$143,3,0))*10^-3*10^2*各项系数!$J$4</f>
        <v>1.1695803022632698</v>
      </c>
      <c r="HI80" s="311">
        <v>1</v>
      </c>
      <c r="HJ80" s="311">
        <f t="shared" si="414"/>
        <v>1.1695803022632698</v>
      </c>
      <c r="HK80" s="311">
        <f>HJ80*(VLOOKUP($HH$9,各项系数!$D$1:$F$143,2,0))</f>
        <v>19.882865138475587</v>
      </c>
      <c r="HL80" s="317">
        <f>各项系数!$F$76/4*($MW80^2-$MT80^2)*10^-2*(VLOOKUP($HL$9,各项系数!$D$1:$F$143,3,0))*10^-3*10^2*各项系数!$J$4</f>
        <v>1.172118520631811</v>
      </c>
      <c r="HM80" s="311">
        <v>1</v>
      </c>
      <c r="HN80" s="311">
        <f t="shared" si="362"/>
        <v>1.172118520631811</v>
      </c>
      <c r="HO80" s="311">
        <f>HN80*(VLOOKUP($HL$9,各项系数!$D$1:$F$143,2,0))</f>
        <v>19.926014850740788</v>
      </c>
      <c r="HP80" s="317">
        <f>各项系数!$F$76/4*($MV80^2-$MS80^2)*10^-2*(VLOOKUP(AN80,各项系数!$D$1:$F$143,3,0))*10^-3*10^2*各项系数!$J$4</f>
        <v>1.1857124443634528</v>
      </c>
      <c r="HQ80" s="310">
        <v>1</v>
      </c>
      <c r="HR80" s="311">
        <f t="shared" si="281"/>
        <v>1.1857124443634528</v>
      </c>
      <c r="HS80" s="311">
        <f>HR80*(VLOOKUP(AN80,各项系数!$D$1:$F$143,2,0))</f>
        <v>11.857124443634529</v>
      </c>
      <c r="HT80" s="317">
        <f>各项系数!$F$76/4*($MW80^2-$MT80^2)*10^-2*(VLOOKUP(AN80,各项系数!$D$1:$F$143,3,0))*10^-3*10^2*各项系数!$J$4</f>
        <v>1.1882856726405258</v>
      </c>
      <c r="HU80" s="310">
        <v>1</v>
      </c>
      <c r="HV80" s="311">
        <f t="shared" si="282"/>
        <v>1.1882856726405258</v>
      </c>
      <c r="HW80" s="311">
        <f>HV80*(VLOOKUP(AN80,各项系数!$D$1:$F$143,2,0))</f>
        <v>11.882856726405258</v>
      </c>
      <c r="HX80" s="317">
        <f>各项系数!$F$76/4*($MV80^2-$MS80^2)*10^-2*(VLOOKUP($HX$9,各项系数!$D$1:$F$143,3,0))*10^-3*10^2*各项系数!$J$4</f>
        <v>1.1857124443634528</v>
      </c>
      <c r="HY80" s="311">
        <v>1</v>
      </c>
      <c r="HZ80" s="311">
        <f t="shared" si="283"/>
        <v>1.1857124443634528</v>
      </c>
      <c r="IA80" s="311">
        <f>HZ80*(VLOOKUP($HX$9,各项系数!$D$1:$F$143,2,0))</f>
        <v>13.04283688799798</v>
      </c>
      <c r="IB80" s="317">
        <f>各项系数!$F$76/4*($MW80^2-$MT80^2)*10^-2*(VLOOKUP($IB$9,各项系数!$D$1:$F$143,3,0))*10^-3*10^2*各项系数!$J$4</f>
        <v>1.1882856726405258</v>
      </c>
      <c r="IC80" s="311">
        <v>1</v>
      </c>
      <c r="ID80" s="311">
        <f t="shared" si="284"/>
        <v>1.1882856726405258</v>
      </c>
      <c r="IE80" s="311">
        <f>ID80*(VLOOKUP($IB$9,各项系数!$D$1:$F$143,2,0))</f>
        <v>13.071142399045783</v>
      </c>
      <c r="IF80" s="309"/>
      <c r="IG80" s="317">
        <f t="shared" si="415"/>
        <v>0.14205068123829026</v>
      </c>
      <c r="IH80" s="310">
        <v>1</v>
      </c>
      <c r="II80" s="311">
        <f t="shared" si="285"/>
        <v>0.14205068123829026</v>
      </c>
      <c r="IJ80" s="311">
        <f>II80*(VLOOKUP($IG$8,各项系数!$D$1:$F$143,2,0))</f>
        <v>3.5512670309572565</v>
      </c>
      <c r="IK80" s="317">
        <f>(各项系数!$F$76/4*($MX80^2-$MK80^2)*$EG80)*10^-2*(VLOOKUP($IG$8,各项系数!$D$1:$F$143,3,0))*10^-3*10^2*各项系数!$J$4</f>
        <v>0.14205068123829026</v>
      </c>
      <c r="IL80" s="310">
        <f>IK80*(VLOOKUP($IG$8,各项系数!$D$1:$F$143,2,0))</f>
        <v>3.5512670309572565</v>
      </c>
      <c r="IM80" s="311">
        <f>(各项系数!$F$76/4*(($MM80+3*$X80)^2-MM80^2)*$EO80)*10^-2*(VLOOKUP($IG$8,各项系数!$D$1:$F$143,3,0))*10^-3*10^2*各项系数!$J$4</f>
        <v>0</v>
      </c>
      <c r="IN80" s="310">
        <f>IM80*(VLOOKUP($IG$8,各项系数!$D$1:$F$143,2,0))</f>
        <v>0</v>
      </c>
      <c r="IO80" s="317">
        <f>各项系数!$F$76/4*($MZ80^2-$MX80^2)*10^-2*(VLOOKUP(L80,各项系数!$D$1:$F$143,3,0))*10^-3*10^2*$ES80*各项系数!$J$4</f>
        <v>0.75773790329708701</v>
      </c>
      <c r="IP80" s="310">
        <v>1</v>
      </c>
      <c r="IQ80" s="311">
        <f t="shared" si="286"/>
        <v>0.75773790329708701</v>
      </c>
      <c r="IR80" s="290">
        <f>IQ80*(VLOOKUP(L80,各项系数!$D$1:$F$143,2,0))</f>
        <v>7.7289266136302865</v>
      </c>
      <c r="IS80" s="317">
        <f>IF($L80&lt;&gt;$IS$9,0,各项系数!$F$76/4*($MZ80^2-$MX80^2)*10^-2*各项系数!$F$12*10^-3*10^2)*$ES80*各项系数!$J$4</f>
        <v>0</v>
      </c>
      <c r="IT80" s="310">
        <v>1</v>
      </c>
      <c r="IU80" s="311">
        <f t="shared" si="287"/>
        <v>0</v>
      </c>
      <c r="IV80" s="290">
        <f>IU80*各项系数!$E$12</f>
        <v>0</v>
      </c>
      <c r="IW80" s="309">
        <f t="shared" si="288"/>
        <v>0.75773790329708701</v>
      </c>
      <c r="IX80" s="309">
        <f t="shared" si="289"/>
        <v>7.7289266136302865</v>
      </c>
      <c r="IY80" s="339">
        <f>各项系数!$F$76/4*($NB80^2-$MZ80^2*$EG80-$NA80^2*$EO80)*10^-2</f>
        <v>12.728225437981719</v>
      </c>
      <c r="IZ80" s="284">
        <f t="shared" si="231"/>
        <v>1</v>
      </c>
      <c r="JA80" s="285">
        <f t="shared" si="363"/>
        <v>12.728225437981719</v>
      </c>
      <c r="JB80" s="289">
        <f>IF($DE80&lt;&gt;$JB$9,0,$JA80*各项系数!$F$32*10^-3*10^2)*各项系数!$J$4</f>
        <v>0</v>
      </c>
      <c r="JC80" s="106">
        <v>1</v>
      </c>
      <c r="JD80" s="78">
        <f t="shared" si="290"/>
        <v>0</v>
      </c>
      <c r="JE80" s="264">
        <f>JD80*各项系数!$E$32</f>
        <v>0</v>
      </c>
      <c r="JF80" s="282">
        <f>IF($DE80&lt;&gt;$JF$9,0,$JA80*VLOOKUP($JF$9,各项系数!$D$4:$F$540,2,0)*10^-3*10^2)*各项系数!$J$4</f>
        <v>6.3322921553959048</v>
      </c>
      <c r="JG80" s="102">
        <v>1</v>
      </c>
      <c r="JH80" s="189">
        <f t="shared" si="364"/>
        <v>6.3322921553959048</v>
      </c>
      <c r="JI80" s="262">
        <f>JH80*VLOOKUP($JF$9,各项系数!$D$4:$F$540,3,0)</f>
        <v>7.5987505864750853</v>
      </c>
      <c r="JJ80" s="289">
        <f t="shared" si="291"/>
        <v>6.3322921553959048</v>
      </c>
      <c r="JK80" s="78">
        <f t="shared" si="292"/>
        <v>7.5987505864750853</v>
      </c>
      <c r="JL80" s="289">
        <f>IF($DF80&lt;&gt;$JL$9,0,各项系数!$F$76/4*($NE80^2-$NC80^2)*10^-2*各项系数!$F$39*10^-3*10^2)*各项系数!$J$4</f>
        <v>8.0597632129673809E-3</v>
      </c>
      <c r="JM80" s="106">
        <v>1</v>
      </c>
      <c r="JN80" s="78">
        <f t="shared" si="293"/>
        <v>8.0597632129673809E-3</v>
      </c>
      <c r="JO80" s="264">
        <f>JN80*各项系数!$E$39</f>
        <v>0.1611952642593476</v>
      </c>
      <c r="JP80" s="289">
        <f>IF($DF80&lt;&gt;$JP$9,0,各项系数!$F$76/4*($NE80^2-$NC80^2)*10^-2*各项系数!$F$36*10^-3*10^2)*各项系数!$J$4</f>
        <v>0</v>
      </c>
      <c r="JQ80" s="106">
        <v>1</v>
      </c>
      <c r="JR80" s="78">
        <f t="shared" si="294"/>
        <v>0</v>
      </c>
      <c r="JS80" s="264">
        <f>JR80*各项系数!$E$36</f>
        <v>0</v>
      </c>
      <c r="JT80" s="289">
        <f>IF($DF80&lt;&gt;$JT$9,0,各项系数!$F$76/4*($NE80^2-$NC80^2)*10^-2*各项系数!$F$40*10^-3*10^2)*各项系数!$J$4</f>
        <v>0</v>
      </c>
      <c r="JU80" s="106">
        <v>1</v>
      </c>
      <c r="JV80" s="78">
        <f t="shared" si="295"/>
        <v>0</v>
      </c>
      <c r="JW80" s="264">
        <f>JV80*各项系数!$E$40</f>
        <v>0</v>
      </c>
      <c r="JX80" s="289">
        <f>IF($DF80&lt;&gt;$JX$9,0,各项系数!$F$76/4*($NE80^2-$NC80^2)*10^-2*各项系数!$F$38*10^-3*10^2)*各项系数!$J$4</f>
        <v>0</v>
      </c>
      <c r="JY80" s="106">
        <v>1</v>
      </c>
      <c r="JZ80" s="78">
        <f t="shared" si="296"/>
        <v>0</v>
      </c>
      <c r="KA80" s="264">
        <f>JZ80*各项系数!$E$38</f>
        <v>0</v>
      </c>
      <c r="KB80" s="289">
        <f>IF($DF80&lt;&gt;$KB$9,0,各项系数!$F$76/4*($NE80^2-$NC80^2)*10^-2*各项系数!$F$41*10^-3*10^2)*各项系数!$J$4</f>
        <v>0</v>
      </c>
      <c r="KC80" s="106">
        <v>1</v>
      </c>
      <c r="KD80" s="78">
        <f t="shared" si="297"/>
        <v>0</v>
      </c>
      <c r="KE80" s="264">
        <f>KD80*各项系数!$E$41</f>
        <v>0</v>
      </c>
      <c r="KF80" s="78">
        <f t="shared" si="298"/>
        <v>8.0597632129673809E-3</v>
      </c>
      <c r="KG80" s="78">
        <f t="shared" si="299"/>
        <v>0.1611952642593476</v>
      </c>
      <c r="KH80" s="237">
        <f>各项系数!$F$76/4*($NG80^2-$NE80^2)*10^-2*各项系数!$F$44*10^-3*10^2*各项系数!$J$4*0.75*$U80</f>
        <v>1.9935296095588453</v>
      </c>
      <c r="KI80" s="106">
        <v>1</v>
      </c>
      <c r="KJ80" s="78">
        <f t="shared" si="300"/>
        <v>1.9935296095588453</v>
      </c>
      <c r="KK80" s="78">
        <f>ROUND(KJ80*各项系数!$E$43,GT80)</f>
        <v>12</v>
      </c>
      <c r="KL80" s="235">
        <f>各项系数!$F$76/4*($NF80^2-$NE80^2)*10^-2*各项系数!$F$46*10^-3*10^2*各项系数!$J$4*PI()/4*R80</f>
        <v>0.10032344748762408</v>
      </c>
      <c r="KM80" s="106">
        <v>1</v>
      </c>
      <c r="KN80" s="78">
        <f t="shared" si="301"/>
        <v>0.10032344748762408</v>
      </c>
      <c r="KO80" s="78">
        <f>KN80*各项系数!$E$46</f>
        <v>6.7718327054146252</v>
      </c>
      <c r="KP80" s="237">
        <f>各项系数!$F$76/4*($NH80^2-$NE80^2)*10^-2*(VLOOKUP($KP$9,各项系数!$D$1:$F$143,3,0))*10^-3*10^2*各项系数!$J$4</f>
        <v>1.1936299213051997</v>
      </c>
      <c r="KQ80" s="106">
        <v>1</v>
      </c>
      <c r="KR80" s="78">
        <f t="shared" si="416"/>
        <v>1.1936299213051997</v>
      </c>
      <c r="KS80" s="78">
        <f>KR80*(VLOOKUP($KP$9,各项系数!$D$1:$F$143,2,0))</f>
        <v>20.291708662188395</v>
      </c>
      <c r="KT80" s="237">
        <f>各项系数!$F$76/4*($NI80^2-$NF80^2)*10^-2*(VLOOKUP($KT$9,各项系数!$D$1:$F$143,3,0))*10^-3*10^2*各项系数!$J$4</f>
        <v>1.1961681396737405</v>
      </c>
      <c r="KU80" s="106">
        <v>1</v>
      </c>
      <c r="KV80" s="78">
        <f t="shared" si="417"/>
        <v>1.1961681396737405</v>
      </c>
      <c r="KW80" s="78">
        <f>KV80*(VLOOKUP($KT$9,各项系数!$D$1:$F$143,2,0))</f>
        <v>20.334858374453589</v>
      </c>
      <c r="KX80" s="78">
        <f>各项系数!$F$76/4*($NH80^2-$NE80^2)*10^-2*(VLOOKUP($KX$9,各项系数!$D$1:$F$143,3,0))*10^-3*10^2*各项系数!$J$4</f>
        <v>1.1936299213051997</v>
      </c>
      <c r="KY80" s="355">
        <v>1</v>
      </c>
      <c r="KZ80" s="78">
        <f t="shared" si="418"/>
        <v>1.1936299213051997</v>
      </c>
      <c r="LA80" s="78">
        <f>KZ80*(VLOOKUP($KX$9,各项系数!$D$1:$F$143,2,0))</f>
        <v>20.291708662188395</v>
      </c>
      <c r="LB80" s="78">
        <f>各项系数!$F$76/4*($NI80^2-$NF80^2)*10^-2*(VLOOKUP($LB$9,各项系数!$D$1:$F$143,3,0))*10^-3*10^2*各项系数!$J$4</f>
        <v>1.1961681396737405</v>
      </c>
      <c r="LC80" s="355">
        <v>1</v>
      </c>
      <c r="LD80" s="78">
        <f t="shared" si="419"/>
        <v>1.1961681396737405</v>
      </c>
      <c r="LE80" s="78">
        <f>LD80*(VLOOKUP($LB$9,各项系数!$D$1:$F$143,2,0))</f>
        <v>20.334858374453589</v>
      </c>
      <c r="LF80" s="237">
        <f>各项系数!$F$76/4*($NH80^2-$NE80^2)*10^-2*(VLOOKUP(AN80,各项系数!$D$1:$F$143,3,0))*10^-3*10^2*各项系数!$J$4</f>
        <v>1.2100937822887194</v>
      </c>
      <c r="LG80" s="106">
        <v>1</v>
      </c>
      <c r="LH80" s="78">
        <f t="shared" si="302"/>
        <v>1.2100937822887194</v>
      </c>
      <c r="LI80" s="78">
        <f>LH80*(VLOOKUP(AN80,各项系数!$D$1:$F$143,2,0))</f>
        <v>12.100937822887195</v>
      </c>
      <c r="LJ80" s="237">
        <f>各项系数!$F$76/4*($NI80^2-$NF80^2)*10^-2*(VLOOKUP(AN80,各项系数!$D$1:$F$143,3,0))*10^-3*10^2*各项系数!$J$4</f>
        <v>1.2126670105657917</v>
      </c>
      <c r="LK80" s="106">
        <v>1</v>
      </c>
      <c r="LL80" s="78">
        <f t="shared" si="303"/>
        <v>1.2126670105657917</v>
      </c>
      <c r="LM80" s="78">
        <f>LL80*(VLOOKUP(AN80,各项系数!$D$1:$F$143,2,0))</f>
        <v>12.126670105657917</v>
      </c>
      <c r="LN80" s="78">
        <f>各项系数!$F$76/4*($NH80^2-$NE80^2)*10^-2*(VLOOKUP($LN$9,各项系数!$D$1:$F$143,3,0))*10^-3*10^2*各项系数!$J$4</f>
        <v>1.2100937822887194</v>
      </c>
      <c r="LO80" s="355">
        <v>1</v>
      </c>
      <c r="LP80" s="78">
        <f t="shared" si="304"/>
        <v>1.2100937822887194</v>
      </c>
      <c r="LQ80" s="78">
        <f>LP80*(VLOOKUP($LN$9,各项系数!$D$1:$F$143,2,0))</f>
        <v>13.311031605175915</v>
      </c>
      <c r="LR80" s="78">
        <f>各项系数!$F$76/4*($NI80^2-$NF80^2)*10^-2*(VLOOKUP($LR$9,各项系数!$D$1:$F$143,3,0))*10^-3*10^2*各项系数!$J$4</f>
        <v>1.2126670105657917</v>
      </c>
      <c r="LS80" s="355">
        <v>1</v>
      </c>
      <c r="LT80" s="78">
        <f t="shared" si="305"/>
        <v>1.2126670105657917</v>
      </c>
      <c r="LU80" s="78">
        <f>LT80*(VLOOKUP($LR$9,各项系数!$D$1:$F$143,2,0))</f>
        <v>13.339337116223708</v>
      </c>
      <c r="LV80" s="367">
        <f t="shared" si="420"/>
        <v>1955.0704185699999</v>
      </c>
      <c r="LW80" s="367">
        <f t="shared" si="421"/>
        <v>1472.3369818900001</v>
      </c>
      <c r="LX80" s="367">
        <f t="shared" si="422"/>
        <v>43.297086143508174</v>
      </c>
      <c r="LY80" s="367">
        <f t="shared" si="423"/>
        <v>482.73343667999984</v>
      </c>
      <c r="LZ80" s="374">
        <f t="shared" si="365"/>
        <v>1</v>
      </c>
      <c r="MA80" s="375">
        <f t="shared" si="366"/>
        <v>1955.0704185699999</v>
      </c>
      <c r="MB80" s="367">
        <f t="shared" si="424"/>
        <v>24.946307189999999</v>
      </c>
      <c r="MC80" s="367">
        <f t="shared" si="425"/>
        <v>0</v>
      </c>
      <c r="MD80" s="367">
        <f t="shared" si="426"/>
        <v>0</v>
      </c>
      <c r="ME80" s="367">
        <f t="shared" si="427"/>
        <v>0</v>
      </c>
      <c r="MF80" s="367">
        <f t="shared" si="428"/>
        <v>0</v>
      </c>
      <c r="MG80" s="379">
        <f t="shared" si="429"/>
        <v>1</v>
      </c>
      <c r="MH80" s="375">
        <f t="shared" si="367"/>
        <v>0</v>
      </c>
      <c r="MI80" s="367">
        <f t="shared" si="430"/>
        <v>0</v>
      </c>
      <c r="MJ80" s="78">
        <f t="shared" si="368"/>
        <v>24.946307189999999</v>
      </c>
      <c r="MK80" s="78">
        <f t="shared" si="431"/>
        <v>24.946307189999999</v>
      </c>
      <c r="ML80" s="78">
        <f t="shared" si="306"/>
        <v>0</v>
      </c>
      <c r="MM80" s="78">
        <f t="shared" si="369"/>
        <v>0</v>
      </c>
      <c r="MN80" s="78">
        <f t="shared" si="370"/>
        <v>28.946307189999999</v>
      </c>
      <c r="MO80" s="189">
        <f t="shared" si="432"/>
        <v>0</v>
      </c>
      <c r="MP80" s="78">
        <f t="shared" si="433"/>
        <v>70.050063399999999</v>
      </c>
      <c r="MQ80" s="78">
        <f t="shared" si="307"/>
        <v>70.050063399999999</v>
      </c>
      <c r="MR80" s="246">
        <f t="shared" si="434"/>
        <v>70.050063399999999</v>
      </c>
      <c r="MS80" s="380">
        <f t="shared" si="371"/>
        <v>70.226063400000001</v>
      </c>
      <c r="MT80" s="382">
        <f t="shared" si="372"/>
        <v>70.386063399999998</v>
      </c>
      <c r="MU80" s="382">
        <f t="shared" si="373"/>
        <v>71.726063400000001</v>
      </c>
      <c r="MV80" s="382">
        <f t="shared" si="374"/>
        <v>77.226063400000001</v>
      </c>
      <c r="MW80" s="382">
        <f t="shared" si="375"/>
        <v>77.386063399999998</v>
      </c>
      <c r="MX80" s="246">
        <f t="shared" si="376"/>
        <v>25.54630719</v>
      </c>
      <c r="MY80" s="246">
        <f t="shared" si="377"/>
        <v>0</v>
      </c>
      <c r="MZ80" s="78">
        <f t="shared" si="378"/>
        <v>29.54630719</v>
      </c>
      <c r="NA80" s="78">
        <f t="shared" si="379"/>
        <v>0</v>
      </c>
      <c r="NB80" s="78">
        <f t="shared" si="435"/>
        <v>71.502063399999997</v>
      </c>
      <c r="NC80" s="246">
        <f t="shared" si="308"/>
        <v>71.502063399999997</v>
      </c>
      <c r="ND80" s="246">
        <f t="shared" si="436"/>
        <v>71.502063399999997</v>
      </c>
      <c r="NE80" s="386">
        <f t="shared" si="437"/>
        <v>71.742063399999992</v>
      </c>
      <c r="NF80" s="382">
        <f t="shared" si="380"/>
        <v>71.902063399999989</v>
      </c>
      <c r="NG80" s="150">
        <f t="shared" si="381"/>
        <v>73.242063399999992</v>
      </c>
      <c r="NH80" s="246">
        <f t="shared" si="382"/>
        <v>78.742063399999992</v>
      </c>
      <c r="NI80" s="382">
        <f t="shared" si="383"/>
        <v>78.902063399999989</v>
      </c>
      <c r="NK80" s="390">
        <f t="shared" si="384"/>
        <v>16.688802549562656</v>
      </c>
      <c r="NL80" s="390">
        <f t="shared" si="385"/>
        <v>894.14880667180785</v>
      </c>
      <c r="NM80" s="390">
        <f t="shared" si="386"/>
        <v>16.688802549562656</v>
      </c>
      <c r="NN80" s="390">
        <f t="shared" si="387"/>
        <v>895.33451911617124</v>
      </c>
      <c r="NO80" s="390">
        <f t="shared" si="388"/>
        <v>21.734337289506747</v>
      </c>
      <c r="NP80" s="390">
        <f t="shared" si="389"/>
        <v>901.24982408504161</v>
      </c>
      <c r="NQ80" s="390">
        <f t="shared" si="390"/>
        <v>21.734337289506747</v>
      </c>
      <c r="NR80" s="390">
        <f t="shared" si="391"/>
        <v>902.45991786733032</v>
      </c>
      <c r="NS80" s="390">
        <f t="shared" si="392"/>
        <v>16.787008397816955</v>
      </c>
      <c r="NT80" s="390">
        <f t="shared" si="393"/>
        <v>16.787008397816955</v>
      </c>
      <c r="NU80" s="390">
        <f t="shared" si="394"/>
        <v>21.834660736994373</v>
      </c>
      <c r="NV80" s="390">
        <f t="shared" si="395"/>
        <v>21.834660736994373</v>
      </c>
      <c r="NW80" s="9">
        <f t="shared" si="396"/>
        <v>17.990028985686102</v>
      </c>
      <c r="NX80" s="9">
        <f>各项系数!$M$9*NK80</f>
        <v>5.0066407648687967</v>
      </c>
      <c r="NY80" s="9">
        <f t="shared" si="397"/>
        <v>16.787008397816955</v>
      </c>
    </row>
    <row r="81" spans="1:389" s="9" customFormat="1" ht="15" hidden="1" customHeight="1">
      <c r="A81" s="65"/>
      <c r="B81" s="66"/>
      <c r="C81" s="67"/>
      <c r="D81" s="58" t="s">
        <v>921</v>
      </c>
      <c r="E81" s="399">
        <f t="shared" si="325"/>
        <v>86.635642550000014</v>
      </c>
      <c r="F81" s="68">
        <f>$F$33</f>
        <v>314.10304232929502</v>
      </c>
      <c r="G81" s="58"/>
      <c r="H81" s="16"/>
      <c r="I81" s="62"/>
      <c r="J81" s="16"/>
      <c r="K81" s="16"/>
      <c r="L81" s="107" t="s">
        <v>467</v>
      </c>
      <c r="M81" s="98">
        <f t="shared" si="339"/>
        <v>2.2000000000000002</v>
      </c>
      <c r="N81" s="98">
        <f t="shared" si="340"/>
        <v>0</v>
      </c>
      <c r="O81" s="58">
        <f t="shared" si="438"/>
        <v>0.08</v>
      </c>
      <c r="P81" s="99">
        <v>0.1</v>
      </c>
      <c r="Q81" s="136">
        <f t="shared" si="337"/>
        <v>0.1</v>
      </c>
      <c r="R81" s="151">
        <v>0.8</v>
      </c>
      <c r="S81" s="144" t="str">
        <f>各项系数!$D$43</f>
        <v>钢带</v>
      </c>
      <c r="T81" s="62">
        <v>0.5</v>
      </c>
      <c r="U81" s="62">
        <v>2</v>
      </c>
      <c r="V81" s="143"/>
      <c r="W81" s="145">
        <v>3.7</v>
      </c>
      <c r="X81" s="139">
        <f t="shared" si="338"/>
        <v>0.2</v>
      </c>
      <c r="Y81" s="139"/>
      <c r="Z81" s="169"/>
      <c r="AA81" s="170">
        <f>$AA$33</f>
        <v>1.02</v>
      </c>
      <c r="AB81" s="153">
        <f>PI()*EJ81*EJ81/4*EH81*(1-H81)*AA81*各项系数!$F$5*各项系数!$J$4*10^-7</f>
        <v>4.2647051993952481</v>
      </c>
      <c r="AC81" s="170">
        <f t="shared" si="327"/>
        <v>314.10304232929502</v>
      </c>
      <c r="AD81" s="153">
        <f t="shared" si="341"/>
        <v>482.13002011127043</v>
      </c>
      <c r="AE81" s="153">
        <f>POWER(4*EU81/PI()/EG81/10^-7/EH81/(1-H81)/各项系数!$F$5/各项系数!$J$4,0.5)</f>
        <v>317.22852271592683</v>
      </c>
      <c r="AF81" s="16">
        <v>1</v>
      </c>
      <c r="AG81" s="16">
        <f>IF(EM81=0,0,PI()*ER81*ER81/4*EP81*(1-K81)*(1+AF81)*各项系数!$F$5*各项系数!$J$4*10^-7)</f>
        <v>0</v>
      </c>
      <c r="AH81" s="16">
        <f t="shared" si="328"/>
        <v>0</v>
      </c>
      <c r="AI81" s="69">
        <f t="shared" si="398"/>
        <v>0</v>
      </c>
      <c r="AJ81" s="69">
        <f>IF(OR(EP81="",EP81=0),0,POWER(4*EW81/PI()/EO81/10^-7/EP81/(1-K81)/各项系数!$F$5/各项系数!$J$4,0.5))</f>
        <v>0</v>
      </c>
      <c r="AK81" s="16" t="str">
        <f t="shared" si="342"/>
        <v>√</v>
      </c>
      <c r="AL81" s="16">
        <f t="shared" si="329"/>
        <v>1182.0628314187559</v>
      </c>
      <c r="AM81" s="106">
        <f t="shared" si="330"/>
        <v>500</v>
      </c>
      <c r="AN81" s="107" t="s">
        <v>486</v>
      </c>
      <c r="AO81" s="146">
        <f>AP81+各项系数!$M$9*$NK81</f>
        <v>1158.8851288419175</v>
      </c>
      <c r="AP81" s="146">
        <f>AQ81*(1+$BI81+(VLOOKUP($AM81,$A$12:$B$323,2,0))+各项系数!$J$6+各项系数!$M$5)*(1+$E$2)</f>
        <v>1152.5040169617027</v>
      </c>
      <c r="AQ81" s="199">
        <f>AR81+各项系数!$L$9*$NK81</f>
        <v>1176.0245071037784</v>
      </c>
      <c r="AR81" s="199">
        <f>AS81*(1+$BJ81+各项系数!$J$5+各项系数!$L$5)</f>
        <v>1169.6433952235636</v>
      </c>
      <c r="AS81" s="199">
        <f t="shared" si="399"/>
        <v>1146.7092110034937</v>
      </c>
      <c r="AT81" s="146">
        <f>AU81+各项系数!$M$9*$NM81</f>
        <v>1168.4254988717744</v>
      </c>
      <c r="AU81" s="146">
        <f>AV81*(1+$BI81+(VLOOKUP($AM81,$A$12:$B$323,2,0))+各项系数!$J$6+各项系数!$M$5)*(1+$E$2)</f>
        <v>1162.0443869915596</v>
      </c>
      <c r="AV81" s="199">
        <f>AW81+各项系数!$L$9*$NM81</f>
        <v>1185.7595785628159</v>
      </c>
      <c r="AW81" s="199">
        <f>AX81*(1+$BJ81+各项系数!$J$5+各项系数!$L$5)</f>
        <v>1179.3784666826011</v>
      </c>
      <c r="AX81" s="199">
        <f t="shared" si="400"/>
        <v>1156.2533987084325</v>
      </c>
      <c r="AY81" s="146">
        <f>AZ81+各项系数!$M$9*$NS81</f>
        <v>1166.453513151796</v>
      </c>
      <c r="AZ81" s="146">
        <f>BA81*(1+$BI81+(VLOOKUP($AM81,$A$12:$B$214,2,0))+各项系数!$J$6+各项系数!$M$5)*(1+$E$2)</f>
        <v>1160.0391640531404</v>
      </c>
      <c r="BA81" s="199">
        <f>BB81+各项系数!$L$9*$NS81</f>
        <v>1183.7134327072861</v>
      </c>
      <c r="BB81" s="199">
        <f>BC81*(1+$BJ81+各项系数!$J$5+各项系数!$L$5)</f>
        <v>1177.2990836086306</v>
      </c>
      <c r="BC81" s="199">
        <f t="shared" si="401"/>
        <v>1154.2147878515987</v>
      </c>
      <c r="BD81" s="146">
        <f>BE81+各项系数!$M$9*$NS81</f>
        <v>1176.0122885277485</v>
      </c>
      <c r="BE81" s="146">
        <f>BF81*(1+$BI81+(VLOOKUP($AM81,$A$12:$B$214,2,0))+各项系数!$J$6+各项系数!$M$5)*(1+$E$2)</f>
        <v>1169.597939429093</v>
      </c>
      <c r="BF81" s="199">
        <f>BG81+各项系数!$L$9*$NS81</f>
        <v>1193.4672851317275</v>
      </c>
      <c r="BG81" s="199">
        <f>BH81*(1+$BJ81+各项系数!$J$5+各项系数!$L$5)</f>
        <v>1187.052936033072</v>
      </c>
      <c r="BH81" s="199">
        <f t="shared" si="402"/>
        <v>1163.7773882677177</v>
      </c>
      <c r="BI81" s="214"/>
      <c r="BJ81" s="215"/>
      <c r="BK81" s="78" t="s">
        <v>514</v>
      </c>
      <c r="BL81" s="146">
        <f>BM81+各项系数!$M$9*$NM81</f>
        <v>1171.546179362211</v>
      </c>
      <c r="BM81" s="146">
        <f>BN81*(1+$CF81+(VLOOKUP($AM81,$A$12:$B$323,2,0))+各项系数!$J$6+各项系数!$M$5)*(1+$E$2)</f>
        <v>1165.1650674819962</v>
      </c>
      <c r="BN81" s="199">
        <f>BO81+各项系数!$L$9*$NM81</f>
        <v>1188.9439464102002</v>
      </c>
      <c r="BO81" s="199">
        <f>BP81*(1+$CG81+各项系数!$J$5+各项系数!$L$5)</f>
        <v>1182.5628345299854</v>
      </c>
      <c r="BP81" s="199">
        <f t="shared" si="403"/>
        <v>1148.1192568252284</v>
      </c>
      <c r="BQ81" s="146">
        <f>BR81+各项系数!$M$9*$NM81</f>
        <v>1179.7567821791172</v>
      </c>
      <c r="BR81" s="146">
        <f>BS81*(1+$CF81+(VLOOKUP($AM81,$A$12:$B$323,2,0))+各项系数!$J$6+各项系数!$M$5)*(1+$E$2)</f>
        <v>1173.3756702989024</v>
      </c>
      <c r="BS81" s="199">
        <f>BT81+各项系数!$L$9*$NM81</f>
        <v>1197.3221125499003</v>
      </c>
      <c r="BT81" s="199">
        <f>BU81*(1+$CG81+各项系数!$J$5+各项系数!$L$5)</f>
        <v>1190.9410006696855</v>
      </c>
      <c r="BU81" s="199">
        <f t="shared" si="404"/>
        <v>1156.2533987084325</v>
      </c>
      <c r="BV81" s="146">
        <f>BW81+各项系数!$M$9*$NT81</f>
        <v>1172.9129001840402</v>
      </c>
      <c r="BW81" s="146">
        <f>BX81*(1+$CF81+(VLOOKUP($AM81,$A$12:$B$214,2,0))+各项系数!$J$6+各项系数!$M$5)*(1+$E$2)</f>
        <v>1166.4985510853846</v>
      </c>
      <c r="BX81" s="199">
        <f>BY81+各项系数!$L$9*$NT$12</f>
        <v>1190.3046439646782</v>
      </c>
      <c r="BY81" s="199">
        <f>BZ81*(1+$CG81+各项系数!$J$5+各项系数!$L$5)</f>
        <v>1190.2963805615232</v>
      </c>
      <c r="BZ81" s="199">
        <f t="shared" si="343"/>
        <v>1155.6275539432263</v>
      </c>
      <c r="CA81" s="146">
        <f>CB81+各项系数!$M$9*$NT81</f>
        <v>1181.1393429511818</v>
      </c>
      <c r="CB81" s="146">
        <f>CC81*(1+$CF81+(VLOOKUP($AM81,$A$12:$B$214,2,0))+各项系数!$J$6+各项系数!$M$5)*(1+$E$2)</f>
        <v>1174.7249938525263</v>
      </c>
      <c r="CC81" s="199">
        <f>CD81+各项系数!$L$9*$NT$12</f>
        <v>1198.6989733189043</v>
      </c>
      <c r="CD81" s="199">
        <f>CE81*(1+$CG81+各项系数!$J$5+各项系数!$L$5)</f>
        <v>1198.6907099157493</v>
      </c>
      <c r="CE81" s="199">
        <f t="shared" si="405"/>
        <v>1163.7773882677177</v>
      </c>
      <c r="CF81" s="214">
        <f t="shared" si="406"/>
        <v>0</v>
      </c>
      <c r="CG81" s="214">
        <f t="shared" si="344"/>
        <v>0.01</v>
      </c>
      <c r="CH81" s="106"/>
      <c r="CI81" s="146">
        <f>CJ81+各项系数!$M$9*$NO81</f>
        <v>1177.4677965415026</v>
      </c>
      <c r="CJ81" s="146">
        <f>CK81*(1+$DC81+(VLOOKUP($AM81,$A$12:$B$323,2,0))+各项系数!$J$6+各项系数!$M$5)*(1+$E$2)+各项系数!$M$9*$NK81</f>
        <v>1169.1778368503492</v>
      </c>
      <c r="CK81" s="199">
        <f>CL81+各项系数!$L$9*$NO81</f>
        <v>1186.5272703776882</v>
      </c>
      <c r="CL81" s="199">
        <f>CM81*(1+$DD81+各项系数!$J$5+各项系数!$L$5)</f>
        <v>1178.2373106865348</v>
      </c>
      <c r="CM81" s="199">
        <f t="shared" si="345"/>
        <v>1155.1346183201322</v>
      </c>
      <c r="CN81" s="146">
        <f>CO81+各项系数!$M$9*$NO81</f>
        <v>1186.7505240972357</v>
      </c>
      <c r="CO81" s="146">
        <f>CP81*(1+$DC81+(VLOOKUP($AM81,$A$12:$B$323,2,0))+各项系数!$J$6+各项系数!$M$5)*(1+$E$2)+各项系数!$M$9*$NK81</f>
        <v>1178.4605644060823</v>
      </c>
      <c r="CP81" s="199">
        <f>CQ81+各项系数!$L$9*$NO81</f>
        <v>1195.9994413529259</v>
      </c>
      <c r="CQ81" s="199">
        <f>CR81*(1+$DD81+各项系数!$J$5+各项系数!$L$5)</f>
        <v>1187.7094816617725</v>
      </c>
      <c r="CR81" s="199">
        <f t="shared" si="346"/>
        <v>1164.4210604527182</v>
      </c>
      <c r="CS81" s="146">
        <f>CT81+各项系数!$M$9*$NU81</f>
        <v>1178.7992075981808</v>
      </c>
      <c r="CT81" s="146">
        <f t="shared" si="347"/>
        <v>1170.4753754088167</v>
      </c>
      <c r="CU81" s="199">
        <f>CV81+各项系数!$L$9*$NU81</f>
        <v>1194.3626279681803</v>
      </c>
      <c r="CV81" s="199">
        <f>CW81*(1+$DD81+各项系数!$J$5+各项系数!$L$5)</f>
        <v>1186.0387957788162</v>
      </c>
      <c r="CW81" s="199">
        <f t="shared" si="348"/>
        <v>1162.7831331164864</v>
      </c>
      <c r="CX81" s="146">
        <f>CY81+各项系数!$M$9*$NU81</f>
        <v>1188.5323736283872</v>
      </c>
      <c r="CY81" s="146">
        <f t="shared" si="349"/>
        <v>1180.2085414390231</v>
      </c>
      <c r="CZ81" s="199">
        <f>DA81+各项系数!$L$9*$NU81</f>
        <v>1204.2944300398194</v>
      </c>
      <c r="DA81" s="199">
        <f>DB81*(1+$DD81+各项系数!$J$5+各项系数!$L$5)</f>
        <v>1195.9705978504553</v>
      </c>
      <c r="DB81" s="199">
        <f t="shared" si="350"/>
        <v>1172.5201939710346</v>
      </c>
      <c r="DC81" s="214">
        <f t="shared" si="407"/>
        <v>0</v>
      </c>
      <c r="DD81" s="214">
        <f t="shared" si="351"/>
        <v>0</v>
      </c>
      <c r="DE81" s="78" t="s">
        <v>498</v>
      </c>
      <c r="DF81" s="78" t="s">
        <v>513</v>
      </c>
      <c r="DG81" s="146">
        <f>DH81+各项系数!$M$9*$NQ81</f>
        <v>1190.2374328915721</v>
      </c>
      <c r="DH81" s="146">
        <f>DI81*(1+$EA81+(VLOOKUP($AM81,$A$12:$B$323,2,0))+各项系数!$J$6+各项系数!$M$5)*(1+$E$2)+各项系数!$M$9*$NK81</f>
        <v>1181.9474732004187</v>
      </c>
      <c r="DI81" s="199">
        <f>DJ81+各项系数!$L$9*$NQ81</f>
        <v>1199.5575115512286</v>
      </c>
      <c r="DJ81" s="199">
        <f>DK81*(1+$EB81+各项系数!$J$5+各项系数!$L$5)</f>
        <v>1191.2675518600752</v>
      </c>
      <c r="DK81" s="199">
        <f t="shared" si="352"/>
        <v>1156.5704386991022</v>
      </c>
      <c r="DL81" s="146">
        <f>DM81+各项系数!$M$9*$NQ81</f>
        <v>1198.5981192369559</v>
      </c>
      <c r="DM81" s="146">
        <f>DN81*(1+$EA81+(VLOOKUP($AM81,$A$12:$B$323,2,0))+各项系数!$J$6+各项系数!$M$5)*(1+$E$2)+各项系数!$M$9*$NK81</f>
        <v>1190.3081595458025</v>
      </c>
      <c r="DN81" s="199">
        <f>DO81+各项系数!$L$9*$NQ81</f>
        <v>1208.0888241485588</v>
      </c>
      <c r="DO81" s="199">
        <f>DP81*(1+$EB81+各项系数!$J$5+各项系数!$L$5)</f>
        <v>1199.7988644574054</v>
      </c>
      <c r="DP81" s="199">
        <f t="shared" si="353"/>
        <v>1164.8532664635004</v>
      </c>
      <c r="DQ81" s="146">
        <f>DR81+各项系数!$M$9*$NV81</f>
        <v>1191.6465452336847</v>
      </c>
      <c r="DR81" s="146">
        <f t="shared" si="354"/>
        <v>1183.3227130443206</v>
      </c>
      <c r="DS81" s="199">
        <f>DT81+各项系数!$L$9*$NV81</f>
        <v>1207.472156167674</v>
      </c>
      <c r="DT81" s="199">
        <f>DU81*(1+$EB81+各项系数!$J$5+各项系数!$L$5)</f>
        <v>1199.1483239783099</v>
      </c>
      <c r="DU81" s="199">
        <f t="shared" si="355"/>
        <v>1164.2216737653494</v>
      </c>
      <c r="DV81" s="146">
        <f>DW81+各项系数!$M$9*$NV81</f>
        <v>1190.343795278581</v>
      </c>
      <c r="DW81" s="146">
        <f t="shared" si="356"/>
        <v>1182.0199630892168</v>
      </c>
      <c r="DX81" s="199">
        <f>DY81+各项系数!$L$9*$NV81</f>
        <v>1206.1428194787927</v>
      </c>
      <c r="DY81" s="199">
        <f>DZ81*(1+$EB81+各项系数!$J$5+各项系数!$L$5)</f>
        <v>1197.8189872894286</v>
      </c>
      <c r="DZ81" s="199">
        <f t="shared" si="357"/>
        <v>1162.9310556208045</v>
      </c>
      <c r="EA81" s="214">
        <f t="shared" ref="EA81:EA96" si="439">BI81+$EA$2</f>
        <v>0</v>
      </c>
      <c r="EB81" s="214">
        <f t="shared" si="358"/>
        <v>0.01</v>
      </c>
      <c r="EC81" s="235">
        <f t="shared" si="408"/>
        <v>4</v>
      </c>
      <c r="ED81" s="237" t="str">
        <f t="shared" si="331"/>
        <v>4*500</v>
      </c>
      <c r="EE81" s="78">
        <f t="shared" si="239"/>
        <v>500</v>
      </c>
      <c r="EF81" s="78" t="str">
        <f>LOOKUP(EH81,{1,7,10,14,19,24,30,37,48,61},{1,"1+6","2+8","4+10","1+6+12","2+8+14","4+10+16","1+6+12+18","3+9+15+21","1+6+12+18+24"})</f>
        <v>1+6+12+18+24</v>
      </c>
      <c r="EG81" s="106">
        <f t="shared" si="359"/>
        <v>4</v>
      </c>
      <c r="EH81" s="199">
        <f>VLOOKUP(EE81,各项系数!$B$87:$C$124,2,0)</f>
        <v>61</v>
      </c>
      <c r="EI81" s="106">
        <f>IF(EH81=0,0,VLOOKUP(EH81,各项系数!$D$142:$E$195,2,0))*1</f>
        <v>9</v>
      </c>
      <c r="EJ81" s="240">
        <f t="shared" si="409"/>
        <v>314.10304232929502</v>
      </c>
      <c r="EK81" s="78">
        <f t="shared" si="332"/>
        <v>0</v>
      </c>
      <c r="EL81" s="78">
        <f t="shared" si="360"/>
        <v>0</v>
      </c>
      <c r="EM81" s="78">
        <f t="shared" si="333"/>
        <v>0</v>
      </c>
      <c r="EN81" s="78">
        <f>IF(EP81=0,0,LOOKUP(EP81,{1,7,10,14,19,24,30,37,48,61},{1,"1+6","2+8","4+10","1+6+12","2+8+14","4+10+16","1+6+12+18","3+9+15+21","1+6+12+18+24"}))</f>
        <v>0</v>
      </c>
      <c r="EO81" s="78">
        <f t="shared" si="334"/>
        <v>0</v>
      </c>
      <c r="EP81" s="78">
        <f>IF(EM81=0,0,IF(EM81&lt;10,1,IF(AND(EM81&gt;=10,EM81&lt;=35),7,LOOKUP(EM81,{50,70,95,120,150,185,240,300},{10,14,19,24,30,37,48,61})*1)))</f>
        <v>0</v>
      </c>
      <c r="EQ81" s="78">
        <f>IF(EP81=0,0,VLOOKUP(EP81,各项系数!$D$142:$E$195,2,0))*1</f>
        <v>0</v>
      </c>
      <c r="ER81" s="78">
        <f t="shared" si="335"/>
        <v>0</v>
      </c>
      <c r="ES81" s="237">
        <f t="shared" si="336"/>
        <v>4</v>
      </c>
      <c r="ET81" s="78">
        <f>VLOOKUP(ES81,各项系数!$D$142:$E$195,2,0)*1</f>
        <v>2.42</v>
      </c>
      <c r="EU81" s="243">
        <f>((各项系数!$F$76/4*$EJ81^2*$EG81*$EH81*1*10^-7)*(1-$H81)*AA81)*(VLOOKUP($EY$9,各项系数!$D$4:$F$143,3,0))*各项系数!$J$4</f>
        <v>17.058820797580989</v>
      </c>
      <c r="EV81" s="244">
        <f>EU81*(VLOOKUP($EY$9,各项系数!$D$4:$F$143,2,0))</f>
        <v>1117.3527622415547</v>
      </c>
      <c r="EW81" s="252">
        <f>(IF($EO81=0,0,(各项系数!$F$76/4*$ER81^2*$EO81*$EP81*1*10^-7))*(1-$K81)*$AF81)*(VLOOKUP($EY$9,各项系数!$D$4:$F$143,3,0))*各项系数!$J$4</f>
        <v>0</v>
      </c>
      <c r="EX81" s="253">
        <f>EW81*(VLOOKUP($EY$9,各项系数!$D$4:$F$143,2,0))</f>
        <v>0</v>
      </c>
      <c r="EY81" s="189">
        <f>((各项系数!$F$76/4*$EJ81^2*$EG81*$EH81*1*10^-7)*(1-$H81)*AA81+IF($EO81=0,0,(各项系数!$F$76/4*$ER81^2*$EO81*$EP81*1*10^-7))*(1-$K81)*$AF81)*(VLOOKUP($EY$9,各项系数!$D$4:$F$143,3,0))*各项系数!$J$4</f>
        <v>17.058820797580989</v>
      </c>
      <c r="EZ81" s="106">
        <v>1</v>
      </c>
      <c r="FA81" s="78">
        <f t="shared" si="268"/>
        <v>17.058820797580989</v>
      </c>
      <c r="FB81" s="246">
        <f>FA81*(VLOOKUP($EY$9,各项系数!$D$4:$F$143,2,0))</f>
        <v>1117.3527622415547</v>
      </c>
      <c r="FC81" s="257"/>
      <c r="FD81" s="237">
        <f>各项系数!$F$76/4*($MN81^2-MK81^2)*10^-2*(VLOOKUP(L81,各项系数!$D$1:$F$143,3,0))*10^-3*10^2*$EG81*各项系数!$J$4</f>
        <v>0.9219564646823466</v>
      </c>
      <c r="FE81" s="264">
        <f>FD81*VLOOKUP(L81,各项系数!$D$1:$F$143,2,0)</f>
        <v>9.4039559397599355</v>
      </c>
      <c r="FF81" s="106">
        <f>各项系数!$F$76/4*($MO81^2-ML81^2)*10^-2*(VLOOKUP(L81,各项系数!$D$1:$F$143,3,0))*10^-3*10^2*$EO81*各项系数!$J$4</f>
        <v>0</v>
      </c>
      <c r="FG81" s="264">
        <f>FF81*VLOOKUP(L81,各项系数!$D$1:$F$143,2,0)</f>
        <v>0</v>
      </c>
      <c r="FH81" s="237">
        <f t="shared" si="410"/>
        <v>0.9219564646823466</v>
      </c>
      <c r="FI81" s="106">
        <v>1</v>
      </c>
      <c r="FJ81" s="78">
        <f t="shared" si="269"/>
        <v>0.9219564646823466</v>
      </c>
      <c r="FK81" s="264">
        <f>FJ81*VLOOKUP(L81,各项系数!$D$1:$F$143,2,0)</f>
        <v>9.4039559397599355</v>
      </c>
      <c r="FL81" s="237"/>
      <c r="FM81" s="106"/>
      <c r="FN81" s="78"/>
      <c r="FO81" s="264"/>
      <c r="FP81" s="289">
        <f t="shared" si="270"/>
        <v>0.9219564646823466</v>
      </c>
      <c r="FQ81" s="289">
        <f t="shared" si="271"/>
        <v>9.4039559397599355</v>
      </c>
      <c r="FR81" s="283">
        <f>各项系数!$F$76/4*($MQ81^2-$MN81^2*$EG81-$MO81^2*$EO81)*10^-2</f>
        <v>15.561103887136232</v>
      </c>
      <c r="FS81" s="284">
        <f t="shared" si="411"/>
        <v>1</v>
      </c>
      <c r="FT81" s="285">
        <f t="shared" si="361"/>
        <v>15.561103887136232</v>
      </c>
      <c r="FU81" s="309">
        <f>$FT81*(VLOOKUP($FT$9,各项系数!$D$1:$F$143,3,0))*10^-3*10^2*各项系数!$J$55</f>
        <v>1.8579958041240663</v>
      </c>
      <c r="FV81" s="310">
        <v>1</v>
      </c>
      <c r="FW81" s="311">
        <f t="shared" si="272"/>
        <v>1.8579958041240663</v>
      </c>
      <c r="FX81" s="290">
        <f>FW81*(VLOOKUP($FT$9,各项系数!$D$1:$F$143,2,0))</f>
        <v>5.5739874123721993</v>
      </c>
      <c r="FY81" s="309">
        <f>IF($BK81&lt;&gt;$FY$9,0,各项系数!$F$76/4*($MS81^2-$MQ81^2)*10^-2*(VLOOKUP($FY$9,各项系数!$D$1:$F$143,3,0))*10^-3*10^2)*各项系数!$J$4</f>
        <v>0</v>
      </c>
      <c r="FZ81" s="310">
        <v>1</v>
      </c>
      <c r="GA81" s="311">
        <f t="shared" si="273"/>
        <v>0</v>
      </c>
      <c r="GB81" s="290">
        <f>GA81*(VLOOKUP($FY$9,各项系数!$D$1:$F$143,2,0))</f>
        <v>0</v>
      </c>
      <c r="GC81" s="309">
        <f>IF($BK81&lt;&gt;$GC$9,0,各项系数!$F$76/4*($MS81^2-$MQ81^2)*10^-2*(VLOOKUP($GC$9,各项系数!$D$1:$F$143,3,0))*10^-3*10^2)*各项系数!$J$4</f>
        <v>2.1554045927118438E-2</v>
      </c>
      <c r="GD81" s="310">
        <v>1</v>
      </c>
      <c r="GE81" s="311">
        <f t="shared" si="274"/>
        <v>2.1554045927118438E-2</v>
      </c>
      <c r="GF81" s="290">
        <f>GE81*(VLOOKUP($GC$9,各项系数!$D$1:$F$143,2,0))</f>
        <v>0.27804719245982784</v>
      </c>
      <c r="GG81" s="309">
        <f>IF($BK81&lt;&gt;$GG$9,0,各项系数!$F$76/4*($MS81^2-$MQ81^2)*10^-2*(VLOOKUP($GG$9,各项系数!$D$1:$F$143,3,0))*10^-3*10^2)*各项系数!$J$4</f>
        <v>0</v>
      </c>
      <c r="GH81" s="310">
        <v>1</v>
      </c>
      <c r="GI81" s="311">
        <f t="shared" si="275"/>
        <v>0</v>
      </c>
      <c r="GJ81" s="290">
        <f>GI81*(VLOOKUP($GG$9,各项系数!$D$1:$F$143,2,0))</f>
        <v>0</v>
      </c>
      <c r="GK81" s="309">
        <f>IF($BK81&lt;&gt;$GK$9,0,各项系数!$F$76/4*($MS81^2-$MQ81^2)*10^-2*(VLOOKUP($GK$9,各项系数!$D$1:$F$143,3,0))*10^-3*10^2)*各项系数!$J$4</f>
        <v>0</v>
      </c>
      <c r="GL81" s="310">
        <v>1</v>
      </c>
      <c r="GM81" s="311">
        <f t="shared" si="276"/>
        <v>0</v>
      </c>
      <c r="GN81" s="290">
        <f>GM81*(VLOOKUP($GK$9,各项系数!$D$1:$F$143,2,0))</f>
        <v>0</v>
      </c>
      <c r="GO81" s="311">
        <f t="shared" si="277"/>
        <v>2.1554045927118438E-2</v>
      </c>
      <c r="GP81" s="311">
        <f t="shared" si="278"/>
        <v>0.27804719245982784</v>
      </c>
      <c r="GQ81" s="317">
        <f>各项系数!$F$76/4*($MU81^2-$MS81^2)*10^-2*(VLOOKUP($S81,各项系数!$D$1:$F$143,3,0))*10^-3*10^2*各项系数!$J$4</f>
        <v>1.4664018770640996</v>
      </c>
      <c r="GR81" s="310">
        <v>1</v>
      </c>
      <c r="GS81" s="311">
        <f t="shared" si="279"/>
        <v>1.4664018770640996</v>
      </c>
      <c r="GT81" s="311">
        <f t="shared" si="200"/>
        <v>0</v>
      </c>
      <c r="GU81" s="311">
        <f>ROUND($GS81*(VLOOKUP($S81,各项系数!$D$1:$F$143,2,0))+$E$3*GS81,GT81)</f>
        <v>9</v>
      </c>
      <c r="GV81" s="315">
        <f>各项系数!$F$76/4*($MT81^2-$MS81^2)*10^-2*(VLOOKUP($GV$9,各项系数!$D$1:$F$143,3,0))*10^-3*10^2*各项系数!$J$4*PI()/4*R81</f>
        <v>0.11079072813594155</v>
      </c>
      <c r="GW81" s="310">
        <v>1</v>
      </c>
      <c r="GX81" s="311">
        <f t="shared" si="280"/>
        <v>0.11079072813594155</v>
      </c>
      <c r="GY81" s="311">
        <f>$GX81*(VLOOKUP($GV$9,各项系数!$D$1:$F$143,2,0))</f>
        <v>7.4783741491760551</v>
      </c>
      <c r="GZ81" s="317">
        <f>各项系数!$F$76/4*($MV81^2-$MS81^2)*10^-2*(VLOOKUP($GZ$9,各项系数!$D$1:$F$143,3,0))*10^-3*10^2*各项系数!$J$4</f>
        <v>1.3908615248403537</v>
      </c>
      <c r="HA81" s="310">
        <v>1</v>
      </c>
      <c r="HB81" s="311">
        <f t="shared" si="412"/>
        <v>1.3908615248403537</v>
      </c>
      <c r="HC81" s="311">
        <f>HB81*(VLOOKUP($GZ$9,各项系数!$D$1:$F$143,2,0))</f>
        <v>23.644645922286013</v>
      </c>
      <c r="HD81" s="317">
        <f>各项系数!$F$76/4*($MW81^2-$MT81^2)*10^-2*(VLOOKUP($HD$9,各项系数!$D$1:$F$143,3,0))*10^-3*10^2*各项系数!$J$4</f>
        <v>1.3935447842585267</v>
      </c>
      <c r="HE81" s="310">
        <v>1</v>
      </c>
      <c r="HF81" s="311">
        <f t="shared" si="413"/>
        <v>1.3935447842585267</v>
      </c>
      <c r="HG81" s="311">
        <f>HF81*(VLOOKUP($HD$9,各项系数!$D$1:$F$143,2,0))</f>
        <v>23.690261332394954</v>
      </c>
      <c r="HH81" s="317">
        <f>各项系数!$F$76/4*($MV81^2-$MS81^2)*10^-2*(VLOOKUP($HH$9,各项系数!$D$1:$F$143,3,0))*10^-3*10^2*各项系数!$J$4</f>
        <v>1.3908615248403537</v>
      </c>
      <c r="HI81" s="311">
        <v>1</v>
      </c>
      <c r="HJ81" s="311">
        <f t="shared" si="414"/>
        <v>1.3908615248403537</v>
      </c>
      <c r="HK81" s="311">
        <f>HJ81*(VLOOKUP($HH$9,各项系数!$D$1:$F$143,2,0))</f>
        <v>23.644645922286013</v>
      </c>
      <c r="HL81" s="317">
        <f>各项系数!$F$76/4*($MW81^2-$MT81^2)*10^-2*(VLOOKUP($HL$9,各项系数!$D$1:$F$143,3,0))*10^-3*10^2*各项系数!$J$4</f>
        <v>1.3935447842585267</v>
      </c>
      <c r="HM81" s="311">
        <v>1</v>
      </c>
      <c r="HN81" s="311">
        <f t="shared" si="362"/>
        <v>1.3935447842585267</v>
      </c>
      <c r="HO81" s="311">
        <f>HN81*(VLOOKUP($HL$9,各项系数!$D$1:$F$143,2,0))</f>
        <v>23.690261332394954</v>
      </c>
      <c r="HP81" s="317">
        <f>各项系数!$F$76/4*($MV81^2-$MS81^2)*10^-2*(VLOOKUP(AN81,各项系数!$D$1:$F$143,3,0))*10^-3*10^2*各项系数!$J$4</f>
        <v>1.4100458217347036</v>
      </c>
      <c r="HQ81" s="310">
        <v>1</v>
      </c>
      <c r="HR81" s="311">
        <f t="shared" si="281"/>
        <v>1.4100458217347036</v>
      </c>
      <c r="HS81" s="311">
        <f>HR81*(VLOOKUP(AN81,各项系数!$D$1:$F$143,2,0))</f>
        <v>14.100458217347036</v>
      </c>
      <c r="HT81" s="317">
        <f>各项系数!$F$76/4*($MW81^2-$MT81^2)*10^-2*(VLOOKUP(AN81,各项系数!$D$1:$F$143,3,0))*10^-3*10^2*各项系数!$J$4</f>
        <v>1.4127660916276097</v>
      </c>
      <c r="HU81" s="310">
        <v>1</v>
      </c>
      <c r="HV81" s="311">
        <f t="shared" si="282"/>
        <v>1.4127660916276097</v>
      </c>
      <c r="HW81" s="311">
        <f>HV81*(VLOOKUP(AN81,各项系数!$D$1:$F$143,2,0))</f>
        <v>14.127660916276097</v>
      </c>
      <c r="HX81" s="317">
        <f>各项系数!$F$76/4*($MV81^2-$MS81^2)*10^-2*(VLOOKUP($HX$9,各项系数!$D$1:$F$143,3,0))*10^-3*10^2*各项系数!$J$4</f>
        <v>1.4100458217347036</v>
      </c>
      <c r="HY81" s="311">
        <v>1</v>
      </c>
      <c r="HZ81" s="311">
        <f t="shared" si="283"/>
        <v>1.4100458217347036</v>
      </c>
      <c r="IA81" s="311">
        <f>HZ81*(VLOOKUP($HX$9,各项系数!$D$1:$F$143,2,0))</f>
        <v>15.51050403908174</v>
      </c>
      <c r="IB81" s="317">
        <f>各项系数!$F$76/4*($MW81^2-$MT81^2)*10^-2*(VLOOKUP($IB$9,各项系数!$D$1:$F$143,3,0))*10^-3*10^2*各项系数!$J$4</f>
        <v>1.4127660916276097</v>
      </c>
      <c r="IC81" s="311">
        <v>1</v>
      </c>
      <c r="ID81" s="311">
        <f t="shared" si="284"/>
        <v>1.4127660916276097</v>
      </c>
      <c r="IE81" s="311">
        <f>ID81*(VLOOKUP($IB$9,各项系数!$D$1:$F$143,2,0))</f>
        <v>15.540427007903707</v>
      </c>
      <c r="IF81" s="309"/>
      <c r="IG81" s="317">
        <f t="shared" si="415"/>
        <v>0.16074765994052775</v>
      </c>
      <c r="IH81" s="310">
        <v>1</v>
      </c>
      <c r="II81" s="311">
        <f t="shared" si="285"/>
        <v>0.16074765994052775</v>
      </c>
      <c r="IJ81" s="311">
        <f>II81*(VLOOKUP($IG$8,各项系数!$D$1:$F$143,2,0))</f>
        <v>4.0186914985131938</v>
      </c>
      <c r="IK81" s="317">
        <f>(各项系数!$F$76/4*($MX81^2-$MK81^2)*$EG81)*10^-2*(VLOOKUP($IG$8,各项系数!$D$1:$F$143,3,0))*10^-3*10^2*各项系数!$J$4</f>
        <v>0.16074765994052775</v>
      </c>
      <c r="IL81" s="310">
        <f>IK81*(VLOOKUP($IG$8,各项系数!$D$1:$F$143,2,0))</f>
        <v>4.0186914985131938</v>
      </c>
      <c r="IM81" s="311">
        <f>(各项系数!$F$76/4*(($MM81+3*$X81)^2-MM81^2)*$EO81)*10^-2*(VLOOKUP($IG$8,各项系数!$D$1:$F$143,3,0))*10^-3*10^2*各项系数!$J$4</f>
        <v>0</v>
      </c>
      <c r="IN81" s="310">
        <f>IM81*(VLOOKUP($IG$8,各项系数!$D$1:$F$143,2,0))</f>
        <v>0</v>
      </c>
      <c r="IO81" s="317">
        <f>各项系数!$F$76/4*($MZ81^2-$MX81^2)*10^-2*(VLOOKUP(L81,各项系数!$D$1:$F$143,3,0))*10^-3*10^2*$ES81*各项系数!$J$4</f>
        <v>0.94011160296373664</v>
      </c>
      <c r="IP81" s="310">
        <v>1</v>
      </c>
      <c r="IQ81" s="311">
        <f t="shared" si="286"/>
        <v>0.94011160296373664</v>
      </c>
      <c r="IR81" s="290">
        <f>IQ81*(VLOOKUP(L81,各项系数!$D$1:$F$143,2,0))</f>
        <v>9.5891383502301135</v>
      </c>
      <c r="IS81" s="317">
        <f>IF($L81&lt;&gt;$IS$9,0,各项系数!$F$76/4*($MZ81^2-$MX81^2)*10^-2*各项系数!$F$12*10^-3*10^2)*$ES81*各项系数!$J$4</f>
        <v>0</v>
      </c>
      <c r="IT81" s="310">
        <v>1</v>
      </c>
      <c r="IU81" s="311">
        <f t="shared" si="287"/>
        <v>0</v>
      </c>
      <c r="IV81" s="290">
        <f>IU81*各项系数!$E$12</f>
        <v>0</v>
      </c>
      <c r="IW81" s="309">
        <f t="shared" si="288"/>
        <v>0.94011160296373664</v>
      </c>
      <c r="IX81" s="309">
        <f t="shared" si="289"/>
        <v>9.5891383502301135</v>
      </c>
      <c r="IY81" s="339">
        <f>各项系数!$F$76/4*($NB81^2-$MZ81^2*$EG81-$NA81^2*$EO81)*10^-2</f>
        <v>16.137939504007331</v>
      </c>
      <c r="IZ81" s="284">
        <f t="shared" si="231"/>
        <v>1</v>
      </c>
      <c r="JA81" s="285">
        <f t="shared" si="363"/>
        <v>16.137939504007331</v>
      </c>
      <c r="JB81" s="289">
        <f>IF($DE81&lt;&gt;$JB$9,0,$JA81*各项系数!$F$32*10^-3*10^2)*各项系数!$J$4</f>
        <v>0</v>
      </c>
      <c r="JC81" s="106">
        <v>1</v>
      </c>
      <c r="JD81" s="78">
        <f t="shared" si="290"/>
        <v>0</v>
      </c>
      <c r="JE81" s="264">
        <f>JD81*各项系数!$E$32</f>
        <v>0</v>
      </c>
      <c r="JF81" s="282">
        <f>IF($DE81&lt;&gt;$JF$9,0,$JA81*VLOOKUP($JF$9,各项系数!$D$4:$F$540,2,0)*10^-3*10^2)*各项系数!$J$4</f>
        <v>8.0286249032436476</v>
      </c>
      <c r="JG81" s="102">
        <v>1</v>
      </c>
      <c r="JH81" s="189">
        <f t="shared" si="364"/>
        <v>8.0286249032436476</v>
      </c>
      <c r="JI81" s="262">
        <f>JH81*VLOOKUP($JF$9,各项系数!$D$4:$F$540,3,0)</f>
        <v>9.6343498838923765</v>
      </c>
      <c r="JJ81" s="289">
        <f t="shared" si="291"/>
        <v>8.0286249032436476</v>
      </c>
      <c r="JK81" s="78">
        <f t="shared" si="292"/>
        <v>9.6343498838923765</v>
      </c>
      <c r="JL81" s="289">
        <f>IF($DF81&lt;&gt;$JL$9,0,各项系数!$F$76/4*($NE81^2-$NC81^2)*10^-2*各项系数!$F$39*10^-3*10^2)*各项系数!$J$4</f>
        <v>9.0736278120916395E-3</v>
      </c>
      <c r="JM81" s="106">
        <v>1</v>
      </c>
      <c r="JN81" s="78">
        <f t="shared" si="293"/>
        <v>9.0736278120916395E-3</v>
      </c>
      <c r="JO81" s="264">
        <f>JN81*各项系数!$E$39</f>
        <v>0.18147255624183278</v>
      </c>
      <c r="JP81" s="289">
        <f>IF($DF81&lt;&gt;$JP$9,0,各项系数!$F$76/4*($NE81^2-$NC81^2)*10^-2*各项系数!$F$36*10^-3*10^2)*各项系数!$J$4</f>
        <v>0</v>
      </c>
      <c r="JQ81" s="106">
        <v>1</v>
      </c>
      <c r="JR81" s="78">
        <f t="shared" si="294"/>
        <v>0</v>
      </c>
      <c r="JS81" s="264">
        <f>JR81*各项系数!$E$36</f>
        <v>0</v>
      </c>
      <c r="JT81" s="289">
        <f>IF($DF81&lt;&gt;$JT$9,0,各项系数!$F$76/4*($NE81^2-$NC81^2)*10^-2*各项系数!$F$40*10^-3*10^2)*各项系数!$J$4</f>
        <v>0</v>
      </c>
      <c r="JU81" s="106">
        <v>1</v>
      </c>
      <c r="JV81" s="78">
        <f t="shared" si="295"/>
        <v>0</v>
      </c>
      <c r="JW81" s="264">
        <f>JV81*各项系数!$E$40</f>
        <v>0</v>
      </c>
      <c r="JX81" s="289">
        <f>IF($DF81&lt;&gt;$JX$9,0,各项系数!$F$76/4*($NE81^2-$NC81^2)*10^-2*各项系数!$F$38*10^-3*10^2)*各项系数!$J$4</f>
        <v>0</v>
      </c>
      <c r="JY81" s="106">
        <v>1</v>
      </c>
      <c r="JZ81" s="78">
        <f t="shared" si="296"/>
        <v>0</v>
      </c>
      <c r="KA81" s="264">
        <f>JZ81*各项系数!$E$38</f>
        <v>0</v>
      </c>
      <c r="KB81" s="289">
        <f>IF($DF81&lt;&gt;$KB$9,0,各项系数!$F$76/4*($NE81^2-$NC81^2)*10^-2*各项系数!$F$41*10^-3*10^2)*各项系数!$J$4</f>
        <v>0</v>
      </c>
      <c r="KC81" s="106">
        <v>1</v>
      </c>
      <c r="KD81" s="78">
        <f t="shared" si="297"/>
        <v>0</v>
      </c>
      <c r="KE81" s="264">
        <f>KD81*各项系数!$E$41</f>
        <v>0</v>
      </c>
      <c r="KF81" s="78">
        <f t="shared" si="298"/>
        <v>9.0736278120916395E-3</v>
      </c>
      <c r="KG81" s="78">
        <f t="shared" si="299"/>
        <v>0.18147255624183278</v>
      </c>
      <c r="KH81" s="237">
        <f>各项系数!$F$76/4*($NG81^2-$NE81^2)*10^-2*各项系数!$F$44*10^-3*10^2*各项系数!$J$4*0.75*$U81</f>
        <v>2.2412927709698169</v>
      </c>
      <c r="KI81" s="106">
        <v>1</v>
      </c>
      <c r="KJ81" s="78">
        <f t="shared" si="300"/>
        <v>2.2412927709698169</v>
      </c>
      <c r="KK81" s="78">
        <f>ROUND(KJ81*各项系数!$E$43,GT81)</f>
        <v>13</v>
      </c>
      <c r="KL81" s="235">
        <f>各项系数!$F$76/4*($NF81^2-$NE81^2)*10^-2*各项系数!$F$46*10^-3*10^2*各项系数!$J$4*PI()/4*R81</f>
        <v>0.11290832736926192</v>
      </c>
      <c r="KM81" s="106">
        <v>1</v>
      </c>
      <c r="KN81" s="78">
        <f t="shared" si="301"/>
        <v>0.11290832736926192</v>
      </c>
      <c r="KO81" s="78">
        <f>KN81*各项系数!$E$46</f>
        <v>7.6213120974251796</v>
      </c>
      <c r="KP81" s="237">
        <f>各项系数!$F$76/4*($NH81^2-$NE81^2)*10^-2*(VLOOKUP($KP$9,各项系数!$D$1:$F$143,3,0))*10^-3*10^2*各项系数!$J$4</f>
        <v>1.4162854078275353</v>
      </c>
      <c r="KQ81" s="106">
        <v>1</v>
      </c>
      <c r="KR81" s="78">
        <f t="shared" si="416"/>
        <v>1.4162854078275353</v>
      </c>
      <c r="KS81" s="78">
        <f>KR81*(VLOOKUP($KP$9,各项系数!$D$1:$F$143,2,0))</f>
        <v>24.076851933068099</v>
      </c>
      <c r="KT81" s="237">
        <f>各项系数!$F$76/4*($NI81^2-$NF81^2)*10^-2*(VLOOKUP($KT$9,各项系数!$D$1:$F$143,3,0))*10^-3*10^2*各项系数!$J$4</f>
        <v>1.418968667245708</v>
      </c>
      <c r="KU81" s="106">
        <v>1</v>
      </c>
      <c r="KV81" s="78">
        <f t="shared" si="417"/>
        <v>1.418968667245708</v>
      </c>
      <c r="KW81" s="78">
        <f>KV81*(VLOOKUP($KT$9,各项系数!$D$1:$F$143,2,0))</f>
        <v>24.122467343177036</v>
      </c>
      <c r="KX81" s="78">
        <f>各项系数!$F$76/4*($NH81^2-$NE81^2)*10^-2*(VLOOKUP($KX$9,各项系数!$D$1:$F$143,3,0))*10^-3*10^2*各项系数!$J$4</f>
        <v>1.4162854078275353</v>
      </c>
      <c r="KY81" s="355">
        <v>1</v>
      </c>
      <c r="KZ81" s="78">
        <f t="shared" si="418"/>
        <v>1.4162854078275353</v>
      </c>
      <c r="LA81" s="78">
        <f>KZ81*(VLOOKUP($KX$9,各项系数!$D$1:$F$143,2,0))</f>
        <v>24.076851933068099</v>
      </c>
      <c r="LB81" s="78">
        <f>各项系数!$F$76/4*($NI81^2-$NF81^2)*10^-2*(VLOOKUP($LB$9,各项系数!$D$1:$F$143,3,0))*10^-3*10^2*各项系数!$J$4</f>
        <v>1.418968667245708</v>
      </c>
      <c r="LC81" s="355">
        <v>1</v>
      </c>
      <c r="LD81" s="78">
        <f t="shared" si="419"/>
        <v>1.418968667245708</v>
      </c>
      <c r="LE81" s="78">
        <f>LD81*(VLOOKUP($LB$9,各项系数!$D$1:$F$143,2,0))</f>
        <v>24.122467343177036</v>
      </c>
      <c r="LF81" s="237">
        <f>各项系数!$F$76/4*($NH81^2-$NE81^2)*10^-2*(VLOOKUP(AN81,各项系数!$D$1:$F$143,3,0))*10^-3*10^2*各项系数!$J$4</f>
        <v>1.4358203789699842</v>
      </c>
      <c r="LG81" s="106">
        <v>1</v>
      </c>
      <c r="LH81" s="78">
        <f t="shared" si="302"/>
        <v>1.4358203789699842</v>
      </c>
      <c r="LI81" s="78">
        <f>LH81*(VLOOKUP(AN81,各项系数!$D$1:$F$143,2,0))</f>
        <v>14.358203789699841</v>
      </c>
      <c r="LJ81" s="237">
        <f>各项系数!$F$76/4*($NI81^2-$NF81^2)*10^-2*(VLOOKUP(AN81,各项系数!$D$1:$F$143,3,0))*10^-3*10^2*各项系数!$J$4</f>
        <v>1.4385406488628902</v>
      </c>
      <c r="LK81" s="106">
        <v>1</v>
      </c>
      <c r="LL81" s="78">
        <f t="shared" si="303"/>
        <v>1.4385406488628902</v>
      </c>
      <c r="LM81" s="78">
        <f>LL81*(VLOOKUP(AN81,各项系数!$D$1:$F$143,2,0))</f>
        <v>14.385406488628902</v>
      </c>
      <c r="LN81" s="78">
        <f>各项系数!$F$76/4*($NH81^2-$NE81^2)*10^-2*(VLOOKUP($LN$9,各项系数!$D$1:$F$143,3,0))*10^-3*10^2*各项系数!$J$4</f>
        <v>1.4358203789699842</v>
      </c>
      <c r="LO81" s="355">
        <v>1</v>
      </c>
      <c r="LP81" s="78">
        <f t="shared" si="304"/>
        <v>1.4358203789699842</v>
      </c>
      <c r="LQ81" s="78">
        <f>LP81*(VLOOKUP($LN$9,各项系数!$D$1:$F$143,2,0))</f>
        <v>15.794024168669825</v>
      </c>
      <c r="LR81" s="78">
        <f>各项系数!$F$76/4*($NI81^2-$NF81^2)*10^-2*(VLOOKUP($LR$9,各项系数!$D$1:$F$143,3,0))*10^-3*10^2*各项系数!$J$4</f>
        <v>1.4385406488628902</v>
      </c>
      <c r="LS81" s="355">
        <v>1</v>
      </c>
      <c r="LT81" s="78">
        <f t="shared" si="305"/>
        <v>1.4385406488628902</v>
      </c>
      <c r="LU81" s="78">
        <f>LT81*(VLOOKUP($LR$9,各项系数!$D$1:$F$143,2,0))</f>
        <v>15.823947137491793</v>
      </c>
      <c r="LV81" s="367">
        <f t="shared" si="420"/>
        <v>2510.6095498</v>
      </c>
      <c r="LW81" s="367">
        <f t="shared" si="421"/>
        <v>1890.7059572600001</v>
      </c>
      <c r="LX81" s="367">
        <f t="shared" si="422"/>
        <v>49.064463639683076</v>
      </c>
      <c r="LY81" s="367">
        <f t="shared" si="423"/>
        <v>619.90359253999986</v>
      </c>
      <c r="LZ81" s="374">
        <f t="shared" si="365"/>
        <v>1</v>
      </c>
      <c r="MA81" s="375">
        <f t="shared" si="366"/>
        <v>2510.6095498</v>
      </c>
      <c r="MB81" s="367">
        <f t="shared" si="424"/>
        <v>28.269273779999999</v>
      </c>
      <c r="MC81" s="367">
        <f t="shared" si="425"/>
        <v>0</v>
      </c>
      <c r="MD81" s="367">
        <f t="shared" si="426"/>
        <v>0</v>
      </c>
      <c r="ME81" s="367">
        <f t="shared" si="427"/>
        <v>0</v>
      </c>
      <c r="MF81" s="367">
        <f t="shared" si="428"/>
        <v>0</v>
      </c>
      <c r="MG81" s="379">
        <f t="shared" si="429"/>
        <v>1</v>
      </c>
      <c r="MH81" s="375">
        <f t="shared" si="367"/>
        <v>0</v>
      </c>
      <c r="MI81" s="367">
        <f t="shared" si="430"/>
        <v>0</v>
      </c>
      <c r="MJ81" s="78">
        <f t="shared" si="368"/>
        <v>28.269273779999999</v>
      </c>
      <c r="MK81" s="78">
        <f t="shared" si="431"/>
        <v>28.269273779999999</v>
      </c>
      <c r="ML81" s="78">
        <f t="shared" si="306"/>
        <v>0</v>
      </c>
      <c r="MM81" s="78">
        <f t="shared" si="369"/>
        <v>0</v>
      </c>
      <c r="MN81" s="78">
        <f t="shared" si="370"/>
        <v>32.669273779999997</v>
      </c>
      <c r="MO81" s="189">
        <f t="shared" si="432"/>
        <v>0</v>
      </c>
      <c r="MP81" s="78">
        <f t="shared" si="433"/>
        <v>79.059642550000007</v>
      </c>
      <c r="MQ81" s="78">
        <f t="shared" si="307"/>
        <v>79.059642550000007</v>
      </c>
      <c r="MR81" s="246">
        <f t="shared" si="434"/>
        <v>79.059642550000007</v>
      </c>
      <c r="MS81" s="380">
        <f t="shared" si="371"/>
        <v>79.235642550000009</v>
      </c>
      <c r="MT81" s="382">
        <f t="shared" si="372"/>
        <v>79.395642550000005</v>
      </c>
      <c r="MU81" s="382">
        <f t="shared" si="373"/>
        <v>80.735642550000009</v>
      </c>
      <c r="MV81" s="382">
        <f t="shared" si="374"/>
        <v>86.635642550000014</v>
      </c>
      <c r="MW81" s="382">
        <f t="shared" si="375"/>
        <v>86.795642550000011</v>
      </c>
      <c r="MX81" s="246">
        <f t="shared" si="376"/>
        <v>28.86927378</v>
      </c>
      <c r="MY81" s="246">
        <f t="shared" si="377"/>
        <v>0</v>
      </c>
      <c r="MZ81" s="78">
        <f t="shared" si="378"/>
        <v>33.269273779999999</v>
      </c>
      <c r="NA81" s="78">
        <f t="shared" si="379"/>
        <v>0</v>
      </c>
      <c r="NB81" s="78">
        <f t="shared" si="435"/>
        <v>80.511642550000005</v>
      </c>
      <c r="NC81" s="246">
        <f t="shared" si="308"/>
        <v>80.511642550000005</v>
      </c>
      <c r="ND81" s="246">
        <f t="shared" si="436"/>
        <v>80.511642550000005</v>
      </c>
      <c r="NE81" s="386">
        <f t="shared" si="437"/>
        <v>80.75164255</v>
      </c>
      <c r="NF81" s="382">
        <f t="shared" si="380"/>
        <v>80.911642549999996</v>
      </c>
      <c r="NG81" s="150">
        <f t="shared" si="381"/>
        <v>82.25164255</v>
      </c>
      <c r="NH81" s="246">
        <f t="shared" si="382"/>
        <v>88.151642550000005</v>
      </c>
      <c r="NI81" s="382">
        <f t="shared" si="383"/>
        <v>88.311642550000002</v>
      </c>
      <c r="NK81" s="390">
        <f t="shared" si="384"/>
        <v>21.270372934049224</v>
      </c>
      <c r="NL81" s="390">
        <f t="shared" si="385"/>
        <v>1146.7092110034937</v>
      </c>
      <c r="NM81" s="390">
        <f t="shared" si="386"/>
        <v>21.270372934049224</v>
      </c>
      <c r="NN81" s="390">
        <f t="shared" si="387"/>
        <v>1148.1192568252284</v>
      </c>
      <c r="NO81" s="390">
        <f t="shared" si="388"/>
        <v>27.633198970510975</v>
      </c>
      <c r="NP81" s="390">
        <f t="shared" si="389"/>
        <v>1155.1346183201322</v>
      </c>
      <c r="NQ81" s="390">
        <f t="shared" si="390"/>
        <v>27.633198970510975</v>
      </c>
      <c r="NR81" s="390">
        <f t="shared" si="391"/>
        <v>1156.5704386991022</v>
      </c>
      <c r="NS81" s="390">
        <f t="shared" si="392"/>
        <v>21.381163662185166</v>
      </c>
      <c r="NT81" s="390">
        <f t="shared" si="393"/>
        <v>21.381163662185166</v>
      </c>
      <c r="NU81" s="390">
        <f t="shared" si="394"/>
        <v>27.746107297880236</v>
      </c>
      <c r="NV81" s="390">
        <f t="shared" si="395"/>
        <v>27.746107297880236</v>
      </c>
      <c r="NW81" s="9">
        <f t="shared" si="396"/>
        <v>22.736774811113325</v>
      </c>
      <c r="NX81" s="9">
        <f>各项系数!$M$9*NK81</f>
        <v>6.3811118802147666</v>
      </c>
      <c r="NY81" s="9">
        <f t="shared" si="397"/>
        <v>21.381163662185166</v>
      </c>
    </row>
    <row r="82" spans="1:389" s="9" customFormat="1" ht="15" hidden="1" customHeight="1">
      <c r="A82" s="65"/>
      <c r="B82" s="66"/>
      <c r="C82" s="67"/>
      <c r="D82" s="58" t="s">
        <v>922</v>
      </c>
      <c r="E82" s="54">
        <f t="shared" si="325"/>
        <v>97.39159617</v>
      </c>
      <c r="F82" s="68">
        <f>$F$34</f>
        <v>357.20659441456399</v>
      </c>
      <c r="G82" s="58"/>
      <c r="H82" s="16"/>
      <c r="I82" s="62"/>
      <c r="J82" s="16"/>
      <c r="K82" s="16"/>
      <c r="L82" s="107" t="s">
        <v>467</v>
      </c>
      <c r="M82" s="98">
        <f t="shared" si="339"/>
        <v>2.4</v>
      </c>
      <c r="N82" s="98">
        <f t="shared" si="340"/>
        <v>0</v>
      </c>
      <c r="O82" s="58">
        <f t="shared" si="438"/>
        <v>0.08</v>
      </c>
      <c r="P82" s="99">
        <v>0.1</v>
      </c>
      <c r="Q82" s="136">
        <f t="shared" si="337"/>
        <v>0.1</v>
      </c>
      <c r="R82" s="151">
        <v>0.8</v>
      </c>
      <c r="S82" s="144" t="str">
        <f>各项系数!$D$43</f>
        <v>钢带</v>
      </c>
      <c r="T82" s="62">
        <v>0.5</v>
      </c>
      <c r="U82" s="62">
        <v>2</v>
      </c>
      <c r="V82" s="143"/>
      <c r="W82" s="145">
        <v>3.9</v>
      </c>
      <c r="X82" s="139">
        <f t="shared" si="338"/>
        <v>0.2</v>
      </c>
      <c r="Y82" s="139"/>
      <c r="Z82" s="169"/>
      <c r="AA82" s="170">
        <f>$AA$34</f>
        <v>1.03</v>
      </c>
      <c r="AB82" s="153">
        <f>PI()*EJ82*EJ82/4*EH82*(1-H82)*AA82*各项系数!$F$5*各项系数!$J$4*10^-7</f>
        <v>5.5695578399086223</v>
      </c>
      <c r="AC82" s="170">
        <f t="shared" si="327"/>
        <v>357.20659441456399</v>
      </c>
      <c r="AD82" s="153">
        <f t="shared" si="341"/>
        <v>629.64517072523745</v>
      </c>
      <c r="AE82" s="153">
        <f>POWER(4*EU82/PI()/EG82/10^-7/EH82/(1-H82)/各项系数!$F$5/各项系数!$J$4,0.5)</f>
        <v>362.52509930492863</v>
      </c>
      <c r="AF82" s="16">
        <v>1</v>
      </c>
      <c r="AG82" s="16">
        <f>IF(EM82=0,0,PI()*ER82*ER82/4*EP82*(1-K82)*(1+AF82)*各项系数!$F$5*各项系数!$J$4*10^-7)</f>
        <v>0</v>
      </c>
      <c r="AH82" s="16">
        <f t="shared" si="328"/>
        <v>0</v>
      </c>
      <c r="AI82" s="69">
        <f t="shared" si="398"/>
        <v>0</v>
      </c>
      <c r="AJ82" s="69">
        <f>IF(OR(EP82="",EP82=0),0,POWER(4*EW82/PI()/EO82/10^-7/EP82/(1-K82)/各项系数!$F$5/各项系数!$J$4,0.5))</f>
        <v>0</v>
      </c>
      <c r="AK82" s="16" t="str">
        <f t="shared" si="342"/>
        <v>√</v>
      </c>
      <c r="AL82" s="16">
        <f t="shared" si="329"/>
        <v>1541.0050164512613</v>
      </c>
      <c r="AM82" s="106">
        <f t="shared" si="330"/>
        <v>630</v>
      </c>
      <c r="AN82" s="107" t="s">
        <v>486</v>
      </c>
      <c r="AO82" s="146">
        <f>AP82+各项系数!$M$9*$NK82</f>
        <v>1510.789231814962</v>
      </c>
      <c r="AP82" s="146">
        <f>AQ82*(1+$BI82+(VLOOKUP($AM82,$A$12:$B$323,2,0))+各项系数!$J$6+各项系数!$M$5)*(1+$E$2)</f>
        <v>1502.5407028356267</v>
      </c>
      <c r="AQ82" s="199">
        <f>AR82+各项系数!$L$9*$NK82</f>
        <v>1533.2047988118641</v>
      </c>
      <c r="AR82" s="199">
        <f>AS82*(1+$BJ82+各项系数!$J$5+各项系数!$L$5)</f>
        <v>1524.9562698325287</v>
      </c>
      <c r="AS82" s="199">
        <f t="shared" si="399"/>
        <v>1495.0551665024791</v>
      </c>
      <c r="AT82" s="146">
        <f>AU82+各项系数!$M$9*$NM82</f>
        <v>1522.1252220508215</v>
      </c>
      <c r="AU82" s="146">
        <f>AV82*(1+$BI82+(VLOOKUP($AM82,$A$12:$B$323,2,0))+各项系数!$J$6+各项系数!$M$5)*(1+$E$2)</f>
        <v>1513.8766930714862</v>
      </c>
      <c r="AV82" s="199">
        <f>AW82+各项系数!$L$9*$NM82</f>
        <v>1544.7721357872308</v>
      </c>
      <c r="AW82" s="199">
        <f>AX82*(1+$BJ82+各项系数!$J$5+各项系数!$L$5)</f>
        <v>1536.5236068078955</v>
      </c>
      <c r="AX82" s="199">
        <f t="shared" si="400"/>
        <v>1506.395692948917</v>
      </c>
      <c r="AY82" s="146">
        <f>AZ82+各项系数!$M$9*$NS82</f>
        <v>1519.343711900201</v>
      </c>
      <c r="AZ82" s="146">
        <f>BA82*(1+$BI82+(VLOOKUP($AM82,$A$12:$B$214,2,0))+各项系数!$J$6+各项系数!$M$5)*(1+$E$2)</f>
        <v>1511.0576060402655</v>
      </c>
      <c r="BA82" s="199">
        <f>BB82+各项系数!$L$9*$NS82</f>
        <v>1541.8955163676178</v>
      </c>
      <c r="BB82" s="199">
        <f>BC82*(1+$BJ82+各项系数!$J$5+各项系数!$L$5)</f>
        <v>1533.6094105076822</v>
      </c>
      <c r="BC82" s="199">
        <f t="shared" si="401"/>
        <v>1503.5386377526297</v>
      </c>
      <c r="BD82" s="146">
        <f>BE82+各项系数!$M$9*$NS82</f>
        <v>1530.6991023657288</v>
      </c>
      <c r="BE82" s="146">
        <f>BF82*(1+$BI82+(VLOOKUP($AM82,$A$12:$B$214,2,0))+各项系数!$J$6+各项系数!$M$5)*(1+$E$2)</f>
        <v>1522.4129965057932</v>
      </c>
      <c r="BF82" s="199">
        <f>BG82+各项系数!$L$9*$NS82</f>
        <v>1553.4826494957074</v>
      </c>
      <c r="BG82" s="199">
        <f>BH82*(1+$BJ82+各项系数!$J$5+各项系数!$L$5)</f>
        <v>1545.1965436357718</v>
      </c>
      <c r="BH82" s="199">
        <f t="shared" si="402"/>
        <v>1514.8985721919332</v>
      </c>
      <c r="BI82" s="214"/>
      <c r="BJ82" s="215"/>
      <c r="BK82" s="78" t="s">
        <v>514</v>
      </c>
      <c r="BL82" s="146">
        <f>BM82+各项系数!$M$9*$NM82</f>
        <v>1527.1319560919831</v>
      </c>
      <c r="BM82" s="146">
        <f>BN82*(1+$CF82+(VLOOKUP($AM82,$A$12:$B$323,2,0))+各项系数!$J$6+各项系数!$M$5)*(1+$E$2)</f>
        <v>1518.8834271126477</v>
      </c>
      <c r="BN82" s="199">
        <f>BO82+各项系数!$L$9*$NM82</f>
        <v>1549.8810480741304</v>
      </c>
      <c r="BO82" s="199">
        <f>BP82*(1+$CG82+各项系数!$J$5+各项系数!$L$5)</f>
        <v>1541.632519094795</v>
      </c>
      <c r="BP82" s="199">
        <f t="shared" si="403"/>
        <v>1496.7306010629077</v>
      </c>
      <c r="BQ82" s="146">
        <f>BR82+各项系数!$M$9*$NM82</f>
        <v>1536.8878998417208</v>
      </c>
      <c r="BR82" s="146">
        <f>BS82*(1+$CF82+(VLOOKUP($AM82,$A$12:$B$323,2,0))+各项系数!$J$6+各项系数!$M$5)*(1+$E$2)</f>
        <v>1528.6393708623855</v>
      </c>
      <c r="BS82" s="199">
        <f>BT82+各项系数!$L$9*$NM82</f>
        <v>1559.8360927167198</v>
      </c>
      <c r="BT82" s="199">
        <f>BU82*(1+$CG82+各项系数!$J$5+各项系数!$L$5)</f>
        <v>1551.5875637373845</v>
      </c>
      <c r="BU82" s="199">
        <f t="shared" si="404"/>
        <v>1506.395692948917</v>
      </c>
      <c r="BV82" s="146">
        <f>BW82+各项系数!$M$9*$NT82</f>
        <v>1527.6601828520656</v>
      </c>
      <c r="BW82" s="146">
        <f>BX82*(1+$CF82+(VLOOKUP($AM82,$A$12:$B$214,2,0))+各项系数!$J$6+各项系数!$M$5)*(1+$E$2)</f>
        <v>1519.3740769921301</v>
      </c>
      <c r="BX82" s="199">
        <f>BY82+各项系数!$L$9*$NT$12</f>
        <v>1550.3817112164593</v>
      </c>
      <c r="BY82" s="199">
        <f>BZ82*(1+$CG82+各项系数!$J$5+各项系数!$L$5)</f>
        <v>1550.3734478133042</v>
      </c>
      <c r="BZ82" s="199">
        <f t="shared" si="343"/>
        <v>1505.2169396245672</v>
      </c>
      <c r="CA82" s="146">
        <f>CB82+各项系数!$M$9*$NT82</f>
        <v>1537.4328227655649</v>
      </c>
      <c r="CB82" s="146">
        <f>CC82*(1+$CF82+(VLOOKUP($AM82,$A$12:$B$214,2,0))+各项系数!$J$6+各项系数!$M$5)*(1+$E$2)</f>
        <v>1529.1467169056293</v>
      </c>
      <c r="CC82" s="199">
        <f>CD82+各项系数!$L$9*$NT$12</f>
        <v>1560.3537927608463</v>
      </c>
      <c r="CD82" s="199">
        <f>CE82*(1+$CG82+各项系数!$J$5+各项系数!$L$5)</f>
        <v>1560.3455293576912</v>
      </c>
      <c r="CE82" s="199">
        <f t="shared" si="405"/>
        <v>1514.8985721919332</v>
      </c>
      <c r="CF82" s="214">
        <f t="shared" si="406"/>
        <v>0</v>
      </c>
      <c r="CG82" s="214">
        <f t="shared" si="344"/>
        <v>0.01</v>
      </c>
      <c r="CH82" s="106"/>
      <c r="CI82" s="146">
        <f>CJ82+各项系数!$M$9*$NO82</f>
        <v>1533.8954701416553</v>
      </c>
      <c r="CJ82" s="146">
        <f>CK82*(1+$DC82+(VLOOKUP($AM82,$A$12:$B$323,2,0))+各项系数!$J$6+各项系数!$M$5)*(1+$E$2)+各项系数!$M$9*$NK82</f>
        <v>1523.2272513367361</v>
      </c>
      <c r="CK82" s="199">
        <f>CL82+各项系数!$L$9*$NO82</f>
        <v>1545.8966554667354</v>
      </c>
      <c r="CL82" s="199">
        <f>CM82*(1+$DD82+各项系数!$J$5+各项系数!$L$5)</f>
        <v>1535.2284366618162</v>
      </c>
      <c r="CM82" s="199">
        <f t="shared" si="345"/>
        <v>1505.1259182958981</v>
      </c>
      <c r="CN82" s="146">
        <f>CO82+各项系数!$M$9*$NO82</f>
        <v>1544.9598912831677</v>
      </c>
      <c r="CO82" s="146">
        <f>CP82*(1+$DC82+(VLOOKUP($AM82,$A$12:$B$323,2,0))+各项系数!$J$6+各项系数!$M$5)*(1+$E$2)+各项系数!$M$9*$NK82</f>
        <v>1534.2916724782485</v>
      </c>
      <c r="CP82" s="199">
        <f>CQ82+各项系数!$L$9*$NO82</f>
        <v>1557.1868811213401</v>
      </c>
      <c r="CQ82" s="199">
        <f>CR82*(1+$DD82+各项系数!$J$5+各项系数!$L$5)</f>
        <v>1546.5186623164209</v>
      </c>
      <c r="CR82" s="199">
        <f t="shared" si="346"/>
        <v>1516.1947669768831</v>
      </c>
      <c r="CS82" s="146">
        <f>CT82+各项系数!$M$9*$NU82</f>
        <v>1534.3455598745727</v>
      </c>
      <c r="CT82" s="146">
        <f t="shared" si="347"/>
        <v>1523.6391289092833</v>
      </c>
      <c r="CU82" s="199">
        <f>CV82+各项系数!$L$9*$NU82</f>
        <v>1554.7338050094727</v>
      </c>
      <c r="CV82" s="199">
        <f>CW82*(1+$DD82+各项系数!$J$5+各项系数!$L$5)</f>
        <v>1544.0273740441833</v>
      </c>
      <c r="CW82" s="199">
        <f t="shared" si="348"/>
        <v>1513.7523274942973</v>
      </c>
      <c r="CX82" s="146">
        <f>CY82+各项系数!$M$9*$NU82</f>
        <v>1545.8847675162058</v>
      </c>
      <c r="CY82" s="146">
        <f t="shared" si="349"/>
        <v>1535.1783365509164</v>
      </c>
      <c r="CZ82" s="199">
        <f>DA82+各项系数!$L$9*$NU82</f>
        <v>1566.5085066846086</v>
      </c>
      <c r="DA82" s="199">
        <f>DB82*(1+$DD82+各项系数!$J$5+各项系数!$L$5)</f>
        <v>1555.8020757193192</v>
      </c>
      <c r="DB82" s="199">
        <f t="shared" si="350"/>
        <v>1525.2961526659992</v>
      </c>
      <c r="DC82" s="214">
        <f t="shared" si="407"/>
        <v>0</v>
      </c>
      <c r="DD82" s="214">
        <f t="shared" si="351"/>
        <v>0</v>
      </c>
      <c r="DE82" s="78" t="s">
        <v>498</v>
      </c>
      <c r="DF82" s="78" t="s">
        <v>513</v>
      </c>
      <c r="DG82" s="146">
        <f>DH82+各项系数!$M$9*$NQ82</f>
        <v>1550.3643109398963</v>
      </c>
      <c r="DH82" s="146">
        <f>DI82*(1+$EA82+(VLOOKUP($AM82,$A$12:$B$323,2,0))+各项系数!$J$6+各项系数!$M$5)*(1+$E$2)+各项系数!$M$9*$NK82</f>
        <v>1539.6960921349771</v>
      </c>
      <c r="DI82" s="199">
        <f>DJ82+各项系数!$L$9*$NQ82</f>
        <v>1562.7015950567773</v>
      </c>
      <c r="DJ82" s="199">
        <f>DK82*(1+$EB82+各项系数!$J$5+各项系数!$L$5)</f>
        <v>1552.033376251858</v>
      </c>
      <c r="DK82" s="199">
        <f t="shared" si="352"/>
        <v>1506.8285206328719</v>
      </c>
      <c r="DL82" s="146">
        <f>DM82+各项系数!$M$9*$NQ82</f>
        <v>1560.2784508412726</v>
      </c>
      <c r="DM82" s="146">
        <f>DN82*(1+$EA82+(VLOOKUP($AM82,$A$12:$B$323,2,0))+各项系数!$J$6+各项系数!$M$5)*(1+$E$2)+各项系数!$M$9*$NK82</f>
        <v>1549.6102320363534</v>
      </c>
      <c r="DN82" s="199">
        <f>DO82+各项系数!$L$9*$NQ82</f>
        <v>1572.8180643438959</v>
      </c>
      <c r="DO82" s="199">
        <f>DP82*(1+$EB82+各项系数!$J$5+各项系数!$L$5)</f>
        <v>1562.1498455389767</v>
      </c>
      <c r="DP82" s="199">
        <f t="shared" si="353"/>
        <v>1516.6503354747347</v>
      </c>
      <c r="DQ82" s="146">
        <f>DR82+各项系数!$M$9*$NV82</f>
        <v>1550.9018337471953</v>
      </c>
      <c r="DR82" s="146">
        <f t="shared" si="354"/>
        <v>1540.1954027819058</v>
      </c>
      <c r="DS82" s="199">
        <f>DT82+各项系数!$L$9*$NV82</f>
        <v>1571.6279620223529</v>
      </c>
      <c r="DT82" s="199">
        <f>DU82*(1+$EB82+各项系数!$J$5+各项系数!$L$5)</f>
        <v>1560.9215310570635</v>
      </c>
      <c r="DU82" s="199">
        <f t="shared" si="355"/>
        <v>1515.45779714278</v>
      </c>
      <c r="DV82" s="146">
        <f>DW82+各项系数!$M$9*$NV82</f>
        <v>1548.8870608424827</v>
      </c>
      <c r="DW82" s="146">
        <f t="shared" si="356"/>
        <v>1538.1806298771933</v>
      </c>
      <c r="DX82" s="199">
        <f>DY82+各项系数!$L$9*$NV82</f>
        <v>1569.5720713032586</v>
      </c>
      <c r="DY82" s="199">
        <f>DZ82*(1+$EB82+各项系数!$J$5+各项系数!$L$5)</f>
        <v>1558.8656403379691</v>
      </c>
      <c r="DZ82" s="199">
        <f t="shared" si="357"/>
        <v>1513.4617867358922</v>
      </c>
      <c r="EA82" s="214">
        <f t="shared" si="439"/>
        <v>0</v>
      </c>
      <c r="EB82" s="214">
        <f t="shared" si="358"/>
        <v>0.01</v>
      </c>
      <c r="EC82" s="235">
        <f t="shared" si="408"/>
        <v>4</v>
      </c>
      <c r="ED82" s="237" t="str">
        <f t="shared" si="331"/>
        <v>4*630</v>
      </c>
      <c r="EE82" s="78">
        <f t="shared" si="239"/>
        <v>630</v>
      </c>
      <c r="EF82" s="78" t="str">
        <f>LOOKUP(EH82,{1,7,10,14,19,24,30,37,48,61},{1,"1+6","2+8","4+10","1+6+12","2+8+14","4+10+16","1+6+12+18","3+9+15+21","1+6+12+18+24"})</f>
        <v>1+6+12+18+24</v>
      </c>
      <c r="EG82" s="106">
        <f t="shared" si="359"/>
        <v>4</v>
      </c>
      <c r="EH82" s="199">
        <f>VLOOKUP(EE82,各项系数!$B$87:$C$124,2,0)</f>
        <v>61</v>
      </c>
      <c r="EI82" s="106">
        <f>IF(EH82=0,0,VLOOKUP(EH82,各项系数!$D$142:$E$195,2,0))*1</f>
        <v>9</v>
      </c>
      <c r="EJ82" s="240">
        <f t="shared" si="409"/>
        <v>357.20659441456399</v>
      </c>
      <c r="EK82" s="78">
        <f t="shared" si="332"/>
        <v>0</v>
      </c>
      <c r="EL82" s="78">
        <f t="shared" si="360"/>
        <v>0</v>
      </c>
      <c r="EM82" s="78">
        <f t="shared" si="333"/>
        <v>0</v>
      </c>
      <c r="EN82" s="78">
        <f>IF(EP82=0,0,LOOKUP(EP82,{1,7,10,14,19,24,30,37,48,61},{1,"1+6","2+8","4+10","1+6+12","2+8+14","4+10+16","1+6+12+18","3+9+15+21","1+6+12+18+24"}))</f>
        <v>0</v>
      </c>
      <c r="EO82" s="78">
        <f t="shared" si="334"/>
        <v>0</v>
      </c>
      <c r="EP82" s="78">
        <f>IF(EM82=0,0,IF(EM82&lt;10,1,IF(AND(EM82&gt;=10,EM82&lt;=35),7,LOOKUP(EM82,{50,70,95,120,150,185,240,300},{10,14,19,24,30,37,48,61})*1)))</f>
        <v>0</v>
      </c>
      <c r="EQ82" s="78">
        <f>IF(EP82=0,0,VLOOKUP(EP82,各项系数!$D$142:$E$195,2,0))*1</f>
        <v>0</v>
      </c>
      <c r="ER82" s="78">
        <f t="shared" si="335"/>
        <v>0</v>
      </c>
      <c r="ES82" s="237">
        <f t="shared" si="336"/>
        <v>4</v>
      </c>
      <c r="ET82" s="78">
        <f>VLOOKUP(ES82,各项系数!$D$142:$E$195,2,0)*1</f>
        <v>2.42</v>
      </c>
      <c r="EU82" s="243">
        <f>((各项系数!$F$76/4*$EJ82^2*$EG82*$EH82*1*10^-7)*(1-$H82)*AA82)*(VLOOKUP($EY$9,各项系数!$D$4:$F$143,3,0))*各项系数!$J$4</f>
        <v>22.278231359634489</v>
      </c>
      <c r="EV82" s="244">
        <f>EU82*(VLOOKUP($EY$9,各项系数!$D$4:$F$143,2,0))</f>
        <v>1459.224154056059</v>
      </c>
      <c r="EW82" s="252">
        <f>(IF($EO82=0,0,(各项系数!$F$76/4*$ER82^2*$EO82*$EP82*1*10^-7))*(1-$K82)*$AF82)*(VLOOKUP($EY$9,各项系数!$D$4:$F$143,3,0))*各项系数!$J$4</f>
        <v>0</v>
      </c>
      <c r="EX82" s="253">
        <f>EW82*(VLOOKUP($EY$9,各项系数!$D$4:$F$143,2,0))</f>
        <v>0</v>
      </c>
      <c r="EY82" s="189">
        <f>((各项系数!$F$76/4*$EJ82^2*$EG82*$EH82*1*10^-7)*(1-$H82)*AA82+IF($EO82=0,0,(各项系数!$F$76/4*$ER82^2*$EO82*$EP82*1*10^-7))*(1-$K82)*$AF82)*(VLOOKUP($EY$9,各项系数!$D$4:$F$143,3,0))*各项系数!$J$4</f>
        <v>22.278231359634489</v>
      </c>
      <c r="EZ82" s="106">
        <v>1</v>
      </c>
      <c r="FA82" s="78">
        <f t="shared" si="268"/>
        <v>22.278231359634489</v>
      </c>
      <c r="FB82" s="246">
        <f>FA82*(VLOOKUP($EY$9,各项系数!$D$4:$F$143,2,0))</f>
        <v>1459.224154056059</v>
      </c>
      <c r="FC82" s="257"/>
      <c r="FD82" s="237">
        <f>各项系数!$F$76/4*($MN82^2-MK82^2)*10^-2*(VLOOKUP(L82,各项系数!$D$1:$F$143,3,0))*10^-3*10^2*$EG82*各项系数!$J$4</f>
        <v>1.1404263485341837</v>
      </c>
      <c r="FE82" s="264">
        <f>FD82*VLOOKUP(L82,各项系数!$D$1:$F$143,2,0)</f>
        <v>11.632348755048673</v>
      </c>
      <c r="FF82" s="106">
        <f>各项系数!$F$76/4*($MO82^2-ML82^2)*10^-2*(VLOOKUP(L82,各项系数!$D$1:$F$143,3,0))*10^-3*10^2*$EO82*各项系数!$J$4</f>
        <v>0</v>
      </c>
      <c r="FG82" s="264">
        <f>FF82*VLOOKUP(L82,各项系数!$D$1:$F$143,2,0)</f>
        <v>0</v>
      </c>
      <c r="FH82" s="237">
        <f t="shared" si="410"/>
        <v>1.1404263485341837</v>
      </c>
      <c r="FI82" s="106">
        <v>1</v>
      </c>
      <c r="FJ82" s="78">
        <f t="shared" si="269"/>
        <v>1.1404263485341837</v>
      </c>
      <c r="FK82" s="264">
        <f>FJ82*VLOOKUP(L82,各项系数!$D$1:$F$143,2,0)</f>
        <v>11.632348755048673</v>
      </c>
      <c r="FL82" s="237"/>
      <c r="FM82" s="106"/>
      <c r="FN82" s="78"/>
      <c r="FO82" s="264"/>
      <c r="FP82" s="289">
        <f t="shared" si="270"/>
        <v>1.1404263485341837</v>
      </c>
      <c r="FQ82" s="289">
        <f t="shared" si="271"/>
        <v>11.632348755048673</v>
      </c>
      <c r="FR82" s="283">
        <f>各项系数!$F$76/4*($MQ82^2-$MN82^2*$EG82-$MO82^2*$EO82)*10^-2</f>
        <v>19.904774511808398</v>
      </c>
      <c r="FS82" s="284">
        <f t="shared" si="411"/>
        <v>1</v>
      </c>
      <c r="FT82" s="285">
        <f t="shared" si="361"/>
        <v>19.904774511808398</v>
      </c>
      <c r="FU82" s="309">
        <f>$FT82*(VLOOKUP($FT$9,各项系数!$D$1:$F$143,3,0))*10^-3*10^2*各项系数!$J$55</f>
        <v>2.3766300767099224</v>
      </c>
      <c r="FV82" s="310">
        <v>1</v>
      </c>
      <c r="FW82" s="311">
        <f t="shared" si="272"/>
        <v>2.3766300767099224</v>
      </c>
      <c r="FX82" s="290">
        <f>FW82*(VLOOKUP($FT$9,各项系数!$D$1:$F$143,2,0))</f>
        <v>7.1298902301297673</v>
      </c>
      <c r="FY82" s="309">
        <f>IF($BK82&lt;&gt;$FY$9,0,各项系数!$F$76/4*($MS82^2-$MQ82^2)*10^-2*(VLOOKUP($FY$9,各项系数!$D$1:$F$143,3,0))*10^-3*10^2)*各项系数!$J$4</f>
        <v>0</v>
      </c>
      <c r="FZ82" s="310">
        <v>1</v>
      </c>
      <c r="GA82" s="311">
        <f t="shared" si="273"/>
        <v>0</v>
      </c>
      <c r="GB82" s="290">
        <f>GA82*(VLOOKUP($FY$9,各项系数!$D$1:$F$143,2,0))</f>
        <v>0</v>
      </c>
      <c r="GC82" s="309">
        <f>IF($BK82&lt;&gt;$GC$9,0,各项系数!$F$76/4*($MS82^2-$MQ82^2)*10^-2*(VLOOKUP($GC$9,各项系数!$D$1:$F$143,3,0))*10^-3*10^2)*各项系数!$J$4</f>
        <v>2.4374252477220141E-2</v>
      </c>
      <c r="GD82" s="310">
        <v>1</v>
      </c>
      <c r="GE82" s="311">
        <f t="shared" si="274"/>
        <v>2.4374252477220141E-2</v>
      </c>
      <c r="GF82" s="290">
        <f>GE82*(VLOOKUP($GC$9,各项系数!$D$1:$F$143,2,0))</f>
        <v>0.31442785695613984</v>
      </c>
      <c r="GG82" s="309">
        <f>IF($BK82&lt;&gt;$GG$9,0,各项系数!$F$76/4*($MS82^2-$MQ82^2)*10^-2*(VLOOKUP($GG$9,各项系数!$D$1:$F$143,3,0))*10^-3*10^2)*各项系数!$J$4</f>
        <v>0</v>
      </c>
      <c r="GH82" s="310">
        <v>1</v>
      </c>
      <c r="GI82" s="311">
        <f t="shared" si="275"/>
        <v>0</v>
      </c>
      <c r="GJ82" s="290">
        <f>GI82*(VLOOKUP($GG$9,各项系数!$D$1:$F$143,2,0))</f>
        <v>0</v>
      </c>
      <c r="GK82" s="309">
        <f>IF($BK82&lt;&gt;$GK$9,0,各项系数!$F$76/4*($MS82^2-$MQ82^2)*10^-2*(VLOOKUP($GK$9,各项系数!$D$1:$F$143,3,0))*10^-3*10^2)*各项系数!$J$4</f>
        <v>0</v>
      </c>
      <c r="GL82" s="310">
        <v>1</v>
      </c>
      <c r="GM82" s="311">
        <f t="shared" si="276"/>
        <v>0</v>
      </c>
      <c r="GN82" s="290">
        <f>GM82*(VLOOKUP($GK$9,各项系数!$D$1:$F$143,2,0))</f>
        <v>0</v>
      </c>
      <c r="GO82" s="311">
        <f t="shared" si="277"/>
        <v>2.4374252477220141E-2</v>
      </c>
      <c r="GP82" s="311">
        <f t="shared" si="278"/>
        <v>0.31442785695613984</v>
      </c>
      <c r="GQ82" s="317">
        <f>各项系数!$F$76/4*($MU82^2-$MS82^2)*10^-2*(VLOOKUP($S82,各项系数!$D$1:$F$143,3,0))*10^-3*10^2*各项系数!$J$4</f>
        <v>1.6562608235327032</v>
      </c>
      <c r="GR82" s="310">
        <v>1</v>
      </c>
      <c r="GS82" s="311">
        <f t="shared" si="279"/>
        <v>1.6562608235327032</v>
      </c>
      <c r="GT82" s="311">
        <f t="shared" si="200"/>
        <v>0</v>
      </c>
      <c r="GU82" s="311">
        <f>ROUND($GS82*(VLOOKUP($S82,各项系数!$D$1:$F$143,2,0))+$E$3*GS82,GT82)</f>
        <v>10</v>
      </c>
      <c r="GV82" s="315">
        <f>各项系数!$F$76/4*($MT82^2-$MS82^2)*10^-2*(VLOOKUP($GV$9,各项系数!$D$1:$F$143,3,0))*10^-3*10^2*各项系数!$J$4*PI()/4*R82</f>
        <v>0.12525626866760539</v>
      </c>
      <c r="GW82" s="310">
        <v>1</v>
      </c>
      <c r="GX82" s="311">
        <f t="shared" si="280"/>
        <v>0.12525626866760539</v>
      </c>
      <c r="GY82" s="311">
        <f>$GX82*(VLOOKUP($GV$9,各项系数!$D$1:$F$143,2,0))</f>
        <v>8.4547981350633634</v>
      </c>
      <c r="GZ82" s="317">
        <f>各项系数!$F$76/4*($MV82^2-$MS82^2)*10^-2*(VLOOKUP($GZ$9,各项系数!$D$1:$F$143,3,0))*10^-3*10^2*各项系数!$J$4</f>
        <v>1.652639532395495</v>
      </c>
      <c r="HA82" s="310">
        <v>1</v>
      </c>
      <c r="HB82" s="311">
        <f t="shared" si="412"/>
        <v>1.652639532395495</v>
      </c>
      <c r="HC82" s="311">
        <f>HB82*(VLOOKUP($GZ$9,各项系数!$D$1:$F$143,2,0))</f>
        <v>28.094872050723414</v>
      </c>
      <c r="HD82" s="317">
        <f>各项系数!$F$76/4*($MW82^2-$MT82^2)*10^-2*(VLOOKUP($HD$9,各项系数!$D$1:$F$143,3,0))*10^-3*10^2*各项系数!$J$4</f>
        <v>1.6554678328632986</v>
      </c>
      <c r="HE82" s="310">
        <v>1</v>
      </c>
      <c r="HF82" s="311">
        <f t="shared" si="413"/>
        <v>1.6554678328632986</v>
      </c>
      <c r="HG82" s="311">
        <f>HF82*(VLOOKUP($HD$9,各项系数!$D$1:$F$143,2,0))</f>
        <v>28.142953158676075</v>
      </c>
      <c r="HH82" s="317">
        <f>各项系数!$F$76/4*($MV82^2-$MS82^2)*10^-2*(VLOOKUP($HH$9,各项系数!$D$1:$F$143,3,0))*10^-3*10^2*各项系数!$J$4</f>
        <v>1.652639532395495</v>
      </c>
      <c r="HI82" s="311">
        <v>1</v>
      </c>
      <c r="HJ82" s="311">
        <f t="shared" si="414"/>
        <v>1.652639532395495</v>
      </c>
      <c r="HK82" s="311">
        <f>HJ82*(VLOOKUP($HH$9,各项系数!$D$1:$F$143,2,0))</f>
        <v>28.094872050723414</v>
      </c>
      <c r="HL82" s="317">
        <f>各项系数!$F$76/4*($MW82^2-$MT82^2)*10^-2*(VLOOKUP($HL$9,各项系数!$D$1:$F$143,3,0))*10^-3*10^2*各项系数!$J$4</f>
        <v>1.6554678328632986</v>
      </c>
      <c r="HM82" s="311">
        <v>1</v>
      </c>
      <c r="HN82" s="311">
        <f t="shared" si="362"/>
        <v>1.6554678328632986</v>
      </c>
      <c r="HO82" s="311">
        <f>HN82*(VLOOKUP($HL$9,各项系数!$D$1:$F$143,2,0))</f>
        <v>28.142953158676075</v>
      </c>
      <c r="HP82" s="317">
        <f>各项系数!$F$76/4*($MV82^2-$MS82^2)*10^-2*(VLOOKUP(AN82,各项系数!$D$1:$F$143,3,0))*10^-3*10^2*各项系数!$J$4</f>
        <v>1.6754345604285363</v>
      </c>
      <c r="HQ82" s="310">
        <v>1</v>
      </c>
      <c r="HR82" s="311">
        <f t="shared" si="281"/>
        <v>1.6754345604285363</v>
      </c>
      <c r="HS82" s="311">
        <f>HR82*(VLOOKUP(AN82,各项系数!$D$1:$F$143,2,0))</f>
        <v>16.754345604285362</v>
      </c>
      <c r="HT82" s="317">
        <f>各项系数!$F$76/4*($MW82^2-$MT82^2)*10^-2*(VLOOKUP(AN82,各项系数!$D$1:$F$143,3,0))*10^-3*10^2*各项系数!$J$4</f>
        <v>1.6783018719372753</v>
      </c>
      <c r="HU82" s="310">
        <v>1</v>
      </c>
      <c r="HV82" s="311">
        <f t="shared" si="282"/>
        <v>1.6783018719372753</v>
      </c>
      <c r="HW82" s="311">
        <f>HV82*(VLOOKUP(AN82,各项系数!$D$1:$F$143,2,0))</f>
        <v>16.783018719372752</v>
      </c>
      <c r="HX82" s="317">
        <f>各项系数!$F$76/4*($MV82^2-$MS82^2)*10^-2*(VLOOKUP($HX$9,各项系数!$D$1:$F$143,3,0))*10^-3*10^2*各项系数!$J$4</f>
        <v>1.6754345604285363</v>
      </c>
      <c r="HY82" s="311">
        <v>1</v>
      </c>
      <c r="HZ82" s="311">
        <f t="shared" si="283"/>
        <v>1.6754345604285363</v>
      </c>
      <c r="IA82" s="311">
        <f>HZ82*(VLOOKUP($HX$9,各项系数!$D$1:$F$143,2,0))</f>
        <v>18.4297801647139</v>
      </c>
      <c r="IB82" s="317">
        <f>各项系数!$F$76/4*($MW82^2-$MT82^2)*10^-2*(VLOOKUP($IB$9,各项系数!$D$1:$F$143,3,0))*10^-3*10^2*各项系数!$J$4</f>
        <v>1.6783018719372753</v>
      </c>
      <c r="IC82" s="311">
        <v>1</v>
      </c>
      <c r="ID82" s="311">
        <f t="shared" si="284"/>
        <v>1.6783018719372753</v>
      </c>
      <c r="IE82" s="311">
        <f>ID82*(VLOOKUP($IB$9,各项系数!$D$1:$F$143,2,0))</f>
        <v>18.461320591310027</v>
      </c>
      <c r="IF82" s="309"/>
      <c r="IG82" s="317">
        <f t="shared" si="415"/>
        <v>0.18257501073436572</v>
      </c>
      <c r="IH82" s="310">
        <v>1</v>
      </c>
      <c r="II82" s="311">
        <f t="shared" si="285"/>
        <v>0.18257501073436572</v>
      </c>
      <c r="IJ82" s="311">
        <f>II82*(VLOOKUP($IG$8,各项系数!$D$1:$F$143,2,0))</f>
        <v>4.564375268359143</v>
      </c>
      <c r="IK82" s="317">
        <f>(各项系数!$F$76/4*($MX82^2-$MK82^2)*$EG82)*10^-2*(VLOOKUP($IG$8,各项系数!$D$1:$F$143,3,0))*10^-3*10^2*各项系数!$J$4</f>
        <v>0.18257501073436572</v>
      </c>
      <c r="IL82" s="310">
        <f>IK82*(VLOOKUP($IG$8,各项系数!$D$1:$F$143,2,0))</f>
        <v>4.564375268359143</v>
      </c>
      <c r="IM82" s="311">
        <f>(各项系数!$F$76/4*(($MM82+3*$X82)^2-MM82^2)*$EO82)*10^-2*(VLOOKUP($IG$8,各项系数!$D$1:$F$143,3,0))*10^-3*10^2*各项系数!$J$4</f>
        <v>0</v>
      </c>
      <c r="IN82" s="310">
        <f>IM82*(VLOOKUP($IG$8,各项系数!$D$1:$F$143,2,0))</f>
        <v>0</v>
      </c>
      <c r="IO82" s="317">
        <f>各项系数!$F$76/4*($MZ82^2-$MX82^2)*10^-2*(VLOOKUP(L82,各项系数!$D$1:$F$143,3,0))*10^-3*10^2*$ES82*各项系数!$J$4</f>
        <v>1.1602319539320618</v>
      </c>
      <c r="IP82" s="310">
        <v>1</v>
      </c>
      <c r="IQ82" s="311">
        <f t="shared" si="286"/>
        <v>1.1602319539320618</v>
      </c>
      <c r="IR82" s="290">
        <f>IQ82*(VLOOKUP(L82,各项系数!$D$1:$F$143,2,0))</f>
        <v>11.83436593010703</v>
      </c>
      <c r="IS82" s="317">
        <f>IF($L82&lt;&gt;$IS$9,0,各项系数!$F$76/4*($MZ82^2-$MX82^2)*10^-2*各项系数!$F$12*10^-3*10^2)*$ES82*各项系数!$J$4</f>
        <v>0</v>
      </c>
      <c r="IT82" s="310">
        <v>1</v>
      </c>
      <c r="IU82" s="311">
        <f t="shared" si="287"/>
        <v>0</v>
      </c>
      <c r="IV82" s="290">
        <f>IU82*各项系数!$E$12</f>
        <v>0</v>
      </c>
      <c r="IW82" s="309">
        <f t="shared" si="288"/>
        <v>1.1602319539320618</v>
      </c>
      <c r="IX82" s="309">
        <f t="shared" si="289"/>
        <v>11.83436593010703</v>
      </c>
      <c r="IY82" s="339">
        <f>各项系数!$F$76/4*($NB82^2-$MZ82^2*$EG82-$NA82^2*$EO82)*10^-2</f>
        <v>20.556481780976988</v>
      </c>
      <c r="IZ82" s="284">
        <f t="shared" si="231"/>
        <v>1</v>
      </c>
      <c r="JA82" s="285">
        <f t="shared" si="363"/>
        <v>20.556481780976988</v>
      </c>
      <c r="JB82" s="289">
        <f>IF($DE82&lt;&gt;$JB$9,0,$JA82*各项系数!$F$32*10^-3*10^2)*各项系数!$J$4</f>
        <v>0</v>
      </c>
      <c r="JC82" s="106">
        <v>1</v>
      </c>
      <c r="JD82" s="78">
        <f t="shared" si="290"/>
        <v>0</v>
      </c>
      <c r="JE82" s="264">
        <f>JD82*各项系数!$E$32</f>
        <v>0</v>
      </c>
      <c r="JF82" s="282">
        <f>IF($DE82&lt;&gt;$JF$9,0,$JA82*VLOOKUP($JF$9,各项系数!$D$4:$F$540,2,0)*10^-3*10^2)*各项系数!$J$4</f>
        <v>10.226849686036051</v>
      </c>
      <c r="JG82" s="102">
        <v>1</v>
      </c>
      <c r="JH82" s="189">
        <f t="shared" si="364"/>
        <v>10.226849686036051</v>
      </c>
      <c r="JI82" s="262">
        <f>JH82*VLOOKUP($JF$9,各项系数!$D$4:$F$540,3,0)</f>
        <v>12.272219623243261</v>
      </c>
      <c r="JJ82" s="289">
        <f t="shared" si="291"/>
        <v>10.226849686036051</v>
      </c>
      <c r="JK82" s="78">
        <f t="shared" si="292"/>
        <v>12.272219623243261</v>
      </c>
      <c r="JL82" s="289">
        <f>IF($DF82&lt;&gt;$JL$9,0,各项系数!$F$76/4*($NE82^2-$NC82^2)*10^-2*各项系数!$F$39*10^-3*10^2)*各项系数!$J$4</f>
        <v>1.0239002419571411E-2</v>
      </c>
      <c r="JM82" s="106">
        <v>1</v>
      </c>
      <c r="JN82" s="78">
        <f t="shared" si="293"/>
        <v>1.0239002419571411E-2</v>
      </c>
      <c r="JO82" s="264">
        <f>JN82*各项系数!$E$39</f>
        <v>0.20478004839142822</v>
      </c>
      <c r="JP82" s="289">
        <f>IF($DF82&lt;&gt;$JP$9,0,各项系数!$F$76/4*($NE82^2-$NC82^2)*10^-2*各项系数!$F$36*10^-3*10^2)*各项系数!$J$4</f>
        <v>0</v>
      </c>
      <c r="JQ82" s="106">
        <v>1</v>
      </c>
      <c r="JR82" s="78">
        <f t="shared" si="294"/>
        <v>0</v>
      </c>
      <c r="JS82" s="264">
        <f>JR82*各项系数!$E$36</f>
        <v>0</v>
      </c>
      <c r="JT82" s="289">
        <f>IF($DF82&lt;&gt;$JT$9,0,各项系数!$F$76/4*($NE82^2-$NC82^2)*10^-2*各项系数!$F$40*10^-3*10^2)*各项系数!$J$4</f>
        <v>0</v>
      </c>
      <c r="JU82" s="106">
        <v>1</v>
      </c>
      <c r="JV82" s="78">
        <f t="shared" si="295"/>
        <v>0</v>
      </c>
      <c r="JW82" s="264">
        <f>JV82*各项系数!$E$40</f>
        <v>0</v>
      </c>
      <c r="JX82" s="289">
        <f>IF($DF82&lt;&gt;$JX$9,0,各项系数!$F$76/4*($NE82^2-$NC82^2)*10^-2*各项系数!$F$38*10^-3*10^2)*各项系数!$J$4</f>
        <v>0</v>
      </c>
      <c r="JY82" s="106">
        <v>1</v>
      </c>
      <c r="JZ82" s="78">
        <f t="shared" si="296"/>
        <v>0</v>
      </c>
      <c r="KA82" s="264">
        <f>JZ82*各项系数!$E$38</f>
        <v>0</v>
      </c>
      <c r="KB82" s="289">
        <f>IF($DF82&lt;&gt;$KB$9,0,各项系数!$F$76/4*($NE82^2-$NC82^2)*10^-2*各项系数!$F$41*10^-3*10^2)*各项系数!$J$4</f>
        <v>0</v>
      </c>
      <c r="KC82" s="106">
        <v>1</v>
      </c>
      <c r="KD82" s="78">
        <f t="shared" si="297"/>
        <v>0</v>
      </c>
      <c r="KE82" s="264">
        <f>KD82*各项系数!$E$41</f>
        <v>0</v>
      </c>
      <c r="KF82" s="78">
        <f t="shared" si="298"/>
        <v>1.0239002419571411E-2</v>
      </c>
      <c r="KG82" s="78">
        <f t="shared" si="299"/>
        <v>0.20478004839142822</v>
      </c>
      <c r="KH82" s="237">
        <f>各项系数!$F$76/4*($NG82^2-$NE82^2)*10^-2*各项系数!$F$44*10^-3*10^2*各项系数!$J$4*0.75*$U82</f>
        <v>2.5260811906727056</v>
      </c>
      <c r="KI82" s="106">
        <v>1</v>
      </c>
      <c r="KJ82" s="78">
        <f t="shared" si="300"/>
        <v>2.5260811906727056</v>
      </c>
      <c r="KK82" s="78">
        <f>ROUND(KJ82*各项系数!$E$43,GT82)</f>
        <v>15</v>
      </c>
      <c r="KL82" s="235">
        <f>各项系数!$F$76/4*($NF82^2-$NE82^2)*10^-2*各项系数!$F$46*10^-3*10^2*各项系数!$J$4*PI()/4*R82</f>
        <v>0.12737386790091779</v>
      </c>
      <c r="KM82" s="106">
        <v>1</v>
      </c>
      <c r="KN82" s="78">
        <f t="shared" si="301"/>
        <v>0.12737386790091779</v>
      </c>
      <c r="KO82" s="78">
        <f>KN82*各项系数!$E$46</f>
        <v>8.5977360833119505</v>
      </c>
      <c r="KP82" s="237">
        <f>各项系数!$F$76/4*($NH82^2-$NE82^2)*10^-2*(VLOOKUP($KP$9,各项系数!$D$1:$F$143,3,0))*10^-3*10^2*各项系数!$J$4</f>
        <v>1.6794376793279284</v>
      </c>
      <c r="KQ82" s="106">
        <v>1</v>
      </c>
      <c r="KR82" s="78">
        <f t="shared" si="416"/>
        <v>1.6794376793279284</v>
      </c>
      <c r="KS82" s="78">
        <f>KR82*(VLOOKUP($KP$9,各项系数!$D$1:$F$143,2,0))</f>
        <v>28.550440548574784</v>
      </c>
      <c r="KT82" s="237">
        <f>各项系数!$F$76/4*($NI82^2-$NF82^2)*10^-2*(VLOOKUP($KT$9,各项系数!$D$1:$F$143,3,0))*10^-3*10^2*各项系数!$J$4</f>
        <v>1.6822659797957351</v>
      </c>
      <c r="KU82" s="106">
        <v>1</v>
      </c>
      <c r="KV82" s="78">
        <f t="shared" si="417"/>
        <v>1.6822659797957351</v>
      </c>
      <c r="KW82" s="78">
        <f>KV82*(VLOOKUP($KT$9,各项系数!$D$1:$F$143,2,0))</f>
        <v>28.598521656527495</v>
      </c>
      <c r="KX82" s="78">
        <f>各项系数!$F$76/4*($NH82^2-$NE82^2)*10^-2*(VLOOKUP($KX$9,各项系数!$D$1:$F$143,3,0))*10^-3*10^2*各项系数!$J$4</f>
        <v>1.6794376793279284</v>
      </c>
      <c r="KY82" s="355">
        <v>1</v>
      </c>
      <c r="KZ82" s="78">
        <f t="shared" si="418"/>
        <v>1.6794376793279284</v>
      </c>
      <c r="LA82" s="78">
        <f>KZ82*(VLOOKUP($KX$9,各项系数!$D$1:$F$143,2,0))</f>
        <v>28.550440548574784</v>
      </c>
      <c r="LB82" s="78">
        <f>各项系数!$F$76/4*($NI82^2-$NF82^2)*10^-2*(VLOOKUP($LB$9,各项系数!$D$1:$F$143,3,0))*10^-3*10^2*各项系数!$J$4</f>
        <v>1.6822659797957351</v>
      </c>
      <c r="LC82" s="355">
        <v>1</v>
      </c>
      <c r="LD82" s="78">
        <f t="shared" si="419"/>
        <v>1.6822659797957351</v>
      </c>
      <c r="LE82" s="78">
        <f>LD82*(VLOOKUP($LB$9,各项系数!$D$1:$F$143,2,0))</f>
        <v>28.598521656527495</v>
      </c>
      <c r="LF82" s="237">
        <f>各项系数!$F$76/4*($NH82^2-$NE82^2)*10^-2*(VLOOKUP(AN82,各项系数!$D$1:$F$143,3,0))*10^-3*10^2*各项系数!$J$4</f>
        <v>1.702602336973831</v>
      </c>
      <c r="LG82" s="106">
        <v>1</v>
      </c>
      <c r="LH82" s="78">
        <f t="shared" si="302"/>
        <v>1.702602336973831</v>
      </c>
      <c r="LI82" s="78">
        <f>LH82*(VLOOKUP(AN82,各项系数!$D$1:$F$143,2,0))</f>
        <v>17.026023369738311</v>
      </c>
      <c r="LJ82" s="237">
        <f>各项系数!$F$76/4*($NI82^2-$NF82^2)*10^-2*(VLOOKUP(AN82,各项系数!$D$1:$F$143,3,0))*10^-3*10^2*各项系数!$J$4</f>
        <v>1.7054696484825727</v>
      </c>
      <c r="LK82" s="106">
        <v>1</v>
      </c>
      <c r="LL82" s="78">
        <f t="shared" si="303"/>
        <v>1.7054696484825727</v>
      </c>
      <c r="LM82" s="78">
        <f>LL82*(VLOOKUP(AN82,各项系数!$D$1:$F$143,2,0))</f>
        <v>17.054696484825726</v>
      </c>
      <c r="LN82" s="78">
        <f>各项系数!$F$76/4*($NH82^2-$NE82^2)*10^-2*(VLOOKUP($LN$9,各项系数!$D$1:$F$143,3,0))*10^-3*10^2*各项系数!$J$4</f>
        <v>1.702602336973831</v>
      </c>
      <c r="LO82" s="355">
        <v>1</v>
      </c>
      <c r="LP82" s="78">
        <f t="shared" si="304"/>
        <v>1.702602336973831</v>
      </c>
      <c r="LQ82" s="78">
        <f>LP82*(VLOOKUP($LN$9,各项系数!$D$1:$F$143,2,0))</f>
        <v>18.72862570671214</v>
      </c>
      <c r="LR82" s="78">
        <f>各项系数!$F$76/4*($NI82^2-$NF82^2)*10^-2*(VLOOKUP($LR$9,各项系数!$D$1:$F$143,3,0))*10^-3*10^2*各项系数!$J$4</f>
        <v>1.7054696484825727</v>
      </c>
      <c r="LS82" s="355">
        <v>1</v>
      </c>
      <c r="LT82" s="78">
        <f t="shared" si="305"/>
        <v>1.7054696484825727</v>
      </c>
      <c r="LU82" s="78">
        <f>LT82*(VLOOKUP($LR$9,各项系数!$D$1:$F$143,2,0))</f>
        <v>18.760166133308299</v>
      </c>
      <c r="LV82" s="367">
        <f t="shared" si="420"/>
        <v>3246.9367315200002</v>
      </c>
      <c r="LW82" s="367">
        <f t="shared" si="421"/>
        <v>2445.2239583099999</v>
      </c>
      <c r="LX82" s="367">
        <f t="shared" si="422"/>
        <v>55.797453700452472</v>
      </c>
      <c r="LY82" s="367">
        <f t="shared" si="423"/>
        <v>801.71277321000025</v>
      </c>
      <c r="LZ82" s="374">
        <f t="shared" si="365"/>
        <v>1</v>
      </c>
      <c r="MA82" s="375">
        <f t="shared" si="366"/>
        <v>3246.9367315200002</v>
      </c>
      <c r="MB82" s="367">
        <f t="shared" si="424"/>
        <v>32.148593460000001</v>
      </c>
      <c r="MC82" s="367">
        <f t="shared" si="425"/>
        <v>0</v>
      </c>
      <c r="MD82" s="367">
        <f t="shared" si="426"/>
        <v>0</v>
      </c>
      <c r="ME82" s="367">
        <f t="shared" si="427"/>
        <v>0</v>
      </c>
      <c r="MF82" s="367">
        <f t="shared" si="428"/>
        <v>0</v>
      </c>
      <c r="MG82" s="379">
        <f t="shared" si="429"/>
        <v>1</v>
      </c>
      <c r="MH82" s="375">
        <f t="shared" si="367"/>
        <v>0</v>
      </c>
      <c r="MI82" s="367">
        <f t="shared" si="430"/>
        <v>0</v>
      </c>
      <c r="MJ82" s="78">
        <f t="shared" si="368"/>
        <v>32.148593460000001</v>
      </c>
      <c r="MK82" s="78">
        <f t="shared" si="431"/>
        <v>32.148593460000001</v>
      </c>
      <c r="ML82" s="78">
        <f t="shared" si="306"/>
        <v>0</v>
      </c>
      <c r="MM82" s="78">
        <f t="shared" si="369"/>
        <v>0</v>
      </c>
      <c r="MN82" s="78">
        <f t="shared" si="370"/>
        <v>36.948593459999998</v>
      </c>
      <c r="MO82" s="189">
        <f t="shared" si="432"/>
        <v>0</v>
      </c>
      <c r="MP82" s="78">
        <f t="shared" si="433"/>
        <v>89.415596170000001</v>
      </c>
      <c r="MQ82" s="78">
        <f t="shared" si="307"/>
        <v>89.415596170000001</v>
      </c>
      <c r="MR82" s="246">
        <f t="shared" si="434"/>
        <v>89.415596170000001</v>
      </c>
      <c r="MS82" s="380">
        <f t="shared" si="371"/>
        <v>89.591596170000003</v>
      </c>
      <c r="MT82" s="382">
        <f t="shared" si="372"/>
        <v>89.751596169999999</v>
      </c>
      <c r="MU82" s="382">
        <f t="shared" si="373"/>
        <v>91.091596170000003</v>
      </c>
      <c r="MV82" s="382">
        <f t="shared" si="374"/>
        <v>97.39159617</v>
      </c>
      <c r="MW82" s="382">
        <f t="shared" si="375"/>
        <v>97.551596169999996</v>
      </c>
      <c r="MX82" s="246">
        <f t="shared" si="376"/>
        <v>32.748593460000002</v>
      </c>
      <c r="MY82" s="246">
        <f t="shared" si="377"/>
        <v>0</v>
      </c>
      <c r="MZ82" s="78">
        <f t="shared" si="378"/>
        <v>37.548593459999999</v>
      </c>
      <c r="NA82" s="78">
        <f t="shared" si="379"/>
        <v>0</v>
      </c>
      <c r="NB82" s="78">
        <f t="shared" si="435"/>
        <v>90.867596169999999</v>
      </c>
      <c r="NC82" s="246">
        <f t="shared" si="308"/>
        <v>90.867596169999999</v>
      </c>
      <c r="ND82" s="246">
        <f t="shared" si="436"/>
        <v>90.867596169999999</v>
      </c>
      <c r="NE82" s="386">
        <f t="shared" si="437"/>
        <v>91.107596169999994</v>
      </c>
      <c r="NF82" s="382">
        <f t="shared" si="380"/>
        <v>91.26759616999999</v>
      </c>
      <c r="NG82" s="150">
        <f t="shared" si="381"/>
        <v>92.607596169999994</v>
      </c>
      <c r="NH82" s="246">
        <f t="shared" si="382"/>
        <v>98.907596169999991</v>
      </c>
      <c r="NI82" s="382">
        <f t="shared" si="383"/>
        <v>99.067596169999987</v>
      </c>
      <c r="NK82" s="390">
        <f t="shared" si="384"/>
        <v>27.49509659778435</v>
      </c>
      <c r="NL82" s="390">
        <f t="shared" si="385"/>
        <v>1495.0551665024791</v>
      </c>
      <c r="NM82" s="390">
        <f t="shared" si="386"/>
        <v>27.49509659778435</v>
      </c>
      <c r="NN82" s="390">
        <f t="shared" si="387"/>
        <v>1496.7306010629077</v>
      </c>
      <c r="NO82" s="390">
        <f t="shared" si="388"/>
        <v>35.560729349730373</v>
      </c>
      <c r="NP82" s="390">
        <f t="shared" si="389"/>
        <v>1505.1259182958981</v>
      </c>
      <c r="NQ82" s="390">
        <f t="shared" si="390"/>
        <v>35.560729349730373</v>
      </c>
      <c r="NR82" s="390">
        <f t="shared" si="391"/>
        <v>1506.8285206328719</v>
      </c>
      <c r="NS82" s="390">
        <f t="shared" si="392"/>
        <v>27.620352866451956</v>
      </c>
      <c r="NT82" s="390">
        <f t="shared" si="393"/>
        <v>27.620352866451956</v>
      </c>
      <c r="NU82" s="390">
        <f t="shared" si="394"/>
        <v>35.688103217631294</v>
      </c>
      <c r="NV82" s="390">
        <f t="shared" si="395"/>
        <v>35.688103217631294</v>
      </c>
      <c r="NW82" s="9">
        <f t="shared" si="396"/>
        <v>29.151357421317055</v>
      </c>
      <c r="NX82" s="9">
        <f>各项系数!$M$9*NK82</f>
        <v>8.2485289793353047</v>
      </c>
      <c r="NY82" s="9">
        <f t="shared" si="397"/>
        <v>27.620352866451956</v>
      </c>
    </row>
    <row r="83" spans="1:389" s="9" customFormat="1" ht="15" hidden="1" customHeight="1">
      <c r="A83" s="65"/>
      <c r="B83" s="66"/>
      <c r="C83" s="67"/>
      <c r="D83" s="58" t="s">
        <v>923</v>
      </c>
      <c r="E83" s="54">
        <f t="shared" si="325"/>
        <v>108.99886292000001</v>
      </c>
      <c r="F83" s="68">
        <f>$F$35</f>
        <v>404.21883750578098</v>
      </c>
      <c r="G83" s="58"/>
      <c r="H83" s="16"/>
      <c r="I83" s="62"/>
      <c r="J83" s="16"/>
      <c r="K83" s="16"/>
      <c r="L83" s="107" t="s">
        <v>467</v>
      </c>
      <c r="M83" s="98">
        <f t="shared" si="339"/>
        <v>2.6</v>
      </c>
      <c r="N83" s="98">
        <f t="shared" si="340"/>
        <v>0</v>
      </c>
      <c r="O83" s="58">
        <f t="shared" si="438"/>
        <v>0.08</v>
      </c>
      <c r="P83" s="99">
        <v>0.1</v>
      </c>
      <c r="Q83" s="136">
        <f t="shared" si="337"/>
        <v>0.1</v>
      </c>
      <c r="R83" s="151">
        <v>0.8</v>
      </c>
      <c r="S83" s="144" t="str">
        <f>各项系数!$D$43</f>
        <v>钢带</v>
      </c>
      <c r="T83" s="62">
        <v>0.5</v>
      </c>
      <c r="U83" s="62">
        <v>2</v>
      </c>
      <c r="V83" s="143"/>
      <c r="W83" s="145">
        <v>4.0999999999999996</v>
      </c>
      <c r="X83" s="139">
        <f t="shared" si="338"/>
        <v>0.2</v>
      </c>
      <c r="Y83" s="139"/>
      <c r="Z83" s="169"/>
      <c r="AA83" s="170">
        <f>$AA$35</f>
        <v>1.03</v>
      </c>
      <c r="AB83" s="153">
        <f>PI()*EJ83*EJ83/4*EH83*(1-H83)*AA83*各项系数!$F$5*各项系数!$J$4*10^-7</f>
        <v>7.1320582293852581</v>
      </c>
      <c r="AC83" s="170">
        <f t="shared" si="327"/>
        <v>404.21883750578098</v>
      </c>
      <c r="AD83" s="153">
        <f t="shared" si="341"/>
        <v>806.28770730878898</v>
      </c>
      <c r="AE83" s="153">
        <f>POWER(4*EU83/PI()/EG83/10^-7/EH83/(1-H83)/各项系数!$F$5/各项系数!$J$4,0.5)</f>
        <v>410.23731504138033</v>
      </c>
      <c r="AF83" s="16">
        <v>1</v>
      </c>
      <c r="AG83" s="16">
        <f>IF(EM83=0,0,PI()*ER83*ER83/4*EP83*(1-K83)*(1+AF83)*各项系数!$F$5*各项系数!$J$4*10^-7)</f>
        <v>0</v>
      </c>
      <c r="AH83" s="16">
        <f t="shared" si="328"/>
        <v>0</v>
      </c>
      <c r="AI83" s="69">
        <f t="shared" si="398"/>
        <v>0</v>
      </c>
      <c r="AJ83" s="69">
        <f>IF(OR(EP83="",EP83=0),0,POWER(4*EW83/PI()/EO83/10^-7/EP83/(1-K83)/各项系数!$F$5/各项系数!$J$4,0.5))</f>
        <v>0</v>
      </c>
      <c r="AK83" s="16" t="str">
        <f t="shared" si="342"/>
        <v>√</v>
      </c>
      <c r="AL83" s="16">
        <f t="shared" si="329"/>
        <v>1970.5888153505002</v>
      </c>
      <c r="AM83" s="106">
        <f t="shared" si="330"/>
        <v>800</v>
      </c>
      <c r="AN83" s="107" t="s">
        <v>486</v>
      </c>
      <c r="AO83" s="146">
        <f>AP83+各项系数!$M$9*$NK83</f>
        <v>1931.9498189710787</v>
      </c>
      <c r="AP83" s="146">
        <f>AQ83*(1+$BI83+(VLOOKUP($AM83,$A$12:$B$323,2,0))+各项系数!$J$6+各项系数!$M$5)*(1+$E$2)</f>
        <v>1921.4691457254428</v>
      </c>
      <c r="AQ83" s="199">
        <f>AR83+各项系数!$L$9*$NK83</f>
        <v>1960.682801760656</v>
      </c>
      <c r="AR83" s="199">
        <f>AS83*(1+$BJ83+各项系数!$J$5+各项系数!$L$5)</f>
        <v>1950.2021285150201</v>
      </c>
      <c r="AS83" s="199">
        <f t="shared" si="399"/>
        <v>1911.962871093157</v>
      </c>
      <c r="AT83" s="146">
        <f>AU83+各项系数!$M$9*$NM83</f>
        <v>1945.321220146639</v>
      </c>
      <c r="AU83" s="146">
        <f>AV83*(1+$BI83+(VLOOKUP($AM83,$A$12:$B$323,2,0))+各项系数!$J$6+各项系数!$M$5)*(1+$E$2)</f>
        <v>1934.8405469010031</v>
      </c>
      <c r="AV83" s="199">
        <f>AW83+各项系数!$L$9*$NM83</f>
        <v>1974.3270886744931</v>
      </c>
      <c r="AW83" s="199">
        <f>AX83*(1+$BJ83+各项系数!$J$5+各项系数!$L$5)</f>
        <v>1963.8464154288572</v>
      </c>
      <c r="AX83" s="199">
        <f t="shared" si="400"/>
        <v>1925.3396229694679</v>
      </c>
      <c r="AY83" s="146">
        <f>AZ83+各项系数!$M$9*$NS83</f>
        <v>1941.5713361942887</v>
      </c>
      <c r="AZ83" s="146">
        <f>BA83*(1+$BI83+(VLOOKUP($AM83,$A$12:$B$214,2,0))+各项系数!$J$6+各项系数!$M$5)*(1+$E$2)</f>
        <v>1931.0483896631429</v>
      </c>
      <c r="BA83" s="199">
        <f>BB83+各项系数!$L$9*$NS83</f>
        <v>1970.4575404725947</v>
      </c>
      <c r="BB83" s="199">
        <f>BC83*(1+$BJ83+各项系数!$J$5+各项系数!$L$5)</f>
        <v>1959.9345939414488</v>
      </c>
      <c r="BC83" s="199">
        <f t="shared" si="401"/>
        <v>1921.5045038641656</v>
      </c>
      <c r="BD83" s="146">
        <f>BE83+各项系数!$M$9*$NS83</f>
        <v>1954.9631324830898</v>
      </c>
      <c r="BE83" s="146">
        <f>BF83*(1+$BI83+(VLOOKUP($AM83,$A$12:$B$214,2,0))+各项系数!$J$6+各项系数!$M$5)*(1+$E$2)</f>
        <v>1944.4401859519439</v>
      </c>
      <c r="BF83" s="199">
        <f>BG83+各项系数!$L$9*$NS83</f>
        <v>1984.1226387264735</v>
      </c>
      <c r="BG83" s="199">
        <f>BH83*(1+$BJ83+各项系数!$J$5+各项系数!$L$5)</f>
        <v>1973.5996921953276</v>
      </c>
      <c r="BH83" s="199">
        <f t="shared" si="402"/>
        <v>1934.901659015027</v>
      </c>
      <c r="BI83" s="214"/>
      <c r="BJ83" s="215"/>
      <c r="BK83" s="78" t="s">
        <v>514</v>
      </c>
      <c r="BL83" s="146">
        <f>BM83+各项系数!$M$9*$NM83</f>
        <v>1952.6818958329782</v>
      </c>
      <c r="BM83" s="146">
        <f>BN83*(1+$CF83+(VLOOKUP($AM83,$A$12:$B$323,2,0))+各项系数!$J$6+各项系数!$M$5)*(1+$E$2)</f>
        <v>1942.2012225873423</v>
      </c>
      <c r="BN83" s="199">
        <f>BO83+各项系数!$L$9*$NM83</f>
        <v>1981.8379822319819</v>
      </c>
      <c r="BO83" s="199">
        <f>BP83*(1+$CG83+各项系数!$J$5+各项系数!$L$5)</f>
        <v>1971.357308986346</v>
      </c>
      <c r="BP83" s="199">
        <f t="shared" si="403"/>
        <v>1913.9391349381999</v>
      </c>
      <c r="BQ83" s="146">
        <f>BR83+各项系数!$M$9*$NM83</f>
        <v>1964.1895484517399</v>
      </c>
      <c r="BR83" s="146">
        <f>BS83*(1+$CF83+(VLOOKUP($AM83,$A$12:$B$323,2,0))+各项系数!$J$6+各项系数!$M$5)*(1+$E$2)</f>
        <v>1953.708875206104</v>
      </c>
      <c r="BS83" s="199">
        <f>BT83+各项系数!$L$9*$NM83</f>
        <v>1993.5804849041879</v>
      </c>
      <c r="BT83" s="199">
        <f>BU83*(1+$CG83+各项系数!$J$5+各项系数!$L$5)</f>
        <v>1983.099811658552</v>
      </c>
      <c r="BU83" s="199">
        <f t="shared" si="404"/>
        <v>1925.3396229694679</v>
      </c>
      <c r="BV83" s="146">
        <f>BW83+各项系数!$M$9*$NT83</f>
        <v>1952.0955742799567</v>
      </c>
      <c r="BW83" s="146">
        <f>BX83*(1+$CF83+(VLOOKUP($AM83,$A$12:$B$214,2,0))+各项系数!$J$6+各项系数!$M$5)*(1+$E$2)</f>
        <v>1941.5726277488109</v>
      </c>
      <c r="BX83" s="199">
        <f>BY83+各项系数!$L$9*$NT$12</f>
        <v>1981.196558927358</v>
      </c>
      <c r="BY83" s="199">
        <f>BZ83*(1+$CG83+各项系数!$J$5+各项系数!$L$5)</f>
        <v>1981.1882955242029</v>
      </c>
      <c r="BZ83" s="199">
        <f t="shared" si="343"/>
        <v>1923.4837820623329</v>
      </c>
      <c r="CA83" s="146">
        <f>CB83+各项系数!$M$9*$NT83</f>
        <v>1963.6207792760063</v>
      </c>
      <c r="CB83" s="146">
        <f>CC83*(1+$CF83+(VLOOKUP($AM83,$A$12:$B$214,2,0))+各项系数!$J$6+各项系数!$M$5)*(1+$E$2)</f>
        <v>1953.0978327448604</v>
      </c>
      <c r="CC83" s="199">
        <f>CD83+各项系数!$L$9*$NT$12</f>
        <v>1992.956972188633</v>
      </c>
      <c r="CD83" s="199">
        <f>CE83*(1+$CG83+各项系数!$J$5+各项系数!$L$5)</f>
        <v>1992.9487087854779</v>
      </c>
      <c r="CE83" s="199">
        <f t="shared" si="405"/>
        <v>1934.901659015027</v>
      </c>
      <c r="CF83" s="214">
        <f t="shared" si="406"/>
        <v>0</v>
      </c>
      <c r="CG83" s="214">
        <f t="shared" si="344"/>
        <v>0.01</v>
      </c>
      <c r="CH83" s="106"/>
      <c r="CI83" s="146">
        <f>CJ83+各项系数!$M$9*$NO83</f>
        <v>1960.443503327991</v>
      </c>
      <c r="CJ83" s="146">
        <f>CK83*(1+$DC83+(VLOOKUP($AM83,$A$12:$B$323,2,0))+各项系数!$J$6+各项系数!$M$5)*(1+$E$2)+各项系数!$M$9*$NK83</f>
        <v>1946.9220787558004</v>
      </c>
      <c r="CK83" s="199">
        <f>CL83+各项系数!$L$9*$NO83</f>
        <v>1975.9606178675149</v>
      </c>
      <c r="CL83" s="199">
        <f>CM83*(1+$DD83+各项系数!$J$5+各项系数!$L$5)</f>
        <v>1962.4391932953242</v>
      </c>
      <c r="CM83" s="199">
        <f t="shared" si="345"/>
        <v>1923.9599934267885</v>
      </c>
      <c r="CN83" s="146">
        <f>CO83+各项系数!$M$9*$NO83</f>
        <v>1973.529408788982</v>
      </c>
      <c r="CO83" s="146">
        <f>CP83*(1+$DC83+(VLOOKUP($AM83,$A$12:$B$323,2,0))+各项系数!$J$6+各项系数!$M$5)*(1+$E$2)+各项系数!$M$9*$NK83</f>
        <v>1960.0079842167913</v>
      </c>
      <c r="CP83" s="199">
        <f>CQ83+各项系数!$L$9*$NO83</f>
        <v>1989.313582623628</v>
      </c>
      <c r="CQ83" s="199">
        <f>CR83*(1+$DD83+各项系数!$J$5+各项系数!$L$5)</f>
        <v>1975.7921580514374</v>
      </c>
      <c r="CR83" s="199">
        <f t="shared" si="346"/>
        <v>1937.0511353445463</v>
      </c>
      <c r="CS83" s="146">
        <f>CT83+各项系数!$M$9*$NU83</f>
        <v>1959.7284859325805</v>
      </c>
      <c r="CT83" s="146">
        <f t="shared" si="347"/>
        <v>1946.1641527951097</v>
      </c>
      <c r="CU83" s="199">
        <f>CV83+各项系数!$L$9*$NU83</f>
        <v>1985.8817885664384</v>
      </c>
      <c r="CV83" s="199">
        <f>CW83*(1+$DD83+各项系数!$J$5+各项系数!$L$5)</f>
        <v>1972.3174554289676</v>
      </c>
      <c r="CW83" s="199">
        <f t="shared" si="348"/>
        <v>1933.6445641460466</v>
      </c>
      <c r="CX83" s="146">
        <f>CY83+各项系数!$M$9*$NU83</f>
        <v>1973.3135259193386</v>
      </c>
      <c r="CY83" s="146">
        <f t="shared" si="349"/>
        <v>1959.7491927818678</v>
      </c>
      <c r="CZ83" s="199">
        <f>DA83+各项系数!$L$9*$NU83</f>
        <v>1999.744074267212</v>
      </c>
      <c r="DA83" s="199">
        <f>DB83*(1+$DD83+各项系数!$J$5+各项系数!$L$5)</f>
        <v>1986.1797411297412</v>
      </c>
      <c r="DB83" s="199">
        <f t="shared" si="350"/>
        <v>1947.2350403232756</v>
      </c>
      <c r="DC83" s="214">
        <f t="shared" si="407"/>
        <v>0</v>
      </c>
      <c r="DD83" s="214">
        <f t="shared" si="351"/>
        <v>0</v>
      </c>
      <c r="DE83" s="78" t="s">
        <v>498</v>
      </c>
      <c r="DF83" s="78" t="s">
        <v>513</v>
      </c>
      <c r="DG83" s="146">
        <f>DH83+各项系数!$M$9*$NQ83</f>
        <v>1981.3219814579766</v>
      </c>
      <c r="DH83" s="146">
        <f>DI83*(1+$EA83+(VLOOKUP($AM83,$A$12:$B$323,2,0))+各项系数!$J$6+各项系数!$M$5)*(1+$E$2)+各项系数!$M$9*$NK83</f>
        <v>1967.8005568857859</v>
      </c>
      <c r="DI83" s="199">
        <f>DJ83+各项系数!$L$9*$NQ83</f>
        <v>1997.2651873879081</v>
      </c>
      <c r="DJ83" s="199">
        <f>DK83*(1+$EB83+各项系数!$J$5+各项系数!$L$5)</f>
        <v>1983.7437628157174</v>
      </c>
      <c r="DK83" s="199">
        <f t="shared" si="352"/>
        <v>1925.9648182676867</v>
      </c>
      <c r="DL83" s="146">
        <f>DM83+各项系数!$M$9*$NQ83</f>
        <v>1992.9959428515374</v>
      </c>
      <c r="DM83" s="146">
        <f>DN83*(1+$EA83+(VLOOKUP($AM83,$A$12:$B$323,2,0))+各项系数!$J$6+各项系数!$M$5)*(1+$E$2)+各项系数!$M$9*$NK83</f>
        <v>1979.4745182793467</v>
      </c>
      <c r="DN83" s="199">
        <f>DO83+各项系数!$L$9*$NQ83</f>
        <v>2009.1773928915418</v>
      </c>
      <c r="DO83" s="199">
        <f>DP83*(1+$EB83+各项系数!$J$5+各项系数!$L$5)</f>
        <v>1995.6559683193511</v>
      </c>
      <c r="DP83" s="199">
        <f t="shared" si="353"/>
        <v>1937.530066329467</v>
      </c>
      <c r="DQ83" s="146">
        <f>DR83+各项系数!$M$9*$NV83</f>
        <v>1980.7049155436582</v>
      </c>
      <c r="DR83" s="146">
        <f t="shared" si="354"/>
        <v>1967.1405824061874</v>
      </c>
      <c r="DS83" s="199">
        <f>DT83+各项系数!$L$9*$NV83</f>
        <v>2007.2863085777421</v>
      </c>
      <c r="DT83" s="199">
        <f>DU83*(1+$EB83+各项系数!$J$5+各项系数!$L$5)</f>
        <v>1993.7219754402713</v>
      </c>
      <c r="DU83" s="199">
        <f t="shared" si="355"/>
        <v>1935.6524033400692</v>
      </c>
      <c r="DV83" s="146">
        <f>DW83+各项系数!$M$9*$NV83</f>
        <v>1977.8239013335865</v>
      </c>
      <c r="DW83" s="146">
        <f t="shared" si="356"/>
        <v>1964.2595681961157</v>
      </c>
      <c r="DX83" s="199">
        <f>DY83+各项系数!$L$9*$NV83</f>
        <v>2004.3464981593017</v>
      </c>
      <c r="DY83" s="199">
        <f>DZ83*(1+$EB83+各项系数!$J$5+各项系数!$L$5)</f>
        <v>1990.7821650218309</v>
      </c>
      <c r="DZ83" s="199">
        <f t="shared" si="357"/>
        <v>1932.7982184677969</v>
      </c>
      <c r="EA83" s="214">
        <f t="shared" si="439"/>
        <v>0</v>
      </c>
      <c r="EB83" s="214">
        <f t="shared" si="358"/>
        <v>0.01</v>
      </c>
      <c r="EC83" s="235">
        <f t="shared" si="408"/>
        <v>4</v>
      </c>
      <c r="ED83" s="237" t="str">
        <f t="shared" si="331"/>
        <v>4*800</v>
      </c>
      <c r="EE83" s="78">
        <f t="shared" si="239"/>
        <v>800</v>
      </c>
      <c r="EF83" s="78" t="str">
        <f>LOOKUP(EH83,{1,7,10,14,19,24,30,37,48,61},{1,"1+6","2+8","4+10","1+6+12","2+8+14","4+10+16","1+6+12+18","3+9+15+21","1+6+12+18+24"})</f>
        <v>1+6+12+18+24</v>
      </c>
      <c r="EG83" s="106">
        <f t="shared" si="359"/>
        <v>4</v>
      </c>
      <c r="EH83" s="199">
        <f>VLOOKUP(EE83,各项系数!$B$87:$C$124,2,0)</f>
        <v>61</v>
      </c>
      <c r="EI83" s="106">
        <f>IF(EH83=0,0,VLOOKUP(EH83,各项系数!$D$142:$E$195,2,0))*1</f>
        <v>9</v>
      </c>
      <c r="EJ83" s="240">
        <f t="shared" si="409"/>
        <v>404.21883750578098</v>
      </c>
      <c r="EK83" s="78">
        <f t="shared" si="332"/>
        <v>0</v>
      </c>
      <c r="EL83" s="78">
        <f t="shared" si="360"/>
        <v>0</v>
      </c>
      <c r="EM83" s="78">
        <f t="shared" si="333"/>
        <v>0</v>
      </c>
      <c r="EN83" s="78">
        <f>IF(EP83=0,0,LOOKUP(EP83,{1,7,10,14,19,24,30,37,48,61},{1,"1+6","2+8","4+10","1+6+12","2+8+14","4+10+16","1+6+12+18","3+9+15+21","1+6+12+18+24"}))</f>
        <v>0</v>
      </c>
      <c r="EO83" s="78">
        <f t="shared" si="334"/>
        <v>0</v>
      </c>
      <c r="EP83" s="78">
        <f>IF(EM83=0,0,IF(EM83&lt;10,1,IF(AND(EM83&gt;=10,EM83&lt;=35),7,LOOKUP(EM83,{50,70,95,120,150,185,240,300},{10,14,19,24,30,37,48,61})*1)))</f>
        <v>0</v>
      </c>
      <c r="EQ83" s="78">
        <f>IF(EP83=0,0,VLOOKUP(EP83,各项系数!$D$142:$E$195,2,0))*1</f>
        <v>0</v>
      </c>
      <c r="ER83" s="78">
        <f t="shared" si="335"/>
        <v>0</v>
      </c>
      <c r="ES83" s="237">
        <f t="shared" si="336"/>
        <v>4</v>
      </c>
      <c r="ET83" s="78">
        <f>VLOOKUP(ES83,各项系数!$D$142:$E$195,2,0)*1</f>
        <v>2.42</v>
      </c>
      <c r="EU83" s="243">
        <f>((各项系数!$F$76/4*$EJ83^2*$EG83*$EH83*1*10^-7)*(1-$H83)*AA83)*(VLOOKUP($EY$9,各项系数!$D$4:$F$143,3,0))*各项系数!$J$4</f>
        <v>28.528232917541033</v>
      </c>
      <c r="EV83" s="244">
        <f>EU83*(VLOOKUP($EY$9,各项系数!$D$4:$F$143,2,0))</f>
        <v>1868.5992560989375</v>
      </c>
      <c r="EW83" s="252">
        <f>(IF($EO83=0,0,(各项系数!$F$76/4*$ER83^2*$EO83*$EP83*1*10^-7))*(1-$K83)*$AF83)*(VLOOKUP($EY$9,各项系数!$D$4:$F$143,3,0))*各项系数!$J$4</f>
        <v>0</v>
      </c>
      <c r="EX83" s="253">
        <f>EW83*(VLOOKUP($EY$9,各项系数!$D$4:$F$143,2,0))</f>
        <v>0</v>
      </c>
      <c r="EY83" s="189">
        <f>((各项系数!$F$76/4*$EJ83^2*$EG83*$EH83*1*10^-7)*(1-$H83)*AA83+IF($EO83=0,0,(各项系数!$F$76/4*$ER83^2*$EO83*$EP83*1*10^-7))*(1-$K83)*$AF83)*(VLOOKUP($EY$9,各项系数!$D$4:$F$143,3,0))*各项系数!$J$4</f>
        <v>28.528232917541033</v>
      </c>
      <c r="EZ83" s="106">
        <v>1</v>
      </c>
      <c r="FA83" s="78">
        <f t="shared" si="268"/>
        <v>28.528232917541033</v>
      </c>
      <c r="FB83" s="246">
        <f>FA83*(VLOOKUP($EY$9,各项系数!$D$4:$F$143,2,0))</f>
        <v>1868.5992560989375</v>
      </c>
      <c r="FC83" s="257"/>
      <c r="FD83" s="237">
        <f>各项系数!$F$76/4*($MN83^2-MK83^2)*10^-2*(VLOOKUP(L83,各项系数!$D$1:$F$143,3,0))*10^-3*10^2*$EG83*各项系数!$J$4</f>
        <v>1.3939186191992388</v>
      </c>
      <c r="FE83" s="264">
        <f>FD83*VLOOKUP(L83,各项系数!$D$1:$F$143,2,0)</f>
        <v>14.217969915832235</v>
      </c>
      <c r="FF83" s="106">
        <f>各项系数!$F$76/4*($MO83^2-ML83^2)*10^-2*(VLOOKUP(L83,各项系数!$D$1:$F$143,3,0))*10^-3*10^2*$EO83*各项系数!$J$4</f>
        <v>0</v>
      </c>
      <c r="FG83" s="264">
        <f>FF83*VLOOKUP(L83,各项系数!$D$1:$F$143,2,0)</f>
        <v>0</v>
      </c>
      <c r="FH83" s="237">
        <f t="shared" si="410"/>
        <v>1.3939186191992388</v>
      </c>
      <c r="FI83" s="106">
        <v>1</v>
      </c>
      <c r="FJ83" s="78">
        <f t="shared" si="269"/>
        <v>1.3939186191992388</v>
      </c>
      <c r="FK83" s="264">
        <f>FJ83*VLOOKUP(L83,各项系数!$D$1:$F$143,2,0)</f>
        <v>14.217969915832235</v>
      </c>
      <c r="FL83" s="237"/>
      <c r="FM83" s="106"/>
      <c r="FN83" s="78"/>
      <c r="FO83" s="264"/>
      <c r="FP83" s="289">
        <f t="shared" si="270"/>
        <v>1.3939186191992388</v>
      </c>
      <c r="FQ83" s="289">
        <f t="shared" si="271"/>
        <v>14.217969915832235</v>
      </c>
      <c r="FR83" s="283">
        <f>各项系数!$F$76/4*($MQ83^2-$MN83^2*$EG83-$MO83^2*$EO83)*10^-2</f>
        <v>25.207167579803809</v>
      </c>
      <c r="FS83" s="284">
        <f t="shared" si="411"/>
        <v>1</v>
      </c>
      <c r="FT83" s="285">
        <f t="shared" si="361"/>
        <v>25.207167579803809</v>
      </c>
      <c r="FU83" s="309">
        <f>$FT83*(VLOOKUP($FT$9,各项系数!$D$1:$F$143,3,0))*10^-3*10^2*各项系数!$J$55</f>
        <v>3.0097358090285748</v>
      </c>
      <c r="FV83" s="310">
        <v>1</v>
      </c>
      <c r="FW83" s="311">
        <f t="shared" si="272"/>
        <v>3.0097358090285748</v>
      </c>
      <c r="FX83" s="290">
        <f>FW83*(VLOOKUP($FT$9,各项系数!$D$1:$F$143,2,0))</f>
        <v>9.0292074270857245</v>
      </c>
      <c r="FY83" s="309">
        <f>IF($BK83&lt;&gt;$FY$9,0,各项系数!$F$76/4*($MS83^2-$MQ83^2)*10^-2*(VLOOKUP($FY$9,各项系数!$D$1:$F$143,3,0))*10^-3*10^2)*各项系数!$J$4</f>
        <v>0</v>
      </c>
      <c r="FZ83" s="310">
        <v>1</v>
      </c>
      <c r="GA83" s="311">
        <f t="shared" si="273"/>
        <v>0</v>
      </c>
      <c r="GB83" s="290">
        <f>GA83*(VLOOKUP($FY$9,各项系数!$D$1:$F$143,2,0))</f>
        <v>0</v>
      </c>
      <c r="GC83" s="309">
        <f>IF($BK83&lt;&gt;$GC$9,0,各项系数!$F$76/4*($MS83^2-$MQ83^2)*10^-2*(VLOOKUP($GC$9,各项系数!$D$1:$F$143,3,0))*10^-3*10^2)*各项系数!$J$4</f>
        <v>2.7426294641260316E-2</v>
      </c>
      <c r="GD83" s="310">
        <v>1</v>
      </c>
      <c r="GE83" s="311">
        <f t="shared" si="274"/>
        <v>2.7426294641260316E-2</v>
      </c>
      <c r="GF83" s="290">
        <f>GE83*(VLOOKUP($GC$9,各项系数!$D$1:$F$143,2,0))</f>
        <v>0.35379920087225808</v>
      </c>
      <c r="GG83" s="309">
        <f>IF($BK83&lt;&gt;$GG$9,0,各项系数!$F$76/4*($MS83^2-$MQ83^2)*10^-2*(VLOOKUP($GG$9,各项系数!$D$1:$F$143,3,0))*10^-3*10^2)*各项系数!$J$4</f>
        <v>0</v>
      </c>
      <c r="GH83" s="310">
        <v>1</v>
      </c>
      <c r="GI83" s="311">
        <f t="shared" si="275"/>
        <v>0</v>
      </c>
      <c r="GJ83" s="290">
        <f>GI83*(VLOOKUP($GG$9,各项系数!$D$1:$F$143,2,0))</f>
        <v>0</v>
      </c>
      <c r="GK83" s="309">
        <f>IF($BK83&lt;&gt;$GK$9,0,各项系数!$F$76/4*($MS83^2-$MQ83^2)*10^-2*(VLOOKUP($GK$9,各项系数!$D$1:$F$143,3,0))*10^-3*10^2)*各项系数!$J$4</f>
        <v>0</v>
      </c>
      <c r="GL83" s="310">
        <v>1</v>
      </c>
      <c r="GM83" s="311">
        <f t="shared" si="276"/>
        <v>0</v>
      </c>
      <c r="GN83" s="290">
        <f>GM83*(VLOOKUP($GK$9,各项系数!$D$1:$F$143,2,0))</f>
        <v>0</v>
      </c>
      <c r="GO83" s="311">
        <f t="shared" si="277"/>
        <v>2.7426294641260316E-2</v>
      </c>
      <c r="GP83" s="311">
        <f t="shared" si="278"/>
        <v>0.35379920087225808</v>
      </c>
      <c r="GQ83" s="317">
        <f>各项系数!$F$76/4*($MU83^2-$MS83^2)*10^-2*(VLOOKUP($S83,各项系数!$D$1:$F$143,3,0))*10^-3*10^2*各项系数!$J$4</f>
        <v>1.861727160677946</v>
      </c>
      <c r="GR83" s="310">
        <v>1</v>
      </c>
      <c r="GS83" s="311">
        <f t="shared" si="279"/>
        <v>1.861727160677946</v>
      </c>
      <c r="GT83" s="311">
        <f t="shared" si="200"/>
        <v>0</v>
      </c>
      <c r="GU83" s="311">
        <f>ROUND($GS83*(VLOOKUP($S83,各项系数!$D$1:$F$143,2,0))+$E$3*GS83,GT83)</f>
        <v>11</v>
      </c>
      <c r="GV83" s="315">
        <f>各项系数!$F$76/4*($MT83^2-$MS83^2)*10^-2*(VLOOKUP($GV$9,各项系数!$D$1:$F$143,3,0))*10^-3*10^2*各项系数!$J$4*PI()/4*R83</f>
        <v>0.14091095170018927</v>
      </c>
      <c r="GW83" s="310">
        <v>1</v>
      </c>
      <c r="GX83" s="311">
        <f t="shared" si="280"/>
        <v>0.14091095170018927</v>
      </c>
      <c r="GY83" s="311">
        <f>$GX83*(VLOOKUP($GV$9,各项系数!$D$1:$F$143,2,0))</f>
        <v>9.5114892397627759</v>
      </c>
      <c r="GZ83" s="317">
        <f>各项系数!$F$76/4*($MV83^2-$MS83^2)*10^-2*(VLOOKUP($GZ$9,各项系数!$D$1:$F$143,3,0))*10^-3*10^2*各项系数!$J$4</f>
        <v>1.9493759015729288</v>
      </c>
      <c r="HA83" s="310">
        <v>1</v>
      </c>
      <c r="HB83" s="311">
        <f t="shared" si="412"/>
        <v>1.9493759015729288</v>
      </c>
      <c r="HC83" s="311">
        <f>HB83*(VLOOKUP($GZ$9,各项系数!$D$1:$F$143,2,0))</f>
        <v>33.139390326739793</v>
      </c>
      <c r="HD83" s="317">
        <f>各项系数!$F$76/4*($MW83^2-$MT83^2)*10^-2*(VLOOKUP($HD$9,各项系数!$D$1:$F$143,3,0))*10^-3*10^2*各项系数!$J$4</f>
        <v>1.9523492430903622</v>
      </c>
      <c r="HE83" s="310">
        <v>1</v>
      </c>
      <c r="HF83" s="311">
        <f t="shared" si="413"/>
        <v>1.9523492430903622</v>
      </c>
      <c r="HG83" s="311">
        <f>HF83*(VLOOKUP($HD$9,各项系数!$D$1:$F$143,2,0))</f>
        <v>33.189937132536159</v>
      </c>
      <c r="HH83" s="317">
        <f>各项系数!$F$76/4*($MV83^2-$MS83^2)*10^-2*(VLOOKUP($HH$9,各项系数!$D$1:$F$143,3,0))*10^-3*10^2*各项系数!$J$4</f>
        <v>1.9493759015729288</v>
      </c>
      <c r="HI83" s="311">
        <v>1</v>
      </c>
      <c r="HJ83" s="311">
        <f t="shared" si="414"/>
        <v>1.9493759015729288</v>
      </c>
      <c r="HK83" s="311">
        <f>HJ83*(VLOOKUP($HH$9,各项系数!$D$1:$F$143,2,0))</f>
        <v>33.139390326739793</v>
      </c>
      <c r="HL83" s="317">
        <f>各项系数!$F$76/4*($MW83^2-$MT83^2)*10^-2*(VLOOKUP($HL$9,各项系数!$D$1:$F$143,3,0))*10^-3*10^2*各项系数!$J$4</f>
        <v>1.9523492430903622</v>
      </c>
      <c r="HM83" s="311">
        <v>1</v>
      </c>
      <c r="HN83" s="311">
        <f t="shared" si="362"/>
        <v>1.9523492430903622</v>
      </c>
      <c r="HO83" s="311">
        <f>HN83*(VLOOKUP($HL$9,各项系数!$D$1:$F$143,2,0))</f>
        <v>33.189937132536159</v>
      </c>
      <c r="HP83" s="317">
        <f>各项系数!$F$76/4*($MV83^2-$MS83^2)*10^-2*(VLOOKUP(AN83,各项系数!$D$1:$F$143,3,0))*10^-3*10^2*各项系数!$J$4</f>
        <v>1.9762638450429002</v>
      </c>
      <c r="HQ83" s="310">
        <v>1</v>
      </c>
      <c r="HR83" s="311">
        <f t="shared" si="281"/>
        <v>1.9762638450429002</v>
      </c>
      <c r="HS83" s="311">
        <f>HR83*(VLOOKUP(AN83,各项系数!$D$1:$F$143,2,0))</f>
        <v>19.762638450429002</v>
      </c>
      <c r="HT83" s="317">
        <f>各项系数!$F$76/4*($MW83^2-$MT83^2)*10^-2*(VLOOKUP(AN83,各项系数!$D$1:$F$143,3,0))*10^-3*10^2*各项系数!$J$4</f>
        <v>1.9792781981674707</v>
      </c>
      <c r="HU83" s="310">
        <v>1</v>
      </c>
      <c r="HV83" s="311">
        <f t="shared" si="282"/>
        <v>1.9792781981674707</v>
      </c>
      <c r="HW83" s="311">
        <f>HV83*(VLOOKUP(AN83,各项系数!$D$1:$F$143,2,0))</f>
        <v>19.792781981674707</v>
      </c>
      <c r="HX83" s="317">
        <f>各项系数!$F$76/4*($MV83^2-$MS83^2)*10^-2*(VLOOKUP($HX$9,各项系数!$D$1:$F$143,3,0))*10^-3*10^2*各项系数!$J$4</f>
        <v>1.9762638450429002</v>
      </c>
      <c r="HY83" s="311">
        <v>1</v>
      </c>
      <c r="HZ83" s="311">
        <f t="shared" si="283"/>
        <v>1.9762638450429002</v>
      </c>
      <c r="IA83" s="311">
        <f>HZ83*(VLOOKUP($HX$9,各项系数!$D$1:$F$143,2,0))</f>
        <v>21.738902295471902</v>
      </c>
      <c r="IB83" s="317">
        <f>各项系数!$F$76/4*($MW83^2-$MT83^2)*10^-2*(VLOOKUP($IB$9,各项系数!$D$1:$F$143,3,0))*10^-3*10^2*各项系数!$J$4</f>
        <v>1.9792781981674707</v>
      </c>
      <c r="IC83" s="311">
        <v>1</v>
      </c>
      <c r="ID83" s="311">
        <f t="shared" si="284"/>
        <v>1.9792781981674707</v>
      </c>
      <c r="IE83" s="311">
        <f>ID83*(VLOOKUP($IB$9,各项系数!$D$1:$F$143,2,0))</f>
        <v>21.772060179842178</v>
      </c>
      <c r="IF83" s="309"/>
      <c r="IG83" s="317">
        <f t="shared" si="415"/>
        <v>0.20638169704628428</v>
      </c>
      <c r="IH83" s="310">
        <v>1</v>
      </c>
      <c r="II83" s="311">
        <f t="shared" si="285"/>
        <v>0.20638169704628428</v>
      </c>
      <c r="IJ83" s="311">
        <f>II83*(VLOOKUP($IG$8,各项系数!$D$1:$F$143,2,0))</f>
        <v>5.159542426157107</v>
      </c>
      <c r="IK83" s="317">
        <f>(各项系数!$F$76/4*($MX83^2-$MK83^2)*$EG83)*10^-2*(VLOOKUP($IG$8,各项系数!$D$1:$F$143,3,0))*10^-3*10^2*各项系数!$J$4</f>
        <v>0.20638169704628428</v>
      </c>
      <c r="IL83" s="310">
        <f>IK83*(VLOOKUP($IG$8,各项系数!$D$1:$F$143,2,0))</f>
        <v>5.159542426157107</v>
      </c>
      <c r="IM83" s="311">
        <f>(各项系数!$F$76/4*(($MM83+3*$X83)^2-MM83^2)*$EO83)*10^-2*(VLOOKUP($IG$8,各项系数!$D$1:$F$143,3,0))*10^-3*10^2*各项系数!$J$4</f>
        <v>0</v>
      </c>
      <c r="IN83" s="310">
        <f>IM83*(VLOOKUP($IG$8,各项系数!$D$1:$F$143,2,0))</f>
        <v>0</v>
      </c>
      <c r="IO83" s="317">
        <f>各项系数!$F$76/4*($MZ83^2-$MX83^2)*10^-2*(VLOOKUP(L83,各项系数!$D$1:$F$143,3,0))*10^-3*10^2*$ES83*各项系数!$J$4</f>
        <v>1.4153746917136074</v>
      </c>
      <c r="IP83" s="310">
        <v>1</v>
      </c>
      <c r="IQ83" s="311">
        <f t="shared" si="286"/>
        <v>1.4153746917136074</v>
      </c>
      <c r="IR83" s="290">
        <f>IQ83*(VLOOKUP(L83,各项系数!$D$1:$F$143,2,0))</f>
        <v>14.436821855478795</v>
      </c>
      <c r="IS83" s="317">
        <f>IF($L83&lt;&gt;$IS$9,0,各项系数!$F$76/4*($MZ83^2-$MX83^2)*10^-2*各项系数!$F$12*10^-3*10^2)*$ES83*各项系数!$J$4</f>
        <v>0</v>
      </c>
      <c r="IT83" s="310">
        <v>1</v>
      </c>
      <c r="IU83" s="311">
        <f t="shared" si="287"/>
        <v>0</v>
      </c>
      <c r="IV83" s="290">
        <f>IU83*各项系数!$E$12</f>
        <v>0</v>
      </c>
      <c r="IW83" s="309">
        <f t="shared" si="288"/>
        <v>1.4153746917136074</v>
      </c>
      <c r="IX83" s="309">
        <f t="shared" si="289"/>
        <v>14.436821855478795</v>
      </c>
      <c r="IY83" s="339">
        <f>各项系数!$F$76/4*($NB83^2-$MZ83^2*$EG83-$NA83^2*$EO83)*10^-2</f>
        <v>25.939901339837043</v>
      </c>
      <c r="IZ83" s="284">
        <f t="shared" si="231"/>
        <v>1</v>
      </c>
      <c r="JA83" s="285">
        <f t="shared" si="363"/>
        <v>25.939901339837043</v>
      </c>
      <c r="JB83" s="289">
        <f>IF($DE83&lt;&gt;$JB$9,0,$JA83*各项系数!$F$32*10^-3*10^2)*各项系数!$J$4</f>
        <v>0</v>
      </c>
      <c r="JC83" s="106">
        <v>1</v>
      </c>
      <c r="JD83" s="78">
        <f t="shared" si="290"/>
        <v>0</v>
      </c>
      <c r="JE83" s="264">
        <f>JD83*各项系数!$E$32</f>
        <v>0</v>
      </c>
      <c r="JF83" s="282">
        <f>IF($DE83&lt;&gt;$JF$9,0,$JA83*VLOOKUP($JF$9,各项系数!$D$4:$F$540,2,0)*10^-3*10^2)*各项系数!$J$4</f>
        <v>12.905100916568927</v>
      </c>
      <c r="JG83" s="102">
        <v>1</v>
      </c>
      <c r="JH83" s="189">
        <f t="shared" si="364"/>
        <v>12.905100916568927</v>
      </c>
      <c r="JI83" s="262">
        <f>JH83*VLOOKUP($JF$9,各项系数!$D$4:$F$540,3,0)</f>
        <v>15.486121099882711</v>
      </c>
      <c r="JJ83" s="289">
        <f t="shared" si="291"/>
        <v>12.905100916568927</v>
      </c>
      <c r="JK83" s="78">
        <f t="shared" si="292"/>
        <v>15.486121099882711</v>
      </c>
      <c r="JL83" s="289">
        <f>IF($DF83&lt;&gt;$JL$9,0,各项系数!$F$76/4*($NE83^2-$NC83^2)*10^-2*各项系数!$F$39*10^-3*10^2)*各项系数!$J$4</f>
        <v>1.1500176867521413E-2</v>
      </c>
      <c r="JM83" s="106">
        <v>1</v>
      </c>
      <c r="JN83" s="78">
        <f t="shared" si="293"/>
        <v>1.1500176867521413E-2</v>
      </c>
      <c r="JO83" s="264">
        <f>JN83*各项系数!$E$39</f>
        <v>0.23000353735042828</v>
      </c>
      <c r="JP83" s="289">
        <f>IF($DF83&lt;&gt;$JP$9,0,各项系数!$F$76/4*($NE83^2-$NC83^2)*10^-2*各项系数!$F$36*10^-3*10^2)*各项系数!$J$4</f>
        <v>0</v>
      </c>
      <c r="JQ83" s="106">
        <v>1</v>
      </c>
      <c r="JR83" s="78">
        <f t="shared" si="294"/>
        <v>0</v>
      </c>
      <c r="JS83" s="264">
        <f>JR83*各项系数!$E$36</f>
        <v>0</v>
      </c>
      <c r="JT83" s="289">
        <f>IF($DF83&lt;&gt;$JT$9,0,各项系数!$F$76/4*($NE83^2-$NC83^2)*10^-2*各项系数!$F$40*10^-3*10^2)*各项系数!$J$4</f>
        <v>0</v>
      </c>
      <c r="JU83" s="106">
        <v>1</v>
      </c>
      <c r="JV83" s="78">
        <f t="shared" si="295"/>
        <v>0</v>
      </c>
      <c r="JW83" s="264">
        <f>JV83*各项系数!$E$40</f>
        <v>0</v>
      </c>
      <c r="JX83" s="289">
        <f>IF($DF83&lt;&gt;$JX$9,0,各项系数!$F$76/4*($NE83^2-$NC83^2)*10^-2*各项系数!$F$38*10^-3*10^2)*各项系数!$J$4</f>
        <v>0</v>
      </c>
      <c r="JY83" s="106">
        <v>1</v>
      </c>
      <c r="JZ83" s="78">
        <f t="shared" si="296"/>
        <v>0</v>
      </c>
      <c r="KA83" s="264">
        <f>JZ83*各项系数!$E$38</f>
        <v>0</v>
      </c>
      <c r="KB83" s="289">
        <f>IF($DF83&lt;&gt;$KB$9,0,各项系数!$F$76/4*($NE83^2-$NC83^2)*10^-2*各项系数!$F$41*10^-3*10^2)*各项系数!$J$4</f>
        <v>0</v>
      </c>
      <c r="KC83" s="106">
        <v>1</v>
      </c>
      <c r="KD83" s="78">
        <f t="shared" si="297"/>
        <v>0</v>
      </c>
      <c r="KE83" s="264">
        <f>KD83*各项系数!$E$41</f>
        <v>0</v>
      </c>
      <c r="KF83" s="78">
        <f t="shared" si="298"/>
        <v>1.1500176867521413E-2</v>
      </c>
      <c r="KG83" s="78">
        <f t="shared" si="299"/>
        <v>0.23000353735042828</v>
      </c>
      <c r="KH83" s="237">
        <f>各项系数!$F$76/4*($NG83^2-$NE83^2)*10^-2*各项系数!$F$44*10^-3*10^2*各项系数!$J$4*0.75*$U83</f>
        <v>2.8342806963906115</v>
      </c>
      <c r="KI83" s="106">
        <v>1</v>
      </c>
      <c r="KJ83" s="78">
        <f t="shared" si="300"/>
        <v>2.8342806963906115</v>
      </c>
      <c r="KK83" s="78">
        <f>ROUND(KJ83*各项系数!$E$43,GT83)</f>
        <v>16</v>
      </c>
      <c r="KL83" s="235">
        <f>各项系数!$F$76/4*($NF83^2-$NE83^2)*10^-2*各项系数!$F$46*10^-3*10^2*各项系数!$J$4*PI()/4*R83</f>
        <v>0.1430285509335136</v>
      </c>
      <c r="KM83" s="106">
        <v>1</v>
      </c>
      <c r="KN83" s="78">
        <f t="shared" si="301"/>
        <v>0.1430285509335136</v>
      </c>
      <c r="KO83" s="78">
        <f>KN83*各项系数!$E$46</f>
        <v>9.6544271880121677</v>
      </c>
      <c r="KP83" s="237">
        <f>各项系数!$F$76/4*($NH83^2-$NE83^2)*10^-2*(VLOOKUP($KP$9,各项系数!$D$1:$F$143,3,0))*10^-3*10^2*各项系数!$J$4</f>
        <v>1.977548312450617</v>
      </c>
      <c r="KQ83" s="106">
        <v>1</v>
      </c>
      <c r="KR83" s="78">
        <f t="shared" si="416"/>
        <v>1.977548312450617</v>
      </c>
      <c r="KS83" s="78">
        <f>KR83*(VLOOKUP($KP$9,各项系数!$D$1:$F$143,2,0))</f>
        <v>33.618321311660488</v>
      </c>
      <c r="KT83" s="237">
        <f>各项系数!$F$76/4*($NI83^2-$NF83^2)*10^-2*(VLOOKUP($KT$9,各项系数!$D$1:$F$143,3,0))*10^-3*10^2*各项系数!$J$4</f>
        <v>1.980521653968051</v>
      </c>
      <c r="KU83" s="106">
        <v>1</v>
      </c>
      <c r="KV83" s="78">
        <f t="shared" si="417"/>
        <v>1.980521653968051</v>
      </c>
      <c r="KW83" s="78">
        <f>KV83*(VLOOKUP($KT$9,各项系数!$D$1:$F$143,2,0))</f>
        <v>33.668868117456867</v>
      </c>
      <c r="KX83" s="78">
        <f>各项系数!$F$76/4*($NH83^2-$NE83^2)*10^-2*(VLOOKUP($KX$9,各项系数!$D$1:$F$143,3,0))*10^-3*10^2*各项系数!$J$4</f>
        <v>1.977548312450617</v>
      </c>
      <c r="KY83" s="355">
        <v>1</v>
      </c>
      <c r="KZ83" s="78">
        <f t="shared" si="418"/>
        <v>1.977548312450617</v>
      </c>
      <c r="LA83" s="78">
        <f>KZ83*(VLOOKUP($KX$9,各项系数!$D$1:$F$143,2,0))</f>
        <v>33.618321311660488</v>
      </c>
      <c r="LB83" s="78">
        <f>各项系数!$F$76/4*($NI83^2-$NF83^2)*10^-2*(VLOOKUP($LB$9,各项系数!$D$1:$F$143,3,0))*10^-3*10^2*各项系数!$J$4</f>
        <v>1.980521653968051</v>
      </c>
      <c r="LC83" s="355">
        <v>1</v>
      </c>
      <c r="LD83" s="78">
        <f t="shared" si="419"/>
        <v>1.980521653968051</v>
      </c>
      <c r="LE83" s="78">
        <f>LD83*(VLOOKUP($LB$9,各项系数!$D$1:$F$143,2,0))</f>
        <v>33.668868117456867</v>
      </c>
      <c r="LF83" s="237">
        <f>各项系数!$F$76/4*($NH83^2-$NE83^2)*10^-2*(VLOOKUP(AN83,各项系数!$D$1:$F$143,3,0))*10^-3*10^2*各项系数!$J$4</f>
        <v>2.0048248408982117</v>
      </c>
      <c r="LG83" s="106">
        <v>1</v>
      </c>
      <c r="LH83" s="78">
        <f t="shared" si="302"/>
        <v>2.0048248408982117</v>
      </c>
      <c r="LI83" s="78">
        <f>LH83*(VLOOKUP(AN83,各项系数!$D$1:$F$143,2,0))</f>
        <v>20.048248408982118</v>
      </c>
      <c r="LJ83" s="237">
        <f>各项系数!$F$76/4*($NI83^2-$NF83^2)*10^-2*(VLOOKUP(AN83,各项系数!$D$1:$F$143,3,0))*10^-3*10^2*各项系数!$J$4</f>
        <v>2.0078391940227829</v>
      </c>
      <c r="LK83" s="106">
        <v>1</v>
      </c>
      <c r="LL83" s="78">
        <f t="shared" si="303"/>
        <v>2.0078391940227829</v>
      </c>
      <c r="LM83" s="78">
        <f>LL83*(VLOOKUP(AN83,各项系数!$D$1:$F$143,2,0))</f>
        <v>20.078391940227828</v>
      </c>
      <c r="LN83" s="78">
        <f>各项系数!$F$76/4*($NH83^2-$NE83^2)*10^-2*(VLOOKUP($LN$9,各项系数!$D$1:$F$143,3,0))*10^-3*10^2*各项系数!$J$4</f>
        <v>2.0048248408982117</v>
      </c>
      <c r="LO83" s="355">
        <v>1</v>
      </c>
      <c r="LP83" s="78">
        <f t="shared" si="304"/>
        <v>2.0048248408982117</v>
      </c>
      <c r="LQ83" s="78">
        <f>LP83*(VLOOKUP($LN$9,各项系数!$D$1:$F$143,2,0))</f>
        <v>22.053073249880327</v>
      </c>
      <c r="LR83" s="78">
        <f>各项系数!$F$76/4*($NI83^2-$NF83^2)*10^-2*(VLOOKUP($LR$9,各项系数!$D$1:$F$143,3,0))*10^-3*10^2*各项系数!$J$4</f>
        <v>2.0078391940227829</v>
      </c>
      <c r="LS83" s="355">
        <v>1</v>
      </c>
      <c r="LT83" s="78">
        <f t="shared" si="305"/>
        <v>2.0078391940227829</v>
      </c>
      <c r="LU83" s="78">
        <f>LT83*(VLOOKUP($LR$9,各项系数!$D$1:$F$143,2,0))</f>
        <v>22.08623113425061</v>
      </c>
      <c r="LV83" s="367">
        <f t="shared" si="420"/>
        <v>4157.8420787300001</v>
      </c>
      <c r="LW83" s="367">
        <f t="shared" si="421"/>
        <v>3131.21440497</v>
      </c>
      <c r="LX83" s="367">
        <f t="shared" si="422"/>
        <v>63.141000969672525</v>
      </c>
      <c r="LY83" s="367">
        <f t="shared" si="423"/>
        <v>1026.6276737600001</v>
      </c>
      <c r="LZ83" s="374">
        <f t="shared" si="365"/>
        <v>1</v>
      </c>
      <c r="MA83" s="375">
        <f t="shared" si="366"/>
        <v>4157.8420787300001</v>
      </c>
      <c r="MB83" s="367">
        <f t="shared" si="424"/>
        <v>36.379695419999997</v>
      </c>
      <c r="MC83" s="367">
        <f t="shared" si="425"/>
        <v>0</v>
      </c>
      <c r="MD83" s="367">
        <f t="shared" si="426"/>
        <v>0</v>
      </c>
      <c r="ME83" s="367">
        <f t="shared" si="427"/>
        <v>0</v>
      </c>
      <c r="MF83" s="367">
        <f t="shared" si="428"/>
        <v>0</v>
      </c>
      <c r="MG83" s="379">
        <f t="shared" si="429"/>
        <v>1</v>
      </c>
      <c r="MH83" s="375">
        <f t="shared" si="367"/>
        <v>0</v>
      </c>
      <c r="MI83" s="367">
        <f t="shared" si="430"/>
        <v>0</v>
      </c>
      <c r="MJ83" s="78">
        <f t="shared" si="368"/>
        <v>36.379695419999997</v>
      </c>
      <c r="MK83" s="78">
        <f t="shared" si="431"/>
        <v>36.379695419999997</v>
      </c>
      <c r="ML83" s="78">
        <f t="shared" si="306"/>
        <v>0</v>
      </c>
      <c r="MM83" s="78">
        <f t="shared" si="369"/>
        <v>0</v>
      </c>
      <c r="MN83" s="78">
        <f t="shared" si="370"/>
        <v>41.57969542</v>
      </c>
      <c r="MO83" s="189">
        <f t="shared" si="432"/>
        <v>0</v>
      </c>
      <c r="MP83" s="78">
        <f t="shared" si="433"/>
        <v>100.62286292</v>
      </c>
      <c r="MQ83" s="78">
        <f t="shared" si="307"/>
        <v>100.62286292</v>
      </c>
      <c r="MR83" s="246">
        <f t="shared" si="434"/>
        <v>100.62286292</v>
      </c>
      <c r="MS83" s="380">
        <f t="shared" si="371"/>
        <v>100.79886292</v>
      </c>
      <c r="MT83" s="382">
        <f t="shared" si="372"/>
        <v>100.95886292</v>
      </c>
      <c r="MU83" s="382">
        <f t="shared" si="373"/>
        <v>102.29886292</v>
      </c>
      <c r="MV83" s="382">
        <f t="shared" si="374"/>
        <v>108.99886292000001</v>
      </c>
      <c r="MW83" s="382">
        <f t="shared" si="375"/>
        <v>109.15886292</v>
      </c>
      <c r="MX83" s="246">
        <f t="shared" si="376"/>
        <v>36.979695419999999</v>
      </c>
      <c r="MY83" s="246">
        <f t="shared" si="377"/>
        <v>0</v>
      </c>
      <c r="MZ83" s="78">
        <f t="shared" si="378"/>
        <v>42.179695420000002</v>
      </c>
      <c r="NA83" s="78">
        <f t="shared" si="379"/>
        <v>0</v>
      </c>
      <c r="NB83" s="78">
        <f t="shared" si="435"/>
        <v>102.07486292</v>
      </c>
      <c r="NC83" s="246">
        <f t="shared" si="308"/>
        <v>102.07486292</v>
      </c>
      <c r="ND83" s="246">
        <f t="shared" si="436"/>
        <v>102.07486292</v>
      </c>
      <c r="NE83" s="386">
        <f t="shared" si="437"/>
        <v>102.31486292</v>
      </c>
      <c r="NF83" s="382">
        <f t="shared" si="380"/>
        <v>102.47486291999999</v>
      </c>
      <c r="NG83" s="150">
        <f t="shared" si="381"/>
        <v>103.81486292</v>
      </c>
      <c r="NH83" s="246">
        <f t="shared" si="382"/>
        <v>110.51486292</v>
      </c>
      <c r="NI83" s="382">
        <f t="shared" si="383"/>
        <v>110.67486292</v>
      </c>
      <c r="NK83" s="390">
        <f t="shared" si="384"/>
        <v>34.93557748545301</v>
      </c>
      <c r="NL83" s="390">
        <f t="shared" si="385"/>
        <v>1911.962871093157</v>
      </c>
      <c r="NM83" s="390">
        <f t="shared" si="386"/>
        <v>34.93557748545301</v>
      </c>
      <c r="NN83" s="390">
        <f t="shared" si="387"/>
        <v>1913.9391349381999</v>
      </c>
      <c r="NO83" s="390">
        <f t="shared" si="388"/>
        <v>45.071415240635588</v>
      </c>
      <c r="NP83" s="390">
        <f t="shared" si="389"/>
        <v>1923.9599934267887</v>
      </c>
      <c r="NQ83" s="390">
        <f t="shared" si="390"/>
        <v>45.071415240635588</v>
      </c>
      <c r="NR83" s="390">
        <f t="shared" si="391"/>
        <v>1925.9648182676867</v>
      </c>
      <c r="NS83" s="390">
        <f t="shared" si="392"/>
        <v>35.076488437153202</v>
      </c>
      <c r="NT83" s="390">
        <f t="shared" si="393"/>
        <v>35.076488437153202</v>
      </c>
      <c r="NU83" s="390">
        <f t="shared" si="394"/>
        <v>45.214443791569103</v>
      </c>
      <c r="NV83" s="390">
        <f t="shared" si="395"/>
        <v>45.214443791569103</v>
      </c>
      <c r="NW83" s="9">
        <f t="shared" si="396"/>
        <v>36.797304646130954</v>
      </c>
      <c r="NX83" s="9">
        <f>各项系数!$M$9*NK83</f>
        <v>10.480673245635902</v>
      </c>
      <c r="NY83" s="9">
        <f t="shared" si="397"/>
        <v>35.076488437153195</v>
      </c>
    </row>
    <row r="84" spans="1:389" s="9" customFormat="1" ht="15" hidden="1" customHeight="1">
      <c r="A84" s="65"/>
      <c r="B84" s="66"/>
      <c r="C84" s="67"/>
      <c r="D84" s="58" t="s">
        <v>128</v>
      </c>
      <c r="E84" s="54">
        <f t="shared" si="325"/>
        <v>18.177553899999999</v>
      </c>
      <c r="F84" s="68">
        <f>$F$20</f>
        <v>131.13029499843299</v>
      </c>
      <c r="G84" s="58"/>
      <c r="H84" s="62"/>
      <c r="I84" s="62"/>
      <c r="J84" s="62"/>
      <c r="K84" s="62"/>
      <c r="L84" s="107" t="s">
        <v>467</v>
      </c>
      <c r="M84" s="98">
        <f t="shared" si="339"/>
        <v>0.7</v>
      </c>
      <c r="N84" s="98">
        <f t="shared" si="340"/>
        <v>0</v>
      </c>
      <c r="O84" s="58">
        <f t="shared" si="438"/>
        <v>0.08</v>
      </c>
      <c r="P84" s="99">
        <v>0.1</v>
      </c>
      <c r="Q84" s="136">
        <f t="shared" ref="Q84:Q93" si="440">$Q$12</f>
        <v>0.1</v>
      </c>
      <c r="R84" s="151">
        <v>0.8</v>
      </c>
      <c r="S84" s="144" t="str">
        <f>各项系数!$D$43</f>
        <v>钢带</v>
      </c>
      <c r="T84" s="62">
        <v>0.2</v>
      </c>
      <c r="U84" s="62">
        <v>2</v>
      </c>
      <c r="V84" s="137"/>
      <c r="W84" s="98">
        <v>1.8</v>
      </c>
      <c r="X84" s="139">
        <f t="shared" ref="X84:X93" si="441">$X$12</f>
        <v>0.2</v>
      </c>
      <c r="Y84" s="139"/>
      <c r="Z84" s="169"/>
      <c r="AA84" s="170">
        <f>$AA$20</f>
        <v>1.0109999999999999</v>
      </c>
      <c r="AB84" s="153">
        <f>PI()*EJ84*EJ84/4*EH84*(1-H84)*AA84*各项系数!$F$5*各项系数!$J$4*10^-7</f>
        <v>8.4541508952717087E-2</v>
      </c>
      <c r="AC84" s="170">
        <f t="shared" si="327"/>
        <v>131.13029499843299</v>
      </c>
      <c r="AD84" s="153">
        <f t="shared" si="341"/>
        <v>9.557518633970421</v>
      </c>
      <c r="AE84" s="153">
        <f>POWER(4*EU84/PI()/EG84/10^-7/EH84/(1-H84)/各项系数!$F$5/各项系数!$J$4,0.5)</f>
        <v>131.8495391091914</v>
      </c>
      <c r="AF84" s="16">
        <v>1</v>
      </c>
      <c r="AG84" s="16">
        <f>IF(EM84=0,0,PI()*ER84*ER84/4*EP84*(1-K84)*(1+AF84)*各项系数!$F$5*各项系数!$J$4*10^-7)</f>
        <v>0</v>
      </c>
      <c r="AH84" s="16">
        <f t="shared" si="328"/>
        <v>0</v>
      </c>
      <c r="AI84" s="69">
        <f t="shared" si="398"/>
        <v>0</v>
      </c>
      <c r="AJ84" s="69">
        <f>IF(OR(EP84="",EP84=0),0,POWER(4*EW84/PI()/EO84/10^-7/EP84/(1-K84)/各项系数!$F$5/各项系数!$J$4,0.5))</f>
        <v>0</v>
      </c>
      <c r="AK84" s="16" t="str">
        <f t="shared" si="342"/>
        <v>√</v>
      </c>
      <c r="AL84" s="16">
        <f t="shared" si="329"/>
        <v>30.84107054691701</v>
      </c>
      <c r="AM84" s="106">
        <f t="shared" si="330"/>
        <v>10</v>
      </c>
      <c r="AN84" s="107" t="s">
        <v>486</v>
      </c>
      <c r="AO84" s="146">
        <f>AP84+各项系数!$M$9*$NK84</f>
        <v>30.236343673448047</v>
      </c>
      <c r="AP84" s="146">
        <f>AQ84*(1+$BI84+(VLOOKUP($AM84,$A$12:$B$323,2,0))+各项系数!$J$6+各项系数!$M$5)*(1+$E$2)</f>
        <v>30.03265017826606</v>
      </c>
      <c r="AQ84" s="199">
        <f>AR84+各项系数!$L$9*$NK84</f>
        <v>30.645561406393938</v>
      </c>
      <c r="AR84" s="199">
        <f>AS84*(1+$BJ84+各项系数!$J$5+各项系数!$L$5)</f>
        <v>30.441867911211951</v>
      </c>
      <c r="AS84" s="199">
        <f t="shared" si="399"/>
        <v>29.844968540403872</v>
      </c>
      <c r="AT84" s="146">
        <f>AU84+各项系数!$M$9*$NM84</f>
        <v>31.15286763612713</v>
      </c>
      <c r="AU84" s="146">
        <f>AV84*(1+$BI84+(VLOOKUP($AM84,$A$12:$B$323,2,0))+各项系数!$J$6+各项系数!$M$5)*(1+$E$2)</f>
        <v>30.949174140945143</v>
      </c>
      <c r="AV84" s="199">
        <f>AW84+各项系数!$L$9*$NM84</f>
        <v>31.580789939739944</v>
      </c>
      <c r="AW84" s="199">
        <f>AX84*(1+$BJ84+各项系数!$J$5+各项系数!$L$5)</f>
        <v>31.377096444557957</v>
      </c>
      <c r="AX84" s="199">
        <f t="shared" si="400"/>
        <v>30.761859259370546</v>
      </c>
      <c r="AY84" s="146">
        <f>AZ84+各项系数!$M$9*$NS84</f>
        <v>31.643186699606083</v>
      </c>
      <c r="AZ84" s="146">
        <f>BA84*(1+$BI84+(VLOOKUP($AM84,$A$12:$B$214,2,0))+各项系数!$J$6+各项系数!$M$5)*(1+$E$2)</f>
        <v>31.433350956752399</v>
      </c>
      <c r="BA84" s="199">
        <f>BB84+各项系数!$L$9*$NS84</f>
        <v>32.074847915053468</v>
      </c>
      <c r="BB84" s="199">
        <f>BC84*(1+$BJ84+各项系数!$J$5+各项系数!$L$5)</f>
        <v>31.86501217219978</v>
      </c>
      <c r="BC84" s="199">
        <f t="shared" si="401"/>
        <v>31.240208011960569</v>
      </c>
      <c r="BD84" s="146">
        <f>BE84+各项系数!$M$9*$NS84</f>
        <v>32.568664614439683</v>
      </c>
      <c r="BE84" s="146">
        <f>BF84*(1+$BI84+(VLOOKUP($AM84,$A$12:$B$214,2,0))+各项系数!$J$6+各项系数!$M$5)*(1+$E$2)</f>
        <v>32.358828871585999</v>
      </c>
      <c r="BF84" s="199">
        <f>BG84+各项系数!$L$9*$NS84</f>
        <v>33.019213134271425</v>
      </c>
      <c r="BG84" s="199">
        <f>BH84*(1+$BJ84+各项系数!$J$5+各项系数!$L$5)</f>
        <v>32.80937739141774</v>
      </c>
      <c r="BH84" s="199">
        <f t="shared" si="402"/>
        <v>32.166056266095822</v>
      </c>
      <c r="BI84" s="402">
        <v>0</v>
      </c>
      <c r="BJ84" s="215"/>
      <c r="BK84" s="78" t="s">
        <v>514</v>
      </c>
      <c r="BL84" s="146">
        <f>BM84+各项系数!$M$9*$NM84</f>
        <v>30.665557928243068</v>
      </c>
      <c r="BM84" s="146">
        <f>BN84*(1+$CF84+(VLOOKUP($AM84,$A$12:$B$323,2,0))+各项系数!$J$6+各项系数!$M$5)*(1+$E$2)</f>
        <v>30.461864433061081</v>
      </c>
      <c r="BN84" s="199">
        <f>BO84+各项系数!$L$9*$NM84</f>
        <v>31.083535135776614</v>
      </c>
      <c r="BO84" s="199">
        <f>BP84*(1+$CG84+各项系数!$J$5+各项系数!$L$5)</f>
        <v>30.879841640594627</v>
      </c>
      <c r="BP84" s="199">
        <f t="shared" si="403"/>
        <v>29.980428777276337</v>
      </c>
      <c r="BQ84" s="146">
        <f>BR84+各项系数!$M$9*$NM84</f>
        <v>31.454333856868963</v>
      </c>
      <c r="BR84" s="146">
        <f>BS84*(1+$CF84+(VLOOKUP($AM84,$A$12:$B$323,2,0))+各项系数!$J$6+各项系数!$M$5)*(1+$E$2)</f>
        <v>31.250640361686976</v>
      </c>
      <c r="BS84" s="199">
        <f>BT84+各项系数!$L$9*$NM84</f>
        <v>31.888408532333649</v>
      </c>
      <c r="BT84" s="199">
        <f>BU84*(1+$CG84+各项系数!$J$5+各项系数!$L$5)</f>
        <v>31.684715037151662</v>
      </c>
      <c r="BU84" s="199">
        <f t="shared" si="404"/>
        <v>30.761859259370546</v>
      </c>
      <c r="BV84" s="146">
        <f>BW84+各项系数!$M$9*$NT84</f>
        <v>31.889869222580806</v>
      </c>
      <c r="BW84" s="146">
        <f>BX84*(1+$CF84+(VLOOKUP($AM84,$A$12:$B$214,2,0))+各项系数!$J$6+各项系数!$M$5)*(1+$E$2)</f>
        <v>31.680033479727122</v>
      </c>
      <c r="BX84" s="199">
        <f>BY84+各项系数!$L$9*$NT$12</f>
        <v>32.326564775231759</v>
      </c>
      <c r="BY84" s="199">
        <f>BZ84*(1+$CG84+各项系数!$J$5+各项系数!$L$5)</f>
        <v>32.318301372076789</v>
      </c>
      <c r="BZ84" s="199">
        <f t="shared" si="343"/>
        <v>31.376991623375524</v>
      </c>
      <c r="CA84" s="146">
        <f>CB84+各项系数!$M$9*$NT84</f>
        <v>32.686351072942678</v>
      </c>
      <c r="CB84" s="146">
        <f>CC84*(1+$CF84+(VLOOKUP($AM84,$A$12:$B$214,2,0))+各项系数!$J$6+各项系数!$M$5)*(1+$E$2)</f>
        <v>32.476515330088993</v>
      </c>
      <c r="CC84" s="199">
        <f>CD84+各项系数!$L$9*$NT$12</f>
        <v>33.13930135723367</v>
      </c>
      <c r="CD84" s="199">
        <f>CE84*(1+$CG84+各项系数!$J$5+各项系数!$L$5)</f>
        <v>33.1310379540787</v>
      </c>
      <c r="CE84" s="199">
        <f t="shared" si="405"/>
        <v>32.166056266095822</v>
      </c>
      <c r="CF84" s="402">
        <f>(BI84+$CF$2)-BI84/1.3</f>
        <v>0</v>
      </c>
      <c r="CG84" s="214">
        <f t="shared" si="344"/>
        <v>0.01</v>
      </c>
      <c r="CH84" s="106"/>
      <c r="CI84" s="146">
        <f>CJ84+各项系数!$M$9*$NO84</f>
        <v>31.757028091482358</v>
      </c>
      <c r="CJ84" s="146">
        <f>CK84*(1+$DC84+(VLOOKUP($AM84,$A$12:$B$323,2,0))+各项系数!$J$6+各项系数!$M$5)*(1+$E$2)+各项系数!$M$9*$NK84</f>
        <v>31.46250484586907</v>
      </c>
      <c r="CK84" s="199">
        <f>CL84+各项系数!$L$9*$NO84</f>
        <v>31.89674627621131</v>
      </c>
      <c r="CL84" s="199">
        <f>CM84*(1+$DD84+各项系数!$J$5+各项系数!$L$5)</f>
        <v>31.602223030598022</v>
      </c>
      <c r="CM84" s="199">
        <f t="shared" si="345"/>
        <v>30.982571598625512</v>
      </c>
      <c r="CN84" s="146">
        <f>CO84+各项系数!$M$9*$NO84</f>
        <v>32.534322597632112</v>
      </c>
      <c r="CO84" s="146">
        <f>CP84*(1+$DC84+(VLOOKUP($AM84,$A$12:$B$323,2,0))+各项系数!$J$6+各项系数!$M$5)*(1+$E$2)+各项系数!$M$9*$NK84</f>
        <v>32.239799352018828</v>
      </c>
      <c r="CP84" s="199">
        <f>CQ84+各项系数!$L$9*$NO84</f>
        <v>32.689903935547797</v>
      </c>
      <c r="CQ84" s="199">
        <f>CR84*(1+$DD84+各项系数!$J$5+各项系数!$L$5)</f>
        <v>32.395380689934512</v>
      </c>
      <c r="CR84" s="199">
        <f t="shared" si="346"/>
        <v>31.760177146994621</v>
      </c>
      <c r="CS84" s="146">
        <f>CT84+各项系数!$M$9*$NU84</f>
        <v>33.120289395474316</v>
      </c>
      <c r="CT84" s="146">
        <f t="shared" si="347"/>
        <v>32.81891822202266</v>
      </c>
      <c r="CU84" s="199">
        <f>CV84+各项系数!$L$9*$NU84</f>
        <v>33.488692063288426</v>
      </c>
      <c r="CV84" s="199">
        <f>CW84*(1+$DD84+各项系数!$J$5+各项系数!$L$5)</f>
        <v>33.187320889836769</v>
      </c>
      <c r="CW84" s="199">
        <f t="shared" si="348"/>
        <v>32.536589107683106</v>
      </c>
      <c r="CX84" s="146">
        <f>CY84+各项系数!$M$9*$NU84</f>
        <v>34.140007656734227</v>
      </c>
      <c r="CY84" s="146">
        <f t="shared" si="349"/>
        <v>33.838636483282571</v>
      </c>
      <c r="CZ84" s="199">
        <f>DA84+各项系数!$L$9*$NU84</f>
        <v>34.529220901308747</v>
      </c>
      <c r="DA84" s="199">
        <f>DB84*(1+$DD84+各项系数!$J$5+各项系数!$L$5)</f>
        <v>34.227849727857091</v>
      </c>
      <c r="DB84" s="199">
        <f t="shared" si="350"/>
        <v>33.556715419467736</v>
      </c>
      <c r="DC84" s="402">
        <f>(BI84+$DC$2)-BI84/1.3</f>
        <v>0</v>
      </c>
      <c r="DD84" s="214">
        <f t="shared" si="351"/>
        <v>0</v>
      </c>
      <c r="DE84" s="78" t="s">
        <v>498</v>
      </c>
      <c r="DF84" s="78" t="s">
        <v>513</v>
      </c>
      <c r="DG84" s="146">
        <f>DH84+各项系数!$M$9*$NQ84</f>
        <v>32.211450301368068</v>
      </c>
      <c r="DH84" s="146">
        <f>DI84*(1+$EA84+(VLOOKUP($AM84,$A$12:$B$323,2,0))+各项系数!$J$6+各项系数!$M$5)*(1+$E$2)+各项系数!$M$9*$NK84</f>
        <v>31.916927055754783</v>
      </c>
      <c r="DI84" s="199">
        <f>DJ84+各项系数!$L$9*$NQ84</f>
        <v>32.360442408747751</v>
      </c>
      <c r="DJ84" s="199">
        <f>DK84*(1+$EB84+各项系数!$J$5+各项系数!$L$5)</f>
        <v>32.065919163134467</v>
      </c>
      <c r="DK84" s="199">
        <f t="shared" si="352"/>
        <v>31.131960352557734</v>
      </c>
      <c r="DL84" s="146">
        <f>DM84+各项系数!$M$9*$NQ84</f>
        <v>33.081331056265114</v>
      </c>
      <c r="DM84" s="146">
        <f>DN84*(1+$EA84+(VLOOKUP($AM84,$A$12:$B$323,2,0))+各项系数!$J$6+各项系数!$M$5)*(1+$E$2)+各项系数!$M$9*$NK84</f>
        <v>32.78680781065183</v>
      </c>
      <c r="DN84" s="199">
        <f>DO84+各项系数!$L$9*$NQ84</f>
        <v>33.248075832112086</v>
      </c>
      <c r="DO84" s="199">
        <f>DP84*(1+$EB84+各项系数!$J$5+各项系数!$L$5)</f>
        <v>32.953552586498802</v>
      </c>
      <c r="DP84" s="199">
        <f t="shared" si="353"/>
        <v>31.993740375241554</v>
      </c>
      <c r="DQ84" s="146">
        <f>DR84+各项系数!$M$9*$NV84</f>
        <v>33.591276791211989</v>
      </c>
      <c r="DR84" s="146">
        <f t="shared" si="354"/>
        <v>33.289905617760333</v>
      </c>
      <c r="DS84" s="199">
        <f>DT84+各项系数!$L$9*$NV84</f>
        <v>33.969291446694214</v>
      </c>
      <c r="DT84" s="199">
        <f>DU84*(1+$EB84+各项系数!$J$5+各项系数!$L$5)</f>
        <v>33.667920273242558</v>
      </c>
      <c r="DU84" s="199">
        <f t="shared" si="355"/>
        <v>32.687301236157822</v>
      </c>
      <c r="DV84" s="146">
        <f>DW84+各项系数!$M$9*$NV84</f>
        <v>33.820343563284275</v>
      </c>
      <c r="DW84" s="146">
        <f t="shared" si="356"/>
        <v>33.518972389832619</v>
      </c>
      <c r="DX84" s="199">
        <f>DY84+各项系数!$L$9*$NV84</f>
        <v>34.203033050849612</v>
      </c>
      <c r="DY84" s="199">
        <f>DZ84*(1+$EB84+各项系数!$J$5+各项系数!$L$5)</f>
        <v>33.901661877397956</v>
      </c>
      <c r="DZ84" s="199">
        <f t="shared" si="357"/>
        <v>32.914234832425201</v>
      </c>
      <c r="EA84" s="402">
        <f>(BI84+$EA$2)-BI84/1.3</f>
        <v>0</v>
      </c>
      <c r="EB84" s="214">
        <f t="shared" si="358"/>
        <v>0.01</v>
      </c>
      <c r="EC84" s="235">
        <f t="shared" si="408"/>
        <v>5</v>
      </c>
      <c r="ED84" s="237" t="str">
        <f t="shared" ref="ED84:ED99" si="442">IF(COUNTIF($D84,"*+*")&gt;0,MID($D84,1,FIND("+",$D84)-1),MID($D84,1,LEN($D84)))</f>
        <v>5*10</v>
      </c>
      <c r="EE84" s="78">
        <f t="shared" si="239"/>
        <v>10</v>
      </c>
      <c r="EF84" s="78" t="str">
        <f>LOOKUP(EH84,{1,7,10,14,19,24,30,37,48,61},{1,"1+6","2+8","4+10","1+6+12","2+8+14","4+10+16","1+6+12+18","3+9+15+21","1+6+12+18+24"})</f>
        <v>1+6</v>
      </c>
      <c r="EG84" s="106">
        <f t="shared" si="359"/>
        <v>5</v>
      </c>
      <c r="EH84" s="199">
        <f>VLOOKUP(EE84,各项系数!$B$87:$C$124,2,0)</f>
        <v>7</v>
      </c>
      <c r="EI84" s="106">
        <f>IF(EH84=0,0,VLOOKUP(EH84,各项系数!$D$142:$E$195,2,0))*1</f>
        <v>3</v>
      </c>
      <c r="EJ84" s="240">
        <f t="shared" si="409"/>
        <v>131.13029499843299</v>
      </c>
      <c r="EK84" s="78">
        <f t="shared" si="332"/>
        <v>0</v>
      </c>
      <c r="EL84" s="78">
        <f t="shared" si="360"/>
        <v>0</v>
      </c>
      <c r="EM84" s="78">
        <f t="shared" ref="EM84:EM99" si="443">EL84/1</f>
        <v>0</v>
      </c>
      <c r="EN84" s="78">
        <f>IF(EP84=0,0,LOOKUP(EP84,{1,7,10,14,19,24,30,37,48,61},{1,"1+6","2+8","4+10","1+6+12","2+8+14","4+10+16","1+6+12+18","3+9+15+21","1+6+12+18+24"}))</f>
        <v>0</v>
      </c>
      <c r="EO84" s="78">
        <f t="shared" si="334"/>
        <v>0</v>
      </c>
      <c r="EP84" s="78">
        <f>IF(EM84=0,0,IF(EM84&lt;10,1,IF(AND(EM84&gt;=10,EM84&lt;=35),7,LOOKUP(EM84,{50,70,95,120,150,185,240,300},{10,14,19,24,30,37,48,61})*1)))</f>
        <v>0</v>
      </c>
      <c r="EQ84" s="78">
        <f>IF(EP84=0,0,VLOOKUP(EP84,各项系数!$D$142:$E$195,2,0))*1</f>
        <v>0</v>
      </c>
      <c r="ER84" s="78">
        <f t="shared" si="335"/>
        <v>0</v>
      </c>
      <c r="ES84" s="237">
        <f t="shared" ref="ES84:ES99" si="444">EO84+EG84</f>
        <v>5</v>
      </c>
      <c r="ET84" s="78">
        <f>VLOOKUP(ES84,各项系数!$D$142:$E$195,2,0)*1</f>
        <v>2.7</v>
      </c>
      <c r="EU84" s="243">
        <f>((各项系数!$F$76/4*$EJ84^2*$EG84*$EH84*1*10^-7)*(1-$H84)*AA84)*(VLOOKUP($EY$9,各项系数!$D$4:$F$143,3,0))*各项系数!$J$4</f>
        <v>0.42270754476358535</v>
      </c>
      <c r="EV84" s="244">
        <f>EU84*(VLOOKUP($EY$9,各项系数!$D$4:$F$143,2,0))</f>
        <v>27.68734418201484</v>
      </c>
      <c r="EW84" s="252">
        <f>(IF($EO84=0,0,(各项系数!$F$76/4*$ER84^2*$EO84*$EP84*1*10^-7))*(1-$K84)*$AF84)*(VLOOKUP($EY$9,各项系数!$D$4:$F$143,3,0))*各项系数!$J$4</f>
        <v>0</v>
      </c>
      <c r="EX84" s="253">
        <f>EW84*(VLOOKUP($EY$9,各项系数!$D$4:$F$143,2,0))</f>
        <v>0</v>
      </c>
      <c r="EY84" s="189">
        <f>((各项系数!$F$76/4*$EJ84^2*$EG84*$EH84*1*10^-7)*(1-$H84)*AA84+IF($EO84=0,0,(各项系数!$F$76/4*$ER84^2*$EO84*$EP84*1*10^-7))*(1-$K84)*$AF84)*(VLOOKUP($EY$9,各项系数!$D$4:$F$143,3,0))*各项系数!$J$4</f>
        <v>0.42270754476358535</v>
      </c>
      <c r="EZ84" s="106">
        <v>1</v>
      </c>
      <c r="FA84" s="78">
        <f t="shared" si="268"/>
        <v>0.42270754476358535</v>
      </c>
      <c r="FB84" s="246">
        <f>FA84*(VLOOKUP($EY$9,各项系数!$D$4:$F$143,2,0))</f>
        <v>27.68734418201484</v>
      </c>
      <c r="FC84" s="257"/>
      <c r="FD84" s="237">
        <f>各项系数!$F$76/4*($MN84^2-MK84^2)*10^-2*(VLOOKUP(L84,各项系数!$D$1:$F$143,3,0))*10^-3*10^2*$EG84*各项系数!$J$4</f>
        <v>5.576749921266335E-2</v>
      </c>
      <c r="FE84" s="264">
        <f>FD84*VLOOKUP(L84,各项系数!$D$1:$F$143,2,0)</f>
        <v>0.56882849196916618</v>
      </c>
      <c r="FF84" s="106">
        <f>各项系数!$F$76/4*($MO84^2-ML84^2)*10^-2*(VLOOKUP(L84,各项系数!$D$1:$F$143,3,0))*10^-3*10^2*$EO84*各项系数!$J$4</f>
        <v>0</v>
      </c>
      <c r="FG84" s="264">
        <f>FF84*VLOOKUP(L84,各项系数!$D$1:$F$143,2,0)</f>
        <v>0</v>
      </c>
      <c r="FH84" s="237">
        <f t="shared" si="410"/>
        <v>5.576749921266335E-2</v>
      </c>
      <c r="FI84" s="106">
        <v>1</v>
      </c>
      <c r="FJ84" s="78">
        <f t="shared" si="269"/>
        <v>5.576749921266335E-2</v>
      </c>
      <c r="FK84" s="264">
        <f>FJ84*VLOOKUP(L84,各项系数!$D$1:$F$143,2,0)</f>
        <v>0.56882849196916618</v>
      </c>
      <c r="FL84" s="237"/>
      <c r="FM84" s="106"/>
      <c r="FN84" s="78"/>
      <c r="FO84" s="264"/>
      <c r="FP84" s="289">
        <f t="shared" si="270"/>
        <v>5.576749921266335E-2</v>
      </c>
      <c r="FQ84" s="289">
        <f t="shared" si="271"/>
        <v>0.56882849196916618</v>
      </c>
      <c r="FR84" s="283">
        <f>各项系数!$F$76/4*($MQ84^2-$MN84^2*$EG84-$MO84^2*$EO84)*10^-2</f>
        <v>0.51170132834364124</v>
      </c>
      <c r="FS84" s="284">
        <f t="shared" si="411"/>
        <v>1</v>
      </c>
      <c r="FT84" s="285">
        <f t="shared" si="361"/>
        <v>0.51170132834364124</v>
      </c>
      <c r="FU84" s="309">
        <f>$FT84*(VLOOKUP($FT$9,各项系数!$D$1:$F$143,3,0))*10^-3*10^2*各项系数!$J$55</f>
        <v>6.1097138604230765E-2</v>
      </c>
      <c r="FV84" s="310">
        <v>1</v>
      </c>
      <c r="FW84" s="311">
        <f t="shared" si="272"/>
        <v>6.1097138604230765E-2</v>
      </c>
      <c r="FX84" s="290">
        <f>FW84*(VLOOKUP($FT$9,各项系数!$D$1:$F$143,2,0))</f>
        <v>0.18329141581269229</v>
      </c>
      <c r="FY84" s="309">
        <f>IF($BK84&lt;&gt;$FY$9,0,各项系数!$F$76/4*($MS84^2-$MQ84^2)*10^-2*(VLOOKUP($FY$9,各项系数!$D$1:$F$143,3,0))*10^-3*10^2)*各项系数!$J$4</f>
        <v>0</v>
      </c>
      <c r="FZ84" s="310">
        <v>1</v>
      </c>
      <c r="GA84" s="311">
        <f t="shared" si="273"/>
        <v>0</v>
      </c>
      <c r="GB84" s="290">
        <f>GA84*(VLOOKUP($FY$9,各项系数!$D$1:$F$143,2,0))</f>
        <v>0</v>
      </c>
      <c r="GC84" s="309">
        <f>IF($BK84&lt;&gt;$GC$9,0,各项系数!$F$76/4*($MS84^2-$MQ84^2)*10^-2*(VLOOKUP($GC$9,各项系数!$D$1:$F$143,3,0))*10^-3*10^2)*各项系数!$J$4</f>
        <v>3.9458978203521485E-3</v>
      </c>
      <c r="GD84" s="310">
        <v>1</v>
      </c>
      <c r="GE84" s="311">
        <f t="shared" si="274"/>
        <v>3.9458978203521485E-3</v>
      </c>
      <c r="GF84" s="290">
        <f>GE84*(VLOOKUP($GC$9,各项系数!$D$1:$F$143,2,0))</f>
        <v>5.0902081882542714E-2</v>
      </c>
      <c r="GG84" s="309">
        <f>IF($BK84&lt;&gt;$GG$9,0,各项系数!$F$76/4*($MS84^2-$MQ84^2)*10^-2*(VLOOKUP($GG$9,各项系数!$D$1:$F$143,3,0))*10^-3*10^2)*各项系数!$J$4</f>
        <v>0</v>
      </c>
      <c r="GH84" s="310">
        <v>1</v>
      </c>
      <c r="GI84" s="311">
        <f t="shared" si="275"/>
        <v>0</v>
      </c>
      <c r="GJ84" s="290">
        <f>GI84*(VLOOKUP($GG$9,各项系数!$D$1:$F$143,2,0))</f>
        <v>0</v>
      </c>
      <c r="GK84" s="309">
        <f>IF($BK84&lt;&gt;$GK$9,0,各项系数!$F$76/4*($MS84^2-$MQ84^2)*10^-2*(VLOOKUP($GK$9,各项系数!$D$1:$F$143,3,0))*10^-3*10^2)*各项系数!$J$4</f>
        <v>0</v>
      </c>
      <c r="GL84" s="310">
        <v>1</v>
      </c>
      <c r="GM84" s="311">
        <f t="shared" si="276"/>
        <v>0</v>
      </c>
      <c r="GN84" s="290">
        <f>GM84*(VLOOKUP($GK$9,各项系数!$D$1:$F$143,2,0))</f>
        <v>0</v>
      </c>
      <c r="GO84" s="311">
        <f t="shared" si="277"/>
        <v>3.9458978203521485E-3</v>
      </c>
      <c r="GP84" s="311">
        <f t="shared" si="278"/>
        <v>5.0902081882542714E-2</v>
      </c>
      <c r="GQ84" s="317">
        <f>各项系数!$F$76/4*($MU84^2-$MS84^2)*10^-2*(VLOOKUP($S84,各项系数!$D$1:$F$143,3,0))*10^-3*10^2*各项系数!$J$4</f>
        <v>0.10910194514694105</v>
      </c>
      <c r="GR84" s="310">
        <v>1</v>
      </c>
      <c r="GS84" s="311">
        <f t="shared" si="279"/>
        <v>0.10910194514694105</v>
      </c>
      <c r="GT84" s="311">
        <f t="shared" si="200"/>
        <v>0</v>
      </c>
      <c r="GU84" s="311">
        <f>ROUND($GS84*(VLOOKUP($S84,各项系数!$D$1:$F$143,2,0))+$E$3*GS84,GT84)</f>
        <v>1</v>
      </c>
      <c r="GV84" s="315">
        <f>各项系数!$F$76/4*($MT84^2-$MS84^2)*10^-2*(VLOOKUP($GV$9,各项系数!$D$1:$F$143,3,0))*10^-3*10^2*各项系数!$J$4*PI()/4*R84</f>
        <v>2.0474158905655515E-2</v>
      </c>
      <c r="GW84" s="310">
        <v>1</v>
      </c>
      <c r="GX84" s="311">
        <f t="shared" si="280"/>
        <v>2.0474158905655515E-2</v>
      </c>
      <c r="GY84" s="311">
        <f>$GX84*(VLOOKUP($GV$9,各项系数!$D$1:$F$143,2,0))</f>
        <v>1.3820057261317473</v>
      </c>
      <c r="GZ84" s="317">
        <f>各项系数!$F$76/4*($MV84^2-$MS84^2)*10^-2*(VLOOKUP($GZ$9,各项系数!$D$1:$F$143,3,0))*10^-3*10^2*各项系数!$J$4</f>
        <v>0.1336172404524294</v>
      </c>
      <c r="HA84" s="310">
        <v>1</v>
      </c>
      <c r="HB84" s="311">
        <f t="shared" si="412"/>
        <v>0.1336172404524294</v>
      </c>
      <c r="HC84" s="311">
        <f>HB84*(VLOOKUP($GZ$9,各项系数!$D$1:$F$143,2,0))</f>
        <v>2.2714930876913</v>
      </c>
      <c r="HD84" s="317">
        <f>各项系数!$F$76/4*($MW84^2-$MT84^2)*10^-2*(VLOOKUP($HD$9,各项系数!$D$1:$F$143,3,0))*10^-3*10^2*各项系数!$J$4</f>
        <v>0.13492260989910776</v>
      </c>
      <c r="HE84" s="310">
        <v>1</v>
      </c>
      <c r="HF84" s="311">
        <f t="shared" si="413"/>
        <v>0.13492260989910776</v>
      </c>
      <c r="HG84" s="311">
        <f>HF84*(VLOOKUP($HD$9,各项系数!$D$1:$F$143,2,0))</f>
        <v>2.2936843682848318</v>
      </c>
      <c r="HH84" s="317">
        <f>各项系数!$F$76/4*($MV84^2-$MS84^2)*10^-2*(VLOOKUP($HH$9,各项系数!$D$1:$F$143,3,0))*10^-3*10^2*各项系数!$J$4</f>
        <v>0.1336172404524294</v>
      </c>
      <c r="HI84" s="311">
        <v>1</v>
      </c>
      <c r="HJ84" s="311">
        <f t="shared" si="414"/>
        <v>0.1336172404524294</v>
      </c>
      <c r="HK84" s="311">
        <f>HJ84*(VLOOKUP($HH$9,各项系数!$D$1:$F$143,2,0))</f>
        <v>2.2714930876913</v>
      </c>
      <c r="HL84" s="317">
        <f>各项系数!$F$76/4*($MW84^2-$MT84^2)*10^-2*(VLOOKUP($HL$9,各项系数!$D$1:$F$143,3,0))*10^-3*10^2*各项系数!$J$4</f>
        <v>0.13492260989910776</v>
      </c>
      <c r="HM84" s="311">
        <v>1</v>
      </c>
      <c r="HN84" s="311">
        <f t="shared" si="362"/>
        <v>0.13492260989910776</v>
      </c>
      <c r="HO84" s="311">
        <f>HN84*(VLOOKUP($HL$9,各项系数!$D$1:$F$143,2,0))</f>
        <v>2.2936843682848318</v>
      </c>
      <c r="HP84" s="317">
        <f>各项系数!$F$76/4*($MV84^2-$MS84^2)*10^-2*(VLOOKUP(AN84,各项系数!$D$1:$F$143,3,0))*10^-3*10^2*各项系数!$J$4</f>
        <v>0.13546023687246289</v>
      </c>
      <c r="HQ84" s="310">
        <v>1</v>
      </c>
      <c r="HR84" s="311">
        <f t="shared" si="281"/>
        <v>0.13546023687246289</v>
      </c>
      <c r="HS84" s="311">
        <f>HR84*(VLOOKUP(AN84,各项系数!$D$1:$F$143,2,0))</f>
        <v>1.3546023687246289</v>
      </c>
      <c r="HT84" s="317">
        <f>各项系数!$F$76/4*($MW84^2-$MT84^2)*10^-2*(VLOOKUP(AN84,各项系数!$D$1:$F$143,3,0))*10^-3*10^2*各项系数!$J$4</f>
        <v>0.13678361141495754</v>
      </c>
      <c r="HU84" s="310">
        <v>1</v>
      </c>
      <c r="HV84" s="311">
        <f t="shared" si="282"/>
        <v>0.13678361141495754</v>
      </c>
      <c r="HW84" s="311">
        <f>HV84*(VLOOKUP(AN84,各项系数!$D$1:$F$143,2,0))</f>
        <v>1.3678361141495754</v>
      </c>
      <c r="HX84" s="317">
        <f>各项系数!$F$76/4*($MV84^2-$MS84^2)*10^-2*(VLOOKUP($HX$9,各项系数!$D$1:$F$143,3,0))*10^-3*10^2*各项系数!$J$4</f>
        <v>0.13546023687246289</v>
      </c>
      <c r="HY84" s="311">
        <v>1</v>
      </c>
      <c r="HZ84" s="311">
        <f t="shared" si="283"/>
        <v>0.13546023687246289</v>
      </c>
      <c r="IA84" s="311">
        <f>HZ84*(VLOOKUP($HX$9,各项系数!$D$1:$F$143,2,0))</f>
        <v>1.4900626055970918</v>
      </c>
      <c r="IB84" s="317">
        <f>各项系数!$F$76/4*($MW84^2-$MT84^2)*10^-2*(VLOOKUP($IB$9,各项系数!$D$1:$F$143,3,0))*10^-3*10^2*各项系数!$J$4</f>
        <v>0.13678361141495754</v>
      </c>
      <c r="IC84" s="311">
        <v>1</v>
      </c>
      <c r="ID84" s="311">
        <f t="shared" si="284"/>
        <v>0.13678361141495754</v>
      </c>
      <c r="IE84" s="311">
        <f>ID84*(VLOOKUP($IB$9,各项系数!$D$1:$F$143,2,0))</f>
        <v>1.5046197255645328</v>
      </c>
      <c r="IF84" s="309"/>
      <c r="IG84" s="317">
        <f t="shared" si="415"/>
        <v>2.9778099422474606E-2</v>
      </c>
      <c r="IH84" s="310">
        <v>1</v>
      </c>
      <c r="II84" s="311">
        <f t="shared" si="285"/>
        <v>2.9778099422474606E-2</v>
      </c>
      <c r="IJ84" s="311">
        <f>II84*(VLOOKUP($IG$8,各项系数!$D$1:$F$143,2,0))</f>
        <v>0.74445248556186516</v>
      </c>
      <c r="IK84" s="317">
        <f>(各项系数!$F$76/4*($MX84^2-$MK84^2)*$EG84)*10^-2*(VLOOKUP($IG$8,各项系数!$D$1:$F$143,3,0))*10^-3*10^2*各项系数!$J$4</f>
        <v>2.9778099422474606E-2</v>
      </c>
      <c r="IL84" s="310">
        <f>IK84*(VLOOKUP($IG$8,各项系数!$D$1:$F$143,2,0))</f>
        <v>0.74445248556186516</v>
      </c>
      <c r="IM84" s="311">
        <f>(各项系数!$F$76/4*(($MM84+3*$X84)^2-MM84^2)*$EO84)*10^-2*(VLOOKUP($IG$8,各项系数!$D$1:$F$143,3,0))*10^-3*10^2*各项系数!$J$4</f>
        <v>0</v>
      </c>
      <c r="IN84" s="310">
        <f>IM84*(VLOOKUP($IG$8,各项系数!$D$1:$F$143,2,0))</f>
        <v>0</v>
      </c>
      <c r="IO84" s="317">
        <f>各项系数!$F$76/4*($MZ84^2-$MX84^2)*10^-2*(VLOOKUP(L84,各项系数!$D$1:$F$143,3,0))*10^-3*10^2*$ES84*各项系数!$J$4</f>
        <v>6.2988292847306823E-2</v>
      </c>
      <c r="IP84" s="310">
        <v>1</v>
      </c>
      <c r="IQ84" s="311">
        <f t="shared" si="286"/>
        <v>6.2988292847306823E-2</v>
      </c>
      <c r="IR84" s="290">
        <f>IQ84*(VLOOKUP(L84,各项系数!$D$1:$F$143,2,0))</f>
        <v>0.64248058704252953</v>
      </c>
      <c r="IS84" s="317">
        <f>IF($L84&lt;&gt;$IS$9,0,各项系数!$F$76/4*($MZ84^2-$MX84^2)*10^-2*各项系数!$F$12*10^-3*10^2)*$ES84*各项系数!$J$4</f>
        <v>0</v>
      </c>
      <c r="IT84" s="310">
        <v>1</v>
      </c>
      <c r="IU84" s="311">
        <f t="shared" si="287"/>
        <v>0</v>
      </c>
      <c r="IV84" s="290">
        <f>IU84*各项系数!$E$12</f>
        <v>0</v>
      </c>
      <c r="IW84" s="309">
        <f t="shared" si="288"/>
        <v>6.2988292847306823E-2</v>
      </c>
      <c r="IX84" s="309">
        <f t="shared" si="289"/>
        <v>0.64248058704252953</v>
      </c>
      <c r="IY84" s="339">
        <f>各项系数!$F$76/4*($NB84^2-$MZ84^2*$EG84-$NA84^2*$EO84)*10^-2</f>
        <v>0.6332965269849179</v>
      </c>
      <c r="IZ84" s="284">
        <f t="shared" si="231"/>
        <v>1</v>
      </c>
      <c r="JA84" s="285">
        <f t="shared" si="363"/>
        <v>0.6332965269849179</v>
      </c>
      <c r="JB84" s="289">
        <f>IF($DE84&lt;&gt;$JB$9,0,$JA84*各项系数!$F$32*10^-3*10^2)*各项系数!$J$4</f>
        <v>0</v>
      </c>
      <c r="JC84" s="106">
        <v>1</v>
      </c>
      <c r="JD84" s="78">
        <f t="shared" si="290"/>
        <v>0</v>
      </c>
      <c r="JE84" s="264">
        <f>JD84*各项系数!$E$32</f>
        <v>0</v>
      </c>
      <c r="JF84" s="282">
        <f>IF($DE84&lt;&gt;$JF$9,0,$JA84*VLOOKUP($JF$9,各项系数!$D$4:$F$540,2,0)*10^-3*10^2)*各项系数!$J$4</f>
        <v>0.31506502217499666</v>
      </c>
      <c r="JG84" s="102">
        <v>1</v>
      </c>
      <c r="JH84" s="189">
        <f t="shared" si="364"/>
        <v>0.31506502217499666</v>
      </c>
      <c r="JI84" s="262">
        <f>JH84*VLOOKUP($JF$9,各项系数!$D$4:$F$540,3,0)</f>
        <v>0.37807802660999595</v>
      </c>
      <c r="JJ84" s="289">
        <f t="shared" si="291"/>
        <v>0.31506502217499666</v>
      </c>
      <c r="JK84" s="78">
        <f t="shared" si="292"/>
        <v>0.37807802660999595</v>
      </c>
      <c r="JL84" s="289">
        <f>IF($DF84&lt;&gt;$JL$9,0,各项系数!$F$76/4*($NE84^2-$NC84^2)*10^-2*各项系数!$F$39*10^-3*10^2)*各项系数!$J$4</f>
        <v>1.8164389037045221E-3</v>
      </c>
      <c r="JM84" s="106">
        <v>1</v>
      </c>
      <c r="JN84" s="78">
        <f t="shared" si="293"/>
        <v>1.8164389037045221E-3</v>
      </c>
      <c r="JO84" s="264">
        <f>JN84*各项系数!$E$39</f>
        <v>3.6328778074090441E-2</v>
      </c>
      <c r="JP84" s="289">
        <f>IF($DF84&lt;&gt;$JP$9,0,各项系数!$F$76/4*($NE84^2-$NC84^2)*10^-2*各项系数!$F$36*10^-3*10^2)*各项系数!$J$4</f>
        <v>0</v>
      </c>
      <c r="JQ84" s="106">
        <v>1</v>
      </c>
      <c r="JR84" s="78">
        <f t="shared" si="294"/>
        <v>0</v>
      </c>
      <c r="JS84" s="264">
        <f>JR84*各项系数!$E$36</f>
        <v>0</v>
      </c>
      <c r="JT84" s="289">
        <f>IF($DF84&lt;&gt;$JT$9,0,各项系数!$F$76/4*($NE84^2-$NC84^2)*10^-2*各项系数!$F$40*10^-3*10^2)*各项系数!$J$4</f>
        <v>0</v>
      </c>
      <c r="JU84" s="106">
        <v>1</v>
      </c>
      <c r="JV84" s="78">
        <f t="shared" si="295"/>
        <v>0</v>
      </c>
      <c r="JW84" s="264">
        <f>JV84*各项系数!$E$40</f>
        <v>0</v>
      </c>
      <c r="JX84" s="289">
        <f>IF($DF84&lt;&gt;$JX$9,0,各项系数!$F$76/4*($NE84^2-$NC84^2)*10^-2*各项系数!$F$38*10^-3*10^2)*各项系数!$J$4</f>
        <v>0</v>
      </c>
      <c r="JY84" s="106">
        <v>1</v>
      </c>
      <c r="JZ84" s="78">
        <f t="shared" si="296"/>
        <v>0</v>
      </c>
      <c r="KA84" s="264">
        <f>JZ84*各项系数!$E$38</f>
        <v>0</v>
      </c>
      <c r="KB84" s="289">
        <f>IF($DF84&lt;&gt;$KB$9,0,各项系数!$F$76/4*($NE84^2-$NC84^2)*10^-2*各项系数!$F$41*10^-3*10^2)*各项系数!$J$4</f>
        <v>0</v>
      </c>
      <c r="KC84" s="106">
        <v>1</v>
      </c>
      <c r="KD84" s="78">
        <f t="shared" si="297"/>
        <v>0</v>
      </c>
      <c r="KE84" s="264">
        <f>KD84*各项系数!$E$41</f>
        <v>0</v>
      </c>
      <c r="KF84" s="78">
        <f t="shared" si="298"/>
        <v>1.8164389037045221E-3</v>
      </c>
      <c r="KG84" s="78">
        <f t="shared" si="299"/>
        <v>3.6328778074090441E-2</v>
      </c>
      <c r="KH84" s="237">
        <f>各项系数!$F$76/4*($NG84^2-$NE84^2)*10^-2*各项系数!$F$44*10^-3*10^2*各项系数!$J$4*0.75*$U84</f>
        <v>0.18217689789172067</v>
      </c>
      <c r="KI84" s="106">
        <v>1</v>
      </c>
      <c r="KJ84" s="78">
        <f t="shared" si="300"/>
        <v>0.18217689789172067</v>
      </c>
      <c r="KK84" s="78">
        <f>ROUND(KJ84*各项系数!$E$43,GT84)</f>
        <v>1</v>
      </c>
      <c r="KL84" s="235">
        <f>各项系数!$F$76/4*($NF84^2-$NE84^2)*10^-2*各项系数!$F$46*10^-3*10^2*各项系数!$J$4*PI()/4*R84</f>
        <v>2.2826426127891042E-2</v>
      </c>
      <c r="KM84" s="106">
        <v>1</v>
      </c>
      <c r="KN84" s="78">
        <f t="shared" si="301"/>
        <v>2.2826426127891042E-2</v>
      </c>
      <c r="KO84" s="78">
        <f>KN84*各项系数!$E$46</f>
        <v>1.5407837636326454</v>
      </c>
      <c r="KP84" s="237">
        <f>各项系数!$F$76/4*($NH84^2-$NE84^2)*10^-2*(VLOOKUP($KP$9,各项系数!$D$1:$F$143,3,0))*10^-3*10^2*各项系数!$J$4</f>
        <v>0.14735625387871967</v>
      </c>
      <c r="KQ84" s="106">
        <v>1</v>
      </c>
      <c r="KR84" s="78">
        <f t="shared" si="416"/>
        <v>0.14735625387871967</v>
      </c>
      <c r="KS84" s="78">
        <f>KR84*(VLOOKUP($KP$9,各项系数!$D$1:$F$143,2,0))</f>
        <v>2.5050563159382344</v>
      </c>
      <c r="KT84" s="237">
        <f>各项系数!$F$76/4*($NI84^2-$NF84^2)*10^-2*(VLOOKUP($KT$9,各项系数!$D$1:$F$143,3,0))*10^-3*10^2*各项系数!$J$4</f>
        <v>0.14866162332539812</v>
      </c>
      <c r="KU84" s="106">
        <v>1</v>
      </c>
      <c r="KV84" s="78">
        <f t="shared" si="417"/>
        <v>0.14866162332539812</v>
      </c>
      <c r="KW84" s="78">
        <f>KV84*(VLOOKUP($KT$9,各项系数!$D$1:$F$143,2,0))</f>
        <v>2.527247596531768</v>
      </c>
      <c r="KX84" s="78">
        <f>各项系数!$F$76/4*($NH84^2-$NE84^2)*10^-2*(VLOOKUP($KX$9,各项系数!$D$1:$F$143,3,0))*10^-3*10^2*各项系数!$J$4</f>
        <v>0.14735625387871967</v>
      </c>
      <c r="KY84" s="355">
        <v>1</v>
      </c>
      <c r="KZ84" s="78">
        <f t="shared" si="418"/>
        <v>0.14735625387871967</v>
      </c>
      <c r="LA84" s="78">
        <f>KZ84*(VLOOKUP($KX$9,各项系数!$D$1:$F$143,2,0))</f>
        <v>2.5050563159382344</v>
      </c>
      <c r="LB84" s="78">
        <f>各项系数!$F$76/4*($NI84^2-$NF84^2)*10^-2*(VLOOKUP($LB$9,各项系数!$D$1:$F$143,3,0))*10^-3*10^2*各项系数!$J$4</f>
        <v>0.14866162332539812</v>
      </c>
      <c r="LC84" s="355">
        <v>1</v>
      </c>
      <c r="LD84" s="78">
        <f t="shared" si="419"/>
        <v>0.14866162332539812</v>
      </c>
      <c r="LE84" s="78">
        <f>LD84*(VLOOKUP($LB$9,各项系数!$D$1:$F$143,2,0))</f>
        <v>2.527247596531768</v>
      </c>
      <c r="LF84" s="237">
        <f>各项系数!$F$76/4*($NH84^2-$NE84^2)*10^-2*(VLOOKUP(AN84,各项系数!$D$1:$F$143,3,0))*10^-3*10^2*各项系数!$J$4</f>
        <v>0.14938875393221923</v>
      </c>
      <c r="LG84" s="106">
        <v>1</v>
      </c>
      <c r="LH84" s="78">
        <f t="shared" si="302"/>
        <v>0.14938875393221923</v>
      </c>
      <c r="LI84" s="78">
        <f>LH84*(VLOOKUP(AN84,各项系数!$D$1:$F$143,2,0))</f>
        <v>1.4938875393221922</v>
      </c>
      <c r="LJ84" s="237">
        <f>各项系数!$F$76/4*($NI84^2-$NF84^2)*10^-2*(VLOOKUP(AN84,各项系数!$D$1:$F$143,3,0))*10^-3*10^2*各项系数!$J$4</f>
        <v>0.15071212847471394</v>
      </c>
      <c r="LK84" s="106">
        <v>1</v>
      </c>
      <c r="LL84" s="78">
        <f t="shared" si="303"/>
        <v>0.15071212847471394</v>
      </c>
      <c r="LM84" s="78">
        <f>LL84*(VLOOKUP(AN84,各项系数!$D$1:$F$143,2,0))</f>
        <v>1.5071212847471394</v>
      </c>
      <c r="LN84" s="78">
        <f>各项系数!$F$76/4*($NH84^2-$NE84^2)*10^-2*(VLOOKUP($LN$9,各项系数!$D$1:$F$143,3,0))*10^-3*10^2*各项系数!$J$4</f>
        <v>0.14938875393221923</v>
      </c>
      <c r="LO84" s="355">
        <v>1</v>
      </c>
      <c r="LP84" s="78">
        <f t="shared" si="304"/>
        <v>0.14938875393221923</v>
      </c>
      <c r="LQ84" s="78">
        <f>LP84*(VLOOKUP($LN$9,各项系数!$D$1:$F$143,2,0))</f>
        <v>1.6432762932544116</v>
      </c>
      <c r="LR84" s="78">
        <f>各项系数!$F$76/4*($NI84^2-$NF84^2)*10^-2*(VLOOKUP($LR$9,各项系数!$D$1:$F$143,3,0))*10^-3*10^2*各项系数!$J$4</f>
        <v>0.15071212847471394</v>
      </c>
      <c r="LS84" s="355">
        <v>1</v>
      </c>
      <c r="LT84" s="78">
        <f t="shared" si="305"/>
        <v>0.15071212847471394</v>
      </c>
      <c r="LU84" s="78">
        <f>LT84*(VLOOKUP($LR$9,各项系数!$D$1:$F$143,2,0))</f>
        <v>1.6578334132218533</v>
      </c>
      <c r="LV84" s="367">
        <f t="shared" si="420"/>
        <v>60.772691610000003</v>
      </c>
      <c r="LW84" s="367">
        <f t="shared" si="421"/>
        <v>47.267649030000001</v>
      </c>
      <c r="LX84" s="367">
        <f t="shared" si="422"/>
        <v>7.7577728718788004</v>
      </c>
      <c r="LY84" s="367">
        <f t="shared" si="423"/>
        <v>13.505042580000001</v>
      </c>
      <c r="LZ84" s="374">
        <f t="shared" si="365"/>
        <v>1</v>
      </c>
      <c r="MA84" s="375">
        <f t="shared" si="366"/>
        <v>60.772691610000003</v>
      </c>
      <c r="MB84" s="367">
        <f t="shared" si="424"/>
        <v>3.9339088499999999</v>
      </c>
      <c r="MC84" s="367">
        <f t="shared" si="425"/>
        <v>0</v>
      </c>
      <c r="MD84" s="367">
        <f t="shared" si="426"/>
        <v>0</v>
      </c>
      <c r="ME84" s="367">
        <f t="shared" si="427"/>
        <v>0</v>
      </c>
      <c r="MF84" s="367">
        <f t="shared" si="428"/>
        <v>0</v>
      </c>
      <c r="MG84" s="379">
        <f t="shared" si="429"/>
        <v>1</v>
      </c>
      <c r="MH84" s="375">
        <f t="shared" si="367"/>
        <v>0</v>
      </c>
      <c r="MI84" s="367">
        <f t="shared" si="430"/>
        <v>0</v>
      </c>
      <c r="MJ84" s="78">
        <f t="shared" si="368"/>
        <v>3.9339088499999999</v>
      </c>
      <c r="MK84" s="78">
        <f t="shared" si="431"/>
        <v>3.9339088499999999</v>
      </c>
      <c r="ML84" s="78">
        <f t="shared" si="306"/>
        <v>0</v>
      </c>
      <c r="MM84" s="78">
        <f t="shared" si="369"/>
        <v>0</v>
      </c>
      <c r="MN84" s="78">
        <f t="shared" si="370"/>
        <v>5.3339088500000003</v>
      </c>
      <c r="MO84" s="189">
        <f t="shared" si="432"/>
        <v>0</v>
      </c>
      <c r="MP84" s="78">
        <f t="shared" si="433"/>
        <v>14.4015539</v>
      </c>
      <c r="MQ84" s="78">
        <f t="shared" si="307"/>
        <v>14.4015539</v>
      </c>
      <c r="MR84" s="246">
        <f t="shared" si="434"/>
        <v>14.4015539</v>
      </c>
      <c r="MS84" s="380">
        <f t="shared" si="371"/>
        <v>14.5775539</v>
      </c>
      <c r="MT84" s="382">
        <f t="shared" si="372"/>
        <v>14.7375539</v>
      </c>
      <c r="MU84" s="382">
        <f t="shared" si="373"/>
        <v>15.177553899999999</v>
      </c>
      <c r="MV84" s="382">
        <f t="shared" si="374"/>
        <v>18.177553899999999</v>
      </c>
      <c r="MW84" s="382">
        <f t="shared" si="375"/>
        <v>18.3375539</v>
      </c>
      <c r="MX84" s="246">
        <f t="shared" si="376"/>
        <v>4.5339088499999995</v>
      </c>
      <c r="MY84" s="246">
        <f t="shared" si="377"/>
        <v>0</v>
      </c>
      <c r="MZ84" s="78">
        <f t="shared" si="378"/>
        <v>5.9339088499999999</v>
      </c>
      <c r="NA84" s="78">
        <f t="shared" si="379"/>
        <v>0</v>
      </c>
      <c r="NB84" s="78">
        <f t="shared" si="435"/>
        <v>16.021553900000001</v>
      </c>
      <c r="NC84" s="246">
        <f t="shared" si="308"/>
        <v>16.021553900000001</v>
      </c>
      <c r="ND84" s="246">
        <f t="shared" si="436"/>
        <v>16.021553900000001</v>
      </c>
      <c r="NE84" s="386">
        <f t="shared" si="437"/>
        <v>16.261553899999999</v>
      </c>
      <c r="NF84" s="382">
        <f t="shared" si="380"/>
        <v>16.421553899999999</v>
      </c>
      <c r="NG84" s="150">
        <f t="shared" si="381"/>
        <v>16.861553900000001</v>
      </c>
      <c r="NH84" s="246">
        <f t="shared" si="382"/>
        <v>19.861553900000001</v>
      </c>
      <c r="NI84" s="382">
        <f t="shared" si="383"/>
        <v>20.021553900000001</v>
      </c>
      <c r="NK84" s="390">
        <f t="shared" si="384"/>
        <v>0.6789783172732945</v>
      </c>
      <c r="NL84" s="390">
        <f t="shared" si="385"/>
        <v>29.844968540403872</v>
      </c>
      <c r="NM84" s="390">
        <f t="shared" si="386"/>
        <v>0.6789783172732945</v>
      </c>
      <c r="NN84" s="390">
        <f t="shared" si="387"/>
        <v>29.980428777276337</v>
      </c>
      <c r="NO84" s="390">
        <f t="shared" si="388"/>
        <v>0.98174415204428711</v>
      </c>
      <c r="NP84" s="390">
        <f t="shared" si="389"/>
        <v>30.982571598625512</v>
      </c>
      <c r="NQ84" s="390">
        <f t="shared" si="390"/>
        <v>0.98174415204428711</v>
      </c>
      <c r="NR84" s="390">
        <f t="shared" si="391"/>
        <v>31.131960352557734</v>
      </c>
      <c r="NS84" s="390">
        <f t="shared" si="392"/>
        <v>0.69945247617895001</v>
      </c>
      <c r="NT84" s="390">
        <f t="shared" si="393"/>
        <v>0.69945247617895001</v>
      </c>
      <c r="NU84" s="390">
        <f t="shared" si="394"/>
        <v>1.0045705781721781</v>
      </c>
      <c r="NV84" s="390">
        <f t="shared" si="395"/>
        <v>1.0045705781721781</v>
      </c>
      <c r="NW84" s="9">
        <f t="shared" si="396"/>
        <v>0.78808026242023554</v>
      </c>
      <c r="NX84" s="9">
        <f>各项系数!$M$9*NK84</f>
        <v>0.20369349518198834</v>
      </c>
      <c r="NY84" s="9">
        <f t="shared" si="397"/>
        <v>0.69945247617895001</v>
      </c>
    </row>
    <row r="85" spans="1:389" s="9" customFormat="1" ht="15" hidden="1" customHeight="1">
      <c r="A85" s="65"/>
      <c r="B85" s="66"/>
      <c r="C85" s="67"/>
      <c r="D85" s="58" t="s">
        <v>138</v>
      </c>
      <c r="E85" s="54">
        <f t="shared" si="325"/>
        <v>20.954762259999999</v>
      </c>
      <c r="F85" s="68">
        <f>$F$21</f>
        <v>165.41681820668899</v>
      </c>
      <c r="G85" s="58"/>
      <c r="H85" s="62"/>
      <c r="I85" s="62"/>
      <c r="J85" s="62"/>
      <c r="K85" s="62"/>
      <c r="L85" s="107" t="s">
        <v>467</v>
      </c>
      <c r="M85" s="98">
        <f t="shared" si="339"/>
        <v>0.7</v>
      </c>
      <c r="N85" s="98">
        <f t="shared" si="340"/>
        <v>0</v>
      </c>
      <c r="O85" s="58">
        <f t="shared" si="438"/>
        <v>0.08</v>
      </c>
      <c r="P85" s="99">
        <v>0.1</v>
      </c>
      <c r="Q85" s="136">
        <f t="shared" si="440"/>
        <v>0.1</v>
      </c>
      <c r="R85" s="151">
        <v>0.8</v>
      </c>
      <c r="S85" s="144" t="str">
        <f>各项系数!$D$43</f>
        <v>钢带</v>
      </c>
      <c r="T85" s="62">
        <v>0.2</v>
      </c>
      <c r="U85" s="62">
        <v>2</v>
      </c>
      <c r="V85" s="143"/>
      <c r="W85" s="145">
        <v>1.8</v>
      </c>
      <c r="X85" s="139">
        <f t="shared" si="441"/>
        <v>0.2</v>
      </c>
      <c r="Y85" s="139"/>
      <c r="Z85" s="169"/>
      <c r="AA85" s="170">
        <f>$AA$21</f>
        <v>1.0109999999999999</v>
      </c>
      <c r="AB85" s="153">
        <f>PI()*EJ85*EJ85/4*EH85*(1-H85)*AA85*各项系数!$F$5*各项系数!$J$4*10^-7</f>
        <v>0.13453127076823812</v>
      </c>
      <c r="AC85" s="170">
        <f t="shared" si="327"/>
        <v>165.41681820668899</v>
      </c>
      <c r="AD85" s="153">
        <f t="shared" si="341"/>
        <v>15.208920956666137</v>
      </c>
      <c r="AE85" s="153">
        <f>POWER(4*EU85/PI()/EG85/10^-7/EH85/(1-H85)/各项系数!$F$5/各项系数!$J$4,0.5)</f>
        <v>166.32412244418026</v>
      </c>
      <c r="AF85" s="16">
        <v>1</v>
      </c>
      <c r="AG85" s="16">
        <f>IF(EM85=0,0,PI()*ER85*ER85/4*EP85*(1-K85)*(1+AF85)*各项系数!$F$5*各项系数!$J$4*10^-7)</f>
        <v>0</v>
      </c>
      <c r="AH85" s="16">
        <f t="shared" si="328"/>
        <v>0</v>
      </c>
      <c r="AI85" s="69">
        <f t="shared" si="398"/>
        <v>0</v>
      </c>
      <c r="AJ85" s="69">
        <f>IF(OR(EP85="",EP85=0),0,POWER(4*EW85/PI()/EO85/10^-7/EP85/(1-K85)/各项系数!$F$5/各项系数!$J$4,0.5))</f>
        <v>0</v>
      </c>
      <c r="AK85" s="16" t="str">
        <f t="shared" si="342"/>
        <v>√</v>
      </c>
      <c r="AL85" s="16">
        <f t="shared" si="329"/>
        <v>48.174356794424348</v>
      </c>
      <c r="AM85" s="106">
        <f t="shared" si="330"/>
        <v>16</v>
      </c>
      <c r="AN85" s="107" t="s">
        <v>486</v>
      </c>
      <c r="AO85" s="146">
        <f>AP85+各项系数!$M$9*$NK85</f>
        <v>47.229761563161127</v>
      </c>
      <c r="AP85" s="146">
        <f>AQ85*(1+$BI85+(VLOOKUP($AM85,$A$12:$B$323,2,0))+各项系数!$J$6+各项系数!$M$5)*(1+$E$2)</f>
        <v>46.932500898577892</v>
      </c>
      <c r="AQ85" s="199">
        <f>AR85+各项系数!$L$9*$NK85</f>
        <v>47.890307039365197</v>
      </c>
      <c r="AR85" s="199">
        <f>AS85*(1+$BJ85+各项系数!$J$5+各项系数!$L$5)</f>
        <v>47.593046374781963</v>
      </c>
      <c r="AS85" s="199">
        <f t="shared" si="399"/>
        <v>46.659849387041142</v>
      </c>
      <c r="AT85" s="146">
        <f>AU85+各项系数!$M$9*$NM85</f>
        <v>48.301704218206275</v>
      </c>
      <c r="AU85" s="146">
        <f>AV85*(1+$BI85+(VLOOKUP($AM85,$A$12:$B$323,2,0))+各项系数!$J$6+各项系数!$M$5)*(1+$E$2)</f>
        <v>48.004443553623041</v>
      </c>
      <c r="AV85" s="199">
        <f>AW85+各项系数!$L$9*$NM85</f>
        <v>48.984126075125552</v>
      </c>
      <c r="AW85" s="199">
        <f>AX85*(1+$BJ85+各项系数!$J$5+各项系数!$L$5)</f>
        <v>48.686865410542318</v>
      </c>
      <c r="AX85" s="199">
        <f t="shared" si="400"/>
        <v>47.732220990727761</v>
      </c>
      <c r="AY85" s="146">
        <f>AZ85+各项系数!$M$9*$NS85</f>
        <v>48.900656700099567</v>
      </c>
      <c r="AZ85" s="146">
        <f>BA85*(1+$BI85+(VLOOKUP($AM85,$A$12:$B$214,2,0))+各项系数!$J$6+各项系数!$M$5)*(1+$E$2)</f>
        <v>48.596089998736346</v>
      </c>
      <c r="BA85" s="199">
        <f>BB85+各项系数!$L$9*$NS85</f>
        <v>49.58784693748607</v>
      </c>
      <c r="BB85" s="199">
        <f>BC85*(1+$BJ85+各项系数!$J$5+各项系数!$L$5)</f>
        <v>49.283280236122849</v>
      </c>
      <c r="BC85" s="199">
        <f t="shared" si="401"/>
        <v>48.316941407963576</v>
      </c>
      <c r="BD85" s="146">
        <f>BE85+各项系数!$M$9*$NS85</f>
        <v>49.98155330729923</v>
      </c>
      <c r="BE85" s="146">
        <f>BF85*(1+$BI85+(VLOOKUP($AM85,$A$12:$B$214,2,0))+各项系数!$J$6+各项系数!$M$5)*(1+$E$2)</f>
        <v>49.676986605936008</v>
      </c>
      <c r="BF85" s="199">
        <f>BG85+各项系数!$L$9*$NS85</f>
        <v>50.690802659118376</v>
      </c>
      <c r="BG85" s="199">
        <f>BH85*(1+$BJ85+各项系数!$J$5+各项系数!$L$5)</f>
        <v>50.386235957755154</v>
      </c>
      <c r="BH85" s="199">
        <f t="shared" si="402"/>
        <v>49.398270546818779</v>
      </c>
      <c r="BI85" s="402">
        <v>0</v>
      </c>
      <c r="BJ85" s="215"/>
      <c r="BK85" s="78" t="s">
        <v>514</v>
      </c>
      <c r="BL85" s="146">
        <f>BM85+各项系数!$M$9*$NM85</f>
        <v>47.846948116122888</v>
      </c>
      <c r="BM85" s="146">
        <f>BN85*(1+$CF85+(VLOOKUP($AM85,$A$12:$B$323,2,0))+各项系数!$J$6+各项系数!$M$5)*(1+$E$2)</f>
        <v>47.549687451539654</v>
      </c>
      <c r="BN85" s="199">
        <f>BO85+各项系数!$L$9*$NM85</f>
        <v>48.520089236264951</v>
      </c>
      <c r="BO85" s="199">
        <f>BP85*(1+$CG85+各项系数!$J$5+各项系数!$L$5)</f>
        <v>48.222828571681717</v>
      </c>
      <c r="BP85" s="199">
        <f t="shared" si="403"/>
        <v>46.818280166681276</v>
      </c>
      <c r="BQ85" s="146">
        <f>BR85+各项系数!$M$9*$NM85</f>
        <v>48.76947998391541</v>
      </c>
      <c r="BR85" s="146">
        <f>BS85*(1+$CF85+(VLOOKUP($AM85,$A$12:$B$323,2,0))+各项系数!$J$6+各项系数!$M$5)*(1+$E$2)</f>
        <v>48.472219319332176</v>
      </c>
      <c r="BS85" s="199">
        <f>BT85+各项系数!$L$9*$NM85</f>
        <v>49.46144828503283</v>
      </c>
      <c r="BT85" s="199">
        <f>BU85*(1+$CG85+各项系数!$J$5+各项系数!$L$5)</f>
        <v>49.164187620449596</v>
      </c>
      <c r="BU85" s="199">
        <f t="shared" si="404"/>
        <v>47.732220990727761</v>
      </c>
      <c r="BV85" s="146">
        <f>BW85+各项系数!$M$9*$NT85</f>
        <v>49.245041336885471</v>
      </c>
      <c r="BW85" s="146">
        <f>BX85*(1+$CF85+(VLOOKUP($AM85,$A$12:$B$214,2,0))+各项系数!$J$6+各项系数!$M$5)*(1+$E$2)</f>
        <v>48.94047463552225</v>
      </c>
      <c r="BX85" s="199">
        <f>BY85+各项系数!$L$9*$NT$12</f>
        <v>49.939259832165561</v>
      </c>
      <c r="BY85" s="199">
        <f>BZ85*(1+$CG85+各项系数!$J$5+各项系数!$L$5)</f>
        <v>49.930996429010591</v>
      </c>
      <c r="BZ85" s="199">
        <f t="shared" si="343"/>
        <v>48.476695562146205</v>
      </c>
      <c r="CA85" s="146">
        <f>CB85+各项系数!$M$9*$NT85</f>
        <v>50.175279126413969</v>
      </c>
      <c r="CB85" s="146">
        <f>CC85*(1+$CF85+(VLOOKUP($AM85,$A$12:$B$214,2,0))+各项系数!$J$6+各项系数!$M$5)*(1+$E$2)</f>
        <v>49.870712425050748</v>
      </c>
      <c r="CC85" s="199">
        <f>CD85+各项系数!$L$9*$NT$12</f>
        <v>50.888482066378316</v>
      </c>
      <c r="CD85" s="199">
        <f>CE85*(1+$CG85+各项系数!$J$5+各项系数!$L$5)</f>
        <v>50.880218663223346</v>
      </c>
      <c r="CE85" s="199">
        <f t="shared" si="405"/>
        <v>49.398270546818779</v>
      </c>
      <c r="CF85" s="402">
        <f>(BI85+$CF$2)-BI85/1.3</f>
        <v>0</v>
      </c>
      <c r="CG85" s="214">
        <f t="shared" si="344"/>
        <v>0.01</v>
      </c>
      <c r="CH85" s="106"/>
      <c r="CI85" s="146">
        <f>CJ85+各项系数!$M$9*$NO85</f>
        <v>49.145386659680199</v>
      </c>
      <c r="CJ85" s="146">
        <f>CK85*(1+$DC85+(VLOOKUP($AM85,$A$12:$B$323,2,0))+各项系数!$J$6+各项系数!$M$5)*(1+$E$2)+各项系数!$M$9*$NK85</f>
        <v>48.727401431466198</v>
      </c>
      <c r="CK85" s="199">
        <f>CL85+各项系数!$L$9*$NO85</f>
        <v>49.418510986615267</v>
      </c>
      <c r="CL85" s="199">
        <f>CM85*(1+$DD85+各项系数!$J$5+各项系数!$L$5)</f>
        <v>49.000525758401267</v>
      </c>
      <c r="CM85" s="199">
        <f t="shared" si="345"/>
        <v>48.039731135687518</v>
      </c>
      <c r="CN85" s="146">
        <f>CO85+各项系数!$M$9*$NO85</f>
        <v>50.078099858196019</v>
      </c>
      <c r="CO85" s="146">
        <f>CP85*(1+$DC85+(VLOOKUP($AM85,$A$12:$B$323,2,0))+各项系数!$J$6+各项系数!$M$5)*(1+$E$2)+各项系数!$M$9*$NK85</f>
        <v>49.660114629982019</v>
      </c>
      <c r="CP85" s="199">
        <f>CQ85+各项系数!$L$9*$NO85</f>
        <v>50.37025914836611</v>
      </c>
      <c r="CQ85" s="199">
        <f>CR85*(1+$DD85+各项系数!$J$5+各项系数!$L$5)</f>
        <v>49.952273920152109</v>
      </c>
      <c r="CR85" s="199">
        <f t="shared" si="346"/>
        <v>48.972817568776577</v>
      </c>
      <c r="CS85" s="146">
        <f>CT85+各项系数!$M$9*$NU85</f>
        <v>50.679132905051347</v>
      </c>
      <c r="CT85" s="146">
        <f t="shared" si="347"/>
        <v>50.253135959890685</v>
      </c>
      <c r="CU85" s="199">
        <f>CV85+各项系数!$L$9*$NU85</f>
        <v>51.278710163153761</v>
      </c>
      <c r="CV85" s="199">
        <f>CW85*(1+$DD85+各项系数!$J$5+各项系数!$L$5)</f>
        <v>50.852713217993099</v>
      </c>
      <c r="CW85" s="199">
        <f t="shared" si="348"/>
        <v>49.855601194110882</v>
      </c>
      <c r="CX85" s="146">
        <f>CY85+各项系数!$M$9*$NU85</f>
        <v>51.854269858677327</v>
      </c>
      <c r="CY85" s="146">
        <f t="shared" si="349"/>
        <v>51.428272913516665</v>
      </c>
      <c r="CZ85" s="199">
        <f>DA85+各项系数!$L$9*$NU85</f>
        <v>52.477829503588431</v>
      </c>
      <c r="DA85" s="199">
        <f>DB85*(1+$DD85+各项系数!$J$5+各项系数!$L$5)</f>
        <v>52.051832558427769</v>
      </c>
      <c r="DB85" s="199">
        <f t="shared" si="350"/>
        <v>51.031208390615461</v>
      </c>
      <c r="DC85" s="402">
        <f>(BI85+$DC$2)-BI85/1.3</f>
        <v>0</v>
      </c>
      <c r="DD85" s="214">
        <f t="shared" si="351"/>
        <v>0</v>
      </c>
      <c r="DE85" s="78" t="s">
        <v>498</v>
      </c>
      <c r="DF85" s="78" t="s">
        <v>513</v>
      </c>
      <c r="DG85" s="146">
        <f>DH85+各项系数!$M$9*$NQ85</f>
        <v>49.790155498898798</v>
      </c>
      <c r="DH85" s="146">
        <f>DI85*(1+$EA85+(VLOOKUP($AM85,$A$12:$B$323,2,0))+各项系数!$J$6+各项系数!$M$5)*(1+$E$2)+各项系数!$M$9*$NK85</f>
        <v>49.372170270684798</v>
      </c>
      <c r="DI85" s="199">
        <f>DJ85+各项系数!$L$9*$NQ85</f>
        <v>50.076438373573026</v>
      </c>
      <c r="DJ85" s="199">
        <f>DK85*(1+$EB85+各项系数!$J$5+各项系数!$L$5)</f>
        <v>49.658453145359026</v>
      </c>
      <c r="DK85" s="199">
        <f t="shared" si="352"/>
        <v>48.212090432387406</v>
      </c>
      <c r="DL85" s="146">
        <f>DM85+各项系数!$M$9*$NQ85</f>
        <v>50.793792192962485</v>
      </c>
      <c r="DM85" s="146">
        <f>DN85*(1+$EA85+(VLOOKUP($AM85,$A$12:$B$323,2,0))+各项系数!$J$6+各项系数!$M$5)*(1+$E$2)+各项系数!$M$9*$NK85</f>
        <v>50.375806964748485</v>
      </c>
      <c r="DN85" s="199">
        <f>DO85+各项系数!$L$9*$NQ85</f>
        <v>51.100557449148212</v>
      </c>
      <c r="DO85" s="199">
        <f>DP85*(1+$EB85+各项系数!$J$5+各项系数!$L$5)</f>
        <v>50.682572220934212</v>
      </c>
      <c r="DP85" s="199">
        <f t="shared" si="353"/>
        <v>49.206380797023506</v>
      </c>
      <c r="DQ85" s="146">
        <f>DR85+各项系数!$M$9*$NV85</f>
        <v>51.343033085105695</v>
      </c>
      <c r="DR85" s="146">
        <f t="shared" si="354"/>
        <v>50.917036139945033</v>
      </c>
      <c r="DS85" s="199">
        <f>DT85+各项系数!$L$9*$NV85</f>
        <v>51.956159326474527</v>
      </c>
      <c r="DT85" s="199">
        <f>DU85*(1+$EB85+各项系数!$J$5+各项系数!$L$5)</f>
        <v>51.530162381313865</v>
      </c>
      <c r="DU85" s="199">
        <f t="shared" si="355"/>
        <v>50.029283865353264</v>
      </c>
      <c r="DV85" s="146">
        <f>DW85+各项系数!$M$9*$NV85</f>
        <v>51.578405204859756</v>
      </c>
      <c r="DW85" s="146">
        <f t="shared" si="356"/>
        <v>51.152408259699094</v>
      </c>
      <c r="DX85" s="199">
        <f>DY85+各项系数!$L$9*$NV85</f>
        <v>52.196334958876626</v>
      </c>
      <c r="DY85" s="199">
        <f>DZ85*(1+$EB85+各项系数!$J$5+各项系数!$L$5)</f>
        <v>51.770338013715964</v>
      </c>
      <c r="DZ85" s="199">
        <f t="shared" si="357"/>
        <v>50.26246409098637</v>
      </c>
      <c r="EA85" s="402">
        <f>(BI85+$EA$2)-BI85/1.3</f>
        <v>0</v>
      </c>
      <c r="EB85" s="214">
        <f t="shared" si="358"/>
        <v>0.01</v>
      </c>
      <c r="EC85" s="235">
        <f t="shared" si="408"/>
        <v>5</v>
      </c>
      <c r="ED85" s="237" t="str">
        <f t="shared" si="442"/>
        <v>5*16</v>
      </c>
      <c r="EE85" s="78">
        <f t="shared" si="239"/>
        <v>16</v>
      </c>
      <c r="EF85" s="78" t="str">
        <f>LOOKUP(EH85,{1,7,10,14,19,24,30,37,48,61},{1,"1+6","2+8","4+10","1+6+12","2+8+14","4+10+16","1+6+12+18","3+9+15+21","1+6+12+18+24"})</f>
        <v>1+6</v>
      </c>
      <c r="EG85" s="106">
        <f t="shared" si="359"/>
        <v>5</v>
      </c>
      <c r="EH85" s="199">
        <f>VLOOKUP(EE85,各项系数!$B$87:$C$124,2,0)</f>
        <v>7</v>
      </c>
      <c r="EI85" s="106">
        <f>IF(EH85=0,0,VLOOKUP(EH85,各项系数!$D$142:$E$195,2,0))*1</f>
        <v>3</v>
      </c>
      <c r="EJ85" s="240">
        <f t="shared" si="409"/>
        <v>165.41681820668899</v>
      </c>
      <c r="EK85" s="78">
        <f t="shared" si="332"/>
        <v>0</v>
      </c>
      <c r="EL85" s="78">
        <f t="shared" si="360"/>
        <v>0</v>
      </c>
      <c r="EM85" s="78">
        <f t="shared" si="443"/>
        <v>0</v>
      </c>
      <c r="EN85" s="78">
        <f>IF(EP85=0,0,LOOKUP(EP85,{1,7,10,14,19,24,30,37,48,61},{1,"1+6","2+8","4+10","1+6+12","2+8+14","4+10+16","1+6+12+18","3+9+15+21","1+6+12+18+24"}))</f>
        <v>0</v>
      </c>
      <c r="EO85" s="78">
        <f t="shared" si="334"/>
        <v>0</v>
      </c>
      <c r="EP85" s="78">
        <f>IF(EM85=0,0,IF(EM85&lt;10,1,IF(AND(EM85&gt;=10,EM85&lt;=35),7,LOOKUP(EM85,{50,70,95,120,150,185,240,300},{10,14,19,24,30,37,48,61})*1)))</f>
        <v>0</v>
      </c>
      <c r="EQ85" s="78">
        <f>IF(EP85=0,0,VLOOKUP(EP85,各项系数!$D$142:$E$195,2,0))*1</f>
        <v>0</v>
      </c>
      <c r="ER85" s="78">
        <f t="shared" si="335"/>
        <v>0</v>
      </c>
      <c r="ES85" s="237">
        <f t="shared" si="444"/>
        <v>5</v>
      </c>
      <c r="ET85" s="78">
        <f>VLOOKUP(ES85,各项系数!$D$142:$E$195,2,0)*1</f>
        <v>2.7</v>
      </c>
      <c r="EU85" s="243">
        <f>((各项系数!$F$76/4*$EJ85^2*$EG85*$EH85*1*10^-7)*(1-$H85)*AA85)*(VLOOKUP($EY$9,各项系数!$D$4:$F$143,3,0))*各项系数!$J$4</f>
        <v>0.67265635384119071</v>
      </c>
      <c r="EV85" s="244">
        <f>EU85*(VLOOKUP($EY$9,各项系数!$D$4:$F$143,2,0))</f>
        <v>44.058991176597992</v>
      </c>
      <c r="EW85" s="252">
        <f>(IF($EO85=0,0,(各项系数!$F$76/4*$ER85^2*$EO85*$EP85*1*10^-7))*(1-$K85)*$AF85)*(VLOOKUP($EY$9,各项系数!$D$4:$F$143,3,0))*各项系数!$J$4</f>
        <v>0</v>
      </c>
      <c r="EX85" s="253">
        <f>EW85*(VLOOKUP($EY$9,各项系数!$D$4:$F$143,2,0))</f>
        <v>0</v>
      </c>
      <c r="EY85" s="189">
        <f>((各项系数!$F$76/4*$EJ85^2*$EG85*$EH85*1*10^-7)*(1-$H85)*AA85+IF($EO85=0,0,(各项系数!$F$76/4*$ER85^2*$EO85*$EP85*1*10^-7))*(1-$K85)*$AF85)*(VLOOKUP($EY$9,各项系数!$D$4:$F$143,3,0))*各项系数!$J$4</f>
        <v>0.67265635384119071</v>
      </c>
      <c r="EZ85" s="106">
        <v>1</v>
      </c>
      <c r="FA85" s="78">
        <f t="shared" ref="FA85:FA116" si="445">EZ85*EY85</f>
        <v>0.67265635384119071</v>
      </c>
      <c r="FB85" s="246">
        <f>FA85*(VLOOKUP($EY$9,各项系数!$D$4:$F$143,2,0))</f>
        <v>44.058991176597992</v>
      </c>
      <c r="FC85" s="257"/>
      <c r="FD85" s="237">
        <f>各项系数!$F$76/4*($MN85^2-MK85^2)*10^-2*(VLOOKUP(L85,各项系数!$D$1:$F$143,3,0))*10^-3*10^2*$EG85*各项系数!$J$4</f>
        <v>6.8146294564286128E-2</v>
      </c>
      <c r="FE85" s="264">
        <f>FD85*VLOOKUP(L85,各项系数!$D$1:$F$143,2,0)</f>
        <v>0.69509220455571841</v>
      </c>
      <c r="FF85" s="106">
        <f>各项系数!$F$76/4*($MO85^2-ML85^2)*10^-2*(VLOOKUP(L85,各项系数!$D$1:$F$143,3,0))*10^-3*10^2*$EO85*各项系数!$J$4</f>
        <v>0</v>
      </c>
      <c r="FG85" s="264">
        <f>FF85*VLOOKUP(L85,各项系数!$D$1:$F$143,2,0)</f>
        <v>0</v>
      </c>
      <c r="FH85" s="237">
        <f t="shared" si="410"/>
        <v>6.8146294564286128E-2</v>
      </c>
      <c r="FI85" s="106">
        <v>1</v>
      </c>
      <c r="FJ85" s="78">
        <f t="shared" ref="FJ85:FJ116" si="446">FI85*FH85</f>
        <v>6.8146294564286128E-2</v>
      </c>
      <c r="FK85" s="264">
        <f>FJ85*VLOOKUP(L85,各项系数!$D$1:$F$143,2,0)</f>
        <v>0.69509220455571841</v>
      </c>
      <c r="FL85" s="237"/>
      <c r="FM85" s="106"/>
      <c r="FN85" s="78"/>
      <c r="FO85" s="264"/>
      <c r="FP85" s="289">
        <f t="shared" ref="FP85:FP116" si="447">FJ85</f>
        <v>6.8146294564286128E-2</v>
      </c>
      <c r="FQ85" s="289">
        <f t="shared" ref="FQ85:FQ116" si="448">FK85</f>
        <v>0.69509220455571841</v>
      </c>
      <c r="FR85" s="283">
        <f>各项系数!$F$76/4*($MQ85^2-$MN85^2*$EG85-$MO85^2*$EO85)*10^-2</f>
        <v>0.72808414615554229</v>
      </c>
      <c r="FS85" s="284">
        <f t="shared" si="411"/>
        <v>1</v>
      </c>
      <c r="FT85" s="285">
        <f t="shared" si="361"/>
        <v>0.72808414615554229</v>
      </c>
      <c r="FU85" s="309">
        <f>$FT85*(VLOOKUP($FT$9,各项系数!$D$1:$F$143,3,0))*10^-3*10^2*各项系数!$J$55</f>
        <v>8.6933247050971746E-2</v>
      </c>
      <c r="FV85" s="310">
        <v>1</v>
      </c>
      <c r="FW85" s="311">
        <f t="shared" ref="FW85:FW116" si="449">FV85*FU85</f>
        <v>8.6933247050971746E-2</v>
      </c>
      <c r="FX85" s="290">
        <f>FW85*(VLOOKUP($FT$9,各项系数!$D$1:$F$143,2,0))</f>
        <v>0.26079974115291527</v>
      </c>
      <c r="FY85" s="309">
        <f>IF($BK85&lt;&gt;$FY$9,0,各项系数!$F$76/4*($MS85^2-$MQ85^2)*10^-2*(VLOOKUP($FY$9,各项系数!$D$1:$F$143,3,0))*10^-3*10^2)*各项系数!$J$4</f>
        <v>0</v>
      </c>
      <c r="FZ85" s="310">
        <v>1</v>
      </c>
      <c r="GA85" s="311">
        <f t="shared" ref="GA85:GA116" si="450">FZ85*FY85</f>
        <v>0</v>
      </c>
      <c r="GB85" s="290">
        <f>GA85*(VLOOKUP($FY$9,各项系数!$D$1:$F$143,2,0))</f>
        <v>0</v>
      </c>
      <c r="GC85" s="309">
        <f>IF($BK85&lt;&gt;$GC$9,0,各项系数!$F$76/4*($MS85^2-$MQ85^2)*10^-2*(VLOOKUP($GC$9,各项系数!$D$1:$F$143,3,0))*10^-3*10^2)*各项系数!$J$4</f>
        <v>4.7022068475325793E-3</v>
      </c>
      <c r="GD85" s="310">
        <v>1</v>
      </c>
      <c r="GE85" s="311">
        <f t="shared" ref="GE85:GE116" si="451">GD85*GC85</f>
        <v>4.7022068475325793E-3</v>
      </c>
      <c r="GF85" s="290">
        <f>GE85*(VLOOKUP($GC$9,各项系数!$D$1:$F$143,2,0))</f>
        <v>6.0658468333170276E-2</v>
      </c>
      <c r="GG85" s="309">
        <f>IF($BK85&lt;&gt;$GG$9,0,各项系数!$F$76/4*($MS85^2-$MQ85^2)*10^-2*(VLOOKUP($GG$9,各项系数!$D$1:$F$143,3,0))*10^-3*10^2)*各项系数!$J$4</f>
        <v>0</v>
      </c>
      <c r="GH85" s="310">
        <v>1</v>
      </c>
      <c r="GI85" s="311">
        <f t="shared" ref="GI85:GI116" si="452">GH85*GG85</f>
        <v>0</v>
      </c>
      <c r="GJ85" s="290">
        <f>GI85*(VLOOKUP($GG$9,各项系数!$D$1:$F$143,2,0))</f>
        <v>0</v>
      </c>
      <c r="GK85" s="309">
        <f>IF($BK85&lt;&gt;$GK$9,0,各项系数!$F$76/4*($MS85^2-$MQ85^2)*10^-2*(VLOOKUP($GK$9,各项系数!$D$1:$F$143,3,0))*10^-3*10^2)*各项系数!$J$4</f>
        <v>0</v>
      </c>
      <c r="GL85" s="310">
        <v>1</v>
      </c>
      <c r="GM85" s="311">
        <f t="shared" ref="GM85:GM116" si="453">GL85*GK85</f>
        <v>0</v>
      </c>
      <c r="GN85" s="290">
        <f>GM85*(VLOOKUP($GK$9,各项系数!$D$1:$F$143,2,0))</f>
        <v>0</v>
      </c>
      <c r="GO85" s="311">
        <f t="shared" ref="GO85:GO116" si="454">GM85+GI85+GE85+GA85</f>
        <v>4.7022068475325793E-3</v>
      </c>
      <c r="GP85" s="311">
        <f t="shared" ref="GP85:GP116" si="455">GN85+GJ85+GF85+GB85</f>
        <v>6.0658468333170276E-2</v>
      </c>
      <c r="GQ85" s="317">
        <f>各项系数!$F$76/4*($MU85^2-$MS85^2)*10^-2*(VLOOKUP($S85,各项系数!$D$1:$F$143,3,0))*10^-3*10^2*各项系数!$J$4</f>
        <v>0.12946811798630492</v>
      </c>
      <c r="GR85" s="310">
        <v>1</v>
      </c>
      <c r="GS85" s="311">
        <f t="shared" ref="GS85:GS116" si="456">$GR85*$GQ85</f>
        <v>0.12946811798630492</v>
      </c>
      <c r="GT85" s="311">
        <f t="shared" ref="GT85:GT148" si="457">IF(OR(AND(EG85=$AC$3,EE85&lt;$AC$4),AND(EE85&lt;($AB$4+1),EG85&lt;$AB$3)),$AB$5,0)</f>
        <v>0</v>
      </c>
      <c r="GU85" s="311">
        <f>ROUND($GS85*(VLOOKUP($S85,各项系数!$D$1:$F$143,2,0))+$E$3*GS85,GT85)</f>
        <v>1</v>
      </c>
      <c r="GV85" s="315">
        <f>各项系数!$F$76/4*($MT85^2-$MS85^2)*10^-2*(VLOOKUP($GV$9,各项系数!$D$1:$F$143,3,0))*10^-3*10^2*各项系数!$J$4*PI()/4*R85</f>
        <v>2.4353455933296114E-2</v>
      </c>
      <c r="GW85" s="310">
        <v>1</v>
      </c>
      <c r="GX85" s="311">
        <f t="shared" ref="GX85:GX116" si="458">$GW85*$GV85</f>
        <v>2.4353455933296114E-2</v>
      </c>
      <c r="GY85" s="311">
        <f>$GX85*(VLOOKUP($GV$9,各项系数!$D$1:$F$143,2,0))</f>
        <v>1.6438582754974878</v>
      </c>
      <c r="GZ85" s="317">
        <f>各项系数!$F$76/4*($MV85^2-$MS85^2)*10^-2*(VLOOKUP($GZ$9,各项系数!$D$1:$F$143,3,0))*10^-3*10^2*各项系数!$J$4</f>
        <v>0.15627525882870336</v>
      </c>
      <c r="HA85" s="310">
        <v>1</v>
      </c>
      <c r="HB85" s="311">
        <f t="shared" si="412"/>
        <v>0.15627525882870336</v>
      </c>
      <c r="HC85" s="311">
        <f>HB85*(VLOOKUP($GZ$9,各项系数!$D$1:$F$143,2,0))</f>
        <v>2.656679400087957</v>
      </c>
      <c r="HD85" s="317">
        <f>各项系数!$F$76/4*($MW85^2-$MT85^2)*10^-2*(VLOOKUP($HD$9,各项系数!$D$1:$F$143,3,0))*10^-3*10^2*各项系数!$J$4</f>
        <v>0.15758062827538186</v>
      </c>
      <c r="HE85" s="310">
        <v>1</v>
      </c>
      <c r="HF85" s="311">
        <f t="shared" si="413"/>
        <v>0.15758062827538186</v>
      </c>
      <c r="HG85" s="311">
        <f>HF85*(VLOOKUP($HD$9,各项系数!$D$1:$F$143,2,0))</f>
        <v>2.6788706806814915</v>
      </c>
      <c r="HH85" s="317">
        <f>各项系数!$F$76/4*($MV85^2-$MS85^2)*10^-2*(VLOOKUP($HH$9,各项系数!$D$1:$F$143,3,0))*10^-3*10^2*各项系数!$J$4</f>
        <v>0.15627525882870336</v>
      </c>
      <c r="HI85" s="311">
        <v>1</v>
      </c>
      <c r="HJ85" s="311">
        <f t="shared" si="414"/>
        <v>0.15627525882870336</v>
      </c>
      <c r="HK85" s="311">
        <f>HJ85*(VLOOKUP($HH$9,各项系数!$D$1:$F$143,2,0))</f>
        <v>2.656679400087957</v>
      </c>
      <c r="HL85" s="317">
        <f>各项系数!$F$76/4*($MW85^2-$MT85^2)*10^-2*(VLOOKUP($HL$9,各项系数!$D$1:$F$143,3,0))*10^-3*10^2*各项系数!$J$4</f>
        <v>0.15758062827538186</v>
      </c>
      <c r="HM85" s="311">
        <v>1</v>
      </c>
      <c r="HN85" s="311">
        <f t="shared" si="362"/>
        <v>0.15758062827538186</v>
      </c>
      <c r="HO85" s="311">
        <f>HN85*(VLOOKUP($HL$9,各项系数!$D$1:$F$143,2,0))</f>
        <v>2.6788706806814915</v>
      </c>
      <c r="HP85" s="317">
        <f>各项系数!$F$76/4*($MV85^2-$MS85^2)*10^-2*(VLOOKUP(AN85,各项系数!$D$1:$F$143,3,0))*10^-3*10^2*各项系数!$J$4</f>
        <v>0.15843077964013377</v>
      </c>
      <c r="HQ85" s="310">
        <v>1</v>
      </c>
      <c r="HR85" s="311">
        <f t="shared" ref="HR85:HR116" si="459">HQ85*HP85</f>
        <v>0.15843077964013377</v>
      </c>
      <c r="HS85" s="311">
        <f>HR85*(VLOOKUP(AN85,各项系数!$D$1:$F$143,2,0))</f>
        <v>1.5843077964013377</v>
      </c>
      <c r="HT85" s="317">
        <f>各项系数!$F$76/4*($MW85^2-$MT85^2)*10^-2*(VLOOKUP(AN85,各项系数!$D$1:$F$143,3,0))*10^-3*10^2*各项系数!$J$4</f>
        <v>0.1597541541826285</v>
      </c>
      <c r="HU85" s="310">
        <v>1</v>
      </c>
      <c r="HV85" s="311">
        <f t="shared" ref="HV85:HV116" si="460">HU85*HT85</f>
        <v>0.1597541541826285</v>
      </c>
      <c r="HW85" s="311">
        <f>HV85*(VLOOKUP(AN85,各项系数!$D$1:$F$143,2,0))</f>
        <v>1.597541541826285</v>
      </c>
      <c r="HX85" s="317">
        <f>各项系数!$F$76/4*($MV85^2-$MS85^2)*10^-2*(VLOOKUP($HX$9,各项系数!$D$1:$F$143,3,0))*10^-3*10^2*各项系数!$J$4</f>
        <v>0.15843077964013377</v>
      </c>
      <c r="HY85" s="311">
        <v>1</v>
      </c>
      <c r="HZ85" s="311">
        <f t="shared" ref="HZ85:HZ116" si="461">HY85*HX85</f>
        <v>0.15843077964013377</v>
      </c>
      <c r="IA85" s="311">
        <f>HZ85*(VLOOKUP($HX$9,各项系数!$D$1:$F$143,2,0))</f>
        <v>1.7427385760414715</v>
      </c>
      <c r="IB85" s="317">
        <f>各项系数!$F$76/4*($MW85^2-$MT85^2)*10^-2*(VLOOKUP($IB$9,各项系数!$D$1:$F$143,3,0))*10^-3*10^2*各项系数!$J$4</f>
        <v>0.1597541541826285</v>
      </c>
      <c r="IC85" s="311">
        <v>1</v>
      </c>
      <c r="ID85" s="311">
        <f t="shared" ref="ID85:ID116" si="462">IC85*IB85</f>
        <v>0.1597541541826285</v>
      </c>
      <c r="IE85" s="311">
        <f>ID85*(VLOOKUP($IB$9,各项系数!$D$1:$F$143,2,0))</f>
        <v>1.7572956960089137</v>
      </c>
      <c r="IF85" s="309"/>
      <c r="IG85" s="317">
        <f t="shared" si="415"/>
        <v>3.7012460342254229E-2</v>
      </c>
      <c r="IH85" s="310">
        <v>1</v>
      </c>
      <c r="II85" s="311">
        <f t="shared" ref="II85:II116" si="463">IH85*IG85</f>
        <v>3.7012460342254229E-2</v>
      </c>
      <c r="IJ85" s="311">
        <f>II85*(VLOOKUP($IG$8,各项系数!$D$1:$F$143,2,0))</f>
        <v>0.92531150855635569</v>
      </c>
      <c r="IK85" s="317">
        <f>(各项系数!$F$76/4*($MX85^2-$MK85^2)*$EG85)*10^-2*(VLOOKUP($IG$8,各项系数!$D$1:$F$143,3,0))*10^-3*10^2*各项系数!$J$4</f>
        <v>3.7012460342254229E-2</v>
      </c>
      <c r="IL85" s="310">
        <f>IK85*(VLOOKUP($IG$8,各项系数!$D$1:$F$143,2,0))</f>
        <v>0.92531150855635569</v>
      </c>
      <c r="IM85" s="311">
        <f>(各项系数!$F$76/4*(($MM85+3*$X85)^2-MM85^2)*$EO85)*10^-2*(VLOOKUP($IG$8,各项系数!$D$1:$F$143,3,0))*10^-3*10^2*各项系数!$J$4</f>
        <v>0</v>
      </c>
      <c r="IN85" s="310">
        <f>IM85*(VLOOKUP($IG$8,各项系数!$D$1:$F$143,2,0))</f>
        <v>0</v>
      </c>
      <c r="IO85" s="317">
        <f>各项系数!$F$76/4*($MZ85^2-$MX85^2)*10^-2*(VLOOKUP(L85,各项系数!$D$1:$F$143,3,0))*10^-3*10^2*$ES85*各项系数!$J$4</f>
        <v>7.5367088198929677E-2</v>
      </c>
      <c r="IP85" s="310">
        <v>1</v>
      </c>
      <c r="IQ85" s="311">
        <f t="shared" ref="IQ85:IQ116" si="464">IP85*IO85</f>
        <v>7.5367088198929677E-2</v>
      </c>
      <c r="IR85" s="290">
        <f>IQ85*(VLOOKUP(L85,各项系数!$D$1:$F$143,2,0))</f>
        <v>0.76874429962908264</v>
      </c>
      <c r="IS85" s="317">
        <f>IF($L85&lt;&gt;$IS$9,0,各项系数!$F$76/4*($MZ85^2-$MX85^2)*10^-2*各项系数!$F$12*10^-3*10^2)*$ES85*各项系数!$J$4</f>
        <v>0</v>
      </c>
      <c r="IT85" s="310">
        <v>1</v>
      </c>
      <c r="IU85" s="311">
        <f t="shared" ref="IU85:IU116" si="465">IT85*IS85</f>
        <v>0</v>
      </c>
      <c r="IV85" s="290">
        <f>IU85*各项系数!$E$12</f>
        <v>0</v>
      </c>
      <c r="IW85" s="309">
        <f t="shared" ref="IW85:IW116" si="466">IQ85</f>
        <v>7.5367088198929677E-2</v>
      </c>
      <c r="IX85" s="309">
        <f t="shared" ref="IX85:IX116" si="467">IR85</f>
        <v>0.76874429962908264</v>
      </c>
      <c r="IY85" s="339">
        <f>各项系数!$F$76/4*($NB85^2-$MZ85^2*$EG85-$NA85^2*$EO85)*10^-2</f>
        <v>0.8718792596367857</v>
      </c>
      <c r="IZ85" s="284">
        <f t="shared" si="231"/>
        <v>1</v>
      </c>
      <c r="JA85" s="285">
        <f t="shared" si="363"/>
        <v>0.8718792596367857</v>
      </c>
      <c r="JB85" s="289">
        <f>IF($DE85&lt;&gt;$JB$9,0,$JA85*各项系数!$F$32*10^-3*10^2)*各项系数!$J$4</f>
        <v>0</v>
      </c>
      <c r="JC85" s="106">
        <v>1</v>
      </c>
      <c r="JD85" s="78">
        <f t="shared" ref="JD85:JD116" si="468">JC85*JB85</f>
        <v>0</v>
      </c>
      <c r="JE85" s="264">
        <f>JD85*各项系数!$E$32</f>
        <v>0</v>
      </c>
      <c r="JF85" s="282">
        <f>IF($DE85&lt;&gt;$JF$9,0,$JA85*VLOOKUP($JF$9,各项系数!$D$4:$F$540,2,0)*10^-3*10^2)*各项系数!$J$4</f>
        <v>0.43375993166930088</v>
      </c>
      <c r="JG85" s="102">
        <v>1</v>
      </c>
      <c r="JH85" s="189">
        <f t="shared" si="364"/>
        <v>0.43375993166930088</v>
      </c>
      <c r="JI85" s="262">
        <f>JH85*VLOOKUP($JF$9,各项系数!$D$4:$F$540,3,0)</f>
        <v>0.52051191800316099</v>
      </c>
      <c r="JJ85" s="289">
        <f t="shared" ref="JJ85:JJ116" si="469">JH85+JD85</f>
        <v>0.43375993166930088</v>
      </c>
      <c r="JK85" s="78">
        <f t="shared" ref="JK85:JK116" si="470">JI85+JE85</f>
        <v>0.52051191800316099</v>
      </c>
      <c r="JL85" s="289">
        <f>IF($DF85&lt;&gt;$JL$9,0,各项系数!$F$76/4*($NE85^2-$NC85^2)*10^-2*各项系数!$F$39*10^-3*10^2)*各项系数!$J$4</f>
        <v>2.1289632951014023E-3</v>
      </c>
      <c r="JM85" s="106">
        <v>1</v>
      </c>
      <c r="JN85" s="78">
        <f t="shared" ref="JN85:JN116" si="471">JM85*JL85</f>
        <v>2.1289632951014023E-3</v>
      </c>
      <c r="JO85" s="264">
        <f>JN85*各项系数!$E$39</f>
        <v>4.2579265902028048E-2</v>
      </c>
      <c r="JP85" s="289">
        <f>IF($DF85&lt;&gt;$JP$9,0,各项系数!$F$76/4*($NE85^2-$NC85^2)*10^-2*各项系数!$F$36*10^-3*10^2)*各项系数!$J$4</f>
        <v>0</v>
      </c>
      <c r="JQ85" s="106">
        <v>1</v>
      </c>
      <c r="JR85" s="78">
        <f t="shared" ref="JR85:JR116" si="472">JQ85*JP85</f>
        <v>0</v>
      </c>
      <c r="JS85" s="264">
        <f>JR85*各项系数!$E$36</f>
        <v>0</v>
      </c>
      <c r="JT85" s="289">
        <f>IF($DF85&lt;&gt;$JT$9,0,各项系数!$F$76/4*($NE85^2-$NC85^2)*10^-2*各项系数!$F$40*10^-3*10^2)*各项系数!$J$4</f>
        <v>0</v>
      </c>
      <c r="JU85" s="106">
        <v>1</v>
      </c>
      <c r="JV85" s="78">
        <f t="shared" ref="JV85:JV116" si="473">JU85*JT85</f>
        <v>0</v>
      </c>
      <c r="JW85" s="264">
        <f>JV85*各项系数!$E$40</f>
        <v>0</v>
      </c>
      <c r="JX85" s="289">
        <f>IF($DF85&lt;&gt;$JX$9,0,各项系数!$F$76/4*($NE85^2-$NC85^2)*10^-2*各项系数!$F$38*10^-3*10^2)*各项系数!$J$4</f>
        <v>0</v>
      </c>
      <c r="JY85" s="106">
        <v>1</v>
      </c>
      <c r="JZ85" s="78">
        <f t="shared" ref="JZ85:JZ116" si="474">JY85*JX85</f>
        <v>0</v>
      </c>
      <c r="KA85" s="264">
        <f>JZ85*各项系数!$E$38</f>
        <v>0</v>
      </c>
      <c r="KB85" s="289">
        <f>IF($DF85&lt;&gt;$KB$9,0,各项系数!$F$76/4*($NE85^2-$NC85^2)*10^-2*各项系数!$F$41*10^-3*10^2)*各项系数!$J$4</f>
        <v>0</v>
      </c>
      <c r="KC85" s="106">
        <v>1</v>
      </c>
      <c r="KD85" s="78">
        <f t="shared" ref="KD85:KD116" si="475">KC85*KB85</f>
        <v>0</v>
      </c>
      <c r="KE85" s="264">
        <f>KD85*各项系数!$E$41</f>
        <v>0</v>
      </c>
      <c r="KF85" s="78">
        <f t="shared" ref="KF85:KF116" si="476">KD85+JZ85+JV85+JR85+JN85</f>
        <v>2.1289632951014023E-3</v>
      </c>
      <c r="KG85" s="78">
        <f t="shared" ref="KG85:KG116" si="477">KE85+KA85+JW85+JS85+JO85</f>
        <v>4.2579265902028048E-2</v>
      </c>
      <c r="KH85" s="237">
        <f>各项系数!$F$76/4*($NG85^2-$NE85^2)*10^-2*各项系数!$F$44*10^-3*10^2*各项系数!$J$4*0.75*$U85</f>
        <v>0.21272615715076587</v>
      </c>
      <c r="KI85" s="106">
        <v>1</v>
      </c>
      <c r="KJ85" s="78">
        <f t="shared" ref="KJ85:KJ116" si="478">KI85*KH85</f>
        <v>0.21272615715076587</v>
      </c>
      <c r="KK85" s="78">
        <f>ROUND(KJ85*各项系数!$E$43,GT85)</f>
        <v>1</v>
      </c>
      <c r="KL85" s="235">
        <f>各项系数!$F$76/4*($NF85^2-$NE85^2)*10^-2*各项系数!$F$46*10^-3*10^2*各项系数!$J$4*PI()/4*R85</f>
        <v>2.6705723155532136E-2</v>
      </c>
      <c r="KM85" s="106">
        <v>1</v>
      </c>
      <c r="KN85" s="78">
        <f t="shared" ref="KN85:KN116" si="479">$KL85*$KM85</f>
        <v>2.6705723155532136E-2</v>
      </c>
      <c r="KO85" s="78">
        <f>KN85*各项系数!$E$46</f>
        <v>1.8026363129984193</v>
      </c>
      <c r="KP85" s="237">
        <f>各项系数!$F$76/4*($NH85^2-$NE85^2)*10^-2*(VLOOKUP($KP$9,各项系数!$D$1:$F$143,3,0))*10^-3*10^2*各项系数!$J$4</f>
        <v>0.1700142722549936</v>
      </c>
      <c r="KQ85" s="106">
        <v>1</v>
      </c>
      <c r="KR85" s="78">
        <f t="shared" si="416"/>
        <v>0.1700142722549936</v>
      </c>
      <c r="KS85" s="78">
        <f>KR85*(VLOOKUP($KP$9,各项系数!$D$1:$F$143,2,0))</f>
        <v>2.8902426283348914</v>
      </c>
      <c r="KT85" s="237">
        <f>各项系数!$F$76/4*($NI85^2-$NF85^2)*10^-2*(VLOOKUP($KT$9,各项系数!$D$1:$F$143,3,0))*10^-3*10^2*各项系数!$J$4</f>
        <v>0.17131964170167202</v>
      </c>
      <c r="KU85" s="106">
        <v>1</v>
      </c>
      <c r="KV85" s="78">
        <f t="shared" si="417"/>
        <v>0.17131964170167202</v>
      </c>
      <c r="KW85" s="78">
        <f>KV85*(VLOOKUP($KT$9,各项系数!$D$1:$F$143,2,0))</f>
        <v>2.9124339089284241</v>
      </c>
      <c r="KX85" s="78">
        <f>各项系数!$F$76/4*($NH85^2-$NE85^2)*10^-2*(VLOOKUP($KX$9,各项系数!$D$1:$F$143,3,0))*10^-3*10^2*各项系数!$J$4</f>
        <v>0.1700142722549936</v>
      </c>
      <c r="KY85" s="355">
        <v>1</v>
      </c>
      <c r="KZ85" s="78">
        <f t="shared" si="418"/>
        <v>0.1700142722549936</v>
      </c>
      <c r="LA85" s="78">
        <f>KZ85*(VLOOKUP($KX$9,各项系数!$D$1:$F$143,2,0))</f>
        <v>2.8902426283348914</v>
      </c>
      <c r="LB85" s="78">
        <f>各项系数!$F$76/4*($NI85^2-$NF85^2)*10^-2*(VLOOKUP($LB$9,各项系数!$D$1:$F$143,3,0))*10^-3*10^2*各项系数!$J$4</f>
        <v>0.17131964170167202</v>
      </c>
      <c r="LC85" s="355">
        <v>1</v>
      </c>
      <c r="LD85" s="78">
        <f t="shared" si="419"/>
        <v>0.17131964170167202</v>
      </c>
      <c r="LE85" s="78">
        <f>LD85*(VLOOKUP($LB$9,各项系数!$D$1:$F$143,2,0))</f>
        <v>2.9124339089284241</v>
      </c>
      <c r="LF85" s="237">
        <f>各项系数!$F$76/4*($NH85^2-$NE85^2)*10^-2*(VLOOKUP(AN85,各项系数!$D$1:$F$143,3,0))*10^-3*10^2*各项系数!$J$4</f>
        <v>0.17235929669989006</v>
      </c>
      <c r="LG85" s="106">
        <v>1</v>
      </c>
      <c r="LH85" s="78">
        <f t="shared" ref="LH85:LH116" si="480">LG85*LF85</f>
        <v>0.17235929669989006</v>
      </c>
      <c r="LI85" s="78">
        <f>LH85*(VLOOKUP(AN85,各项系数!$D$1:$F$143,2,0))</f>
        <v>1.7235929669989005</v>
      </c>
      <c r="LJ85" s="237">
        <f>各项系数!$F$76/4*($NI85^2-$NF85^2)*10^-2*(VLOOKUP(AN85,各项系数!$D$1:$F$143,3,0))*10^-3*10^2*各项系数!$J$4</f>
        <v>0.17368267124238476</v>
      </c>
      <c r="LK85" s="106">
        <v>1</v>
      </c>
      <c r="LL85" s="78">
        <f t="shared" ref="LL85:LL116" si="481">LK85*LJ85</f>
        <v>0.17368267124238476</v>
      </c>
      <c r="LM85" s="78">
        <f>LL85*(VLOOKUP(AN85,各项系数!$D$1:$F$143,2,0))</f>
        <v>1.7368267124238477</v>
      </c>
      <c r="LN85" s="78">
        <f>各项系数!$F$76/4*($NH85^2-$NE85^2)*10^-2*(VLOOKUP($LN$9,各项系数!$D$1:$F$143,3,0))*10^-3*10^2*各项系数!$J$4</f>
        <v>0.17235929669989006</v>
      </c>
      <c r="LO85" s="355">
        <v>1</v>
      </c>
      <c r="LP85" s="78">
        <f t="shared" ref="LP85:LP116" si="482">LO85*LN85</f>
        <v>0.17235929669989006</v>
      </c>
      <c r="LQ85" s="78">
        <f>LP85*(VLOOKUP($LN$9,各项系数!$D$1:$F$143,2,0))</f>
        <v>1.8959522636987907</v>
      </c>
      <c r="LR85" s="78">
        <f>各项系数!$F$76/4*($NI85^2-$NF85^2)*10^-2*(VLOOKUP($LR$9,各项系数!$D$1:$F$143,3,0))*10^-3*10^2*各项系数!$J$4</f>
        <v>0.17368267124238476</v>
      </c>
      <c r="LS85" s="355">
        <v>1</v>
      </c>
      <c r="LT85" s="78">
        <f t="shared" ref="LT85:LT116" si="483">LS85*LR85</f>
        <v>0.17368267124238476</v>
      </c>
      <c r="LU85" s="78">
        <f>LT85*(VLOOKUP($LR$9,各项系数!$D$1:$F$143,2,0))</f>
        <v>1.9105093836662324</v>
      </c>
      <c r="LV85" s="367">
        <f t="shared" si="420"/>
        <v>96.707848150000004</v>
      </c>
      <c r="LW85" s="367">
        <f t="shared" si="421"/>
        <v>75.217215229999994</v>
      </c>
      <c r="LX85" s="367">
        <f t="shared" si="422"/>
        <v>9.7861909278172128</v>
      </c>
      <c r="LY85" s="367">
        <f t="shared" si="423"/>
        <v>21.49063292000001</v>
      </c>
      <c r="LZ85" s="374">
        <f t="shared" si="365"/>
        <v>1</v>
      </c>
      <c r="MA85" s="375">
        <f t="shared" si="366"/>
        <v>96.707848150000004</v>
      </c>
      <c r="MB85" s="367">
        <f t="shared" si="424"/>
        <v>4.9625045400000003</v>
      </c>
      <c r="MC85" s="367">
        <f t="shared" si="425"/>
        <v>0</v>
      </c>
      <c r="MD85" s="367">
        <f t="shared" si="426"/>
        <v>0</v>
      </c>
      <c r="ME85" s="367">
        <f t="shared" si="427"/>
        <v>0</v>
      </c>
      <c r="MF85" s="367">
        <f t="shared" si="428"/>
        <v>0</v>
      </c>
      <c r="MG85" s="379">
        <f t="shared" si="429"/>
        <v>1</v>
      </c>
      <c r="MH85" s="375">
        <f t="shared" si="367"/>
        <v>0</v>
      </c>
      <c r="MI85" s="367">
        <f t="shared" si="430"/>
        <v>0</v>
      </c>
      <c r="MJ85" s="78">
        <f t="shared" si="368"/>
        <v>4.9625045400000003</v>
      </c>
      <c r="MK85" s="78">
        <f t="shared" si="431"/>
        <v>4.9625045400000003</v>
      </c>
      <c r="ML85" s="78">
        <f t="shared" ref="ML85:ML116" si="484">$ER85*$EQ85*10^-2</f>
        <v>0</v>
      </c>
      <c r="MM85" s="78">
        <f t="shared" si="369"/>
        <v>0</v>
      </c>
      <c r="MN85" s="78">
        <f t="shared" si="370"/>
        <v>6.3625045399999998</v>
      </c>
      <c r="MO85" s="189">
        <f t="shared" si="432"/>
        <v>0</v>
      </c>
      <c r="MP85" s="78">
        <f t="shared" si="433"/>
        <v>17.178762259999999</v>
      </c>
      <c r="MQ85" s="78">
        <f t="shared" ref="MQ85:MQ116" si="485">MP85</f>
        <v>17.178762259999999</v>
      </c>
      <c r="MR85" s="246">
        <f t="shared" si="434"/>
        <v>17.178762259999999</v>
      </c>
      <c r="MS85" s="380">
        <f t="shared" si="371"/>
        <v>17.354762259999998</v>
      </c>
      <c r="MT85" s="382">
        <f t="shared" si="372"/>
        <v>17.514762259999998</v>
      </c>
      <c r="MU85" s="382">
        <f t="shared" si="373"/>
        <v>17.954762259999999</v>
      </c>
      <c r="MV85" s="382">
        <f t="shared" si="374"/>
        <v>20.954762259999999</v>
      </c>
      <c r="MW85" s="382">
        <f t="shared" si="375"/>
        <v>21.114762259999999</v>
      </c>
      <c r="MX85" s="246">
        <f t="shared" si="376"/>
        <v>5.5625045400000008</v>
      </c>
      <c r="MY85" s="246">
        <f t="shared" si="377"/>
        <v>0</v>
      </c>
      <c r="MZ85" s="78">
        <f t="shared" si="378"/>
        <v>6.9625045400000012</v>
      </c>
      <c r="NA85" s="78">
        <f t="shared" si="379"/>
        <v>0</v>
      </c>
      <c r="NB85" s="78">
        <f t="shared" si="435"/>
        <v>18.79876226</v>
      </c>
      <c r="NC85" s="246">
        <f t="shared" ref="NC85:NC116" si="486">NB85</f>
        <v>18.79876226</v>
      </c>
      <c r="ND85" s="246">
        <f t="shared" si="436"/>
        <v>18.79876226</v>
      </c>
      <c r="NE85" s="386">
        <f t="shared" si="437"/>
        <v>19.038762259999999</v>
      </c>
      <c r="NF85" s="382">
        <f t="shared" si="380"/>
        <v>19.198762259999999</v>
      </c>
      <c r="NG85" s="150">
        <f t="shared" si="381"/>
        <v>19.63876226</v>
      </c>
      <c r="NH85" s="246">
        <f t="shared" si="382"/>
        <v>22.63876226</v>
      </c>
      <c r="NI85" s="382">
        <f t="shared" si="383"/>
        <v>22.79876226</v>
      </c>
      <c r="NK85" s="390">
        <f t="shared" si="384"/>
        <v>0.99086888194411493</v>
      </c>
      <c r="NL85" s="390">
        <f t="shared" si="385"/>
        <v>46.659849387041142</v>
      </c>
      <c r="NM85" s="390">
        <f t="shared" si="386"/>
        <v>0.99086888194411493</v>
      </c>
      <c r="NN85" s="390">
        <f t="shared" si="387"/>
        <v>46.818280166681276</v>
      </c>
      <c r="NO85" s="390">
        <f t="shared" si="388"/>
        <v>1.3932840940466669</v>
      </c>
      <c r="NP85" s="390">
        <f t="shared" si="389"/>
        <v>48.039731135687518</v>
      </c>
      <c r="NQ85" s="390">
        <f t="shared" si="390"/>
        <v>1.3932840940466669</v>
      </c>
      <c r="NR85" s="390">
        <f t="shared" si="391"/>
        <v>48.212090432387406</v>
      </c>
      <c r="NS85" s="390">
        <f t="shared" si="392"/>
        <v>1.015222337877411</v>
      </c>
      <c r="NT85" s="390">
        <f t="shared" si="393"/>
        <v>1.015222337877411</v>
      </c>
      <c r="NU85" s="390">
        <f t="shared" si="394"/>
        <v>1.419989817202199</v>
      </c>
      <c r="NV85" s="390">
        <f t="shared" si="395"/>
        <v>1.419989817202199</v>
      </c>
      <c r="NW85" s="9">
        <f t="shared" si="396"/>
        <v>1.1203369999304198</v>
      </c>
      <c r="NX85" s="9">
        <f>各项系数!$M$9*NK85</f>
        <v>0.29726066458323447</v>
      </c>
      <c r="NY85" s="9">
        <f t="shared" si="397"/>
        <v>1.015222337877411</v>
      </c>
    </row>
    <row r="86" spans="1:389" s="9" customFormat="1" ht="15" hidden="1" customHeight="1">
      <c r="A86" s="65"/>
      <c r="B86" s="66"/>
      <c r="C86" s="67"/>
      <c r="D86" s="58" t="s">
        <v>149</v>
      </c>
      <c r="E86" s="54">
        <f t="shared" si="325"/>
        <v>25.487803920000001</v>
      </c>
      <c r="F86" s="68">
        <f>$F$22</f>
        <v>208.046961644752</v>
      </c>
      <c r="G86" s="58"/>
      <c r="H86" s="16"/>
      <c r="I86" s="62"/>
      <c r="J86" s="16"/>
      <c r="K86" s="16"/>
      <c r="L86" s="107" t="s">
        <v>467</v>
      </c>
      <c r="M86" s="98">
        <f t="shared" si="339"/>
        <v>0.9</v>
      </c>
      <c r="N86" s="98">
        <f t="shared" si="340"/>
        <v>0</v>
      </c>
      <c r="O86" s="58">
        <f t="shared" si="438"/>
        <v>0.08</v>
      </c>
      <c r="P86" s="99">
        <v>0.1</v>
      </c>
      <c r="Q86" s="136">
        <f t="shared" si="440"/>
        <v>0.1</v>
      </c>
      <c r="R86" s="151">
        <v>0.8</v>
      </c>
      <c r="S86" s="144" t="str">
        <f>各项系数!$D$43</f>
        <v>钢带</v>
      </c>
      <c r="T86" s="62">
        <v>0.2</v>
      </c>
      <c r="U86" s="62">
        <v>2</v>
      </c>
      <c r="V86" s="143"/>
      <c r="W86" s="145">
        <v>1.8</v>
      </c>
      <c r="X86" s="139">
        <f t="shared" si="441"/>
        <v>0.2</v>
      </c>
      <c r="Y86" s="139"/>
      <c r="Z86" s="169"/>
      <c r="AA86" s="170">
        <f>$AA$22</f>
        <v>1.0109999999999999</v>
      </c>
      <c r="AB86" s="153">
        <f>PI()*EJ86*EJ86/4*EH86*(1-H86)*AA86*各项系数!$F$5*各项系数!$J$4*10^-7</f>
        <v>0.21280737466777744</v>
      </c>
      <c r="AC86" s="170">
        <f t="shared" si="327"/>
        <v>208.046961644752</v>
      </c>
      <c r="AD86" s="153">
        <f t="shared" si="341"/>
        <v>24.058128060751169</v>
      </c>
      <c r="AE86" s="153">
        <f>POWER(4*EU86/PI()/EG86/10^-7/EH86/(1-H86)/各项系数!$F$5/各项系数!$J$4,0.5)</f>
        <v>209.18809041233359</v>
      </c>
      <c r="AF86" s="16">
        <v>1</v>
      </c>
      <c r="AG86" s="16">
        <f>IF(EM86=0,0,PI()*ER86*ER86/4*EP86*(1-K86)*(1+AF86)*各项系数!$F$5*各项系数!$J$4*10^-7)</f>
        <v>0</v>
      </c>
      <c r="AH86" s="16">
        <f t="shared" si="328"/>
        <v>0</v>
      </c>
      <c r="AI86" s="69">
        <f t="shared" si="398"/>
        <v>0</v>
      </c>
      <c r="AJ86" s="69">
        <f>IF(OR(EP86="",EP86=0),0,POWER(4*EW86/PI()/EO86/10^-7/EP86/(1-K86)/各项系数!$F$5/各项系数!$J$4,0.5))</f>
        <v>0</v>
      </c>
      <c r="AK86" s="16" t="str">
        <f t="shared" si="342"/>
        <v>√</v>
      </c>
      <c r="AL86" s="16">
        <f t="shared" si="329"/>
        <v>75.627584031189144</v>
      </c>
      <c r="AM86" s="106">
        <f t="shared" si="330"/>
        <v>25</v>
      </c>
      <c r="AN86" s="107" t="s">
        <v>486</v>
      </c>
      <c r="AO86" s="146">
        <f>AP86+各项系数!$M$9*$NK86</f>
        <v>74.144690226656024</v>
      </c>
      <c r="AP86" s="146">
        <f>AQ86*(1+$BI86+(VLOOKUP($AM86,$A$12:$B$323,2,0))+各项系数!$J$6+各项系数!$M$5)*(1+$E$2)</f>
        <v>73.690111372033229</v>
      </c>
      <c r="AQ86" s="199">
        <f>AR86+各项系数!$L$9*$NK86</f>
        <v>75.193991195952279</v>
      </c>
      <c r="AR86" s="199">
        <f>AS86*(1+$BJ86+各项系数!$J$5+各项系数!$L$5)</f>
        <v>74.739412341329484</v>
      </c>
      <c r="AS86" s="199">
        <f t="shared" si="399"/>
        <v>73.273933667970084</v>
      </c>
      <c r="AT86" s="146">
        <f>AU86+各项系数!$M$9*$NM86</f>
        <v>75.47031187006418</v>
      </c>
      <c r="AU86" s="146">
        <f>AV86*(1+$BI86+(VLOOKUP($AM86,$A$12:$B$323,2,0))+各项系数!$J$6+各项系数!$M$5)*(1+$E$2)</f>
        <v>75.015733015441384</v>
      </c>
      <c r="AV86" s="199">
        <f>AW86+各项系数!$L$9*$NM86</f>
        <v>76.546666342287125</v>
      </c>
      <c r="AW86" s="199">
        <f>AX86*(1+$BJ86+各项系数!$J$5+各项系数!$L$5)</f>
        <v>76.09208748766433</v>
      </c>
      <c r="AX86" s="199">
        <f t="shared" si="400"/>
        <v>74.600085772219927</v>
      </c>
      <c r="AY86" s="146">
        <f>AZ86+各项系数!$M$9*$NS86</f>
        <v>76.246579031847233</v>
      </c>
      <c r="AZ86" s="146">
        <f>BA86*(1+$BI86+(VLOOKUP($AM86,$A$12:$B$214,2,0))+各项系数!$J$6+各项系数!$M$5)*(1+$E$2)</f>
        <v>75.782794569426542</v>
      </c>
      <c r="BA86" s="199">
        <f>BB86+各项系数!$L$9*$NS86</f>
        <v>77.329382213700555</v>
      </c>
      <c r="BB86" s="199">
        <f>BC86*(1+$BJ86+各项系数!$J$5+各项系数!$L$5)</f>
        <v>76.865597751279864</v>
      </c>
      <c r="BC86" s="199">
        <f t="shared" si="401"/>
        <v>75.358429167921429</v>
      </c>
      <c r="BD86" s="146">
        <f>BE86+各项系数!$M$9*$NS86</f>
        <v>77.581154627409902</v>
      </c>
      <c r="BE86" s="146">
        <f>BF86*(1+$BI86+(VLOOKUP($AM86,$A$12:$B$214,2,0))+各项系数!$J$6+各项系数!$M$5)*(1+$E$2)</f>
        <v>77.117370164989211</v>
      </c>
      <c r="BF86" s="199">
        <f>BG86+各项系数!$L$9*$NS86</f>
        <v>78.691194045907366</v>
      </c>
      <c r="BG86" s="199">
        <f>BH86*(1+$BJ86+各项系数!$J$5+各项系数!$L$5)</f>
        <v>78.227409583486676</v>
      </c>
      <c r="BH86" s="199">
        <f t="shared" si="402"/>
        <v>76.693538807339877</v>
      </c>
      <c r="BI86" s="214"/>
      <c r="BJ86" s="215"/>
      <c r="BK86" s="78" t="s">
        <v>514</v>
      </c>
      <c r="BL86" s="146">
        <f>BM86+各项系数!$M$9*$NM86</f>
        <v>75.060540441227644</v>
      </c>
      <c r="BM86" s="146">
        <f>BN86*(1+$CF86+(VLOOKUP($AM86,$A$12:$B$323,2,0))+各项系数!$J$6+各项系数!$M$5)*(1+$E$2)</f>
        <v>74.605961586604849</v>
      </c>
      <c r="BN86" s="199">
        <f>BO86+各项系数!$L$9*$NM86</f>
        <v>76.128532231229443</v>
      </c>
      <c r="BO86" s="199">
        <f>BP86*(1+$CG86+各项系数!$J$5+各项系数!$L$5)</f>
        <v>75.673953376606647</v>
      </c>
      <c r="BP86" s="199">
        <f t="shared" si="403"/>
        <v>73.469857647190921</v>
      </c>
      <c r="BQ86" s="146">
        <f>BR86+各项系数!$M$9*$NM86</f>
        <v>76.201392710631922</v>
      </c>
      <c r="BR86" s="146">
        <f>BS86*(1+$CF86+(VLOOKUP($AM86,$A$12:$B$323,2,0))+各项系数!$J$6+各项系数!$M$5)*(1+$E$2)</f>
        <v>75.746813856009126</v>
      </c>
      <c r="BS86" s="199">
        <f>BT86+各项系数!$L$9*$NM86</f>
        <v>77.292667200009319</v>
      </c>
      <c r="BT86" s="199">
        <f>BU86*(1+$CG86+各项系数!$J$5+各项系数!$L$5)</f>
        <v>76.838088345386524</v>
      </c>
      <c r="BU86" s="199">
        <f t="shared" si="404"/>
        <v>74.600085772219927</v>
      </c>
      <c r="BV86" s="146">
        <f>BW86+各项系数!$M$9*$NT86</f>
        <v>76.73778247850116</v>
      </c>
      <c r="BW86" s="146">
        <f>BX86*(1+$CF86+(VLOOKUP($AM86,$A$12:$B$214,2,0))+各项系数!$J$6+各项系数!$M$5)*(1+$E$2)</f>
        <v>76.273998016080469</v>
      </c>
      <c r="BX86" s="199">
        <f>BY86+各项系数!$L$9*$NT$12</f>
        <v>77.830610220490271</v>
      </c>
      <c r="BY86" s="199">
        <f>BZ86*(1+$CG86+各项系数!$J$5+各项系数!$L$5)</f>
        <v>77.822346817335301</v>
      </c>
      <c r="BZ86" s="199">
        <f t="shared" si="343"/>
        <v>75.555676521684759</v>
      </c>
      <c r="CA86" s="146">
        <f>CB86+各项系数!$M$9*$NT86</f>
        <v>77.886340669641442</v>
      </c>
      <c r="CB86" s="146">
        <f>CC86*(1+$CF86+(VLOOKUP($AM86,$A$12:$B$214,2,0))+各项系数!$J$6+各项系数!$M$5)*(1+$E$2)</f>
        <v>77.422556207220751</v>
      </c>
      <c r="CC86" s="199">
        <f>CD86+各项系数!$L$9*$NT$12</f>
        <v>79.002608374715052</v>
      </c>
      <c r="CD86" s="199">
        <f>CE86*(1+$CG86+各项系数!$J$5+各项系数!$L$5)</f>
        <v>78.994344971560082</v>
      </c>
      <c r="CE86" s="199">
        <f t="shared" si="405"/>
        <v>76.693538807339877</v>
      </c>
      <c r="CF86" s="214">
        <f t="shared" si="406"/>
        <v>0</v>
      </c>
      <c r="CG86" s="214">
        <f t="shared" si="344"/>
        <v>0.01</v>
      </c>
      <c r="CH86" s="106"/>
      <c r="CI86" s="146">
        <f>CJ86+各项系数!$M$9*$NO86</f>
        <v>76.697706641913726</v>
      </c>
      <c r="CJ86" s="146">
        <f>CK86*(1+$DC86+(VLOOKUP($AM86,$A$12:$B$323,2,0))+各项系数!$J$6+各项系数!$M$5)*(1+$E$2)+各项系数!$M$9*$NK86</f>
        <v>76.06455950261477</v>
      </c>
      <c r="CK86" s="199">
        <f>CL86+各项系数!$L$9*$NO86</f>
        <v>77.153041477542828</v>
      </c>
      <c r="CL86" s="199">
        <f>CM86*(1+$DD86+各项系数!$J$5+各项系数!$L$5)</f>
        <v>76.519894338243873</v>
      </c>
      <c r="CM86" s="199">
        <f t="shared" si="345"/>
        <v>75.019504253180273</v>
      </c>
      <c r="CN86" s="146">
        <f>CO86+各项系数!$M$9*$NO86</f>
        <v>77.88409882879256</v>
      </c>
      <c r="CO86" s="146">
        <f>CP86*(1+$DC86+(VLOOKUP($AM86,$A$12:$B$323,2,0))+各项系数!$J$6+各项系数!$M$5)*(1+$E$2)+各项系数!$M$9*$NK86</f>
        <v>77.250951689493604</v>
      </c>
      <c r="CP86" s="199">
        <f>CQ86+各项系数!$L$9*$NO86</f>
        <v>78.363645749868169</v>
      </c>
      <c r="CQ86" s="199">
        <f>CR86*(1+$DD86+各项系数!$J$5+各项系数!$L$5)</f>
        <v>77.730498610569214</v>
      </c>
      <c r="CR86" s="199">
        <f t="shared" si="346"/>
        <v>76.206371186832556</v>
      </c>
      <c r="CS86" s="146">
        <f>CT86+各项系数!$M$9*$NU86</f>
        <v>78.505128365498052</v>
      </c>
      <c r="CT86" s="146">
        <f t="shared" si="347"/>
        <v>77.862069938234526</v>
      </c>
      <c r="CU86" s="199">
        <f>CV86+各项系数!$L$9*$NU86</f>
        <v>79.451091773708697</v>
      </c>
      <c r="CV86" s="199">
        <f>CW86*(1+$DD86+各项系数!$J$5+各项系数!$L$5)</f>
        <v>78.808033346445171</v>
      </c>
      <c r="CW86" s="199">
        <f t="shared" si="348"/>
        <v>77.262777790632526</v>
      </c>
      <c r="CX86" s="146">
        <f>CY86+各项系数!$M$9*$NU86</f>
        <v>79.933944307487039</v>
      </c>
      <c r="CY86" s="146">
        <f t="shared" si="349"/>
        <v>79.290885880223513</v>
      </c>
      <c r="CZ86" s="199">
        <f>DA86+各项系数!$L$9*$NU86</f>
        <v>80.909067224717873</v>
      </c>
      <c r="DA86" s="199">
        <f>DB86*(1+$DD86+各项系数!$J$5+各项系数!$L$5)</f>
        <v>80.266008797454347</v>
      </c>
      <c r="DB86" s="199">
        <f t="shared" si="350"/>
        <v>78.692165487700336</v>
      </c>
      <c r="DC86" s="214">
        <f t="shared" si="407"/>
        <v>0</v>
      </c>
      <c r="DD86" s="214">
        <f t="shared" si="351"/>
        <v>0</v>
      </c>
      <c r="DE86" s="78" t="s">
        <v>498</v>
      </c>
      <c r="DF86" s="78" t="s">
        <v>513</v>
      </c>
      <c r="DG86" s="146">
        <f>DH86+各项系数!$M$9*$NQ86</f>
        <v>77.644722893340514</v>
      </c>
      <c r="DH86" s="146">
        <f>DI86*(1+$EA86+(VLOOKUP($AM86,$A$12:$B$323,2,0))+各项系数!$J$6+各项系数!$M$5)*(1+$E$2)+各项系数!$M$9*$NK86</f>
        <v>77.011575754041559</v>
      </c>
      <c r="DI86" s="199">
        <f>DJ86+各项系数!$L$9*$NQ86</f>
        <v>78.119384591243644</v>
      </c>
      <c r="DJ86" s="199">
        <f>DK86*(1+$EB86+各项系数!$J$5+各项系数!$L$5)</f>
        <v>77.486237451944689</v>
      </c>
      <c r="DK86" s="199">
        <f t="shared" si="352"/>
        <v>75.229356749460862</v>
      </c>
      <c r="DL86" s="146">
        <f>DM86+各项系数!$M$9*$NQ86</f>
        <v>78.866679989015964</v>
      </c>
      <c r="DM86" s="146">
        <f>DN86*(1+$EA86+(VLOOKUP($AM86,$A$12:$B$323,2,0))+各项系数!$J$6+各项系数!$M$5)*(1+$E$2)+各项系数!$M$9*$NK86</f>
        <v>78.233532849717008</v>
      </c>
      <c r="DN86" s="199">
        <f>DO86+各项系数!$L$9*$NQ86</f>
        <v>79.366279586830828</v>
      </c>
      <c r="DO86" s="199">
        <f>DP86*(1+$EB86+各项系数!$J$5+各项系数!$L$5)</f>
        <v>78.733132447531872</v>
      </c>
      <c r="DP86" s="199">
        <f t="shared" si="353"/>
        <v>76.439934415079492</v>
      </c>
      <c r="DQ86" s="146">
        <f>DR86+各项系数!$M$9*$NV86</f>
        <v>79.47546451185508</v>
      </c>
      <c r="DR86" s="146">
        <f t="shared" si="354"/>
        <v>78.832406084591554</v>
      </c>
      <c r="DS86" s="199">
        <f>DT86+各项系数!$L$9*$NV86</f>
        <v>80.441230698562805</v>
      </c>
      <c r="DT86" s="199">
        <f>DU86*(1+$EB86+各项系数!$J$5+各项系数!$L$5)</f>
        <v>79.798172271299279</v>
      </c>
      <c r="DU86" s="199">
        <f t="shared" si="355"/>
        <v>77.47395366145561</v>
      </c>
      <c r="DV86" s="146">
        <f>DW86+各项系数!$M$9*$NV86</f>
        <v>79.471847696588071</v>
      </c>
      <c r="DW86" s="146">
        <f t="shared" si="356"/>
        <v>78.828789269324545</v>
      </c>
      <c r="DX86" s="199">
        <f>DY86+各项系数!$L$9*$NV86</f>
        <v>80.437540070739331</v>
      </c>
      <c r="DY86" s="199">
        <f>DZ86*(1+$EB86+各项系数!$J$5+各项系数!$L$5)</f>
        <v>79.794481643475805</v>
      </c>
      <c r="DZ86" s="199">
        <f t="shared" si="357"/>
        <v>77.470370527646409</v>
      </c>
      <c r="EA86" s="214">
        <f t="shared" si="439"/>
        <v>0</v>
      </c>
      <c r="EB86" s="214">
        <f t="shared" si="358"/>
        <v>0.01</v>
      </c>
      <c r="EC86" s="235">
        <f t="shared" si="408"/>
        <v>5</v>
      </c>
      <c r="ED86" s="237" t="str">
        <f t="shared" si="442"/>
        <v>5*25</v>
      </c>
      <c r="EE86" s="78">
        <f t="shared" si="239"/>
        <v>25</v>
      </c>
      <c r="EF86" s="78" t="str">
        <f>LOOKUP(EH86,{1,7,10,14,19,24,30,37,48,61},{1,"1+6","2+8","4+10","1+6+12","2+8+14","4+10+16","1+6+12+18","3+9+15+21","1+6+12+18+24"})</f>
        <v>1+6</v>
      </c>
      <c r="EG86" s="106">
        <f t="shared" si="359"/>
        <v>5</v>
      </c>
      <c r="EH86" s="199">
        <f>VLOOKUP(EE86,各项系数!$B$87:$C$124,2,0)</f>
        <v>7</v>
      </c>
      <c r="EI86" s="106">
        <f>IF(EH86=0,0,VLOOKUP(EH86,各项系数!$D$142:$E$195,2,0))*1</f>
        <v>3</v>
      </c>
      <c r="EJ86" s="240">
        <f t="shared" si="409"/>
        <v>208.046961644752</v>
      </c>
      <c r="EK86" s="78">
        <f t="shared" si="332"/>
        <v>0</v>
      </c>
      <c r="EL86" s="78">
        <f t="shared" si="360"/>
        <v>0</v>
      </c>
      <c r="EM86" s="78">
        <f t="shared" si="443"/>
        <v>0</v>
      </c>
      <c r="EN86" s="78">
        <f>IF(EP86=0,0,LOOKUP(EP86,{1,7,10,14,19,24,30,37,48,61},{1,"1+6","2+8","4+10","1+6+12","2+8+14","4+10+16","1+6+12+18","3+9+15+21","1+6+12+18+24"}))</f>
        <v>0</v>
      </c>
      <c r="EO86" s="78">
        <f t="shared" si="334"/>
        <v>0</v>
      </c>
      <c r="EP86" s="78">
        <f>IF(EM86=0,0,IF(EM86&lt;10,1,IF(AND(EM86&gt;=10,EM86&lt;=35),7,LOOKUP(EM86,{50,70,95,120,150,185,240,300},{10,14,19,24,30,37,48,61})*1)))</f>
        <v>0</v>
      </c>
      <c r="EQ86" s="78">
        <f>IF(EP86=0,0,VLOOKUP(EP86,各项系数!$D$142:$E$195,2,0))*1</f>
        <v>0</v>
      </c>
      <c r="ER86" s="78">
        <f t="shared" si="335"/>
        <v>0</v>
      </c>
      <c r="ES86" s="237">
        <f t="shared" si="444"/>
        <v>5</v>
      </c>
      <c r="ET86" s="78">
        <f>VLOOKUP(ES86,各项系数!$D$142:$E$195,2,0)*1</f>
        <v>2.7</v>
      </c>
      <c r="EU86" s="243">
        <f>((各项系数!$F$76/4*$EJ86^2*$EG86*$EH86*1*10^-7)*(1-$H86)*AA86)*(VLOOKUP($EY$9,各项系数!$D$4:$F$143,3,0))*各项系数!$J$4</f>
        <v>1.0640368733388874</v>
      </c>
      <c r="EV86" s="244">
        <f>EU86*(VLOOKUP($EY$9,各项系数!$D$4:$F$143,2,0))</f>
        <v>69.694415203697119</v>
      </c>
      <c r="EW86" s="252">
        <f>(IF($EO86=0,0,(各项系数!$F$76/4*$ER86^2*$EO86*$EP86*1*10^-7))*(1-$K86)*$AF86)*(VLOOKUP($EY$9,各项系数!$D$4:$F$143,3,0))*各项系数!$J$4</f>
        <v>0</v>
      </c>
      <c r="EX86" s="253">
        <f>EW86*(VLOOKUP($EY$9,各项系数!$D$4:$F$143,2,0))</f>
        <v>0</v>
      </c>
      <c r="EY86" s="189">
        <f>((各项系数!$F$76/4*$EJ86^2*$EG86*$EH86*1*10^-7)*(1-$H86)*AA86+IF($EO86=0,0,(各项系数!$F$76/4*$ER86^2*$EO86*$EP86*1*10^-7))*(1-$K86)*$AF86)*(VLOOKUP($EY$9,各项系数!$D$4:$F$143,3,0))*各项系数!$J$4</f>
        <v>1.0640368733388874</v>
      </c>
      <c r="EZ86" s="106">
        <v>1</v>
      </c>
      <c r="FA86" s="78">
        <f t="shared" si="445"/>
        <v>1.0640368733388874</v>
      </c>
      <c r="FB86" s="246">
        <f>FA86*(VLOOKUP($EY$9,各项系数!$D$4:$F$143,2,0))</f>
        <v>69.694415203697119</v>
      </c>
      <c r="FC86" s="257"/>
      <c r="FD86" s="237">
        <f>各项系数!$F$76/4*($MN86^2-MK86^2)*10^-2*(VLOOKUP(L86,各项系数!$D$1:$F$143,3,0))*10^-3*10^2*$EG86*各项系数!$J$4</f>
        <v>0.11049994208287375</v>
      </c>
      <c r="FE86" s="264">
        <f>FD86*VLOOKUP(L86,各项系数!$D$1:$F$143,2,0)</f>
        <v>1.1270994092453122</v>
      </c>
      <c r="FF86" s="106">
        <f>各项系数!$F$76/4*($MO86^2-ML86^2)*10^-2*(VLOOKUP(L86,各项系数!$D$1:$F$143,3,0))*10^-3*10^2*$EO86*各项系数!$J$4</f>
        <v>0</v>
      </c>
      <c r="FG86" s="264">
        <f>FF86*VLOOKUP(L86,各项系数!$D$1:$F$143,2,0)</f>
        <v>0</v>
      </c>
      <c r="FH86" s="237">
        <f t="shared" si="410"/>
        <v>0.11049994208287375</v>
      </c>
      <c r="FI86" s="106">
        <v>1</v>
      </c>
      <c r="FJ86" s="78">
        <f t="shared" si="446"/>
        <v>0.11049994208287375</v>
      </c>
      <c r="FK86" s="264">
        <f>FJ86*VLOOKUP(L86,各项系数!$D$1:$F$143,2,0)</f>
        <v>1.1270994092453122</v>
      </c>
      <c r="FL86" s="237"/>
      <c r="FM86" s="106"/>
      <c r="FN86" s="78"/>
      <c r="FO86" s="264"/>
      <c r="FP86" s="289">
        <f t="shared" si="447"/>
        <v>0.11049994208287375</v>
      </c>
      <c r="FQ86" s="289">
        <f t="shared" si="448"/>
        <v>1.1270994092453122</v>
      </c>
      <c r="FR86" s="283">
        <f>各项系数!$F$76/4*($MQ86^2-$MN86^2*$EG86-$MO86^2*$EO86)*10^-2</f>
        <v>1.1630266103845852</v>
      </c>
      <c r="FS86" s="284">
        <f t="shared" si="411"/>
        <v>1</v>
      </c>
      <c r="FT86" s="285">
        <f t="shared" si="361"/>
        <v>1.1630266103845852</v>
      </c>
      <c r="FU86" s="309">
        <f>$FT86*(VLOOKUP($FT$9,各项系数!$D$1:$F$143,3,0))*10^-3*10^2*各项系数!$J$55</f>
        <v>0.13886537727991949</v>
      </c>
      <c r="FV86" s="310">
        <v>1</v>
      </c>
      <c r="FW86" s="311">
        <f t="shared" si="449"/>
        <v>0.13886537727991949</v>
      </c>
      <c r="FX86" s="290">
        <f>FW86*(VLOOKUP($FT$9,各项系数!$D$1:$F$143,2,0))</f>
        <v>0.41659613183975847</v>
      </c>
      <c r="FY86" s="309">
        <f>IF($BK86&lt;&gt;$FY$9,0,各项系数!$F$76/4*($MS86^2-$MQ86^2)*10^-2*(VLOOKUP($FY$9,各项系数!$D$1:$F$143,3,0))*10^-3*10^2)*各项系数!$J$4</f>
        <v>0</v>
      </c>
      <c r="FZ86" s="310">
        <v>1</v>
      </c>
      <c r="GA86" s="311">
        <f t="shared" si="450"/>
        <v>0</v>
      </c>
      <c r="GB86" s="290">
        <f>GA86*(VLOOKUP($FY$9,各项系数!$D$1:$F$143,2,0))</f>
        <v>0</v>
      </c>
      <c r="GC86" s="309">
        <f>IF($BK86&lt;&gt;$GC$9,0,各项系数!$F$76/4*($MS86^2-$MQ86^2)*10^-2*(VLOOKUP($GC$9,各项系数!$D$1:$F$143,3,0))*10^-3*10^2)*各项系数!$J$4</f>
        <v>5.9366768201215307E-3</v>
      </c>
      <c r="GD86" s="310">
        <v>1</v>
      </c>
      <c r="GE86" s="311">
        <f t="shared" si="451"/>
        <v>5.9366768201215307E-3</v>
      </c>
      <c r="GF86" s="290">
        <f>GE86*(VLOOKUP($GC$9,各项系数!$D$1:$F$143,2,0))</f>
        <v>7.6583130979567746E-2</v>
      </c>
      <c r="GG86" s="309">
        <f>IF($BK86&lt;&gt;$GG$9,0,各项系数!$F$76/4*($MS86^2-$MQ86^2)*10^-2*(VLOOKUP($GG$9,各项系数!$D$1:$F$143,3,0))*10^-3*10^2)*各项系数!$J$4</f>
        <v>0</v>
      </c>
      <c r="GH86" s="310">
        <v>1</v>
      </c>
      <c r="GI86" s="311">
        <f t="shared" si="452"/>
        <v>0</v>
      </c>
      <c r="GJ86" s="290">
        <f>GI86*(VLOOKUP($GG$9,各项系数!$D$1:$F$143,2,0))</f>
        <v>0</v>
      </c>
      <c r="GK86" s="309">
        <f>IF($BK86&lt;&gt;$GK$9,0,各项系数!$F$76/4*($MS86^2-$MQ86^2)*10^-2*(VLOOKUP($GK$9,各项系数!$D$1:$F$143,3,0))*10^-3*10^2)*各项系数!$J$4</f>
        <v>0</v>
      </c>
      <c r="GL86" s="310">
        <v>1</v>
      </c>
      <c r="GM86" s="311">
        <f t="shared" si="453"/>
        <v>0</v>
      </c>
      <c r="GN86" s="290">
        <f>GM86*(VLOOKUP($GK$9,各项系数!$D$1:$F$143,2,0))</f>
        <v>0</v>
      </c>
      <c r="GO86" s="311">
        <f t="shared" si="454"/>
        <v>5.9366768201215307E-3</v>
      </c>
      <c r="GP86" s="311">
        <f t="shared" si="455"/>
        <v>7.6583130979567746E-2</v>
      </c>
      <c r="GQ86" s="317">
        <f>各项系数!$F$76/4*($MU86^2-$MS86^2)*10^-2*(VLOOKUP($S86,各项系数!$D$1:$F$143,3,0))*10^-3*10^2*各项系数!$J$4</f>
        <v>0.16271038790932763</v>
      </c>
      <c r="GR86" s="310">
        <v>1</v>
      </c>
      <c r="GS86" s="311">
        <f t="shared" si="456"/>
        <v>0.16271038790932763</v>
      </c>
      <c r="GT86" s="311">
        <f t="shared" si="457"/>
        <v>0</v>
      </c>
      <c r="GU86" s="311">
        <f>ROUND($GS86*(VLOOKUP($S86,各项系数!$D$1:$F$143,2,0))+$E$3*GS86,GT86)</f>
        <v>1</v>
      </c>
      <c r="GV86" s="315">
        <f>各项系数!$F$76/4*($MT86^2-$MS86^2)*10^-2*(VLOOKUP($GV$9,各项系数!$D$1:$F$143,3,0))*10^-3*10^2*各项系数!$J$4*PI()/4*R86</f>
        <v>3.0685359326317049E-2</v>
      </c>
      <c r="GW86" s="310">
        <v>1</v>
      </c>
      <c r="GX86" s="311">
        <f t="shared" si="458"/>
        <v>3.0685359326317049E-2</v>
      </c>
      <c r="GY86" s="311">
        <f>$GX86*(VLOOKUP($GV$9,各项系数!$D$1:$F$143,2,0))</f>
        <v>2.0712617545264007</v>
      </c>
      <c r="GZ86" s="317">
        <f>各项系数!$F$76/4*($MV86^2-$MS86^2)*10^-2*(VLOOKUP($GZ$9,各项系数!$D$1:$F$143,3,0))*10^-3*10^2*各项系数!$J$4</f>
        <v>0.19325834685048066</v>
      </c>
      <c r="HA86" s="310">
        <v>1</v>
      </c>
      <c r="HB86" s="311">
        <f t="shared" si="412"/>
        <v>0.19325834685048066</v>
      </c>
      <c r="HC86" s="311">
        <f>HB86*(VLOOKUP($GZ$9,各项系数!$D$1:$F$143,2,0))</f>
        <v>3.285391896458171</v>
      </c>
      <c r="HD86" s="317">
        <f>各项系数!$F$76/4*($MW86^2-$MT86^2)*10^-2*(VLOOKUP($HD$9,各项系数!$D$1:$F$143,3,0))*10^-3*10^2*各项系数!$J$4</f>
        <v>0.19456371629715907</v>
      </c>
      <c r="HE86" s="310">
        <v>1</v>
      </c>
      <c r="HF86" s="311">
        <f t="shared" si="413"/>
        <v>0.19456371629715907</v>
      </c>
      <c r="HG86" s="311">
        <f>HF86*(VLOOKUP($HD$9,各项系数!$D$1:$F$143,2,0))</f>
        <v>3.3075831770517041</v>
      </c>
      <c r="HH86" s="317">
        <f>各项系数!$F$76/4*($MV86^2-$MS86^2)*10^-2*(VLOOKUP($HH$9,各项系数!$D$1:$F$143,3,0))*10^-3*10^2*各项系数!$J$4</f>
        <v>0.19325834685048066</v>
      </c>
      <c r="HI86" s="311">
        <v>1</v>
      </c>
      <c r="HJ86" s="311">
        <f t="shared" si="414"/>
        <v>0.19325834685048066</v>
      </c>
      <c r="HK86" s="311">
        <f>HJ86*(VLOOKUP($HH$9,各项系数!$D$1:$F$143,2,0))</f>
        <v>3.285391896458171</v>
      </c>
      <c r="HL86" s="317">
        <f>各项系数!$F$76/4*($MW86^2-$MT86^2)*10^-2*(VLOOKUP($HL$9,各项系数!$D$1:$F$143,3,0))*10^-3*10^2*各项系数!$J$4</f>
        <v>0.19456371629715907</v>
      </c>
      <c r="HM86" s="311">
        <v>1</v>
      </c>
      <c r="HN86" s="311">
        <f t="shared" si="362"/>
        <v>0.19456371629715907</v>
      </c>
      <c r="HO86" s="311">
        <f>HN86*(VLOOKUP($HL$9,各项系数!$D$1:$F$143,2,0))</f>
        <v>3.3075831770517041</v>
      </c>
      <c r="HP86" s="317">
        <f>各项系数!$F$76/4*($MV86^2-$MS86^2)*10^-2*(VLOOKUP(AN86,各项系数!$D$1:$F$143,3,0))*10^-3*10^2*各项系数!$J$4</f>
        <v>0.19592397922083213</v>
      </c>
      <c r="HQ86" s="310">
        <v>1</v>
      </c>
      <c r="HR86" s="311">
        <f t="shared" si="459"/>
        <v>0.19592397922083213</v>
      </c>
      <c r="HS86" s="311">
        <f>HR86*(VLOOKUP(AN86,各项系数!$D$1:$F$143,2,0))</f>
        <v>1.9592397922083213</v>
      </c>
      <c r="HT86" s="317">
        <f>各项系数!$F$76/4*($MW86^2-$MT86^2)*10^-2*(VLOOKUP(AN86,各项系数!$D$1:$F$143,3,0))*10^-3*10^2*各项系数!$J$4</f>
        <v>0.1972473537633268</v>
      </c>
      <c r="HU86" s="310">
        <v>1</v>
      </c>
      <c r="HV86" s="311">
        <f t="shared" si="460"/>
        <v>0.1972473537633268</v>
      </c>
      <c r="HW86" s="311">
        <f>HV86*(VLOOKUP(AN86,各项系数!$D$1:$F$143,2,0))</f>
        <v>1.972473537633268</v>
      </c>
      <c r="HX86" s="317">
        <f>各项系数!$F$76/4*($MV86^2-$MS86^2)*10^-2*(VLOOKUP($HX$9,各项系数!$D$1:$F$143,3,0))*10^-3*10^2*各项系数!$J$4</f>
        <v>0.19592397922083213</v>
      </c>
      <c r="HY86" s="311">
        <v>1</v>
      </c>
      <c r="HZ86" s="311">
        <f t="shared" si="461"/>
        <v>0.19592397922083213</v>
      </c>
      <c r="IA86" s="311">
        <f>HZ86*(VLOOKUP($HX$9,各项系数!$D$1:$F$143,2,0))</f>
        <v>2.1551637714291534</v>
      </c>
      <c r="IB86" s="317">
        <f>各项系数!$F$76/4*($MW86^2-$MT86^2)*10^-2*(VLOOKUP($IB$9,各项系数!$D$1:$F$143,3,0))*10^-3*10^2*各项系数!$J$4</f>
        <v>0.1972473537633268</v>
      </c>
      <c r="IC86" s="311">
        <v>1</v>
      </c>
      <c r="ID86" s="311">
        <f t="shared" si="462"/>
        <v>0.1972473537633268</v>
      </c>
      <c r="IE86" s="311">
        <f>ID86*(VLOOKUP($IB$9,各项系数!$D$1:$F$143,2,0))</f>
        <v>2.1697208913965946</v>
      </c>
      <c r="IF86" s="309"/>
      <c r="IG86" s="317">
        <f t="shared" si="415"/>
        <v>4.6007302069371696E-2</v>
      </c>
      <c r="IH86" s="310">
        <v>1</v>
      </c>
      <c r="II86" s="311">
        <f t="shared" si="463"/>
        <v>4.6007302069371696E-2</v>
      </c>
      <c r="IJ86" s="311">
        <f>II86*(VLOOKUP($IG$8,各项系数!$D$1:$F$143,2,0))</f>
        <v>1.1501825517342923</v>
      </c>
      <c r="IK86" s="317">
        <f>(各项系数!$F$76/4*($MX86^2-$MK86^2)*$EG86)*10^-2*(VLOOKUP($IG$8,各项系数!$D$1:$F$143,3,0))*10^-3*10^2*各项系数!$J$4</f>
        <v>4.6007302069371696E-2</v>
      </c>
      <c r="IL86" s="310">
        <f>IK86*(VLOOKUP($IG$8,各项系数!$D$1:$F$143,2,0))</f>
        <v>1.1501825517342923</v>
      </c>
      <c r="IM86" s="311">
        <f>(各项系数!$F$76/4*(($MM86+3*$X86)^2-MM86^2)*$EO86)*10^-2*(VLOOKUP($IG$8,各项系数!$D$1:$F$143,3,0))*10^-3*10^2*各项系数!$J$4</f>
        <v>0</v>
      </c>
      <c r="IN86" s="310">
        <f>IM86*(VLOOKUP($IG$8,各项系数!$D$1:$F$143,2,0))</f>
        <v>0</v>
      </c>
      <c r="IO86" s="317">
        <f>各项系数!$F$76/4*($MZ86^2-$MX86^2)*10^-2*(VLOOKUP(L86,各项系数!$D$1:$F$143,3,0))*10^-3*10^2*$ES86*各项系数!$J$4</f>
        <v>0.11978381961312969</v>
      </c>
      <c r="IP86" s="310">
        <v>1</v>
      </c>
      <c r="IQ86" s="311">
        <f t="shared" si="464"/>
        <v>0.11978381961312969</v>
      </c>
      <c r="IR86" s="290">
        <f>IQ86*(VLOOKUP(L86,各项系数!$D$1:$F$143,2,0))</f>
        <v>1.2217949600539226</v>
      </c>
      <c r="IS86" s="317">
        <f>IF($L86&lt;&gt;$IS$9,0,各项系数!$F$76/4*($MZ86^2-$MX86^2)*10^-2*各项系数!$F$12*10^-3*10^2)*$ES86*各项系数!$J$4</f>
        <v>0</v>
      </c>
      <c r="IT86" s="310">
        <v>1</v>
      </c>
      <c r="IU86" s="311">
        <f t="shared" si="465"/>
        <v>0</v>
      </c>
      <c r="IV86" s="290">
        <f>IU86*各项系数!$E$12</f>
        <v>0</v>
      </c>
      <c r="IW86" s="309">
        <f t="shared" si="466"/>
        <v>0.11978381961312969</v>
      </c>
      <c r="IX86" s="309">
        <f t="shared" si="467"/>
        <v>1.2217949600539226</v>
      </c>
      <c r="IY86" s="339">
        <f>各项系数!$F$76/4*($NB86^2-$MZ86^2*$EG86-$NA86^2*$EO86)*10^-2</f>
        <v>1.3430570817564726</v>
      </c>
      <c r="IZ86" s="284">
        <f t="shared" ref="IZ86:IZ149" si="487">VLOOKUP(EC86,$A$38:$B$65,2,0)</f>
        <v>1</v>
      </c>
      <c r="JA86" s="285">
        <f t="shared" si="363"/>
        <v>1.3430570817564726</v>
      </c>
      <c r="JB86" s="289">
        <f>IF($DE86&lt;&gt;$JB$9,0,$JA86*各项系数!$F$32*10^-3*10^2)*各项系数!$J$4</f>
        <v>0</v>
      </c>
      <c r="JC86" s="106">
        <v>1</v>
      </c>
      <c r="JD86" s="78">
        <f t="shared" si="468"/>
        <v>0</v>
      </c>
      <c r="JE86" s="264">
        <f>JD86*各项系数!$E$32</f>
        <v>0</v>
      </c>
      <c r="JF86" s="282">
        <f>IF($DE86&lt;&gt;$JF$9,0,$JA86*VLOOKUP($JF$9,各项系数!$D$4:$F$540,2,0)*10^-3*10^2)*各项系数!$J$4</f>
        <v>0.66817089817384512</v>
      </c>
      <c r="JG86" s="102">
        <v>1</v>
      </c>
      <c r="JH86" s="189">
        <f t="shared" si="364"/>
        <v>0.66817089817384512</v>
      </c>
      <c r="JI86" s="262">
        <f>JH86*VLOOKUP($JF$9,各项系数!$D$4:$F$540,3,0)</f>
        <v>0.8018050778086141</v>
      </c>
      <c r="JJ86" s="289">
        <f t="shared" si="469"/>
        <v>0.66817089817384512</v>
      </c>
      <c r="JK86" s="78">
        <f t="shared" si="470"/>
        <v>0.8018050778086141</v>
      </c>
      <c r="JL86" s="289">
        <f>IF($DF86&lt;&gt;$JL$9,0,各项系数!$F$76/4*($NE86^2-$NC86^2)*10^-2*各项系数!$F$39*10^-3*10^2)*各项系数!$J$4</f>
        <v>2.6390748540224794E-3</v>
      </c>
      <c r="JM86" s="106">
        <v>1</v>
      </c>
      <c r="JN86" s="78">
        <f t="shared" si="471"/>
        <v>2.6390748540224794E-3</v>
      </c>
      <c r="JO86" s="264">
        <f>JN86*各项系数!$E$39</f>
        <v>5.2781497080449588E-2</v>
      </c>
      <c r="JP86" s="289">
        <f>IF($DF86&lt;&gt;$JP$9,0,各项系数!$F$76/4*($NE86^2-$NC86^2)*10^-2*各项系数!$F$36*10^-3*10^2)*各项系数!$J$4</f>
        <v>0</v>
      </c>
      <c r="JQ86" s="106">
        <v>1</v>
      </c>
      <c r="JR86" s="78">
        <f t="shared" si="472"/>
        <v>0</v>
      </c>
      <c r="JS86" s="264">
        <f>JR86*各项系数!$E$36</f>
        <v>0</v>
      </c>
      <c r="JT86" s="289">
        <f>IF($DF86&lt;&gt;$JT$9,0,各项系数!$F$76/4*($NE86^2-$NC86^2)*10^-2*各项系数!$F$40*10^-3*10^2)*各项系数!$J$4</f>
        <v>0</v>
      </c>
      <c r="JU86" s="106">
        <v>1</v>
      </c>
      <c r="JV86" s="78">
        <f t="shared" si="473"/>
        <v>0</v>
      </c>
      <c r="JW86" s="264">
        <f>JV86*各项系数!$E$40</f>
        <v>0</v>
      </c>
      <c r="JX86" s="289">
        <f>IF($DF86&lt;&gt;$JX$9,0,各项系数!$F$76/4*($NE86^2-$NC86^2)*10^-2*各项系数!$F$38*10^-3*10^2)*各项系数!$J$4</f>
        <v>0</v>
      </c>
      <c r="JY86" s="106">
        <v>1</v>
      </c>
      <c r="JZ86" s="78">
        <f t="shared" si="474"/>
        <v>0</v>
      </c>
      <c r="KA86" s="264">
        <f>JZ86*各项系数!$E$38</f>
        <v>0</v>
      </c>
      <c r="KB86" s="289">
        <f>IF($DF86&lt;&gt;$KB$9,0,各项系数!$F$76/4*($NE86^2-$NC86^2)*10^-2*各项系数!$F$41*10^-3*10^2)*各项系数!$J$4</f>
        <v>0</v>
      </c>
      <c r="KC86" s="106">
        <v>1</v>
      </c>
      <c r="KD86" s="78">
        <f t="shared" si="475"/>
        <v>0</v>
      </c>
      <c r="KE86" s="264">
        <f>KD86*各项系数!$E$41</f>
        <v>0</v>
      </c>
      <c r="KF86" s="78">
        <f t="shared" si="476"/>
        <v>2.6390748540224794E-3</v>
      </c>
      <c r="KG86" s="78">
        <f t="shared" si="477"/>
        <v>5.2781497080449588E-2</v>
      </c>
      <c r="KH86" s="237">
        <f>各项系数!$F$76/4*($NG86^2-$NE86^2)*10^-2*各项系数!$F$44*10^-3*10^2*各项系数!$J$4*0.75*$U86</f>
        <v>0.26258956203529993</v>
      </c>
      <c r="KI86" s="106">
        <v>1</v>
      </c>
      <c r="KJ86" s="78">
        <f t="shared" si="478"/>
        <v>0.26258956203529993</v>
      </c>
      <c r="KK86" s="78">
        <f>ROUND(KJ86*各项系数!$E$43,GT86)</f>
        <v>2</v>
      </c>
      <c r="KL86" s="235">
        <f>各项系数!$F$76/4*($NF86^2-$NE86^2)*10^-2*各项系数!$F$46*10^-3*10^2*各项系数!$J$4*PI()/4*R86</f>
        <v>3.3037626548552829E-2</v>
      </c>
      <c r="KM86" s="106">
        <v>1</v>
      </c>
      <c r="KN86" s="78">
        <f t="shared" si="479"/>
        <v>3.3037626548552829E-2</v>
      </c>
      <c r="KO86" s="78">
        <f>KN86*各项系数!$E$46</f>
        <v>2.2300397920273158</v>
      </c>
      <c r="KP86" s="237">
        <f>各项系数!$F$76/4*($NH86^2-$NE86^2)*10^-2*(VLOOKUP($KP$9,各项系数!$D$1:$F$143,3,0))*10^-3*10^2*各项系数!$J$4</f>
        <v>0.20699736027677079</v>
      </c>
      <c r="KQ86" s="106">
        <v>1</v>
      </c>
      <c r="KR86" s="78">
        <f t="shared" si="416"/>
        <v>0.20699736027677079</v>
      </c>
      <c r="KS86" s="78">
        <f>KR86*(VLOOKUP($KP$9,各项系数!$D$1:$F$143,2,0))</f>
        <v>3.5189551247051036</v>
      </c>
      <c r="KT86" s="237">
        <f>各项系数!$F$76/4*($NI86^2-$NF86^2)*10^-2*(VLOOKUP($KT$9,各项系数!$D$1:$F$143,3,0))*10^-3*10^2*各项系数!$J$4</f>
        <v>0.2083027297234491</v>
      </c>
      <c r="KU86" s="106">
        <v>1</v>
      </c>
      <c r="KV86" s="78">
        <f t="shared" si="417"/>
        <v>0.2083027297234491</v>
      </c>
      <c r="KW86" s="78">
        <f>KV86*(VLOOKUP($KT$9,各项系数!$D$1:$F$143,2,0))</f>
        <v>3.5411464052986346</v>
      </c>
      <c r="KX86" s="78">
        <f>各项系数!$F$76/4*($NH86^2-$NE86^2)*10^-2*(VLOOKUP($KX$9,各项系数!$D$1:$F$143,3,0))*10^-3*10^2*各项系数!$J$4</f>
        <v>0.20699736027677079</v>
      </c>
      <c r="KY86" s="355">
        <v>1</v>
      </c>
      <c r="KZ86" s="78">
        <f t="shared" si="418"/>
        <v>0.20699736027677079</v>
      </c>
      <c r="LA86" s="78">
        <f>KZ86*(VLOOKUP($KX$9,各项系数!$D$1:$F$143,2,0))</f>
        <v>3.5189551247051036</v>
      </c>
      <c r="LB86" s="78">
        <f>各项系数!$F$76/4*($NI86^2-$NF86^2)*10^-2*(VLOOKUP($LB$9,各项系数!$D$1:$F$143,3,0))*10^-3*10^2*各项系数!$J$4</f>
        <v>0.2083027297234491</v>
      </c>
      <c r="LC86" s="355">
        <v>1</v>
      </c>
      <c r="LD86" s="78">
        <f t="shared" si="419"/>
        <v>0.2083027297234491</v>
      </c>
      <c r="LE86" s="78">
        <f>LD86*(VLOOKUP($LB$9,各项系数!$D$1:$F$143,2,0))</f>
        <v>3.5411464052986346</v>
      </c>
      <c r="LF86" s="237">
        <f>各项系数!$F$76/4*($NH86^2-$NE86^2)*10^-2*(VLOOKUP(AN86,各项系数!$D$1:$F$143,3,0))*10^-3*10^2*各项系数!$J$4</f>
        <v>0.2098524962805883</v>
      </c>
      <c r="LG86" s="106">
        <v>1</v>
      </c>
      <c r="LH86" s="78">
        <f t="shared" si="480"/>
        <v>0.2098524962805883</v>
      </c>
      <c r="LI86" s="78">
        <f>LH86*(VLOOKUP(AN86,各项系数!$D$1:$F$143,2,0))</f>
        <v>2.0985249628058829</v>
      </c>
      <c r="LJ86" s="237">
        <f>各项系数!$F$76/4*($NI86^2-$NF86^2)*10^-2*(VLOOKUP(AN86,各项系数!$D$1:$F$143,3,0))*10^-3*10^2*各项系数!$J$4</f>
        <v>0.2111758708230829</v>
      </c>
      <c r="LK86" s="106">
        <v>1</v>
      </c>
      <c r="LL86" s="78">
        <f t="shared" si="481"/>
        <v>0.2111758708230829</v>
      </c>
      <c r="LM86" s="78">
        <f>LL86*(VLOOKUP(AN86,各项系数!$D$1:$F$143,2,0))</f>
        <v>2.1117587082308291</v>
      </c>
      <c r="LN86" s="78">
        <f>各项系数!$F$76/4*($NH86^2-$NE86^2)*10^-2*(VLOOKUP($LN$9,各项系数!$D$1:$F$143,3,0))*10^-3*10^2*各项系数!$J$4</f>
        <v>0.2098524962805883</v>
      </c>
      <c r="LO86" s="355">
        <v>1</v>
      </c>
      <c r="LP86" s="78">
        <f t="shared" si="482"/>
        <v>0.2098524962805883</v>
      </c>
      <c r="LQ86" s="78">
        <f>LP86*(VLOOKUP($LN$9,各项系数!$D$1:$F$143,2,0))</f>
        <v>2.3083774590864712</v>
      </c>
      <c r="LR86" s="78">
        <f>各项系数!$F$76/4*($NI86^2-$NF86^2)*10^-2*(VLOOKUP($LR$9,各项系数!$D$1:$F$143,3,0))*10^-3*10^2*各项系数!$J$4</f>
        <v>0.2111758708230829</v>
      </c>
      <c r="LS86" s="355">
        <v>1</v>
      </c>
      <c r="LT86" s="78">
        <f t="shared" si="483"/>
        <v>0.2111758708230829</v>
      </c>
      <c r="LU86" s="78">
        <f>LT86*(VLOOKUP($LR$9,各项系数!$D$1:$F$143,2,0))</f>
        <v>2.322934579053912</v>
      </c>
      <c r="LV86" s="367">
        <f t="shared" si="420"/>
        <v>152.97665203</v>
      </c>
      <c r="LW86" s="367">
        <f t="shared" si="421"/>
        <v>118.98184046999999</v>
      </c>
      <c r="LX86" s="367">
        <f t="shared" si="422"/>
        <v>12.30822425826628</v>
      </c>
      <c r="LY86" s="367">
        <f t="shared" si="423"/>
        <v>33.994811560000002</v>
      </c>
      <c r="LZ86" s="374">
        <f t="shared" si="365"/>
        <v>1</v>
      </c>
      <c r="MA86" s="375">
        <f t="shared" si="366"/>
        <v>152.97665203</v>
      </c>
      <c r="MB86" s="367">
        <f t="shared" si="424"/>
        <v>6.2414088599999999</v>
      </c>
      <c r="MC86" s="367">
        <f t="shared" si="425"/>
        <v>0</v>
      </c>
      <c r="MD86" s="367">
        <f t="shared" si="426"/>
        <v>0</v>
      </c>
      <c r="ME86" s="367">
        <f t="shared" si="427"/>
        <v>0</v>
      </c>
      <c r="MF86" s="367">
        <f t="shared" si="428"/>
        <v>0</v>
      </c>
      <c r="MG86" s="379">
        <f t="shared" si="429"/>
        <v>1</v>
      </c>
      <c r="MH86" s="375">
        <f t="shared" si="367"/>
        <v>0</v>
      </c>
      <c r="MI86" s="367">
        <f t="shared" si="430"/>
        <v>0</v>
      </c>
      <c r="MJ86" s="78">
        <f t="shared" si="368"/>
        <v>6.2414088599999999</v>
      </c>
      <c r="MK86" s="78">
        <f t="shared" si="431"/>
        <v>6.2414088599999999</v>
      </c>
      <c r="ML86" s="78">
        <f t="shared" si="484"/>
        <v>0</v>
      </c>
      <c r="MM86" s="78">
        <f t="shared" si="369"/>
        <v>0</v>
      </c>
      <c r="MN86" s="78">
        <f t="shared" si="370"/>
        <v>8.0414088600000007</v>
      </c>
      <c r="MO86" s="189">
        <f t="shared" si="432"/>
        <v>0</v>
      </c>
      <c r="MP86" s="78">
        <f t="shared" si="433"/>
        <v>21.711803920000001</v>
      </c>
      <c r="MQ86" s="78">
        <f t="shared" si="485"/>
        <v>21.711803920000001</v>
      </c>
      <c r="MR86" s="246">
        <f t="shared" si="434"/>
        <v>21.711803920000001</v>
      </c>
      <c r="MS86" s="380">
        <f t="shared" si="371"/>
        <v>21.88780392</v>
      </c>
      <c r="MT86" s="382">
        <f t="shared" si="372"/>
        <v>22.04780392</v>
      </c>
      <c r="MU86" s="382">
        <f t="shared" si="373"/>
        <v>22.487803920000001</v>
      </c>
      <c r="MV86" s="382">
        <f t="shared" si="374"/>
        <v>25.487803920000001</v>
      </c>
      <c r="MW86" s="382">
        <f t="shared" si="375"/>
        <v>25.647803920000001</v>
      </c>
      <c r="MX86" s="246">
        <f t="shared" si="376"/>
        <v>6.8414088599999996</v>
      </c>
      <c r="MY86" s="246">
        <f t="shared" si="377"/>
        <v>0</v>
      </c>
      <c r="MZ86" s="78">
        <f t="shared" si="378"/>
        <v>8.6414088600000003</v>
      </c>
      <c r="NA86" s="78">
        <f t="shared" si="379"/>
        <v>0</v>
      </c>
      <c r="NB86" s="78">
        <f t="shared" si="435"/>
        <v>23.331803919999999</v>
      </c>
      <c r="NC86" s="246">
        <f t="shared" si="486"/>
        <v>23.331803919999999</v>
      </c>
      <c r="ND86" s="246">
        <f t="shared" si="436"/>
        <v>23.331803919999999</v>
      </c>
      <c r="NE86" s="386">
        <f t="shared" si="437"/>
        <v>23.571803919999997</v>
      </c>
      <c r="NF86" s="382">
        <f t="shared" si="380"/>
        <v>23.731803919999997</v>
      </c>
      <c r="NG86" s="150">
        <f t="shared" si="381"/>
        <v>24.171803919999999</v>
      </c>
      <c r="NH86" s="246">
        <f t="shared" si="382"/>
        <v>27.171803919999999</v>
      </c>
      <c r="NI86" s="382">
        <f t="shared" si="383"/>
        <v>27.331803919999999</v>
      </c>
      <c r="NK86" s="390">
        <f t="shared" si="384"/>
        <v>1.5152628487426343</v>
      </c>
      <c r="NL86" s="390">
        <f t="shared" si="385"/>
        <v>73.273933667970084</v>
      </c>
      <c r="NM86" s="390">
        <f t="shared" si="386"/>
        <v>1.5152628487426343</v>
      </c>
      <c r="NN86" s="390">
        <f t="shared" si="387"/>
        <v>73.469857647190921</v>
      </c>
      <c r="NO86" s="390">
        <f t="shared" si="388"/>
        <v>2.1104904643298448</v>
      </c>
      <c r="NP86" s="390">
        <f t="shared" si="389"/>
        <v>75.019504253180287</v>
      </c>
      <c r="NQ86" s="390">
        <f t="shared" si="390"/>
        <v>2.1104904643298448</v>
      </c>
      <c r="NR86" s="390">
        <f t="shared" si="391"/>
        <v>75.229356749460862</v>
      </c>
      <c r="NS86" s="390">
        <f t="shared" si="392"/>
        <v>1.5459482080689513</v>
      </c>
      <c r="NT86" s="390">
        <f t="shared" si="393"/>
        <v>1.5459482080689513</v>
      </c>
      <c r="NU86" s="390">
        <f t="shared" si="394"/>
        <v>2.1435280908783976</v>
      </c>
      <c r="NV86" s="390">
        <f t="shared" si="395"/>
        <v>2.1435280908783976</v>
      </c>
      <c r="NW86" s="9">
        <f t="shared" si="396"/>
        <v>1.677973236651962</v>
      </c>
      <c r="NX86" s="9">
        <f>各项系数!$M$9*NK86</f>
        <v>0.45457885462279024</v>
      </c>
      <c r="NY86" s="9">
        <f t="shared" si="397"/>
        <v>1.5459482080689515</v>
      </c>
    </row>
    <row r="87" spans="1:389" s="9" customFormat="1" ht="15" hidden="1" customHeight="1">
      <c r="A87" s="65"/>
      <c r="B87" s="66"/>
      <c r="C87" s="67"/>
      <c r="D87" s="58" t="s">
        <v>165</v>
      </c>
      <c r="E87" s="54">
        <f t="shared" si="325"/>
        <v>28.685426249999999</v>
      </c>
      <c r="F87" s="68">
        <f>$F$23</f>
        <v>245.05464536042999</v>
      </c>
      <c r="G87" s="58"/>
      <c r="H87" s="16"/>
      <c r="I87" s="62"/>
      <c r="J87" s="16"/>
      <c r="K87" s="16"/>
      <c r="L87" s="107" t="s">
        <v>467</v>
      </c>
      <c r="M87" s="98">
        <f t="shared" si="339"/>
        <v>0.9</v>
      </c>
      <c r="N87" s="98">
        <f t="shared" si="340"/>
        <v>0</v>
      </c>
      <c r="O87" s="58">
        <f t="shared" si="438"/>
        <v>0.08</v>
      </c>
      <c r="P87" s="99">
        <v>0.1</v>
      </c>
      <c r="Q87" s="136">
        <f t="shared" si="440"/>
        <v>0.1</v>
      </c>
      <c r="R87" s="151">
        <v>0.8</v>
      </c>
      <c r="S87" s="144" t="str">
        <f>各项系数!$D$43</f>
        <v>钢带</v>
      </c>
      <c r="T87" s="62">
        <v>0.2</v>
      </c>
      <c r="U87" s="62">
        <v>2</v>
      </c>
      <c r="V87" s="143"/>
      <c r="W87" s="145">
        <v>1.9</v>
      </c>
      <c r="X87" s="139">
        <f t="shared" si="441"/>
        <v>0.2</v>
      </c>
      <c r="Y87" s="139"/>
      <c r="Z87" s="169"/>
      <c r="AA87" s="170">
        <f>$AA$23</f>
        <v>1.0109999999999999</v>
      </c>
      <c r="AB87" s="153">
        <f>PI()*EJ87*EJ87/4*EH87*(1-H87)*AA87*各项系数!$F$5*各项系数!$J$4*10^-7</f>
        <v>0.29524992630433911</v>
      </c>
      <c r="AC87" s="170">
        <f t="shared" si="327"/>
        <v>245.05464536042999</v>
      </c>
      <c r="AD87" s="153">
        <f t="shared" si="341"/>
        <v>33.378357061385572</v>
      </c>
      <c r="AE87" s="153">
        <f>POWER(4*EU87/PI()/EG87/10^-7/EH87/(1-H87)/各项系数!$F$5/各项系数!$J$4,0.5)</f>
        <v>246.39875970480472</v>
      </c>
      <c r="AF87" s="16">
        <v>1</v>
      </c>
      <c r="AG87" s="16">
        <f>IF(EM87=0,0,PI()*ER87*ER87/4*EP87*(1-K87)*(1+AF87)*各项系数!$F$5*各项系数!$J$4*10^-7)</f>
        <v>0</v>
      </c>
      <c r="AH87" s="16">
        <f t="shared" si="328"/>
        <v>0</v>
      </c>
      <c r="AI87" s="69">
        <f t="shared" si="398"/>
        <v>0</v>
      </c>
      <c r="AJ87" s="69">
        <f>IF(OR(EP87="",EP87=0),0,POWER(4*EW87/PI()/EO87/10^-7/EP87/(1-K87)/各项系数!$F$5/各项系数!$J$4,0.5))</f>
        <v>0</v>
      </c>
      <c r="AK87" s="16" t="str">
        <f t="shared" si="342"/>
        <v>√</v>
      </c>
      <c r="AL87" s="16">
        <f t="shared" si="329"/>
        <v>104.16646912177816</v>
      </c>
      <c r="AM87" s="106">
        <f t="shared" si="330"/>
        <v>35</v>
      </c>
      <c r="AN87" s="107" t="s">
        <v>486</v>
      </c>
      <c r="AO87" s="146">
        <f>AP87+各项系数!$M$9*$NK87</f>
        <v>102.12398933507663</v>
      </c>
      <c r="AP87" s="146">
        <f>AQ87*(1+$BI87+(VLOOKUP($AM87,$A$12:$B$323,2,0))+各项系数!$J$6+各项系数!$M$5)*(1+$E$2)</f>
        <v>101.51667200039776</v>
      </c>
      <c r="AQ87" s="199">
        <f>AR87+各项系数!$L$9*$NK87</f>
        <v>103.58844081673242</v>
      </c>
      <c r="AR87" s="199">
        <f>AS87*(1+$BJ87+各项系数!$J$5+各项系数!$L$5)</f>
        <v>102.98112348205355</v>
      </c>
      <c r="AS87" s="199">
        <f t="shared" si="399"/>
        <v>100.96188576671916</v>
      </c>
      <c r="AT87" s="146">
        <f>AU87+各项系数!$M$9*$NM87</f>
        <v>103.7062369310964</v>
      </c>
      <c r="AU87" s="146">
        <f>AV87*(1+$BI87+(VLOOKUP($AM87,$A$12:$B$323,2,0))+各项系数!$J$6+各项系数!$M$5)*(1+$E$2)</f>
        <v>103.09891959641753</v>
      </c>
      <c r="AV87" s="199">
        <f>AW87+各项系数!$L$9*$NM87</f>
        <v>105.20297918001789</v>
      </c>
      <c r="AW87" s="199">
        <f>AX87*(1+$BJ87+各项系数!$J$5+各项系数!$L$5)</f>
        <v>104.59566184533902</v>
      </c>
      <c r="AX87" s="199">
        <f t="shared" si="400"/>
        <v>102.54476651503826</v>
      </c>
      <c r="AY87" s="146">
        <f>AZ87+各项系数!$M$9*$NS87</f>
        <v>104.51162173958943</v>
      </c>
      <c r="AZ87" s="146">
        <f>BA87*(1+$BI87+(VLOOKUP($AM87,$A$12:$B$214,2,0))+各项系数!$J$6+各项系数!$M$5)*(1+$E$2)</f>
        <v>103.89384264353461</v>
      </c>
      <c r="BA87" s="199">
        <f>BB87+各项系数!$L$9*$NS87</f>
        <v>106.0141251464639</v>
      </c>
      <c r="BB87" s="199">
        <f>BC87*(1+$BJ87+各项系数!$J$5+各项系数!$L$5)</f>
        <v>105.39634605040908</v>
      </c>
      <c r="BC87" s="199">
        <f t="shared" si="401"/>
        <v>103.32975102981283</v>
      </c>
      <c r="BD87" s="146">
        <f>BE87+各项系数!$M$9*$NS87</f>
        <v>106.10332072955012</v>
      </c>
      <c r="BE87" s="146">
        <f>BF87*(1+$BI87+(VLOOKUP($AM87,$A$12:$B$214,2,0))+各项系数!$J$6+各项系数!$M$5)*(1+$E$2)</f>
        <v>105.4855416334953</v>
      </c>
      <c r="BF87" s="199">
        <f>BG87+各项系数!$L$9*$NS87</f>
        <v>107.63830778928092</v>
      </c>
      <c r="BG87" s="199">
        <f>BH87*(1+$BJ87+各项系数!$J$5+各项系数!$L$5)</f>
        <v>107.0205286932261</v>
      </c>
      <c r="BH87" s="199">
        <f t="shared" si="402"/>
        <v>104.92208695414323</v>
      </c>
      <c r="BI87" s="214"/>
      <c r="BJ87" s="215"/>
      <c r="BK87" s="78" t="s">
        <v>514</v>
      </c>
      <c r="BL87" s="146">
        <f>BM87+各项系数!$M$9*$NM87</f>
        <v>103.34946676495825</v>
      </c>
      <c r="BM87" s="146">
        <f>BN87*(1+$CF87+(VLOOKUP($AM87,$A$12:$B$323,2,0))+各项系数!$J$6+各项系数!$M$5)*(1+$E$2)</f>
        <v>102.74214943027938</v>
      </c>
      <c r="BN87" s="199">
        <f>BO87+各项系数!$L$9*$NM87</f>
        <v>104.838927990081</v>
      </c>
      <c r="BO87" s="199">
        <f>BP87*(1+$CG87+各项系数!$J$5+各项系数!$L$5)</f>
        <v>104.23161065540214</v>
      </c>
      <c r="BP87" s="199">
        <f t="shared" si="403"/>
        <v>101.19573850039042</v>
      </c>
      <c r="BQ87" s="146">
        <f>BR87+各项系数!$M$9*$NM87</f>
        <v>104.71117564294379</v>
      </c>
      <c r="BR87" s="146">
        <f>BS87*(1+$CF87+(VLOOKUP($AM87,$A$12:$B$323,2,0))+各项系数!$J$6+各项系数!$M$5)*(1+$E$2)</f>
        <v>104.10385830826492</v>
      </c>
      <c r="BS87" s="199">
        <f>BT87+各项系数!$L$9*$NM87</f>
        <v>106.22842684516829</v>
      </c>
      <c r="BT87" s="199">
        <f>BU87*(1+$CG87+各项系数!$J$5+各项系数!$L$5)</f>
        <v>105.62110951048942</v>
      </c>
      <c r="BU87" s="199">
        <f t="shared" si="404"/>
        <v>102.54476651503826</v>
      </c>
      <c r="BV87" s="146">
        <f>BW87+各项系数!$M$9*$NT87</f>
        <v>105.16438889617424</v>
      </c>
      <c r="BW87" s="146">
        <f>BX87*(1+$CF87+(VLOOKUP($AM87,$A$12:$B$214,2,0))+各项系数!$J$6+各项系数!$M$5)*(1+$E$2)</f>
        <v>104.54660980011943</v>
      </c>
      <c r="BX87" s="199">
        <f>BY87+各项系数!$L$9*$NT$12</f>
        <v>106.68021408175451</v>
      </c>
      <c r="BY87" s="199">
        <f>BZ87*(1+$CG87+各项系数!$J$5+各项系数!$L$5)</f>
        <v>106.67195067859954</v>
      </c>
      <c r="BZ87" s="199">
        <f t="shared" si="343"/>
        <v>103.56500065883451</v>
      </c>
      <c r="CA87" s="146">
        <f>CB87+各项系数!$M$9*$NT87</f>
        <v>106.53423180265887</v>
      </c>
      <c r="CB87" s="146">
        <f>CC87*(1+$CF87+(VLOOKUP($AM87,$A$12:$B$214,2,0))+各项系数!$J$6+各项系数!$M$5)*(1+$E$2)</f>
        <v>105.91645270660405</v>
      </c>
      <c r="CC87" s="199">
        <f>CD87+各项系数!$L$9*$NT$12</f>
        <v>108.0780129659225</v>
      </c>
      <c r="CD87" s="199">
        <f>CE87*(1+$CG87+各项系数!$J$5+各项系数!$L$5)</f>
        <v>108.06974956276753</v>
      </c>
      <c r="CE87" s="199">
        <f t="shared" si="405"/>
        <v>104.92208695414323</v>
      </c>
      <c r="CF87" s="214">
        <f t="shared" si="406"/>
        <v>0</v>
      </c>
      <c r="CG87" s="214">
        <f t="shared" si="344"/>
        <v>0.01</v>
      </c>
      <c r="CH87" s="106"/>
      <c r="CI87" s="146">
        <f>CJ87+各项系数!$M$9*$NO87</f>
        <v>105.21408128655249</v>
      </c>
      <c r="CJ87" s="146">
        <f>CK87*(1+$DC87+(VLOOKUP($AM87,$A$12:$B$323,2,0))+各项系数!$J$6+各项系数!$M$5)*(1+$E$2)+各项系数!$M$9*$NK87</f>
        <v>104.38324627358089</v>
      </c>
      <c r="CK87" s="199">
        <f>CL87+各项系数!$L$9*$NO87</f>
        <v>105.89380503969595</v>
      </c>
      <c r="CL87" s="199">
        <f>CM87*(1+$DD87+各项系数!$J$5+各项系数!$L$5)</f>
        <v>105.06297002672436</v>
      </c>
      <c r="CM87" s="199">
        <f t="shared" si="345"/>
        <v>103.00291179090623</v>
      </c>
      <c r="CN87" s="146">
        <f>CO87+各项系数!$M$9*$NO87</f>
        <v>106.64936445623574</v>
      </c>
      <c r="CO87" s="146">
        <f>CP87*(1+$DC87+(VLOOKUP($AM87,$A$12:$B$323,2,0))+各项系数!$J$6+各项系数!$M$5)*(1+$E$2)+各项系数!$M$9*$NK87</f>
        <v>105.81852944326415</v>
      </c>
      <c r="CP87" s="199">
        <f>CQ87+各项系数!$L$9*$NO87</f>
        <v>107.35837970263805</v>
      </c>
      <c r="CQ87" s="199">
        <f>CR87*(1+$DD87+各项系数!$J$5+各项系数!$L$5)</f>
        <v>106.52754468966646</v>
      </c>
      <c r="CR87" s="199">
        <f t="shared" si="346"/>
        <v>104.43876930359457</v>
      </c>
      <c r="CS87" s="146">
        <f>CT87+各项系数!$M$9*$NU87</f>
        <v>107.15450812940232</v>
      </c>
      <c r="CT87" s="146">
        <f t="shared" si="347"/>
        <v>106.3125056748881</v>
      </c>
      <c r="CU87" s="199">
        <f>CV87+各项系数!$L$9*$NU87</f>
        <v>108.48214864784501</v>
      </c>
      <c r="CV87" s="199">
        <f>CW87*(1+$DD87+各项系数!$J$5+各项系数!$L$5)</f>
        <v>107.64014619333079</v>
      </c>
      <c r="CW87" s="199">
        <f t="shared" si="348"/>
        <v>105.52955509150078</v>
      </c>
      <c r="CX87" s="146">
        <f>CY87+各项系数!$M$9*$NU87</f>
        <v>108.84568304059077</v>
      </c>
      <c r="CY87" s="146">
        <f t="shared" si="349"/>
        <v>108.00368058607656</v>
      </c>
      <c r="CZ87" s="199">
        <f>DA87+各项系数!$L$9*$NU87</f>
        <v>110.20783733273117</v>
      </c>
      <c r="DA87" s="199">
        <f>DB87*(1+$DD87+各项系数!$J$5+各项系数!$L$5)</f>
        <v>109.36583487821696</v>
      </c>
      <c r="DB87" s="199">
        <f t="shared" si="350"/>
        <v>107.22140674334996</v>
      </c>
      <c r="DC87" s="214">
        <f t="shared" si="407"/>
        <v>0</v>
      </c>
      <c r="DD87" s="214">
        <f t="shared" si="351"/>
        <v>0</v>
      </c>
      <c r="DE87" s="78" t="s">
        <v>498</v>
      </c>
      <c r="DF87" s="78" t="s">
        <v>513</v>
      </c>
      <c r="DG87" s="146">
        <f>DH87+各项系数!$M$9*$NQ87</f>
        <v>106.47440129687571</v>
      </c>
      <c r="DH87" s="146">
        <f>DI87*(1+$EA87+(VLOOKUP($AM87,$A$12:$B$323,2,0))+各项系数!$J$6+各项系数!$M$5)*(1+$E$2)+各项系数!$M$9*$NK87</f>
        <v>105.64356628390412</v>
      </c>
      <c r="DI87" s="199">
        <f>DJ87+各项系数!$L$9*$NQ87</f>
        <v>107.17984586655638</v>
      </c>
      <c r="DJ87" s="199">
        <f>DK87*(1+$EB87+各项系数!$J$5+各项系数!$L$5)</f>
        <v>106.34901085358479</v>
      </c>
      <c r="DK87" s="199">
        <f t="shared" si="352"/>
        <v>103.25146684814057</v>
      </c>
      <c r="DL87" s="146">
        <f>DM87+各项系数!$M$9*$NQ87</f>
        <v>107.92172082481413</v>
      </c>
      <c r="DM87" s="146">
        <f>DN87*(1+$EA87+(VLOOKUP($AM87,$A$12:$B$323,2,0))+各项系数!$J$6+各项系数!$M$5)*(1+$E$2)+各项系数!$M$9*$NK87</f>
        <v>107.09088581184254</v>
      </c>
      <c r="DN87" s="199">
        <f>DO87+各项系数!$L$9*$NQ87</f>
        <v>108.65670252771804</v>
      </c>
      <c r="DO87" s="199">
        <f>DP87*(1+$EB87+各项系数!$J$5+各项系数!$L$5)</f>
        <v>107.82586751474645</v>
      </c>
      <c r="DP87" s="199">
        <f t="shared" si="353"/>
        <v>104.68530826674412</v>
      </c>
      <c r="DQ87" s="146">
        <f>DR87+各项系数!$M$9*$NV87</f>
        <v>108.44099927023808</v>
      </c>
      <c r="DR87" s="146">
        <f t="shared" si="354"/>
        <v>107.59899681572386</v>
      </c>
      <c r="DS87" s="199">
        <f>DT87+各项系数!$L$9*$NV87</f>
        <v>109.79489470992232</v>
      </c>
      <c r="DT87" s="199">
        <f>DU87*(1+$EB87+各项系数!$J$5+各项系数!$L$5)</f>
        <v>108.9528922554081</v>
      </c>
      <c r="DU87" s="199">
        <f t="shared" si="355"/>
        <v>105.77950704408553</v>
      </c>
      <c r="DV87" s="146">
        <f>DW87+各项系数!$M$9*$NV87</f>
        <v>108.48630275013025</v>
      </c>
      <c r="DW87" s="146">
        <f t="shared" si="356"/>
        <v>107.64430029561603</v>
      </c>
      <c r="DX87" s="199">
        <f>DY87+各项系数!$L$9*$NV87</f>
        <v>109.84112275062861</v>
      </c>
      <c r="DY87" s="199">
        <f>DZ87*(1+$EB87+各项系数!$J$5+各项系数!$L$5)</f>
        <v>108.9991202961144</v>
      </c>
      <c r="DZ87" s="199">
        <f t="shared" si="357"/>
        <v>105.82438863700426</v>
      </c>
      <c r="EA87" s="214">
        <f t="shared" si="439"/>
        <v>0</v>
      </c>
      <c r="EB87" s="214">
        <f t="shared" si="358"/>
        <v>0.01</v>
      </c>
      <c r="EC87" s="235">
        <f t="shared" si="408"/>
        <v>5</v>
      </c>
      <c r="ED87" s="237" t="str">
        <f t="shared" si="442"/>
        <v>5*35</v>
      </c>
      <c r="EE87" s="78">
        <f t="shared" si="239"/>
        <v>35</v>
      </c>
      <c r="EF87" s="78" t="str">
        <f>LOOKUP(EH87,{1,7,10,14,19,24,30,37,48,61},{1,"1+6","2+8","4+10","1+6+12","2+8+14","4+10+16","1+6+12+18","3+9+15+21","1+6+12+18+24"})</f>
        <v>1+6</v>
      </c>
      <c r="EG87" s="106">
        <f t="shared" si="359"/>
        <v>5</v>
      </c>
      <c r="EH87" s="199">
        <f>VLOOKUP(EE87,各项系数!$B$87:$C$124,2,0)</f>
        <v>7</v>
      </c>
      <c r="EI87" s="106">
        <f>IF(EH87=0,0,VLOOKUP(EH87,各项系数!$D$142:$E$195,2,0))*1</f>
        <v>3</v>
      </c>
      <c r="EJ87" s="240">
        <f t="shared" si="409"/>
        <v>245.05464536042999</v>
      </c>
      <c r="EK87" s="78">
        <f t="shared" si="332"/>
        <v>0</v>
      </c>
      <c r="EL87" s="78">
        <f t="shared" si="360"/>
        <v>0</v>
      </c>
      <c r="EM87" s="78">
        <f t="shared" si="443"/>
        <v>0</v>
      </c>
      <c r="EN87" s="78">
        <f>IF(EP87=0,0,LOOKUP(EP87,{1,7,10,14,19,24,30,37,48,61},{1,"1+6","2+8","4+10","1+6+12","2+8+14","4+10+16","1+6+12+18","3+9+15+21","1+6+12+18+24"}))</f>
        <v>0</v>
      </c>
      <c r="EO87" s="78">
        <f t="shared" si="334"/>
        <v>0</v>
      </c>
      <c r="EP87" s="78">
        <f>IF(EM87=0,0,IF(EM87&lt;10,1,IF(AND(EM87&gt;=10,EM87&lt;=35),7,LOOKUP(EM87,{50,70,95,120,150,185,240,300},{10,14,19,24,30,37,48,61})*1)))</f>
        <v>0</v>
      </c>
      <c r="EQ87" s="78">
        <f>IF(EP87=0,0,VLOOKUP(EP87,各项系数!$D$142:$E$195,2,0))*1</f>
        <v>0</v>
      </c>
      <c r="ER87" s="78">
        <f t="shared" si="335"/>
        <v>0</v>
      </c>
      <c r="ES87" s="237">
        <f t="shared" si="444"/>
        <v>5</v>
      </c>
      <c r="ET87" s="78">
        <f>VLOOKUP(ES87,各项系数!$D$142:$E$195,2,0)*1</f>
        <v>2.7</v>
      </c>
      <c r="EU87" s="243">
        <f>((各项系数!$F$76/4*$EJ87^2*$EG87*$EH87*1*10^-7)*(1-$H87)*AA87)*(VLOOKUP($EY$9,各项系数!$D$4:$F$143,3,0))*各项系数!$J$4</f>
        <v>1.4762496315216957</v>
      </c>
      <c r="EV87" s="244">
        <f>EU87*(VLOOKUP($EY$9,各项系数!$D$4:$F$143,2,0))</f>
        <v>96.694350864671065</v>
      </c>
      <c r="EW87" s="252">
        <f>(IF($EO87=0,0,(各项系数!$F$76/4*$ER87^2*$EO87*$EP87*1*10^-7))*(1-$K87)*$AF87)*(VLOOKUP($EY$9,各项系数!$D$4:$F$143,3,0))*各项系数!$J$4</f>
        <v>0</v>
      </c>
      <c r="EX87" s="253">
        <f>EW87*(VLOOKUP($EY$9,各项系数!$D$4:$F$143,2,0))</f>
        <v>0</v>
      </c>
      <c r="EY87" s="189">
        <f>((各项系数!$F$76/4*$EJ87^2*$EG87*$EH87*1*10^-7)*(1-$H87)*AA87+IF($EO87=0,0,(各项系数!$F$76/4*$ER87^2*$EO87*$EP87*1*10^-7))*(1-$K87)*$AF87)*(VLOOKUP($EY$9,各项系数!$D$4:$F$143,3,0))*各项系数!$J$4</f>
        <v>1.4762496315216957</v>
      </c>
      <c r="EZ87" s="106">
        <v>1</v>
      </c>
      <c r="FA87" s="78">
        <f t="shared" si="445"/>
        <v>1.4762496315216957</v>
      </c>
      <c r="FB87" s="246">
        <f>FA87*(VLOOKUP($EY$9,各项系数!$D$4:$F$143,2,0))</f>
        <v>96.694350864671065</v>
      </c>
      <c r="FC87" s="257"/>
      <c r="FD87" s="237">
        <f>各项系数!$F$76/4*($MN87^2-MK87^2)*10^-2*(VLOOKUP(L87,各项系数!$D$1:$F$143,3,0))*10^-3*10^2*$EG87*各项系数!$J$4</f>
        <v>0.12767868191540033</v>
      </c>
      <c r="FE87" s="264">
        <f>FD87*VLOOKUP(L87,各项系数!$D$1:$F$143,2,0)</f>
        <v>1.3023225555370832</v>
      </c>
      <c r="FF87" s="106">
        <f>各项系数!$F$76/4*($MO87^2-ML87^2)*10^-2*(VLOOKUP(L87,各项系数!$D$1:$F$143,3,0))*10^-3*10^2*$EO87*各项系数!$J$4</f>
        <v>0</v>
      </c>
      <c r="FG87" s="264">
        <f>FF87*VLOOKUP(L87,各项系数!$D$1:$F$143,2,0)</f>
        <v>0</v>
      </c>
      <c r="FH87" s="237">
        <f t="shared" si="410"/>
        <v>0.12767868191540033</v>
      </c>
      <c r="FI87" s="106">
        <v>1</v>
      </c>
      <c r="FJ87" s="78">
        <f t="shared" si="446"/>
        <v>0.12767868191540033</v>
      </c>
      <c r="FK87" s="264">
        <f>FJ87*VLOOKUP(L87,各项系数!$D$1:$F$143,2,0)</f>
        <v>1.3023225555370832</v>
      </c>
      <c r="FL87" s="237"/>
      <c r="FM87" s="106"/>
      <c r="FN87" s="78"/>
      <c r="FO87" s="264"/>
      <c r="FP87" s="289">
        <f t="shared" si="447"/>
        <v>0.12767868191540033</v>
      </c>
      <c r="FQ87" s="289">
        <f t="shared" si="448"/>
        <v>1.3023225555370832</v>
      </c>
      <c r="FR87" s="283">
        <f>各项系数!$F$76/4*($MQ87^2-$MN87^2*$EG87-$MO87^2*$EO87)*10^-2</f>
        <v>1.5063405188356798</v>
      </c>
      <c r="FS87" s="284">
        <f t="shared" si="411"/>
        <v>1</v>
      </c>
      <c r="FT87" s="285">
        <f t="shared" si="361"/>
        <v>1.5063405188356798</v>
      </c>
      <c r="FU87" s="309">
        <f>$FT87*(VLOOKUP($FT$9,各项系数!$D$1:$F$143,3,0))*10^-3*10^2*各项系数!$J$55</f>
        <v>0.17985705794898016</v>
      </c>
      <c r="FV87" s="310">
        <v>1</v>
      </c>
      <c r="FW87" s="311">
        <f t="shared" si="449"/>
        <v>0.17985705794898016</v>
      </c>
      <c r="FX87" s="290">
        <f>FW87*(VLOOKUP($FT$9,各项系数!$D$1:$F$143,2,0))</f>
        <v>0.53957117384694042</v>
      </c>
      <c r="FY87" s="309">
        <f>IF($BK87&lt;&gt;$FY$9,0,各项系数!$F$76/4*($MS87^2-$MQ87^2)*10^-2*(VLOOKUP($FY$9,各项系数!$D$1:$F$143,3,0))*10^-3*10^2)*各项系数!$J$4</f>
        <v>0</v>
      </c>
      <c r="FZ87" s="310">
        <v>1</v>
      </c>
      <c r="GA87" s="311">
        <f t="shared" si="450"/>
        <v>0</v>
      </c>
      <c r="GB87" s="290">
        <f>GA87*(VLOOKUP($FY$9,各项系数!$D$1:$F$143,2,0))</f>
        <v>0</v>
      </c>
      <c r="GC87" s="309">
        <f>IF($BK87&lt;&gt;$GC$9,0,各项系数!$F$76/4*($MS87^2-$MQ87^2)*10^-2*(VLOOKUP($GC$9,各项系数!$D$1:$F$143,3,0))*10^-3*10^2)*各项系数!$J$4</f>
        <v>6.7530105388694832E-3</v>
      </c>
      <c r="GD87" s="310">
        <v>1</v>
      </c>
      <c r="GE87" s="311">
        <f t="shared" si="451"/>
        <v>6.7530105388694832E-3</v>
      </c>
      <c r="GF87" s="290">
        <f>GE87*(VLOOKUP($GC$9,各项系数!$D$1:$F$143,2,0))</f>
        <v>8.7113835951416335E-2</v>
      </c>
      <c r="GG87" s="309">
        <f>IF($BK87&lt;&gt;$GG$9,0,各项系数!$F$76/4*($MS87^2-$MQ87^2)*10^-2*(VLOOKUP($GG$9,各项系数!$D$1:$F$143,3,0))*10^-3*10^2)*各项系数!$J$4</f>
        <v>0</v>
      </c>
      <c r="GH87" s="310">
        <v>1</v>
      </c>
      <c r="GI87" s="311">
        <f t="shared" si="452"/>
        <v>0</v>
      </c>
      <c r="GJ87" s="290">
        <f>GI87*(VLOOKUP($GG$9,各项系数!$D$1:$F$143,2,0))</f>
        <v>0</v>
      </c>
      <c r="GK87" s="309">
        <f>IF($BK87&lt;&gt;$GK$9,0,各项系数!$F$76/4*($MS87^2-$MQ87^2)*10^-2*(VLOOKUP($GK$9,各项系数!$D$1:$F$143,3,0))*10^-3*10^2)*各项系数!$J$4</f>
        <v>0</v>
      </c>
      <c r="GL87" s="310">
        <v>1</v>
      </c>
      <c r="GM87" s="311">
        <f t="shared" si="453"/>
        <v>0</v>
      </c>
      <c r="GN87" s="290">
        <f>GM87*(VLOOKUP($GK$9,各项系数!$D$1:$F$143,2,0))</f>
        <v>0</v>
      </c>
      <c r="GO87" s="311">
        <f t="shared" si="454"/>
        <v>6.7530105388694832E-3</v>
      </c>
      <c r="GP87" s="311">
        <f t="shared" si="455"/>
        <v>8.7113835951416335E-2</v>
      </c>
      <c r="GQ87" s="317">
        <f>各项系数!$F$76/4*($MU87^2-$MS87^2)*10^-2*(VLOOKUP($S87,各项系数!$D$1:$F$143,3,0))*10^-3*10^2*各项系数!$J$4</f>
        <v>0.18469292813181079</v>
      </c>
      <c r="GR87" s="310">
        <v>1</v>
      </c>
      <c r="GS87" s="311">
        <f t="shared" si="456"/>
        <v>0.18469292813181079</v>
      </c>
      <c r="GT87" s="311">
        <f t="shared" si="457"/>
        <v>0</v>
      </c>
      <c r="GU87" s="311">
        <f>ROUND($GS87*(VLOOKUP($S87,各项系数!$D$1:$F$143,2,0))+$E$3*GS87,GT87)</f>
        <v>1</v>
      </c>
      <c r="GV87" s="315">
        <f>各项系数!$F$76/4*($MT87^2-$MS87^2)*10^-2*(VLOOKUP($GV$9,各项系数!$D$1:$F$143,3,0))*10^-3*10^2*各项系数!$J$4*PI()/4*R87</f>
        <v>3.487253791984523E-2</v>
      </c>
      <c r="GW87" s="310">
        <v>1</v>
      </c>
      <c r="GX87" s="311">
        <f t="shared" si="458"/>
        <v>3.487253791984523E-2</v>
      </c>
      <c r="GY87" s="311">
        <f>$GX87*(VLOOKUP($GV$9,各项系数!$D$1:$F$143,2,0))</f>
        <v>2.3538963095895529</v>
      </c>
      <c r="GZ87" s="317">
        <f>各项系数!$F$76/4*($MV87^2-$MS87^2)*10^-2*(VLOOKUP($GZ$9,各项系数!$D$1:$F$143,3,0))*10^-3*10^2*各项系数!$J$4</f>
        <v>0.23067106382539768</v>
      </c>
      <c r="HA87" s="310">
        <v>1</v>
      </c>
      <c r="HB87" s="311">
        <f t="shared" si="412"/>
        <v>0.23067106382539768</v>
      </c>
      <c r="HC87" s="311">
        <f>HB87*(VLOOKUP($GZ$9,各项系数!$D$1:$F$143,2,0))</f>
        <v>3.9214080850317603</v>
      </c>
      <c r="HD87" s="317">
        <f>各项系数!$F$76/4*($MW87^2-$MT87^2)*10^-2*(VLOOKUP($HD$9,各项系数!$D$1:$F$143,3,0))*10^-3*10^2*各项系数!$J$4</f>
        <v>0.23204895379689155</v>
      </c>
      <c r="HE87" s="310">
        <v>1</v>
      </c>
      <c r="HF87" s="311">
        <f t="shared" si="413"/>
        <v>0.23204895379689155</v>
      </c>
      <c r="HG87" s="311">
        <f>HF87*(VLOOKUP($HD$9,各项系数!$D$1:$F$143,2,0))</f>
        <v>3.9448322145471564</v>
      </c>
      <c r="HH87" s="317">
        <f>各项系数!$F$76/4*($MV87^2-$MS87^2)*10^-2*(VLOOKUP($HH$9,各项系数!$D$1:$F$143,3,0))*10^-3*10^2*各项系数!$J$4</f>
        <v>0.23067106382539768</v>
      </c>
      <c r="HI87" s="311">
        <v>1</v>
      </c>
      <c r="HJ87" s="311">
        <f t="shared" si="414"/>
        <v>0.23067106382539768</v>
      </c>
      <c r="HK87" s="311">
        <f>HJ87*(VLOOKUP($HH$9,各项系数!$D$1:$F$143,2,0))</f>
        <v>3.9214080850317603</v>
      </c>
      <c r="HL87" s="317">
        <f>各项系数!$F$76/4*($MW87^2-$MT87^2)*10^-2*(VLOOKUP($HL$9,各项系数!$D$1:$F$143,3,0))*10^-3*10^2*各项系数!$J$4</f>
        <v>0.23204895379689155</v>
      </c>
      <c r="HM87" s="311">
        <v>1</v>
      </c>
      <c r="HN87" s="311">
        <f t="shared" si="362"/>
        <v>0.23204895379689155</v>
      </c>
      <c r="HO87" s="311">
        <f>HN87*(VLOOKUP($HL$9,各项系数!$D$1:$F$143,2,0))</f>
        <v>3.9448322145471564</v>
      </c>
      <c r="HP87" s="317">
        <f>各项系数!$F$76/4*($MV87^2-$MS87^2)*10^-2*(VLOOKUP(AN87,各项系数!$D$1:$F$143,3,0))*10^-3*10^2*各项系数!$J$4</f>
        <v>0.23385273367126522</v>
      </c>
      <c r="HQ87" s="310">
        <v>1</v>
      </c>
      <c r="HR87" s="311">
        <f t="shared" si="459"/>
        <v>0.23385273367126522</v>
      </c>
      <c r="HS87" s="311">
        <f>HR87*(VLOOKUP(AN87,各项系数!$D$1:$F$143,2,0))</f>
        <v>2.338527336712652</v>
      </c>
      <c r="HT87" s="317">
        <f>各项系数!$F$76/4*($MW87^2-$MT87^2)*10^-2*(VLOOKUP(AN87,各项系数!$D$1:$F$143,3,0))*10^-3*10^2*各项系数!$J$4</f>
        <v>0.23524962902167623</v>
      </c>
      <c r="HU87" s="310">
        <v>1</v>
      </c>
      <c r="HV87" s="311">
        <f t="shared" si="460"/>
        <v>0.23524962902167623</v>
      </c>
      <c r="HW87" s="311">
        <f>HV87*(VLOOKUP(AN87,各项系数!$D$1:$F$143,2,0))</f>
        <v>2.3524962902167621</v>
      </c>
      <c r="HX87" s="317">
        <f>各项系数!$F$76/4*($MV87^2-$MS87^2)*10^-2*(VLOOKUP($HX$9,各项系数!$D$1:$F$143,3,0))*10^-3*10^2*各项系数!$J$4</f>
        <v>0.23385273367126522</v>
      </c>
      <c r="HY87" s="311">
        <v>1</v>
      </c>
      <c r="HZ87" s="311">
        <f t="shared" si="461"/>
        <v>0.23385273367126522</v>
      </c>
      <c r="IA87" s="311">
        <f>HZ87*(VLOOKUP($HX$9,各项系数!$D$1:$F$143,2,0))</f>
        <v>2.5723800703839172</v>
      </c>
      <c r="IB87" s="317">
        <f>各项系数!$F$76/4*($MW87^2-$MT87^2)*10^-2*(VLOOKUP($IB$9,各项系数!$D$1:$F$143,3,0))*10^-3*10^2*各项系数!$J$4</f>
        <v>0.23524962902167623</v>
      </c>
      <c r="IC87" s="311">
        <v>1</v>
      </c>
      <c r="ID87" s="311">
        <f t="shared" si="462"/>
        <v>0.23524962902167623</v>
      </c>
      <c r="IE87" s="311">
        <f>ID87*(VLOOKUP($IB$9,各项系数!$D$1:$F$143,2,0))</f>
        <v>2.5877459192384387</v>
      </c>
      <c r="IF87" s="309"/>
      <c r="IG87" s="317">
        <f t="shared" si="415"/>
        <v>5.381582017506574E-2</v>
      </c>
      <c r="IH87" s="310">
        <v>1</v>
      </c>
      <c r="II87" s="311">
        <f t="shared" si="463"/>
        <v>5.381582017506574E-2</v>
      </c>
      <c r="IJ87" s="311">
        <f>II87*(VLOOKUP($IG$8,各项系数!$D$1:$F$143,2,0))</f>
        <v>1.3453955043766435</v>
      </c>
      <c r="IK87" s="317">
        <f>(各项系数!$F$76/4*($MX87^2-$MK87^2)*$EG87)*10^-2*(VLOOKUP($IG$8,各项系数!$D$1:$F$143,3,0))*10^-3*10^2*各项系数!$J$4</f>
        <v>5.381582017506574E-2</v>
      </c>
      <c r="IL87" s="310">
        <f>IK87*(VLOOKUP($IG$8,各项系数!$D$1:$F$143,2,0))</f>
        <v>1.3453955043766435</v>
      </c>
      <c r="IM87" s="311">
        <f>(各项系数!$F$76/4*(($MM87+3*$X87)^2-MM87^2)*$EO87)*10^-2*(VLOOKUP($IG$8,各项系数!$D$1:$F$143,3,0))*10^-3*10^2*各项系数!$J$4</f>
        <v>0</v>
      </c>
      <c r="IN87" s="310">
        <f>IM87*(VLOOKUP($IG$8,各项系数!$D$1:$F$143,2,0))</f>
        <v>0</v>
      </c>
      <c r="IO87" s="317">
        <f>各项系数!$F$76/4*($MZ87^2-$MX87^2)*10^-2*(VLOOKUP(L87,各项系数!$D$1:$F$143,3,0))*10^-3*10^2*$ES87*各项系数!$J$4</f>
        <v>0.1369625594456563</v>
      </c>
      <c r="IP87" s="310">
        <v>1</v>
      </c>
      <c r="IQ87" s="311">
        <f t="shared" si="464"/>
        <v>0.1369625594456563</v>
      </c>
      <c r="IR87" s="290">
        <f>IQ87*(VLOOKUP(L87,各项系数!$D$1:$F$143,2,0))</f>
        <v>1.3970181063456941</v>
      </c>
      <c r="IS87" s="317">
        <f>IF($L87&lt;&gt;$IS$9,0,各项系数!$F$76/4*($MZ87^2-$MX87^2)*10^-2*各项系数!$F$12*10^-3*10^2)*$ES87*各项系数!$J$4</f>
        <v>0</v>
      </c>
      <c r="IT87" s="310">
        <v>1</v>
      </c>
      <c r="IU87" s="311">
        <f t="shared" si="465"/>
        <v>0</v>
      </c>
      <c r="IV87" s="290">
        <f>IU87*各项系数!$E$12</f>
        <v>0</v>
      </c>
      <c r="IW87" s="309">
        <f t="shared" si="466"/>
        <v>0.1369625594456563</v>
      </c>
      <c r="IX87" s="309">
        <f t="shared" si="467"/>
        <v>1.3970181063456941</v>
      </c>
      <c r="IY87" s="339">
        <f>各项系数!$F$76/4*($NB87^2-$MZ87^2*$EG87-$NA87^2*$EO87)*10^-2</f>
        <v>1.7103328080902709</v>
      </c>
      <c r="IZ87" s="284">
        <f t="shared" si="487"/>
        <v>1</v>
      </c>
      <c r="JA87" s="285">
        <f t="shared" si="363"/>
        <v>1.7103328080902709</v>
      </c>
      <c r="JB87" s="289">
        <f>IF($DE87&lt;&gt;$JB$9,0,$JA87*各项系数!$F$32*10^-3*10^2)*各项系数!$J$4</f>
        <v>0</v>
      </c>
      <c r="JC87" s="106">
        <v>1</v>
      </c>
      <c r="JD87" s="78">
        <f t="shared" si="468"/>
        <v>0</v>
      </c>
      <c r="JE87" s="264">
        <f>JD87*各项系数!$E$32</f>
        <v>0</v>
      </c>
      <c r="JF87" s="282">
        <f>IF($DE87&lt;&gt;$JF$9,0,$JA87*VLOOKUP($JF$9,各项系数!$D$4:$F$540,2,0)*10^-3*10^2)*各项系数!$J$4</f>
        <v>0.85089057202490981</v>
      </c>
      <c r="JG87" s="102">
        <v>1</v>
      </c>
      <c r="JH87" s="189">
        <f t="shared" si="364"/>
        <v>0.85089057202490981</v>
      </c>
      <c r="JI87" s="262">
        <f>JH87*VLOOKUP($JF$9,各项系数!$D$4:$F$540,3,0)</f>
        <v>1.0210686864298917</v>
      </c>
      <c r="JJ87" s="289">
        <f t="shared" si="469"/>
        <v>0.85089057202490981</v>
      </c>
      <c r="JK87" s="78">
        <f t="shared" si="470"/>
        <v>1.0210686864298917</v>
      </c>
      <c r="JL87" s="289">
        <f>IF($DF87&lt;&gt;$JL$9,0,各项系数!$F$76/4*($NE87^2-$NC87^2)*10^-2*各项系数!$F$39*10^-3*10^2)*各项系数!$J$4</f>
        <v>2.9764028369761693E-3</v>
      </c>
      <c r="JM87" s="106">
        <v>1</v>
      </c>
      <c r="JN87" s="78">
        <f t="shared" si="471"/>
        <v>2.9764028369761693E-3</v>
      </c>
      <c r="JO87" s="264">
        <f>JN87*各项系数!$E$39</f>
        <v>5.9528056739523383E-2</v>
      </c>
      <c r="JP87" s="289">
        <f>IF($DF87&lt;&gt;$JP$9,0,各项系数!$F$76/4*($NE87^2-$NC87^2)*10^-2*各项系数!$F$36*10^-3*10^2)*各项系数!$J$4</f>
        <v>0</v>
      </c>
      <c r="JQ87" s="106">
        <v>1</v>
      </c>
      <c r="JR87" s="78">
        <f t="shared" si="472"/>
        <v>0</v>
      </c>
      <c r="JS87" s="264">
        <f>JR87*各项系数!$E$36</f>
        <v>0</v>
      </c>
      <c r="JT87" s="289">
        <f>IF($DF87&lt;&gt;$JT$9,0,各项系数!$F$76/4*($NE87^2-$NC87^2)*10^-2*各项系数!$F$40*10^-3*10^2)*各项系数!$J$4</f>
        <v>0</v>
      </c>
      <c r="JU87" s="106">
        <v>1</v>
      </c>
      <c r="JV87" s="78">
        <f t="shared" si="473"/>
        <v>0</v>
      </c>
      <c r="JW87" s="264">
        <f>JV87*各项系数!$E$40</f>
        <v>0</v>
      </c>
      <c r="JX87" s="289">
        <f>IF($DF87&lt;&gt;$JX$9,0,各项系数!$F$76/4*($NE87^2-$NC87^2)*10^-2*各项系数!$F$38*10^-3*10^2)*各项系数!$J$4</f>
        <v>0</v>
      </c>
      <c r="JY87" s="106">
        <v>1</v>
      </c>
      <c r="JZ87" s="78">
        <f t="shared" si="474"/>
        <v>0</v>
      </c>
      <c r="KA87" s="264">
        <f>JZ87*各项系数!$E$38</f>
        <v>0</v>
      </c>
      <c r="KB87" s="289">
        <f>IF($DF87&lt;&gt;$KB$9,0,各项系数!$F$76/4*($NE87^2-$NC87^2)*10^-2*各项系数!$F$41*10^-3*10^2)*各项系数!$J$4</f>
        <v>0</v>
      </c>
      <c r="KC87" s="106">
        <v>1</v>
      </c>
      <c r="KD87" s="78">
        <f t="shared" si="475"/>
        <v>0</v>
      </c>
      <c r="KE87" s="264">
        <f>KD87*各项系数!$E$41</f>
        <v>0</v>
      </c>
      <c r="KF87" s="78">
        <f t="shared" si="476"/>
        <v>2.9764028369761693E-3</v>
      </c>
      <c r="KG87" s="78">
        <f t="shared" si="477"/>
        <v>5.9528056739523383E-2</v>
      </c>
      <c r="KH87" s="237">
        <f>各项系数!$F$76/4*($NG87^2-$NE87^2)*10^-2*各项系数!$F$44*10^-3*10^2*各项系数!$J$4*0.75*$U87</f>
        <v>0.29556337236902364</v>
      </c>
      <c r="KI87" s="106">
        <v>1</v>
      </c>
      <c r="KJ87" s="78">
        <f t="shared" si="478"/>
        <v>0.29556337236902364</v>
      </c>
      <c r="KK87" s="78">
        <f>ROUND(KJ87*各项系数!$E$43,GT87)</f>
        <v>2</v>
      </c>
      <c r="KL87" s="235">
        <f>各项系数!$F$76/4*($NF87^2-$NE87^2)*10^-2*各项系数!$F$46*10^-3*10^2*各项系数!$J$4*PI()/4*R87</f>
        <v>3.7224805142080736E-2</v>
      </c>
      <c r="KM87" s="106">
        <v>1</v>
      </c>
      <c r="KN87" s="78">
        <f t="shared" si="479"/>
        <v>3.7224805142080736E-2</v>
      </c>
      <c r="KO87" s="78">
        <f>KN87*各项系数!$E$46</f>
        <v>2.5126743470904498</v>
      </c>
      <c r="KP87" s="237">
        <f>各项系数!$F$76/4*($NH87^2-$NE87^2)*10^-2*(VLOOKUP($KP$9,各项系数!$D$1:$F$143,3,0))*10^-3*10^2*各项系数!$J$4</f>
        <v>0.24517335577537067</v>
      </c>
      <c r="KQ87" s="106">
        <v>1</v>
      </c>
      <c r="KR87" s="78">
        <f t="shared" si="416"/>
        <v>0.24517335577537067</v>
      </c>
      <c r="KS87" s="78">
        <f>KR87*(VLOOKUP($KP$9,各项系数!$D$1:$F$143,2,0))</f>
        <v>4.1679470481813015</v>
      </c>
      <c r="KT87" s="237">
        <f>各项系数!$F$76/4*($NI87^2-$NF87^2)*10^-2*(VLOOKUP($KT$9,各项系数!$D$1:$F$143,3,0))*10^-3*10^2*各项系数!$J$4</f>
        <v>0.24655124574686452</v>
      </c>
      <c r="KU87" s="106">
        <v>1</v>
      </c>
      <c r="KV87" s="78">
        <f t="shared" si="417"/>
        <v>0.24655124574686452</v>
      </c>
      <c r="KW87" s="78">
        <f>KV87*(VLOOKUP($KT$9,各项系数!$D$1:$F$143,2,0))</f>
        <v>4.1913711776966966</v>
      </c>
      <c r="KX87" s="78">
        <f>各项系数!$F$76/4*($NH87^2-$NE87^2)*10^-2*(VLOOKUP($KX$9,各项系数!$D$1:$F$143,3,0))*10^-3*10^2*各项系数!$J$4</f>
        <v>0.24517335577537067</v>
      </c>
      <c r="KY87" s="355">
        <v>1</v>
      </c>
      <c r="KZ87" s="78">
        <f t="shared" si="418"/>
        <v>0.24517335577537067</v>
      </c>
      <c r="LA87" s="78">
        <f>KZ87*(VLOOKUP($KX$9,各项系数!$D$1:$F$143,2,0))</f>
        <v>4.1679470481813015</v>
      </c>
      <c r="LB87" s="78">
        <f>各项系数!$F$76/4*($NI87^2-$NF87^2)*10^-2*(VLOOKUP($LB$9,各项系数!$D$1:$F$143,3,0))*10^-3*10^2*各项系数!$J$4</f>
        <v>0.24655124574686452</v>
      </c>
      <c r="LC87" s="355">
        <v>1</v>
      </c>
      <c r="LD87" s="78">
        <f t="shared" si="419"/>
        <v>0.24655124574686452</v>
      </c>
      <c r="LE87" s="78">
        <f>LD87*(VLOOKUP($LB$9,各项系数!$D$1:$F$143,2,0))</f>
        <v>4.1913711776966966</v>
      </c>
      <c r="LF87" s="237">
        <f>各项系数!$F$76/4*($NH87^2-$NE87^2)*10^-2*(VLOOKUP(AN87,各项系数!$D$1:$F$143,3,0))*10^-3*10^2*各项系数!$J$4</f>
        <v>0.24855505723434126</v>
      </c>
      <c r="LG87" s="106">
        <v>1</v>
      </c>
      <c r="LH87" s="78">
        <f t="shared" si="480"/>
        <v>0.24855505723434126</v>
      </c>
      <c r="LI87" s="78">
        <f>LH87*(VLOOKUP(AN87,各项系数!$D$1:$F$143,2,0))</f>
        <v>2.4855505723434126</v>
      </c>
      <c r="LJ87" s="237">
        <f>各项系数!$F$76/4*($NI87^2-$NF87^2)*10^-2*(VLOOKUP(AN87,各项系数!$D$1:$F$143,3,0))*10^-3*10^2*各项系数!$J$4</f>
        <v>0.24995195258475231</v>
      </c>
      <c r="LK87" s="106">
        <v>1</v>
      </c>
      <c r="LL87" s="78">
        <f t="shared" si="481"/>
        <v>0.24995195258475231</v>
      </c>
      <c r="LM87" s="78">
        <f>LL87*(VLOOKUP(AN87,各项系数!$D$1:$F$143,2,0))</f>
        <v>2.4995195258475231</v>
      </c>
      <c r="LN87" s="78">
        <f>各项系数!$F$76/4*($NH87^2-$NE87^2)*10^-2*(VLOOKUP($LN$9,各项系数!$D$1:$F$143,3,0))*10^-3*10^2*各项系数!$J$4</f>
        <v>0.24855505723434126</v>
      </c>
      <c r="LO87" s="355">
        <v>1</v>
      </c>
      <c r="LP87" s="78">
        <f t="shared" si="482"/>
        <v>0.24855505723434126</v>
      </c>
      <c r="LQ87" s="78">
        <f>LP87*(VLOOKUP($LN$9,各项系数!$D$1:$F$143,2,0))</f>
        <v>2.7341056295777539</v>
      </c>
      <c r="LR87" s="78">
        <f>各项系数!$F$76/4*($NI87^2-$NF87^2)*10^-2*(VLOOKUP($LR$9,各项系数!$D$1:$F$143,3,0))*10^-3*10^2*各项系数!$J$4</f>
        <v>0.24995195258475231</v>
      </c>
      <c r="LS87" s="355">
        <v>1</v>
      </c>
      <c r="LT87" s="78">
        <f t="shared" si="483"/>
        <v>0.24995195258475231</v>
      </c>
      <c r="LU87" s="78">
        <f>LT87*(VLOOKUP($LR$9,各项系数!$D$1:$F$143,2,0))</f>
        <v>2.7494714784322754</v>
      </c>
      <c r="LV87" s="367">
        <f t="shared" si="420"/>
        <v>212.24050634</v>
      </c>
      <c r="LW87" s="367">
        <f t="shared" si="421"/>
        <v>165.07594936999999</v>
      </c>
      <c r="LX87" s="367">
        <f t="shared" si="422"/>
        <v>14.497628310264529</v>
      </c>
      <c r="LY87" s="367">
        <f t="shared" si="423"/>
        <v>47.164556970000007</v>
      </c>
      <c r="LZ87" s="374">
        <f t="shared" si="365"/>
        <v>1</v>
      </c>
      <c r="MA87" s="375">
        <f t="shared" si="366"/>
        <v>212.24050634</v>
      </c>
      <c r="MB87" s="367">
        <f t="shared" si="424"/>
        <v>7.3516393500000001</v>
      </c>
      <c r="MC87" s="367">
        <f t="shared" si="425"/>
        <v>0</v>
      </c>
      <c r="MD87" s="367">
        <f t="shared" si="426"/>
        <v>0</v>
      </c>
      <c r="ME87" s="367">
        <f t="shared" si="427"/>
        <v>0</v>
      </c>
      <c r="MF87" s="367">
        <f t="shared" si="428"/>
        <v>0</v>
      </c>
      <c r="MG87" s="379">
        <f t="shared" si="429"/>
        <v>1</v>
      </c>
      <c r="MH87" s="375">
        <f t="shared" si="367"/>
        <v>0</v>
      </c>
      <c r="MI87" s="367">
        <f t="shared" si="430"/>
        <v>0</v>
      </c>
      <c r="MJ87" s="78">
        <f t="shared" si="368"/>
        <v>7.3516393500000001</v>
      </c>
      <c r="MK87" s="78">
        <f t="shared" si="431"/>
        <v>7.3516393500000001</v>
      </c>
      <c r="ML87" s="78">
        <f t="shared" si="484"/>
        <v>0</v>
      </c>
      <c r="MM87" s="78">
        <f t="shared" si="369"/>
        <v>0</v>
      </c>
      <c r="MN87" s="78">
        <f t="shared" si="370"/>
        <v>9.15163935</v>
      </c>
      <c r="MO87" s="189">
        <f t="shared" si="432"/>
        <v>0</v>
      </c>
      <c r="MP87" s="78">
        <f t="shared" si="433"/>
        <v>24.70942625</v>
      </c>
      <c r="MQ87" s="78">
        <f t="shared" si="485"/>
        <v>24.70942625</v>
      </c>
      <c r="MR87" s="246">
        <f t="shared" si="434"/>
        <v>24.70942625</v>
      </c>
      <c r="MS87" s="380">
        <f t="shared" si="371"/>
        <v>24.885426249999998</v>
      </c>
      <c r="MT87" s="382">
        <f t="shared" si="372"/>
        <v>25.045426249999998</v>
      </c>
      <c r="MU87" s="382">
        <f t="shared" si="373"/>
        <v>25.48542625</v>
      </c>
      <c r="MV87" s="382">
        <f t="shared" si="374"/>
        <v>28.685426249999999</v>
      </c>
      <c r="MW87" s="382">
        <f t="shared" si="375"/>
        <v>28.845426249999999</v>
      </c>
      <c r="MX87" s="246">
        <f t="shared" si="376"/>
        <v>7.9516393500000007</v>
      </c>
      <c r="MY87" s="246">
        <f t="shared" si="377"/>
        <v>0</v>
      </c>
      <c r="MZ87" s="78">
        <f t="shared" si="378"/>
        <v>9.7516393500000014</v>
      </c>
      <c r="NA87" s="78">
        <f t="shared" si="379"/>
        <v>0</v>
      </c>
      <c r="NB87" s="78">
        <f t="shared" si="435"/>
        <v>26.329426250000001</v>
      </c>
      <c r="NC87" s="246">
        <f t="shared" si="486"/>
        <v>26.329426250000001</v>
      </c>
      <c r="ND87" s="246">
        <f t="shared" si="436"/>
        <v>26.329426250000001</v>
      </c>
      <c r="NE87" s="386">
        <f t="shared" si="437"/>
        <v>26.569426249999999</v>
      </c>
      <c r="NF87" s="382">
        <f t="shared" si="380"/>
        <v>26.729426249999999</v>
      </c>
      <c r="NG87" s="150">
        <f t="shared" si="381"/>
        <v>27.169426250000001</v>
      </c>
      <c r="NH87" s="246">
        <f t="shared" si="382"/>
        <v>30.36942625</v>
      </c>
      <c r="NI87" s="382">
        <f t="shared" si="383"/>
        <v>30.52942625</v>
      </c>
      <c r="NK87" s="390">
        <f t="shared" si="384"/>
        <v>2.0243911155962109</v>
      </c>
      <c r="NL87" s="390">
        <f t="shared" si="385"/>
        <v>100.96188576671916</v>
      </c>
      <c r="NM87" s="390">
        <f t="shared" si="386"/>
        <v>2.0243911155962109</v>
      </c>
      <c r="NN87" s="390">
        <f t="shared" si="387"/>
        <v>101.19573850039042</v>
      </c>
      <c r="NO87" s="390">
        <f t="shared" si="388"/>
        <v>2.7694500432386451</v>
      </c>
      <c r="NP87" s="390">
        <f t="shared" si="389"/>
        <v>103.00291179090623</v>
      </c>
      <c r="NQ87" s="390">
        <f t="shared" si="390"/>
        <v>2.7694500432386451</v>
      </c>
      <c r="NR87" s="390">
        <f t="shared" si="391"/>
        <v>103.25146684814057</v>
      </c>
      <c r="NS87" s="390">
        <f t="shared" si="392"/>
        <v>2.059263653516056</v>
      </c>
      <c r="NT87" s="390">
        <f t="shared" si="393"/>
        <v>2.059263653516056</v>
      </c>
      <c r="NU87" s="390">
        <f t="shared" si="394"/>
        <v>2.8066748483807258</v>
      </c>
      <c r="NV87" s="390">
        <f t="shared" si="395"/>
        <v>2.8066748483807258</v>
      </c>
      <c r="NW87" s="9">
        <f t="shared" si="396"/>
        <v>2.2090840437280215</v>
      </c>
      <c r="NX87" s="9">
        <f>各项系数!$M$9*NK87</f>
        <v>0.60731733467886329</v>
      </c>
      <c r="NY87" s="9">
        <f t="shared" si="397"/>
        <v>2.059263653516056</v>
      </c>
    </row>
    <row r="88" spans="1:389" s="9" customFormat="1" ht="15" hidden="1" customHeight="1">
      <c r="A88" s="65"/>
      <c r="B88" s="66"/>
      <c r="C88" s="67"/>
      <c r="D88" s="58" t="s">
        <v>180</v>
      </c>
      <c r="E88" s="54">
        <f t="shared" si="325"/>
        <v>35.341933139999995</v>
      </c>
      <c r="F88" s="68">
        <f>$F$24</f>
        <v>238.573455311777</v>
      </c>
      <c r="G88" s="58"/>
      <c r="H88" s="16"/>
      <c r="I88" s="62"/>
      <c r="J88" s="16"/>
      <c r="K88" s="16"/>
      <c r="L88" s="107" t="s">
        <v>467</v>
      </c>
      <c r="M88" s="98">
        <f t="shared" si="339"/>
        <v>1</v>
      </c>
      <c r="N88" s="98">
        <f t="shared" si="340"/>
        <v>0</v>
      </c>
      <c r="O88" s="58">
        <f t="shared" ref="O88:O97" si="488">$O$36</f>
        <v>0.08</v>
      </c>
      <c r="P88" s="99">
        <v>0.1</v>
      </c>
      <c r="Q88" s="136">
        <f t="shared" si="440"/>
        <v>0.1</v>
      </c>
      <c r="R88" s="151">
        <v>0.8</v>
      </c>
      <c r="S88" s="144" t="str">
        <f>各项系数!$D$43</f>
        <v>钢带</v>
      </c>
      <c r="T88" s="62">
        <v>0.5</v>
      </c>
      <c r="U88" s="62">
        <v>2</v>
      </c>
      <c r="V88" s="143"/>
      <c r="W88" s="145">
        <v>2</v>
      </c>
      <c r="X88" s="139">
        <f t="shared" si="441"/>
        <v>0.2</v>
      </c>
      <c r="Y88" s="139"/>
      <c r="Z88" s="169"/>
      <c r="AA88" s="170">
        <f>$AA$24</f>
        <v>1.0109999999999999</v>
      </c>
      <c r="AB88" s="153">
        <f>PI()*EJ88*EJ88/4*EH88*(1-H88)*AA88*各项系数!$F$5*各项系数!$J$4*10^-7</f>
        <v>0.39976992605548828</v>
      </c>
      <c r="AC88" s="170">
        <f t="shared" si="327"/>
        <v>238.573455311777</v>
      </c>
      <c r="AD88" s="153">
        <f t="shared" si="341"/>
        <v>45.194467959085458</v>
      </c>
      <c r="AE88" s="153">
        <f>POWER(4*EU88/PI()/EG88/10^-7/EH88/(1-H88)/各项系数!$F$5/各项系数!$J$4,0.5)</f>
        <v>239.88202060340802</v>
      </c>
      <c r="AF88" s="16">
        <v>1</v>
      </c>
      <c r="AG88" s="16">
        <f>IF(EM88=0,0,PI()*ER88*ER88/4*EP88*(1-K88)*(1+AF88)*各项系数!$F$5*各项系数!$J$4*10^-7)</f>
        <v>0</v>
      </c>
      <c r="AH88" s="16">
        <f t="shared" si="328"/>
        <v>0</v>
      </c>
      <c r="AI88" s="69">
        <f t="shared" si="398"/>
        <v>0</v>
      </c>
      <c r="AJ88" s="69">
        <f>IF(OR(EP88="",EP88=0),0,POWER(4*EW88/PI()/EO88/10^-7/EP88/(1-K88)/各项系数!$F$5/各项系数!$J$4,0.5))</f>
        <v>0</v>
      </c>
      <c r="AK88" s="16" t="str">
        <f t="shared" si="342"/>
        <v>√</v>
      </c>
      <c r="AL88" s="16">
        <f t="shared" si="329"/>
        <v>141.17117537716595</v>
      </c>
      <c r="AM88" s="106">
        <f t="shared" si="330"/>
        <v>50</v>
      </c>
      <c r="AN88" s="107" t="s">
        <v>486</v>
      </c>
      <c r="AO88" s="146">
        <f>AP88+各项系数!$M$9*$NK88</f>
        <v>138.40311311486857</v>
      </c>
      <c r="AP88" s="146">
        <f>AQ88*(1+$BI88+(VLOOKUP($AM88,$A$12:$B$323,2,0))+各项系数!$J$6+各项系数!$M$5)*(1+$E$2)</f>
        <v>137.56876389369441</v>
      </c>
      <c r="AQ88" s="199">
        <f>AR88+各项系数!$L$9*$NK88</f>
        <v>140.37628968744329</v>
      </c>
      <c r="AR88" s="199">
        <f>AS88*(1+$BJ88+各项系数!$J$5+各项系数!$L$5)</f>
        <v>139.54194046626912</v>
      </c>
      <c r="AS88" s="199">
        <f t="shared" si="399"/>
        <v>136.80582398653834</v>
      </c>
      <c r="AT88" s="146">
        <f>AU88+各项系数!$M$9*$NM88</f>
        <v>140.47632196260969</v>
      </c>
      <c r="AU88" s="146">
        <f>AV88*(1+$BI88+(VLOOKUP($AM88,$A$12:$B$323,2,0))+各项系数!$J$6+各项系数!$M$5)*(1+$E$2)</f>
        <v>139.64197274143552</v>
      </c>
      <c r="AV88" s="199">
        <f>AW88+各项系数!$L$9*$NM88</f>
        <v>142.49180891983218</v>
      </c>
      <c r="AW88" s="199">
        <f>AX88*(1+$BJ88+各项系数!$J$5+各项系数!$L$5)</f>
        <v>141.65745969865802</v>
      </c>
      <c r="AX88" s="199">
        <f t="shared" si="400"/>
        <v>138.87986244966473</v>
      </c>
      <c r="AY88" s="146">
        <f>AZ88+各项系数!$M$9*$NS88</f>
        <v>141.40535380965244</v>
      </c>
      <c r="AZ88" s="146">
        <f>BA88*(1+$BI88+(VLOOKUP($AM88,$A$12:$B$214,2,0))+各项系数!$J$6+各项系数!$M$5)*(1+$E$2)</f>
        <v>140.55783722801786</v>
      </c>
      <c r="BA88" s="199">
        <f>BB88+各项系数!$L$9*$NS88</f>
        <v>143.42636451838558</v>
      </c>
      <c r="BB88" s="199">
        <f>BC88*(1+$BJ88+各项系数!$J$5+各项系数!$L$5)</f>
        <v>142.578847936751</v>
      </c>
      <c r="BC88" s="199">
        <f t="shared" si="401"/>
        <v>139.78318425171668</v>
      </c>
      <c r="BD88" s="146">
        <f>BE88+各项系数!$M$9*$NS88</f>
        <v>143.48851149312085</v>
      </c>
      <c r="BE88" s="146">
        <f>BF88*(1+$BI88+(VLOOKUP($AM88,$A$12:$B$214,2,0))+各项系数!$J$6+各项系数!$M$5)*(1+$E$2)</f>
        <v>142.64099491148627</v>
      </c>
      <c r="BF88" s="199">
        <f>BG88+各项系数!$L$9*$NS88</f>
        <v>145.55203562396559</v>
      </c>
      <c r="BG88" s="199">
        <f>BH88*(1+$BJ88+各项系数!$J$5+各项系数!$L$5)</f>
        <v>144.70451904233101</v>
      </c>
      <c r="BH88" s="199">
        <f t="shared" si="402"/>
        <v>141.86717553169706</v>
      </c>
      <c r="BI88" s="214"/>
      <c r="BJ88" s="215"/>
      <c r="BK88" s="78" t="s">
        <v>514</v>
      </c>
      <c r="BL88" s="146">
        <f>BM88+各项系数!$M$9*$NM88</f>
        <v>140.05310623056772</v>
      </c>
      <c r="BM88" s="146">
        <f>BN88*(1+$CF88+(VLOOKUP($AM88,$A$12:$B$323,2,0))+各项系数!$J$6+各项系数!$M$5)*(1+$E$2)</f>
        <v>139.21875700939356</v>
      </c>
      <c r="BN88" s="199">
        <f>BO88+各项系数!$L$9*$NM88</f>
        <v>142.05995613203424</v>
      </c>
      <c r="BO88" s="199">
        <f>BP88*(1+$CG88+各项系数!$J$5+各项系数!$L$5)</f>
        <v>141.22560691086008</v>
      </c>
      <c r="BP88" s="199">
        <f t="shared" si="403"/>
        <v>137.11223971928163</v>
      </c>
      <c r="BQ88" s="146">
        <f>BR88+各项系数!$M$9*$NM88</f>
        <v>141.8373446146164</v>
      </c>
      <c r="BR88" s="146">
        <f>BS88*(1+$CF88+(VLOOKUP($AM88,$A$12:$B$323,2,0))+各项系数!$J$6+各项系数!$M$5)*(1+$E$2)</f>
        <v>141.00299539344223</v>
      </c>
      <c r="BS88" s="199">
        <f>BT88+各项系数!$L$9*$NM88</f>
        <v>143.88060754432883</v>
      </c>
      <c r="BT88" s="199">
        <f>BU88*(1+$CG88+各项系数!$J$5+各项系数!$L$5)</f>
        <v>143.04625832315466</v>
      </c>
      <c r="BU88" s="199">
        <f t="shared" si="404"/>
        <v>138.87986244966473</v>
      </c>
      <c r="BV88" s="146">
        <f>BW88+各项系数!$M$9*$NT88</f>
        <v>142.2635411791106</v>
      </c>
      <c r="BW88" s="146">
        <f>BX88*(1+$CF88+(VLOOKUP($AM88,$A$12:$B$214,2,0))+各项系数!$J$6+各项系数!$M$5)*(1+$E$2)</f>
        <v>141.41602459747602</v>
      </c>
      <c r="BX88" s="199">
        <f>BY88+各项系数!$L$9*$NT$12</f>
        <v>144.30206591579187</v>
      </c>
      <c r="BY88" s="199">
        <f>BZ88*(1+$CG88+各项系数!$J$5+各项系数!$L$5)</f>
        <v>144.29380251263689</v>
      </c>
      <c r="BZ88" s="199">
        <f t="shared" si="343"/>
        <v>140.09107040061832</v>
      </c>
      <c r="CA88" s="146">
        <f>CB88+各项系数!$M$9*$NT88</f>
        <v>144.05634169842148</v>
      </c>
      <c r="CB88" s="146">
        <f>CC88*(1+$CF88+(VLOOKUP($AM88,$A$12:$B$214,2,0))+各项系数!$J$6+各项系数!$M$5)*(1+$E$2)</f>
        <v>143.2088251167869</v>
      </c>
      <c r="CC88" s="199">
        <f>CD88+各项系数!$L$9*$NT$12</f>
        <v>146.13145420080295</v>
      </c>
      <c r="CD88" s="199">
        <f>CE88*(1+$CG88+各项系数!$J$5+各项系数!$L$5)</f>
        <v>146.12319079764796</v>
      </c>
      <c r="CE88" s="199">
        <f t="shared" si="405"/>
        <v>141.86717553169706</v>
      </c>
      <c r="CF88" s="214">
        <f t="shared" si="406"/>
        <v>0</v>
      </c>
      <c r="CG88" s="214">
        <f t="shared" si="344"/>
        <v>0.01</v>
      </c>
      <c r="CH88" s="106"/>
      <c r="CI88" s="146">
        <f>CJ88+各项系数!$M$9*$NO88</f>
        <v>142.58350940664826</v>
      </c>
      <c r="CJ88" s="146">
        <f>CK88*(1+$DC88+(VLOOKUP($AM88,$A$12:$B$323,2,0))+各项系数!$J$6+各项系数!$M$5)*(1+$E$2)+各项系数!$M$9*$NK88</f>
        <v>141.41212523714782</v>
      </c>
      <c r="CK88" s="199">
        <f>CL88+各项系数!$L$9*$NO88</f>
        <v>143.44671022038128</v>
      </c>
      <c r="CL88" s="199">
        <f>CM88*(1+$DD88+各项系数!$J$5+各项系数!$L$5)</f>
        <v>142.27532605088084</v>
      </c>
      <c r="CM88" s="199">
        <f t="shared" si="345"/>
        <v>139.48561377537337</v>
      </c>
      <c r="CN88" s="146">
        <f>CO88+各项系数!$M$9*$NO88</f>
        <v>144.50201885824572</v>
      </c>
      <c r="CO88" s="146">
        <f>CP88*(1+$DC88+(VLOOKUP($AM88,$A$12:$B$323,2,0))+各项系数!$J$6+各项系数!$M$5)*(1+$E$2)+各项系数!$M$9*$NK88</f>
        <v>143.33063468874528</v>
      </c>
      <c r="CP88" s="199">
        <f>CQ88+各项系数!$L$9*$NO88</f>
        <v>145.40437292609298</v>
      </c>
      <c r="CQ88" s="199">
        <f>CR88*(1+$DD88+各项系数!$J$5+各项系数!$L$5)</f>
        <v>144.23298875659253</v>
      </c>
      <c r="CR88" s="199">
        <f t="shared" si="346"/>
        <v>141.4048909378358</v>
      </c>
      <c r="CS88" s="146">
        <f>CT88+各项系数!$M$9*$NU88</f>
        <v>144.91151265327392</v>
      </c>
      <c r="CT88" s="146">
        <f t="shared" si="347"/>
        <v>143.72625544314636</v>
      </c>
      <c r="CU88" s="199">
        <f>CV88+各项系数!$L$9*$NU88</f>
        <v>146.65944432974118</v>
      </c>
      <c r="CV88" s="199">
        <f>CW88*(1+$DD88+各项系数!$J$5+各项系数!$L$5)</f>
        <v>145.47418711961362</v>
      </c>
      <c r="CW88" s="199">
        <f t="shared" si="348"/>
        <v>142.62175207805257</v>
      </c>
      <c r="CX88" s="146">
        <f>CY88+各项系数!$M$9*$NU88</f>
        <v>147.09938183277154</v>
      </c>
      <c r="CY88" s="146">
        <f t="shared" si="349"/>
        <v>145.91412462264398</v>
      </c>
      <c r="CZ88" s="199">
        <f>DA88+各项系数!$L$9*$NU88</f>
        <v>148.89196390065712</v>
      </c>
      <c r="DA88" s="199">
        <f>DB88*(1+$DD88+各项系数!$J$5+各项系数!$L$5)</f>
        <v>147.70670669052956</v>
      </c>
      <c r="DB88" s="199">
        <f t="shared" si="350"/>
        <v>144.81049675542113</v>
      </c>
      <c r="DC88" s="214">
        <f t="shared" si="407"/>
        <v>0</v>
      </c>
      <c r="DD88" s="214">
        <f t="shared" si="351"/>
        <v>0</v>
      </c>
      <c r="DE88" s="78" t="s">
        <v>498</v>
      </c>
      <c r="DF88" s="78" t="s">
        <v>513</v>
      </c>
      <c r="DG88" s="146">
        <f>DH88+各项系数!$M$9*$NQ88</f>
        <v>144.27538606796702</v>
      </c>
      <c r="DH88" s="146">
        <f>DI88*(1+$EA88+(VLOOKUP($AM88,$A$12:$B$323,2,0))+各项系数!$J$6+各项系数!$M$5)*(1+$E$2)+各项系数!$M$9*$NK88</f>
        <v>143.10400189846658</v>
      </c>
      <c r="DI88" s="199">
        <f>DJ88+各项系数!$L$9*$NQ88</f>
        <v>145.173114976829</v>
      </c>
      <c r="DJ88" s="199">
        <f>DK88*(1+$EB88+各项系数!$J$5+各项系数!$L$5)</f>
        <v>144.00173080732856</v>
      </c>
      <c r="DK88" s="199">
        <f t="shared" si="352"/>
        <v>139.80750563818307</v>
      </c>
      <c r="DL88" s="146">
        <f>DM88+各项系数!$M$9*$NQ88</f>
        <v>146.14974092565032</v>
      </c>
      <c r="DM88" s="146">
        <f>DN88*(1+$EA88+(VLOOKUP($AM88,$A$12:$B$323,2,0))+各项系数!$J$6+各项系数!$M$5)*(1+$E$2)+各项系数!$M$9*$NK88</f>
        <v>144.97835675614988</v>
      </c>
      <c r="DN88" s="199">
        <f>DO88+各项系数!$L$9*$NQ88</f>
        <v>147.08572197446503</v>
      </c>
      <c r="DO88" s="199">
        <f>DP88*(1+$EB88+各项系数!$J$5+各项系数!$L$5)</f>
        <v>145.91433780496459</v>
      </c>
      <c r="DP88" s="199">
        <f t="shared" si="353"/>
        <v>141.66440563588796</v>
      </c>
      <c r="DQ88" s="146">
        <f>DR88+各项系数!$M$9*$NV88</f>
        <v>146.63560770802914</v>
      </c>
      <c r="DR88" s="146">
        <f t="shared" si="354"/>
        <v>145.45035049790158</v>
      </c>
      <c r="DS88" s="199">
        <f>DT88+各项系数!$L$9*$NV88</f>
        <v>148.41872499785876</v>
      </c>
      <c r="DT88" s="199">
        <f>DU88*(1+$EB88+各项系数!$J$5+各项系数!$L$5)</f>
        <v>147.2334677877312</v>
      </c>
      <c r="DU88" s="199">
        <f t="shared" si="355"/>
        <v>142.94511435702057</v>
      </c>
      <c r="DV88" s="146">
        <f>DW88+各项系数!$M$9*$NV88</f>
        <v>146.54610724694177</v>
      </c>
      <c r="DW88" s="146">
        <f t="shared" si="356"/>
        <v>145.36085003681421</v>
      </c>
      <c r="DX88" s="199">
        <f>DY88+各项系数!$L$9*$NV88</f>
        <v>148.3273979967492</v>
      </c>
      <c r="DY88" s="199">
        <f>DZ88*(1+$EB88+各项系数!$J$5+各项系数!$L$5)</f>
        <v>147.14214078662164</v>
      </c>
      <c r="DZ88" s="199">
        <f t="shared" si="357"/>
        <v>142.85644736565206</v>
      </c>
      <c r="EA88" s="214">
        <f t="shared" si="439"/>
        <v>0</v>
      </c>
      <c r="EB88" s="214">
        <f t="shared" si="358"/>
        <v>0.01</v>
      </c>
      <c r="EC88" s="235">
        <f t="shared" si="408"/>
        <v>5</v>
      </c>
      <c r="ED88" s="237" t="str">
        <f t="shared" si="442"/>
        <v>5*50</v>
      </c>
      <c r="EE88" s="78">
        <f t="shared" si="239"/>
        <v>50</v>
      </c>
      <c r="EF88" s="78" t="str">
        <f>LOOKUP(EH88,{1,7,10,14,19,24,30,37,48,61},{1,"1+6","2+8","4+10","1+6+12","2+8+14","4+10+16","1+6+12+18","3+9+15+21","1+6+12+18+24"})</f>
        <v>2+8</v>
      </c>
      <c r="EG88" s="106">
        <f t="shared" si="359"/>
        <v>5</v>
      </c>
      <c r="EH88" s="199">
        <f>VLOOKUP(EE88,各项系数!$B$87:$C$124,2,0)</f>
        <v>10</v>
      </c>
      <c r="EI88" s="106">
        <f>IF(EH88=0,0,VLOOKUP(EH88,各项系数!$D$142:$E$195,2,0))*1</f>
        <v>4</v>
      </c>
      <c r="EJ88" s="240">
        <f t="shared" si="409"/>
        <v>238.573455311777</v>
      </c>
      <c r="EK88" s="78">
        <f t="shared" si="332"/>
        <v>0</v>
      </c>
      <c r="EL88" s="78">
        <f t="shared" si="360"/>
        <v>0</v>
      </c>
      <c r="EM88" s="78">
        <f t="shared" si="443"/>
        <v>0</v>
      </c>
      <c r="EN88" s="78">
        <f>IF(EP88=0,0,LOOKUP(EP88,{1,7,10,14,19,24,30,37,48,61},{1,"1+6","2+8","4+10","1+6+12","2+8+14","4+10+16","1+6+12+18","3+9+15+21","1+6+12+18+24"}))</f>
        <v>0</v>
      </c>
      <c r="EO88" s="78">
        <f t="shared" si="334"/>
        <v>0</v>
      </c>
      <c r="EP88" s="78">
        <f>IF(EM88=0,0,IF(EM88&lt;10,1,IF(AND(EM88&gt;=10,EM88&lt;=35),7,LOOKUP(EM88,{50,70,95,120,150,185,240,300},{10,14,19,24,30,37,48,61})*1)))</f>
        <v>0</v>
      </c>
      <c r="EQ88" s="78">
        <f>IF(EP88=0,0,VLOOKUP(EP88,各项系数!$D$142:$E$195,2,0))*1</f>
        <v>0</v>
      </c>
      <c r="ER88" s="78">
        <f t="shared" si="335"/>
        <v>0</v>
      </c>
      <c r="ES88" s="237">
        <f t="shared" si="444"/>
        <v>5</v>
      </c>
      <c r="ET88" s="78">
        <f>VLOOKUP(ES88,各项系数!$D$142:$E$195,2,0)*1</f>
        <v>2.7</v>
      </c>
      <c r="EU88" s="243">
        <f>((各项系数!$F$76/4*$EJ88^2*$EG88*$EH88*1*10^-7)*(1-$H88)*AA88)*(VLOOKUP($EY$9,各项系数!$D$4:$F$143,3,0))*各项系数!$J$4</f>
        <v>1.9988496302774417</v>
      </c>
      <c r="EV88" s="244">
        <f>EU88*(VLOOKUP($EY$9,各项系数!$D$4:$F$143,2,0))</f>
        <v>130.92465078317244</v>
      </c>
      <c r="EW88" s="252">
        <f>(IF($EO88=0,0,(各项系数!$F$76/4*$ER88^2*$EO88*$EP88*1*10^-7))*(1-$K88)*$AF88)*(VLOOKUP($EY$9,各项系数!$D$4:$F$143,3,0))*各项系数!$J$4</f>
        <v>0</v>
      </c>
      <c r="EX88" s="253">
        <f>EW88*(VLOOKUP($EY$9,各项系数!$D$4:$F$143,2,0))</f>
        <v>0</v>
      </c>
      <c r="EY88" s="189">
        <f>((各项系数!$F$76/4*$EJ88^2*$EG88*$EH88*1*10^-7)*(1-$H88)*AA88+IF($EO88=0,0,(各项系数!$F$76/4*$ER88^2*$EO88*$EP88*1*10^-7))*(1-$K88)*$AF88)*(VLOOKUP($EY$9,各项系数!$D$4:$F$143,3,0))*各项系数!$J$4</f>
        <v>1.9988496302774417</v>
      </c>
      <c r="EZ88" s="106">
        <v>1</v>
      </c>
      <c r="FA88" s="78">
        <f t="shared" si="445"/>
        <v>1.9988496302774417</v>
      </c>
      <c r="FB88" s="246">
        <f>FA88*(VLOOKUP($EY$9,各项系数!$D$4:$F$143,2,0))</f>
        <v>130.92465078317244</v>
      </c>
      <c r="FC88" s="257"/>
      <c r="FD88" s="237">
        <f>各项系数!$F$76/4*($MN88^2-MK88^2)*10^-2*(VLOOKUP(L88,各项系数!$D$1:$F$143,3,0))*10^-3*10^2*$EG88*各项系数!$J$4</f>
        <v>0.18125805010714144</v>
      </c>
      <c r="FE88" s="264">
        <f>FD88*VLOOKUP(L88,各项系数!$D$1:$F$143,2,0)</f>
        <v>1.8488321110928425</v>
      </c>
      <c r="FF88" s="106">
        <f>各项系数!$F$76/4*($MO88^2-ML88^2)*10^-2*(VLOOKUP(L88,各项系数!$D$1:$F$143,3,0))*10^-3*10^2*$EO88*各项系数!$J$4</f>
        <v>0</v>
      </c>
      <c r="FG88" s="264">
        <f>FF88*VLOOKUP(L88,各项系数!$D$1:$F$143,2,0)</f>
        <v>0</v>
      </c>
      <c r="FH88" s="237">
        <f t="shared" si="410"/>
        <v>0.18125805010714144</v>
      </c>
      <c r="FI88" s="106">
        <v>1</v>
      </c>
      <c r="FJ88" s="78">
        <f t="shared" si="446"/>
        <v>0.18125805010714144</v>
      </c>
      <c r="FK88" s="264">
        <f>FJ88*VLOOKUP(L88,各项系数!$D$1:$F$143,2,0)</f>
        <v>1.8488321110928425</v>
      </c>
      <c r="FL88" s="237"/>
      <c r="FM88" s="106"/>
      <c r="FN88" s="78"/>
      <c r="FO88" s="264"/>
      <c r="FP88" s="289">
        <f t="shared" si="447"/>
        <v>0.18125805010714144</v>
      </c>
      <c r="FQ88" s="289">
        <f t="shared" si="448"/>
        <v>1.8488321110928425</v>
      </c>
      <c r="FR88" s="283">
        <f>各项系数!$F$76/4*($MQ88^2-$MN88^2*$EG88-$MO88^2*$EO88)*10^-2</f>
        <v>2.3963933440766598</v>
      </c>
      <c r="FS88" s="284">
        <f t="shared" si="411"/>
        <v>1</v>
      </c>
      <c r="FT88" s="285">
        <f t="shared" si="361"/>
        <v>2.3963933440766598</v>
      </c>
      <c r="FU88" s="309">
        <f>$FT88*(VLOOKUP($FT$9,各项系数!$D$1:$F$143,3,0))*10^-3*10^2*各项系数!$J$55</f>
        <v>0.28612936528275318</v>
      </c>
      <c r="FV88" s="310">
        <v>1</v>
      </c>
      <c r="FW88" s="311">
        <f t="shared" si="449"/>
        <v>0.28612936528275318</v>
      </c>
      <c r="FX88" s="290">
        <f>FW88*(VLOOKUP($FT$9,各项系数!$D$1:$F$143,2,0))</f>
        <v>0.85838809584825948</v>
      </c>
      <c r="FY88" s="309">
        <f>IF($BK88&lt;&gt;$FY$9,0,各项系数!$F$76/4*($MS88^2-$MQ88^2)*10^-2*(VLOOKUP($FY$9,各项系数!$D$1:$F$143,3,0))*10^-3*10^2)*各项系数!$J$4</f>
        <v>0</v>
      </c>
      <c r="FZ88" s="310">
        <v>1</v>
      </c>
      <c r="GA88" s="311">
        <f t="shared" si="450"/>
        <v>0</v>
      </c>
      <c r="GB88" s="290">
        <f>GA88*(VLOOKUP($FY$9,各项系数!$D$1:$F$143,2,0))</f>
        <v>0</v>
      </c>
      <c r="GC88" s="309">
        <f>IF($BK88&lt;&gt;$GC$9,0,各项系数!$F$76/4*($MS88^2-$MQ88^2)*10^-2*(VLOOKUP($GC$9,各项系数!$D$1:$F$143,3,0))*10^-3*10^2)*各项系数!$J$4</f>
        <v>8.5112921699098433E-3</v>
      </c>
      <c r="GD88" s="310">
        <v>1</v>
      </c>
      <c r="GE88" s="311">
        <f t="shared" si="451"/>
        <v>8.5112921699098433E-3</v>
      </c>
      <c r="GF88" s="290">
        <f>GE88*(VLOOKUP($GC$9,各项系数!$D$1:$F$143,2,0))</f>
        <v>0.10979566899183699</v>
      </c>
      <c r="GG88" s="309">
        <f>IF($BK88&lt;&gt;$GG$9,0,各项系数!$F$76/4*($MS88^2-$MQ88^2)*10^-2*(VLOOKUP($GG$9,各项系数!$D$1:$F$143,3,0))*10^-3*10^2)*各项系数!$J$4</f>
        <v>0</v>
      </c>
      <c r="GH88" s="310">
        <v>1</v>
      </c>
      <c r="GI88" s="311">
        <f t="shared" si="452"/>
        <v>0</v>
      </c>
      <c r="GJ88" s="290">
        <f>GI88*(VLOOKUP($GG$9,各项系数!$D$1:$F$143,2,0))</f>
        <v>0</v>
      </c>
      <c r="GK88" s="309">
        <f>IF($BK88&lt;&gt;$GK$9,0,各项系数!$F$76/4*($MS88^2-$MQ88^2)*10^-2*(VLOOKUP($GK$9,各项系数!$D$1:$F$143,3,0))*10^-3*10^2)*各项系数!$J$4</f>
        <v>0</v>
      </c>
      <c r="GL88" s="310">
        <v>1</v>
      </c>
      <c r="GM88" s="311">
        <f t="shared" si="453"/>
        <v>0</v>
      </c>
      <c r="GN88" s="290">
        <f>GM88*(VLOOKUP($GK$9,各项系数!$D$1:$F$143,2,0))</f>
        <v>0</v>
      </c>
      <c r="GO88" s="311">
        <f t="shared" si="454"/>
        <v>8.5112921699098433E-3</v>
      </c>
      <c r="GP88" s="311">
        <f t="shared" si="455"/>
        <v>0.10979566899183699</v>
      </c>
      <c r="GQ88" s="317">
        <f>各项系数!$F$76/4*($MU88^2-$MS88^2)*10^-2*(VLOOKUP($S88,各项系数!$D$1:$F$143,3,0))*10^-3*10^2*各项系数!$J$4</f>
        <v>0.58835147777545094</v>
      </c>
      <c r="GR88" s="310">
        <v>1</v>
      </c>
      <c r="GS88" s="311">
        <f t="shared" si="456"/>
        <v>0.58835147777545094</v>
      </c>
      <c r="GT88" s="311">
        <f t="shared" si="457"/>
        <v>0</v>
      </c>
      <c r="GU88" s="311">
        <f>ROUND($GS88*(VLOOKUP($S88,各项系数!$D$1:$F$143,2,0))+$E$3*GS88,GT88)</f>
        <v>3</v>
      </c>
      <c r="GV88" s="315">
        <f>各项系数!$F$76/4*($MT88^2-$MS88^2)*10^-2*(VLOOKUP($GV$9,各项系数!$D$1:$F$143,3,0))*10^-3*10^2*各项系数!$J$4*PI()/4*R88</f>
        <v>4.3891201534741853E-2</v>
      </c>
      <c r="GW88" s="310">
        <v>1</v>
      </c>
      <c r="GX88" s="311">
        <f t="shared" si="458"/>
        <v>4.3891201534741853E-2</v>
      </c>
      <c r="GY88" s="311">
        <f>$GX88*(VLOOKUP($GV$9,各项系数!$D$1:$F$143,2,0))</f>
        <v>2.9626561035950751</v>
      </c>
      <c r="GZ88" s="317">
        <f>各项系数!$F$76/4*($MV88^2-$MS88^2)*10^-2*(VLOOKUP($GZ$9,各项系数!$D$1:$F$143,3,0))*10^-3*10^2*各项系数!$J$4</f>
        <v>0.30224681120937513</v>
      </c>
      <c r="HA88" s="310">
        <v>1</v>
      </c>
      <c r="HB88" s="311">
        <f t="shared" si="412"/>
        <v>0.30224681120937513</v>
      </c>
      <c r="HC88" s="311">
        <f>HB88*(VLOOKUP($GZ$9,各项系数!$D$1:$F$143,2,0))</f>
        <v>5.1381957905593776</v>
      </c>
      <c r="HD88" s="317">
        <f>各项系数!$F$76/4*($MW88^2-$MT88^2)*10^-2*(VLOOKUP($HD$9,各项系数!$D$1:$F$143,3,0))*10^-3*10^2*各项系数!$J$4</f>
        <v>0.30369722170568481</v>
      </c>
      <c r="HE88" s="310">
        <v>1</v>
      </c>
      <c r="HF88" s="311">
        <f t="shared" si="413"/>
        <v>0.30369722170568481</v>
      </c>
      <c r="HG88" s="311">
        <f>HF88*(VLOOKUP($HD$9,各项系数!$D$1:$F$143,2,0))</f>
        <v>5.1628527689966415</v>
      </c>
      <c r="HH88" s="317">
        <f>各项系数!$F$76/4*($MV88^2-$MS88^2)*10^-2*(VLOOKUP($HH$9,各项系数!$D$1:$F$143,3,0))*10^-3*10^2*各项系数!$J$4</f>
        <v>0.30224681120937513</v>
      </c>
      <c r="HI88" s="311">
        <v>1</v>
      </c>
      <c r="HJ88" s="311">
        <f t="shared" si="414"/>
        <v>0.30224681120937513</v>
      </c>
      <c r="HK88" s="311">
        <f>HJ88*(VLOOKUP($HH$9,各项系数!$D$1:$F$143,2,0))</f>
        <v>5.1381957905593776</v>
      </c>
      <c r="HL88" s="317">
        <f>各项系数!$F$76/4*($MW88^2-$MT88^2)*10^-2*(VLOOKUP($HL$9,各项系数!$D$1:$F$143,3,0))*10^-3*10^2*各项系数!$J$4</f>
        <v>0.30369722170568481</v>
      </c>
      <c r="HM88" s="311">
        <v>1</v>
      </c>
      <c r="HN88" s="311">
        <f t="shared" si="362"/>
        <v>0.30369722170568481</v>
      </c>
      <c r="HO88" s="311">
        <f>HN88*(VLOOKUP($HL$9,各项系数!$D$1:$F$143,2,0))</f>
        <v>5.1628527689966415</v>
      </c>
      <c r="HP88" s="317">
        <f>各项系数!$F$76/4*($MV88^2-$MS88^2)*10^-2*(VLOOKUP(AN88,各项系数!$D$1:$F$143,3,0))*10^-3*10^2*各项系数!$J$4</f>
        <v>0.30641573274329753</v>
      </c>
      <c r="HQ88" s="310">
        <v>1</v>
      </c>
      <c r="HR88" s="311">
        <f t="shared" si="459"/>
        <v>0.30641573274329753</v>
      </c>
      <c r="HS88" s="311">
        <f>HR88*(VLOOKUP(AN88,各项系数!$D$1:$F$143,2,0))</f>
        <v>3.0641573274329752</v>
      </c>
      <c r="HT88" s="317">
        <f>各项系数!$F$76/4*($MW88^2-$MT88^2)*10^-2*(VLOOKUP(AN88,各项系数!$D$1:$F$143,3,0))*10^-3*10^2*各项系数!$J$4</f>
        <v>0.3078861489016253</v>
      </c>
      <c r="HU88" s="310">
        <v>1</v>
      </c>
      <c r="HV88" s="311">
        <f t="shared" si="460"/>
        <v>0.3078861489016253</v>
      </c>
      <c r="HW88" s="311">
        <f>HV88*(VLOOKUP(AN88,各项系数!$D$1:$F$143,2,0))</f>
        <v>3.0788614890162531</v>
      </c>
      <c r="HX88" s="317">
        <f>各项系数!$F$76/4*($MV88^2-$MS88^2)*10^-2*(VLOOKUP($HX$9,各项系数!$D$1:$F$143,3,0))*10^-3*10^2*各项系数!$J$4</f>
        <v>0.30641573274329753</v>
      </c>
      <c r="HY88" s="311">
        <v>1</v>
      </c>
      <c r="HZ88" s="311">
        <f t="shared" si="461"/>
        <v>0.30641573274329753</v>
      </c>
      <c r="IA88" s="311">
        <f>HZ88*(VLOOKUP($HX$9,各项系数!$D$1:$F$143,2,0))</f>
        <v>3.3705730601762727</v>
      </c>
      <c r="IB88" s="317">
        <f>各项系数!$F$76/4*($MW88^2-$MT88^2)*10^-2*(VLOOKUP($IB$9,各项系数!$D$1:$F$143,3,0))*10^-3*10^2*各项系数!$J$4</f>
        <v>0.3078861489016253</v>
      </c>
      <c r="IC88" s="311">
        <v>1</v>
      </c>
      <c r="ID88" s="311">
        <f t="shared" si="462"/>
        <v>0.3078861489016253</v>
      </c>
      <c r="IE88" s="311">
        <f>ID88*(VLOOKUP($IB$9,各项系数!$D$1:$F$143,2,0))</f>
        <v>3.3867476379178783</v>
      </c>
      <c r="IF88" s="309"/>
      <c r="IG88" s="317">
        <f t="shared" si="415"/>
        <v>6.9227752111119131E-2</v>
      </c>
      <c r="IH88" s="310">
        <v>1</v>
      </c>
      <c r="II88" s="311">
        <f t="shared" si="463"/>
        <v>6.9227752111119131E-2</v>
      </c>
      <c r="IJ88" s="311">
        <f>II88*(VLOOKUP($IG$8,各项系数!$D$1:$F$143,2,0))</f>
        <v>1.7306938027779784</v>
      </c>
      <c r="IK88" s="317">
        <f>(各项系数!$F$76/4*($MX88^2-$MK88^2)*$EG88)*10^-2*(VLOOKUP($IG$8,各项系数!$D$1:$F$143,3,0))*10^-3*10^2*各项系数!$J$4</f>
        <v>6.9227752111119131E-2</v>
      </c>
      <c r="IL88" s="310">
        <f>IK88*(VLOOKUP($IG$8,各项系数!$D$1:$F$143,2,0))</f>
        <v>1.7306938027779784</v>
      </c>
      <c r="IM88" s="311">
        <f>(各项系数!$F$76/4*(($MM88+3*$X88)^2-MM88^2)*$EO88)*10^-2*(VLOOKUP($IG$8,各项系数!$D$1:$F$143,3,0))*10^-3*10^2*各项系数!$J$4</f>
        <v>0</v>
      </c>
      <c r="IN88" s="310">
        <f>IM88*(VLOOKUP($IG$8,各项系数!$D$1:$F$143,2,0))</f>
        <v>0</v>
      </c>
      <c r="IO88" s="317">
        <f>各项系数!$F$76/4*($MZ88^2-$MX88^2)*10^-2*(VLOOKUP(L88,各项系数!$D$1:$F$143,3,0))*10^-3*10^2*$ES88*各项系数!$J$4</f>
        <v>0.19157346958520344</v>
      </c>
      <c r="IP88" s="310">
        <v>1</v>
      </c>
      <c r="IQ88" s="311">
        <f t="shared" si="464"/>
        <v>0.19157346958520344</v>
      </c>
      <c r="IR88" s="290">
        <f>IQ88*(VLOOKUP(L88,各项系数!$D$1:$F$143,2,0))</f>
        <v>1.9540493897690749</v>
      </c>
      <c r="IS88" s="317">
        <f>IF($L88&lt;&gt;$IS$9,0,各项系数!$F$76/4*($MZ88^2-$MX88^2)*10^-2*各项系数!$F$12*10^-3*10^2)*$ES88*各项系数!$J$4</f>
        <v>0</v>
      </c>
      <c r="IT88" s="310">
        <v>1</v>
      </c>
      <c r="IU88" s="311">
        <f t="shared" si="465"/>
        <v>0</v>
      </c>
      <c r="IV88" s="290">
        <f>IU88*各项系数!$E$12</f>
        <v>0</v>
      </c>
      <c r="IW88" s="309">
        <f t="shared" si="466"/>
        <v>0.19157346958520344</v>
      </c>
      <c r="IX88" s="309">
        <f t="shared" si="467"/>
        <v>1.9540493897690749</v>
      </c>
      <c r="IY88" s="339">
        <f>各项系数!$F$76/4*($NB88^2-$MZ88^2*$EG88-$NA88^2*$EO88)*10^-2</f>
        <v>2.65199641820494</v>
      </c>
      <c r="IZ88" s="284">
        <f t="shared" si="487"/>
        <v>1</v>
      </c>
      <c r="JA88" s="285">
        <f t="shared" si="363"/>
        <v>2.65199641820494</v>
      </c>
      <c r="JB88" s="289">
        <f>IF($DE88&lt;&gt;$JB$9,0,$JA88*各项系数!$F$32*10^-3*10^2)*各项系数!$J$4</f>
        <v>0</v>
      </c>
      <c r="JC88" s="106">
        <v>1</v>
      </c>
      <c r="JD88" s="78">
        <f t="shared" si="468"/>
        <v>0</v>
      </c>
      <c r="JE88" s="264">
        <f>JD88*各项系数!$E$32</f>
        <v>0</v>
      </c>
      <c r="JF88" s="282">
        <f>IF($DE88&lt;&gt;$JF$9,0,$JA88*VLOOKUP($JF$9,各项系数!$D$4:$F$540,2,0)*10^-3*10^2)*各项系数!$J$4</f>
        <v>1.3193682180569577</v>
      </c>
      <c r="JG88" s="102">
        <v>1</v>
      </c>
      <c r="JH88" s="189">
        <f t="shared" si="364"/>
        <v>1.3193682180569577</v>
      </c>
      <c r="JI88" s="262">
        <f>JH88*VLOOKUP($JF$9,各项系数!$D$4:$F$540,3,0)</f>
        <v>1.5832418616683492</v>
      </c>
      <c r="JJ88" s="289">
        <f t="shared" si="469"/>
        <v>1.3193682180569577</v>
      </c>
      <c r="JK88" s="78">
        <f t="shared" si="470"/>
        <v>1.5832418616683492</v>
      </c>
      <c r="JL88" s="289">
        <f>IF($DF88&lt;&gt;$JL$9,0,各项系数!$F$76/4*($NE88^2-$NC88^2)*10^-2*各项系数!$F$39*10^-3*10^2)*各项系数!$J$4</f>
        <v>3.7029654944309258E-3</v>
      </c>
      <c r="JM88" s="106">
        <v>1</v>
      </c>
      <c r="JN88" s="78">
        <f t="shared" si="471"/>
        <v>3.7029654944309258E-3</v>
      </c>
      <c r="JO88" s="264">
        <f>JN88*各项系数!$E$39</f>
        <v>7.4059309888618516E-2</v>
      </c>
      <c r="JP88" s="289">
        <f>IF($DF88&lt;&gt;$JP$9,0,各项系数!$F$76/4*($NE88^2-$NC88^2)*10^-2*各项系数!$F$36*10^-3*10^2)*各项系数!$J$4</f>
        <v>0</v>
      </c>
      <c r="JQ88" s="106">
        <v>1</v>
      </c>
      <c r="JR88" s="78">
        <f t="shared" si="472"/>
        <v>0</v>
      </c>
      <c r="JS88" s="264">
        <f>JR88*各项系数!$E$36</f>
        <v>0</v>
      </c>
      <c r="JT88" s="289">
        <f>IF($DF88&lt;&gt;$JT$9,0,各项系数!$F$76/4*($NE88^2-$NC88^2)*10^-2*各项系数!$F$40*10^-3*10^2)*各项系数!$J$4</f>
        <v>0</v>
      </c>
      <c r="JU88" s="106">
        <v>1</v>
      </c>
      <c r="JV88" s="78">
        <f t="shared" si="473"/>
        <v>0</v>
      </c>
      <c r="JW88" s="264">
        <f>JV88*各项系数!$E$40</f>
        <v>0</v>
      </c>
      <c r="JX88" s="289">
        <f>IF($DF88&lt;&gt;$JX$9,0,各项系数!$F$76/4*($NE88^2-$NC88^2)*10^-2*各项系数!$F$38*10^-3*10^2)*各项系数!$J$4</f>
        <v>0</v>
      </c>
      <c r="JY88" s="106">
        <v>1</v>
      </c>
      <c r="JZ88" s="78">
        <f t="shared" si="474"/>
        <v>0</v>
      </c>
      <c r="KA88" s="264">
        <f>JZ88*各项系数!$E$38</f>
        <v>0</v>
      </c>
      <c r="KB88" s="289">
        <f>IF($DF88&lt;&gt;$KB$9,0,各项系数!$F$76/4*($NE88^2-$NC88^2)*10^-2*各项系数!$F$41*10^-3*10^2)*各项系数!$J$4</f>
        <v>0</v>
      </c>
      <c r="KC88" s="106">
        <v>1</v>
      </c>
      <c r="KD88" s="78">
        <f t="shared" si="475"/>
        <v>0</v>
      </c>
      <c r="KE88" s="264">
        <f>KD88*各项系数!$E$41</f>
        <v>0</v>
      </c>
      <c r="KF88" s="78">
        <f t="shared" si="476"/>
        <v>3.7029654944309258E-3</v>
      </c>
      <c r="KG88" s="78">
        <f t="shared" si="477"/>
        <v>7.4059309888618516E-2</v>
      </c>
      <c r="KH88" s="237">
        <f>各项系数!$F$76/4*($NG88^2-$NE88^2)*10^-2*各项系数!$F$44*10^-3*10^2*各项系数!$J$4*0.75*$U88</f>
        <v>0.92883716709144881</v>
      </c>
      <c r="KI88" s="106">
        <v>1</v>
      </c>
      <c r="KJ88" s="78">
        <f t="shared" si="478"/>
        <v>0.92883716709144881</v>
      </c>
      <c r="KK88" s="78">
        <f>ROUND(KJ88*各项系数!$E$43,GT88)</f>
        <v>5</v>
      </c>
      <c r="KL88" s="235">
        <f>各项系数!$F$76/4*($NF88^2-$NE88^2)*10^-2*各项系数!$F$46*10^-3*10^2*各项系数!$J$4*PI()/4*R88</f>
        <v>4.6243468756976408E-2</v>
      </c>
      <c r="KM88" s="106">
        <v>1</v>
      </c>
      <c r="KN88" s="78">
        <f t="shared" si="479"/>
        <v>4.6243468756976408E-2</v>
      </c>
      <c r="KO88" s="78">
        <f>KN88*各项系数!$E$46</f>
        <v>3.1214341410959077</v>
      </c>
      <c r="KP88" s="237">
        <f>各项系数!$F$76/4*($NH88^2-$NE88^2)*10^-2*(VLOOKUP($KP$9,各项系数!$D$1:$F$143,3,0))*10^-3*10^2*各项系数!$J$4</f>
        <v>0.31751238168303114</v>
      </c>
      <c r="KQ88" s="106">
        <v>1</v>
      </c>
      <c r="KR88" s="78">
        <f t="shared" si="416"/>
        <v>0.31751238168303114</v>
      </c>
      <c r="KS88" s="78">
        <f>KR88*(VLOOKUP($KP$9,各项系数!$D$1:$F$143,2,0))</f>
        <v>5.397710488611529</v>
      </c>
      <c r="KT88" s="237">
        <f>各项系数!$F$76/4*($NI88^2-$NF88^2)*10^-2*(VLOOKUP($KT$9,各项系数!$D$1:$F$143,3,0))*10^-3*10^2*各项系数!$J$4</f>
        <v>0.31896279217934065</v>
      </c>
      <c r="KU88" s="106">
        <v>1</v>
      </c>
      <c r="KV88" s="78">
        <f t="shared" si="417"/>
        <v>0.31896279217934065</v>
      </c>
      <c r="KW88" s="78">
        <f>KV88*(VLOOKUP($KT$9,各项系数!$D$1:$F$143,2,0))</f>
        <v>5.4223674670487911</v>
      </c>
      <c r="KX88" s="78">
        <f>各项系数!$F$76/4*($NH88^2-$NE88^2)*10^-2*(VLOOKUP($KX$9,各项系数!$D$1:$F$143,3,0))*10^-3*10^2*各项系数!$J$4</f>
        <v>0.31751238168303114</v>
      </c>
      <c r="KY88" s="355">
        <v>1</v>
      </c>
      <c r="KZ88" s="78">
        <f t="shared" si="418"/>
        <v>0.31751238168303114</v>
      </c>
      <c r="LA88" s="78">
        <f>KZ88*(VLOOKUP($KX$9,各项系数!$D$1:$F$143,2,0))</f>
        <v>5.397710488611529</v>
      </c>
      <c r="LB88" s="78">
        <f>各项系数!$F$76/4*($NI88^2-$NF88^2)*10^-2*(VLOOKUP($LB$9,各项系数!$D$1:$F$143,3,0))*10^-3*10^2*各项系数!$J$4</f>
        <v>0.31896279217934065</v>
      </c>
      <c r="LC88" s="355">
        <v>1</v>
      </c>
      <c r="LD88" s="78">
        <f t="shared" si="419"/>
        <v>0.31896279217934065</v>
      </c>
      <c r="LE88" s="78">
        <f>LD88*(VLOOKUP($LB$9,各项系数!$D$1:$F$143,2,0))</f>
        <v>5.4223674670487911</v>
      </c>
      <c r="LF88" s="237">
        <f>各项系数!$F$76/4*($NH88^2-$NE88^2)*10^-2*(VLOOKUP(AN88,各项系数!$D$1:$F$143,3,0))*10^-3*10^2*各项系数!$J$4</f>
        <v>0.32189186280969362</v>
      </c>
      <c r="LG88" s="106">
        <v>1</v>
      </c>
      <c r="LH88" s="78">
        <f t="shared" si="480"/>
        <v>0.32189186280969362</v>
      </c>
      <c r="LI88" s="78">
        <f>LH88*(VLOOKUP(AN88,各项系数!$D$1:$F$143,2,0))</f>
        <v>3.2189186280969362</v>
      </c>
      <c r="LJ88" s="237">
        <f>各项系数!$F$76/4*($NI88^2-$NF88^2)*10^-2*(VLOOKUP(AN88,各项系数!$D$1:$F$143,3,0))*10^-3*10^2*各项系数!$J$4</f>
        <v>0.32336227896802122</v>
      </c>
      <c r="LK88" s="106">
        <v>1</v>
      </c>
      <c r="LL88" s="78">
        <f t="shared" si="481"/>
        <v>0.32336227896802122</v>
      </c>
      <c r="LM88" s="78">
        <f>LL88*(VLOOKUP(AN88,各项系数!$D$1:$F$143,2,0))</f>
        <v>3.2336227896802123</v>
      </c>
      <c r="LN88" s="78">
        <f>各项系数!$F$76/4*($NH88^2-$NE88^2)*10^-2*(VLOOKUP($LN$9,各项系数!$D$1:$F$143,3,0))*10^-3*10^2*各项系数!$J$4</f>
        <v>0.32189186280969362</v>
      </c>
      <c r="LO88" s="355">
        <v>1</v>
      </c>
      <c r="LP88" s="78">
        <f t="shared" si="482"/>
        <v>0.32189186280969362</v>
      </c>
      <c r="LQ88" s="78">
        <f>LP88*(VLOOKUP($LN$9,各项系数!$D$1:$F$143,2,0))</f>
        <v>3.5408104909066296</v>
      </c>
      <c r="LR88" s="78">
        <f>各项系数!$F$76/4*($NI88^2-$NF88^2)*10^-2*(VLOOKUP($LR$9,各项系数!$D$1:$F$143,3,0))*10^-3*10^2*各项系数!$J$4</f>
        <v>0.32336227896802122</v>
      </c>
      <c r="LS88" s="355">
        <v>1</v>
      </c>
      <c r="LT88" s="78">
        <f t="shared" si="483"/>
        <v>0.32336227896802122</v>
      </c>
      <c r="LU88" s="78">
        <f>LT88*(VLOOKUP($LR$9,各项系数!$D$1:$F$143,2,0))</f>
        <v>3.5569850686482334</v>
      </c>
      <c r="LV88" s="367">
        <f t="shared" si="420"/>
        <v>357.62190181</v>
      </c>
      <c r="LW88" s="367">
        <f t="shared" si="421"/>
        <v>223.51368862999999</v>
      </c>
      <c r="LX88" s="367">
        <f t="shared" si="422"/>
        <v>16.869690784164899</v>
      </c>
      <c r="LY88" s="367">
        <f t="shared" si="423"/>
        <v>134.10821318000001</v>
      </c>
      <c r="LZ88" s="374">
        <f t="shared" si="365"/>
        <v>1</v>
      </c>
      <c r="MA88" s="375">
        <f t="shared" si="366"/>
        <v>357.62190181</v>
      </c>
      <c r="MB88" s="367">
        <f t="shared" si="424"/>
        <v>9.5429382</v>
      </c>
      <c r="MC88" s="367">
        <f t="shared" si="425"/>
        <v>0</v>
      </c>
      <c r="MD88" s="367">
        <f t="shared" si="426"/>
        <v>0</v>
      </c>
      <c r="ME88" s="367">
        <f t="shared" si="427"/>
        <v>0</v>
      </c>
      <c r="MF88" s="367">
        <f t="shared" si="428"/>
        <v>0</v>
      </c>
      <c r="MG88" s="379">
        <f t="shared" si="429"/>
        <v>1</v>
      </c>
      <c r="MH88" s="375">
        <f t="shared" si="367"/>
        <v>0</v>
      </c>
      <c r="MI88" s="367">
        <f t="shared" si="430"/>
        <v>0</v>
      </c>
      <c r="MJ88" s="78">
        <f t="shared" si="368"/>
        <v>9.5429382</v>
      </c>
      <c r="MK88" s="78">
        <f t="shared" si="431"/>
        <v>9.5429382</v>
      </c>
      <c r="ML88" s="78">
        <f t="shared" si="484"/>
        <v>0</v>
      </c>
      <c r="MM88" s="78">
        <f t="shared" si="369"/>
        <v>0</v>
      </c>
      <c r="MN88" s="78">
        <f t="shared" si="370"/>
        <v>11.5429382</v>
      </c>
      <c r="MO88" s="189">
        <f t="shared" si="432"/>
        <v>0</v>
      </c>
      <c r="MP88" s="78">
        <f t="shared" si="433"/>
        <v>31.16593314</v>
      </c>
      <c r="MQ88" s="78">
        <f t="shared" si="485"/>
        <v>31.16593314</v>
      </c>
      <c r="MR88" s="246">
        <f t="shared" si="434"/>
        <v>31.16593314</v>
      </c>
      <c r="MS88" s="380">
        <f t="shared" si="371"/>
        <v>31.341933139999998</v>
      </c>
      <c r="MT88" s="382">
        <f t="shared" si="372"/>
        <v>31.501933139999998</v>
      </c>
      <c r="MU88" s="382">
        <f t="shared" si="373"/>
        <v>32.841933139999995</v>
      </c>
      <c r="MV88" s="382">
        <f t="shared" si="374"/>
        <v>35.341933139999995</v>
      </c>
      <c r="MW88" s="382">
        <f t="shared" si="375"/>
        <v>35.501933139999998</v>
      </c>
      <c r="MX88" s="246">
        <f t="shared" si="376"/>
        <v>10.1429382</v>
      </c>
      <c r="MY88" s="246">
        <f t="shared" si="377"/>
        <v>0</v>
      </c>
      <c r="MZ88" s="78">
        <f t="shared" si="378"/>
        <v>12.1429382</v>
      </c>
      <c r="NA88" s="78">
        <f t="shared" si="379"/>
        <v>0</v>
      </c>
      <c r="NB88" s="78">
        <f t="shared" si="435"/>
        <v>32.785933139999997</v>
      </c>
      <c r="NC88" s="246">
        <f t="shared" si="486"/>
        <v>32.785933139999997</v>
      </c>
      <c r="ND88" s="246">
        <f t="shared" si="436"/>
        <v>32.785933139999997</v>
      </c>
      <c r="NE88" s="386">
        <f t="shared" si="437"/>
        <v>33.025933139999999</v>
      </c>
      <c r="NF88" s="382">
        <f t="shared" si="380"/>
        <v>33.185933139999996</v>
      </c>
      <c r="NG88" s="150">
        <f t="shared" si="381"/>
        <v>34.525933139999999</v>
      </c>
      <c r="NH88" s="246">
        <f t="shared" si="382"/>
        <v>37.025933139999999</v>
      </c>
      <c r="NI88" s="382">
        <f t="shared" si="383"/>
        <v>37.185933139999996</v>
      </c>
      <c r="NK88" s="390">
        <f t="shared" si="384"/>
        <v>2.7811640705805436</v>
      </c>
      <c r="NL88" s="390">
        <f t="shared" si="385"/>
        <v>136.80582398653834</v>
      </c>
      <c r="NM88" s="390">
        <f t="shared" si="386"/>
        <v>2.7811640705805436</v>
      </c>
      <c r="NN88" s="390">
        <f t="shared" si="387"/>
        <v>137.11223971928163</v>
      </c>
      <c r="NO88" s="390">
        <f t="shared" si="388"/>
        <v>3.9046138983348464</v>
      </c>
      <c r="NP88" s="390">
        <f t="shared" si="389"/>
        <v>139.48561377537339</v>
      </c>
      <c r="NQ88" s="390">
        <f t="shared" si="390"/>
        <v>3.9046138983348464</v>
      </c>
      <c r="NR88" s="390">
        <f t="shared" si="391"/>
        <v>139.80750563818307</v>
      </c>
      <c r="NS88" s="390">
        <f t="shared" si="392"/>
        <v>2.8250552721152853</v>
      </c>
      <c r="NT88" s="390">
        <f t="shared" si="393"/>
        <v>2.8250552721152853</v>
      </c>
      <c r="NU88" s="390">
        <f t="shared" si="394"/>
        <v>3.9508573670918228</v>
      </c>
      <c r="NV88" s="390">
        <f t="shared" si="395"/>
        <v>3.9508573670918228</v>
      </c>
      <c r="NW88" s="9">
        <f t="shared" si="396"/>
        <v>3.3695155483559946</v>
      </c>
      <c r="NX88" s="9">
        <f>各项系数!$M$9*NK88</f>
        <v>0.8343492211741631</v>
      </c>
      <c r="NY88" s="9">
        <f t="shared" si="397"/>
        <v>2.8250552721152857</v>
      </c>
    </row>
    <row r="89" spans="1:389" s="10" customFormat="1" ht="15" hidden="1" customHeight="1">
      <c r="A89" s="400"/>
      <c r="B89" s="398"/>
      <c r="C89" s="401"/>
      <c r="D89" s="58" t="s">
        <v>193</v>
      </c>
      <c r="E89" s="54">
        <f t="shared" si="325"/>
        <v>39.366181019999999</v>
      </c>
      <c r="F89" s="68">
        <f>$F$25</f>
        <v>242.29596858910099</v>
      </c>
      <c r="G89" s="58"/>
      <c r="H89" s="16"/>
      <c r="I89" s="62"/>
      <c r="J89" s="16"/>
      <c r="K89" s="16"/>
      <c r="L89" s="100" t="s">
        <v>467</v>
      </c>
      <c r="M89" s="98">
        <f t="shared" si="339"/>
        <v>1.1000000000000001</v>
      </c>
      <c r="N89" s="98">
        <f t="shared" si="340"/>
        <v>0</v>
      </c>
      <c r="O89" s="58">
        <f t="shared" si="488"/>
        <v>0.08</v>
      </c>
      <c r="P89" s="99">
        <v>0.1</v>
      </c>
      <c r="Q89" s="136">
        <f t="shared" si="440"/>
        <v>0.1</v>
      </c>
      <c r="R89" s="151">
        <v>0.8</v>
      </c>
      <c r="S89" s="144" t="str">
        <f>各项系数!$D$43</f>
        <v>钢带</v>
      </c>
      <c r="T89" s="62">
        <v>0.5</v>
      </c>
      <c r="U89" s="62">
        <v>2</v>
      </c>
      <c r="V89" s="143"/>
      <c r="W89" s="145">
        <v>2.2000000000000002</v>
      </c>
      <c r="X89" s="139">
        <f t="shared" si="441"/>
        <v>0.2</v>
      </c>
      <c r="Y89" s="139"/>
      <c r="Z89" s="169"/>
      <c r="AA89" s="170">
        <f>$AA$25</f>
        <v>1.0129999999999999</v>
      </c>
      <c r="AB89" s="153">
        <f>PI()*EJ89*EJ89/4*EH89*(1-H89)*AA89*各项系数!$F$5*各项系数!$J$4*10^-7</f>
        <v>0.57842170409620475</v>
      </c>
      <c r="AC89" s="170">
        <f t="shared" si="327"/>
        <v>242.29596858910099</v>
      </c>
      <c r="AD89" s="153">
        <f t="shared" si="341"/>
        <v>65.39126499722515</v>
      </c>
      <c r="AE89" s="153">
        <f>POWER(4*EU89/PI()/EG89/10^-7/EH89/(1-H89)/各项系数!$F$5/各项系数!$J$4,0.5)</f>
        <v>243.86580688497418</v>
      </c>
      <c r="AF89" s="16">
        <v>1</v>
      </c>
      <c r="AG89" s="16">
        <f>IF(EM89=0,0,PI()*ER89*ER89/4*EP89*(1-K89)*(1+AF89)*各项系数!$F$5*各项系数!$J$4*10^-7)</f>
        <v>0</v>
      </c>
      <c r="AH89" s="16">
        <f t="shared" si="328"/>
        <v>0</v>
      </c>
      <c r="AI89" s="69">
        <f t="shared" si="398"/>
        <v>0</v>
      </c>
      <c r="AJ89" s="69">
        <f>IF(OR(EP89="",EP89=0),0,POWER(4*EW89/PI()/EO89/10^-7/EP89/(1-K89)/各项系数!$F$5/各项系数!$J$4,0.5))</f>
        <v>0</v>
      </c>
      <c r="AK89" s="16" t="str">
        <f t="shared" si="342"/>
        <v>√</v>
      </c>
      <c r="AL89" s="16">
        <f t="shared" si="329"/>
        <v>202.84540671334329</v>
      </c>
      <c r="AM89" s="62">
        <f t="shared" si="330"/>
        <v>70</v>
      </c>
      <c r="AN89" s="100" t="s">
        <v>486</v>
      </c>
      <c r="AO89" s="136">
        <f>AP89+各项系数!$M$9*$NK89</f>
        <v>198.86804579739538</v>
      </c>
      <c r="AP89" s="136">
        <f>AQ89*(1+$BI89+(VLOOKUP($AM89,$A$12:$B$323,2,0))+各项系数!$J$6+各项系数!$M$5)*(1+$E$2)</f>
        <v>197.71102144959573</v>
      </c>
      <c r="AQ89" s="198">
        <f>AR89+各项系数!$L$9*$NK89</f>
        <v>201.74594025468951</v>
      </c>
      <c r="AR89" s="198">
        <f>AS89*(1+$BJ89+各项系数!$J$5+各项系数!$L$5)</f>
        <v>200.58891590688987</v>
      </c>
      <c r="AS89" s="198">
        <f t="shared" si="399"/>
        <v>196.65579990871555</v>
      </c>
      <c r="AT89" s="136">
        <f>AU89+各项系数!$M$9*$NM89</f>
        <v>201.41014737573698</v>
      </c>
      <c r="AU89" s="136">
        <f>AV89*(1+$BI89+(VLOOKUP($AM89,$A$12:$B$323,2,0))+各项系数!$J$6+各项系数!$M$5)*(1+$E$2)</f>
        <v>200.25312302793733</v>
      </c>
      <c r="AV89" s="198">
        <f>AW89+各项系数!$L$9*$NM89</f>
        <v>204.33992145707893</v>
      </c>
      <c r="AW89" s="198">
        <f>AX89*(1+$BJ89+各项系数!$J$5+各项系数!$L$5)</f>
        <v>203.18289710927928</v>
      </c>
      <c r="AX89" s="198">
        <f t="shared" si="400"/>
        <v>199.19891873458752</v>
      </c>
      <c r="AY89" s="136">
        <f>AZ89+各项系数!$M$9*$NS89</f>
        <v>202.21634346620192</v>
      </c>
      <c r="AZ89" s="136">
        <f>BA89*(1+$BI89+(VLOOKUP($AM89,$A$12:$B$214,2,0))+各项系数!$J$6+各项系数!$M$5)*(1+$E$2)</f>
        <v>201.04463301693946</v>
      </c>
      <c r="BA89" s="198">
        <f>BB89+各项系数!$L$9*$NS89</f>
        <v>205.14758471116272</v>
      </c>
      <c r="BB89" s="198">
        <f>BC89*(1+$BJ89+各项系数!$J$5+各项系数!$L$5)</f>
        <v>203.97587426190026</v>
      </c>
      <c r="BC89" s="198">
        <f t="shared" si="401"/>
        <v>199.9763473155885</v>
      </c>
      <c r="BD89" s="136">
        <f>BE89+各项系数!$M$9*$NS89</f>
        <v>204.76938876384352</v>
      </c>
      <c r="BE89" s="136">
        <f>BF89*(1+$BI89+(VLOOKUP($AM89,$A$12:$B$214,2,0))+各项系数!$J$6+各项系数!$M$5)*(1+$E$2)</f>
        <v>203.59767831458106</v>
      </c>
      <c r="BF89" s="198">
        <f>BG89+各项系数!$L$9*$NS89</f>
        <v>207.7527329740623</v>
      </c>
      <c r="BG89" s="198">
        <f>BH89*(1+$BJ89+各项系数!$J$5+各项系数!$L$5)</f>
        <v>206.58102252479983</v>
      </c>
      <c r="BH89" s="198">
        <f t="shared" si="402"/>
        <v>202.53041423999983</v>
      </c>
      <c r="BI89" s="223"/>
      <c r="BJ89" s="209"/>
      <c r="BK89" s="58" t="s">
        <v>514</v>
      </c>
      <c r="BL89" s="136">
        <f>BM89+各项系数!$M$9*$NM89</f>
        <v>201.17452142946237</v>
      </c>
      <c r="BM89" s="136">
        <f>BN89*(1+$CF89+(VLOOKUP($AM89,$A$12:$B$323,2,0))+各项系数!$J$6+各项系数!$M$5)*(1+$E$2)</f>
        <v>200.01749708166273</v>
      </c>
      <c r="BN89" s="198">
        <f>BO89+各项系数!$L$9*$NM89</f>
        <v>204.09948681802319</v>
      </c>
      <c r="BO89" s="198">
        <f>BP89*(1+$CG89+各项系数!$J$5+各项系数!$L$5)</f>
        <v>202.94246247022355</v>
      </c>
      <c r="BP89" s="198">
        <f t="shared" si="403"/>
        <v>197.03151696138207</v>
      </c>
      <c r="BQ89" s="136">
        <f>BR89+各项系数!$M$9*$NM89</f>
        <v>203.36229677933594</v>
      </c>
      <c r="BR89" s="136">
        <f>BS89*(1+$CF89+(VLOOKUP($AM89,$A$12:$B$323,2,0))+各项系数!$J$6+各项系数!$M$5)*(1+$E$2)</f>
        <v>202.20527243153629</v>
      </c>
      <c r="BS89" s="198">
        <f>BT89+各项系数!$L$9*$NM89</f>
        <v>206.3319106444248</v>
      </c>
      <c r="BT89" s="198">
        <f>BU89*(1+$CG89+各项系数!$J$5+各项系数!$L$5)</f>
        <v>205.17488629662515</v>
      </c>
      <c r="BU89" s="198">
        <f t="shared" si="404"/>
        <v>199.19891873458752</v>
      </c>
      <c r="BV89" s="136">
        <f>BW89+各项系数!$M$9*$NT89</f>
        <v>203.41681501954815</v>
      </c>
      <c r="BW89" s="136">
        <f>BX89*(1+$CF89+(VLOOKUP($AM89,$A$12:$B$214,2,0))+各项系数!$J$6+各项系数!$M$5)*(1+$E$2)</f>
        <v>202.24510457028569</v>
      </c>
      <c r="BX89" s="198">
        <f>BY89+各项系数!$L$9*$NT$12</f>
        <v>206.372555683965</v>
      </c>
      <c r="BY89" s="198">
        <f>BZ89*(1+$CG89+各项系数!$J$5+各项系数!$L$5)</f>
        <v>206.36429228081002</v>
      </c>
      <c r="BZ89" s="198">
        <f t="shared" si="343"/>
        <v>200.35368182602915</v>
      </c>
      <c r="CA89" s="136">
        <f>CB89+各项系数!$M$9*$NT89</f>
        <v>205.61400871821016</v>
      </c>
      <c r="CB89" s="136">
        <f>CC89*(1+$CF89+(VLOOKUP($AM89,$A$12:$B$214,2,0))+各项系数!$J$6+各项系数!$M$5)*(1+$E$2)</f>
        <v>204.4422982689477</v>
      </c>
      <c r="CC89" s="198">
        <f>CD89+各项系数!$L$9*$NT$12</f>
        <v>208.61459007035481</v>
      </c>
      <c r="CD89" s="198">
        <f>CE89*(1+$CG89+各项系数!$J$5+各项系数!$L$5)</f>
        <v>208.60632666719982</v>
      </c>
      <c r="CE89" s="198">
        <f t="shared" si="405"/>
        <v>202.53041423999983</v>
      </c>
      <c r="CF89" s="223">
        <f t="shared" si="406"/>
        <v>0</v>
      </c>
      <c r="CG89" s="223">
        <f t="shared" si="344"/>
        <v>0.01</v>
      </c>
      <c r="CH89" s="62"/>
      <c r="CI89" s="136">
        <f>CJ89+各项系数!$M$9*$NO89</f>
        <v>203.89834601996085</v>
      </c>
      <c r="CJ89" s="136">
        <f>CK89*(1+$DC89+(VLOOKUP($AM89,$A$12:$B$323,2,0))+各项系数!$J$6+各项系数!$M$5)*(1+$E$2)+各项系数!$M$9*$NK89</f>
        <v>202.33005679342213</v>
      </c>
      <c r="CK89" s="198">
        <f>CL89+各项系数!$L$9*$NO89</f>
        <v>205.27860453634946</v>
      </c>
      <c r="CL89" s="198">
        <f>CM89*(1+$DD89+各项系数!$J$5+各项系数!$L$5)</f>
        <v>203.71031530981074</v>
      </c>
      <c r="CM89" s="198">
        <f t="shared" si="345"/>
        <v>199.71599540177522</v>
      </c>
      <c r="CN89" s="136">
        <f>CO89+各项系数!$M$9*$NO89</f>
        <v>206.27027826254437</v>
      </c>
      <c r="CO89" s="136">
        <f>CP89*(1+$DC89+(VLOOKUP($AM89,$A$12:$B$323,2,0))+各项系数!$J$6+各项系数!$M$5)*(1+$E$2)+各项系数!$M$9*$NK89</f>
        <v>204.70198903600564</v>
      </c>
      <c r="CP89" s="198">
        <f>CQ89+各项系数!$L$9*$NO89</f>
        <v>207.69894355939388</v>
      </c>
      <c r="CQ89" s="198">
        <f>CR89*(1+$DD89+各项系数!$J$5+各项系数!$L$5)</f>
        <v>206.13065433285516</v>
      </c>
      <c r="CR89" s="198">
        <f t="shared" si="346"/>
        <v>202.08887679691682</v>
      </c>
      <c r="CS89" s="136">
        <f>CT89+各项系数!$M$9*$NU89</f>
        <v>206.24973111398373</v>
      </c>
      <c r="CT89" s="136">
        <f t="shared" si="347"/>
        <v>204.66605010581551</v>
      </c>
      <c r="CU89" s="198">
        <f>CV89+各项系数!$L$9*$NU89</f>
        <v>208.84290827124033</v>
      </c>
      <c r="CV89" s="198">
        <f>CW89*(1+$DD89+各项系数!$J$5+各项系数!$L$5)</f>
        <v>207.25922726307212</v>
      </c>
      <c r="CW89" s="198">
        <f t="shared" si="348"/>
        <v>203.19532084614914</v>
      </c>
      <c r="CX89" s="136">
        <f>CY89+各项系数!$M$9*$NU89</f>
        <v>208.91795905725752</v>
      </c>
      <c r="CY89" s="136">
        <f t="shared" si="349"/>
        <v>207.33427804908931</v>
      </c>
      <c r="CZ89" s="198">
        <f>DA89+各项系数!$L$9*$NU89</f>
        <v>211.56558984600949</v>
      </c>
      <c r="DA89" s="198">
        <f>DB89*(1+$DD89+各项系数!$J$5+各项系数!$L$5)</f>
        <v>209.98190883784127</v>
      </c>
      <c r="DB89" s="198">
        <f t="shared" si="350"/>
        <v>205.86461650768751</v>
      </c>
      <c r="DC89" s="223">
        <f t="shared" si="407"/>
        <v>0</v>
      </c>
      <c r="DD89" s="223">
        <f t="shared" si="351"/>
        <v>0</v>
      </c>
      <c r="DE89" s="58" t="s">
        <v>498</v>
      </c>
      <c r="DF89" s="58" t="s">
        <v>513</v>
      </c>
      <c r="DG89" s="136">
        <f>DH89+各项系数!$M$9*$NQ89</f>
        <v>206.25199533411774</v>
      </c>
      <c r="DH89" s="136">
        <f>DI89*(1+$EA89+(VLOOKUP($AM89,$A$12:$B$323,2,0))+各项系数!$J$6+各项系数!$M$5)*(1+$E$2)+各项系数!$M$9*$NK89</f>
        <v>204.68370610757901</v>
      </c>
      <c r="DI89" s="198">
        <f>DJ89+各项系数!$L$9*$NQ89</f>
        <v>207.68028750997894</v>
      </c>
      <c r="DJ89" s="198">
        <f>DK89*(1+$EB89+各项系数!$J$5+各项系数!$L$5)</f>
        <v>206.11199828344022</v>
      </c>
      <c r="DK89" s="198">
        <f t="shared" si="352"/>
        <v>200.10873619751476</v>
      </c>
      <c r="DL89" s="136">
        <f>DM89+各项系数!$M$9*$NQ89</f>
        <v>208.5388988049894</v>
      </c>
      <c r="DM89" s="136">
        <f>DN89*(1+$EA89+(VLOOKUP($AM89,$A$12:$B$323,2,0))+各项系数!$J$6+各项系数!$M$5)*(1+$E$2)+各项系数!$M$9*$NK89</f>
        <v>206.97060957845068</v>
      </c>
      <c r="DN89" s="198">
        <f>DO89+各项系数!$L$9*$NQ89</f>
        <v>210.01386248025617</v>
      </c>
      <c r="DO89" s="198">
        <f>DP89*(1+$EB89+各项系数!$J$5+各项系数!$L$5)</f>
        <v>208.44557325371744</v>
      </c>
      <c r="DP89" s="198">
        <f t="shared" si="353"/>
        <v>202.3743429647742</v>
      </c>
      <c r="DQ89" s="136">
        <f>DR89+各项系数!$M$9*$NV89</f>
        <v>208.63911047937273</v>
      </c>
      <c r="DR89" s="136">
        <f t="shared" si="354"/>
        <v>207.05542947120452</v>
      </c>
      <c r="DS89" s="198">
        <f>DT89+各项系数!$L$9*$NV89</f>
        <v>211.28105048082094</v>
      </c>
      <c r="DT89" s="198">
        <f>DU89*(1+$EB89+各项系数!$J$5+各项系数!$L$5)</f>
        <v>209.69736947265272</v>
      </c>
      <c r="DU89" s="198">
        <f t="shared" si="355"/>
        <v>203.58967909966285</v>
      </c>
      <c r="DV89" s="136">
        <f>DW89+各项系数!$M$9*$NV89</f>
        <v>208.52388016118132</v>
      </c>
      <c r="DW89" s="136">
        <f t="shared" si="356"/>
        <v>206.94019915301311</v>
      </c>
      <c r="DX89" s="198">
        <f>DY89+各项系数!$L$9*$NV89</f>
        <v>211.16346852348278</v>
      </c>
      <c r="DY89" s="198">
        <f>DZ89*(1+$EB89+各项系数!$J$5+各项系数!$L$5)</f>
        <v>209.57978751531456</v>
      </c>
      <c r="DZ89" s="198">
        <f t="shared" si="357"/>
        <v>203.4755218595287</v>
      </c>
      <c r="EA89" s="223">
        <f t="shared" si="439"/>
        <v>0</v>
      </c>
      <c r="EB89" s="223">
        <f t="shared" si="358"/>
        <v>0.01</v>
      </c>
      <c r="EC89" s="236">
        <f t="shared" si="408"/>
        <v>5</v>
      </c>
      <c r="ED89" s="236" t="str">
        <f t="shared" si="442"/>
        <v>5*70</v>
      </c>
      <c r="EE89" s="58">
        <f t="shared" si="239"/>
        <v>70</v>
      </c>
      <c r="EF89" s="58" t="str">
        <f>LOOKUP(EH89,{1,7,10,14,19,24,30,37,48,61},{1,"1+6","2+8","4+10","1+6+12","2+8+14","4+10+16","1+6+12+18","3+9+15+21","1+6+12+18+24"})</f>
        <v>4+10</v>
      </c>
      <c r="EG89" s="62">
        <f t="shared" si="359"/>
        <v>5</v>
      </c>
      <c r="EH89" s="198">
        <f>VLOOKUP(EE89,各项系数!$B$87:$C$124,2,0)</f>
        <v>14</v>
      </c>
      <c r="EI89" s="62">
        <f>IF(EH89=0,0,VLOOKUP(EH89,各项系数!$D$142:$E$195,2,0))*1</f>
        <v>4.41</v>
      </c>
      <c r="EJ89" s="239">
        <f t="shared" si="409"/>
        <v>242.29596858910099</v>
      </c>
      <c r="EK89" s="58">
        <f t="shared" si="332"/>
        <v>0</v>
      </c>
      <c r="EL89" s="58">
        <f t="shared" si="360"/>
        <v>0</v>
      </c>
      <c r="EM89" s="58">
        <f t="shared" si="443"/>
        <v>0</v>
      </c>
      <c r="EN89" s="58">
        <f>IF(EP89=0,0,LOOKUP(EP89,{1,7,10,14,19,24,30,37,48,61},{1,"1+6","2+8","4+10","1+6+12","2+8+14","4+10+16","1+6+12+18","3+9+15+21","1+6+12+18+24"}))</f>
        <v>0</v>
      </c>
      <c r="EO89" s="58">
        <f t="shared" si="334"/>
        <v>0</v>
      </c>
      <c r="EP89" s="58">
        <f>IF(EM89=0,0,IF(EM89&lt;10,1,IF(AND(EM89&gt;=10,EM89&lt;=35),7,LOOKUP(EM89,{50,70,95,120,150,185,240,300},{10,14,19,24,30,37,48,61})*1)))</f>
        <v>0</v>
      </c>
      <c r="EQ89" s="58">
        <f>IF(EP89=0,0,VLOOKUP(EP89,各项系数!$D$142:$E$195,2,0))*1</f>
        <v>0</v>
      </c>
      <c r="ER89" s="58">
        <f t="shared" si="335"/>
        <v>0</v>
      </c>
      <c r="ES89" s="236">
        <f t="shared" si="444"/>
        <v>5</v>
      </c>
      <c r="ET89" s="58">
        <f>VLOOKUP(ES89,各项系数!$D$142:$E$195,2,0)*1</f>
        <v>2.7</v>
      </c>
      <c r="EU89" s="243">
        <f>((各项系数!$F$76/4*$EJ89^2*$EG89*$EH89*1*10^-7)*(1-$H89)*AA89)*(VLOOKUP($EY$9,各项系数!$D$4:$F$143,3,0))*各项系数!$J$4</f>
        <v>2.8921085204810244</v>
      </c>
      <c r="EV89" s="245">
        <f>EU89*(VLOOKUP($EY$9,各项系数!$D$4:$F$143,2,0))</f>
        <v>189.43310809150711</v>
      </c>
      <c r="EW89" s="252">
        <f>(IF($EO89=0,0,(各项系数!$F$76/4*$ER89^2*$EO89*$EP89*1*10^-7))*(1-$K89)*$AF89)*(VLOOKUP($EY$9,各项系数!$D$4:$F$143,3,0))*各项系数!$J$4</f>
        <v>0</v>
      </c>
      <c r="EX89" s="245">
        <f>EW89*(VLOOKUP($EY$9,各项系数!$D$4:$F$143,2,0))</f>
        <v>0</v>
      </c>
      <c r="EY89" s="189">
        <f>((各项系数!$F$76/4*$EJ89^2*$EG89*$EH89*1*10^-7)*(1-$H89)*AA89+IF($EO89=0,0,(各项系数!$F$76/4*$ER89^2*$EO89*$EP89*1*10^-7))*(1-$K89)*$AF89)*(VLOOKUP($EY$9,各项系数!$D$4:$F$143,3,0))*各项系数!$J$4</f>
        <v>2.8921085204810244</v>
      </c>
      <c r="EZ89" s="62">
        <v>1</v>
      </c>
      <c r="FA89" s="58">
        <f t="shared" si="445"/>
        <v>2.8921085204810244</v>
      </c>
      <c r="FB89" s="245">
        <f>FA89*(VLOOKUP($EY$9,各项系数!$D$4:$F$143,2,0))</f>
        <v>189.43310809150711</v>
      </c>
      <c r="FC89" s="256"/>
      <c r="FD89" s="236">
        <f>各项系数!$F$76/4*($MN89^2-MK89^2)*10^-2*(VLOOKUP(L89,各项系数!$D$1:$F$143,3,0))*10^-3*10^2*$EG89*各项系数!$J$4</f>
        <v>0.22287800407989719</v>
      </c>
      <c r="FE89" s="263">
        <f>FD89*VLOOKUP(L89,各项系数!$D$1:$F$143,2,0)</f>
        <v>2.2733556416149514</v>
      </c>
      <c r="FF89" s="62">
        <f>各项系数!$F$76/4*($MO89^2-ML89^2)*10^-2*(VLOOKUP(L89,各项系数!$D$1:$F$143,3,0))*10^-3*10^2*$EO89*各项系数!$J$4</f>
        <v>0</v>
      </c>
      <c r="FG89" s="263">
        <f>FF89*VLOOKUP(L89,各项系数!$D$1:$F$143,2,0)</f>
        <v>0</v>
      </c>
      <c r="FH89" s="236">
        <f t="shared" si="410"/>
        <v>0.22287800407989719</v>
      </c>
      <c r="FI89" s="62">
        <v>1</v>
      </c>
      <c r="FJ89" s="58">
        <f t="shared" si="446"/>
        <v>0.22287800407989719</v>
      </c>
      <c r="FK89" s="263">
        <f>FJ89*VLOOKUP(L89,各项系数!$D$1:$F$143,2,0)</f>
        <v>2.2733556416149514</v>
      </c>
      <c r="FL89" s="236"/>
      <c r="FM89" s="62"/>
      <c r="FN89" s="58"/>
      <c r="FO89" s="263"/>
      <c r="FP89" s="286">
        <f t="shared" si="447"/>
        <v>0.22287800407989719</v>
      </c>
      <c r="FQ89" s="286">
        <f t="shared" si="448"/>
        <v>2.2733556416149514</v>
      </c>
      <c r="FR89" s="287">
        <f>各项系数!$F$76/4*($MQ89^2-$MN89^2*$EG89-$MO89^2*$EO89)*10^-2</f>
        <v>2.9861472008384142</v>
      </c>
      <c r="FS89" s="288">
        <f t="shared" si="411"/>
        <v>1</v>
      </c>
      <c r="FT89" s="285">
        <f t="shared" si="361"/>
        <v>2.9861472008384142</v>
      </c>
      <c r="FU89" s="305">
        <f>$FT89*(VLOOKUP($FT$9,各项系数!$D$1:$F$143,3,0))*10^-3*10^2*各项系数!$J$55</f>
        <v>0.35654597578010672</v>
      </c>
      <c r="FV89" s="306">
        <v>1</v>
      </c>
      <c r="FW89" s="307">
        <f t="shared" si="449"/>
        <v>0.35654597578010672</v>
      </c>
      <c r="FX89" s="308">
        <f>FW89*(VLOOKUP($FT$9,各项系数!$D$1:$F$143,2,0))</f>
        <v>1.0696379273403203</v>
      </c>
      <c r="FY89" s="305">
        <f>IF($BK89&lt;&gt;$FY$9,0,各项系数!$F$76/4*($MS89^2-$MQ89^2)*10^-2*(VLOOKUP($FY$9,各项系数!$D$1:$F$143,3,0))*10^-3*10^2)*各项系数!$J$4</f>
        <v>0</v>
      </c>
      <c r="FZ89" s="306">
        <v>1</v>
      </c>
      <c r="GA89" s="307">
        <f t="shared" si="450"/>
        <v>0</v>
      </c>
      <c r="GB89" s="308">
        <f>GA89*(VLOOKUP($FY$9,各项系数!$D$1:$F$143,2,0))</f>
        <v>0</v>
      </c>
      <c r="GC89" s="305">
        <f>IF($BK89&lt;&gt;$GC$9,0,各项系数!$F$76/4*($MS89^2-$MQ89^2)*10^-2*(VLOOKUP($GC$9,各项系数!$D$1:$F$143,3,0))*10^-3*10^2)*各项系数!$J$4</f>
        <v>9.4982729913215772E-3</v>
      </c>
      <c r="GD89" s="306">
        <v>1</v>
      </c>
      <c r="GE89" s="307">
        <f t="shared" si="451"/>
        <v>9.4982729913215772E-3</v>
      </c>
      <c r="GF89" s="308">
        <f>GE89*(VLOOKUP($GC$9,各项系数!$D$1:$F$143,2,0))</f>
        <v>0.12252772158804835</v>
      </c>
      <c r="GG89" s="305">
        <f>IF($BK89&lt;&gt;$GG$9,0,各项系数!$F$76/4*($MS89^2-$MQ89^2)*10^-2*(VLOOKUP($GG$9,各项系数!$D$1:$F$143,3,0))*10^-3*10^2)*各项系数!$J$4</f>
        <v>0</v>
      </c>
      <c r="GH89" s="306">
        <v>1</v>
      </c>
      <c r="GI89" s="307">
        <f t="shared" si="452"/>
        <v>0</v>
      </c>
      <c r="GJ89" s="308">
        <f>GI89*(VLOOKUP($GG$9,各项系数!$D$1:$F$143,2,0))</f>
        <v>0</v>
      </c>
      <c r="GK89" s="305">
        <f>IF($BK89&lt;&gt;$GK$9,0,各项系数!$F$76/4*($MS89^2-$MQ89^2)*10^-2*(VLOOKUP($GK$9,各项系数!$D$1:$F$143,3,0))*10^-3*10^2)*各项系数!$J$4</f>
        <v>0</v>
      </c>
      <c r="GL89" s="306">
        <v>1</v>
      </c>
      <c r="GM89" s="307">
        <f t="shared" si="453"/>
        <v>0</v>
      </c>
      <c r="GN89" s="308">
        <f>GM89*(VLOOKUP($GK$9,各项系数!$D$1:$F$143,2,0))</f>
        <v>0</v>
      </c>
      <c r="GO89" s="307">
        <f t="shared" si="454"/>
        <v>9.4982729913215772E-3</v>
      </c>
      <c r="GP89" s="307">
        <f t="shared" si="455"/>
        <v>0.12252772158804835</v>
      </c>
      <c r="GQ89" s="316">
        <f>各项系数!$F$76/4*($MU89^2-$MS89^2)*10^-2*(VLOOKUP($S89,各项系数!$D$1:$F$143,3,0))*10^-3*10^2*各项系数!$J$4</f>
        <v>0.65479595111771938</v>
      </c>
      <c r="GR89" s="306">
        <v>1</v>
      </c>
      <c r="GS89" s="307">
        <f t="shared" si="456"/>
        <v>0.65479595111771938</v>
      </c>
      <c r="GT89" s="307">
        <f t="shared" si="457"/>
        <v>0</v>
      </c>
      <c r="GU89" s="307">
        <f>ROUND($GS89*(VLOOKUP($S89,各项系数!$D$1:$F$143,2,0))+$E$3*GS89,GT89)</f>
        <v>4</v>
      </c>
      <c r="GV89" s="315">
        <f>各项系数!$F$76/4*($MT89^2-$MS89^2)*10^-2*(VLOOKUP($GV$9,各项系数!$D$1:$F$143,3,0))*10^-3*10^2*各项系数!$J$4*PI()/4*R89</f>
        <v>4.8953671542686358E-2</v>
      </c>
      <c r="GW89" s="306">
        <v>1</v>
      </c>
      <c r="GX89" s="307">
        <f t="shared" si="458"/>
        <v>4.8953671542686358E-2</v>
      </c>
      <c r="GY89" s="307">
        <f>$GX89*(VLOOKUP($GV$9,各项系数!$D$1:$F$143,2,0))</f>
        <v>3.3043728291313292</v>
      </c>
      <c r="GZ89" s="316">
        <f>各项系数!$F$76/4*($MV89^2-$MS89^2)*10^-2*(VLOOKUP($GZ$9,各项系数!$D$1:$F$143,3,0))*10^-3*10^2*各项系数!$J$4</f>
        <v>0.37060525603159272</v>
      </c>
      <c r="HA89" s="306">
        <v>1</v>
      </c>
      <c r="HB89" s="307">
        <f t="shared" si="412"/>
        <v>0.37060525603159272</v>
      </c>
      <c r="HC89" s="307">
        <f>HB89*(VLOOKUP($GZ$9,各项系数!$D$1:$F$143,2,0))</f>
        <v>6.3002893525370762</v>
      </c>
      <c r="HD89" s="316">
        <f>各项系数!$F$76/4*($MW89^2-$MT89^2)*10^-2*(VLOOKUP($HD$9,各项系数!$D$1:$F$143,3,0))*10^-3*10^2*各项系数!$J$4</f>
        <v>0.37220070757753315</v>
      </c>
      <c r="HE89" s="306">
        <v>1</v>
      </c>
      <c r="HF89" s="307">
        <f t="shared" si="413"/>
        <v>0.37220070757753315</v>
      </c>
      <c r="HG89" s="307">
        <f>HF89*(VLOOKUP($HD$9,各项系数!$D$1:$F$143,2,0))</f>
        <v>6.3274120288180633</v>
      </c>
      <c r="HH89" s="316">
        <f>各项系数!$F$76/4*($MV89^2-$MS89^2)*10^-2*(VLOOKUP($HH$9,各项系数!$D$1:$F$143,3,0))*10^-3*10^2*各项系数!$J$4</f>
        <v>0.37060525603159272</v>
      </c>
      <c r="HI89" s="307">
        <v>1</v>
      </c>
      <c r="HJ89" s="307">
        <f t="shared" si="414"/>
        <v>0.37060525603159272</v>
      </c>
      <c r="HK89" s="307">
        <f>HJ89*(VLOOKUP($HH$9,各项系数!$D$1:$F$143,2,0))</f>
        <v>6.3002893525370762</v>
      </c>
      <c r="HL89" s="316">
        <f>各项系数!$F$76/4*($MW89^2-$MT89^2)*10^-2*(VLOOKUP($HL$9,各项系数!$D$1:$F$143,3,0))*10^-3*10^2*各项系数!$J$4</f>
        <v>0.37220070757753315</v>
      </c>
      <c r="HM89" s="307">
        <v>1</v>
      </c>
      <c r="HN89" s="307">
        <f t="shared" si="362"/>
        <v>0.37220070757753315</v>
      </c>
      <c r="HO89" s="307">
        <f>HN89*(VLOOKUP($HL$9,各项系数!$D$1:$F$143,2,0))</f>
        <v>6.3274120288180633</v>
      </c>
      <c r="HP89" s="316">
        <f>各项系数!$F$76/4*($MV89^2-$MS89^2)*10^-2*(VLOOKUP(AN89,各项系数!$D$1:$F$143,3,0))*10^-3*10^2*各项系数!$J$4</f>
        <v>0.37571705266651123</v>
      </c>
      <c r="HQ89" s="306">
        <v>1</v>
      </c>
      <c r="HR89" s="307">
        <f t="shared" si="459"/>
        <v>0.37571705266651123</v>
      </c>
      <c r="HS89" s="307">
        <f>HR89*(VLOOKUP(AN89,各项系数!$D$1:$F$143,2,0))</f>
        <v>3.7571705266651123</v>
      </c>
      <c r="HT89" s="316">
        <f>各项系数!$F$76/4*($MW89^2-$MT89^2)*10^-2*(VLOOKUP(AN89,各项系数!$D$1:$F$143,3,0))*10^-3*10^2*各项系数!$J$4</f>
        <v>0.37733451044067151</v>
      </c>
      <c r="HU89" s="306">
        <v>1</v>
      </c>
      <c r="HV89" s="307">
        <f t="shared" si="460"/>
        <v>0.37733451044067151</v>
      </c>
      <c r="HW89" s="307">
        <f>HV89*(VLOOKUP(AN89,各项系数!$D$1:$F$143,2,0))</f>
        <v>3.7733451044067152</v>
      </c>
      <c r="HX89" s="316">
        <f>各项系数!$F$76/4*($MV89^2-$MS89^2)*10^-2*(VLOOKUP($HX$9,各项系数!$D$1:$F$143,3,0))*10^-3*10^2*各项系数!$J$4</f>
        <v>0.37571705266651123</v>
      </c>
      <c r="HY89" s="307">
        <v>1</v>
      </c>
      <c r="HZ89" s="307">
        <f t="shared" si="461"/>
        <v>0.37571705266651123</v>
      </c>
      <c r="IA89" s="307">
        <f>HZ89*(VLOOKUP($HX$9,各项系数!$D$1:$F$143,2,0))</f>
        <v>4.1328875793316238</v>
      </c>
      <c r="IB89" s="316">
        <f>各项系数!$F$76/4*($MW89^2-$MT89^2)*10^-2*(VLOOKUP($IB$9,各项系数!$D$1:$F$143,3,0))*10^-3*10^2*各项系数!$J$4</f>
        <v>0.37733451044067151</v>
      </c>
      <c r="IC89" s="307">
        <v>1</v>
      </c>
      <c r="ID89" s="307">
        <f t="shared" si="462"/>
        <v>0.37733451044067151</v>
      </c>
      <c r="IE89" s="307">
        <f>ID89*(VLOOKUP($IB$9,各项系数!$D$1:$F$143,2,0))</f>
        <v>4.1506796148473866</v>
      </c>
      <c r="IF89" s="305"/>
      <c r="IG89" s="316">
        <f t="shared" si="415"/>
        <v>7.7261921471431988E-2</v>
      </c>
      <c r="IH89" s="306">
        <v>1</v>
      </c>
      <c r="II89" s="307">
        <f t="shared" si="463"/>
        <v>7.7261921471431988E-2</v>
      </c>
      <c r="IJ89" s="307">
        <f>II89*(VLOOKUP($IG$8,各项系数!$D$1:$F$143,2,0))</f>
        <v>1.9315480367857998</v>
      </c>
      <c r="IK89" s="316">
        <f>(各项系数!$F$76/4*($MX89^2-$MK89^2)*$EG89)*10^-2*(VLOOKUP($IG$8,各项系数!$D$1:$F$143,3,0))*10^-3*10^2*各项系数!$J$4</f>
        <v>7.7261921471431988E-2</v>
      </c>
      <c r="IL89" s="306">
        <f>IK89*(VLOOKUP($IG$8,各项系数!$D$1:$F$143,2,0))</f>
        <v>1.9315480367857998</v>
      </c>
      <c r="IM89" s="307">
        <f>(各项系数!$F$76/4*(($MM89+3*$X89)^2-MM89^2)*$EO89)*10^-2*(VLOOKUP($IG$8,各项系数!$D$1:$F$143,3,0))*10^-3*10^2*各项系数!$J$4</f>
        <v>0</v>
      </c>
      <c r="IN89" s="306">
        <f>IM89*(VLOOKUP($IG$8,各项系数!$D$1:$F$143,2,0))</f>
        <v>0</v>
      </c>
      <c r="IO89" s="316">
        <f>各项系数!$F$76/4*($MZ89^2-$MX89^2)*10^-2*(VLOOKUP(L89,各项系数!$D$1:$F$143,3,0))*10^-3*10^2*$ES89*各项系数!$J$4</f>
        <v>0.23422496550576558</v>
      </c>
      <c r="IP89" s="306">
        <v>1</v>
      </c>
      <c r="IQ89" s="307">
        <f t="shared" si="464"/>
        <v>0.23422496550576558</v>
      </c>
      <c r="IR89" s="308">
        <f>IQ89*(VLOOKUP(L89,各项系数!$D$1:$F$143,2,0))</f>
        <v>2.3890946481588089</v>
      </c>
      <c r="IS89" s="316">
        <f>IF($L89&lt;&gt;$IS$9,0,各项系数!$F$76/4*($MZ89^2-$MX89^2)*10^-2*各项系数!$F$12*10^-3*10^2)*$ES89*各项系数!$J$4</f>
        <v>0</v>
      </c>
      <c r="IT89" s="306">
        <v>1</v>
      </c>
      <c r="IU89" s="307">
        <f t="shared" si="465"/>
        <v>0</v>
      </c>
      <c r="IV89" s="308">
        <f>IU89*各项系数!$E$12</f>
        <v>0</v>
      </c>
      <c r="IW89" s="305">
        <f t="shared" si="466"/>
        <v>0.23422496550576558</v>
      </c>
      <c r="IX89" s="305">
        <f t="shared" si="467"/>
        <v>2.3890946481588089</v>
      </c>
      <c r="IY89" s="340">
        <f>各项系数!$F$76/4*($NB89^2-$MZ89^2*$EG89-$NA89^2*$EO89)*10^-2</f>
        <v>3.27072109170305</v>
      </c>
      <c r="IZ89" s="288">
        <f t="shared" si="487"/>
        <v>1</v>
      </c>
      <c r="JA89" s="285">
        <f t="shared" si="363"/>
        <v>3.27072109170305</v>
      </c>
      <c r="JB89" s="286">
        <f>IF($DE89&lt;&gt;$JB$9,0,$JA89*各项系数!$F$32*10^-3*10^2)*各项系数!$J$4</f>
        <v>0</v>
      </c>
      <c r="JC89" s="62">
        <v>1</v>
      </c>
      <c r="JD89" s="58">
        <f t="shared" si="468"/>
        <v>0</v>
      </c>
      <c r="JE89" s="263">
        <f>JD89*各项系数!$E$32</f>
        <v>0</v>
      </c>
      <c r="JF89" s="282">
        <f>IF($DE89&lt;&gt;$JF$9,0,$JA89*VLOOKUP($JF$9,各项系数!$D$4:$F$540,2,0)*10^-3*10^2)*各项系数!$J$4</f>
        <v>1.6271837431222673</v>
      </c>
      <c r="JG89" s="102">
        <v>1</v>
      </c>
      <c r="JH89" s="189">
        <f t="shared" si="364"/>
        <v>1.6271837431222673</v>
      </c>
      <c r="JI89" s="262">
        <f>JH89*VLOOKUP($JF$9,各项系数!$D$4:$F$540,3,0)</f>
        <v>1.9526204917467207</v>
      </c>
      <c r="JJ89" s="286">
        <f t="shared" si="469"/>
        <v>1.6271837431222673</v>
      </c>
      <c r="JK89" s="58">
        <f t="shared" si="470"/>
        <v>1.9526204917467207</v>
      </c>
      <c r="JL89" s="286">
        <f>IF($DF89&lt;&gt;$JL$9,0,各项系数!$F$76/4*($NE89^2-$NC89^2)*10^-2*各项系数!$F$39*10^-3*10^2)*各项系数!$J$4</f>
        <v>4.1108088090637245E-3</v>
      </c>
      <c r="JM89" s="62">
        <v>1</v>
      </c>
      <c r="JN89" s="58">
        <f t="shared" si="471"/>
        <v>4.1108088090637245E-3</v>
      </c>
      <c r="JO89" s="263">
        <f>JN89*各项系数!$E$39</f>
        <v>8.2216176181274497E-2</v>
      </c>
      <c r="JP89" s="286">
        <f>IF($DF89&lt;&gt;$JP$9,0,各项系数!$F$76/4*($NE89^2-$NC89^2)*10^-2*各项系数!$F$36*10^-3*10^2)*各项系数!$J$4</f>
        <v>0</v>
      </c>
      <c r="JQ89" s="62">
        <v>1</v>
      </c>
      <c r="JR89" s="58">
        <f t="shared" si="472"/>
        <v>0</v>
      </c>
      <c r="JS89" s="263">
        <f>JR89*各项系数!$E$36</f>
        <v>0</v>
      </c>
      <c r="JT89" s="286">
        <f>IF($DF89&lt;&gt;$JT$9,0,各项系数!$F$76/4*($NE89^2-$NC89^2)*10^-2*各项系数!$F$40*10^-3*10^2)*各项系数!$J$4</f>
        <v>0</v>
      </c>
      <c r="JU89" s="62">
        <v>1</v>
      </c>
      <c r="JV89" s="58">
        <f t="shared" si="473"/>
        <v>0</v>
      </c>
      <c r="JW89" s="263">
        <f>JV89*各项系数!$E$40</f>
        <v>0</v>
      </c>
      <c r="JX89" s="286">
        <f>IF($DF89&lt;&gt;$JX$9,0,各项系数!$F$76/4*($NE89^2-$NC89^2)*10^-2*各项系数!$F$38*10^-3*10^2)*各项系数!$J$4</f>
        <v>0</v>
      </c>
      <c r="JY89" s="62">
        <v>1</v>
      </c>
      <c r="JZ89" s="58">
        <f t="shared" si="474"/>
        <v>0</v>
      </c>
      <c r="KA89" s="263">
        <f>JZ89*各项系数!$E$38</f>
        <v>0</v>
      </c>
      <c r="KB89" s="286">
        <f>IF($DF89&lt;&gt;$KB$9,0,各项系数!$F$76/4*($NE89^2-$NC89^2)*10^-2*各项系数!$F$41*10^-3*10^2)*各项系数!$J$4</f>
        <v>0</v>
      </c>
      <c r="KC89" s="62">
        <v>1</v>
      </c>
      <c r="KD89" s="58">
        <f t="shared" si="475"/>
        <v>0</v>
      </c>
      <c r="KE89" s="263">
        <f>KD89*各项系数!$E$41</f>
        <v>0</v>
      </c>
      <c r="KF89" s="58">
        <f t="shared" si="476"/>
        <v>4.1108088090637245E-3</v>
      </c>
      <c r="KG89" s="58">
        <f t="shared" si="477"/>
        <v>8.2216176181274497E-2</v>
      </c>
      <c r="KH89" s="236">
        <f>各项系数!$F$76/4*($NG89^2-$NE89^2)*10^-2*各项系数!$F$44*10^-3*10^2*各项系数!$J$4*0.75*$U89</f>
        <v>1.0285038771048534</v>
      </c>
      <c r="KI89" s="62">
        <v>1</v>
      </c>
      <c r="KJ89" s="58">
        <f t="shared" si="478"/>
        <v>1.0285038771048534</v>
      </c>
      <c r="KK89" s="58">
        <f>ROUND(KJ89*各项系数!$E$43,GT89)</f>
        <v>6</v>
      </c>
      <c r="KL89" s="235">
        <f>各项系数!$F$76/4*($NF89^2-$NE89^2)*10^-2*各项系数!$F$46*10^-3*10^2*各项系数!$J$4*PI()/4*R89</f>
        <v>5.1305938764923356E-2</v>
      </c>
      <c r="KM89" s="62">
        <v>1</v>
      </c>
      <c r="KN89" s="58">
        <f t="shared" si="479"/>
        <v>5.1305938764923356E-2</v>
      </c>
      <c r="KO89" s="58">
        <f>KN89*各项系数!$E$46</f>
        <v>3.4631508666323265</v>
      </c>
      <c r="KP89" s="236">
        <f>各项系数!$F$76/4*($NH89^2-$NE89^2)*10^-2*(VLOOKUP($KP$9,各项系数!$D$1:$F$143,3,0))*10^-3*10^2*各项系数!$J$4</f>
        <v>0.3873973835526146</v>
      </c>
      <c r="KQ89" s="62">
        <v>1</v>
      </c>
      <c r="KR89" s="58">
        <f t="shared" si="416"/>
        <v>0.3873973835526146</v>
      </c>
      <c r="KS89" s="58">
        <f>KR89*(VLOOKUP($KP$9,各项系数!$D$1:$F$143,2,0))</f>
        <v>6.5857555203944482</v>
      </c>
      <c r="KT89" s="236">
        <f>各项系数!$F$76/4*($NI89^2-$NF89^2)*10^-2*(VLOOKUP($KT$9,各项系数!$D$1:$F$143,3,0))*10^-3*10^2*各项系数!$J$4</f>
        <v>0.38899283509855442</v>
      </c>
      <c r="KU89" s="62">
        <v>1</v>
      </c>
      <c r="KV89" s="58">
        <f t="shared" si="417"/>
        <v>0.38899283509855442</v>
      </c>
      <c r="KW89" s="58">
        <f>KV89*(VLOOKUP($KT$9,各项系数!$D$1:$F$143,2,0))</f>
        <v>6.6128781966754255</v>
      </c>
      <c r="KX89" s="58">
        <f>各项系数!$F$76/4*($NH89^2-$NE89^2)*10^-2*(VLOOKUP($KX$9,各项系数!$D$1:$F$143,3,0))*10^-3*10^2*各项系数!$J$4</f>
        <v>0.3873973835526146</v>
      </c>
      <c r="KY89" s="354">
        <v>1</v>
      </c>
      <c r="KZ89" s="58">
        <f t="shared" si="418"/>
        <v>0.3873973835526146</v>
      </c>
      <c r="LA89" s="58">
        <f>KZ89*(VLOOKUP($KX$9,各项系数!$D$1:$F$143,2,0))</f>
        <v>6.5857555203944482</v>
      </c>
      <c r="LB89" s="58">
        <f>各项系数!$F$76/4*($NI89^2-$NF89^2)*10^-2*(VLOOKUP($LB$9,各项系数!$D$1:$F$143,3,0))*10^-3*10^2*各项系数!$J$4</f>
        <v>0.38899283509855442</v>
      </c>
      <c r="LC89" s="354">
        <v>1</v>
      </c>
      <c r="LD89" s="58">
        <f t="shared" si="419"/>
        <v>0.38899283509855442</v>
      </c>
      <c r="LE89" s="58">
        <f>LD89*(VLOOKUP($LB$9,各项系数!$D$1:$F$143,2,0))</f>
        <v>6.6128781966754255</v>
      </c>
      <c r="LF89" s="236">
        <f>各项系数!$F$76/4*($NH89^2-$NE89^2)*10^-2*(VLOOKUP(AN89,各项系数!$D$1:$F$143,3,0))*10^-3*10^2*各项系数!$J$4</f>
        <v>0.39274079573954712</v>
      </c>
      <c r="LG89" s="62">
        <v>1</v>
      </c>
      <c r="LH89" s="58">
        <f t="shared" si="480"/>
        <v>0.39274079573954712</v>
      </c>
      <c r="LI89" s="58">
        <f>LH89*(VLOOKUP(AN89,各项系数!$D$1:$F$143,2,0))</f>
        <v>3.927407957395471</v>
      </c>
      <c r="LJ89" s="236">
        <f>各项系数!$F$76/4*($NI89^2-$NF89^2)*10^-2*(VLOOKUP(AN89,各项系数!$D$1:$F$143,3,0))*10^-3*10^2*各项系数!$J$4</f>
        <v>0.3943582535137069</v>
      </c>
      <c r="LK89" s="62">
        <v>1</v>
      </c>
      <c r="LL89" s="58">
        <f t="shared" si="481"/>
        <v>0.3943582535137069</v>
      </c>
      <c r="LM89" s="58">
        <f>LL89*(VLOOKUP(AN89,各项系数!$D$1:$F$143,2,0))</f>
        <v>3.943582535137069</v>
      </c>
      <c r="LN89" s="58">
        <f>各项系数!$F$76/4*($NH89^2-$NE89^2)*10^-2*(VLOOKUP($LN$9,各项系数!$D$1:$F$143,3,0))*10^-3*10^2*各项系数!$J$4</f>
        <v>0.39274079573954712</v>
      </c>
      <c r="LO89" s="354">
        <v>1</v>
      </c>
      <c r="LP89" s="58">
        <f t="shared" si="482"/>
        <v>0.39274079573954712</v>
      </c>
      <c r="LQ89" s="58">
        <f>LP89*(VLOOKUP($LN$9,各项系数!$D$1:$F$143,2,0))</f>
        <v>4.320148753135018</v>
      </c>
      <c r="LR89" s="58">
        <f>各项系数!$F$76/4*($NI89^2-$NF89^2)*10^-2*(VLOOKUP($LR$9,各项系数!$D$1:$F$143,3,0))*10^-3*10^2*各项系数!$J$4</f>
        <v>0.3943582535137069</v>
      </c>
      <c r="LS89" s="354">
        <v>1</v>
      </c>
      <c r="LT89" s="58">
        <f t="shared" si="483"/>
        <v>0.3943582535137069</v>
      </c>
      <c r="LU89" s="58">
        <f>LT89*(VLOOKUP($LR$9,各项系数!$D$1:$F$143,2,0))</f>
        <v>4.3379407886507764</v>
      </c>
      <c r="LV89" s="366">
        <f t="shared" si="420"/>
        <v>448.36266549999999</v>
      </c>
      <c r="LW89" s="366">
        <f t="shared" si="421"/>
        <v>322.76044037000003</v>
      </c>
      <c r="LX89" s="366">
        <f t="shared" si="422"/>
        <v>20.27193518525598</v>
      </c>
      <c r="LY89" s="366">
        <f t="shared" si="423"/>
        <v>125.60222512999997</v>
      </c>
      <c r="LZ89" s="374">
        <f t="shared" si="365"/>
        <v>1</v>
      </c>
      <c r="MA89" s="375">
        <f t="shared" si="366"/>
        <v>448.36266549999999</v>
      </c>
      <c r="MB89" s="366">
        <f t="shared" si="424"/>
        <v>10.68525223</v>
      </c>
      <c r="MC89" s="366">
        <f t="shared" si="425"/>
        <v>0</v>
      </c>
      <c r="MD89" s="366">
        <f t="shared" si="426"/>
        <v>0</v>
      </c>
      <c r="ME89" s="366">
        <f t="shared" si="427"/>
        <v>0</v>
      </c>
      <c r="MF89" s="366">
        <f t="shared" si="428"/>
        <v>0</v>
      </c>
      <c r="MG89" s="378">
        <f t="shared" si="429"/>
        <v>1</v>
      </c>
      <c r="MH89" s="375">
        <f t="shared" si="367"/>
        <v>0</v>
      </c>
      <c r="MI89" s="366">
        <f t="shared" si="430"/>
        <v>0</v>
      </c>
      <c r="MJ89" s="58">
        <f t="shared" si="368"/>
        <v>10.68525223</v>
      </c>
      <c r="MK89" s="58">
        <f t="shared" si="431"/>
        <v>10.68525223</v>
      </c>
      <c r="ML89" s="58">
        <f t="shared" si="484"/>
        <v>0</v>
      </c>
      <c r="MM89" s="58">
        <f t="shared" si="369"/>
        <v>0</v>
      </c>
      <c r="MN89" s="58">
        <f t="shared" si="370"/>
        <v>12.885252229999999</v>
      </c>
      <c r="MO89" s="58">
        <f t="shared" si="432"/>
        <v>0</v>
      </c>
      <c r="MP89" s="58">
        <f t="shared" si="433"/>
        <v>34.790181019999999</v>
      </c>
      <c r="MQ89" s="58">
        <f t="shared" si="485"/>
        <v>34.790181019999999</v>
      </c>
      <c r="MR89" s="245">
        <f t="shared" si="434"/>
        <v>34.790181019999999</v>
      </c>
      <c r="MS89" s="380">
        <f t="shared" si="371"/>
        <v>34.966181020000001</v>
      </c>
      <c r="MT89" s="381">
        <f t="shared" si="372"/>
        <v>35.126181019999997</v>
      </c>
      <c r="MU89" s="381">
        <f t="shared" si="373"/>
        <v>36.466181020000001</v>
      </c>
      <c r="MV89" s="381">
        <f t="shared" si="374"/>
        <v>39.366181019999999</v>
      </c>
      <c r="MW89" s="381">
        <f t="shared" si="375"/>
        <v>39.526181019999996</v>
      </c>
      <c r="MX89" s="245">
        <f t="shared" si="376"/>
        <v>11.285252229999999</v>
      </c>
      <c r="MY89" s="245">
        <f t="shared" si="377"/>
        <v>0</v>
      </c>
      <c r="MZ89" s="58">
        <f t="shared" si="378"/>
        <v>13.48525223</v>
      </c>
      <c r="NA89" s="58">
        <f t="shared" si="379"/>
        <v>0</v>
      </c>
      <c r="NB89" s="58">
        <f t="shared" si="435"/>
        <v>36.410181020000003</v>
      </c>
      <c r="NC89" s="245">
        <f t="shared" si="486"/>
        <v>36.410181020000003</v>
      </c>
      <c r="ND89" s="245">
        <f t="shared" si="436"/>
        <v>36.410181020000003</v>
      </c>
      <c r="NE89" s="403">
        <f t="shared" si="437"/>
        <v>36.650181020000005</v>
      </c>
      <c r="NF89" s="381">
        <f t="shared" si="380"/>
        <v>36.810181020000002</v>
      </c>
      <c r="NG89" s="139">
        <f t="shared" si="381"/>
        <v>38.150181020000005</v>
      </c>
      <c r="NH89" s="245">
        <f t="shared" si="382"/>
        <v>41.050181020000004</v>
      </c>
      <c r="NI89" s="381">
        <f t="shared" si="383"/>
        <v>41.21018102</v>
      </c>
      <c r="NK89" s="20">
        <f t="shared" si="384"/>
        <v>3.8567478259988612</v>
      </c>
      <c r="NL89" s="20">
        <f t="shared" si="385"/>
        <v>196.65579990871555</v>
      </c>
      <c r="NM89" s="20">
        <f t="shared" si="386"/>
        <v>3.8567478259988612</v>
      </c>
      <c r="NN89" s="20">
        <f t="shared" si="387"/>
        <v>197.03151696138207</v>
      </c>
      <c r="NO89" s="20">
        <f t="shared" si="388"/>
        <v>5.2276307551291001</v>
      </c>
      <c r="NP89" s="20">
        <f t="shared" si="389"/>
        <v>199.71599540177519</v>
      </c>
      <c r="NQ89" s="20">
        <f t="shared" si="390"/>
        <v>5.2276307551291001</v>
      </c>
      <c r="NR89" s="20">
        <f t="shared" si="391"/>
        <v>200.10873619751476</v>
      </c>
      <c r="NS89" s="20">
        <f t="shared" si="392"/>
        <v>3.9057014975415476</v>
      </c>
      <c r="NT89" s="20">
        <f t="shared" si="393"/>
        <v>3.9057014975415476</v>
      </c>
      <c r="NU89" s="20">
        <f t="shared" si="394"/>
        <v>5.2789366938940239</v>
      </c>
      <c r="NV89" s="20">
        <f t="shared" si="395"/>
        <v>5.2789366938940239</v>
      </c>
      <c r="NW89" s="10">
        <f t="shared" si="396"/>
        <v>4.5115437771165805</v>
      </c>
      <c r="NX89" s="10">
        <f>各项系数!$M$9*NK89</f>
        <v>1.1570243477996582</v>
      </c>
      <c r="NY89" s="10">
        <f t="shared" si="397"/>
        <v>3.9057014975415472</v>
      </c>
    </row>
    <row r="90" spans="1:389" s="9" customFormat="1" ht="15" hidden="1" customHeight="1">
      <c r="A90" s="65"/>
      <c r="B90" s="66"/>
      <c r="C90" s="67"/>
      <c r="D90" s="58" t="s">
        <v>203</v>
      </c>
      <c r="E90" s="54">
        <f t="shared" si="325"/>
        <v>44.002887700000002</v>
      </c>
      <c r="F90" s="68">
        <f>$F$26</f>
        <v>245.088056587712</v>
      </c>
      <c r="G90" s="58"/>
      <c r="H90" s="62"/>
      <c r="I90" s="62"/>
      <c r="J90" s="16"/>
      <c r="K90" s="62"/>
      <c r="L90" s="107" t="s">
        <v>467</v>
      </c>
      <c r="M90" s="98">
        <f t="shared" si="339"/>
        <v>1.1000000000000001</v>
      </c>
      <c r="N90" s="98">
        <f t="shared" si="340"/>
        <v>0</v>
      </c>
      <c r="O90" s="58">
        <f t="shared" si="488"/>
        <v>0.08</v>
      </c>
      <c r="P90" s="99">
        <v>0.1</v>
      </c>
      <c r="Q90" s="136">
        <f t="shared" si="440"/>
        <v>0.1</v>
      </c>
      <c r="R90" s="151">
        <v>0.8</v>
      </c>
      <c r="S90" s="144" t="str">
        <f>各项系数!$D$43</f>
        <v>钢带</v>
      </c>
      <c r="T90" s="62">
        <v>0.5</v>
      </c>
      <c r="U90" s="62">
        <v>2</v>
      </c>
      <c r="V90" s="143"/>
      <c r="W90" s="145">
        <v>2.4</v>
      </c>
      <c r="X90" s="139">
        <f t="shared" si="441"/>
        <v>0.2</v>
      </c>
      <c r="Y90" s="139"/>
      <c r="Z90" s="169"/>
      <c r="AA90" s="170">
        <f>$AA$26</f>
        <v>1.0129999999999999</v>
      </c>
      <c r="AB90" s="153">
        <f>PI()*EJ90*EJ90/4*EH90*(1-H90)*AA90*各项系数!$F$5*各项系数!$J$4*10^-7</f>
        <v>0.80319697770872212</v>
      </c>
      <c r="AC90" s="170">
        <f t="shared" si="327"/>
        <v>245.088056587712</v>
      </c>
      <c r="AD90" s="153">
        <f t="shared" si="341"/>
        <v>90.802378338116014</v>
      </c>
      <c r="AE90" s="153">
        <f>POWER(4*EU90/PI()/EG90/10^-7/EH90/(1-H90)/各项系数!$F$5/各项系数!$J$4,0.5)</f>
        <v>246.67598485301878</v>
      </c>
      <c r="AF90" s="16">
        <v>1</v>
      </c>
      <c r="AG90" s="16">
        <f>IF(EM90=0,0,PI()*ER90*ER90/4*EP90*(1-K90)*(1+AF90)*各项系数!$F$5*各项系数!$J$4*10^-7)</f>
        <v>0</v>
      </c>
      <c r="AH90" s="16">
        <f t="shared" si="328"/>
        <v>0</v>
      </c>
      <c r="AI90" s="69">
        <f t="shared" si="398"/>
        <v>0</v>
      </c>
      <c r="AJ90" s="69">
        <f>IF(OR(EP90="",EP90=0),0,POWER(4*EW90/PI()/EO90/10^-7/EP90/(1-K90)/各项系数!$F$5/各项系数!$J$4,0.5))</f>
        <v>0</v>
      </c>
      <c r="AK90" s="16" t="str">
        <f t="shared" si="342"/>
        <v>√</v>
      </c>
      <c r="AL90" s="16">
        <f t="shared" si="329"/>
        <v>280.16003495867432</v>
      </c>
      <c r="AM90" s="106">
        <f t="shared" si="330"/>
        <v>95</v>
      </c>
      <c r="AN90" s="107" t="s">
        <v>486</v>
      </c>
      <c r="AO90" s="146">
        <f>AP90+各项系数!$M$9*$NK90</f>
        <v>274.66670093987676</v>
      </c>
      <c r="AP90" s="146">
        <f>AQ90*(1+$BI90+(VLOOKUP($AM90,$A$12:$B$323,2,0))+各项系数!$J$6+各项系数!$M$5)*(1+$E$2)</f>
        <v>273.11070148731534</v>
      </c>
      <c r="AQ90" s="199">
        <f>AR90+各项系数!$L$9*$NK90</f>
        <v>278.68438927277077</v>
      </c>
      <c r="AR90" s="199">
        <f>AS90*(1+$BJ90+各项系数!$J$5+各项系数!$L$5)</f>
        <v>277.12838982020935</v>
      </c>
      <c r="AS90" s="199">
        <f t="shared" si="399"/>
        <v>271.69449982373465</v>
      </c>
      <c r="AT90" s="146">
        <f>AU90+各项系数!$M$9*$NM90</f>
        <v>277.77095315617362</v>
      </c>
      <c r="AU90" s="146">
        <f>AV90*(1+$BI90+(VLOOKUP($AM90,$A$12:$B$323,2,0))+各项系数!$J$6+各项系数!$M$5)*(1+$E$2)</f>
        <v>276.2149537036122</v>
      </c>
      <c r="AV90" s="199">
        <f>AW90+各项系数!$L$9*$NM90</f>
        <v>281.85199357511448</v>
      </c>
      <c r="AW90" s="199">
        <f>AX90*(1+$BJ90+各项系数!$J$5+各项系数!$L$5)</f>
        <v>280.29599412255305</v>
      </c>
      <c r="AX90" s="199">
        <f t="shared" si="400"/>
        <v>274.79999423779708</v>
      </c>
      <c r="AY90" s="146">
        <f>AZ90+各项系数!$M$9*$NS90</f>
        <v>278.41928709361298</v>
      </c>
      <c r="AZ90" s="146">
        <f>BA90*(1+$BI90+(VLOOKUP($AM90,$A$12:$B$214,2,0))+各项系数!$J$6+各项系数!$M$5)*(1+$E$2)</f>
        <v>276.84682614773834</v>
      </c>
      <c r="BA90" s="199">
        <f>BB90+各项系数!$L$9*$NS90</f>
        <v>282.49676137524324</v>
      </c>
      <c r="BB90" s="199">
        <f>BC90*(1+$BJ90+各项系数!$J$5+各项系数!$L$5)</f>
        <v>280.9243004293686</v>
      </c>
      <c r="BC90" s="199">
        <f t="shared" si="401"/>
        <v>275.41598081310644</v>
      </c>
      <c r="BD90" s="146">
        <f>BE90+各项系数!$M$9*$NS90</f>
        <v>281.53547791278254</v>
      </c>
      <c r="BE90" s="146">
        <f>BF90*(1+$BI90+(VLOOKUP($AM90,$A$12:$B$214,2,0))+各项系数!$J$6+各项系数!$M$5)*(1+$E$2)</f>
        <v>279.9630169669079</v>
      </c>
      <c r="BF90" s="199">
        <f>BG90+各项系数!$L$9*$NS90</f>
        <v>285.67654792541623</v>
      </c>
      <c r="BG90" s="199">
        <f>BH90*(1+$BJ90+各项系数!$J$5+各项系数!$L$5)</f>
        <v>284.10408697954159</v>
      </c>
      <c r="BH90" s="199">
        <f t="shared" si="402"/>
        <v>278.53341860739368</v>
      </c>
      <c r="BI90" s="214"/>
      <c r="BJ90" s="215"/>
      <c r="BK90" s="78" t="s">
        <v>514</v>
      </c>
      <c r="BL90" s="146">
        <f>BM90+各项系数!$M$9*$NM90</f>
        <v>277.79242146131367</v>
      </c>
      <c r="BM90" s="146">
        <f>BN90*(1+$CF90+(VLOOKUP($AM90,$A$12:$B$323,2,0))+各项系数!$J$6+各项系数!$M$5)*(1+$E$2)</f>
        <v>276.23642200875224</v>
      </c>
      <c r="BN90" s="199">
        <f>BO90+各项系数!$L$9*$NM90</f>
        <v>281.87390000893089</v>
      </c>
      <c r="BO90" s="199">
        <f>BP90*(1+$CG90+各项系数!$J$5+各项系数!$L$5)</f>
        <v>280.31790055636947</v>
      </c>
      <c r="BP90" s="199">
        <f t="shared" si="403"/>
        <v>272.15330151103831</v>
      </c>
      <c r="BQ90" s="146">
        <f>BR90+各项系数!$M$9*$NM90</f>
        <v>280.463993099704</v>
      </c>
      <c r="BR90" s="146">
        <f>BS90*(1+$CF90+(VLOOKUP($AM90,$A$12:$B$323,2,0))+各项系数!$J$6+各项系数!$M$5)*(1+$E$2)</f>
        <v>278.90799364714258</v>
      </c>
      <c r="BS90" s="199">
        <f>BT90+各项系数!$L$9*$NM90</f>
        <v>284.59999351749241</v>
      </c>
      <c r="BT90" s="199">
        <f>BU90*(1+$CG90+各项系数!$J$5+各项系数!$L$5)</f>
        <v>283.04399406493098</v>
      </c>
      <c r="BU90" s="199">
        <f t="shared" si="404"/>
        <v>274.79999423779708</v>
      </c>
      <c r="BV90" s="146">
        <f>BW90+各项系数!$M$9*$NT90</f>
        <v>280.05034562256475</v>
      </c>
      <c r="BW90" s="146">
        <f>BX90*(1+$CF90+(VLOOKUP($AM90,$A$12:$B$214,2,0))+各项系数!$J$6+各项系数!$M$5)*(1+$E$2)</f>
        <v>278.47788467669011</v>
      </c>
      <c r="BX90" s="199">
        <f>BY90+各项系数!$L$9*$NT$12</f>
        <v>284.16110681294907</v>
      </c>
      <c r="BY90" s="199">
        <f>BZ90*(1+$CG90+各项系数!$J$5+各项系数!$L$5)</f>
        <v>284.15284340979412</v>
      </c>
      <c r="BZ90" s="199">
        <f t="shared" si="343"/>
        <v>275.8765469998001</v>
      </c>
      <c r="CA90" s="146">
        <f>CB90+各项系数!$M$9*$NT90</f>
        <v>282.73219182326966</v>
      </c>
      <c r="CB90" s="146">
        <f>CC90*(1+$CF90+(VLOOKUP($AM90,$A$12:$B$214,2,0))+各项系数!$J$6+各项系数!$M$5)*(1+$E$2)</f>
        <v>281.15973087739502</v>
      </c>
      <c r="CC90" s="199">
        <f>CD90+各项系数!$L$9*$NT$12</f>
        <v>286.89768456877044</v>
      </c>
      <c r="CD90" s="199">
        <f>CE90*(1+$CG90+各项系数!$J$5+各项系数!$L$5)</f>
        <v>286.88942116561549</v>
      </c>
      <c r="CE90" s="199">
        <f t="shared" si="405"/>
        <v>278.53341860739368</v>
      </c>
      <c r="CF90" s="214">
        <f t="shared" si="406"/>
        <v>0</v>
      </c>
      <c r="CG90" s="214">
        <f t="shared" si="344"/>
        <v>0.01</v>
      </c>
      <c r="CH90" s="106"/>
      <c r="CI90" s="146">
        <f>CJ90+各项系数!$M$9*$NO90</f>
        <v>280.77665751043742</v>
      </c>
      <c r="CJ90" s="146">
        <f>CK90*(1+$DC90+(VLOOKUP($AM90,$A$12:$B$323,2,0))+各项系数!$J$6+各项系数!$M$5)*(1+$E$2)+各项系数!$M$9*$NK90</f>
        <v>278.71324581070877</v>
      </c>
      <c r="CK90" s="199">
        <f>CL90+各项系数!$L$9*$NO90</f>
        <v>282.8135166919871</v>
      </c>
      <c r="CL90" s="199">
        <f>CM90*(1+$DD90+各项系数!$J$5+各项系数!$L$5)</f>
        <v>280.75010499225846</v>
      </c>
      <c r="CM90" s="199">
        <f t="shared" si="345"/>
        <v>275.24520097280242</v>
      </c>
      <c r="CN90" s="146">
        <f>CO90+各项系数!$M$9*$NO90</f>
        <v>283.69527045136186</v>
      </c>
      <c r="CO90" s="146">
        <f>CP90*(1+$DC90+(VLOOKUP($AM90,$A$12:$B$323,2,0))+各项系数!$J$6+各项系数!$M$5)*(1+$E$2)+各项系数!$M$9*$NK90</f>
        <v>281.63185875163322</v>
      </c>
      <c r="CP90" s="199">
        <f>CQ90+各项系数!$L$9*$NO90</f>
        <v>285.79169316231815</v>
      </c>
      <c r="CQ90" s="199">
        <f>CR90*(1+$DD90+各项系数!$J$5+各项系数!$L$5)</f>
        <v>283.72828146258951</v>
      </c>
      <c r="CR90" s="199">
        <f t="shared" si="346"/>
        <v>278.16498182606813</v>
      </c>
      <c r="CS90" s="146">
        <f>CT90+各项系数!$M$9*$NU90</f>
        <v>283.13335598462822</v>
      </c>
      <c r="CT90" s="146">
        <f t="shared" si="347"/>
        <v>281.05277711141969</v>
      </c>
      <c r="CU90" s="199">
        <f>CV90+各项系数!$L$9*$NU90</f>
        <v>286.78854807287723</v>
      </c>
      <c r="CV90" s="199">
        <f>CW90*(1+$DD90+各项系数!$J$5+各项系数!$L$5)</f>
        <v>284.7079691996687</v>
      </c>
      <c r="CW90" s="199">
        <f t="shared" si="348"/>
        <v>279.12545999967517</v>
      </c>
      <c r="CX90" s="146">
        <f>CY90+各项系数!$M$9*$NU90</f>
        <v>286.37520059903278</v>
      </c>
      <c r="CY90" s="146">
        <f t="shared" si="349"/>
        <v>284.29462172582424</v>
      </c>
      <c r="CZ90" s="199">
        <f>DA90+各项系数!$L$9*$NU90</f>
        <v>290.09655278145334</v>
      </c>
      <c r="DA90" s="199">
        <f>DB90*(1+$DD90+各项系数!$J$5+各项系数!$L$5)</f>
        <v>288.0159739082448</v>
      </c>
      <c r="DB90" s="199">
        <f t="shared" si="350"/>
        <v>282.36860187082823</v>
      </c>
      <c r="DC90" s="214">
        <f t="shared" si="407"/>
        <v>0</v>
      </c>
      <c r="DD90" s="214">
        <f t="shared" si="351"/>
        <v>0</v>
      </c>
      <c r="DE90" s="78" t="s">
        <v>498</v>
      </c>
      <c r="DF90" s="78" t="s">
        <v>513</v>
      </c>
      <c r="DG90" s="146">
        <f>DH90+各项系数!$M$9*$NQ90</f>
        <v>283.95592082996205</v>
      </c>
      <c r="DH90" s="146">
        <f>DI90*(1+$EA90+(VLOOKUP($AM90,$A$12:$B$323,2,0))+各项系数!$J$6+各项系数!$M$5)*(1+$E$2)+各项系数!$M$9*$NK90</f>
        <v>281.89250913023341</v>
      </c>
      <c r="DI90" s="199">
        <f>DJ90+各项系数!$L$9*$NQ90</f>
        <v>286.05766293639999</v>
      </c>
      <c r="DJ90" s="199">
        <f>DK90*(1+$EB90+各项系数!$J$5+各项系数!$L$5)</f>
        <v>283.99425123667135</v>
      </c>
      <c r="DK90" s="199">
        <f t="shared" si="352"/>
        <v>275.72257401618577</v>
      </c>
      <c r="DL90" s="146">
        <f>DM90+各项系数!$M$9*$NQ90</f>
        <v>286.73563223671397</v>
      </c>
      <c r="DM90" s="146">
        <f>DN90*(1+$EA90+(VLOOKUP($AM90,$A$12:$B$323,2,0))+各项系数!$J$6+各项系数!$M$5)*(1+$E$2)+各项系数!$M$9*$NK90</f>
        <v>284.67222053698532</v>
      </c>
      <c r="DN90" s="199">
        <f>DO90+各项系数!$L$9*$NQ90</f>
        <v>288.89410314737131</v>
      </c>
      <c r="DO90" s="199">
        <f>DP90*(1+$EB90+各项系数!$J$5+各项系数!$L$5)</f>
        <v>286.83069144764266</v>
      </c>
      <c r="DP90" s="199">
        <f t="shared" si="353"/>
        <v>278.47639946373073</v>
      </c>
      <c r="DQ90" s="146">
        <f>DR90+各项系数!$M$9*$NV90</f>
        <v>286.35242692830053</v>
      </c>
      <c r="DR90" s="146">
        <f t="shared" si="354"/>
        <v>284.27184805509199</v>
      </c>
      <c r="DS90" s="199">
        <f>DT90+各项系数!$L$9*$NV90</f>
        <v>290.0733143419306</v>
      </c>
      <c r="DT90" s="199">
        <f>DU90*(1+$EB90+各项系数!$J$5+各项系数!$L$5)</f>
        <v>287.99273546872206</v>
      </c>
      <c r="DU90" s="199">
        <f t="shared" si="355"/>
        <v>279.60459754244857</v>
      </c>
      <c r="DV90" s="146">
        <f>DW90+各项系数!$M$9*$NV90</f>
        <v>286.42532894942389</v>
      </c>
      <c r="DW90" s="146">
        <f t="shared" si="356"/>
        <v>284.34475007621535</v>
      </c>
      <c r="DX90" s="199">
        <f>DY90+各项系数!$L$9*$NV90</f>
        <v>290.14770415940342</v>
      </c>
      <c r="DY90" s="199">
        <f>DZ90*(1+$EB90+各项系数!$J$5+各项系数!$L$5)</f>
        <v>288.06712528619488</v>
      </c>
      <c r="DZ90" s="199">
        <f t="shared" si="357"/>
        <v>279.67682066620864</v>
      </c>
      <c r="EA90" s="214">
        <f t="shared" si="439"/>
        <v>0</v>
      </c>
      <c r="EB90" s="214">
        <f t="shared" si="358"/>
        <v>0.01</v>
      </c>
      <c r="EC90" s="235">
        <f t="shared" si="408"/>
        <v>5</v>
      </c>
      <c r="ED90" s="237" t="str">
        <f t="shared" si="442"/>
        <v>5*95</v>
      </c>
      <c r="EE90" s="78">
        <f t="shared" si="239"/>
        <v>95</v>
      </c>
      <c r="EF90" s="78" t="str">
        <f>LOOKUP(EH90,{1,7,10,14,19,24,30,37,48,61},{1,"1+6","2+8","4+10","1+6+12","2+8+14","4+10+16","1+6+12+18","3+9+15+21","1+6+12+18+24"})</f>
        <v>1+6+12</v>
      </c>
      <c r="EG90" s="106">
        <f t="shared" si="359"/>
        <v>5</v>
      </c>
      <c r="EH90" s="199">
        <f>VLOOKUP(EE90,各项系数!$B$87:$C$124,2,0)</f>
        <v>19</v>
      </c>
      <c r="EI90" s="106">
        <f>IF(EH90=0,0,VLOOKUP(EH90,各项系数!$D$142:$E$195,2,0))*1</f>
        <v>5</v>
      </c>
      <c r="EJ90" s="240">
        <f t="shared" si="409"/>
        <v>245.088056587712</v>
      </c>
      <c r="EK90" s="78">
        <f t="shared" si="332"/>
        <v>0</v>
      </c>
      <c r="EL90" s="78">
        <f t="shared" si="360"/>
        <v>0</v>
      </c>
      <c r="EM90" s="78">
        <f t="shared" si="443"/>
        <v>0</v>
      </c>
      <c r="EN90" s="78">
        <f>IF(EP90=0,0,LOOKUP(EP90,{1,7,10,14,19,24,30,37,48,61},{1,"1+6","2+8","4+10","1+6+12","2+8+14","4+10+16","1+6+12+18","3+9+15+21","1+6+12+18+24"}))</f>
        <v>0</v>
      </c>
      <c r="EO90" s="78">
        <f t="shared" si="334"/>
        <v>0</v>
      </c>
      <c r="EP90" s="78">
        <f>IF(EM90=0,0,IF(EM90&lt;10,1,IF(AND(EM90&gt;=10,EM90&lt;=35),7,LOOKUP(EM90,{50,70,95,120,150,185,240,300},{10,14,19,24,30,37,48,61})*1)))</f>
        <v>0</v>
      </c>
      <c r="EQ90" s="78">
        <f>IF(EP90=0,0,VLOOKUP(EP90,各项系数!$D$142:$E$195,2,0))*1</f>
        <v>0</v>
      </c>
      <c r="ER90" s="78">
        <f t="shared" si="335"/>
        <v>0</v>
      </c>
      <c r="ES90" s="237">
        <f t="shared" si="444"/>
        <v>5</v>
      </c>
      <c r="ET90" s="78">
        <f>VLOOKUP(ES90,各项系数!$D$142:$E$195,2,0)*1</f>
        <v>2.7</v>
      </c>
      <c r="EU90" s="243">
        <f>((各项系数!$F$76/4*$EJ90^2*$EG90*$EH90*1*10^-7)*(1-$H90)*AA90)*(VLOOKUP($EY$9,各项系数!$D$4:$F$143,3,0))*各项系数!$J$4</f>
        <v>4.0159848885436098</v>
      </c>
      <c r="EV90" s="244">
        <f>EU90*(VLOOKUP($EY$9,各项系数!$D$4:$F$143,2,0))</f>
        <v>263.04701019960646</v>
      </c>
      <c r="EW90" s="252">
        <f>(IF($EO90=0,0,(各项系数!$F$76/4*$ER90^2*$EO90*$EP90*1*10^-7))*(1-$K90)*$AF90)*(VLOOKUP($EY$9,各项系数!$D$4:$F$143,3,0))*各项系数!$J$4</f>
        <v>0</v>
      </c>
      <c r="EX90" s="253">
        <f>EW90*(VLOOKUP($EY$9,各项系数!$D$4:$F$143,2,0))</f>
        <v>0</v>
      </c>
      <c r="EY90" s="189">
        <f>((各项系数!$F$76/4*$EJ90^2*$EG90*$EH90*1*10^-7)*(1-$H90)*AA90+IF($EO90=0,0,(各项系数!$F$76/4*$ER90^2*$EO90*$EP90*1*10^-7))*(1-$K90)*$AF90)*(VLOOKUP($EY$9,各项系数!$D$4:$F$143,3,0))*各项系数!$J$4</f>
        <v>4.0159848885436098</v>
      </c>
      <c r="EZ90" s="106">
        <v>1</v>
      </c>
      <c r="FA90" s="78">
        <f t="shared" si="445"/>
        <v>4.0159848885436098</v>
      </c>
      <c r="FB90" s="246">
        <f>FA90*(VLOOKUP($EY$9,各项系数!$D$4:$F$143,2,0))</f>
        <v>263.04701019960646</v>
      </c>
      <c r="FC90" s="257"/>
      <c r="FD90" s="237">
        <f>各项系数!$F$76/4*($MN90^2-MK90^2)*10^-2*(VLOOKUP(L90,各项系数!$D$1:$F$143,3,0))*10^-3*10^2*$EG90*各项系数!$J$4</f>
        <v>0.25255315667409284</v>
      </c>
      <c r="FE90" s="264">
        <f>FD90*VLOOKUP(L90,各项系数!$D$1:$F$143,2,0)</f>
        <v>2.5760421980757466</v>
      </c>
      <c r="FF90" s="106">
        <f>各项系数!$F$76/4*($MO90^2-ML90^2)*10^-2*(VLOOKUP(L90,各项系数!$D$1:$F$143,3,0))*10^-3*10^2*$EO90*各项系数!$J$4</f>
        <v>0</v>
      </c>
      <c r="FG90" s="264">
        <f>FF90*VLOOKUP(L90,各项系数!$D$1:$F$143,2,0)</f>
        <v>0</v>
      </c>
      <c r="FH90" s="237">
        <f t="shared" si="410"/>
        <v>0.25255315667409284</v>
      </c>
      <c r="FI90" s="106">
        <v>1</v>
      </c>
      <c r="FJ90" s="78">
        <f t="shared" si="446"/>
        <v>0.25255315667409284</v>
      </c>
      <c r="FK90" s="264">
        <f>FJ90*VLOOKUP(L90,各项系数!$D$1:$F$143,2,0)</f>
        <v>2.5760421980757466</v>
      </c>
      <c r="FL90" s="237"/>
      <c r="FM90" s="106"/>
      <c r="FN90" s="78"/>
      <c r="FO90" s="264"/>
      <c r="FP90" s="289">
        <f t="shared" si="447"/>
        <v>0.25255315667409284</v>
      </c>
      <c r="FQ90" s="289">
        <f t="shared" si="448"/>
        <v>2.5760421980757466</v>
      </c>
      <c r="FR90" s="283">
        <f>各项系数!$F$76/4*($MQ90^2-$MN90^2*$EG90-$MO90^2*$EO90)*10^-2</f>
        <v>3.7577308745738769</v>
      </c>
      <c r="FS90" s="284">
        <f t="shared" si="411"/>
        <v>1</v>
      </c>
      <c r="FT90" s="285">
        <f t="shared" si="361"/>
        <v>3.7577308745738769</v>
      </c>
      <c r="FU90" s="309">
        <f>$FT90*(VLOOKUP($FT$9,各项系数!$D$1:$F$143,3,0))*10^-3*10^2*各项系数!$J$55</f>
        <v>0.44867306642412091</v>
      </c>
      <c r="FV90" s="310">
        <v>1</v>
      </c>
      <c r="FW90" s="311">
        <f t="shared" si="449"/>
        <v>0.44867306642412091</v>
      </c>
      <c r="FX90" s="290">
        <f>FW90*(VLOOKUP($FT$9,各项系数!$D$1:$F$143,2,0))</f>
        <v>1.3460191992723627</v>
      </c>
      <c r="FY90" s="309">
        <f>IF($BK90&lt;&gt;$FY$9,0,各项系数!$F$76/4*($MS90^2-$MQ90^2)*10^-2*(VLOOKUP($FY$9,各项系数!$D$1:$F$143,3,0))*10^-3*10^2)*各项系数!$J$4</f>
        <v>0</v>
      </c>
      <c r="FZ90" s="310">
        <v>1</v>
      </c>
      <c r="GA90" s="311">
        <f t="shared" si="450"/>
        <v>0</v>
      </c>
      <c r="GB90" s="290">
        <f>GA90*(VLOOKUP($FY$9,各项系数!$D$1:$F$143,2,0))</f>
        <v>0</v>
      </c>
      <c r="GC90" s="309">
        <f>IF($BK90&lt;&gt;$GC$9,0,各项系数!$F$76/4*($MS90^2-$MQ90^2)*10^-2*(VLOOKUP($GC$9,各项系数!$D$1:$F$143,3,0))*10^-3*10^2)*各项系数!$J$4</f>
        <v>1.0652042925817715E-2</v>
      </c>
      <c r="GD90" s="310">
        <v>1</v>
      </c>
      <c r="GE90" s="311">
        <f t="shared" si="451"/>
        <v>1.0652042925817715E-2</v>
      </c>
      <c r="GF90" s="290">
        <f>GE90*(VLOOKUP($GC$9,各项系数!$D$1:$F$143,2,0))</f>
        <v>0.13741135374304853</v>
      </c>
      <c r="GG90" s="309">
        <f>IF($BK90&lt;&gt;$GG$9,0,各项系数!$F$76/4*($MS90^2-$MQ90^2)*10^-2*(VLOOKUP($GG$9,各项系数!$D$1:$F$143,3,0))*10^-3*10^2)*各项系数!$J$4</f>
        <v>0</v>
      </c>
      <c r="GH90" s="310">
        <v>1</v>
      </c>
      <c r="GI90" s="311">
        <f t="shared" si="452"/>
        <v>0</v>
      </c>
      <c r="GJ90" s="290">
        <f>GI90*(VLOOKUP($GG$9,各项系数!$D$1:$F$143,2,0))</f>
        <v>0</v>
      </c>
      <c r="GK90" s="309">
        <f>IF($BK90&lt;&gt;$GK$9,0,各项系数!$F$76/4*($MS90^2-$MQ90^2)*10^-2*(VLOOKUP($GK$9,各项系数!$D$1:$F$143,3,0))*10^-3*10^2)*各项系数!$J$4</f>
        <v>0</v>
      </c>
      <c r="GL90" s="310">
        <v>1</v>
      </c>
      <c r="GM90" s="311">
        <f t="shared" si="453"/>
        <v>0</v>
      </c>
      <c r="GN90" s="290">
        <f>GM90*(VLOOKUP($GK$9,各项系数!$D$1:$F$143,2,0))</f>
        <v>0</v>
      </c>
      <c r="GO90" s="311">
        <f t="shared" si="454"/>
        <v>1.0652042925817715E-2</v>
      </c>
      <c r="GP90" s="311">
        <f t="shared" si="455"/>
        <v>0.13741135374304853</v>
      </c>
      <c r="GQ90" s="317">
        <f>各项系数!$F$76/4*($MU90^2-$MS90^2)*10^-2*(VLOOKUP($S90,各项系数!$D$1:$F$143,3,0))*10^-3*10^2*各项系数!$J$4</f>
        <v>0.73246882377406508</v>
      </c>
      <c r="GR90" s="310">
        <v>1</v>
      </c>
      <c r="GS90" s="311">
        <f t="shared" si="456"/>
        <v>0.73246882377406508</v>
      </c>
      <c r="GT90" s="311">
        <f t="shared" si="457"/>
        <v>0</v>
      </c>
      <c r="GU90" s="311">
        <f>ROUND($GS90*(VLOOKUP($S90,各项系数!$D$1:$F$143,2,0))+$E$3*GS90,GT90)</f>
        <v>4</v>
      </c>
      <c r="GV90" s="315">
        <f>各项系数!$F$76/4*($MT90^2-$MS90^2)*10^-2*(VLOOKUP($GV$9,各项系数!$D$1:$F$143,3,0))*10^-3*10^2*各项系数!$J$4*PI()/4*R90</f>
        <v>5.4871644377361077E-2</v>
      </c>
      <c r="GW90" s="310">
        <v>1</v>
      </c>
      <c r="GX90" s="311">
        <f t="shared" si="458"/>
        <v>5.4871644377361077E-2</v>
      </c>
      <c r="GY90" s="311">
        <f>$GX90*(VLOOKUP($GV$9,各项系数!$D$1:$F$143,2,0))</f>
        <v>3.7038359954718727</v>
      </c>
      <c r="GZ90" s="317">
        <f>各项系数!$F$76/4*($MV90^2-$MS90^2)*10^-2*(VLOOKUP($GZ$9,各项系数!$D$1:$F$143,3,0))*10^-3*10^2*各项系数!$J$4</f>
        <v>0.45255948747643904</v>
      </c>
      <c r="HA90" s="310">
        <v>1</v>
      </c>
      <c r="HB90" s="311">
        <f t="shared" si="412"/>
        <v>0.45255948747643904</v>
      </c>
      <c r="HC90" s="311">
        <f>HB90*(VLOOKUP($GZ$9,各项系数!$D$1:$F$143,2,0))</f>
        <v>7.6935112870994633</v>
      </c>
      <c r="HD90" s="317">
        <f>各项系数!$F$76/4*($MW90^2-$MT90^2)*10^-2*(VLOOKUP($HD$9,各项系数!$D$1:$F$143,3,0))*10^-3*10^2*各项系数!$J$4</f>
        <v>0.45429998007201</v>
      </c>
      <c r="HE90" s="310">
        <v>1</v>
      </c>
      <c r="HF90" s="311">
        <f t="shared" si="413"/>
        <v>0.45429998007201</v>
      </c>
      <c r="HG90" s="311">
        <f>HF90*(VLOOKUP($HD$9,各项系数!$D$1:$F$143,2,0))</f>
        <v>7.72309966122417</v>
      </c>
      <c r="HH90" s="317">
        <f>各项系数!$F$76/4*($MV90^2-$MS90^2)*10^-2*(VLOOKUP($HH$9,各项系数!$D$1:$F$143,3,0))*10^-3*10^2*各项系数!$J$4</f>
        <v>0.45255948747643904</v>
      </c>
      <c r="HI90" s="311">
        <v>1</v>
      </c>
      <c r="HJ90" s="311">
        <f t="shared" si="414"/>
        <v>0.45255948747643904</v>
      </c>
      <c r="HK90" s="311">
        <f>HJ90*(VLOOKUP($HH$9,各项系数!$D$1:$F$143,2,0))</f>
        <v>7.6935112870994633</v>
      </c>
      <c r="HL90" s="317">
        <f>各项系数!$F$76/4*($MW90^2-$MT90^2)*10^-2*(VLOOKUP($HL$9,各项系数!$D$1:$F$143,3,0))*10^-3*10^2*各项系数!$J$4</f>
        <v>0.45429998007201</v>
      </c>
      <c r="HM90" s="311">
        <v>1</v>
      </c>
      <c r="HN90" s="311">
        <f t="shared" si="362"/>
        <v>0.45429998007201</v>
      </c>
      <c r="HO90" s="311">
        <f>HN90*(VLOOKUP($HL$9,各项系数!$D$1:$F$143,2,0))</f>
        <v>7.72309966122417</v>
      </c>
      <c r="HP90" s="317">
        <f>各项系数!$F$76/4*($MV90^2-$MS90^2)*10^-2*(VLOOKUP(AN90,各项系数!$D$1:$F$143,3,0))*10^-3*10^2*各项系数!$J$4</f>
        <v>0.45880168730370019</v>
      </c>
      <c r="HQ90" s="310">
        <v>1</v>
      </c>
      <c r="HR90" s="311">
        <f t="shared" si="459"/>
        <v>0.45880168730370019</v>
      </c>
      <c r="HS90" s="311">
        <f>HR90*(VLOOKUP(AN90,各项系数!$D$1:$F$143,2,0))</f>
        <v>4.5880168730370023</v>
      </c>
      <c r="HT90" s="317">
        <f>各项系数!$F$76/4*($MW90^2-$MT90^2)*10^-2*(VLOOKUP(AN90,各项系数!$D$1:$F$143,3,0))*10^-3*10^2*各项系数!$J$4</f>
        <v>0.46056618669369298</v>
      </c>
      <c r="HU90" s="310">
        <v>1</v>
      </c>
      <c r="HV90" s="311">
        <f t="shared" si="460"/>
        <v>0.46056618669369298</v>
      </c>
      <c r="HW90" s="311">
        <f>HV90*(VLOOKUP(AN90,各项系数!$D$1:$F$143,2,0))</f>
        <v>4.6056618669369298</v>
      </c>
      <c r="HX90" s="317">
        <f>各项系数!$F$76/4*($MV90^2-$MS90^2)*10^-2*(VLOOKUP($HX$9,各项系数!$D$1:$F$143,3,0))*10^-3*10^2*各项系数!$J$4</f>
        <v>0.45880168730370019</v>
      </c>
      <c r="HY90" s="311">
        <v>1</v>
      </c>
      <c r="HZ90" s="311">
        <f t="shared" si="461"/>
        <v>0.45880168730370019</v>
      </c>
      <c r="IA90" s="311">
        <f>HZ90*(VLOOKUP($HX$9,各项系数!$D$1:$F$143,2,0))</f>
        <v>5.0468185603407019</v>
      </c>
      <c r="IB90" s="317">
        <f>各项系数!$F$76/4*($MW90^2-$MT90^2)*10^-2*(VLOOKUP($IB$9,各项系数!$D$1:$F$143,3,0))*10^-3*10^2*各项系数!$J$4</f>
        <v>0.46056618669369298</v>
      </c>
      <c r="IC90" s="311">
        <v>1</v>
      </c>
      <c r="ID90" s="311">
        <f t="shared" si="462"/>
        <v>0.46056618669369298</v>
      </c>
      <c r="IE90" s="311">
        <f>ID90*(VLOOKUP($IB$9,各项系数!$D$1:$F$143,2,0))</f>
        <v>5.0662280536306223</v>
      </c>
      <c r="IF90" s="309"/>
      <c r="IG90" s="317">
        <f t="shared" si="415"/>
        <v>8.8298135246132767E-2</v>
      </c>
      <c r="IH90" s="310">
        <v>1</v>
      </c>
      <c r="II90" s="311">
        <f t="shared" si="463"/>
        <v>8.8298135246132767E-2</v>
      </c>
      <c r="IJ90" s="311">
        <f>II90*(VLOOKUP($IG$8,各项系数!$D$1:$F$143,2,0))</f>
        <v>2.2074533811533192</v>
      </c>
      <c r="IK90" s="317">
        <f>(各项系数!$F$76/4*($MX90^2-$MK90^2)*$EG90)*10^-2*(VLOOKUP($IG$8,各项系数!$D$1:$F$143,3,0))*10^-3*10^2*各项系数!$J$4</f>
        <v>8.8298135246132767E-2</v>
      </c>
      <c r="IL90" s="310">
        <f>IK90*(VLOOKUP($IG$8,各项系数!$D$1:$F$143,2,0))</f>
        <v>2.2074533811533192</v>
      </c>
      <c r="IM90" s="311">
        <f>(各项系数!$F$76/4*(($MM90+3*$X90)^2-MM90^2)*$EO90)*10^-2*(VLOOKUP($IG$8,各项系数!$D$1:$F$143,3,0))*10^-3*10^2*各项系数!$J$4</f>
        <v>0</v>
      </c>
      <c r="IN90" s="310">
        <f>IM90*(VLOOKUP($IG$8,各项系数!$D$1:$F$143,2,0))</f>
        <v>0</v>
      </c>
      <c r="IO90" s="317">
        <f>各项系数!$F$76/4*($MZ90^2-$MX90^2)*10^-2*(VLOOKUP(L90,各项系数!$D$1:$F$143,3,0))*10^-3*10^2*$ES90*各项系数!$J$4</f>
        <v>0.26390011809996089</v>
      </c>
      <c r="IP90" s="310">
        <v>1</v>
      </c>
      <c r="IQ90" s="311">
        <f t="shared" si="464"/>
        <v>0.26390011809996089</v>
      </c>
      <c r="IR90" s="290">
        <f>IQ90*(VLOOKUP(L90,各项系数!$D$1:$F$143,2,0))</f>
        <v>2.691781204619601</v>
      </c>
      <c r="IS90" s="317">
        <f>IF($L90&lt;&gt;$IS$9,0,各项系数!$F$76/4*($MZ90^2-$MX90^2)*10^-2*各项系数!$F$12*10^-3*10^2)*$ES90*各项系数!$J$4</f>
        <v>0</v>
      </c>
      <c r="IT90" s="310">
        <v>1</v>
      </c>
      <c r="IU90" s="311">
        <f t="shared" si="465"/>
        <v>0</v>
      </c>
      <c r="IV90" s="290">
        <f>IU90*各项系数!$E$12</f>
        <v>0</v>
      </c>
      <c r="IW90" s="309">
        <f t="shared" si="466"/>
        <v>0.26390011809996089</v>
      </c>
      <c r="IX90" s="309">
        <f t="shared" si="467"/>
        <v>2.691781204619601</v>
      </c>
      <c r="IY90" s="339">
        <f>各项系数!$F$76/4*($NB90^2-$MZ90^2*$EG90-$NA90^2*$EO90)*10^-2</f>
        <v>4.0761713378445465</v>
      </c>
      <c r="IZ90" s="284">
        <f t="shared" si="487"/>
        <v>1</v>
      </c>
      <c r="JA90" s="285">
        <f t="shared" si="363"/>
        <v>4.0761713378445465</v>
      </c>
      <c r="JB90" s="289">
        <f>IF($DE90&lt;&gt;$JB$9,0,$JA90*各项系数!$F$32*10^-3*10^2)*各项系数!$J$4</f>
        <v>0</v>
      </c>
      <c r="JC90" s="106">
        <v>1</v>
      </c>
      <c r="JD90" s="78">
        <f t="shared" si="468"/>
        <v>0</v>
      </c>
      <c r="JE90" s="264">
        <f>JD90*各项系数!$E$32</f>
        <v>0</v>
      </c>
      <c r="JF90" s="282">
        <f>IF($DE90&lt;&gt;$JF$9,0,$JA90*VLOOKUP($JF$9,各项系数!$D$4:$F$540,2,0)*10^-3*10^2)*各项系数!$J$4</f>
        <v>2.0278952405776618</v>
      </c>
      <c r="JG90" s="102">
        <v>1</v>
      </c>
      <c r="JH90" s="189">
        <f t="shared" si="364"/>
        <v>2.0278952405776618</v>
      </c>
      <c r="JI90" s="262">
        <f>JH90*VLOOKUP($JF$9,各项系数!$D$4:$F$540,3,0)</f>
        <v>2.4334742886931942</v>
      </c>
      <c r="JJ90" s="289">
        <f t="shared" si="469"/>
        <v>2.0278952405776618</v>
      </c>
      <c r="JK90" s="78">
        <f t="shared" si="470"/>
        <v>2.4334742886931942</v>
      </c>
      <c r="JL90" s="289">
        <f>IF($DF90&lt;&gt;$JL$9,0,各项系数!$F$76/4*($NE90^2-$NC90^2)*10^-2*各项系数!$F$39*10^-3*10^2)*各项系数!$J$4</f>
        <v>4.5875732448060124E-3</v>
      </c>
      <c r="JM90" s="106">
        <v>1</v>
      </c>
      <c r="JN90" s="78">
        <f t="shared" si="471"/>
        <v>4.5875732448060124E-3</v>
      </c>
      <c r="JO90" s="264">
        <f>JN90*各项系数!$E$39</f>
        <v>9.1751464896120252E-2</v>
      </c>
      <c r="JP90" s="289">
        <f>IF($DF90&lt;&gt;$JP$9,0,各项系数!$F$76/4*($NE90^2-$NC90^2)*10^-2*各项系数!$F$36*10^-3*10^2)*各项系数!$J$4</f>
        <v>0</v>
      </c>
      <c r="JQ90" s="106">
        <v>1</v>
      </c>
      <c r="JR90" s="78">
        <f t="shared" si="472"/>
        <v>0</v>
      </c>
      <c r="JS90" s="264">
        <f>JR90*各项系数!$E$36</f>
        <v>0</v>
      </c>
      <c r="JT90" s="289">
        <f>IF($DF90&lt;&gt;$JT$9,0,各项系数!$F$76/4*($NE90^2-$NC90^2)*10^-2*各项系数!$F$40*10^-3*10^2)*各项系数!$J$4</f>
        <v>0</v>
      </c>
      <c r="JU90" s="106">
        <v>1</v>
      </c>
      <c r="JV90" s="78">
        <f t="shared" si="473"/>
        <v>0</v>
      </c>
      <c r="JW90" s="264">
        <f>JV90*各项系数!$E$40</f>
        <v>0</v>
      </c>
      <c r="JX90" s="289">
        <f>IF($DF90&lt;&gt;$JX$9,0,各项系数!$F$76/4*($NE90^2-$NC90^2)*10^-2*各项系数!$F$38*10^-3*10^2)*各项系数!$J$4</f>
        <v>0</v>
      </c>
      <c r="JY90" s="106">
        <v>1</v>
      </c>
      <c r="JZ90" s="78">
        <f t="shared" si="474"/>
        <v>0</v>
      </c>
      <c r="KA90" s="264">
        <f>JZ90*各项系数!$E$38</f>
        <v>0</v>
      </c>
      <c r="KB90" s="289">
        <f>IF($DF90&lt;&gt;$KB$9,0,各项系数!$F$76/4*($NE90^2-$NC90^2)*10^-2*各项系数!$F$41*10^-3*10^2)*各项系数!$J$4</f>
        <v>0</v>
      </c>
      <c r="KC90" s="106">
        <v>1</v>
      </c>
      <c r="KD90" s="78">
        <f t="shared" si="475"/>
        <v>0</v>
      </c>
      <c r="KE90" s="264">
        <f>KD90*各项系数!$E$41</f>
        <v>0</v>
      </c>
      <c r="KF90" s="78">
        <f t="shared" si="476"/>
        <v>4.5875732448060124E-3</v>
      </c>
      <c r="KG90" s="78">
        <f t="shared" si="477"/>
        <v>9.1751464896120252E-2</v>
      </c>
      <c r="KH90" s="237">
        <f>各项系数!$F$76/4*($NG90^2-$NE90^2)*10^-2*各项系数!$F$44*10^-3*10^2*各项系数!$J$4*0.75*$U90</f>
        <v>1.145013186089368</v>
      </c>
      <c r="KI90" s="106">
        <v>1</v>
      </c>
      <c r="KJ90" s="78">
        <f t="shared" si="478"/>
        <v>1.145013186089368</v>
      </c>
      <c r="KK90" s="78">
        <f>ROUND(KJ90*各项系数!$E$43,GT90)</f>
        <v>7</v>
      </c>
      <c r="KL90" s="235">
        <f>各项系数!$F$76/4*($NF90^2-$NE90^2)*10^-2*各项系数!$F$46*10^-3*10^2*各项系数!$J$4*PI()/4*R90</f>
        <v>5.7223911599597103E-2</v>
      </c>
      <c r="KM90" s="106">
        <v>1</v>
      </c>
      <c r="KN90" s="78">
        <f t="shared" si="479"/>
        <v>5.7223911599597103E-2</v>
      </c>
      <c r="KO90" s="78">
        <f>KN90*各项系数!$E$46</f>
        <v>3.8626140329728047</v>
      </c>
      <c r="KP90" s="237">
        <f>各项系数!$F$76/4*($NH90^2-$NE90^2)*10^-2*(VLOOKUP($KP$9,各项系数!$D$1:$F$143,3,0))*10^-3*10^2*各项系数!$J$4</f>
        <v>0.47087817204482579</v>
      </c>
      <c r="KQ90" s="106">
        <v>1</v>
      </c>
      <c r="KR90" s="78">
        <f t="shared" si="416"/>
        <v>0.47087817204482579</v>
      </c>
      <c r="KS90" s="78">
        <f>KR90*(VLOOKUP($KP$9,各项系数!$D$1:$F$143,2,0))</f>
        <v>8.004928924762039</v>
      </c>
      <c r="KT90" s="237">
        <f>各项系数!$F$76/4*($NI90^2-$NF90^2)*10^-2*(VLOOKUP($KT$9,各项系数!$D$1:$F$143,3,0))*10^-3*10^2*各项系数!$J$4</f>
        <v>0.4726186646403967</v>
      </c>
      <c r="KU90" s="106">
        <v>1</v>
      </c>
      <c r="KV90" s="78">
        <f t="shared" si="417"/>
        <v>0.4726186646403967</v>
      </c>
      <c r="KW90" s="78">
        <f>KV90*(VLOOKUP($KT$9,各项系数!$D$1:$F$143,2,0))</f>
        <v>8.0345172988867439</v>
      </c>
      <c r="KX90" s="78">
        <f>各项系数!$F$76/4*($NH90^2-$NE90^2)*10^-2*(VLOOKUP($KX$9,各项系数!$D$1:$F$143,3,0))*10^-3*10^2*各项系数!$J$4</f>
        <v>0.47087817204482579</v>
      </c>
      <c r="KY90" s="355">
        <v>1</v>
      </c>
      <c r="KZ90" s="78">
        <f t="shared" si="418"/>
        <v>0.47087817204482579</v>
      </c>
      <c r="LA90" s="78">
        <f>KZ90*(VLOOKUP($KX$9,各项系数!$D$1:$F$143,2,0))</f>
        <v>8.004928924762039</v>
      </c>
      <c r="LB90" s="78">
        <f>各项系数!$F$76/4*($NI90^2-$NF90^2)*10^-2*(VLOOKUP($LB$9,各项系数!$D$1:$F$143,3,0))*10^-3*10^2*各项系数!$J$4</f>
        <v>0.4726186646403967</v>
      </c>
      <c r="LC90" s="355">
        <v>1</v>
      </c>
      <c r="LD90" s="78">
        <f t="shared" si="419"/>
        <v>0.4726186646403967</v>
      </c>
      <c r="LE90" s="78">
        <f>LD90*(VLOOKUP($LB$9,各项系数!$D$1:$F$143,2,0))</f>
        <v>8.0345172988867439</v>
      </c>
      <c r="LF90" s="237">
        <f>各项系数!$F$76/4*($NH90^2-$NE90^2)*10^-2*(VLOOKUP(AN90,各项系数!$D$1:$F$143,3,0))*10^-3*10^2*各项系数!$J$4</f>
        <v>0.47737304338337505</v>
      </c>
      <c r="LG90" s="106">
        <v>1</v>
      </c>
      <c r="LH90" s="78">
        <f t="shared" si="480"/>
        <v>0.47737304338337505</v>
      </c>
      <c r="LI90" s="78">
        <f>LH90*(VLOOKUP(AN90,各项系数!$D$1:$F$143,2,0))</f>
        <v>4.7737304338337507</v>
      </c>
      <c r="LJ90" s="237">
        <f>各项系数!$F$76/4*($NI90^2-$NF90^2)*10^-2*(VLOOKUP(AN90,各项系数!$D$1:$F$143,3,0))*10^-3*10^2*各项系数!$J$4</f>
        <v>0.47913754277336779</v>
      </c>
      <c r="LK90" s="106">
        <v>1</v>
      </c>
      <c r="LL90" s="78">
        <f t="shared" si="481"/>
        <v>0.47913754277336779</v>
      </c>
      <c r="LM90" s="78">
        <f>LL90*(VLOOKUP(AN90,各项系数!$D$1:$F$143,2,0))</f>
        <v>4.7913754277336782</v>
      </c>
      <c r="LN90" s="78">
        <f>各项系数!$F$76/4*($NH90^2-$NE90^2)*10^-2*(VLOOKUP($LN$9,各项系数!$D$1:$F$143,3,0))*10^-3*10^2*各项系数!$J$4</f>
        <v>0.47737304338337505</v>
      </c>
      <c r="LO90" s="355">
        <v>1</v>
      </c>
      <c r="LP90" s="78">
        <f t="shared" si="482"/>
        <v>0.47737304338337505</v>
      </c>
      <c r="LQ90" s="78">
        <f>LP90*(VLOOKUP($LN$9,各项系数!$D$1:$F$143,2,0))</f>
        <v>5.2511034772171259</v>
      </c>
      <c r="LR90" s="78">
        <f>各项系数!$F$76/4*($NI90^2-$NF90^2)*10^-2*(VLOOKUP($LR$9,各项系数!$D$1:$F$143,3,0))*10^-3*10^2*各项系数!$J$4</f>
        <v>0.47913754277336779</v>
      </c>
      <c r="LS90" s="355">
        <v>1</v>
      </c>
      <c r="LT90" s="78">
        <f t="shared" si="483"/>
        <v>0.47913754277336779</v>
      </c>
      <c r="LU90" s="78">
        <f>LT90*(VLOOKUP($LR$9,各项系数!$D$1:$F$143,2,0))</f>
        <v>5.2705129705070455</v>
      </c>
      <c r="LV90" s="367">
        <f t="shared" si="420"/>
        <v>589.71773941000004</v>
      </c>
      <c r="LW90" s="367">
        <f t="shared" si="421"/>
        <v>448.18548195</v>
      </c>
      <c r="LX90" s="367">
        <f t="shared" si="422"/>
        <v>23.888228879406849</v>
      </c>
      <c r="LY90" s="367">
        <f t="shared" si="423"/>
        <v>141.53225746000004</v>
      </c>
      <c r="LZ90" s="374">
        <f t="shared" si="365"/>
        <v>1</v>
      </c>
      <c r="MA90" s="375">
        <f t="shared" si="366"/>
        <v>589.71773941000004</v>
      </c>
      <c r="MB90" s="367">
        <f t="shared" si="424"/>
        <v>12.25440285</v>
      </c>
      <c r="MC90" s="367">
        <f t="shared" si="425"/>
        <v>0</v>
      </c>
      <c r="MD90" s="367">
        <f t="shared" si="426"/>
        <v>0</v>
      </c>
      <c r="ME90" s="367">
        <f t="shared" si="427"/>
        <v>0</v>
      </c>
      <c r="MF90" s="367">
        <f t="shared" si="428"/>
        <v>0</v>
      </c>
      <c r="MG90" s="379">
        <f t="shared" si="429"/>
        <v>1</v>
      </c>
      <c r="MH90" s="375">
        <f t="shared" si="367"/>
        <v>0</v>
      </c>
      <c r="MI90" s="367">
        <f t="shared" si="430"/>
        <v>0</v>
      </c>
      <c r="MJ90" s="78">
        <f t="shared" si="368"/>
        <v>12.25440285</v>
      </c>
      <c r="MK90" s="78">
        <f t="shared" si="431"/>
        <v>12.25440285</v>
      </c>
      <c r="ML90" s="78">
        <f t="shared" si="484"/>
        <v>0</v>
      </c>
      <c r="MM90" s="78">
        <f t="shared" si="369"/>
        <v>0</v>
      </c>
      <c r="MN90" s="78">
        <f t="shared" si="370"/>
        <v>14.454402850000001</v>
      </c>
      <c r="MO90" s="189">
        <f t="shared" si="432"/>
        <v>0</v>
      </c>
      <c r="MP90" s="78">
        <f t="shared" si="433"/>
        <v>39.026887700000003</v>
      </c>
      <c r="MQ90" s="78">
        <f t="shared" si="485"/>
        <v>39.026887700000003</v>
      </c>
      <c r="MR90" s="246">
        <f t="shared" si="434"/>
        <v>39.026887700000003</v>
      </c>
      <c r="MS90" s="380">
        <f t="shared" si="371"/>
        <v>39.202887700000005</v>
      </c>
      <c r="MT90" s="382">
        <f t="shared" si="372"/>
        <v>39.362887700000002</v>
      </c>
      <c r="MU90" s="382">
        <f t="shared" si="373"/>
        <v>40.702887700000005</v>
      </c>
      <c r="MV90" s="382">
        <f t="shared" si="374"/>
        <v>44.002887700000002</v>
      </c>
      <c r="MW90" s="382">
        <f t="shared" si="375"/>
        <v>44.162887699999999</v>
      </c>
      <c r="MX90" s="246">
        <f t="shared" si="376"/>
        <v>12.85440285</v>
      </c>
      <c r="MY90" s="246">
        <f t="shared" si="377"/>
        <v>0</v>
      </c>
      <c r="MZ90" s="78">
        <f t="shared" si="378"/>
        <v>15.054402849999999</v>
      </c>
      <c r="NA90" s="78">
        <f t="shared" si="379"/>
        <v>0</v>
      </c>
      <c r="NB90" s="78">
        <f t="shared" si="435"/>
        <v>40.646887700000001</v>
      </c>
      <c r="NC90" s="246">
        <f t="shared" si="486"/>
        <v>40.646887700000001</v>
      </c>
      <c r="ND90" s="246">
        <f t="shared" si="436"/>
        <v>40.646887700000001</v>
      </c>
      <c r="NE90" s="386">
        <f t="shared" si="437"/>
        <v>40.886887700000003</v>
      </c>
      <c r="NF90" s="382">
        <f t="shared" si="380"/>
        <v>41.046887699999999</v>
      </c>
      <c r="NG90" s="150">
        <f t="shared" si="381"/>
        <v>42.386887700000003</v>
      </c>
      <c r="NH90" s="246">
        <f t="shared" si="382"/>
        <v>45.6868877</v>
      </c>
      <c r="NI90" s="382">
        <f t="shared" si="383"/>
        <v>45.846887699999996</v>
      </c>
      <c r="NK90" s="390">
        <f t="shared" si="384"/>
        <v>5.186664841871341</v>
      </c>
      <c r="NL90" s="390">
        <f t="shared" si="385"/>
        <v>271.69449982373465</v>
      </c>
      <c r="NM90" s="390">
        <f t="shared" si="386"/>
        <v>5.186664841871341</v>
      </c>
      <c r="NN90" s="390">
        <f t="shared" si="387"/>
        <v>272.15330151103831</v>
      </c>
      <c r="NO90" s="390">
        <f t="shared" si="388"/>
        <v>6.8780389990955459</v>
      </c>
      <c r="NP90" s="390">
        <f t="shared" si="389"/>
        <v>275.24520097280242</v>
      </c>
      <c r="NQ90" s="390">
        <f t="shared" si="390"/>
        <v>6.8780389990955459</v>
      </c>
      <c r="NR90" s="390">
        <f t="shared" si="391"/>
        <v>275.72257401618577</v>
      </c>
      <c r="NS90" s="390">
        <f t="shared" si="392"/>
        <v>5.2415364862487017</v>
      </c>
      <c r="NT90" s="390">
        <f t="shared" si="393"/>
        <v>5.2415364862487017</v>
      </c>
      <c r="NU90" s="390">
        <f t="shared" si="394"/>
        <v>6.9352629106951431</v>
      </c>
      <c r="NV90" s="390">
        <f t="shared" si="395"/>
        <v>6.9352629106951431</v>
      </c>
      <c r="NW90" s="9">
        <f t="shared" si="396"/>
        <v>5.9191336656454059</v>
      </c>
      <c r="NX90" s="9">
        <f>各项系数!$M$9*NK90</f>
        <v>1.5559994525614023</v>
      </c>
      <c r="NY90" s="9">
        <f t="shared" si="397"/>
        <v>5.2415364862487026</v>
      </c>
    </row>
    <row r="91" spans="1:389" s="9" customFormat="1" ht="15" hidden="1" customHeight="1">
      <c r="A91" s="65"/>
      <c r="B91" s="66"/>
      <c r="C91" s="67"/>
      <c r="D91" s="58" t="s">
        <v>216</v>
      </c>
      <c r="E91" s="54">
        <f t="shared" si="325"/>
        <v>51.333224190000003</v>
      </c>
      <c r="F91" s="68">
        <f>$F$27</f>
        <v>244.921136962963</v>
      </c>
      <c r="G91" s="58"/>
      <c r="H91" s="62"/>
      <c r="I91" s="62"/>
      <c r="J91" s="16"/>
      <c r="K91" s="62"/>
      <c r="L91" s="107" t="s">
        <v>467</v>
      </c>
      <c r="M91" s="98">
        <f t="shared" si="339"/>
        <v>1.2</v>
      </c>
      <c r="N91" s="98">
        <f t="shared" si="340"/>
        <v>0</v>
      </c>
      <c r="O91" s="58">
        <f t="shared" si="488"/>
        <v>0.08</v>
      </c>
      <c r="P91" s="99">
        <v>0.1</v>
      </c>
      <c r="Q91" s="136">
        <f t="shared" si="440"/>
        <v>0.1</v>
      </c>
      <c r="R91" s="151">
        <v>0.8</v>
      </c>
      <c r="S91" s="144" t="str">
        <f>各项系数!$D$43</f>
        <v>钢带</v>
      </c>
      <c r="T91" s="62">
        <v>0.5</v>
      </c>
      <c r="U91" s="62">
        <v>2</v>
      </c>
      <c r="V91" s="143"/>
      <c r="W91" s="145">
        <v>2.5</v>
      </c>
      <c r="X91" s="139">
        <f t="shared" si="441"/>
        <v>0.2</v>
      </c>
      <c r="Y91" s="139"/>
      <c r="Z91" s="169"/>
      <c r="AA91" s="170">
        <f>$AA$27</f>
        <v>1.0129999999999999</v>
      </c>
      <c r="AB91" s="153">
        <f>PI()*EJ91*EJ91/4*EH91*(1-H91)*AA91*各项系数!$F$5*各项系数!$J$4*10^-7</f>
        <v>1.013183115671781</v>
      </c>
      <c r="AC91" s="170">
        <f t="shared" si="327"/>
        <v>244.921136962963</v>
      </c>
      <c r="AD91" s="153">
        <f t="shared" si="341"/>
        <v>114.54156221736136</v>
      </c>
      <c r="AE91" s="153">
        <f>POWER(4*EU91/PI()/EG91/10^-7/EH91/(1-H91)/各项系数!$F$5/各项系数!$J$4,0.5)</f>
        <v>246.50798375415036</v>
      </c>
      <c r="AF91" s="16">
        <v>1</v>
      </c>
      <c r="AG91" s="16">
        <f>IF(EM91=0,0,PI()*ER91*ER91/4*EP91*(1-K91)*(1+AF91)*各项系数!$F$5*各项系数!$J$4*10^-7)</f>
        <v>0</v>
      </c>
      <c r="AH91" s="16">
        <f t="shared" si="328"/>
        <v>0</v>
      </c>
      <c r="AI91" s="69">
        <f t="shared" si="398"/>
        <v>0</v>
      </c>
      <c r="AJ91" s="69">
        <f>IF(OR(EP91="",EP91=0),0,POWER(4*EW91/PI()/EO91/10^-7/EP91/(1-K91)/各项系数!$F$5/各项系数!$J$4,0.5))</f>
        <v>0</v>
      </c>
      <c r="AK91" s="16" t="str">
        <f t="shared" si="342"/>
        <v>√</v>
      </c>
      <c r="AL91" s="16">
        <f t="shared" si="329"/>
        <v>353.52968493869787</v>
      </c>
      <c r="AM91" s="106">
        <f t="shared" si="330"/>
        <v>120</v>
      </c>
      <c r="AN91" s="107" t="s">
        <v>486</v>
      </c>
      <c r="AO91" s="146">
        <f>AP91+各项系数!$M$9*$NK91</f>
        <v>346.59773033205676</v>
      </c>
      <c r="AP91" s="146">
        <f>AQ91*(1+$BI91+(VLOOKUP($AM91,$A$12:$B$323,2,0))+各项系数!$J$6+各项系数!$M$5)*(1+$E$2)</f>
        <v>344.61922495639487</v>
      </c>
      <c r="AQ91" s="199">
        <f>AR91+各项系数!$L$9*$NK91</f>
        <v>351.65227036366826</v>
      </c>
      <c r="AR91" s="199">
        <f>AS91*(1+$BJ91+各项系数!$J$5+各项系数!$L$5)</f>
        <v>349.67376498800638</v>
      </c>
      <c r="AS91" s="199">
        <f t="shared" si="399"/>
        <v>342.81741665490819</v>
      </c>
      <c r="AT91" s="146">
        <f>AU91+各项系数!$M$9*$NM91</f>
        <v>350.39330631250942</v>
      </c>
      <c r="AU91" s="146">
        <f>AV91*(1+$BI91+(VLOOKUP($AM91,$A$12:$B$323,2,0))+各项系数!$J$6+各项系数!$M$5)*(1+$E$2)</f>
        <v>348.41480093684754</v>
      </c>
      <c r="AV91" s="199">
        <f>AW91+各项系数!$L$9*$NM91</f>
        <v>355.52530707841589</v>
      </c>
      <c r="AW91" s="199">
        <f>AX91*(1+$BJ91+各项系数!$J$5+各项系数!$L$5)</f>
        <v>353.54680170275401</v>
      </c>
      <c r="AX91" s="199">
        <f t="shared" si="400"/>
        <v>346.61451147328825</v>
      </c>
      <c r="AY91" s="146">
        <f>AZ91+各项系数!$M$9*$NS91</f>
        <v>351.02899131523662</v>
      </c>
      <c r="AZ91" s="146">
        <f>BA91*(1+$BI91+(VLOOKUP($AM91,$A$12:$B$214,2,0))+各项系数!$J$6+各项系数!$M$5)*(1+$E$2)</f>
        <v>349.03103647889651</v>
      </c>
      <c r="BA91" s="199">
        <f>BB91+各项系数!$L$9*$NS91</f>
        <v>356.15411885601685</v>
      </c>
      <c r="BB91" s="199">
        <f>BC91*(1+$BJ91+各项系数!$J$5+各项系数!$L$5)</f>
        <v>354.15616401967674</v>
      </c>
      <c r="BC91" s="199">
        <f t="shared" si="401"/>
        <v>347.211925509487</v>
      </c>
      <c r="BD91" s="146">
        <f>BE91+各项系数!$M$9*$NS91</f>
        <v>354.83700334034842</v>
      </c>
      <c r="BE91" s="146">
        <f>BF91*(1+$BI91+(VLOOKUP($AM91,$A$12:$B$214,2,0))+各项系数!$J$6+各项系数!$M$5)*(1+$E$2)</f>
        <v>352.8390485040083</v>
      </c>
      <c r="BF91" s="199">
        <f>BG91+各项系数!$L$9*$NS91</f>
        <v>360.03984541225338</v>
      </c>
      <c r="BG91" s="199">
        <f>BH91*(1+$BJ91+各项系数!$J$5+各项系数!$L$5)</f>
        <v>358.04189057591327</v>
      </c>
      <c r="BH91" s="199">
        <f t="shared" si="402"/>
        <v>351.02146134893457</v>
      </c>
      <c r="BI91" s="214"/>
      <c r="BJ91" s="215"/>
      <c r="BK91" s="78" t="s">
        <v>514</v>
      </c>
      <c r="BL91" s="146">
        <f>BM91+各项系数!$M$9*$NM91</f>
        <v>350.52359203429188</v>
      </c>
      <c r="BM91" s="146">
        <f>BN91*(1+$CF91+(VLOOKUP($AM91,$A$12:$B$323,2,0))+各项系数!$J$6+各项系数!$M$5)*(1+$E$2)</f>
        <v>348.54508665863</v>
      </c>
      <c r="BN91" s="199">
        <f>BO91+各项系数!$L$9*$NM91</f>
        <v>355.65825169247961</v>
      </c>
      <c r="BO91" s="199">
        <f>BP91*(1+$CG91+各项系数!$J$5+各项系数!$L$5)</f>
        <v>353.67974631681773</v>
      </c>
      <c r="BP91" s="199">
        <f t="shared" si="403"/>
        <v>343.37839448234729</v>
      </c>
      <c r="BQ91" s="146">
        <f>BR91+各项系数!$M$9*$NM91</f>
        <v>353.7901285249477</v>
      </c>
      <c r="BR91" s="146">
        <f>BS91*(1+$CF91+(VLOOKUP($AM91,$A$12:$B$323,2,0))+各项系数!$J$6+各项系数!$M$5)*(1+$E$2)</f>
        <v>351.81162314928582</v>
      </c>
      <c r="BS91" s="199">
        <f>BT91+各项系数!$L$9*$NM91</f>
        <v>358.9914521931488</v>
      </c>
      <c r="BT91" s="199">
        <f>BU91*(1+$CG91+各项系数!$J$5+各项系数!$L$5)</f>
        <v>357.01294681748692</v>
      </c>
      <c r="BU91" s="199">
        <f t="shared" si="404"/>
        <v>346.61451147328825</v>
      </c>
      <c r="BV91" s="146">
        <f>BW91+各项系数!$M$9*$NT91</f>
        <v>353.04987689731297</v>
      </c>
      <c r="BW91" s="146">
        <f>BX91*(1+$CF91+(VLOOKUP($AM91,$A$12:$B$214,2,0))+各项系数!$J$6+各项系数!$M$5)*(1+$E$2)</f>
        <v>351.05192206097286</v>
      </c>
      <c r="BX91" s="199">
        <f>BY91+各项系数!$L$9*$NT$12</f>
        <v>358.21624700099272</v>
      </c>
      <c r="BY91" s="199">
        <f>BZ91*(1+$CG91+各项系数!$J$5+各项系数!$L$5)</f>
        <v>358.20798359783777</v>
      </c>
      <c r="BZ91" s="199">
        <f t="shared" si="343"/>
        <v>347.77474135712401</v>
      </c>
      <c r="CA91" s="146">
        <f>CB91+各项系数!$M$9*$NT91</f>
        <v>356.32711605704651</v>
      </c>
      <c r="CB91" s="146">
        <f>CC91*(1+$CF91+(VLOOKUP($AM91,$A$12:$B$214,2,0))+各项系数!$J$6+各项系数!$M$5)*(1+$E$2)</f>
        <v>354.3291612207064</v>
      </c>
      <c r="CC91" s="199">
        <f>CD91+各项系数!$L$9*$NT$12</f>
        <v>361.56036859255755</v>
      </c>
      <c r="CD91" s="199">
        <f>CE91*(1+$CG91+各项系数!$J$5+各项系数!$L$5)</f>
        <v>361.5521051894026</v>
      </c>
      <c r="CE91" s="199">
        <f t="shared" si="405"/>
        <v>351.02146134893457</v>
      </c>
      <c r="CF91" s="214">
        <f t="shared" si="406"/>
        <v>0</v>
      </c>
      <c r="CG91" s="214">
        <f t="shared" si="344"/>
        <v>0.01</v>
      </c>
      <c r="CH91" s="106"/>
      <c r="CI91" s="146">
        <f>CJ91+各项系数!$M$9*$NO91</f>
        <v>354.32417032587216</v>
      </c>
      <c r="CJ91" s="146">
        <f>CK91*(1+$DC91+(VLOOKUP($AM91,$A$12:$B$323,2,0))+各项系数!$J$6+各项系数!$M$5)*(1+$E$2)+各项系数!$M$9*$NK91</f>
        <v>351.65441728312237</v>
      </c>
      <c r="CK91" s="199">
        <f>CL91+各项系数!$L$9*$NO91</f>
        <v>356.81215500761277</v>
      </c>
      <c r="CL91" s="199">
        <f>CM91*(1+$DD91+各项系数!$J$5+各项系数!$L$5)</f>
        <v>354.14240196486298</v>
      </c>
      <c r="CM91" s="199">
        <f t="shared" si="345"/>
        <v>347.19843329888528</v>
      </c>
      <c r="CN91" s="146">
        <f>CO91+各项系数!$M$9*$NO91</f>
        <v>357.92637206114529</v>
      </c>
      <c r="CO91" s="146">
        <f>CP91*(1+$DC91+(VLOOKUP($AM91,$A$12:$B$323,2,0))+各项系数!$J$6+各项系数!$M$5)*(1+$E$2)+各项系数!$M$9*$NK91</f>
        <v>355.2566190183955</v>
      </c>
      <c r="CP91" s="199">
        <f>CQ91+各项系数!$L$9*$NO91</f>
        <v>360.48787106401392</v>
      </c>
      <c r="CQ91" s="199">
        <f>CR91*(1+$DD91+各项系数!$J$5+各项系数!$L$5)</f>
        <v>357.81811802126413</v>
      </c>
      <c r="CR91" s="199">
        <f t="shared" si="346"/>
        <v>350.8020764914354</v>
      </c>
      <c r="CS91" s="146">
        <f>CT91+各项系数!$M$9*$NU91</f>
        <v>356.9370377064061</v>
      </c>
      <c r="CT91" s="146">
        <f t="shared" si="347"/>
        <v>354.24712952281141</v>
      </c>
      <c r="CU91" s="199">
        <f>CV91+各项系数!$L$9*$NU91</f>
        <v>361.47666277837897</v>
      </c>
      <c r="CV91" s="199">
        <f>CW91*(1+$DD91+各项系数!$J$5+各项系数!$L$5)</f>
        <v>358.78675459478427</v>
      </c>
      <c r="CW91" s="199">
        <f t="shared" si="348"/>
        <v>351.75172019096499</v>
      </c>
      <c r="CX91" s="146">
        <f>CY91+各项系数!$M$9*$NU91</f>
        <v>360.87593910155442</v>
      </c>
      <c r="CY91" s="146">
        <f t="shared" si="349"/>
        <v>358.18603091795973</v>
      </c>
      <c r="CZ91" s="199">
        <f>DA91+各项系数!$L$9*$NU91</f>
        <v>365.49594991628544</v>
      </c>
      <c r="DA91" s="199">
        <f>DB91*(1+$DD91+各项系数!$J$5+各项系数!$L$5)</f>
        <v>362.80604173269074</v>
      </c>
      <c r="DB91" s="199">
        <f t="shared" si="350"/>
        <v>355.69219777714778</v>
      </c>
      <c r="DC91" s="214">
        <f t="shared" si="407"/>
        <v>0</v>
      </c>
      <c r="DD91" s="214">
        <f t="shared" si="351"/>
        <v>0</v>
      </c>
      <c r="DE91" s="78" t="s">
        <v>498</v>
      </c>
      <c r="DF91" s="78" t="s">
        <v>513</v>
      </c>
      <c r="DG91" s="146">
        <f>DH91+各项系数!$M$9*$NQ91</f>
        <v>358.3124929983295</v>
      </c>
      <c r="DH91" s="146">
        <f>DI91*(1+$EA91+(VLOOKUP($AM91,$A$12:$B$323,2,0))+各项系数!$J$6+各项系数!$M$5)*(1+$E$2)+各项系数!$M$9*$NK91</f>
        <v>355.64273995557971</v>
      </c>
      <c r="DI91" s="199">
        <f>DJ91+各项系数!$L$9*$NQ91</f>
        <v>360.88187202032435</v>
      </c>
      <c r="DJ91" s="199">
        <f>DK91*(1+$EB91+各项系数!$J$5+各项系数!$L$5)</f>
        <v>358.21211897757456</v>
      </c>
      <c r="DK91" s="199">
        <f t="shared" si="352"/>
        <v>347.77875628890735</v>
      </c>
      <c r="DL91" s="146">
        <f>DM91+各项系数!$M$9*$NQ91</f>
        <v>361.69167508102862</v>
      </c>
      <c r="DM91" s="146">
        <f>DN91*(1+$EA91+(VLOOKUP($AM91,$A$12:$B$323,2,0))+各项系数!$J$6+各项系数!$M$5)*(1+$E$2)+各项系数!$M$9*$NK91</f>
        <v>359.02192203827883</v>
      </c>
      <c r="DN91" s="199">
        <f>DO91+各项系数!$L$9*$NQ91</f>
        <v>364.33001700267039</v>
      </c>
      <c r="DO91" s="199">
        <f>DP91*(1+$EB91+各项系数!$J$5+各项系数!$L$5)</f>
        <v>361.6602639599206</v>
      </c>
      <c r="DP91" s="199">
        <f t="shared" si="353"/>
        <v>351.12646986400057</v>
      </c>
      <c r="DQ91" s="146">
        <f>DR91+各项系数!$M$9*$NV91</f>
        <v>360.97183788799356</v>
      </c>
      <c r="DR91" s="146">
        <f t="shared" si="354"/>
        <v>358.28192970439886</v>
      </c>
      <c r="DS91" s="199">
        <f>DT91+各项系数!$L$9*$NV91</f>
        <v>365.59380582081519</v>
      </c>
      <c r="DT91" s="199">
        <f>DU91*(1+$EB91+各项系数!$J$5+各项系数!$L$5)</f>
        <v>362.9038976372205</v>
      </c>
      <c r="DU91" s="199">
        <f t="shared" si="355"/>
        <v>352.33388120118497</v>
      </c>
      <c r="DV91" s="146">
        <f>DW91+各项系数!$M$9*$NV91</f>
        <v>360.85791913350147</v>
      </c>
      <c r="DW91" s="146">
        <f t="shared" si="356"/>
        <v>358.16801094990677</v>
      </c>
      <c r="DX91" s="199">
        <f>DY91+各项系数!$L$9*$NV91</f>
        <v>365.47756219378243</v>
      </c>
      <c r="DY91" s="199">
        <f>DZ91*(1+$EB91+各项系数!$J$5+各项系数!$L$5)</f>
        <v>362.78765401018774</v>
      </c>
      <c r="DZ91" s="199">
        <f t="shared" si="357"/>
        <v>352.22102331086188</v>
      </c>
      <c r="EA91" s="214">
        <f t="shared" si="439"/>
        <v>0</v>
      </c>
      <c r="EB91" s="214">
        <f t="shared" si="358"/>
        <v>0.01</v>
      </c>
      <c r="EC91" s="235">
        <f t="shared" si="408"/>
        <v>5</v>
      </c>
      <c r="ED91" s="237" t="str">
        <f t="shared" si="442"/>
        <v>5*120</v>
      </c>
      <c r="EE91" s="78">
        <f t="shared" si="239"/>
        <v>120</v>
      </c>
      <c r="EF91" s="78" t="str">
        <f>LOOKUP(EH91,{1,7,10,14,19,24,30,37,48,61},{1,"1+6","2+8","4+10","1+6+12","2+8+14","4+10+16","1+6+12+18","3+9+15+21","1+6+12+18+24"})</f>
        <v>2+8+14</v>
      </c>
      <c r="EG91" s="106">
        <f t="shared" si="359"/>
        <v>5</v>
      </c>
      <c r="EH91" s="199">
        <f>VLOOKUP(EE91,各项系数!$B$87:$C$124,2,0)</f>
        <v>24</v>
      </c>
      <c r="EI91" s="106">
        <f>IF(EH91=0,0,VLOOKUP(EH91,各项系数!$D$142:$E$195,2,0))*1</f>
        <v>6</v>
      </c>
      <c r="EJ91" s="240">
        <f t="shared" si="409"/>
        <v>244.921136962963</v>
      </c>
      <c r="EK91" s="78">
        <f t="shared" si="332"/>
        <v>0</v>
      </c>
      <c r="EL91" s="78">
        <f t="shared" si="360"/>
        <v>0</v>
      </c>
      <c r="EM91" s="78">
        <f t="shared" si="443"/>
        <v>0</v>
      </c>
      <c r="EN91" s="78">
        <f>IF(EP91=0,0,LOOKUP(EP91,{1,7,10,14,19,24,30,37,48,61},{1,"1+6","2+8","4+10","1+6+12","2+8+14","4+10+16","1+6+12+18","3+9+15+21","1+6+12+18+24"}))</f>
        <v>0</v>
      </c>
      <c r="EO91" s="78">
        <f t="shared" si="334"/>
        <v>0</v>
      </c>
      <c r="EP91" s="78">
        <f>IF(EM91=0,0,IF(EM91&lt;10,1,IF(AND(EM91&gt;=10,EM91&lt;=35),7,LOOKUP(EM91,{50,70,95,120,150,185,240,300},{10,14,19,24,30,37,48,61})*1)))</f>
        <v>0</v>
      </c>
      <c r="EQ91" s="78">
        <f>IF(EP91=0,0,VLOOKUP(EP91,各项系数!$D$142:$E$195,2,0))*1</f>
        <v>0</v>
      </c>
      <c r="ER91" s="78">
        <f t="shared" si="335"/>
        <v>0</v>
      </c>
      <c r="ES91" s="237">
        <f t="shared" si="444"/>
        <v>5</v>
      </c>
      <c r="ET91" s="78">
        <f>VLOOKUP(ES91,各项系数!$D$142:$E$195,2,0)*1</f>
        <v>2.7</v>
      </c>
      <c r="EU91" s="243">
        <f>((各项系数!$F$76/4*$EJ91^2*$EG91*$EH91*1*10^-7)*(1-$H91)*AA91)*(VLOOKUP($EY$9,各项系数!$D$4:$F$143,3,0))*各项系数!$J$4</f>
        <v>5.0659155783589043</v>
      </c>
      <c r="EV91" s="244">
        <f>EU91*(VLOOKUP($EY$9,各项系数!$D$4:$F$143,2,0))</f>
        <v>331.81747038250825</v>
      </c>
      <c r="EW91" s="252">
        <f>(IF($EO91=0,0,(各项系数!$F$76/4*$ER91^2*$EO91*$EP91*1*10^-7))*(1-$K91)*$AF91)*(VLOOKUP($EY$9,各项系数!$D$4:$F$143,3,0))*各项系数!$J$4</f>
        <v>0</v>
      </c>
      <c r="EX91" s="253">
        <f>EW91*(VLOOKUP($EY$9,各项系数!$D$4:$F$143,2,0))</f>
        <v>0</v>
      </c>
      <c r="EY91" s="189">
        <f>((各项系数!$F$76/4*$EJ91^2*$EG91*$EH91*1*10^-7)*(1-$H91)*AA91+IF($EO91=0,0,(各项系数!$F$76/4*$ER91^2*$EO91*$EP91*1*10^-7))*(1-$K91)*$AF91)*(VLOOKUP($EY$9,各项系数!$D$4:$F$143,3,0))*各项系数!$J$4</f>
        <v>5.0659155783589043</v>
      </c>
      <c r="EZ91" s="106">
        <v>1</v>
      </c>
      <c r="FA91" s="78">
        <f t="shared" si="445"/>
        <v>5.0659155783589043</v>
      </c>
      <c r="FB91" s="246">
        <f>FA91*(VLOOKUP($EY$9,各项系数!$D$4:$F$143,2,0))</f>
        <v>331.81747038250825</v>
      </c>
      <c r="FC91" s="257"/>
      <c r="FD91" s="237">
        <f>各项系数!$F$76/4*($MN91^2-MK91^2)*10^-2*(VLOOKUP(L91,各项系数!$D$1:$F$143,3,0))*10^-3*10^2*$EG91*各项系数!$J$4</f>
        <v>0.32793271881121866</v>
      </c>
      <c r="FE91" s="264">
        <f>FD91*VLOOKUP(L91,各项系数!$D$1:$F$143,2,0)</f>
        <v>3.34491373187443</v>
      </c>
      <c r="FF91" s="106">
        <f>各项系数!$F$76/4*($MO91^2-ML91^2)*10^-2*(VLOOKUP(L91,各项系数!$D$1:$F$143,3,0))*10^-3*10^2*$EO91*各项系数!$J$4</f>
        <v>0</v>
      </c>
      <c r="FG91" s="264">
        <f>FF91*VLOOKUP(L91,各项系数!$D$1:$F$143,2,0)</f>
        <v>0</v>
      </c>
      <c r="FH91" s="237">
        <f t="shared" si="410"/>
        <v>0.32793271881121866</v>
      </c>
      <c r="FI91" s="106">
        <v>1</v>
      </c>
      <c r="FJ91" s="78">
        <f t="shared" si="446"/>
        <v>0.32793271881121866</v>
      </c>
      <c r="FK91" s="264">
        <f>FJ91*VLOOKUP(L91,各项系数!$D$1:$F$143,2,0)</f>
        <v>3.34491373187443</v>
      </c>
      <c r="FL91" s="237"/>
      <c r="FM91" s="106"/>
      <c r="FN91" s="78"/>
      <c r="FO91" s="264"/>
      <c r="FP91" s="289">
        <f t="shared" si="447"/>
        <v>0.32793271881121866</v>
      </c>
      <c r="FQ91" s="289">
        <f t="shared" si="448"/>
        <v>3.34491373187443</v>
      </c>
      <c r="FR91" s="283">
        <f>各项系数!$F$76/4*($MQ91^2-$MN91^2*$EG91-$MO91^2*$EO91)*10^-2</f>
        <v>5.256264385790943</v>
      </c>
      <c r="FS91" s="284">
        <f t="shared" si="411"/>
        <v>1</v>
      </c>
      <c r="FT91" s="285">
        <f t="shared" si="361"/>
        <v>5.256264385790943</v>
      </c>
      <c r="FU91" s="309">
        <f>$FT91*(VLOOKUP($FT$9,各项系数!$D$1:$F$143,3,0))*10^-3*10^2*各项系数!$J$55</f>
        <v>0.62759796766343856</v>
      </c>
      <c r="FV91" s="310">
        <v>1</v>
      </c>
      <c r="FW91" s="311">
        <f t="shared" si="449"/>
        <v>0.62759796766343856</v>
      </c>
      <c r="FX91" s="290">
        <f>FW91*(VLOOKUP($FT$9,各项系数!$D$1:$F$143,2,0))</f>
        <v>1.8827939029903158</v>
      </c>
      <c r="FY91" s="309">
        <f>IF($BK91&lt;&gt;$FY$9,0,各项系数!$F$76/4*($MS91^2-$MQ91^2)*10^-2*(VLOOKUP($FY$9,各项系数!$D$1:$F$143,3,0))*10^-3*10^2)*各项系数!$J$4</f>
        <v>0</v>
      </c>
      <c r="FZ91" s="310">
        <v>1</v>
      </c>
      <c r="GA91" s="311">
        <f t="shared" si="450"/>
        <v>0</v>
      </c>
      <c r="GB91" s="290">
        <f>GA91*(VLOOKUP($FY$9,各项系数!$D$1:$F$143,2,0))</f>
        <v>0</v>
      </c>
      <c r="GC91" s="309">
        <f>IF($BK91&lt;&gt;$GC$9,0,各项系数!$F$76/4*($MS91^2-$MQ91^2)*10^-2*(VLOOKUP($GC$9,各项系数!$D$1:$F$143,3,0))*10^-3*10^2)*各项系数!$J$4</f>
        <v>1.2593826600349783E-2</v>
      </c>
      <c r="GD91" s="310">
        <v>1</v>
      </c>
      <c r="GE91" s="311">
        <f t="shared" si="451"/>
        <v>1.2593826600349783E-2</v>
      </c>
      <c r="GF91" s="290">
        <f>GE91*(VLOOKUP($GC$9,各项系数!$D$1:$F$143,2,0))</f>
        <v>0.1624603631445122</v>
      </c>
      <c r="GG91" s="309">
        <f>IF($BK91&lt;&gt;$GG$9,0,各项系数!$F$76/4*($MS91^2-$MQ91^2)*10^-2*(VLOOKUP($GG$9,各项系数!$D$1:$F$143,3,0))*10^-3*10^2)*各项系数!$J$4</f>
        <v>0</v>
      </c>
      <c r="GH91" s="310">
        <v>1</v>
      </c>
      <c r="GI91" s="311">
        <f t="shared" si="452"/>
        <v>0</v>
      </c>
      <c r="GJ91" s="290">
        <f>GI91*(VLOOKUP($GG$9,各项系数!$D$1:$F$143,2,0))</f>
        <v>0</v>
      </c>
      <c r="GK91" s="309">
        <f>IF($BK91&lt;&gt;$GK$9,0,各项系数!$F$76/4*($MS91^2-$MQ91^2)*10^-2*(VLOOKUP($GK$9,各项系数!$D$1:$F$143,3,0))*10^-3*10^2)*各项系数!$J$4</f>
        <v>0</v>
      </c>
      <c r="GL91" s="310">
        <v>1</v>
      </c>
      <c r="GM91" s="311">
        <f t="shared" si="453"/>
        <v>0</v>
      </c>
      <c r="GN91" s="290">
        <f>GM91*(VLOOKUP($GK$9,各项系数!$D$1:$F$143,2,0))</f>
        <v>0</v>
      </c>
      <c r="GO91" s="311">
        <f t="shared" si="454"/>
        <v>1.2593826600349783E-2</v>
      </c>
      <c r="GP91" s="311">
        <f t="shared" si="455"/>
        <v>0.1624603631445122</v>
      </c>
      <c r="GQ91" s="317">
        <f>各项系数!$F$76/4*($MU91^2-$MS91^2)*10^-2*(VLOOKUP($S91,各项系数!$D$1:$F$143,3,0))*10^-3*10^2*各项系数!$J$4</f>
        <v>0.86319151949409245</v>
      </c>
      <c r="GR91" s="310">
        <v>1</v>
      </c>
      <c r="GS91" s="311">
        <f t="shared" si="456"/>
        <v>0.86319151949409245</v>
      </c>
      <c r="GT91" s="311">
        <f t="shared" si="457"/>
        <v>0</v>
      </c>
      <c r="GU91" s="311">
        <f>ROUND($GS91*(VLOOKUP($S91,各项系数!$D$1:$F$143,2,0))+$E$3*GS91,GT91)</f>
        <v>5</v>
      </c>
      <c r="GV91" s="315">
        <f>各项系数!$F$76/4*($MT91^2-$MS91^2)*10^-2*(VLOOKUP($GV$9,各项系数!$D$1:$F$143,3,0))*10^-3*10^2*各项系数!$J$4*PI()/4*R91</f>
        <v>6.4831535594069942E-2</v>
      </c>
      <c r="GW91" s="310">
        <v>1</v>
      </c>
      <c r="GX91" s="311">
        <f t="shared" si="458"/>
        <v>6.4831535594069942E-2</v>
      </c>
      <c r="GY91" s="311">
        <f>$GX91*(VLOOKUP($GV$9,各项系数!$D$1:$F$143,2,0))</f>
        <v>4.3761286525997214</v>
      </c>
      <c r="GZ91" s="317">
        <f>各项系数!$F$76/4*($MV91^2-$MS91^2)*10^-2*(VLOOKUP($GZ$9,各项系数!$D$1:$F$143,3,0))*10^-3*10^2*各项系数!$J$4</f>
        <v>0.55334547604533579</v>
      </c>
      <c r="HA91" s="310">
        <v>1</v>
      </c>
      <c r="HB91" s="311">
        <f t="shared" si="412"/>
        <v>0.55334547604533579</v>
      </c>
      <c r="HC91" s="311">
        <f>HB91*(VLOOKUP($GZ$9,各项系数!$D$1:$F$143,2,0))</f>
        <v>9.4068730927707094</v>
      </c>
      <c r="HD91" s="317">
        <f>各项系数!$F$76/4*($MW91^2-$MT91^2)*10^-2*(VLOOKUP($HD$9,各项系数!$D$1:$F$143,3,0))*10^-3*10^2*各项系数!$J$4</f>
        <v>0.5551584891657223</v>
      </c>
      <c r="HE91" s="310">
        <v>1</v>
      </c>
      <c r="HF91" s="311">
        <f t="shared" si="413"/>
        <v>0.5551584891657223</v>
      </c>
      <c r="HG91" s="311">
        <f>HF91*(VLOOKUP($HD$9,各项系数!$D$1:$F$143,2,0))</f>
        <v>9.4376943158172786</v>
      </c>
      <c r="HH91" s="317">
        <f>各项系数!$F$76/4*($MV91^2-$MS91^2)*10^-2*(VLOOKUP($HH$9,各项系数!$D$1:$F$143,3,0))*10^-3*10^2*各项系数!$J$4</f>
        <v>0.55334547604533579</v>
      </c>
      <c r="HI91" s="311">
        <v>1</v>
      </c>
      <c r="HJ91" s="311">
        <f t="shared" si="414"/>
        <v>0.55334547604533579</v>
      </c>
      <c r="HK91" s="311">
        <f>HJ91*(VLOOKUP($HH$9,各项系数!$D$1:$F$143,2,0))</f>
        <v>9.4068730927707094</v>
      </c>
      <c r="HL91" s="317">
        <f>各项系数!$F$76/4*($MW91^2-$MT91^2)*10^-2*(VLOOKUP($HL$9,各项系数!$D$1:$F$143,3,0))*10^-3*10^2*各项系数!$J$4</f>
        <v>0.5551584891657223</v>
      </c>
      <c r="HM91" s="311">
        <v>1</v>
      </c>
      <c r="HN91" s="311">
        <f t="shared" si="362"/>
        <v>0.5551584891657223</v>
      </c>
      <c r="HO91" s="311">
        <f>HN91*(VLOOKUP($HL$9,各项系数!$D$1:$F$143,2,0))</f>
        <v>9.4376943158172786</v>
      </c>
      <c r="HP91" s="317">
        <f>各项系数!$F$76/4*($MV91^2-$MS91^2)*10^-2*(VLOOKUP(AN91,各项系数!$D$1:$F$143,3,0))*10^-3*10^2*各项系数!$J$4</f>
        <v>0.56097782743906455</v>
      </c>
      <c r="HQ91" s="310">
        <v>1</v>
      </c>
      <c r="HR91" s="311">
        <f t="shared" si="459"/>
        <v>0.56097782743906455</v>
      </c>
      <c r="HS91" s="311">
        <f>HR91*(VLOOKUP(AN91,各项系数!$D$1:$F$143,2,0))</f>
        <v>5.6097782743906457</v>
      </c>
      <c r="HT91" s="317">
        <f>各项系数!$F$76/4*($MW91^2-$MT91^2)*10^-2*(VLOOKUP(AN91,各项系数!$D$1:$F$143,3,0))*10^-3*10^2*各项系数!$J$4</f>
        <v>0.56281584763697368</v>
      </c>
      <c r="HU91" s="310">
        <v>1</v>
      </c>
      <c r="HV91" s="311">
        <f t="shared" si="460"/>
        <v>0.56281584763697368</v>
      </c>
      <c r="HW91" s="311">
        <f>HV91*(VLOOKUP(AN91,各项系数!$D$1:$F$143,2,0))</f>
        <v>5.6281584763697365</v>
      </c>
      <c r="HX91" s="317">
        <f>各项系数!$F$76/4*($MV91^2-$MS91^2)*10^-2*(VLOOKUP($HX$9,各项系数!$D$1:$F$143,3,0))*10^-3*10^2*各项系数!$J$4</f>
        <v>0.56097782743906455</v>
      </c>
      <c r="HY91" s="311">
        <v>1</v>
      </c>
      <c r="HZ91" s="311">
        <f t="shared" si="461"/>
        <v>0.56097782743906455</v>
      </c>
      <c r="IA91" s="311">
        <f>HZ91*(VLOOKUP($HX$9,各项系数!$D$1:$F$143,2,0))</f>
        <v>6.1707561018297099</v>
      </c>
      <c r="IB91" s="317">
        <f>各项系数!$F$76/4*($MW91^2-$MT91^2)*10^-2*(VLOOKUP($IB$9,各项系数!$D$1:$F$143,3,0))*10^-3*10^2*各项系数!$J$4</f>
        <v>0.56281584763697368</v>
      </c>
      <c r="IC91" s="311">
        <v>1</v>
      </c>
      <c r="ID91" s="311">
        <f t="shared" si="462"/>
        <v>0.56281584763697368</v>
      </c>
      <c r="IE91" s="311">
        <f>ID91*(VLOOKUP($IB$9,各项系数!$D$1:$F$143,2,0))</f>
        <v>6.1909743240067101</v>
      </c>
      <c r="IF91" s="309"/>
      <c r="IG91" s="317">
        <f t="shared" si="415"/>
        <v>0.10546532855137732</v>
      </c>
      <c r="IH91" s="310">
        <v>1</v>
      </c>
      <c r="II91" s="311">
        <f t="shared" si="463"/>
        <v>0.10546532855137732</v>
      </c>
      <c r="IJ91" s="311">
        <f>II91*(VLOOKUP($IG$8,各项系数!$D$1:$F$143,2,0))</f>
        <v>2.636633213784433</v>
      </c>
      <c r="IK91" s="317">
        <f>(各项系数!$F$76/4*($MX91^2-$MK91^2)*$EG91)*10^-2*(VLOOKUP($IG$8,各项系数!$D$1:$F$143,3,0))*10^-3*10^2*各项系数!$J$4</f>
        <v>0.10546532855137732</v>
      </c>
      <c r="IL91" s="310">
        <f>IK91*(VLOOKUP($IG$8,各项系数!$D$1:$F$143,2,0))</f>
        <v>2.636633213784433</v>
      </c>
      <c r="IM91" s="311">
        <f>(各项系数!$F$76/4*(($MM91+3*$X91)^2-MM91^2)*$EO91)*10^-2*(VLOOKUP($IG$8,各项系数!$D$1:$F$143,3,0))*10^-3*10^2*各项系数!$J$4</f>
        <v>0</v>
      </c>
      <c r="IN91" s="310">
        <f>IM91*(VLOOKUP($IG$8,各项系数!$D$1:$F$143,2,0))</f>
        <v>0</v>
      </c>
      <c r="IO91" s="317">
        <f>各项系数!$F$76/4*($MZ91^2-$MX91^2)*10^-2*(VLOOKUP(L91,各项系数!$D$1:$F$143,3,0))*10^-3*10^2*$ES91*各项系数!$J$4</f>
        <v>0.34031122218489279</v>
      </c>
      <c r="IP91" s="310">
        <v>1</v>
      </c>
      <c r="IQ91" s="311">
        <f t="shared" si="464"/>
        <v>0.34031122218489279</v>
      </c>
      <c r="IR91" s="290">
        <f>IQ91*(VLOOKUP(L91,各项系数!$D$1:$F$143,2,0))</f>
        <v>3.4711744662859063</v>
      </c>
      <c r="IS91" s="317">
        <f>IF($L91&lt;&gt;$IS$9,0,各项系数!$F$76/4*($MZ91^2-$MX91^2)*10^-2*各项系数!$F$12*10^-3*10^2)*$ES91*各项系数!$J$4</f>
        <v>0</v>
      </c>
      <c r="IT91" s="310">
        <v>1</v>
      </c>
      <c r="IU91" s="311">
        <f t="shared" si="465"/>
        <v>0</v>
      </c>
      <c r="IV91" s="290">
        <f>IU91*各项系数!$E$12</f>
        <v>0</v>
      </c>
      <c r="IW91" s="309">
        <f t="shared" si="466"/>
        <v>0.34031122218489279</v>
      </c>
      <c r="IX91" s="309">
        <f t="shared" si="467"/>
        <v>3.4711744662859063</v>
      </c>
      <c r="IY91" s="339">
        <f>各项系数!$F$76/4*($NB91^2-$MZ91^2*$EG91-$NA91^2*$EO91)*10^-2</f>
        <v>5.631701963529256</v>
      </c>
      <c r="IZ91" s="284">
        <f t="shared" si="487"/>
        <v>1</v>
      </c>
      <c r="JA91" s="285">
        <f t="shared" si="363"/>
        <v>5.631701963529256</v>
      </c>
      <c r="JB91" s="289">
        <f>IF($DE91&lt;&gt;$JB$9,0,$JA91*各项系数!$F$32*10^-3*10^2)*各项系数!$J$4</f>
        <v>0</v>
      </c>
      <c r="JC91" s="106">
        <v>1</v>
      </c>
      <c r="JD91" s="78">
        <f t="shared" si="468"/>
        <v>0</v>
      </c>
      <c r="JE91" s="264">
        <f>JD91*各项系数!$E$32</f>
        <v>0</v>
      </c>
      <c r="JF91" s="282">
        <f>IF($DE91&lt;&gt;$JF$9,0,$JA91*VLOOKUP($JF$9,各项系数!$D$4:$F$540,2,0)*10^-3*10^2)*各项系数!$J$4</f>
        <v>2.8017717268558049</v>
      </c>
      <c r="JG91" s="102">
        <v>1</v>
      </c>
      <c r="JH91" s="189">
        <f t="shared" si="364"/>
        <v>2.8017717268558049</v>
      </c>
      <c r="JI91" s="262">
        <f>JH91*VLOOKUP($JF$9,各项系数!$D$4:$F$540,3,0)</f>
        <v>3.3621260722269657</v>
      </c>
      <c r="JJ91" s="289">
        <f t="shared" si="469"/>
        <v>2.8017717268558049</v>
      </c>
      <c r="JK91" s="78">
        <f t="shared" si="470"/>
        <v>3.3621260722269657</v>
      </c>
      <c r="JL91" s="289">
        <f>IF($DF91&lt;&gt;$JL$9,0,各项系数!$F$76/4*($NE91^2-$NC91^2)*10^-2*各项系数!$F$39*10^-3*10^2)*各项系数!$J$4</f>
        <v>5.3899631929597404E-3</v>
      </c>
      <c r="JM91" s="106">
        <v>1</v>
      </c>
      <c r="JN91" s="78">
        <f t="shared" si="471"/>
        <v>5.3899631929597404E-3</v>
      </c>
      <c r="JO91" s="264">
        <f>JN91*各项系数!$E$39</f>
        <v>0.1077992638591948</v>
      </c>
      <c r="JP91" s="289">
        <f>IF($DF91&lt;&gt;$JP$9,0,各项系数!$F$76/4*($NE91^2-$NC91^2)*10^-2*各项系数!$F$36*10^-3*10^2)*各项系数!$J$4</f>
        <v>0</v>
      </c>
      <c r="JQ91" s="106">
        <v>1</v>
      </c>
      <c r="JR91" s="78">
        <f t="shared" si="472"/>
        <v>0</v>
      </c>
      <c r="JS91" s="264">
        <f>JR91*各项系数!$E$36</f>
        <v>0</v>
      </c>
      <c r="JT91" s="289">
        <f>IF($DF91&lt;&gt;$JT$9,0,各项系数!$F$76/4*($NE91^2-$NC91^2)*10^-2*各项系数!$F$40*10^-3*10^2)*各项系数!$J$4</f>
        <v>0</v>
      </c>
      <c r="JU91" s="106">
        <v>1</v>
      </c>
      <c r="JV91" s="78">
        <f t="shared" si="473"/>
        <v>0</v>
      </c>
      <c r="JW91" s="264">
        <f>JV91*各项系数!$E$40</f>
        <v>0</v>
      </c>
      <c r="JX91" s="289">
        <f>IF($DF91&lt;&gt;$JX$9,0,各项系数!$F$76/4*($NE91^2-$NC91^2)*10^-2*各项系数!$F$38*10^-3*10^2)*各项系数!$J$4</f>
        <v>0</v>
      </c>
      <c r="JY91" s="106">
        <v>1</v>
      </c>
      <c r="JZ91" s="78">
        <f t="shared" si="474"/>
        <v>0</v>
      </c>
      <c r="KA91" s="264">
        <f>JZ91*各项系数!$E$38</f>
        <v>0</v>
      </c>
      <c r="KB91" s="289">
        <f>IF($DF91&lt;&gt;$KB$9,0,各项系数!$F$76/4*($NE91^2-$NC91^2)*10^-2*各项系数!$F$41*10^-3*10^2)*各项系数!$J$4</f>
        <v>0</v>
      </c>
      <c r="KC91" s="106">
        <v>1</v>
      </c>
      <c r="KD91" s="78">
        <f t="shared" si="475"/>
        <v>0</v>
      </c>
      <c r="KE91" s="264">
        <f>KD91*各项系数!$E$41</f>
        <v>0</v>
      </c>
      <c r="KF91" s="78">
        <f t="shared" si="476"/>
        <v>5.3899631929597404E-3</v>
      </c>
      <c r="KG91" s="78">
        <f t="shared" si="477"/>
        <v>0.1077992638591948</v>
      </c>
      <c r="KH91" s="237">
        <f>各项系数!$F$76/4*($NG91^2-$NE91^2)*10^-2*各项系数!$F$44*10^-3*10^2*各项系数!$J$4*0.75*$U91</f>
        <v>1.341097229669411</v>
      </c>
      <c r="KI91" s="106">
        <v>1</v>
      </c>
      <c r="KJ91" s="78">
        <f t="shared" si="478"/>
        <v>1.341097229669411</v>
      </c>
      <c r="KK91" s="78">
        <f>ROUND(KJ91*各项系数!$E$43,GT91)</f>
        <v>8</v>
      </c>
      <c r="KL91" s="235">
        <f>各项系数!$F$76/4*($NF91^2-$NE91^2)*10^-2*各项系数!$F$46*10^-3*10^2*各项系数!$J$4*PI()/4*R91</f>
        <v>6.7183802816305968E-2</v>
      </c>
      <c r="KM91" s="106">
        <v>1</v>
      </c>
      <c r="KN91" s="78">
        <f t="shared" si="479"/>
        <v>6.7183802816305968E-2</v>
      </c>
      <c r="KO91" s="78">
        <f>KN91*各项系数!$E$46</f>
        <v>4.5349066901006525</v>
      </c>
      <c r="KP91" s="237">
        <f>各项系数!$F$76/4*($NH91^2-$NE91^2)*10^-2*(VLOOKUP($KP$9,各项系数!$D$1:$F$143,3,0))*10^-3*10^2*各项系数!$J$4</f>
        <v>0.57242743913740501</v>
      </c>
      <c r="KQ91" s="106">
        <v>1</v>
      </c>
      <c r="KR91" s="78">
        <f t="shared" si="416"/>
        <v>0.57242743913740501</v>
      </c>
      <c r="KS91" s="78">
        <f>KR91*(VLOOKUP($KP$9,各项系数!$D$1:$F$143,2,0))</f>
        <v>9.7312664653358851</v>
      </c>
      <c r="KT91" s="237">
        <f>各项系数!$F$76/4*($NI91^2-$NF91^2)*10^-2*(VLOOKUP($KT$9,各项系数!$D$1:$F$143,3,0))*10^-3*10^2*各项系数!$J$4</f>
        <v>0.57424045225779163</v>
      </c>
      <c r="KU91" s="106">
        <v>1</v>
      </c>
      <c r="KV91" s="78">
        <f t="shared" si="417"/>
        <v>0.57424045225779163</v>
      </c>
      <c r="KW91" s="78">
        <f>KV91*(VLOOKUP($KT$9,各项系数!$D$1:$F$143,2,0))</f>
        <v>9.7620876883824579</v>
      </c>
      <c r="KX91" s="78">
        <f>各项系数!$F$76/4*($NH91^2-$NE91^2)*10^-2*(VLOOKUP($KX$9,各项系数!$D$1:$F$143,3,0))*10^-3*10^2*各项系数!$J$4</f>
        <v>0.57242743913740501</v>
      </c>
      <c r="KY91" s="355">
        <v>1</v>
      </c>
      <c r="KZ91" s="78">
        <f t="shared" si="418"/>
        <v>0.57242743913740501</v>
      </c>
      <c r="LA91" s="78">
        <f>KZ91*(VLOOKUP($KX$9,各项系数!$D$1:$F$143,2,0))</f>
        <v>9.7312664653358851</v>
      </c>
      <c r="LB91" s="78">
        <f>各项系数!$F$76/4*($NI91^2-$NF91^2)*10^-2*(VLOOKUP($LB$9,各项系数!$D$1:$F$143,3,0))*10^-3*10^2*各项系数!$J$4</f>
        <v>0.57424045225779163</v>
      </c>
      <c r="LC91" s="355">
        <v>1</v>
      </c>
      <c r="LD91" s="78">
        <f t="shared" si="419"/>
        <v>0.57424045225779163</v>
      </c>
      <c r="LE91" s="78">
        <f>LD91*(VLOOKUP($LB$9,各项系数!$D$1:$F$143,2,0))</f>
        <v>9.7620876883824579</v>
      </c>
      <c r="LF91" s="237">
        <f>各项系数!$F$76/4*($NH91^2-$NE91^2)*10^-2*(VLOOKUP(AN91,各项系数!$D$1:$F$143,3,0))*10^-3*10^2*各项系数!$J$4</f>
        <v>0.580322990022059</v>
      </c>
      <c r="LG91" s="106">
        <v>1</v>
      </c>
      <c r="LH91" s="78">
        <f t="shared" si="480"/>
        <v>0.580322990022059</v>
      </c>
      <c r="LI91" s="78">
        <f>LH91*(VLOOKUP(AN91,各项系数!$D$1:$F$143,2,0))</f>
        <v>5.8032299002205896</v>
      </c>
      <c r="LJ91" s="237">
        <f>各项系数!$F$76/4*($NI91^2-$NF91^2)*10^-2*(VLOOKUP(AN91,各项系数!$D$1:$F$143,3,0))*10^-3*10^2*各项系数!$J$4</f>
        <v>0.58216101021996791</v>
      </c>
      <c r="LK91" s="106">
        <v>1</v>
      </c>
      <c r="LL91" s="78">
        <f t="shared" si="481"/>
        <v>0.58216101021996791</v>
      </c>
      <c r="LM91" s="78">
        <f>LL91*(VLOOKUP(AN91,各项系数!$D$1:$F$143,2,0))</f>
        <v>5.8216101021996796</v>
      </c>
      <c r="LN91" s="78">
        <f>各项系数!$F$76/4*($NH91^2-$NE91^2)*10^-2*(VLOOKUP($LN$9,各项系数!$D$1:$F$143,3,0))*10^-3*10^2*各项系数!$J$4</f>
        <v>0.580322990022059</v>
      </c>
      <c r="LO91" s="355">
        <v>1</v>
      </c>
      <c r="LP91" s="78">
        <f t="shared" si="482"/>
        <v>0.580322990022059</v>
      </c>
      <c r="LQ91" s="78">
        <f>LP91*(VLOOKUP($LN$9,各项系数!$D$1:$F$143,2,0))</f>
        <v>6.3835528902426493</v>
      </c>
      <c r="LR91" s="78">
        <f>各项系数!$F$76/4*($NI91^2-$NF91^2)*10^-2*(VLOOKUP($LR$9,各项系数!$D$1:$F$143,3,0))*10^-3*10^2*各项系数!$J$4</f>
        <v>0.58216101021996791</v>
      </c>
      <c r="LS91" s="355">
        <v>1</v>
      </c>
      <c r="LT91" s="78">
        <f t="shared" si="483"/>
        <v>0.58216101021996791</v>
      </c>
      <c r="LU91" s="78">
        <f>LT91*(VLOOKUP($LR$9,各项系数!$D$1:$F$143,2,0))</f>
        <v>6.4037711124196468</v>
      </c>
      <c r="LV91" s="367">
        <f t="shared" si="420"/>
        <v>848.03723286000002</v>
      </c>
      <c r="LW91" s="367">
        <f t="shared" si="421"/>
        <v>565.35815523999997</v>
      </c>
      <c r="LX91" s="367">
        <f t="shared" si="422"/>
        <v>26.829766308898201</v>
      </c>
      <c r="LY91" s="367">
        <f t="shared" si="423"/>
        <v>282.67907762000004</v>
      </c>
      <c r="LZ91" s="374">
        <f t="shared" si="365"/>
        <v>1</v>
      </c>
      <c r="MA91" s="375">
        <f t="shared" si="366"/>
        <v>848.03723286000002</v>
      </c>
      <c r="MB91" s="367">
        <f t="shared" si="424"/>
        <v>14.695268220000001</v>
      </c>
      <c r="MC91" s="367">
        <f t="shared" si="425"/>
        <v>0</v>
      </c>
      <c r="MD91" s="367">
        <f t="shared" si="426"/>
        <v>0</v>
      </c>
      <c r="ME91" s="367">
        <f t="shared" si="427"/>
        <v>0</v>
      </c>
      <c r="MF91" s="367">
        <f t="shared" si="428"/>
        <v>0</v>
      </c>
      <c r="MG91" s="379">
        <f t="shared" si="429"/>
        <v>1</v>
      </c>
      <c r="MH91" s="375">
        <f t="shared" si="367"/>
        <v>0</v>
      </c>
      <c r="MI91" s="367">
        <f t="shared" si="430"/>
        <v>0</v>
      </c>
      <c r="MJ91" s="78">
        <f t="shared" si="368"/>
        <v>14.695268220000001</v>
      </c>
      <c r="MK91" s="78">
        <f t="shared" si="431"/>
        <v>14.695268220000001</v>
      </c>
      <c r="ML91" s="78">
        <f t="shared" si="484"/>
        <v>0</v>
      </c>
      <c r="MM91" s="78">
        <f t="shared" si="369"/>
        <v>0</v>
      </c>
      <c r="MN91" s="78">
        <f t="shared" si="370"/>
        <v>17.095268220000001</v>
      </c>
      <c r="MO91" s="189">
        <f t="shared" si="432"/>
        <v>0</v>
      </c>
      <c r="MP91" s="78">
        <f t="shared" si="433"/>
        <v>46.157224190000001</v>
      </c>
      <c r="MQ91" s="78">
        <f t="shared" si="485"/>
        <v>46.157224190000001</v>
      </c>
      <c r="MR91" s="246">
        <f t="shared" si="434"/>
        <v>46.157224190000001</v>
      </c>
      <c r="MS91" s="380">
        <f t="shared" si="371"/>
        <v>46.333224190000003</v>
      </c>
      <c r="MT91" s="382">
        <f t="shared" si="372"/>
        <v>46.493224189999999</v>
      </c>
      <c r="MU91" s="382">
        <f t="shared" si="373"/>
        <v>47.833224190000003</v>
      </c>
      <c r="MV91" s="382">
        <f t="shared" si="374"/>
        <v>51.333224190000003</v>
      </c>
      <c r="MW91" s="382">
        <f t="shared" si="375"/>
        <v>51.493224189999999</v>
      </c>
      <c r="MX91" s="246">
        <f t="shared" si="376"/>
        <v>15.295268220000001</v>
      </c>
      <c r="MY91" s="246">
        <f t="shared" si="377"/>
        <v>0</v>
      </c>
      <c r="MZ91" s="78">
        <f t="shared" si="378"/>
        <v>17.695268219999999</v>
      </c>
      <c r="NA91" s="78">
        <f t="shared" si="379"/>
        <v>0</v>
      </c>
      <c r="NB91" s="78">
        <f t="shared" si="435"/>
        <v>47.777224189999998</v>
      </c>
      <c r="NC91" s="246">
        <f t="shared" si="486"/>
        <v>47.777224189999998</v>
      </c>
      <c r="ND91" s="246">
        <f t="shared" si="436"/>
        <v>47.777224189999998</v>
      </c>
      <c r="NE91" s="386">
        <f t="shared" si="437"/>
        <v>48.01722419</v>
      </c>
      <c r="NF91" s="382">
        <f t="shared" si="380"/>
        <v>48.177224189999997</v>
      </c>
      <c r="NG91" s="150">
        <f t="shared" si="381"/>
        <v>49.51722419</v>
      </c>
      <c r="NH91" s="246">
        <f t="shared" si="382"/>
        <v>53.01722419</v>
      </c>
      <c r="NI91" s="382">
        <f t="shared" si="383"/>
        <v>53.177224189999997</v>
      </c>
      <c r="NK91" s="390">
        <f t="shared" si="384"/>
        <v>6.5950179188729763</v>
      </c>
      <c r="NL91" s="390">
        <f t="shared" si="385"/>
        <v>342.81741665490819</v>
      </c>
      <c r="NM91" s="390">
        <f t="shared" si="386"/>
        <v>6.5950179188729763</v>
      </c>
      <c r="NN91" s="390">
        <f t="shared" si="387"/>
        <v>343.37839448234729</v>
      </c>
      <c r="NO91" s="390">
        <f t="shared" si="388"/>
        <v>8.8991768091659971</v>
      </c>
      <c r="NP91" s="390">
        <f t="shared" si="389"/>
        <v>347.19843329888533</v>
      </c>
      <c r="NQ91" s="390">
        <f t="shared" si="390"/>
        <v>8.8991768091659971</v>
      </c>
      <c r="NR91" s="390">
        <f t="shared" si="391"/>
        <v>347.77875628890735</v>
      </c>
      <c r="NS91" s="390">
        <f t="shared" si="392"/>
        <v>6.6598494544670466</v>
      </c>
      <c r="NT91" s="390">
        <f t="shared" si="393"/>
        <v>6.6598494544670466</v>
      </c>
      <c r="NU91" s="390">
        <f t="shared" si="394"/>
        <v>8.9663606119823029</v>
      </c>
      <c r="NV91" s="390">
        <f t="shared" si="395"/>
        <v>8.9663606119823029</v>
      </c>
      <c r="NW91" s="9">
        <f t="shared" si="396"/>
        <v>7.458209438367069</v>
      </c>
      <c r="NX91" s="9">
        <f>各项系数!$M$9*NK91</f>
        <v>1.9785053756618929</v>
      </c>
      <c r="NY91" s="9">
        <f t="shared" si="397"/>
        <v>6.6598494544670457</v>
      </c>
    </row>
    <row r="92" spans="1:389" s="9" customFormat="1" ht="15" hidden="1" customHeight="1">
      <c r="A92" s="65"/>
      <c r="B92" s="66"/>
      <c r="C92" s="67"/>
      <c r="D92" s="58" t="s">
        <v>227</v>
      </c>
      <c r="E92" s="54">
        <f t="shared" si="325"/>
        <v>55.25013903</v>
      </c>
      <c r="F92" s="68">
        <f>$F$28</f>
        <v>243.33587022849699</v>
      </c>
      <c r="G92" s="58"/>
      <c r="H92" s="16"/>
      <c r="I92" s="62"/>
      <c r="J92" s="16"/>
      <c r="K92" s="16"/>
      <c r="L92" s="107" t="s">
        <v>467</v>
      </c>
      <c r="M92" s="98">
        <f t="shared" si="339"/>
        <v>1.4</v>
      </c>
      <c r="N92" s="98">
        <f t="shared" si="340"/>
        <v>0</v>
      </c>
      <c r="O92" s="58">
        <f t="shared" si="488"/>
        <v>0.08</v>
      </c>
      <c r="P92" s="99">
        <v>0.1</v>
      </c>
      <c r="Q92" s="136">
        <f t="shared" si="440"/>
        <v>0.1</v>
      </c>
      <c r="R92" s="151">
        <v>0.8</v>
      </c>
      <c r="S92" s="144" t="str">
        <f>各项系数!$D$43</f>
        <v>钢带</v>
      </c>
      <c r="T92" s="62">
        <v>0.5</v>
      </c>
      <c r="U92" s="62">
        <v>2</v>
      </c>
      <c r="V92" s="143"/>
      <c r="W92" s="145">
        <v>2.7</v>
      </c>
      <c r="X92" s="139">
        <f t="shared" si="441"/>
        <v>0.2</v>
      </c>
      <c r="Y92" s="139"/>
      <c r="Z92" s="169"/>
      <c r="AA92" s="170">
        <f>$AA$28</f>
        <v>1.0149999999999999</v>
      </c>
      <c r="AB92" s="153">
        <f>PI()*EJ92*EJ92/4*EH92*(1-H92)*AA92*各项系数!$F$5*各项系数!$J$4*10^-7</f>
        <v>1.2526054194523586</v>
      </c>
      <c r="AC92" s="170">
        <f t="shared" si="327"/>
        <v>243.33587022849699</v>
      </c>
      <c r="AD92" s="153">
        <f t="shared" si="341"/>
        <v>141.60853982537648</v>
      </c>
      <c r="AE92" s="153">
        <f>POWER(4*EU92/PI()/EG92/10^-7/EH92/(1-H92)/各项系数!$F$5/各项系数!$J$4,0.5)</f>
        <v>245.15409628631096</v>
      </c>
      <c r="AF92" s="16">
        <v>1</v>
      </c>
      <c r="AG92" s="16">
        <f>IF(EM92=0,0,PI()*ER92*ER92/4*EP92*(1-K92)*(1+AF92)*各项系数!$F$5*各项系数!$J$4*10^-7)</f>
        <v>0</v>
      </c>
      <c r="AH92" s="16">
        <f t="shared" si="328"/>
        <v>0</v>
      </c>
      <c r="AI92" s="69">
        <f t="shared" si="398"/>
        <v>0</v>
      </c>
      <c r="AJ92" s="69">
        <f>IF(OR(EP92="",EP92=0),0,POWER(4*EW92/PI()/EO92/10^-7/EP92/(1-K92)/各项系数!$F$5/各项系数!$J$4,0.5))</f>
        <v>0</v>
      </c>
      <c r="AK92" s="16" t="str">
        <f t="shared" si="342"/>
        <v>√</v>
      </c>
      <c r="AL92" s="16">
        <f t="shared" si="329"/>
        <v>436.45550781109517</v>
      </c>
      <c r="AM92" s="106">
        <f t="shared" si="330"/>
        <v>150</v>
      </c>
      <c r="AN92" s="107" t="s">
        <v>486</v>
      </c>
      <c r="AO92" s="146">
        <f>AP92+各项系数!$M$9*$NK92</f>
        <v>427.89755667754429</v>
      </c>
      <c r="AP92" s="146">
        <f>AQ92*(1+$BI92+(VLOOKUP($AM92,$A$12:$B$323,2,0))+各项系数!$J$6+各项系数!$M$5)*(1+$E$2)</f>
        <v>425.47819004817899</v>
      </c>
      <c r="AQ92" s="199">
        <f>AR92+各项系数!$L$9*$NK92</f>
        <v>434.16141841650921</v>
      </c>
      <c r="AR92" s="199">
        <f>AS92*(1+$BJ92+各项系数!$J$5+各项系数!$L$5)</f>
        <v>431.74205178714391</v>
      </c>
      <c r="AS92" s="199">
        <f t="shared" si="399"/>
        <v>423.27652135994498</v>
      </c>
      <c r="AT92" s="146">
        <f>AU92+各项系数!$M$9*$NM92</f>
        <v>432.30878883930615</v>
      </c>
      <c r="AU92" s="146">
        <f>AV92*(1+$BI92+(VLOOKUP($AM92,$A$12:$B$323,2,0))+各项系数!$J$6+各项系数!$M$5)*(1+$E$2)</f>
        <v>429.88942220994085</v>
      </c>
      <c r="AV92" s="199">
        <f>AW92+各项系数!$L$9*$NM92</f>
        <v>438.66267572442945</v>
      </c>
      <c r="AW92" s="199">
        <f>AX92*(1+$BJ92+各项系数!$J$5+各项系数!$L$5)</f>
        <v>436.24330909506415</v>
      </c>
      <c r="AX92" s="199">
        <f t="shared" si="400"/>
        <v>427.68951872065111</v>
      </c>
      <c r="AY92" s="146">
        <f>AZ92+各项系数!$M$9*$NS92</f>
        <v>432.66466959713551</v>
      </c>
      <c r="AZ92" s="146">
        <f>BA92*(1+$BI92+(VLOOKUP($AM92,$A$12:$B$214,2,0))+各项系数!$J$6+各项系数!$M$5)*(1+$E$2)</f>
        <v>430.22437974399787</v>
      </c>
      <c r="BA92" s="199">
        <f>BB92+各项系数!$L$9*$NS92</f>
        <v>439.00446912652848</v>
      </c>
      <c r="BB92" s="199">
        <f>BC92*(1+$BJ92+各项系数!$J$5+各项系数!$L$5)</f>
        <v>436.56417927339083</v>
      </c>
      <c r="BC92" s="199">
        <f t="shared" si="401"/>
        <v>428.00409732685375</v>
      </c>
      <c r="BD92" s="146">
        <f>BE92+各项系数!$M$9*$NS92</f>
        <v>437.08933268712917</v>
      </c>
      <c r="BE92" s="146">
        <f>BF92*(1+$BI92+(VLOOKUP($AM92,$A$12:$B$214,2,0))+各项系数!$J$6+各项系数!$M$5)*(1+$E$2)</f>
        <v>434.64904283399153</v>
      </c>
      <c r="BF92" s="199">
        <f>BG92+各项系数!$L$9*$NS92</f>
        <v>443.51943146325669</v>
      </c>
      <c r="BG92" s="199">
        <f>BH92*(1+$BJ92+各项系数!$J$5+各项系数!$L$5)</f>
        <v>441.07914161011905</v>
      </c>
      <c r="BH92" s="199">
        <f t="shared" si="402"/>
        <v>432.43053099031277</v>
      </c>
      <c r="BI92" s="214"/>
      <c r="BJ92" s="215"/>
      <c r="BK92" s="78" t="s">
        <v>514</v>
      </c>
      <c r="BL92" s="146">
        <f>BM92+各项系数!$M$9*$NM92</f>
        <v>432.70376557358213</v>
      </c>
      <c r="BM92" s="146">
        <f>BN92*(1+$CF92+(VLOOKUP($AM92,$A$12:$B$323,2,0))+各项系数!$J$6+各项系数!$M$5)*(1+$E$2)</f>
        <v>430.28439894421683</v>
      </c>
      <c r="BN92" s="199">
        <f>BO92+各项系数!$L$9*$NM92</f>
        <v>439.06571320838452</v>
      </c>
      <c r="BO92" s="199">
        <f>BP92*(1+$CG92+各项系数!$J$5+各项系数!$L$5)</f>
        <v>436.64634657901922</v>
      </c>
      <c r="BP92" s="199">
        <f t="shared" si="403"/>
        <v>423.92849182429052</v>
      </c>
      <c r="BQ92" s="146">
        <f>BR92+各项系数!$M$9*$NM92</f>
        <v>436.50014612276851</v>
      </c>
      <c r="BR92" s="146">
        <f>BS92*(1+$CF92+(VLOOKUP($AM92,$A$12:$B$323,2,0))+各项系数!$J$6+各项系数!$M$5)*(1+$E$2)</f>
        <v>434.08077949340321</v>
      </c>
      <c r="BS92" s="199">
        <f>BT92+各项系数!$L$9*$NM92</f>
        <v>442.93957091163594</v>
      </c>
      <c r="BT92" s="199">
        <f>BU92*(1+$CG92+各项系数!$J$5+各项系数!$L$5)</f>
        <v>440.52020428227064</v>
      </c>
      <c r="BU92" s="199">
        <f t="shared" si="404"/>
        <v>427.68951872065111</v>
      </c>
      <c r="BV92" s="146">
        <f>BW92+各项系数!$M$9*$NT92</f>
        <v>435.13582653806088</v>
      </c>
      <c r="BW92" s="146">
        <f>BX92*(1+$CF92+(VLOOKUP($AM92,$A$12:$B$214,2,0))+各项系数!$J$6+各项系数!$M$5)*(1+$E$2)</f>
        <v>432.69553668492324</v>
      </c>
      <c r="BX92" s="199">
        <f>BY92+各项系数!$L$9*$NT$12</f>
        <v>441.52605784175842</v>
      </c>
      <c r="BY92" s="199">
        <f>BZ92*(1+$CG92+各项系数!$J$5+各项系数!$L$5)</f>
        <v>441.51779443860346</v>
      </c>
      <c r="BZ92" s="199">
        <f t="shared" si="343"/>
        <v>428.65805285301303</v>
      </c>
      <c r="CA92" s="146">
        <f>CB92+各项系数!$M$9*$NT92</f>
        <v>438.94376596985126</v>
      </c>
      <c r="CB92" s="146">
        <f>CC92*(1+$CF92+(VLOOKUP($AM92,$A$12:$B$214,2,0))+各项系数!$J$6+各项系数!$M$5)*(1+$E$2)</f>
        <v>436.50347611671361</v>
      </c>
      <c r="CC92" s="199">
        <f>CD92+各项系数!$L$9*$NT$12</f>
        <v>445.41171032317715</v>
      </c>
      <c r="CD92" s="199">
        <f>CE92*(1+$CG92+各项系数!$J$5+各项系数!$L$5)</f>
        <v>445.40344692002219</v>
      </c>
      <c r="CE92" s="199">
        <f t="shared" si="405"/>
        <v>432.43053099031277</v>
      </c>
      <c r="CF92" s="214">
        <f t="shared" si="406"/>
        <v>0</v>
      </c>
      <c r="CG92" s="214">
        <f t="shared" si="344"/>
        <v>0.01</v>
      </c>
      <c r="CH92" s="106"/>
      <c r="CI92" s="146">
        <f>CJ92+各项系数!$M$9*$NO92</f>
        <v>436.67146080330815</v>
      </c>
      <c r="CJ92" s="146">
        <f>CK92*(1+$DC92+(VLOOKUP($AM92,$A$12:$B$323,2,0))+各项系数!$J$6+各项系数!$M$5)*(1+$E$2)+各项系数!$M$9*$NK92</f>
        <v>433.45951352086888</v>
      </c>
      <c r="CK92" s="199">
        <f>CL92+各项系数!$L$9*$NO92</f>
        <v>439.83688458316692</v>
      </c>
      <c r="CL92" s="199">
        <f>CM92*(1+$DD92+各项系数!$J$5+各项系数!$L$5)</f>
        <v>436.62493730072765</v>
      </c>
      <c r="CM92" s="199">
        <f t="shared" si="345"/>
        <v>428.0636640203212</v>
      </c>
      <c r="CN92" s="146">
        <f>CO92+各项系数!$M$9*$NO92</f>
        <v>440.87384878027598</v>
      </c>
      <c r="CO92" s="146">
        <f>CP92*(1+$DC92+(VLOOKUP($AM92,$A$12:$B$323,2,0))+各项系数!$J$6+各项系数!$M$5)*(1+$E$2)+各项系数!$M$9*$NK92</f>
        <v>437.66190149783671</v>
      </c>
      <c r="CP92" s="199">
        <f>CQ92+各项系数!$L$9*$NO92</f>
        <v>444.12503558007285</v>
      </c>
      <c r="CQ92" s="199">
        <f>CR92*(1+$DD92+各项系数!$J$5+各项系数!$L$5)</f>
        <v>440.91308829763358</v>
      </c>
      <c r="CR92" s="199">
        <f t="shared" si="346"/>
        <v>432.26773362513097</v>
      </c>
      <c r="CS92" s="146">
        <f>CT92+各项系数!$M$9*$NU92</f>
        <v>439.17931886655003</v>
      </c>
      <c r="CT92" s="146">
        <f t="shared" si="347"/>
        <v>435.94574268017175</v>
      </c>
      <c r="CU92" s="199">
        <f>CV92+各项系数!$L$9*$NU92</f>
        <v>444.84259457160385</v>
      </c>
      <c r="CV92" s="199">
        <f>CW92*(1+$DD92+各项系数!$J$5+各项系数!$L$5)</f>
        <v>441.60901838522557</v>
      </c>
      <c r="CW92" s="199">
        <f t="shared" si="348"/>
        <v>432.95001802473092</v>
      </c>
      <c r="CX92" s="146">
        <f>CY92+各项系数!$M$9*$NU92</f>
        <v>443.74534247618317</v>
      </c>
      <c r="CY92" s="146">
        <f t="shared" si="349"/>
        <v>440.51176628980488</v>
      </c>
      <c r="CZ92" s="199">
        <f>DA92+各项系数!$L$9*$NU92</f>
        <v>449.5018023365356</v>
      </c>
      <c r="DA92" s="199">
        <f>DB92*(1+$DD92+各项系数!$J$5+各项系数!$L$5)</f>
        <v>446.26822615015732</v>
      </c>
      <c r="DB92" s="199">
        <f t="shared" si="350"/>
        <v>437.51786877466401</v>
      </c>
      <c r="DC92" s="214">
        <f t="shared" si="407"/>
        <v>0</v>
      </c>
      <c r="DD92" s="214">
        <f t="shared" si="351"/>
        <v>0</v>
      </c>
      <c r="DE92" s="78" t="s">
        <v>498</v>
      </c>
      <c r="DF92" s="78" t="s">
        <v>513</v>
      </c>
      <c r="DG92" s="146">
        <f>DH92+各项系数!$M$9*$NQ92</f>
        <v>441.54567286509786</v>
      </c>
      <c r="DH92" s="146">
        <f>DI92*(1+$EA92+(VLOOKUP($AM92,$A$12:$B$323,2,0))+各项系数!$J$6+各项系数!$M$5)*(1+$E$2)+各项系数!$M$9*$NK92</f>
        <v>438.33372558265859</v>
      </c>
      <c r="DI92" s="199">
        <f>DJ92+各项系数!$L$9*$NQ92</f>
        <v>444.81057036050333</v>
      </c>
      <c r="DJ92" s="199">
        <f>DK92*(1+$EB92+各项系数!$J$5+各项系数!$L$5)</f>
        <v>441.59862307806407</v>
      </c>
      <c r="DK92" s="199">
        <f t="shared" si="352"/>
        <v>428.73652726025637</v>
      </c>
      <c r="DL92" s="146">
        <f>DM92+各项系数!$M$9*$NQ92</f>
        <v>445.46371065369101</v>
      </c>
      <c r="DM92" s="146">
        <f>DN92*(1+$EA92+(VLOOKUP($AM92,$A$12:$B$323,2,0))+各项系数!$J$6+各项系数!$M$5)*(1+$E$2)+各项系数!$M$9*$NK92</f>
        <v>442.25176337125174</v>
      </c>
      <c r="DN92" s="199">
        <f>DO92+各项系数!$L$9*$NQ92</f>
        <v>448.80856810396574</v>
      </c>
      <c r="DO92" s="199">
        <f>DP92*(1+$EB92+各项系数!$J$5+各项系数!$L$5)</f>
        <v>445.59662082152647</v>
      </c>
      <c r="DP92" s="199">
        <f t="shared" si="353"/>
        <v>432.61807846750139</v>
      </c>
      <c r="DQ92" s="146">
        <f>DR92+各项系数!$M$9*$NV92</f>
        <v>444.10342091897775</v>
      </c>
      <c r="DR92" s="146">
        <f t="shared" si="354"/>
        <v>440.86984473259946</v>
      </c>
      <c r="DS92" s="199">
        <f>DT92+各项系数!$L$9*$NV92</f>
        <v>449.86718850265254</v>
      </c>
      <c r="DT92" s="199">
        <f>DU92*(1+$EB92+各项系数!$J$5+各项系数!$L$5)</f>
        <v>446.63361231627425</v>
      </c>
      <c r="DU92" s="199">
        <f t="shared" si="355"/>
        <v>433.62486632647983</v>
      </c>
      <c r="DV92" s="146">
        <f>DW92+各项系数!$M$9*$NV92</f>
        <v>443.67201594275167</v>
      </c>
      <c r="DW92" s="146">
        <f t="shared" si="356"/>
        <v>440.43843975637338</v>
      </c>
      <c r="DX92" s="199">
        <f>DY92+各项系数!$L$9*$NV92</f>
        <v>449.42697934323814</v>
      </c>
      <c r="DY92" s="199">
        <f>DZ92*(1+$EB92+各项系数!$J$5+各项系数!$L$5)</f>
        <v>446.19340315685986</v>
      </c>
      <c r="DZ92" s="199">
        <f t="shared" si="357"/>
        <v>433.19747879306783</v>
      </c>
      <c r="EA92" s="214">
        <f t="shared" si="439"/>
        <v>0</v>
      </c>
      <c r="EB92" s="214">
        <f t="shared" si="358"/>
        <v>0.01</v>
      </c>
      <c r="EC92" s="235">
        <f t="shared" si="408"/>
        <v>5</v>
      </c>
      <c r="ED92" s="237" t="str">
        <f t="shared" si="442"/>
        <v>5*150</v>
      </c>
      <c r="EE92" s="78">
        <f>IF($D92="",0,IF(COUNTIF($D92,"*+*")&gt;0,MID($D92,FIND("*",$D92)+1,FIND("+",$D92)-FIND("*",$D92)-1),RIGHT($D92,(LEN($D92)-FIND("*",$D92)))))*1</f>
        <v>150</v>
      </c>
      <c r="EF92" s="78" t="str">
        <f>LOOKUP(EH92,{1,7,10,14,19,24,30,37,48,61},{1,"1+6","2+8","4+10","1+6+12","2+8+14","4+10+16","1+6+12+18","3+9+15+21","1+6+12+18+24"})</f>
        <v>4+10+16</v>
      </c>
      <c r="EG92" s="106">
        <f t="shared" si="359"/>
        <v>5</v>
      </c>
      <c r="EH92" s="199">
        <f>VLOOKUP(EE92,各项系数!$B$87:$C$124,2,0)</f>
        <v>30</v>
      </c>
      <c r="EI92" s="106">
        <f>IF(EH92=0,0,VLOOKUP(EH92,各项系数!$D$142:$E$195,2,0))*1</f>
        <v>6.41</v>
      </c>
      <c r="EJ92" s="240">
        <f t="shared" si="409"/>
        <v>243.33587022849699</v>
      </c>
      <c r="EK92" s="78">
        <f t="shared" si="332"/>
        <v>0</v>
      </c>
      <c r="EL92" s="78">
        <f t="shared" si="360"/>
        <v>0</v>
      </c>
      <c r="EM92" s="78">
        <f t="shared" si="443"/>
        <v>0</v>
      </c>
      <c r="EN92" s="78">
        <f>IF(EP92=0,0,LOOKUP(EP92,{1,7,10,14,19,24,30,37,48,61},{1,"1+6","2+8","4+10","1+6+12","2+8+14","4+10+16","1+6+12+18","3+9+15+21","1+6+12+18+24"}))</f>
        <v>0</v>
      </c>
      <c r="EO92" s="78">
        <f t="shared" si="334"/>
        <v>0</v>
      </c>
      <c r="EP92" s="78">
        <f>IF(EM92=0,0,IF(EM92&lt;10,1,IF(AND(EM92&gt;=10,EM92&lt;=35),7,LOOKUP(EM92,{50,70,95,120,150,185,240,300},{10,14,19,24,30,37,48,61})*1)))</f>
        <v>0</v>
      </c>
      <c r="EQ92" s="78">
        <f>IF(EP92=0,0,VLOOKUP(EP92,各项系数!$D$142:$E$195,2,0))*1</f>
        <v>0</v>
      </c>
      <c r="ER92" s="78">
        <f t="shared" si="335"/>
        <v>0</v>
      </c>
      <c r="ES92" s="237">
        <f t="shared" si="444"/>
        <v>5</v>
      </c>
      <c r="ET92" s="78">
        <f>VLOOKUP(ES92,各项系数!$D$142:$E$195,2,0)*1</f>
        <v>2.7</v>
      </c>
      <c r="EU92" s="243">
        <f>((各项系数!$F$76/4*$EJ92^2*$EG92*$EH92*1*10^-7)*(1-$H92)*AA92)*(VLOOKUP($EY$9,各项系数!$D$4:$F$143,3,0))*各项系数!$J$4</f>
        <v>6.2630270972617943</v>
      </c>
      <c r="EV92" s="244">
        <f>EU92*(VLOOKUP($EY$9,各项系数!$D$4:$F$143,2,0))</f>
        <v>410.22827487064751</v>
      </c>
      <c r="EW92" s="252">
        <f>(IF($EO92=0,0,(各项系数!$F$76/4*$ER92^2*$EO92*$EP92*1*10^-7))*(1-$K92)*$AF92)*(VLOOKUP($EY$9,各项系数!$D$4:$F$143,3,0))*各项系数!$J$4</f>
        <v>0</v>
      </c>
      <c r="EX92" s="253">
        <f>EW92*(VLOOKUP($EY$9,各项系数!$D$4:$F$143,2,0))</f>
        <v>0</v>
      </c>
      <c r="EY92" s="189">
        <f>((各项系数!$F$76/4*$EJ92^2*$EG92*$EH92*1*10^-7)*(1-$H92)*AA92+IF($EO92=0,0,(各项系数!$F$76/4*$ER92^2*$EO92*$EP92*1*10^-7))*(1-$K92)*$AF92)*(VLOOKUP($EY$9,各项系数!$D$4:$F$143,3,0))*各项系数!$J$4</f>
        <v>6.2630270972617943</v>
      </c>
      <c r="EZ92" s="106">
        <v>1</v>
      </c>
      <c r="FA92" s="78">
        <f t="shared" si="445"/>
        <v>6.2630270972617943</v>
      </c>
      <c r="FB92" s="246">
        <f>FA92*(VLOOKUP($EY$9,各项系数!$D$4:$F$143,2,0))</f>
        <v>410.22827487064751</v>
      </c>
      <c r="FC92" s="257"/>
      <c r="FD92" s="237">
        <f>各项系数!$F$76/4*($MN92^2-MK92^2)*10^-2*(VLOOKUP(L92,各项系数!$D$1:$F$143,3,0))*10^-3*10^2*$EG92*各项系数!$J$4</f>
        <v>0.40912605798524088</v>
      </c>
      <c r="FE92" s="264">
        <f>FD92*VLOOKUP(L92,各项系数!$D$1:$F$143,2,0)</f>
        <v>4.1730857914494566</v>
      </c>
      <c r="FF92" s="106">
        <f>各项系数!$F$76/4*($MO92^2-ML92^2)*10^-2*(VLOOKUP(L92,各项系数!$D$1:$F$143,3,0))*10^-3*10^2*$EO92*各项系数!$J$4</f>
        <v>0</v>
      </c>
      <c r="FG92" s="264">
        <f>FF92*VLOOKUP(L92,各项系数!$D$1:$F$143,2,0)</f>
        <v>0</v>
      </c>
      <c r="FH92" s="237">
        <f t="shared" si="410"/>
        <v>0.40912605798524088</v>
      </c>
      <c r="FI92" s="106">
        <v>1</v>
      </c>
      <c r="FJ92" s="78">
        <f t="shared" si="446"/>
        <v>0.40912605798524088</v>
      </c>
      <c r="FK92" s="264">
        <f>FJ92*VLOOKUP(L92,各项系数!$D$1:$F$143,2,0)</f>
        <v>4.1730857914494566</v>
      </c>
      <c r="FL92" s="237"/>
      <c r="FM92" s="106"/>
      <c r="FN92" s="78"/>
      <c r="FO92" s="264"/>
      <c r="FP92" s="289">
        <f t="shared" si="447"/>
        <v>0.40912605798524088</v>
      </c>
      <c r="FQ92" s="289">
        <f t="shared" si="448"/>
        <v>4.1730857914494566</v>
      </c>
      <c r="FR92" s="283">
        <f>各项系数!$F$76/4*($MQ92^2-$MN92^2*$EG92-$MO92^2*$EO92)*10^-2</f>
        <v>6.0877741532340872</v>
      </c>
      <c r="FS92" s="284">
        <f t="shared" si="411"/>
        <v>1</v>
      </c>
      <c r="FT92" s="285">
        <f t="shared" si="361"/>
        <v>6.0877741532340872</v>
      </c>
      <c r="FU92" s="309">
        <f>$FT92*(VLOOKUP($FT$9,各项系数!$D$1:$F$143,3,0))*10^-3*10^2*各项系数!$J$55</f>
        <v>0.72688023389614997</v>
      </c>
      <c r="FV92" s="310">
        <v>1</v>
      </c>
      <c r="FW92" s="311">
        <f t="shared" si="449"/>
        <v>0.72688023389614997</v>
      </c>
      <c r="FX92" s="290">
        <f>FW92*(VLOOKUP($FT$9,各项系数!$D$1:$F$143,2,0))</f>
        <v>2.1806407016884499</v>
      </c>
      <c r="FY92" s="309">
        <f>IF($BK92&lt;&gt;$FY$9,0,各项系数!$F$76/4*($MS92^2-$MQ92^2)*10^-2*(VLOOKUP($FY$9,各项系数!$D$1:$F$143,3,0))*10^-3*10^2)*各项系数!$J$4</f>
        <v>0</v>
      </c>
      <c r="FZ92" s="310">
        <v>1</v>
      </c>
      <c r="GA92" s="311">
        <f t="shared" si="450"/>
        <v>0</v>
      </c>
      <c r="GB92" s="290">
        <f>GA92*(VLOOKUP($FY$9,各项系数!$D$1:$F$143,2,0))</f>
        <v>0</v>
      </c>
      <c r="GC92" s="309">
        <f>IF($BK92&lt;&gt;$GC$9,0,各项系数!$F$76/4*($MS92^2-$MQ92^2)*10^-2*(VLOOKUP($GC$9,各项系数!$D$1:$F$143,3,0))*10^-3*10^2)*各项系数!$J$4</f>
        <v>1.3551577729010661E-2</v>
      </c>
      <c r="GD92" s="310">
        <v>1</v>
      </c>
      <c r="GE92" s="311">
        <f t="shared" si="451"/>
        <v>1.3551577729010661E-2</v>
      </c>
      <c r="GF92" s="290">
        <f>GE92*(VLOOKUP($GC$9,各项系数!$D$1:$F$143,2,0))</f>
        <v>0.17481535270423754</v>
      </c>
      <c r="GG92" s="309">
        <f>IF($BK92&lt;&gt;$GG$9,0,各项系数!$F$76/4*($MS92^2-$MQ92^2)*10^-2*(VLOOKUP($GG$9,各项系数!$D$1:$F$143,3,0))*10^-3*10^2)*各项系数!$J$4</f>
        <v>0</v>
      </c>
      <c r="GH92" s="310">
        <v>1</v>
      </c>
      <c r="GI92" s="311">
        <f t="shared" si="452"/>
        <v>0</v>
      </c>
      <c r="GJ92" s="290">
        <f>GI92*(VLOOKUP($GG$9,各项系数!$D$1:$F$143,2,0))</f>
        <v>0</v>
      </c>
      <c r="GK92" s="309">
        <f>IF($BK92&lt;&gt;$GK$9,0,各项系数!$F$76/4*($MS92^2-$MQ92^2)*10^-2*(VLOOKUP($GK$9,各项系数!$D$1:$F$143,3,0))*10^-3*10^2)*各项系数!$J$4</f>
        <v>0</v>
      </c>
      <c r="GL92" s="310">
        <v>1</v>
      </c>
      <c r="GM92" s="311">
        <f t="shared" si="453"/>
        <v>0</v>
      </c>
      <c r="GN92" s="290">
        <f>GM92*(VLOOKUP($GK$9,各项系数!$D$1:$F$143,2,0))</f>
        <v>0</v>
      </c>
      <c r="GO92" s="311">
        <f t="shared" si="454"/>
        <v>1.3551577729010661E-2</v>
      </c>
      <c r="GP92" s="311">
        <f t="shared" si="455"/>
        <v>0.17481535270423754</v>
      </c>
      <c r="GQ92" s="317">
        <f>各项系数!$F$76/4*($MU92^2-$MS92^2)*10^-2*(VLOOKUP($S92,各项系数!$D$1:$F$143,3,0))*10^-3*10^2*各项系数!$J$4</f>
        <v>0.92766822254272752</v>
      </c>
      <c r="GR92" s="310">
        <v>1</v>
      </c>
      <c r="GS92" s="311">
        <f t="shared" si="456"/>
        <v>0.92766822254272752</v>
      </c>
      <c r="GT92" s="311">
        <f t="shared" si="457"/>
        <v>0</v>
      </c>
      <c r="GU92" s="311">
        <f>ROUND($GS92*(VLOOKUP($S92,各项系数!$D$1:$F$143,2,0))+$E$3*GS92,GT92)</f>
        <v>5</v>
      </c>
      <c r="GV92" s="315">
        <f>各项系数!$F$76/4*($MT92^2-$MS92^2)*10^-2*(VLOOKUP($GV$9,各项系数!$D$1:$F$143,3,0))*10^-3*10^2*各项系数!$J$4*PI()/4*R92</f>
        <v>6.9744079241057355E-2</v>
      </c>
      <c r="GW92" s="310">
        <v>1</v>
      </c>
      <c r="GX92" s="311">
        <f t="shared" si="458"/>
        <v>6.9744079241057355E-2</v>
      </c>
      <c r="GY92" s="311">
        <f>$GX92*(VLOOKUP($GV$9,各项系数!$D$1:$F$143,2,0))</f>
        <v>4.7077253487713717</v>
      </c>
      <c r="GZ92" s="317">
        <f>各项系数!$F$76/4*($MV92^2-$MS92^2)*10^-2*(VLOOKUP($GZ$9,各项系数!$D$1:$F$143,3,0))*10^-3*10^2*各项系数!$J$4</f>
        <v>0.6431001178918514</v>
      </c>
      <c r="HA92" s="310">
        <v>1</v>
      </c>
      <c r="HB92" s="311">
        <f t="shared" si="412"/>
        <v>0.6431001178918514</v>
      </c>
      <c r="HC92" s="311">
        <f>HB92*(VLOOKUP($GZ$9,各项系数!$D$1:$F$143,2,0))</f>
        <v>10.932702004161474</v>
      </c>
      <c r="HD92" s="317">
        <f>各项系数!$F$76/4*($MW92^2-$MT92^2)*10^-2*(VLOOKUP($HD$9,各项系数!$D$1:$F$143,3,0))*10^-3*10^2*各项系数!$J$4</f>
        <v>0.64505817206186922</v>
      </c>
      <c r="HE92" s="310">
        <v>1</v>
      </c>
      <c r="HF92" s="311">
        <f t="shared" si="413"/>
        <v>0.64505817206186922</v>
      </c>
      <c r="HG92" s="311">
        <f>HF92*(VLOOKUP($HD$9,各项系数!$D$1:$F$143,2,0))</f>
        <v>10.965988925051777</v>
      </c>
      <c r="HH92" s="317">
        <f>各项系数!$F$76/4*($MV92^2-$MS92^2)*10^-2*(VLOOKUP($HH$9,各项系数!$D$1:$F$143,3,0))*10^-3*10^2*各项系数!$J$4</f>
        <v>0.6431001178918514</v>
      </c>
      <c r="HI92" s="311">
        <v>1</v>
      </c>
      <c r="HJ92" s="311">
        <f t="shared" si="414"/>
        <v>0.6431001178918514</v>
      </c>
      <c r="HK92" s="311">
        <f>HJ92*(VLOOKUP($HH$9,各项系数!$D$1:$F$143,2,0))</f>
        <v>10.932702004161474</v>
      </c>
      <c r="HL92" s="317">
        <f>各项系数!$F$76/4*($MW92^2-$MT92^2)*10^-2*(VLOOKUP($HL$9,各项系数!$D$1:$F$143,3,0))*10^-3*10^2*各项系数!$J$4</f>
        <v>0.64505817206186922</v>
      </c>
      <c r="HM92" s="311">
        <v>1</v>
      </c>
      <c r="HN92" s="311">
        <f t="shared" si="362"/>
        <v>0.64505817206186922</v>
      </c>
      <c r="HO92" s="311">
        <f>HN92*(VLOOKUP($HL$9,各项系数!$D$1:$F$143,2,0))</f>
        <v>10.965988925051777</v>
      </c>
      <c r="HP92" s="317">
        <f>各项系数!$F$76/4*($MV92^2-$MS92^2)*10^-2*(VLOOKUP(AN92,各项系数!$D$1:$F$143,3,0))*10^-3*10^2*各项系数!$J$4</f>
        <v>0.6519704643455323</v>
      </c>
      <c r="HQ92" s="310">
        <v>1</v>
      </c>
      <c r="HR92" s="311">
        <f t="shared" si="459"/>
        <v>0.6519704643455323</v>
      </c>
      <c r="HS92" s="311">
        <f>HR92*(VLOOKUP(AN92,各项系数!$D$1:$F$143,2,0))</f>
        <v>6.5197046434553227</v>
      </c>
      <c r="HT92" s="317">
        <f>各项系数!$F$76/4*($MW92^2-$MT92^2)*10^-2*(VLOOKUP(AN92,各项系数!$D$1:$F$143,3,0))*10^-3*10^2*各项系数!$J$4</f>
        <v>0.65395552615927433</v>
      </c>
      <c r="HU92" s="310">
        <v>1</v>
      </c>
      <c r="HV92" s="311">
        <f t="shared" si="460"/>
        <v>0.65395552615927433</v>
      </c>
      <c r="HW92" s="311">
        <f>HV92*(VLOOKUP(AN92,各项系数!$D$1:$F$143,2,0))</f>
        <v>6.539555261592743</v>
      </c>
      <c r="HX92" s="317">
        <f>各项系数!$F$76/4*($MV92^2-$MS92^2)*10^-2*(VLOOKUP($HX$9,各项系数!$D$1:$F$143,3,0))*10^-3*10^2*各项系数!$J$4</f>
        <v>0.6519704643455323</v>
      </c>
      <c r="HY92" s="311">
        <v>1</v>
      </c>
      <c r="HZ92" s="311">
        <f t="shared" si="461"/>
        <v>0.6519704643455323</v>
      </c>
      <c r="IA92" s="311">
        <f>HZ92*(VLOOKUP($HX$9,各项系数!$D$1:$F$143,2,0))</f>
        <v>7.1716751078008549</v>
      </c>
      <c r="IB92" s="317">
        <f>各项系数!$F$76/4*($MW92^2-$MT92^2)*10^-2*(VLOOKUP($IB$9,各项系数!$D$1:$F$143,3,0))*10^-3*10^2*各项系数!$J$4</f>
        <v>0.65395552615927433</v>
      </c>
      <c r="IC92" s="311">
        <v>1</v>
      </c>
      <c r="ID92" s="311">
        <f t="shared" si="462"/>
        <v>0.65395552615927433</v>
      </c>
      <c r="IE92" s="311">
        <f>ID92*(VLOOKUP($IB$9,各项系数!$D$1:$F$143,2,0))</f>
        <v>7.1935107877520172</v>
      </c>
      <c r="IF92" s="309"/>
      <c r="IG92" s="317">
        <f t="shared" si="415"/>
        <v>0.11181325752999799</v>
      </c>
      <c r="IH92" s="310">
        <v>1</v>
      </c>
      <c r="II92" s="311">
        <f t="shared" si="463"/>
        <v>0.11181325752999799</v>
      </c>
      <c r="IJ92" s="311">
        <f>II92*(VLOOKUP($IG$8,各项系数!$D$1:$F$143,2,0))</f>
        <v>2.7953314382499497</v>
      </c>
      <c r="IK92" s="317">
        <f>(各项系数!$F$76/4*($MX92^2-$MK92^2)*$EG92)*10^-2*(VLOOKUP($IG$8,各项系数!$D$1:$F$143,3,0))*10^-3*10^2*各项系数!$J$4</f>
        <v>0.11181325752999799</v>
      </c>
      <c r="IL92" s="310">
        <f>IK92*(VLOOKUP($IG$8,各项系数!$D$1:$F$143,2,0))</f>
        <v>2.7953314382499497</v>
      </c>
      <c r="IM92" s="311">
        <f>(各项系数!$F$76/4*(($MM92+3*$X92)^2-MM92^2)*$EO92)*10^-2*(VLOOKUP($IG$8,各项系数!$D$1:$F$143,3,0))*10^-3*10^2*各项系数!$J$4</f>
        <v>0</v>
      </c>
      <c r="IN92" s="310">
        <f>IM92*(VLOOKUP($IG$8,各项系数!$D$1:$F$143,2,0))</f>
        <v>0</v>
      </c>
      <c r="IO92" s="317">
        <f>各项系数!$F$76/4*($MZ92^2-$MX92^2)*10^-2*(VLOOKUP(L92,各项系数!$D$1:$F$143,3,0))*10^-3*10^2*$ES92*各项系数!$J$4</f>
        <v>0.42356764525452795</v>
      </c>
      <c r="IP92" s="310">
        <v>1</v>
      </c>
      <c r="IQ92" s="311">
        <f t="shared" si="464"/>
        <v>0.42356764525452795</v>
      </c>
      <c r="IR92" s="290">
        <f>IQ92*(VLOOKUP(L92,各项系数!$D$1:$F$143,2,0))</f>
        <v>4.3203899815961844</v>
      </c>
      <c r="IS92" s="317">
        <f>IF($L92&lt;&gt;$IS$9,0,各项系数!$F$76/4*($MZ92^2-$MX92^2)*10^-2*各项系数!$F$12*10^-3*10^2)*$ES92*各项系数!$J$4</f>
        <v>0</v>
      </c>
      <c r="IT92" s="310">
        <v>1</v>
      </c>
      <c r="IU92" s="311">
        <f t="shared" si="465"/>
        <v>0</v>
      </c>
      <c r="IV92" s="290">
        <f>IU92*各项系数!$E$12</f>
        <v>0</v>
      </c>
      <c r="IW92" s="309">
        <f t="shared" si="466"/>
        <v>0.42356764525452795</v>
      </c>
      <c r="IX92" s="309">
        <f t="shared" si="467"/>
        <v>4.3203899815961844</v>
      </c>
      <c r="IY92" s="339">
        <f>各项系数!$F$76/4*($NB92^2-$MZ92^2*$EG92-$NA92^2*$EO92)*10^-2</f>
        <v>6.4913245695690316</v>
      </c>
      <c r="IZ92" s="284">
        <f t="shared" si="487"/>
        <v>1</v>
      </c>
      <c r="JA92" s="285">
        <f t="shared" si="363"/>
        <v>6.4913245695690316</v>
      </c>
      <c r="JB92" s="289">
        <f>IF($DE92&lt;&gt;$JB$9,0,$JA92*各项系数!$F$32*10^-3*10^2)*各项系数!$J$4</f>
        <v>0</v>
      </c>
      <c r="JC92" s="106">
        <v>1</v>
      </c>
      <c r="JD92" s="78">
        <f t="shared" si="468"/>
        <v>0</v>
      </c>
      <c r="JE92" s="264">
        <f>JD92*各项系数!$E$32</f>
        <v>0</v>
      </c>
      <c r="JF92" s="282">
        <f>IF($DE92&lt;&gt;$JF$9,0,$JA92*VLOOKUP($JF$9,各项系数!$D$4:$F$540,2,0)*10^-3*10^2)*各项系数!$J$4</f>
        <v>3.2294339733605932</v>
      </c>
      <c r="JG92" s="102">
        <v>1</v>
      </c>
      <c r="JH92" s="189">
        <f t="shared" si="364"/>
        <v>3.2294339733605932</v>
      </c>
      <c r="JI92" s="262">
        <f>JH92*VLOOKUP($JF$9,各项系数!$D$4:$F$540,3,0)</f>
        <v>3.8753207680327115</v>
      </c>
      <c r="JJ92" s="289">
        <f t="shared" si="469"/>
        <v>3.2294339733605932</v>
      </c>
      <c r="JK92" s="78">
        <f t="shared" si="470"/>
        <v>3.8753207680327115</v>
      </c>
      <c r="JL92" s="289">
        <f>IF($DF92&lt;&gt;$JL$9,0,各项系数!$F$76/4*($NE92^2-$NC92^2)*10^-2*各项系数!$F$39*10^-3*10^2)*各项系数!$J$4</f>
        <v>5.7857281221584296E-3</v>
      </c>
      <c r="JM92" s="106">
        <v>1</v>
      </c>
      <c r="JN92" s="78">
        <f t="shared" si="471"/>
        <v>5.7857281221584296E-3</v>
      </c>
      <c r="JO92" s="264">
        <f>JN92*各项系数!$E$39</f>
        <v>0.11571456244316859</v>
      </c>
      <c r="JP92" s="289">
        <f>IF($DF92&lt;&gt;$JP$9,0,各项系数!$F$76/4*($NE92^2-$NC92^2)*10^-2*各项系数!$F$36*10^-3*10^2)*各项系数!$J$4</f>
        <v>0</v>
      </c>
      <c r="JQ92" s="106">
        <v>1</v>
      </c>
      <c r="JR92" s="78">
        <f t="shared" si="472"/>
        <v>0</v>
      </c>
      <c r="JS92" s="264">
        <f>JR92*各项系数!$E$36</f>
        <v>0</v>
      </c>
      <c r="JT92" s="289">
        <f>IF($DF92&lt;&gt;$JT$9,0,各项系数!$F$76/4*($NE92^2-$NC92^2)*10^-2*各项系数!$F$40*10^-3*10^2)*各项系数!$J$4</f>
        <v>0</v>
      </c>
      <c r="JU92" s="106">
        <v>1</v>
      </c>
      <c r="JV92" s="78">
        <f t="shared" si="473"/>
        <v>0</v>
      </c>
      <c r="JW92" s="264">
        <f>JV92*各项系数!$E$40</f>
        <v>0</v>
      </c>
      <c r="JX92" s="289">
        <f>IF($DF92&lt;&gt;$JX$9,0,各项系数!$F$76/4*($NE92^2-$NC92^2)*10^-2*各项系数!$F$38*10^-3*10^2)*各项系数!$J$4</f>
        <v>0</v>
      </c>
      <c r="JY92" s="106">
        <v>1</v>
      </c>
      <c r="JZ92" s="78">
        <f t="shared" si="474"/>
        <v>0</v>
      </c>
      <c r="KA92" s="264">
        <f>JZ92*各项系数!$E$38</f>
        <v>0</v>
      </c>
      <c r="KB92" s="289">
        <f>IF($DF92&lt;&gt;$KB$9,0,各项系数!$F$76/4*($NE92^2-$NC92^2)*10^-2*各项系数!$F$41*10^-3*10^2)*各项系数!$J$4</f>
        <v>0</v>
      </c>
      <c r="KC92" s="106">
        <v>1</v>
      </c>
      <c r="KD92" s="78">
        <f t="shared" si="475"/>
        <v>0</v>
      </c>
      <c r="KE92" s="264">
        <f>KD92*各项系数!$E$41</f>
        <v>0</v>
      </c>
      <c r="KF92" s="78">
        <f t="shared" si="476"/>
        <v>5.7857281221584296E-3</v>
      </c>
      <c r="KG92" s="78">
        <f t="shared" si="477"/>
        <v>0.11571456244316859</v>
      </c>
      <c r="KH92" s="237">
        <f>各项系数!$F$76/4*($NG92^2-$NE92^2)*10^-2*各项系数!$F$44*10^-3*10^2*各项系数!$J$4*0.75*$U92</f>
        <v>1.437812284242364</v>
      </c>
      <c r="KI92" s="106">
        <v>1</v>
      </c>
      <c r="KJ92" s="78">
        <f t="shared" si="478"/>
        <v>1.437812284242364</v>
      </c>
      <c r="KK92" s="78">
        <f>ROUND(KJ92*各项系数!$E$43,GT92)</f>
        <v>8</v>
      </c>
      <c r="KL92" s="235">
        <f>各项系数!$F$76/4*($NF92^2-$NE92^2)*10^-2*各项系数!$F$46*10^-3*10^2*各项系数!$J$4*PI()/4*R92</f>
        <v>7.2096346463293381E-2</v>
      </c>
      <c r="KM92" s="106">
        <v>1</v>
      </c>
      <c r="KN92" s="78">
        <f t="shared" si="479"/>
        <v>7.2096346463293381E-2</v>
      </c>
      <c r="KO92" s="78">
        <f>KN92*各项系数!$E$46</f>
        <v>4.8665033862723028</v>
      </c>
      <c r="KP92" s="237">
        <f>各项系数!$F$76/4*($NH92^2-$NE92^2)*10^-2*(VLOOKUP($KP$9,各项系数!$D$1:$F$143,3,0))*10^-3*10^2*各项系数!$J$4</f>
        <v>0.6637086380312871</v>
      </c>
      <c r="KQ92" s="106">
        <v>1</v>
      </c>
      <c r="KR92" s="78">
        <f t="shared" si="416"/>
        <v>0.6637086380312871</v>
      </c>
      <c r="KS92" s="78">
        <f>KR92*(VLOOKUP($KP$9,各项系数!$D$1:$F$143,2,0))</f>
        <v>11.283046846531882</v>
      </c>
      <c r="KT92" s="237">
        <f>各项系数!$F$76/4*($NI92^2-$NF92^2)*10^-2*(VLOOKUP($KT$9,各项系数!$D$1:$F$143,3,0))*10^-3*10^2*各项系数!$J$4</f>
        <v>0.66566669220130481</v>
      </c>
      <c r="KU92" s="106">
        <v>1</v>
      </c>
      <c r="KV92" s="78">
        <f t="shared" si="417"/>
        <v>0.66566669220130481</v>
      </c>
      <c r="KW92" s="78">
        <f>KV92*(VLOOKUP($KT$9,各项系数!$D$1:$F$143,2,0))</f>
        <v>11.316333767422181</v>
      </c>
      <c r="KX92" s="78">
        <f>各项系数!$F$76/4*($NH92^2-$NE92^2)*10^-2*(VLOOKUP($KX$9,各项系数!$D$1:$F$143,3,0))*10^-3*10^2*各项系数!$J$4</f>
        <v>0.6637086380312871</v>
      </c>
      <c r="KY92" s="355">
        <v>1</v>
      </c>
      <c r="KZ92" s="78">
        <f t="shared" si="418"/>
        <v>0.6637086380312871</v>
      </c>
      <c r="LA92" s="78">
        <f>KZ92*(VLOOKUP($KX$9,各项系数!$D$1:$F$143,2,0))</f>
        <v>11.283046846531882</v>
      </c>
      <c r="LB92" s="78">
        <f>各项系数!$F$76/4*($NI92^2-$NF92^2)*10^-2*(VLOOKUP($LB$9,各项系数!$D$1:$F$143,3,0))*10^-3*10^2*各项系数!$J$4</f>
        <v>0.66566669220130481</v>
      </c>
      <c r="LC92" s="355">
        <v>1</v>
      </c>
      <c r="LD92" s="78">
        <f t="shared" si="419"/>
        <v>0.66566669220130481</v>
      </c>
      <c r="LE92" s="78">
        <f>LD92*(VLOOKUP($LB$9,各项系数!$D$1:$F$143,2,0))</f>
        <v>11.316333767422181</v>
      </c>
      <c r="LF92" s="237">
        <f>各项系数!$F$76/4*($NH92^2-$NE92^2)*10^-2*(VLOOKUP(AN92,各项系数!$D$1:$F$143,3,0))*10^-3*10^2*各项系数!$J$4</f>
        <v>0.67286323993516706</v>
      </c>
      <c r="LG92" s="106">
        <v>1</v>
      </c>
      <c r="LH92" s="78">
        <f t="shared" si="480"/>
        <v>0.67286323993516706</v>
      </c>
      <c r="LI92" s="78">
        <f>LH92*(VLOOKUP(AN92,各项系数!$D$1:$F$143,2,0))</f>
        <v>6.728632399351671</v>
      </c>
      <c r="LJ92" s="237">
        <f>各项系数!$F$76/4*($NI92^2-$NF92^2)*10^-2*(VLOOKUP(AN92,各项系数!$D$1:$F$143,3,0))*10^-3*10^2*各项系数!$J$4</f>
        <v>0.67484830174890897</v>
      </c>
      <c r="LK92" s="106">
        <v>1</v>
      </c>
      <c r="LL92" s="78">
        <f t="shared" si="481"/>
        <v>0.67484830174890897</v>
      </c>
      <c r="LM92" s="78">
        <f>LL92*(VLOOKUP(AN92,各项系数!$D$1:$F$143,2,0))</f>
        <v>6.7484830174890895</v>
      </c>
      <c r="LN92" s="78">
        <f>各项系数!$F$76/4*($NH92^2-$NE92^2)*10^-2*(VLOOKUP($LN$9,各项系数!$D$1:$F$143,3,0))*10^-3*10^2*各项系数!$J$4</f>
        <v>0.67286323993516706</v>
      </c>
      <c r="LO92" s="355">
        <v>1</v>
      </c>
      <c r="LP92" s="78">
        <f t="shared" si="482"/>
        <v>0.67286323993516706</v>
      </c>
      <c r="LQ92" s="78">
        <f>LP92*(VLOOKUP($LN$9,各项系数!$D$1:$F$143,2,0))</f>
        <v>7.4014956392868374</v>
      </c>
      <c r="LR92" s="78">
        <f>各项系数!$F$76/4*($NI92^2-$NF92^2)*10^-2*(VLOOKUP($LR$9,各项系数!$D$1:$F$143,3,0))*10^-3*10^2*各项系数!$J$4</f>
        <v>0.67484830174890897</v>
      </c>
      <c r="LS92" s="355">
        <v>1</v>
      </c>
      <c r="LT92" s="78">
        <f t="shared" si="483"/>
        <v>0.67484830174890897</v>
      </c>
      <c r="LU92" s="78">
        <f>LT92*(VLOOKUP($LR$9,各项系数!$D$1:$F$143,2,0))</f>
        <v>7.4233313192379988</v>
      </c>
      <c r="LV92" s="367">
        <f t="shared" si="420"/>
        <v>955.40654129999996</v>
      </c>
      <c r="LW92" s="367">
        <f t="shared" si="421"/>
        <v>697.57901260999995</v>
      </c>
      <c r="LX92" s="367">
        <f t="shared" si="422"/>
        <v>29.802435880853107</v>
      </c>
      <c r="LY92" s="367">
        <f t="shared" si="423"/>
        <v>257.82752869000001</v>
      </c>
      <c r="LZ92" s="374">
        <f t="shared" si="365"/>
        <v>1</v>
      </c>
      <c r="MA92" s="375">
        <f t="shared" si="366"/>
        <v>955.40654129999996</v>
      </c>
      <c r="MB92" s="367">
        <f t="shared" si="424"/>
        <v>15.59782927</v>
      </c>
      <c r="MC92" s="367">
        <f t="shared" si="425"/>
        <v>0</v>
      </c>
      <c r="MD92" s="367">
        <f t="shared" si="426"/>
        <v>0</v>
      </c>
      <c r="ME92" s="367">
        <f t="shared" si="427"/>
        <v>0</v>
      </c>
      <c r="MF92" s="367">
        <f t="shared" si="428"/>
        <v>0</v>
      </c>
      <c r="MG92" s="379">
        <f t="shared" si="429"/>
        <v>1</v>
      </c>
      <c r="MH92" s="375">
        <f t="shared" si="367"/>
        <v>0</v>
      </c>
      <c r="MI92" s="367">
        <f t="shared" si="430"/>
        <v>0</v>
      </c>
      <c r="MJ92" s="78">
        <f t="shared" si="368"/>
        <v>15.59782927</v>
      </c>
      <c r="MK92" s="78">
        <f t="shared" si="431"/>
        <v>15.59782927</v>
      </c>
      <c r="ML92" s="78">
        <f t="shared" si="484"/>
        <v>0</v>
      </c>
      <c r="MM92" s="78">
        <f t="shared" si="369"/>
        <v>0</v>
      </c>
      <c r="MN92" s="78">
        <f t="shared" si="370"/>
        <v>18.397829269999999</v>
      </c>
      <c r="MO92" s="189">
        <f t="shared" si="432"/>
        <v>0</v>
      </c>
      <c r="MP92" s="78">
        <f t="shared" si="433"/>
        <v>49.674139029999999</v>
      </c>
      <c r="MQ92" s="78">
        <f t="shared" si="485"/>
        <v>49.674139029999999</v>
      </c>
      <c r="MR92" s="246">
        <f t="shared" si="434"/>
        <v>49.674139029999999</v>
      </c>
      <c r="MS92" s="380">
        <f t="shared" si="371"/>
        <v>49.850139030000001</v>
      </c>
      <c r="MT92" s="382">
        <f t="shared" si="372"/>
        <v>50.010139029999998</v>
      </c>
      <c r="MU92" s="382">
        <f t="shared" si="373"/>
        <v>51.350139030000001</v>
      </c>
      <c r="MV92" s="382">
        <f t="shared" si="374"/>
        <v>55.25013903</v>
      </c>
      <c r="MW92" s="382">
        <f t="shared" si="375"/>
        <v>55.410139029999996</v>
      </c>
      <c r="MX92" s="246">
        <f t="shared" si="376"/>
        <v>16.19782927</v>
      </c>
      <c r="MY92" s="246">
        <f t="shared" si="377"/>
        <v>0</v>
      </c>
      <c r="MZ92" s="78">
        <f t="shared" si="378"/>
        <v>18.99782927</v>
      </c>
      <c r="NA92" s="78">
        <f t="shared" si="379"/>
        <v>0</v>
      </c>
      <c r="NB92" s="78">
        <f t="shared" si="435"/>
        <v>51.294139029999997</v>
      </c>
      <c r="NC92" s="246">
        <f t="shared" si="486"/>
        <v>51.294139029999997</v>
      </c>
      <c r="ND92" s="246">
        <f t="shared" si="436"/>
        <v>51.294139029999997</v>
      </c>
      <c r="NE92" s="386">
        <f t="shared" si="437"/>
        <v>51.534139029999999</v>
      </c>
      <c r="NF92" s="382">
        <f t="shared" si="380"/>
        <v>51.694139029999995</v>
      </c>
      <c r="NG92" s="150">
        <f t="shared" si="381"/>
        <v>53.034139029999999</v>
      </c>
      <c r="NH92" s="246">
        <f t="shared" si="382"/>
        <v>56.934139029999997</v>
      </c>
      <c r="NI92" s="382">
        <f t="shared" si="383"/>
        <v>57.094139029999994</v>
      </c>
      <c r="NK92" s="390">
        <f t="shared" si="384"/>
        <v>8.0645554312177286</v>
      </c>
      <c r="NL92" s="390">
        <f t="shared" si="385"/>
        <v>423.27652135994498</v>
      </c>
      <c r="NM92" s="390">
        <f t="shared" si="386"/>
        <v>8.0645554312177286</v>
      </c>
      <c r="NN92" s="390">
        <f t="shared" si="387"/>
        <v>423.92849182429052</v>
      </c>
      <c r="NO92" s="390">
        <f t="shared" si="388"/>
        <v>10.706490941464239</v>
      </c>
      <c r="NP92" s="390">
        <f t="shared" si="389"/>
        <v>428.0636640203212</v>
      </c>
      <c r="NQ92" s="390">
        <f t="shared" si="390"/>
        <v>10.706490941464239</v>
      </c>
      <c r="NR92" s="390">
        <f t="shared" si="391"/>
        <v>428.73652726025637</v>
      </c>
      <c r="NS92" s="390">
        <f t="shared" si="392"/>
        <v>8.1342995104587867</v>
      </c>
      <c r="NT92" s="390">
        <f t="shared" si="393"/>
        <v>8.1342995104587867</v>
      </c>
      <c r="NU92" s="390">
        <f t="shared" si="394"/>
        <v>10.778587287927532</v>
      </c>
      <c r="NV92" s="390">
        <f t="shared" si="395"/>
        <v>10.778587287927532</v>
      </c>
      <c r="NW92" s="9">
        <f t="shared" si="396"/>
        <v>8.9922236537604565</v>
      </c>
      <c r="NX92" s="9">
        <f>各项系数!$M$9*NK92</f>
        <v>2.4193666293653187</v>
      </c>
      <c r="NY92" s="9">
        <f t="shared" si="397"/>
        <v>8.134299510458785</v>
      </c>
    </row>
    <row r="93" spans="1:389" s="9" customFormat="1" ht="15" hidden="1" customHeight="1">
      <c r="A93" s="65"/>
      <c r="B93" s="66"/>
      <c r="C93" s="67"/>
      <c r="D93" s="58" t="s">
        <v>924</v>
      </c>
      <c r="E93" s="399">
        <f t="shared" si="325"/>
        <v>60.939537690000002</v>
      </c>
      <c r="F93" s="68">
        <f>$F$29</f>
        <v>245.09808262108001</v>
      </c>
      <c r="G93" s="58"/>
      <c r="H93" s="16"/>
      <c r="I93" s="62"/>
      <c r="J93" s="16"/>
      <c r="K93" s="16"/>
      <c r="L93" s="107" t="s">
        <v>467</v>
      </c>
      <c r="M93" s="98">
        <f t="shared" si="339"/>
        <v>1.6</v>
      </c>
      <c r="N93" s="98">
        <f t="shared" si="340"/>
        <v>0</v>
      </c>
      <c r="O93" s="58">
        <f t="shared" si="488"/>
        <v>0.08</v>
      </c>
      <c r="P93" s="99">
        <v>0.1</v>
      </c>
      <c r="Q93" s="136">
        <f t="shared" si="440"/>
        <v>0.1</v>
      </c>
      <c r="R93" s="151">
        <v>0.8</v>
      </c>
      <c r="S93" s="144" t="str">
        <f>各项系数!$D$43</f>
        <v>钢带</v>
      </c>
      <c r="T93" s="62">
        <v>0.5</v>
      </c>
      <c r="U93" s="62">
        <v>2</v>
      </c>
      <c r="V93" s="143"/>
      <c r="W93" s="145">
        <v>2.9</v>
      </c>
      <c r="X93" s="139">
        <f t="shared" si="441"/>
        <v>0.2</v>
      </c>
      <c r="Y93" s="139"/>
      <c r="Z93" s="169"/>
      <c r="AA93" s="170">
        <f>$AA$29</f>
        <v>1.0149999999999999</v>
      </c>
      <c r="AB93" s="153">
        <f>PI()*EJ93*EJ93/4*EH93*(1-H93)*AA93*各项系数!$F$5*各项系数!$J$4*10^-7</f>
        <v>1.5673367508788369</v>
      </c>
      <c r="AC93" s="170">
        <f t="shared" si="327"/>
        <v>245.09808262108001</v>
      </c>
      <c r="AD93" s="153">
        <f t="shared" si="341"/>
        <v>177.18929302065291</v>
      </c>
      <c r="AE93" s="153">
        <f>POWER(4*EU93/PI()/EG93/10^-7/EH93/(1-H93)/各项系数!$F$5/各项系数!$J$4,0.5)</f>
        <v>246.92947607788278</v>
      </c>
      <c r="AF93" s="16">
        <v>1</v>
      </c>
      <c r="AG93" s="16">
        <f>IF(EM93=0,0,PI()*ER93*ER93/4*EP93*(1-K93)*(1+AF93)*各项系数!$F$5*各项系数!$J$4*10^-7)</f>
        <v>0</v>
      </c>
      <c r="AH93" s="16">
        <f t="shared" si="328"/>
        <v>0</v>
      </c>
      <c r="AI93" s="69">
        <f t="shared" si="398"/>
        <v>0</v>
      </c>
      <c r="AJ93" s="69">
        <f>IF(OR(EP93="",EP93=0),0,POWER(4*EW93/PI()/EO93/10^-7/EP93/(1-K93)/各项系数!$F$5/各项系数!$J$4,0.5))</f>
        <v>0</v>
      </c>
      <c r="AK93" s="16" t="str">
        <f t="shared" si="342"/>
        <v>√</v>
      </c>
      <c r="AL93" s="16">
        <f t="shared" si="329"/>
        <v>545.60780426034944</v>
      </c>
      <c r="AM93" s="106">
        <f t="shared" si="330"/>
        <v>185</v>
      </c>
      <c r="AN93" s="107" t="s">
        <v>486</v>
      </c>
      <c r="AO93" s="146">
        <f>AP93+各项系数!$M$9*$NK93</f>
        <v>534.90961201995037</v>
      </c>
      <c r="AP93" s="146">
        <f>AQ93*(1+$BI93+(VLOOKUP($AM93,$A$12:$B$323,2,0))+各项系数!$J$6+各项系数!$M$5)*(1+$E$2)</f>
        <v>531.9003206888874</v>
      </c>
      <c r="AQ93" s="199">
        <f>AR93+各项系数!$L$9*$NK93</f>
        <v>542.75542927437493</v>
      </c>
      <c r="AR93" s="199">
        <f>AS93*(1+$BJ93+各项系数!$J$5+各项系数!$L$5)</f>
        <v>539.74613794331196</v>
      </c>
      <c r="AS93" s="199">
        <f t="shared" si="399"/>
        <v>529.16288033658032</v>
      </c>
      <c r="AT93" s="146">
        <f>AU93+各项系数!$M$9*$NM93</f>
        <v>540.14253356955203</v>
      </c>
      <c r="AU93" s="146">
        <f>AV93*(1+$BI93+(VLOOKUP($AM93,$A$12:$B$323,2,0))+各项系数!$J$6+各项系数!$M$5)*(1+$E$2)</f>
        <v>537.13324223848906</v>
      </c>
      <c r="AV93" s="199">
        <f>AW93+各项系数!$L$9*$NM93</f>
        <v>548.09514514131536</v>
      </c>
      <c r="AW93" s="199">
        <f>AX93*(1+$BJ93+各项系数!$J$5+各项系数!$L$5)</f>
        <v>545.08585381025239</v>
      </c>
      <c r="AX93" s="199">
        <f t="shared" si="400"/>
        <v>534.39789589240434</v>
      </c>
      <c r="AY93" s="146">
        <f>AZ93+各项系数!$M$9*$NS93</f>
        <v>540.18110153572843</v>
      </c>
      <c r="AZ93" s="146">
        <f>BA93*(1+$BI93+(VLOOKUP($AM93,$A$12:$B$214,2,0))+各项系数!$J$6+各项系数!$M$5)*(1+$E$2)</f>
        <v>537.14867045848939</v>
      </c>
      <c r="BA93" s="199">
        <f>BB93+各项系数!$L$9*$NS93</f>
        <v>548.11088822294835</v>
      </c>
      <c r="BB93" s="199">
        <f>BC93*(1+$BJ93+各项系数!$J$5+各项系数!$L$5)</f>
        <v>545.07845714570931</v>
      </c>
      <c r="BC93" s="199">
        <f t="shared" si="401"/>
        <v>534.39064426049936</v>
      </c>
      <c r="BD93" s="146">
        <f>BE93+各项系数!$M$9*$NS93</f>
        <v>545.42844889713467</v>
      </c>
      <c r="BE93" s="146">
        <f>BF93*(1+$BI93+(VLOOKUP($AM93,$A$12:$B$214,2,0))+各项系数!$J$6+各项系数!$M$5)*(1+$E$2)</f>
        <v>542.39601781989563</v>
      </c>
      <c r="BF93" s="199">
        <f>BG93+各项系数!$L$9*$NS93</f>
        <v>553.46532430601599</v>
      </c>
      <c r="BG93" s="199">
        <f>BH93*(1+$BJ93+各项系数!$J$5+各项系数!$L$5)</f>
        <v>550.43289322877695</v>
      </c>
      <c r="BH93" s="199">
        <f t="shared" si="402"/>
        <v>539.64009140076166</v>
      </c>
      <c r="BI93" s="214"/>
      <c r="BJ93" s="215"/>
      <c r="BK93" s="78" t="s">
        <v>514</v>
      </c>
      <c r="BL93" s="146">
        <f>BM93+各项系数!$M$9*$NM93</f>
        <v>540.87609270071744</v>
      </c>
      <c r="BM93" s="146">
        <f>BN93*(1+$CF93+(VLOOKUP($AM93,$A$12:$B$323,2,0))+各项系数!$J$6+各项系数!$M$5)*(1+$E$2)</f>
        <v>537.86680136965447</v>
      </c>
      <c r="BN93" s="199">
        <f>BO93+各项系数!$L$9*$NM93</f>
        <v>548.84367486699432</v>
      </c>
      <c r="BO93" s="199">
        <f>BP93*(1+$CG93+各项系数!$J$5+各项系数!$L$5)</f>
        <v>545.83438353593135</v>
      </c>
      <c r="BP93" s="199">
        <f t="shared" si="403"/>
        <v>529.93629469507891</v>
      </c>
      <c r="BQ93" s="146">
        <f>BR93+各项系数!$M$9*$NM93</f>
        <v>545.37963294929762</v>
      </c>
      <c r="BR93" s="146">
        <f>BS93*(1+$CF93+(VLOOKUP($AM93,$A$12:$B$323,2,0))+各项系数!$J$6+各项系数!$M$5)*(1+$E$2)</f>
        <v>542.37034161823465</v>
      </c>
      <c r="BS93" s="199">
        <f>BT93+各项系数!$L$9*$NM93</f>
        <v>553.4391241002395</v>
      </c>
      <c r="BT93" s="199">
        <f>BU93*(1+$CG93+各项系数!$J$5+各项系数!$L$5)</f>
        <v>550.42983276917653</v>
      </c>
      <c r="BU93" s="199">
        <f t="shared" si="404"/>
        <v>534.39789589240434</v>
      </c>
      <c r="BV93" s="146">
        <f>BW93+各项系数!$M$9*$NT93</f>
        <v>543.23728212754929</v>
      </c>
      <c r="BW93" s="146">
        <f>BX93*(1+$CF93+(VLOOKUP($AM93,$A$12:$B$214,2,0))+各项系数!$J$6+各项系数!$M$5)*(1+$E$2)</f>
        <v>540.20485105031025</v>
      </c>
      <c r="BX93" s="199">
        <f>BY93+各项系数!$L$9*$NT$12</f>
        <v>551.22943984725532</v>
      </c>
      <c r="BY93" s="199">
        <f>BZ93*(1+$CG93+各项系数!$J$5+各项系数!$L$5)</f>
        <v>551.22117644410037</v>
      </c>
      <c r="BZ93" s="199">
        <f t="shared" si="343"/>
        <v>535.16619072242747</v>
      </c>
      <c r="CA93" s="146">
        <f>CB93+各项系数!$M$9*$NT93</f>
        <v>547.75323747225968</v>
      </c>
      <c r="CB93" s="146">
        <f>CC93*(1+$CF93+(VLOOKUP($AM93,$A$12:$B$214,2,0))+各项系数!$J$6+各项系数!$M$5)*(1+$E$2)</f>
        <v>544.72080639502065</v>
      </c>
      <c r="CC93" s="199">
        <f>CD93+各项系数!$L$9*$NT$12</f>
        <v>555.83755754593949</v>
      </c>
      <c r="CD93" s="199">
        <f>CE93*(1+$CG93+各项系数!$J$5+各项系数!$L$5)</f>
        <v>555.82929414278453</v>
      </c>
      <c r="CE93" s="199">
        <f t="shared" si="405"/>
        <v>539.64009140076166</v>
      </c>
      <c r="CF93" s="214">
        <f t="shared" si="406"/>
        <v>0</v>
      </c>
      <c r="CG93" s="214">
        <f t="shared" si="344"/>
        <v>0.01</v>
      </c>
      <c r="CH93" s="106"/>
      <c r="CI93" s="146">
        <f>CJ93+各项系数!$M$9*$NO93</f>
        <v>545.255802478551</v>
      </c>
      <c r="CJ93" s="146">
        <f>CK93*(1+$DC93+(VLOOKUP($AM93,$A$12:$B$323,2,0))+各项系数!$J$6+各项系数!$M$5)*(1+$E$2)+各项系数!$M$9*$NK93</f>
        <v>541.28861198130505</v>
      </c>
      <c r="CK93" s="199">
        <f>CL93+各项系数!$L$9*$NO93</f>
        <v>549.2646129084103</v>
      </c>
      <c r="CL93" s="199">
        <f>CM93*(1+$DD93+各项系数!$J$5+各项系数!$L$5)</f>
        <v>545.29742241116435</v>
      </c>
      <c r="CM93" s="199">
        <f t="shared" si="345"/>
        <v>534.60531608937686</v>
      </c>
      <c r="CN93" s="146">
        <f>CO93+各项系数!$M$9*$NO93</f>
        <v>550.26440990374442</v>
      </c>
      <c r="CO93" s="146">
        <f>CP93*(1+$DC93+(VLOOKUP($AM93,$A$12:$B$323,2,0))+各项系数!$J$6+各项系数!$M$5)*(1+$E$2)+各项系数!$M$9*$NK93</f>
        <v>546.29721940649847</v>
      </c>
      <c r="CP93" s="199">
        <f>CQ93+各项系数!$L$9*$NO93</f>
        <v>554.37543681166892</v>
      </c>
      <c r="CQ93" s="199">
        <f>CR93*(1+$DD93+各项系数!$J$5+各项系数!$L$5)</f>
        <v>550.40824631442297</v>
      </c>
      <c r="CR93" s="199">
        <f t="shared" si="346"/>
        <v>539.61592775923816</v>
      </c>
      <c r="CS93" s="146">
        <f>CT93+各项系数!$M$9*$NU93</f>
        <v>547.67811243628205</v>
      </c>
      <c r="CT93" s="146">
        <f t="shared" si="347"/>
        <v>543.68707651269335</v>
      </c>
      <c r="CU93" s="199">
        <f>CV93+各项系数!$L$9*$NU93</f>
        <v>554.78273113540138</v>
      </c>
      <c r="CV93" s="199">
        <f>CW93*(1+$DD93+各项系数!$J$5+各项系数!$L$5)</f>
        <v>550.79169521181268</v>
      </c>
      <c r="CW93" s="199">
        <f t="shared" si="348"/>
        <v>539.99185805079674</v>
      </c>
      <c r="CX93" s="146">
        <f>CY93+各项系数!$M$9*$NU93</f>
        <v>553.07729146693055</v>
      </c>
      <c r="CY93" s="146">
        <f t="shared" si="349"/>
        <v>549.08625554334185</v>
      </c>
      <c r="CZ93" s="199">
        <f>DA93+各项系数!$L$9*$NU93</f>
        <v>560.29209749320603</v>
      </c>
      <c r="DA93" s="199">
        <f>DB93*(1+$DD93+各项系数!$J$5+各项系数!$L$5)</f>
        <v>556.30106156961733</v>
      </c>
      <c r="DB93" s="199">
        <f t="shared" si="350"/>
        <v>545.39319761727188</v>
      </c>
      <c r="DC93" s="214">
        <f t="shared" si="407"/>
        <v>0</v>
      </c>
      <c r="DD93" s="214">
        <f t="shared" si="351"/>
        <v>0</v>
      </c>
      <c r="DE93" s="78" t="s">
        <v>498</v>
      </c>
      <c r="DF93" s="78" t="s">
        <v>513</v>
      </c>
      <c r="DG93" s="146">
        <f>DH93+各项系数!$M$9*$NQ93</f>
        <v>551.29827035794449</v>
      </c>
      <c r="DH93" s="146">
        <f>DI93*(1+$EA93+(VLOOKUP($AM93,$A$12:$B$323,2,0))+各项系数!$J$6+各项系数!$M$5)*(1+$E$2)+各项系数!$M$9*$NK93</f>
        <v>547.33107986069854</v>
      </c>
      <c r="DI93" s="199">
        <f>DJ93+各项系数!$L$9*$NQ93</f>
        <v>555.43039645881186</v>
      </c>
      <c r="DJ93" s="199">
        <f>DK93*(1+$EB93+各项系数!$J$5+各项系数!$L$5)</f>
        <v>551.4632059615659</v>
      </c>
      <c r="DK93" s="199">
        <f t="shared" si="352"/>
        <v>535.40117083647169</v>
      </c>
      <c r="DL93" s="146">
        <f>DM93+各项系数!$M$9*$NQ93</f>
        <v>555.93247949329498</v>
      </c>
      <c r="DM93" s="146">
        <f>DN93*(1+$EA93+(VLOOKUP($AM93,$A$12:$B$323,2,0))+各项系数!$J$6+各项系数!$M$5)*(1+$E$2)+各项系数!$M$9*$NK93</f>
        <v>551.96528899604903</v>
      </c>
      <c r="DN93" s="199">
        <f>DO93+各项系数!$L$9*$NQ93</f>
        <v>560.15918129080205</v>
      </c>
      <c r="DO93" s="199">
        <f>DP93*(1+$EB93+各项系数!$J$5+各项系数!$L$5)</f>
        <v>556.1919907935561</v>
      </c>
      <c r="DP93" s="199">
        <f t="shared" si="353"/>
        <v>539.99222407141372</v>
      </c>
      <c r="DQ93" s="146">
        <f>DR93+各项系数!$M$9*$NV93</f>
        <v>553.77552057209925</v>
      </c>
      <c r="DR93" s="146">
        <f t="shared" si="354"/>
        <v>549.78448464851056</v>
      </c>
      <c r="DS93" s="199">
        <f>DT93+各项系数!$L$9*$NV93</f>
        <v>561.00457617194957</v>
      </c>
      <c r="DT93" s="199">
        <f>DU93*(1+$EB93+各项系数!$J$5+各项系数!$L$5)</f>
        <v>557.01354024836087</v>
      </c>
      <c r="DU93" s="199">
        <f t="shared" si="355"/>
        <v>540.7898449013212</v>
      </c>
      <c r="DV93" s="146">
        <f>DW93+各项系数!$M$9*$NV93</f>
        <v>552.93995412191316</v>
      </c>
      <c r="DW93" s="146">
        <f t="shared" si="356"/>
        <v>548.94891819832446</v>
      </c>
      <c r="DX93" s="199">
        <f>DY93+各项系数!$L$9*$NV93</f>
        <v>560.15195734522911</v>
      </c>
      <c r="DY93" s="199">
        <f>DZ93*(1+$EB93+各项系数!$J$5+各项系数!$L$5)</f>
        <v>556.16092142164041</v>
      </c>
      <c r="DZ93" s="199">
        <f t="shared" si="357"/>
        <v>539.96205963266061</v>
      </c>
      <c r="EA93" s="214">
        <f t="shared" si="439"/>
        <v>0</v>
      </c>
      <c r="EB93" s="214">
        <f t="shared" si="358"/>
        <v>0.01</v>
      </c>
      <c r="EC93" s="235">
        <f t="shared" si="408"/>
        <v>5</v>
      </c>
      <c r="ED93" s="237" t="str">
        <f t="shared" si="442"/>
        <v>5*185</v>
      </c>
      <c r="EE93" s="78">
        <f>IF($D93="",0,IF(COUNTIF($D93,"*+*")&gt;0,MID($D93,FIND("*",$D93)+1,FIND("+",$D93)-FIND("*",$D93)-1),RIGHT($D93,(LEN($D93)-FIND("*",$D93)))))*1</f>
        <v>185</v>
      </c>
      <c r="EF93" s="78" t="str">
        <f>LOOKUP(EH93,{1,7,10,14,19,24,30,37,48,61},{1,"1+6","2+8","4+10","1+6+12","2+8+14","4+10+16","1+6+12+18","3+9+15+21","1+6+12+18+24"})</f>
        <v>1+6+12+18</v>
      </c>
      <c r="EG93" s="106">
        <f t="shared" si="359"/>
        <v>5</v>
      </c>
      <c r="EH93" s="199">
        <f>VLOOKUP(EE93,各项系数!$B$87:$C$124,2,0)</f>
        <v>37</v>
      </c>
      <c r="EI93" s="106">
        <f>IF(EH93=0,0,VLOOKUP(EH93,各项系数!$D$142:$E$195,2,0))*1</f>
        <v>7</v>
      </c>
      <c r="EJ93" s="240">
        <f t="shared" si="409"/>
        <v>245.09808262108001</v>
      </c>
      <c r="EK93" s="78">
        <f t="shared" si="332"/>
        <v>0</v>
      </c>
      <c r="EL93" s="78">
        <f t="shared" si="360"/>
        <v>0</v>
      </c>
      <c r="EM93" s="78">
        <f t="shared" si="443"/>
        <v>0</v>
      </c>
      <c r="EN93" s="78">
        <f>IF(EP93=0,0,LOOKUP(EP93,{1,7,10,14,19,24,30,37,48,61},{1,"1+6","2+8","4+10","1+6+12","2+8+14","4+10+16","1+6+12+18","3+9+15+21","1+6+12+18+24"}))</f>
        <v>0</v>
      </c>
      <c r="EO93" s="78">
        <f t="shared" si="334"/>
        <v>0</v>
      </c>
      <c r="EP93" s="78">
        <f>IF(EM93=0,0,IF(EM93&lt;10,1,IF(AND(EM93&gt;=10,EM93&lt;=35),7,LOOKUP(EM93,{50,70,95,120,150,185,240,300},{10,14,19,24,30,37,48,61})*1)))</f>
        <v>0</v>
      </c>
      <c r="EQ93" s="78">
        <f>IF(EP93=0,0,VLOOKUP(EP93,各项系数!$D$142:$E$195,2,0))*1</f>
        <v>0</v>
      </c>
      <c r="ER93" s="78">
        <f t="shared" si="335"/>
        <v>0</v>
      </c>
      <c r="ES93" s="237">
        <f t="shared" si="444"/>
        <v>5</v>
      </c>
      <c r="ET93" s="78">
        <f>VLOOKUP(ES93,各项系数!$D$142:$E$195,2,0)*1</f>
        <v>2.7</v>
      </c>
      <c r="EU93" s="243">
        <f>((各项系数!$F$76/4*$EJ93^2*$EG93*$EH93*1*10^-7)*(1-$H93)*AA93)*(VLOOKUP($EY$9,各项系数!$D$4:$F$143,3,0))*各项系数!$J$4</f>
        <v>7.8366837543941816</v>
      </c>
      <c r="EV93" s="244">
        <f>EU93*(VLOOKUP($EY$9,各项系数!$D$4:$F$143,2,0))</f>
        <v>513.30278591281888</v>
      </c>
      <c r="EW93" s="252">
        <f>(IF($EO93=0,0,(各项系数!$F$76/4*$ER93^2*$EO93*$EP93*1*10^-7))*(1-$K93)*$AF93)*(VLOOKUP($EY$9,各项系数!$D$4:$F$143,3,0))*各项系数!$J$4</f>
        <v>0</v>
      </c>
      <c r="EX93" s="253">
        <f>EW93*(VLOOKUP($EY$9,各项系数!$D$4:$F$143,2,0))</f>
        <v>0</v>
      </c>
      <c r="EY93" s="189">
        <f>((各项系数!$F$76/4*$EJ93^2*$EG93*$EH93*1*10^-7)*(1-$H93)*AA93+IF($EO93=0,0,(各项系数!$F$76/4*$ER93^2*$EO93*$EP93*1*10^-7))*(1-$K93)*$AF93)*(VLOOKUP($EY$9,各项系数!$D$4:$F$143,3,0))*各项系数!$J$4</f>
        <v>7.8366837543941816</v>
      </c>
      <c r="EZ93" s="106">
        <v>1</v>
      </c>
      <c r="FA93" s="78">
        <f t="shared" si="445"/>
        <v>7.8366837543941816</v>
      </c>
      <c r="FB93" s="246">
        <f>FA93*(VLOOKUP($EY$9,各项系数!$D$4:$F$143,2,0))</f>
        <v>513.30278591281888</v>
      </c>
      <c r="FC93" s="257"/>
      <c r="FD93" s="237">
        <f>各项系数!$F$76/4*($MN93^2-MK93^2)*10^-2*(VLOOKUP(L93,各项系数!$D$1:$F$143,3,0))*10^-3*10^2*$EG93*各项系数!$J$4</f>
        <v>0.5159598371303219</v>
      </c>
      <c r="FE93" s="264">
        <f>FD93*VLOOKUP(L93,各项系数!$D$1:$F$143,2,0)</f>
        <v>5.2627903387292827</v>
      </c>
      <c r="FF93" s="106">
        <f>各项系数!$F$76/4*($MO93^2-ML93^2)*10^-2*(VLOOKUP(L93,各项系数!$D$1:$F$143,3,0))*10^-3*10^2*$EO93*各项系数!$J$4</f>
        <v>0</v>
      </c>
      <c r="FG93" s="264">
        <f>FF93*VLOOKUP(L93,各项系数!$D$1:$F$143,2,0)</f>
        <v>0</v>
      </c>
      <c r="FH93" s="237">
        <f t="shared" si="410"/>
        <v>0.5159598371303219</v>
      </c>
      <c r="FI93" s="106">
        <v>1</v>
      </c>
      <c r="FJ93" s="78">
        <f t="shared" si="446"/>
        <v>0.5159598371303219</v>
      </c>
      <c r="FK93" s="264">
        <f>FJ93*VLOOKUP(L93,各项系数!$D$1:$F$143,2,0)</f>
        <v>5.2627903387292827</v>
      </c>
      <c r="FL93" s="237"/>
      <c r="FM93" s="106"/>
      <c r="FN93" s="78"/>
      <c r="FO93" s="264"/>
      <c r="FP93" s="289">
        <f t="shared" si="447"/>
        <v>0.5159598371303219</v>
      </c>
      <c r="FQ93" s="289">
        <f t="shared" si="448"/>
        <v>5.2627903387292827</v>
      </c>
      <c r="FR93" s="283">
        <f>各项系数!$F$76/4*($MQ93^2-$MN93^2*$EG93-$MO93^2*$EO93)*10^-2</f>
        <v>7.4532757900298092</v>
      </c>
      <c r="FS93" s="284">
        <f t="shared" si="411"/>
        <v>1</v>
      </c>
      <c r="FT93" s="285">
        <f t="shared" si="361"/>
        <v>7.4532757900298092</v>
      </c>
      <c r="FU93" s="309">
        <f>$FT93*(VLOOKUP($FT$9,各项系数!$D$1:$F$143,3,0))*10^-3*10^2*各项系数!$J$55</f>
        <v>0.88992112932955925</v>
      </c>
      <c r="FV93" s="310">
        <v>1</v>
      </c>
      <c r="FW93" s="311">
        <f t="shared" si="449"/>
        <v>0.88992112932955925</v>
      </c>
      <c r="FX93" s="290">
        <f>FW93*(VLOOKUP($FT$9,各项系数!$D$1:$F$143,2,0))</f>
        <v>2.6697633879886777</v>
      </c>
      <c r="FY93" s="309">
        <f>IF($BK93&lt;&gt;$FY$9,0,各项系数!$F$76/4*($MS93^2-$MQ93^2)*10^-2*(VLOOKUP($FY$9,各项系数!$D$1:$F$143,3,0))*10^-3*10^2)*各项系数!$J$4</f>
        <v>0</v>
      </c>
      <c r="FZ93" s="310">
        <v>1</v>
      </c>
      <c r="GA93" s="311">
        <f t="shared" si="450"/>
        <v>0</v>
      </c>
      <c r="GB93" s="290">
        <f>GA93*(VLOOKUP($FY$9,各项系数!$D$1:$F$143,2,0))</f>
        <v>0</v>
      </c>
      <c r="GC93" s="309">
        <f>IF($BK93&lt;&gt;$GC$9,0,各项系数!$F$76/4*($MS93^2-$MQ93^2)*10^-2*(VLOOKUP($GC$9,各项系数!$D$1:$F$143,3,0))*10^-3*10^2)*各项系数!$J$4</f>
        <v>1.4992024190475944E-2</v>
      </c>
      <c r="GD93" s="310">
        <v>1</v>
      </c>
      <c r="GE93" s="311">
        <f t="shared" si="451"/>
        <v>1.4992024190475944E-2</v>
      </c>
      <c r="GF93" s="290">
        <f>GE93*(VLOOKUP($GC$9,各项系数!$D$1:$F$143,2,0))</f>
        <v>0.19339711205713969</v>
      </c>
      <c r="GG93" s="309">
        <f>IF($BK93&lt;&gt;$GG$9,0,各项系数!$F$76/4*($MS93^2-$MQ93^2)*10^-2*(VLOOKUP($GG$9,各项系数!$D$1:$F$143,3,0))*10^-3*10^2)*各项系数!$J$4</f>
        <v>0</v>
      </c>
      <c r="GH93" s="310">
        <v>1</v>
      </c>
      <c r="GI93" s="311">
        <f t="shared" si="452"/>
        <v>0</v>
      </c>
      <c r="GJ93" s="290">
        <f>GI93*(VLOOKUP($GG$9,各项系数!$D$1:$F$143,2,0))</f>
        <v>0</v>
      </c>
      <c r="GK93" s="309">
        <f>IF($BK93&lt;&gt;$GK$9,0,各项系数!$F$76/4*($MS93^2-$MQ93^2)*10^-2*(VLOOKUP($GK$9,各项系数!$D$1:$F$143,3,0))*10^-3*10^2)*各项系数!$J$4</f>
        <v>0</v>
      </c>
      <c r="GL93" s="310">
        <v>1</v>
      </c>
      <c r="GM93" s="311">
        <f t="shared" si="453"/>
        <v>0</v>
      </c>
      <c r="GN93" s="290">
        <f>GM93*(VLOOKUP($GK$9,各项系数!$D$1:$F$143,2,0))</f>
        <v>0</v>
      </c>
      <c r="GO93" s="311">
        <f t="shared" si="454"/>
        <v>1.4992024190475944E-2</v>
      </c>
      <c r="GP93" s="311">
        <f t="shared" si="455"/>
        <v>0.19339711205713969</v>
      </c>
      <c r="GQ93" s="317">
        <f>各项系数!$F$76/4*($MU93^2-$MS93^2)*10^-2*(VLOOKUP($S93,各项系数!$D$1:$F$143,3,0))*10^-3*10^2*各项系数!$J$4</f>
        <v>1.0246404275070848</v>
      </c>
      <c r="GR93" s="310">
        <v>1</v>
      </c>
      <c r="GS93" s="311">
        <f t="shared" si="456"/>
        <v>1.0246404275070848</v>
      </c>
      <c r="GT93" s="311">
        <f t="shared" si="457"/>
        <v>0</v>
      </c>
      <c r="GU93" s="311">
        <f>ROUND($GS93*(VLOOKUP($S93,各项系数!$D$1:$F$143,2,0))+$E$3*GS93,GT93)</f>
        <v>6</v>
      </c>
      <c r="GV93" s="315">
        <f>各项系数!$F$76/4*($MT93^2-$MS93^2)*10^-2*(VLOOKUP($GV$9,各项系数!$D$1:$F$143,3,0))*10^-3*10^2*各项系数!$J$4*PI()/4*R93</f>
        <v>7.7132487253679133E-2</v>
      </c>
      <c r="GW93" s="310">
        <v>1</v>
      </c>
      <c r="GX93" s="311">
        <f t="shared" si="458"/>
        <v>7.7132487253679133E-2</v>
      </c>
      <c r="GY93" s="311">
        <f>$GX93*(VLOOKUP($GV$9,各项系数!$D$1:$F$143,2,0))</f>
        <v>5.2064428896233412</v>
      </c>
      <c r="GZ93" s="317">
        <f>各项系数!$F$76/4*($MV93^2-$MS93^2)*10^-2*(VLOOKUP($GZ$9,各项系数!$D$1:$F$143,3,0))*10^-3*10^2*各项系数!$J$4</f>
        <v>0.76289171416531321</v>
      </c>
      <c r="HA93" s="310">
        <v>1</v>
      </c>
      <c r="HB93" s="311">
        <f t="shared" si="412"/>
        <v>0.76289171416531321</v>
      </c>
      <c r="HC93" s="311">
        <f>HB93*(VLOOKUP($GZ$9,各项系数!$D$1:$F$143,2,0))</f>
        <v>12.969159140810325</v>
      </c>
      <c r="HD93" s="317">
        <f>各项系数!$F$76/4*($MW93^2-$MT93^2)*10^-2*(VLOOKUP($HD$9,各项系数!$D$1:$F$143,3,0))*10^-3*10^2*各项系数!$J$4</f>
        <v>0.76499480938496134</v>
      </c>
      <c r="HE93" s="310">
        <v>1</v>
      </c>
      <c r="HF93" s="311">
        <f t="shared" si="413"/>
        <v>0.76499480938496134</v>
      </c>
      <c r="HG93" s="311">
        <f>HF93*(VLOOKUP($HD$9,各项系数!$D$1:$F$143,2,0))</f>
        <v>13.004911759544342</v>
      </c>
      <c r="HH93" s="317">
        <f>各项系数!$F$76/4*($MV93^2-$MS93^2)*10^-2*(VLOOKUP($HH$9,各项系数!$D$1:$F$143,3,0))*10^-3*10^2*各项系数!$J$4</f>
        <v>0.76289171416531321</v>
      </c>
      <c r="HI93" s="311">
        <v>1</v>
      </c>
      <c r="HJ93" s="311">
        <f t="shared" si="414"/>
        <v>0.76289171416531321</v>
      </c>
      <c r="HK93" s="311">
        <f>HJ93*(VLOOKUP($HH$9,各项系数!$D$1:$F$143,2,0))</f>
        <v>12.969159140810325</v>
      </c>
      <c r="HL93" s="317">
        <f>各项系数!$F$76/4*($MW93^2-$MT93^2)*10^-2*(VLOOKUP($HL$9,各项系数!$D$1:$F$143,3,0))*10^-3*10^2*各项系数!$J$4</f>
        <v>0.76499480938496134</v>
      </c>
      <c r="HM93" s="311">
        <v>1</v>
      </c>
      <c r="HN93" s="311">
        <f t="shared" si="362"/>
        <v>0.76499480938496134</v>
      </c>
      <c r="HO93" s="311">
        <f>HN93*(VLOOKUP($HL$9,各项系数!$D$1:$F$143,2,0))</f>
        <v>13.004911759544342</v>
      </c>
      <c r="HP93" s="317">
        <f>各项系数!$F$76/4*($MV93^2-$MS93^2)*10^-2*(VLOOKUP(AN93,各项系数!$D$1:$F$143,3,0))*10^-3*10^2*各项系数!$J$4</f>
        <v>0.77341435849862772</v>
      </c>
      <c r="HQ93" s="310">
        <v>1</v>
      </c>
      <c r="HR93" s="311">
        <f t="shared" si="459"/>
        <v>0.77341435849862772</v>
      </c>
      <c r="HS93" s="311">
        <f>HR93*(VLOOKUP(AN93,各项系数!$D$1:$F$143,2,0))</f>
        <v>7.7341435849862776</v>
      </c>
      <c r="HT93" s="317">
        <f>各项系数!$F$76/4*($MW93^2-$MT93^2)*10^-2*(VLOOKUP(AN93,各项系数!$D$1:$F$143,3,0))*10^-3*10^2*各项系数!$J$4</f>
        <v>0.77554646192820231</v>
      </c>
      <c r="HU93" s="310">
        <v>1</v>
      </c>
      <c r="HV93" s="311">
        <f t="shared" si="460"/>
        <v>0.77554646192820231</v>
      </c>
      <c r="HW93" s="311">
        <f>HV93*(VLOOKUP(AN93,各项系数!$D$1:$F$143,2,0))</f>
        <v>7.7554646192820229</v>
      </c>
      <c r="HX93" s="317">
        <f>各项系数!$F$76/4*($MV93^2-$MS93^2)*10^-2*(VLOOKUP($HX$9,各项系数!$D$1:$F$143,3,0))*10^-3*10^2*各项系数!$J$4</f>
        <v>0.77341435849862772</v>
      </c>
      <c r="HY93" s="311">
        <v>1</v>
      </c>
      <c r="HZ93" s="311">
        <f t="shared" si="461"/>
        <v>0.77341435849862772</v>
      </c>
      <c r="IA93" s="311">
        <f>HZ93*(VLOOKUP($HX$9,各项系数!$D$1:$F$143,2,0))</f>
        <v>8.5075579434849047</v>
      </c>
      <c r="IB93" s="317">
        <f>各项系数!$F$76/4*($MW93^2-$MT93^2)*10^-2*(VLOOKUP($IB$9,各项系数!$D$1:$F$143,3,0))*10^-3*10^2*各项系数!$J$4</f>
        <v>0.77554646192820231</v>
      </c>
      <c r="IC93" s="311">
        <v>1</v>
      </c>
      <c r="ID93" s="311">
        <f t="shared" si="462"/>
        <v>0.77554646192820231</v>
      </c>
      <c r="IE93" s="311">
        <f>ID93*(VLOOKUP($IB$9,各项系数!$D$1:$F$143,2,0))</f>
        <v>8.5310110812102256</v>
      </c>
      <c r="IF93" s="309"/>
      <c r="IG93" s="317">
        <f t="shared" si="415"/>
        <v>0.12277833654708421</v>
      </c>
      <c r="IH93" s="310">
        <v>1</v>
      </c>
      <c r="II93" s="311">
        <f t="shared" si="463"/>
        <v>0.12277833654708421</v>
      </c>
      <c r="IJ93" s="311">
        <f>II93*(VLOOKUP($IG$8,各项系数!$D$1:$F$143,2,0))</f>
        <v>3.0694584136771055</v>
      </c>
      <c r="IK93" s="317">
        <f>(各项系数!$F$76/4*($MX93^2-$MK93^2)*$EG93)*10^-2*(VLOOKUP($IG$8,各项系数!$D$1:$F$143,3,0))*10^-3*10^2*各项系数!$J$4</f>
        <v>0.12277833654708421</v>
      </c>
      <c r="IL93" s="310">
        <f>IK93*(VLOOKUP($IG$8,各项系数!$D$1:$F$143,2,0))</f>
        <v>3.0694584136771055</v>
      </c>
      <c r="IM93" s="311">
        <f>(各项系数!$F$76/4*(($MM93+3*$X93)^2-MM93^2)*$EO93)*10^-2*(VLOOKUP($IG$8,各项系数!$D$1:$F$143,3,0))*10^-3*10^2*各项系数!$J$4</f>
        <v>0</v>
      </c>
      <c r="IN93" s="310">
        <f>IM93*(VLOOKUP($IG$8,各项系数!$D$1:$F$143,2,0))</f>
        <v>0</v>
      </c>
      <c r="IO93" s="317">
        <f>各项系数!$F$76/4*($MZ93^2-$MX93^2)*10^-2*(VLOOKUP(L93,各项系数!$D$1:$F$143,3,0))*10^-3*10^2*$ES93*各项系数!$J$4</f>
        <v>0.53246450829522141</v>
      </c>
      <c r="IP93" s="310">
        <v>1</v>
      </c>
      <c r="IQ93" s="311">
        <f t="shared" si="464"/>
        <v>0.53246450829522141</v>
      </c>
      <c r="IR93" s="290">
        <f>IQ93*(VLOOKUP(L93,各项系数!$D$1:$F$143,2,0))</f>
        <v>5.431137984611258</v>
      </c>
      <c r="IS93" s="317">
        <f>IF($L93&lt;&gt;$IS$9,0,各项系数!$F$76/4*($MZ93^2-$MX93^2)*10^-2*各项系数!$F$12*10^-3*10^2)*$ES93*各项系数!$J$4</f>
        <v>0</v>
      </c>
      <c r="IT93" s="310">
        <v>1</v>
      </c>
      <c r="IU93" s="311">
        <f t="shared" si="465"/>
        <v>0</v>
      </c>
      <c r="IV93" s="290">
        <f>IU93*各项系数!$E$12</f>
        <v>0</v>
      </c>
      <c r="IW93" s="309">
        <f t="shared" si="466"/>
        <v>0.53246450829522141</v>
      </c>
      <c r="IX93" s="309">
        <f t="shared" si="467"/>
        <v>5.431137984611258</v>
      </c>
      <c r="IY93" s="339">
        <f>各项系数!$F$76/4*($NB93^2-$MZ93^2*$EG93-$NA93^2*$EO93)*10^-2</f>
        <v>7.8991075857066146</v>
      </c>
      <c r="IZ93" s="284">
        <f t="shared" si="487"/>
        <v>1</v>
      </c>
      <c r="JA93" s="285">
        <f t="shared" si="363"/>
        <v>7.8991075857066146</v>
      </c>
      <c r="JB93" s="289">
        <f>IF($DE93&lt;&gt;$JB$9,0,$JA93*各项系数!$F$32*10^-3*10^2)*各项系数!$J$4</f>
        <v>0</v>
      </c>
      <c r="JC93" s="106">
        <v>1</v>
      </c>
      <c r="JD93" s="78">
        <f t="shared" si="468"/>
        <v>0</v>
      </c>
      <c r="JE93" s="264">
        <f>JD93*各项系数!$E$32</f>
        <v>0</v>
      </c>
      <c r="JF93" s="282">
        <f>IF($DE93&lt;&gt;$JF$9,0,$JA93*VLOOKUP($JF$9,各项系数!$D$4:$F$540,2,0)*10^-3*10^2)*各项系数!$J$4</f>
        <v>3.9298060238890407</v>
      </c>
      <c r="JG93" s="102">
        <v>1</v>
      </c>
      <c r="JH93" s="189">
        <f t="shared" si="364"/>
        <v>3.9298060238890407</v>
      </c>
      <c r="JI93" s="262">
        <f>JH93*VLOOKUP($JF$9,各项系数!$D$4:$F$540,3,0)</f>
        <v>4.7157672286668486</v>
      </c>
      <c r="JJ93" s="289">
        <f t="shared" si="469"/>
        <v>3.9298060238890407</v>
      </c>
      <c r="JK93" s="78">
        <f t="shared" si="470"/>
        <v>4.7157672286668486</v>
      </c>
      <c r="JL93" s="289">
        <f>IF($DF93&lt;&gt;$JL$9,0,各项系数!$F$76/4*($NE93^2-$NC93^2)*10^-2*各项系数!$F$39*10^-3*10^2)*各项系数!$J$4</f>
        <v>6.3809539326814095E-3</v>
      </c>
      <c r="JM93" s="106">
        <v>1</v>
      </c>
      <c r="JN93" s="78">
        <f t="shared" si="471"/>
        <v>6.3809539326814095E-3</v>
      </c>
      <c r="JO93" s="264">
        <f>JN93*各项系数!$E$39</f>
        <v>0.1276190786536282</v>
      </c>
      <c r="JP93" s="289">
        <f>IF($DF93&lt;&gt;$JP$9,0,各项系数!$F$76/4*($NE93^2-$NC93^2)*10^-2*各项系数!$F$36*10^-3*10^2)*各项系数!$J$4</f>
        <v>0</v>
      </c>
      <c r="JQ93" s="106">
        <v>1</v>
      </c>
      <c r="JR93" s="78">
        <f t="shared" si="472"/>
        <v>0</v>
      </c>
      <c r="JS93" s="264">
        <f>JR93*各项系数!$E$36</f>
        <v>0</v>
      </c>
      <c r="JT93" s="289">
        <f>IF($DF93&lt;&gt;$JT$9,0,各项系数!$F$76/4*($NE93^2-$NC93^2)*10^-2*各项系数!$F$40*10^-3*10^2)*各项系数!$J$4</f>
        <v>0</v>
      </c>
      <c r="JU93" s="106">
        <v>1</v>
      </c>
      <c r="JV93" s="78">
        <f t="shared" si="473"/>
        <v>0</v>
      </c>
      <c r="JW93" s="264">
        <f>JV93*各项系数!$E$40</f>
        <v>0</v>
      </c>
      <c r="JX93" s="289">
        <f>IF($DF93&lt;&gt;$JX$9,0,各项系数!$F$76/4*($NE93^2-$NC93^2)*10^-2*各项系数!$F$38*10^-3*10^2)*各项系数!$J$4</f>
        <v>0</v>
      </c>
      <c r="JY93" s="106">
        <v>1</v>
      </c>
      <c r="JZ93" s="78">
        <f t="shared" si="474"/>
        <v>0</v>
      </c>
      <c r="KA93" s="264">
        <f>JZ93*各项系数!$E$38</f>
        <v>0</v>
      </c>
      <c r="KB93" s="289">
        <f>IF($DF93&lt;&gt;$KB$9,0,各项系数!$F$76/4*($NE93^2-$NC93^2)*10^-2*各项系数!$F$41*10^-3*10^2)*各项系数!$J$4</f>
        <v>0</v>
      </c>
      <c r="KC93" s="106">
        <v>1</v>
      </c>
      <c r="KD93" s="78">
        <f t="shared" si="475"/>
        <v>0</v>
      </c>
      <c r="KE93" s="264">
        <f>KD93*各项系数!$E$41</f>
        <v>0</v>
      </c>
      <c r="KF93" s="78">
        <f t="shared" si="476"/>
        <v>6.3809539326814095E-3</v>
      </c>
      <c r="KG93" s="78">
        <f t="shared" si="477"/>
        <v>0.1276190786536282</v>
      </c>
      <c r="KH93" s="237">
        <f>各项系数!$F$76/4*($NG93^2-$NE93^2)*10^-2*各项系数!$F$44*10^-3*10^2*各项系数!$J$4*0.75*$U93</f>
        <v>1.5832705916888952</v>
      </c>
      <c r="KI93" s="106">
        <v>1</v>
      </c>
      <c r="KJ93" s="78">
        <f t="shared" si="478"/>
        <v>1.5832705916888952</v>
      </c>
      <c r="KK93" s="78">
        <f>ROUND(KJ93*各项系数!$E$43,GT93)</f>
        <v>9</v>
      </c>
      <c r="KL93" s="235">
        <f>各项系数!$F$76/4*($NF93^2-$NE93^2)*10^-2*各项系数!$F$46*10^-3*10^2*各项系数!$J$4*PI()/4*R93</f>
        <v>7.9484754475913175E-2</v>
      </c>
      <c r="KM93" s="106">
        <v>1</v>
      </c>
      <c r="KN93" s="78">
        <f t="shared" si="479"/>
        <v>7.9484754475913175E-2</v>
      </c>
      <c r="KO93" s="78">
        <f>KN93*各项系数!$E$46</f>
        <v>5.3652209271241391</v>
      </c>
      <c r="KP93" s="237">
        <f>各项系数!$F$76/4*($NH93^2-$NE93^2)*10^-2*(VLOOKUP($KP$9,各项系数!$D$1:$F$143,3,0))*10^-3*10^2*各项系数!$J$4</f>
        <v>0.78502679135211328</v>
      </c>
      <c r="KQ93" s="106">
        <v>1</v>
      </c>
      <c r="KR93" s="78">
        <f t="shared" si="416"/>
        <v>0.78502679135211328</v>
      </c>
      <c r="KS93" s="78">
        <f>KR93*(VLOOKUP($KP$9,各项系数!$D$1:$F$143,2,0))</f>
        <v>13.345455452985926</v>
      </c>
      <c r="KT93" s="237">
        <f>各项系数!$F$76/4*($NI93^2-$NF93^2)*10^-2*(VLOOKUP($KT$9,各项系数!$D$1:$F$143,3,0))*10^-3*10^2*各项系数!$J$4</f>
        <v>0.78712988657176208</v>
      </c>
      <c r="KU93" s="106">
        <v>1</v>
      </c>
      <c r="KV93" s="78">
        <f t="shared" si="417"/>
        <v>0.78712988657176208</v>
      </c>
      <c r="KW93" s="78">
        <f>KV93*(VLOOKUP($KT$9,各项系数!$D$1:$F$143,2,0))</f>
        <v>13.381208071719955</v>
      </c>
      <c r="KX93" s="78">
        <f>各项系数!$F$76/4*($NH93^2-$NE93^2)*10^-2*(VLOOKUP($KX$9,各项系数!$D$1:$F$143,3,0))*10^-3*10^2*各项系数!$J$4</f>
        <v>0.78502679135211328</v>
      </c>
      <c r="KY93" s="355">
        <v>1</v>
      </c>
      <c r="KZ93" s="78">
        <f t="shared" si="418"/>
        <v>0.78502679135211328</v>
      </c>
      <c r="LA93" s="78">
        <f>KZ93*(VLOOKUP($KX$9,各项系数!$D$1:$F$143,2,0))</f>
        <v>13.345455452985926</v>
      </c>
      <c r="LB93" s="78">
        <f>各项系数!$F$76/4*($NI93^2-$NF93^2)*10^-2*(VLOOKUP($LB$9,各项系数!$D$1:$F$143,3,0))*10^-3*10^2*各项系数!$J$4</f>
        <v>0.78712988657176208</v>
      </c>
      <c r="LC93" s="355">
        <v>1</v>
      </c>
      <c r="LD93" s="78">
        <f t="shared" si="419"/>
        <v>0.78712988657176208</v>
      </c>
      <c r="LE93" s="78">
        <f>LD93*(VLOOKUP($LB$9,各项系数!$D$1:$F$143,2,0))</f>
        <v>13.381208071719955</v>
      </c>
      <c r="LF93" s="237">
        <f>各项系数!$F$76/4*($NH93^2-$NE93^2)*10^-2*(VLOOKUP(AN93,各项系数!$D$1:$F$143,3,0))*10^-3*10^2*各项系数!$J$4</f>
        <v>0.79585474709490123</v>
      </c>
      <c r="LG93" s="106">
        <v>1</v>
      </c>
      <c r="LH93" s="78">
        <f t="shared" si="480"/>
        <v>0.79585474709490123</v>
      </c>
      <c r="LI93" s="78">
        <f>LH93*(VLOOKUP(AN93,各项系数!$D$1:$F$143,2,0))</f>
        <v>7.9585474709490125</v>
      </c>
      <c r="LJ93" s="237">
        <f>各项系数!$F$76/4*($NI93^2-$NF93^2)*10^-2*(VLOOKUP(AN93,各项系数!$D$1:$F$143,3,0))*10^-3*10^2*各项系数!$J$4</f>
        <v>0.79798685052447604</v>
      </c>
      <c r="LK93" s="106">
        <v>1</v>
      </c>
      <c r="LL93" s="78">
        <f t="shared" si="481"/>
        <v>0.79798685052447604</v>
      </c>
      <c r="LM93" s="78">
        <f>LL93*(VLOOKUP(AN93,各项系数!$D$1:$F$143,2,0))</f>
        <v>7.9798685052447604</v>
      </c>
      <c r="LN93" s="78">
        <f>各项系数!$F$76/4*($NH93^2-$NE93^2)*10^-2*(VLOOKUP($LN$9,各项系数!$D$1:$F$143,3,0))*10^-3*10^2*各项系数!$J$4</f>
        <v>0.79585474709490123</v>
      </c>
      <c r="LO93" s="355">
        <v>1</v>
      </c>
      <c r="LP93" s="78">
        <f t="shared" si="482"/>
        <v>0.79585474709490123</v>
      </c>
      <c r="LQ93" s="78">
        <f>LP93*(VLOOKUP($LN$9,各项系数!$D$1:$F$143,2,0))</f>
        <v>8.7544022180439143</v>
      </c>
      <c r="LR93" s="78">
        <f>各项系数!$F$76/4*($NI93^2-$NF93^2)*10^-2*(VLOOKUP($LR$9,各项系数!$D$1:$F$143,3,0))*10^-3*10^2*各项系数!$J$4</f>
        <v>0.79798685052447604</v>
      </c>
      <c r="LS93" s="355">
        <v>1</v>
      </c>
      <c r="LT93" s="78">
        <f t="shared" si="483"/>
        <v>0.79798685052447604</v>
      </c>
      <c r="LU93" s="78">
        <f>LT93*(VLOOKUP($LR$9,各项系数!$D$1:$F$143,2,0))</f>
        <v>8.7778553557692369</v>
      </c>
      <c r="LV93" s="367">
        <f t="shared" si="420"/>
        <v>1155.9413373499999</v>
      </c>
      <c r="LW93" s="367">
        <f t="shared" si="421"/>
        <v>872.85366290000002</v>
      </c>
      <c r="LX93" s="367">
        <f t="shared" si="422"/>
        <v>33.336943476737865</v>
      </c>
      <c r="LY93" s="367">
        <f t="shared" si="423"/>
        <v>283.08767444999989</v>
      </c>
      <c r="LZ93" s="374">
        <f t="shared" si="365"/>
        <v>1</v>
      </c>
      <c r="MA93" s="375">
        <f t="shared" si="366"/>
        <v>1155.9413373499999</v>
      </c>
      <c r="MB93" s="367">
        <f t="shared" si="424"/>
        <v>17.156865809999999</v>
      </c>
      <c r="MC93" s="367">
        <f t="shared" si="425"/>
        <v>0</v>
      </c>
      <c r="MD93" s="367">
        <f t="shared" si="426"/>
        <v>0</v>
      </c>
      <c r="ME93" s="367">
        <f t="shared" si="427"/>
        <v>0</v>
      </c>
      <c r="MF93" s="367">
        <f t="shared" si="428"/>
        <v>0</v>
      </c>
      <c r="MG93" s="379">
        <f t="shared" si="429"/>
        <v>1</v>
      </c>
      <c r="MH93" s="375">
        <f t="shared" si="367"/>
        <v>0</v>
      </c>
      <c r="MI93" s="367">
        <f t="shared" si="430"/>
        <v>0</v>
      </c>
      <c r="MJ93" s="78">
        <f t="shared" si="368"/>
        <v>17.156865809999999</v>
      </c>
      <c r="MK93" s="78">
        <f t="shared" si="431"/>
        <v>17.156865809999999</v>
      </c>
      <c r="ML93" s="78">
        <f t="shared" si="484"/>
        <v>0</v>
      </c>
      <c r="MM93" s="78">
        <f t="shared" si="369"/>
        <v>0</v>
      </c>
      <c r="MN93" s="78">
        <f t="shared" si="370"/>
        <v>20.356865809999999</v>
      </c>
      <c r="MO93" s="189">
        <f t="shared" si="432"/>
        <v>0</v>
      </c>
      <c r="MP93" s="78">
        <f t="shared" si="433"/>
        <v>54.963537690000003</v>
      </c>
      <c r="MQ93" s="78">
        <f t="shared" si="485"/>
        <v>54.963537690000003</v>
      </c>
      <c r="MR93" s="246">
        <f t="shared" si="434"/>
        <v>54.963537690000003</v>
      </c>
      <c r="MS93" s="380">
        <f t="shared" si="371"/>
        <v>55.139537690000004</v>
      </c>
      <c r="MT93" s="382">
        <f t="shared" si="372"/>
        <v>55.299537690000001</v>
      </c>
      <c r="MU93" s="382">
        <f t="shared" si="373"/>
        <v>56.639537690000004</v>
      </c>
      <c r="MV93" s="382">
        <f t="shared" si="374"/>
        <v>60.939537690000002</v>
      </c>
      <c r="MW93" s="382">
        <f t="shared" si="375"/>
        <v>61.099537689999998</v>
      </c>
      <c r="MX93" s="246">
        <f t="shared" si="376"/>
        <v>17.756865810000001</v>
      </c>
      <c r="MY93" s="246">
        <f t="shared" si="377"/>
        <v>0</v>
      </c>
      <c r="MZ93" s="78">
        <f t="shared" si="378"/>
        <v>20.95686581</v>
      </c>
      <c r="NA93" s="78">
        <f t="shared" si="379"/>
        <v>0</v>
      </c>
      <c r="NB93" s="78">
        <f t="shared" si="435"/>
        <v>56.58353769</v>
      </c>
      <c r="NC93" s="246">
        <f t="shared" si="486"/>
        <v>56.58353769</v>
      </c>
      <c r="ND93" s="246">
        <f t="shared" si="436"/>
        <v>56.58353769</v>
      </c>
      <c r="NE93" s="386">
        <f t="shared" si="437"/>
        <v>56.823537690000002</v>
      </c>
      <c r="NF93" s="382">
        <f t="shared" si="380"/>
        <v>56.983537689999999</v>
      </c>
      <c r="NG93" s="150">
        <f t="shared" si="381"/>
        <v>58.323537690000002</v>
      </c>
      <c r="NH93" s="246">
        <f t="shared" si="382"/>
        <v>62.623537689999999</v>
      </c>
      <c r="NI93" s="382">
        <f t="shared" si="383"/>
        <v>62.783537689999996</v>
      </c>
      <c r="NK93" s="390">
        <f t="shared" si="384"/>
        <v>10.030971103543166</v>
      </c>
      <c r="NL93" s="390">
        <f t="shared" si="385"/>
        <v>529.16288033658032</v>
      </c>
      <c r="NM93" s="390">
        <f t="shared" si="386"/>
        <v>10.030971103543166</v>
      </c>
      <c r="NN93" s="390">
        <f t="shared" si="387"/>
        <v>529.93629469507891</v>
      </c>
      <c r="NO93" s="390">
        <f t="shared" si="388"/>
        <v>13.223968324153109</v>
      </c>
      <c r="NP93" s="390">
        <f t="shared" si="389"/>
        <v>534.60531608937674</v>
      </c>
      <c r="NQ93" s="390">
        <f t="shared" si="390"/>
        <v>13.223968324153109</v>
      </c>
      <c r="NR93" s="390">
        <f t="shared" si="391"/>
        <v>535.40117083647169</v>
      </c>
      <c r="NS93" s="390">
        <f t="shared" si="392"/>
        <v>10.108103590796846</v>
      </c>
      <c r="NT93" s="390">
        <f t="shared" si="393"/>
        <v>10.108103590796846</v>
      </c>
      <c r="NU93" s="390">
        <f t="shared" si="394"/>
        <v>13.303453078629023</v>
      </c>
      <c r="NV93" s="390">
        <f t="shared" si="395"/>
        <v>13.303453078629023</v>
      </c>
      <c r="NW93" s="9">
        <f t="shared" si="396"/>
        <v>11.055611531050252</v>
      </c>
      <c r="NX93" s="9">
        <f>各项系数!$M$9*NK93</f>
        <v>3.0092913310629497</v>
      </c>
      <c r="NY93" s="9">
        <f t="shared" si="397"/>
        <v>10.108103590796846</v>
      </c>
    </row>
    <row r="94" spans="1:389" s="9" customFormat="1" ht="15" hidden="1" customHeight="1">
      <c r="A94" s="65"/>
      <c r="B94" s="66"/>
      <c r="C94" s="67"/>
      <c r="D94" s="58" t="s">
        <v>925</v>
      </c>
      <c r="E94" s="399">
        <f t="shared" si="325"/>
        <v>69.842605219999996</v>
      </c>
      <c r="F94" s="68">
        <f>$F$30</f>
        <v>246.701228113631</v>
      </c>
      <c r="G94" s="58"/>
      <c r="H94" s="16"/>
      <c r="I94" s="62"/>
      <c r="J94" s="16"/>
      <c r="K94" s="16"/>
      <c r="L94" s="107" t="s">
        <v>467</v>
      </c>
      <c r="M94" s="98">
        <f t="shared" si="339"/>
        <v>1.7</v>
      </c>
      <c r="N94" s="98">
        <f t="shared" si="340"/>
        <v>0</v>
      </c>
      <c r="O94" s="58">
        <f t="shared" si="488"/>
        <v>0.08</v>
      </c>
      <c r="P94" s="99">
        <v>0.1</v>
      </c>
      <c r="Q94" s="136">
        <f t="shared" ref="Q94:Q103" si="489">$Q$12</f>
        <v>0.1</v>
      </c>
      <c r="R94" s="151">
        <v>0.8</v>
      </c>
      <c r="S94" s="144" t="str">
        <f>各项系数!$D$43</f>
        <v>钢带</v>
      </c>
      <c r="T94" s="62">
        <v>0.5</v>
      </c>
      <c r="U94" s="62">
        <v>2</v>
      </c>
      <c r="V94" s="143"/>
      <c r="W94" s="145">
        <v>3.1</v>
      </c>
      <c r="X94" s="139">
        <f t="shared" ref="X94:X103" si="490">$X$12</f>
        <v>0.2</v>
      </c>
      <c r="Y94" s="139"/>
      <c r="Z94" s="169"/>
      <c r="AA94" s="170">
        <f>$AA$30</f>
        <v>1.0149999999999999</v>
      </c>
      <c r="AB94" s="153">
        <f>PI()*EJ94*EJ94/4*EH94*(1-H94)*AA94*各项系数!$F$5*各项系数!$J$4*10^-7</f>
        <v>2.05998769246807</v>
      </c>
      <c r="AC94" s="170">
        <f t="shared" si="327"/>
        <v>246.701228113631</v>
      </c>
      <c r="AD94" s="153">
        <f t="shared" si="341"/>
        <v>232.88407080035392</v>
      </c>
      <c r="AE94" s="153">
        <f>POWER(4*EU94/PI()/EG94/10^-7/EH94/(1-H94)/各项系数!$F$5/各项系数!$J$4,0.5)</f>
        <v>248.54460040818714</v>
      </c>
      <c r="AF94" s="16">
        <v>1</v>
      </c>
      <c r="AG94" s="16">
        <f>IF(EM94=0,0,PI()*ER94*ER94/4*EP94*(1-K94)*(1+AF94)*各项系数!$F$5*各项系数!$J$4*10^-7)</f>
        <v>0</v>
      </c>
      <c r="AH94" s="16">
        <f t="shared" si="328"/>
        <v>0</v>
      </c>
      <c r="AI94" s="69">
        <f t="shared" si="398"/>
        <v>0</v>
      </c>
      <c r="AJ94" s="69">
        <f>IF(OR(EP94="",EP94=0),0,POWER(4*EW94/PI()/EO94/10^-7/EP94/(1-K94)/各项系数!$F$5/各项系数!$J$4,0.5))</f>
        <v>0</v>
      </c>
      <c r="AK94" s="16" t="str">
        <f t="shared" si="342"/>
        <v>√</v>
      </c>
      <c r="AL94" s="16">
        <f t="shared" si="329"/>
        <v>715.97446138097575</v>
      </c>
      <c r="AM94" s="106">
        <f t="shared" si="330"/>
        <v>240</v>
      </c>
      <c r="AN94" s="107" t="s">
        <v>486</v>
      </c>
      <c r="AO94" s="146">
        <f>AP94+各项系数!$M$9*$NK94</f>
        <v>701.93574645193701</v>
      </c>
      <c r="AP94" s="146">
        <f>AQ94*(1+$BI94+(VLOOKUP($AM94,$A$12:$B$323,2,0))+各项系数!$J$6+各项系数!$M$5)*(1+$E$2)</f>
        <v>698.00818587173114</v>
      </c>
      <c r="AQ94" s="199">
        <f>AR94+各项系数!$L$9*$NK94</f>
        <v>712.25325088952161</v>
      </c>
      <c r="AR94" s="199">
        <f>AS94*(1+$BJ94+各项系数!$J$5+各项系数!$L$5)</f>
        <v>708.32569030931575</v>
      </c>
      <c r="AS94" s="199">
        <f t="shared" si="399"/>
        <v>694.43695128364288</v>
      </c>
      <c r="AT94" s="146">
        <f>AU94+各项系数!$M$9*$NM94</f>
        <v>708.36835510056289</v>
      </c>
      <c r="AU94" s="146">
        <f>AV94*(1+$BI94+(VLOOKUP($AM94,$A$12:$B$323,2,0))+各项系数!$J$6+各项系数!$M$5)*(1+$E$2)</f>
        <v>704.44079452035703</v>
      </c>
      <c r="AV94" s="199">
        <f>AW94+各项系数!$L$9*$NM94</f>
        <v>718.81713726567045</v>
      </c>
      <c r="AW94" s="199">
        <f>AX94*(1+$BJ94+各项系数!$J$5+各项系数!$L$5)</f>
        <v>714.88957668546459</v>
      </c>
      <c r="AX94" s="199">
        <f t="shared" si="400"/>
        <v>700.87213400535745</v>
      </c>
      <c r="AY94" s="146">
        <f>AZ94+各项系数!$M$9*$NS94</f>
        <v>708.0171625761717</v>
      </c>
      <c r="AZ94" s="146">
        <f>BA94*(1+$BI94+(VLOOKUP($AM94,$A$12:$B$214,2,0))+各项系数!$J$6+各项系数!$M$5)*(1+$E$2)</f>
        <v>704.0628990395096</v>
      </c>
      <c r="BA94" s="199">
        <f>BB94+各项系数!$L$9*$NS94</f>
        <v>718.43152963215266</v>
      </c>
      <c r="BB94" s="199">
        <f>BC94*(1+$BJ94+各项系数!$J$5+各项系数!$L$5)</f>
        <v>714.47726609549056</v>
      </c>
      <c r="BC94" s="199">
        <f t="shared" si="401"/>
        <v>700.46790793675541</v>
      </c>
      <c r="BD94" s="146">
        <f>BE94+各项系数!$M$9*$NS94</f>
        <v>714.46519192017468</v>
      </c>
      <c r="BE94" s="146">
        <f>BF94*(1+$BI94+(VLOOKUP($AM94,$A$12:$B$214,2,0))+各项系数!$J$6+各项系数!$M$5)*(1+$E$2)</f>
        <v>710.51092838351258</v>
      </c>
      <c r="BF94" s="199">
        <f>BG94+各项系数!$L$9*$NS94</f>
        <v>725.01115141174751</v>
      </c>
      <c r="BG94" s="199">
        <f>BH94*(1+$BJ94+各项系数!$J$5+各项系数!$L$5)</f>
        <v>721.05688787508541</v>
      </c>
      <c r="BH94" s="199">
        <f t="shared" si="402"/>
        <v>706.91851752459354</v>
      </c>
      <c r="BI94" s="214"/>
      <c r="BJ94" s="215"/>
      <c r="BK94" s="78" t="s">
        <v>514</v>
      </c>
      <c r="BL94" s="146">
        <f>BM94+各项系数!$M$9*$NM94</f>
        <v>709.70089088162911</v>
      </c>
      <c r="BM94" s="146">
        <f>BN94*(1+$CF94+(VLOOKUP($AM94,$A$12:$B$323,2,0))+各项系数!$J$6+各项系数!$M$5)*(1+$E$2)</f>
        <v>705.77333030142324</v>
      </c>
      <c r="BN94" s="199">
        <f>BO94+各项系数!$L$9*$NM94</f>
        <v>720.17686765451356</v>
      </c>
      <c r="BO94" s="199">
        <f>BP94*(1+$CG94+各项系数!$J$5+各项系数!$L$5)</f>
        <v>716.24930707430769</v>
      </c>
      <c r="BP94" s="199">
        <f t="shared" si="403"/>
        <v>695.38767677117255</v>
      </c>
      <c r="BQ94" s="146">
        <f>BR94+各项系数!$M$9*$NM94</f>
        <v>715.23690201381544</v>
      </c>
      <c r="BR94" s="146">
        <f>BS94*(1+$CF94+(VLOOKUP($AM94,$A$12:$B$323,2,0))+各项系数!$J$6+各项系数!$M$5)*(1+$E$2)</f>
        <v>711.30934143360957</v>
      </c>
      <c r="BS94" s="199">
        <f>BT94+各项系数!$L$9*$NM94</f>
        <v>725.82585860572408</v>
      </c>
      <c r="BT94" s="199">
        <f>BU94*(1+$CG94+各项系数!$J$5+各项系数!$L$5)</f>
        <v>721.89829802551822</v>
      </c>
      <c r="BU94" s="199">
        <f t="shared" si="404"/>
        <v>700.87213400535745</v>
      </c>
      <c r="BV94" s="146">
        <f>BW94+各项系数!$M$9*$NT94</f>
        <v>711.97663081923611</v>
      </c>
      <c r="BW94" s="146">
        <f>BX94*(1+$CF94+(VLOOKUP($AM94,$A$12:$B$214,2,0))+各项系数!$J$6+各项系数!$M$5)*(1+$E$2)</f>
        <v>708.02236728257401</v>
      </c>
      <c r="BX94" s="199">
        <f>BY94+各项系数!$L$9*$NT$12</f>
        <v>722.47180334956533</v>
      </c>
      <c r="BY94" s="199">
        <f>BZ94*(1+$CG94+各项系数!$J$5+各项系数!$L$5)</f>
        <v>722.46353994641038</v>
      </c>
      <c r="BZ94" s="199">
        <f t="shared" si="343"/>
        <v>701.42091256933043</v>
      </c>
      <c r="CA94" s="146">
        <f>CB94+各项系数!$M$9*$NT94</f>
        <v>717.5259132610787</v>
      </c>
      <c r="CB94" s="146">
        <f>CC94*(1+$CF94+(VLOOKUP($AM94,$A$12:$B$214,2,0))+各项系数!$J$6+各项系数!$M$5)*(1+$E$2)</f>
        <v>713.5716497244166</v>
      </c>
      <c r="CC94" s="199">
        <f>CD94+各项系数!$L$9*$NT$12</f>
        <v>728.1343364534863</v>
      </c>
      <c r="CD94" s="199">
        <f>CE94*(1+$CG94+各项系数!$J$5+各项系数!$L$5)</f>
        <v>728.12607305033134</v>
      </c>
      <c r="CE94" s="199">
        <f t="shared" si="405"/>
        <v>706.91851752459354</v>
      </c>
      <c r="CF94" s="214">
        <f t="shared" si="406"/>
        <v>0</v>
      </c>
      <c r="CG94" s="214">
        <f t="shared" si="344"/>
        <v>0.01</v>
      </c>
      <c r="CH94" s="106"/>
      <c r="CI94" s="146">
        <f>CJ94+各项系数!$M$9*$NO94</f>
        <v>714.95857637282859</v>
      </c>
      <c r="CJ94" s="146">
        <f>CK94*(1+$DC94+(VLOOKUP($AM94,$A$12:$B$323,2,0))+各项系数!$J$6+各项系数!$M$5)*(1+$E$2)+各项系数!$M$9*$NK94</f>
        <v>709.77456834248812</v>
      </c>
      <c r="CK94" s="199">
        <f>CL94+各项系数!$L$9*$NO94</f>
        <v>720.25204873702273</v>
      </c>
      <c r="CL94" s="199">
        <f>CM94*(1+$DD94+各项系数!$J$5+各项系数!$L$5)</f>
        <v>715.06804070668227</v>
      </c>
      <c r="CM94" s="199">
        <f t="shared" si="345"/>
        <v>701.04709873204138</v>
      </c>
      <c r="CN94" s="146">
        <f>CO94+各项系数!$M$9*$NO94</f>
        <v>721.15140095743152</v>
      </c>
      <c r="CO94" s="146">
        <f>CP94*(1+$DC94+(VLOOKUP($AM94,$A$12:$B$323,2,0))+各项系数!$J$6+各项系数!$M$5)*(1+$E$2)+各项系数!$M$9*$NK94</f>
        <v>715.96739292709105</v>
      </c>
      <c r="CP94" s="199">
        <f>CQ94+各项系数!$L$9*$NO94</f>
        <v>726.57125749682166</v>
      </c>
      <c r="CQ94" s="199">
        <f>CR94*(1+$DD94+各项系数!$J$5+各项系数!$L$5)</f>
        <v>721.38724946648119</v>
      </c>
      <c r="CR94" s="199">
        <f t="shared" si="346"/>
        <v>707.2424014377267</v>
      </c>
      <c r="CS94" s="146">
        <f>CT94+各项系数!$M$9*$NU94</f>
        <v>717.27254368987326</v>
      </c>
      <c r="CT94" s="146">
        <f t="shared" si="347"/>
        <v>712.06112702290989</v>
      </c>
      <c r="CU94" s="199">
        <f>CV94+各项系数!$L$9*$NU94</f>
        <v>726.59298675807133</v>
      </c>
      <c r="CV94" s="199">
        <f>CW94*(1+$DD94+各项系数!$J$5+各项系数!$L$5)</f>
        <v>721.38157009110796</v>
      </c>
      <c r="CW94" s="199">
        <f t="shared" si="348"/>
        <v>707.23683342265485</v>
      </c>
      <c r="CX94" s="146">
        <f>CY94+各项系数!$M$9*$NU94</f>
        <v>723.88287585272155</v>
      </c>
      <c r="CY94" s="146">
        <f t="shared" si="349"/>
        <v>718.67145918575818</v>
      </c>
      <c r="CZ94" s="199">
        <f>DA94+各项系数!$L$9*$NU94</f>
        <v>733.33822365893695</v>
      </c>
      <c r="DA94" s="199">
        <f>DB94*(1+$DD94+各项系数!$J$5+各项系数!$L$5)</f>
        <v>728.12680699197358</v>
      </c>
      <c r="DB94" s="199">
        <f t="shared" si="350"/>
        <v>713.84981077644466</v>
      </c>
      <c r="DC94" s="214">
        <f t="shared" si="407"/>
        <v>0</v>
      </c>
      <c r="DD94" s="214">
        <f t="shared" si="351"/>
        <v>0</v>
      </c>
      <c r="DE94" s="78" t="s">
        <v>498</v>
      </c>
      <c r="DF94" s="78" t="s">
        <v>513</v>
      </c>
      <c r="DG94" s="146">
        <f>DH94+各项系数!$M$9*$NQ94</f>
        <v>722.81271373633297</v>
      </c>
      <c r="DH94" s="146">
        <f>DI94*(1+$EA94+(VLOOKUP($AM94,$A$12:$B$323,2,0))+各项系数!$J$6+各项系数!$M$5)*(1+$E$2)+各项系数!$M$9*$NK94</f>
        <v>717.6287057059925</v>
      </c>
      <c r="DI94" s="199">
        <f>DJ94+各项系数!$L$9*$NQ94</f>
        <v>728.26647461814969</v>
      </c>
      <c r="DJ94" s="199">
        <f>DK94*(1+$EB94+各项系数!$J$5+各项系数!$L$5)</f>
        <v>723.08246658780922</v>
      </c>
      <c r="DK94" s="199">
        <f t="shared" si="352"/>
        <v>702.02181222117395</v>
      </c>
      <c r="DL94" s="146">
        <f>DM94+各项系数!$M$9*$NQ94</f>
        <v>728.48840540265269</v>
      </c>
      <c r="DM94" s="146">
        <f>DN94*(1+$EA94+(VLOOKUP($AM94,$A$12:$B$323,2,0))+各项系数!$J$6+各项系数!$M$5)*(1+$E$2)+各项系数!$M$9*$NK94</f>
        <v>723.30439737231222</v>
      </c>
      <c r="DN94" s="199">
        <f>DO94+各项系数!$L$9*$NQ94</f>
        <v>734.0579967266392</v>
      </c>
      <c r="DO94" s="199">
        <f>DP94*(1+$EB94+各项系数!$J$5+各项系数!$L$5)</f>
        <v>728.87398869629874</v>
      </c>
      <c r="DP94" s="199">
        <f t="shared" si="353"/>
        <v>707.6446492197075</v>
      </c>
      <c r="DQ94" s="146">
        <f>DR94+各项系数!$M$9*$NV94</f>
        <v>725.18964102235441</v>
      </c>
      <c r="DR94" s="146">
        <f t="shared" si="354"/>
        <v>719.97822435539103</v>
      </c>
      <c r="DS94" s="199">
        <f>DT94+各项系数!$L$9*$NV94</f>
        <v>734.67165750550112</v>
      </c>
      <c r="DT94" s="199">
        <f>DU94*(1+$EB94+各项系数!$J$5+各项系数!$L$5)</f>
        <v>729.46024083853774</v>
      </c>
      <c r="DU94" s="199">
        <f t="shared" si="355"/>
        <v>708.21382605683277</v>
      </c>
      <c r="DV94" s="146">
        <f>DW94+各项系数!$M$9*$NV94</f>
        <v>724.13619215023266</v>
      </c>
      <c r="DW94" s="146">
        <f t="shared" si="356"/>
        <v>718.92477548326929</v>
      </c>
      <c r="DX94" s="199">
        <f>DY94+各项系数!$L$9*$NV94</f>
        <v>733.5967096768054</v>
      </c>
      <c r="DY94" s="199">
        <f>DZ94*(1+$EB94+各项系数!$J$5+各项系数!$L$5)</f>
        <v>728.38529300984203</v>
      </c>
      <c r="DZ94" s="199">
        <f t="shared" si="357"/>
        <v>707.17018738819615</v>
      </c>
      <c r="EA94" s="214">
        <f t="shared" si="439"/>
        <v>0</v>
      </c>
      <c r="EB94" s="214">
        <f t="shared" si="358"/>
        <v>0.01</v>
      </c>
      <c r="EC94" s="235">
        <f t="shared" si="408"/>
        <v>5</v>
      </c>
      <c r="ED94" s="237" t="str">
        <f t="shared" si="442"/>
        <v>5*240</v>
      </c>
      <c r="EE94" s="78">
        <f t="shared" ref="EE94:EE99" si="491">IF($D94="",0,IF(COUNTIF($D94,"*+*")&gt;0,MID($D94,FIND("*",$D94)+1,FIND("+",$D94)-FIND("*",$D94)-1),RIGHT($D94,(LEN($D94)-FIND("*",$D94)))))*1</f>
        <v>240</v>
      </c>
      <c r="EF94" s="78" t="str">
        <f>LOOKUP(EH94,{1,7,10,14,19,24,30,37,48,61},{1,"1+6","2+8","4+10","1+6+12","2+8+14","4+10+16","1+6+12+18","3+9+15+21","1+6+12+18+24"})</f>
        <v>3+9+15+21</v>
      </c>
      <c r="EG94" s="106">
        <f t="shared" si="359"/>
        <v>5</v>
      </c>
      <c r="EH94" s="199">
        <f>VLOOKUP(EE94,各项系数!$B$87:$C$124,2,0)</f>
        <v>48</v>
      </c>
      <c r="EI94" s="106">
        <f>IF(EH94=0,0,VLOOKUP(EH94,各项系数!$D$142:$E$195,2,0))*1</f>
        <v>8.15</v>
      </c>
      <c r="EJ94" s="240">
        <f t="shared" si="409"/>
        <v>246.701228113631</v>
      </c>
      <c r="EK94" s="78">
        <f t="shared" si="332"/>
        <v>0</v>
      </c>
      <c r="EL94" s="78">
        <f t="shared" si="360"/>
        <v>0</v>
      </c>
      <c r="EM94" s="78">
        <f t="shared" si="443"/>
        <v>0</v>
      </c>
      <c r="EN94" s="78">
        <f>IF(EP94=0,0,LOOKUP(EP94,{1,7,10,14,19,24,30,37,48,61},{1,"1+6","2+8","4+10","1+6+12","2+8+14","4+10+16","1+6+12+18","3+9+15+21","1+6+12+18+24"}))</f>
        <v>0</v>
      </c>
      <c r="EO94" s="78">
        <f t="shared" si="334"/>
        <v>0</v>
      </c>
      <c r="EP94" s="78">
        <f>IF(EM94=0,0,IF(EM94&lt;10,1,IF(AND(EM94&gt;=10,EM94&lt;=35),7,LOOKUP(EM94,{50,70,95,120,150,185,240,300},{10,14,19,24,30,37,48,61})*1)))</f>
        <v>0</v>
      </c>
      <c r="EQ94" s="78">
        <f>IF(EP94=0,0,VLOOKUP(EP94,各项系数!$D$142:$E$195,2,0))*1</f>
        <v>0</v>
      </c>
      <c r="ER94" s="78">
        <f t="shared" si="335"/>
        <v>0</v>
      </c>
      <c r="ES94" s="237">
        <f t="shared" si="444"/>
        <v>5</v>
      </c>
      <c r="ET94" s="78">
        <f>VLOOKUP(ES94,各项系数!$D$142:$E$195,2,0)*1</f>
        <v>2.7</v>
      </c>
      <c r="EU94" s="243">
        <f>((各项系数!$F$76/4*$EJ94^2*$EG94*$EH94*1*10^-7)*(1-$H94)*AA94)*(VLOOKUP($EY$9,各项系数!$D$4:$F$143,3,0))*各项系数!$J$4</f>
        <v>10.299938462340348</v>
      </c>
      <c r="EV94" s="244">
        <f>EU94*(VLOOKUP($EY$9,各项系数!$D$4:$F$143,2,0))</f>
        <v>674.64596928329286</v>
      </c>
      <c r="EW94" s="252">
        <f>(IF($EO94=0,0,(各项系数!$F$76/4*$ER94^2*$EO94*$EP94*1*10^-7))*(1-$K94)*$AF94)*(VLOOKUP($EY$9,各项系数!$D$4:$F$143,3,0))*各项系数!$J$4</f>
        <v>0</v>
      </c>
      <c r="EX94" s="253">
        <f>EW94*(VLOOKUP($EY$9,各项系数!$D$4:$F$143,2,0))</f>
        <v>0</v>
      </c>
      <c r="EY94" s="189">
        <f>((各项系数!$F$76/4*$EJ94^2*$EG94*$EH94*1*10^-7)*(1-$H94)*AA94+IF($EO94=0,0,(各项系数!$F$76/4*$ER94^2*$EO94*$EP94*1*10^-7))*(1-$K94)*$AF94)*(VLOOKUP($EY$9,各项系数!$D$4:$F$143,3,0))*各项系数!$J$4</f>
        <v>10.299938462340348</v>
      </c>
      <c r="EZ94" s="106">
        <v>1</v>
      </c>
      <c r="FA94" s="78">
        <f t="shared" si="445"/>
        <v>10.299938462340348</v>
      </c>
      <c r="FB94" s="246">
        <f>FA94*(VLOOKUP($EY$9,各项系数!$D$4:$F$143,2,0))</f>
        <v>674.64596928329286</v>
      </c>
      <c r="FC94" s="257"/>
      <c r="FD94" s="237">
        <f>各项系数!$F$76/4*($MN94^2-MK94^2)*10^-2*(VLOOKUP(L94,各项系数!$D$1:$F$143,3,0))*10^-3*10^2*$EG94*各项系数!$J$4</f>
        <v>0.6373288249508684</v>
      </c>
      <c r="FE94" s="264">
        <f>FD94*VLOOKUP(L94,各项系数!$D$1:$F$143,2,0)</f>
        <v>6.5007540144988569</v>
      </c>
      <c r="FF94" s="106">
        <f>各项系数!$F$76/4*($MO94^2-ML94^2)*10^-2*(VLOOKUP(L94,各项系数!$D$1:$F$143,3,0))*10^-3*10^2*$EO94*各项系数!$J$4</f>
        <v>0</v>
      </c>
      <c r="FG94" s="264">
        <f>FF94*VLOOKUP(L94,各项系数!$D$1:$F$143,2,0)</f>
        <v>0</v>
      </c>
      <c r="FH94" s="237">
        <f t="shared" si="410"/>
        <v>0.6373288249508684</v>
      </c>
      <c r="FI94" s="106">
        <v>1</v>
      </c>
      <c r="FJ94" s="78">
        <f t="shared" si="446"/>
        <v>0.6373288249508684</v>
      </c>
      <c r="FK94" s="264">
        <f>FJ94*VLOOKUP(L94,各项系数!$D$1:$F$143,2,0)</f>
        <v>6.5007540144988569</v>
      </c>
      <c r="FL94" s="237"/>
      <c r="FM94" s="106"/>
      <c r="FN94" s="78"/>
      <c r="FO94" s="264"/>
      <c r="FP94" s="289">
        <f t="shared" si="447"/>
        <v>0.6373288249508684</v>
      </c>
      <c r="FQ94" s="289">
        <f t="shared" si="448"/>
        <v>6.5007540144988569</v>
      </c>
      <c r="FR94" s="283">
        <f>各项系数!$F$76/4*($MQ94^2-$MN94^2*$EG94-$MO94^2*$EO94)*10^-2</f>
        <v>9.9377570031183708</v>
      </c>
      <c r="FS94" s="284">
        <f t="shared" si="411"/>
        <v>1</v>
      </c>
      <c r="FT94" s="285">
        <f t="shared" si="361"/>
        <v>9.9377570031183708</v>
      </c>
      <c r="FU94" s="309">
        <f>$FT94*(VLOOKUP($FT$9,各项系数!$D$1:$F$143,3,0))*10^-3*10^2*各项系数!$J$55</f>
        <v>1.1865681861723336</v>
      </c>
      <c r="FV94" s="310">
        <v>1</v>
      </c>
      <c r="FW94" s="311">
        <f t="shared" si="449"/>
        <v>1.1865681861723336</v>
      </c>
      <c r="FX94" s="290">
        <f>FW94*(VLOOKUP($FT$9,各项系数!$D$1:$F$143,2,0))</f>
        <v>3.5597045585170006</v>
      </c>
      <c r="FY94" s="309">
        <f>IF($BK94&lt;&gt;$FY$9,0,各项系数!$F$76/4*($MS94^2-$MQ94^2)*10^-2*(VLOOKUP($FY$9,各项系数!$D$1:$F$143,3,0))*10^-3*10^2)*各项系数!$J$4</f>
        <v>0</v>
      </c>
      <c r="FZ94" s="310">
        <v>1</v>
      </c>
      <c r="GA94" s="311">
        <f t="shared" si="450"/>
        <v>0</v>
      </c>
      <c r="GB94" s="290">
        <f>GA94*(VLOOKUP($FY$9,各项系数!$D$1:$F$143,2,0))</f>
        <v>0</v>
      </c>
      <c r="GC94" s="309">
        <f>IF($BK94&lt;&gt;$GC$9,0,各项系数!$F$76/4*($MS94^2-$MQ94^2)*10^-2*(VLOOKUP($GC$9,各项系数!$D$1:$F$143,3,0))*10^-3*10^2)*各项系数!$J$4</f>
        <v>1.7307639692823524E-2</v>
      </c>
      <c r="GD94" s="310">
        <v>1</v>
      </c>
      <c r="GE94" s="311">
        <f t="shared" si="451"/>
        <v>1.7307639692823524E-2</v>
      </c>
      <c r="GF94" s="290">
        <f>GE94*(VLOOKUP($GC$9,各项系数!$D$1:$F$143,2,0))</f>
        <v>0.22326855203742346</v>
      </c>
      <c r="GG94" s="309">
        <f>IF($BK94&lt;&gt;$GG$9,0,各项系数!$F$76/4*($MS94^2-$MQ94^2)*10^-2*(VLOOKUP($GG$9,各项系数!$D$1:$F$143,3,0))*10^-3*10^2)*各项系数!$J$4</f>
        <v>0</v>
      </c>
      <c r="GH94" s="310">
        <v>1</v>
      </c>
      <c r="GI94" s="311">
        <f t="shared" si="452"/>
        <v>0</v>
      </c>
      <c r="GJ94" s="290">
        <f>GI94*(VLOOKUP($GG$9,各项系数!$D$1:$F$143,2,0))</f>
        <v>0</v>
      </c>
      <c r="GK94" s="309">
        <f>IF($BK94&lt;&gt;$GK$9,0,各项系数!$F$76/4*($MS94^2-$MQ94^2)*10^-2*(VLOOKUP($GK$9,各项系数!$D$1:$F$143,3,0))*10^-3*10^2)*各项系数!$J$4</f>
        <v>0</v>
      </c>
      <c r="GL94" s="310">
        <v>1</v>
      </c>
      <c r="GM94" s="311">
        <f t="shared" si="453"/>
        <v>0</v>
      </c>
      <c r="GN94" s="290">
        <f>GM94*(VLOOKUP($GK$9,各项系数!$D$1:$F$143,2,0))</f>
        <v>0</v>
      </c>
      <c r="GO94" s="311">
        <f t="shared" si="454"/>
        <v>1.7307639692823524E-2</v>
      </c>
      <c r="GP94" s="311">
        <f t="shared" si="455"/>
        <v>0.22326855203742346</v>
      </c>
      <c r="GQ94" s="317">
        <f>各项系数!$F$76/4*($MU94^2-$MS94^2)*10^-2*(VLOOKUP($S94,各项系数!$D$1:$F$143,3,0))*10^-3*10^2*各项系数!$J$4</f>
        <v>1.1805298320211575</v>
      </c>
      <c r="GR94" s="310">
        <v>1</v>
      </c>
      <c r="GS94" s="311">
        <f t="shared" si="456"/>
        <v>1.1805298320211575</v>
      </c>
      <c r="GT94" s="311">
        <f t="shared" si="457"/>
        <v>0</v>
      </c>
      <c r="GU94" s="311">
        <f>ROUND($GS94*(VLOOKUP($S94,各项系数!$D$1:$F$143,2,0))+$E$3*GS94,GT94)</f>
        <v>7</v>
      </c>
      <c r="GV94" s="315">
        <f>各项系数!$F$76/4*($MT94^2-$MS94^2)*10^-2*(VLOOKUP($GV$9,各项系数!$D$1:$F$143,3,0))*10^-3*10^2*各项系数!$J$4*PI()/4*R94</f>
        <v>8.9009854854197948E-2</v>
      </c>
      <c r="GW94" s="310">
        <v>1</v>
      </c>
      <c r="GX94" s="311">
        <f t="shared" si="458"/>
        <v>8.9009854854197948E-2</v>
      </c>
      <c r="GY94" s="311">
        <f>$GX94*(VLOOKUP($GV$9,各项系数!$D$1:$F$143,2,0))</f>
        <v>6.0081652026583612</v>
      </c>
      <c r="GZ94" s="317">
        <f>各项系数!$F$76/4*($MV94^2-$MS94^2)*10^-2*(VLOOKUP($GZ$9,各项系数!$D$1:$F$143,3,0))*10^-3*10^2*各项系数!$J$4</f>
        <v>0.93779044688301949</v>
      </c>
      <c r="HA94" s="310">
        <v>1</v>
      </c>
      <c r="HB94" s="311">
        <f t="shared" si="412"/>
        <v>0.93779044688301949</v>
      </c>
      <c r="HC94" s="311">
        <f>HB94*(VLOOKUP($GZ$9,各项系数!$D$1:$F$143,2,0))</f>
        <v>15.942437597011331</v>
      </c>
      <c r="HD94" s="317">
        <f>各项系数!$F$76/4*($MW94^2-$MT94^2)*10^-2*(VLOOKUP($HD$9,各项系数!$D$1:$F$143,3,0))*10^-3*10^2*各项系数!$J$4</f>
        <v>0.94003858315229982</v>
      </c>
      <c r="HE94" s="310">
        <v>1</v>
      </c>
      <c r="HF94" s="311">
        <f t="shared" si="413"/>
        <v>0.94003858315229982</v>
      </c>
      <c r="HG94" s="311">
        <f>HF94*(VLOOKUP($HD$9,各项系数!$D$1:$F$143,2,0))</f>
        <v>15.980655913589096</v>
      </c>
      <c r="HH94" s="317">
        <f>各项系数!$F$76/4*($MV94^2-$MS94^2)*10^-2*(VLOOKUP($HH$9,各项系数!$D$1:$F$143,3,0))*10^-3*10^2*各项系数!$J$4</f>
        <v>0.93779044688301949</v>
      </c>
      <c r="HI94" s="311">
        <v>1</v>
      </c>
      <c r="HJ94" s="311">
        <f t="shared" si="414"/>
        <v>0.93779044688301949</v>
      </c>
      <c r="HK94" s="311">
        <f>HJ94*(VLOOKUP($HH$9,各项系数!$D$1:$F$143,2,0))</f>
        <v>15.942437597011331</v>
      </c>
      <c r="HL94" s="317">
        <f>各项系数!$F$76/4*($MW94^2-$MT94^2)*10^-2*(VLOOKUP($HL$9,各项系数!$D$1:$F$143,3,0))*10^-3*10^2*各项系数!$J$4</f>
        <v>0.94003858315229982</v>
      </c>
      <c r="HM94" s="311">
        <v>1</v>
      </c>
      <c r="HN94" s="311">
        <f t="shared" si="362"/>
        <v>0.94003858315229982</v>
      </c>
      <c r="HO94" s="311">
        <f>HN94*(VLOOKUP($HL$9,各项系数!$D$1:$F$143,2,0))</f>
        <v>15.980655913589096</v>
      </c>
      <c r="HP94" s="317">
        <f>各项系数!$F$76/4*($MV94^2-$MS94^2)*10^-2*(VLOOKUP(AN94,各项系数!$D$1:$F$143,3,0))*10^-3*10^2*各项系数!$J$4</f>
        <v>0.950725487529682</v>
      </c>
      <c r="HQ94" s="310">
        <v>1</v>
      </c>
      <c r="HR94" s="311">
        <f t="shared" si="459"/>
        <v>0.950725487529682</v>
      </c>
      <c r="HS94" s="311">
        <f>HR94*(VLOOKUP(AN94,各项系数!$D$1:$F$143,2,0))</f>
        <v>9.5072548752968196</v>
      </c>
      <c r="HT94" s="317">
        <f>各项系数!$F$76/4*($MW94^2-$MT94^2)*10^-2*(VLOOKUP(AN94,各项系数!$D$1:$F$143,3,0))*10^-3*10^2*各项系数!$J$4</f>
        <v>0.95300463257509016</v>
      </c>
      <c r="HU94" s="310">
        <v>1</v>
      </c>
      <c r="HV94" s="311">
        <f t="shared" si="460"/>
        <v>0.95300463257509016</v>
      </c>
      <c r="HW94" s="311">
        <f>HV94*(VLOOKUP(AN94,各项系数!$D$1:$F$143,2,0))</f>
        <v>9.5300463257509023</v>
      </c>
      <c r="HX94" s="317">
        <f>各项系数!$F$76/4*($MV94^2-$MS94^2)*10^-2*(VLOOKUP($HX$9,各项系数!$D$1:$F$143,3,0))*10^-3*10^2*各项系数!$J$4</f>
        <v>0.950725487529682</v>
      </c>
      <c r="HY94" s="311">
        <v>1</v>
      </c>
      <c r="HZ94" s="311">
        <f t="shared" si="461"/>
        <v>0.950725487529682</v>
      </c>
      <c r="IA94" s="311">
        <f>HZ94*(VLOOKUP($HX$9,各项系数!$D$1:$F$143,2,0))</f>
        <v>10.457980362826502</v>
      </c>
      <c r="IB94" s="317">
        <f>各项系数!$F$76/4*($MW94^2-$MT94^2)*10^-2*(VLOOKUP($IB$9,各项系数!$D$1:$F$143,3,0))*10^-3*10^2*各项系数!$J$4</f>
        <v>0.95300463257509016</v>
      </c>
      <c r="IC94" s="311">
        <v>1</v>
      </c>
      <c r="ID94" s="311">
        <f t="shared" si="462"/>
        <v>0.95300463257509016</v>
      </c>
      <c r="IE94" s="311">
        <f>ID94*(VLOOKUP($IB$9,各项系数!$D$1:$F$143,2,0))</f>
        <v>10.483050958325991</v>
      </c>
      <c r="IF94" s="309"/>
      <c r="IG94" s="317">
        <f t="shared" si="415"/>
        <v>0.14352136227783474</v>
      </c>
      <c r="IH94" s="310">
        <v>1</v>
      </c>
      <c r="II94" s="311">
        <f t="shared" si="463"/>
        <v>0.14352136227783474</v>
      </c>
      <c r="IJ94" s="311">
        <f>II94*(VLOOKUP($IG$8,各项系数!$D$1:$F$143,2,0))</f>
        <v>3.5880340569458684</v>
      </c>
      <c r="IK94" s="317">
        <f>(各项系数!$F$76/4*($MX94^2-$MK94^2)*$EG94)*10^-2*(VLOOKUP($IG$8,各项系数!$D$1:$F$143,3,0))*10^-3*10^2*各项系数!$J$4</f>
        <v>0.14352136227783474</v>
      </c>
      <c r="IL94" s="310">
        <f>IK94*(VLOOKUP($IG$8,各项系数!$D$1:$F$143,2,0))</f>
        <v>3.5880340569458684</v>
      </c>
      <c r="IM94" s="311">
        <f>(各项系数!$F$76/4*(($MM94+3*$X94)^2-MM94^2)*$EO94)*10^-2*(VLOOKUP($IG$8,各项系数!$D$1:$F$143,3,0))*10^-3*10^2*各项系数!$J$4</f>
        <v>0</v>
      </c>
      <c r="IN94" s="310">
        <f>IM94*(VLOOKUP($IG$8,各项系数!$D$1:$F$143,2,0))</f>
        <v>0</v>
      </c>
      <c r="IO94" s="317">
        <f>各项系数!$F$76/4*($MZ94^2-$MX94^2)*10^-2*(VLOOKUP(L94,各项系数!$D$1:$F$143,3,0))*10^-3*10^2*$ES94*各项系数!$J$4</f>
        <v>0.65486503806357399</v>
      </c>
      <c r="IP94" s="310">
        <v>1</v>
      </c>
      <c r="IQ94" s="311">
        <f t="shared" si="464"/>
        <v>0.65486503806357399</v>
      </c>
      <c r="IR94" s="290">
        <f>IQ94*(VLOOKUP(L94,各项系数!$D$1:$F$143,2,0))</f>
        <v>6.6796233882484541</v>
      </c>
      <c r="IS94" s="317">
        <f>IF($L94&lt;&gt;$IS$9,0,各项系数!$F$76/4*($MZ94^2-$MX94^2)*10^-2*各项系数!$F$12*10^-3*10^2)*$ES94*各项系数!$J$4</f>
        <v>0</v>
      </c>
      <c r="IT94" s="310">
        <v>1</v>
      </c>
      <c r="IU94" s="311">
        <f t="shared" si="465"/>
        <v>0</v>
      </c>
      <c r="IV94" s="290">
        <f>IU94*各项系数!$E$12</f>
        <v>0</v>
      </c>
      <c r="IW94" s="309">
        <f t="shared" si="466"/>
        <v>0.65486503806357399</v>
      </c>
      <c r="IX94" s="309">
        <f t="shared" si="467"/>
        <v>6.6796233882484541</v>
      </c>
      <c r="IY94" s="339">
        <f>各项系数!$F$76/4*($NB94^2-$MZ94^2*$EG94-$NA94^2*$EO94)*10^-2</f>
        <v>10.451558987225038</v>
      </c>
      <c r="IZ94" s="284">
        <f t="shared" si="487"/>
        <v>1</v>
      </c>
      <c r="JA94" s="285">
        <f t="shared" si="363"/>
        <v>10.451558987225038</v>
      </c>
      <c r="JB94" s="289">
        <f>IF($DE94&lt;&gt;$JB$9,0,$JA94*各项系数!$F$32*10^-3*10^2)*各项系数!$J$4</f>
        <v>0</v>
      </c>
      <c r="JC94" s="106">
        <v>1</v>
      </c>
      <c r="JD94" s="78">
        <f t="shared" si="468"/>
        <v>0</v>
      </c>
      <c r="JE94" s="264">
        <f>JD94*各项系数!$E$32</f>
        <v>0</v>
      </c>
      <c r="JF94" s="282">
        <f>IF($DE94&lt;&gt;$JF$9,0,$JA94*VLOOKUP($JF$9,各项系数!$D$4:$F$540,2,0)*10^-3*10^2)*各项系数!$J$4</f>
        <v>5.1996505961444566</v>
      </c>
      <c r="JG94" s="102">
        <v>1</v>
      </c>
      <c r="JH94" s="189">
        <f t="shared" si="364"/>
        <v>5.1996505961444566</v>
      </c>
      <c r="JI94" s="262">
        <f>JH94*VLOOKUP($JF$9,各项系数!$D$4:$F$540,3,0)</f>
        <v>6.2395807153733474</v>
      </c>
      <c r="JJ94" s="289">
        <f t="shared" si="469"/>
        <v>5.1996505961444566</v>
      </c>
      <c r="JK94" s="78">
        <f t="shared" si="470"/>
        <v>6.2395807153733474</v>
      </c>
      <c r="JL94" s="289">
        <f>IF($DF94&lt;&gt;$JL$9,0,各项系数!$F$76/4*($NE94^2-$NC94^2)*10^-2*各项系数!$F$39*10^-3*10^2)*各项系数!$J$4</f>
        <v>7.3378198427419272E-3</v>
      </c>
      <c r="JM94" s="106">
        <v>1</v>
      </c>
      <c r="JN94" s="78">
        <f t="shared" si="471"/>
        <v>7.3378198427419272E-3</v>
      </c>
      <c r="JO94" s="264">
        <f>JN94*各项系数!$E$39</f>
        <v>0.14675639685483854</v>
      </c>
      <c r="JP94" s="289">
        <f>IF($DF94&lt;&gt;$JP$9,0,各项系数!$F$76/4*($NE94^2-$NC94^2)*10^-2*各项系数!$F$36*10^-3*10^2)*各项系数!$J$4</f>
        <v>0</v>
      </c>
      <c r="JQ94" s="106">
        <v>1</v>
      </c>
      <c r="JR94" s="78">
        <f t="shared" si="472"/>
        <v>0</v>
      </c>
      <c r="JS94" s="264">
        <f>JR94*各项系数!$E$36</f>
        <v>0</v>
      </c>
      <c r="JT94" s="289">
        <f>IF($DF94&lt;&gt;$JT$9,0,各项系数!$F$76/4*($NE94^2-$NC94^2)*10^-2*各项系数!$F$40*10^-3*10^2)*各项系数!$J$4</f>
        <v>0</v>
      </c>
      <c r="JU94" s="106">
        <v>1</v>
      </c>
      <c r="JV94" s="78">
        <f t="shared" si="473"/>
        <v>0</v>
      </c>
      <c r="JW94" s="264">
        <f>JV94*各项系数!$E$40</f>
        <v>0</v>
      </c>
      <c r="JX94" s="289">
        <f>IF($DF94&lt;&gt;$JX$9,0,各项系数!$F$76/4*($NE94^2-$NC94^2)*10^-2*各项系数!$F$38*10^-3*10^2)*各项系数!$J$4</f>
        <v>0</v>
      </c>
      <c r="JY94" s="106">
        <v>1</v>
      </c>
      <c r="JZ94" s="78">
        <f t="shared" si="474"/>
        <v>0</v>
      </c>
      <c r="KA94" s="264">
        <f>JZ94*各项系数!$E$38</f>
        <v>0</v>
      </c>
      <c r="KB94" s="289">
        <f>IF($DF94&lt;&gt;$KB$9,0,各项系数!$F$76/4*($NE94^2-$NC94^2)*10^-2*各项系数!$F$41*10^-3*10^2)*各项系数!$J$4</f>
        <v>0</v>
      </c>
      <c r="KC94" s="106">
        <v>1</v>
      </c>
      <c r="KD94" s="78">
        <f t="shared" si="475"/>
        <v>0</v>
      </c>
      <c r="KE94" s="264">
        <f>KD94*各项系数!$E$41</f>
        <v>0</v>
      </c>
      <c r="KF94" s="78">
        <f t="shared" si="476"/>
        <v>7.3378198427419272E-3</v>
      </c>
      <c r="KG94" s="78">
        <f t="shared" si="477"/>
        <v>0.14675639685483854</v>
      </c>
      <c r="KH94" s="237">
        <f>各项系数!$F$76/4*($NG94^2-$NE94^2)*10^-2*各项系数!$F$44*10^-3*10^2*各项系数!$J$4*0.75*$U94</f>
        <v>1.8171046984600046</v>
      </c>
      <c r="KI94" s="106">
        <v>1</v>
      </c>
      <c r="KJ94" s="78">
        <f t="shared" si="478"/>
        <v>1.8171046984600046</v>
      </c>
      <c r="KK94" s="78">
        <f>ROUND(KJ94*各项系数!$E$43,GT94)</f>
        <v>11</v>
      </c>
      <c r="KL94" s="235">
        <f>各项系数!$F$76/4*($NF94^2-$NE94^2)*10^-2*各项系数!$F$46*10^-3*10^2*各项系数!$J$4*PI()/4*R94</f>
        <v>9.1362122076435973E-2</v>
      </c>
      <c r="KM94" s="106">
        <v>1</v>
      </c>
      <c r="KN94" s="78">
        <f t="shared" si="479"/>
        <v>9.1362122076435973E-2</v>
      </c>
      <c r="KO94" s="78">
        <f>KN94*各项系数!$E$46</f>
        <v>6.1669432401594282</v>
      </c>
      <c r="KP94" s="237">
        <f>各项系数!$F$76/4*($NH94^2-$NE94^2)*10^-2*(VLOOKUP($KP$9,各项系数!$D$1:$F$143,3,0))*10^-3*10^2*各项系数!$J$4</f>
        <v>0.96145208111718772</v>
      </c>
      <c r="KQ94" s="106">
        <v>1</v>
      </c>
      <c r="KR94" s="78">
        <f t="shared" si="416"/>
        <v>0.96145208111718772</v>
      </c>
      <c r="KS94" s="78">
        <f>KR94*(VLOOKUP($KP$9,各项系数!$D$1:$F$143,2,0))</f>
        <v>16.344685378992192</v>
      </c>
      <c r="KT94" s="237">
        <f>各项系数!$F$76/4*($NI94^2-$NF94^2)*10^-2*(VLOOKUP($KT$9,各项系数!$D$1:$F$143,3,0))*10^-3*10^2*各项系数!$J$4</f>
        <v>0.9637002173864665</v>
      </c>
      <c r="KU94" s="106">
        <v>1</v>
      </c>
      <c r="KV94" s="78">
        <f t="shared" si="417"/>
        <v>0.9637002173864665</v>
      </c>
      <c r="KW94" s="78">
        <f>KV94*(VLOOKUP($KT$9,各项系数!$D$1:$F$143,2,0))</f>
        <v>16.382903695569929</v>
      </c>
      <c r="KX94" s="78">
        <f>各项系数!$F$76/4*($NH94^2-$NE94^2)*10^-2*(VLOOKUP($KX$9,各项系数!$D$1:$F$143,3,0))*10^-3*10^2*各项系数!$J$4</f>
        <v>0.96145208111718772</v>
      </c>
      <c r="KY94" s="355">
        <v>1</v>
      </c>
      <c r="KZ94" s="78">
        <f t="shared" si="418"/>
        <v>0.96145208111718772</v>
      </c>
      <c r="LA94" s="78">
        <f>KZ94*(VLOOKUP($KX$9,各项系数!$D$1:$F$143,2,0))</f>
        <v>16.344685378992192</v>
      </c>
      <c r="LB94" s="78">
        <f>各项系数!$F$76/4*($NI94^2-$NF94^2)*10^-2*(VLOOKUP($LB$9,各项系数!$D$1:$F$143,3,0))*10^-3*10^2*各项系数!$J$4</f>
        <v>0.9637002173864665</v>
      </c>
      <c r="LC94" s="355">
        <v>1</v>
      </c>
      <c r="LD94" s="78">
        <f t="shared" si="419"/>
        <v>0.9637002173864665</v>
      </c>
      <c r="LE94" s="78">
        <f>LD94*(VLOOKUP($LB$9,各项系数!$D$1:$F$143,2,0))</f>
        <v>16.382903695569929</v>
      </c>
      <c r="LF94" s="237">
        <f>各项系数!$F$76/4*($NH94^2-$NE94^2)*10^-2*(VLOOKUP(AN94,各项系数!$D$1:$F$143,3,0))*10^-3*10^2*各项系数!$J$4</f>
        <v>0.97471348913259725</v>
      </c>
      <c r="LG94" s="106">
        <v>1</v>
      </c>
      <c r="LH94" s="78">
        <f t="shared" si="480"/>
        <v>0.97471348913259725</v>
      </c>
      <c r="LI94" s="78">
        <f>LH94*(VLOOKUP(AN94,各项系数!$D$1:$F$143,2,0))</f>
        <v>9.7471348913259721</v>
      </c>
      <c r="LJ94" s="237">
        <f>各项系数!$F$76/4*($NI94^2-$NF94^2)*10^-2*(VLOOKUP(AN94,各项系数!$D$1:$F$143,3,0))*10^-3*10^2*各项系数!$J$4</f>
        <v>0.97699263417800386</v>
      </c>
      <c r="LK94" s="106">
        <v>1</v>
      </c>
      <c r="LL94" s="78">
        <f t="shared" si="481"/>
        <v>0.97699263417800386</v>
      </c>
      <c r="LM94" s="78">
        <f>LL94*(VLOOKUP(AN94,各项系数!$D$1:$F$143,2,0))</f>
        <v>9.7699263417800388</v>
      </c>
      <c r="LN94" s="78">
        <f>各项系数!$F$76/4*($NH94^2-$NE94^2)*10^-2*(VLOOKUP($LN$9,各项系数!$D$1:$F$143,3,0))*10^-3*10^2*各项系数!$J$4</f>
        <v>0.97471348913259725</v>
      </c>
      <c r="LO94" s="355">
        <v>1</v>
      </c>
      <c r="LP94" s="78">
        <f t="shared" si="482"/>
        <v>0.97471348913259725</v>
      </c>
      <c r="LQ94" s="78">
        <f>LP94*(VLOOKUP($LN$9,各项系数!$D$1:$F$143,2,0))</f>
        <v>10.721848380458569</v>
      </c>
      <c r="LR94" s="78">
        <f>各项系数!$F$76/4*($NI94^2-$NF94^2)*10^-2*(VLOOKUP($LR$9,各项系数!$D$1:$F$143,3,0))*10^-3*10^2*各项系数!$J$4</f>
        <v>0.97699263417800386</v>
      </c>
      <c r="LS94" s="355">
        <v>1</v>
      </c>
      <c r="LT94" s="78">
        <f t="shared" si="483"/>
        <v>0.97699263417800386</v>
      </c>
      <c r="LU94" s="78">
        <f>LT94*(VLOOKUP($LR$9,各项系数!$D$1:$F$143,2,0))</f>
        <v>10.746918975958042</v>
      </c>
      <c r="LV94" s="367">
        <f t="shared" si="420"/>
        <v>1587.5145910700001</v>
      </c>
      <c r="LW94" s="367">
        <f t="shared" si="421"/>
        <v>1147.21217037</v>
      </c>
      <c r="LX94" s="367">
        <f t="shared" si="422"/>
        <v>38.218789901258475</v>
      </c>
      <c r="LY94" s="367">
        <f t="shared" si="423"/>
        <v>440.30242070000008</v>
      </c>
      <c r="LZ94" s="374">
        <f t="shared" si="365"/>
        <v>1</v>
      </c>
      <c r="MA94" s="375">
        <f t="shared" si="366"/>
        <v>1587.5145910700001</v>
      </c>
      <c r="MB94" s="367">
        <f t="shared" si="424"/>
        <v>20.106150079999999</v>
      </c>
      <c r="MC94" s="367">
        <f t="shared" si="425"/>
        <v>0</v>
      </c>
      <c r="MD94" s="367">
        <f t="shared" si="426"/>
        <v>0</v>
      </c>
      <c r="ME94" s="367">
        <f t="shared" si="427"/>
        <v>0</v>
      </c>
      <c r="MF94" s="367">
        <f t="shared" si="428"/>
        <v>0</v>
      </c>
      <c r="MG94" s="379">
        <f t="shared" si="429"/>
        <v>1</v>
      </c>
      <c r="MH94" s="375">
        <f t="shared" si="367"/>
        <v>0</v>
      </c>
      <c r="MI94" s="367">
        <f t="shared" si="430"/>
        <v>0</v>
      </c>
      <c r="MJ94" s="78">
        <f t="shared" si="368"/>
        <v>20.106150079999999</v>
      </c>
      <c r="MK94" s="78">
        <f t="shared" si="431"/>
        <v>20.106150079999999</v>
      </c>
      <c r="ML94" s="78">
        <f t="shared" si="484"/>
        <v>0</v>
      </c>
      <c r="MM94" s="78">
        <f t="shared" si="369"/>
        <v>0</v>
      </c>
      <c r="MN94" s="78">
        <f t="shared" si="370"/>
        <v>23.506150079999998</v>
      </c>
      <c r="MO94" s="189">
        <f t="shared" si="432"/>
        <v>0</v>
      </c>
      <c r="MP94" s="78">
        <f t="shared" si="433"/>
        <v>63.466605219999998</v>
      </c>
      <c r="MQ94" s="78">
        <f t="shared" si="485"/>
        <v>63.466605219999998</v>
      </c>
      <c r="MR94" s="246">
        <f t="shared" si="434"/>
        <v>63.466605219999998</v>
      </c>
      <c r="MS94" s="380">
        <f t="shared" si="371"/>
        <v>63.64260522</v>
      </c>
      <c r="MT94" s="382">
        <f t="shared" si="372"/>
        <v>63.802605219999997</v>
      </c>
      <c r="MU94" s="382">
        <f t="shared" si="373"/>
        <v>65.142605220000007</v>
      </c>
      <c r="MV94" s="382">
        <f t="shared" si="374"/>
        <v>69.842605219999996</v>
      </c>
      <c r="MW94" s="382">
        <f t="shared" si="375"/>
        <v>70.002605219999992</v>
      </c>
      <c r="MX94" s="246">
        <f t="shared" si="376"/>
        <v>20.70615008</v>
      </c>
      <c r="MY94" s="246">
        <f t="shared" si="377"/>
        <v>0</v>
      </c>
      <c r="MZ94" s="78">
        <f t="shared" si="378"/>
        <v>24.106150079999999</v>
      </c>
      <c r="NA94" s="78">
        <f t="shared" si="379"/>
        <v>0</v>
      </c>
      <c r="NB94" s="78">
        <f t="shared" si="435"/>
        <v>65.086605219999996</v>
      </c>
      <c r="NC94" s="246">
        <f t="shared" si="486"/>
        <v>65.086605219999996</v>
      </c>
      <c r="ND94" s="246">
        <f t="shared" si="436"/>
        <v>65.086605219999996</v>
      </c>
      <c r="NE94" s="386">
        <f t="shared" si="437"/>
        <v>65.32660521999999</v>
      </c>
      <c r="NF94" s="382">
        <f t="shared" si="380"/>
        <v>65.486605219999987</v>
      </c>
      <c r="NG94" s="150">
        <f t="shared" si="381"/>
        <v>66.82660521999999</v>
      </c>
      <c r="NH94" s="246">
        <f t="shared" si="382"/>
        <v>71.526605219999993</v>
      </c>
      <c r="NI94" s="382">
        <f t="shared" si="383"/>
        <v>71.68660521999999</v>
      </c>
      <c r="NK94" s="390">
        <f t="shared" si="384"/>
        <v>13.091868600686055</v>
      </c>
      <c r="NL94" s="390">
        <f t="shared" si="385"/>
        <v>694.43695128364288</v>
      </c>
      <c r="NM94" s="390">
        <f t="shared" si="386"/>
        <v>13.091868600686055</v>
      </c>
      <c r="NN94" s="390">
        <f t="shared" si="387"/>
        <v>695.38767677117255</v>
      </c>
      <c r="NO94" s="390">
        <f t="shared" si="388"/>
        <v>17.280026767801552</v>
      </c>
      <c r="NP94" s="390">
        <f t="shared" si="389"/>
        <v>701.04709873204138</v>
      </c>
      <c r="NQ94" s="390">
        <f t="shared" si="390"/>
        <v>17.280026767801552</v>
      </c>
      <c r="NR94" s="390">
        <f t="shared" si="391"/>
        <v>702.02181222117395</v>
      </c>
      <c r="NS94" s="390">
        <f t="shared" si="392"/>
        <v>13.180878455540253</v>
      </c>
      <c r="NT94" s="390">
        <f t="shared" si="393"/>
        <v>13.180878455540253</v>
      </c>
      <c r="NU94" s="390">
        <f t="shared" si="394"/>
        <v>17.371388889877988</v>
      </c>
      <c r="NV94" s="390">
        <f t="shared" si="395"/>
        <v>17.371388889877988</v>
      </c>
      <c r="NW94" s="9">
        <f t="shared" si="396"/>
        <v>14.272398432707213</v>
      </c>
      <c r="NX94" s="9">
        <f>各项系数!$M$9*NK94</f>
        <v>3.9275605802058164</v>
      </c>
      <c r="NY94" s="9">
        <f t="shared" si="397"/>
        <v>13.180878455540254</v>
      </c>
    </row>
    <row r="95" spans="1:389" s="9" customFormat="1" ht="15" hidden="1" customHeight="1">
      <c r="A95" s="65"/>
      <c r="B95" s="66"/>
      <c r="C95" s="67"/>
      <c r="D95" s="58" t="s">
        <v>926</v>
      </c>
      <c r="E95" s="399">
        <f t="shared" si="325"/>
        <v>76.25970753</v>
      </c>
      <c r="F95" s="68">
        <f>$F$31</f>
        <v>245.118138379664</v>
      </c>
      <c r="G95" s="58"/>
      <c r="H95" s="16"/>
      <c r="I95" s="62"/>
      <c r="J95" s="16"/>
      <c r="K95" s="16"/>
      <c r="L95" s="107" t="s">
        <v>467</v>
      </c>
      <c r="M95" s="98">
        <f t="shared" si="339"/>
        <v>1.8</v>
      </c>
      <c r="N95" s="98">
        <f t="shared" si="340"/>
        <v>0</v>
      </c>
      <c r="O95" s="58">
        <f t="shared" si="488"/>
        <v>0.08</v>
      </c>
      <c r="P95" s="99">
        <v>0.1</v>
      </c>
      <c r="Q95" s="136">
        <f t="shared" si="489"/>
        <v>0.1</v>
      </c>
      <c r="R95" s="151">
        <v>0.8</v>
      </c>
      <c r="S95" s="144" t="str">
        <f>各项系数!$D$43</f>
        <v>钢带</v>
      </c>
      <c r="T95" s="62">
        <v>0.5</v>
      </c>
      <c r="U95" s="62">
        <v>2</v>
      </c>
      <c r="V95" s="143"/>
      <c r="W95" s="145">
        <v>3.4</v>
      </c>
      <c r="X95" s="139">
        <f t="shared" si="490"/>
        <v>0.2</v>
      </c>
      <c r="Y95" s="139"/>
      <c r="Z95" s="169"/>
      <c r="AA95" s="170">
        <f>$AA$31</f>
        <v>1.02</v>
      </c>
      <c r="AB95" s="153">
        <f>PI()*EJ95*EJ95/4*EH95*(1-H95)*AA95*各项系数!$F$5*各项系数!$J$4*10^-7</f>
        <v>2.5971416022939482</v>
      </c>
      <c r="AC95" s="170">
        <f t="shared" si="327"/>
        <v>245.118138379664</v>
      </c>
      <c r="AD95" s="153">
        <f t="shared" si="341"/>
        <v>293.60996233065771</v>
      </c>
      <c r="AE95" s="153">
        <f>POWER(4*EU95/PI()/EG95/10^-7/EH95/(1-H95)/各项系数!$F$5/各项系数!$J$4,0.5)</f>
        <v>247.5571849047536</v>
      </c>
      <c r="AF95" s="16">
        <v>1</v>
      </c>
      <c r="AG95" s="16">
        <f>IF(EM95=0,0,PI()*ER95*ER95/4*EP95*(1-K95)*(1+AF95)*各项系数!$F$5*各项系数!$J$4*10^-7)</f>
        <v>0</v>
      </c>
      <c r="AH95" s="16">
        <f t="shared" si="328"/>
        <v>0</v>
      </c>
      <c r="AI95" s="69">
        <f t="shared" si="398"/>
        <v>0</v>
      </c>
      <c r="AJ95" s="69">
        <f>IF(OR(EP95="",EP95=0),0,POWER(4*EW95/PI()/EO95/10^-7/EP95/(1-K95)/各项系数!$F$5/各项系数!$J$4,0.5))</f>
        <v>0</v>
      </c>
      <c r="AK95" s="16" t="str">
        <f t="shared" si="342"/>
        <v>√</v>
      </c>
      <c r="AL95" s="16">
        <f t="shared" si="329"/>
        <v>900.96010900863246</v>
      </c>
      <c r="AM95" s="106">
        <f t="shared" si="330"/>
        <v>300</v>
      </c>
      <c r="AN95" s="107" t="s">
        <v>486</v>
      </c>
      <c r="AO95" s="146">
        <f>AP95+各项系数!$M$9*$NK95</f>
        <v>883.29422451826713</v>
      </c>
      <c r="AP95" s="146">
        <f>AQ95*(1+$BI95+(VLOOKUP($AM95,$A$12:$B$323,2,0))+各项系数!$J$6+各项系数!$M$5)*(1+$E$2)</f>
        <v>878.40562082771748</v>
      </c>
      <c r="AQ95" s="199">
        <f>AR95+各项系数!$L$9*$NK95</f>
        <v>896.33226615073215</v>
      </c>
      <c r="AR95" s="199">
        <f>AS95*(1+$BJ95+各项系数!$J$5+各项系数!$L$5)</f>
        <v>891.44366246018251</v>
      </c>
      <c r="AS95" s="199">
        <f t="shared" si="399"/>
        <v>873.96437496096326</v>
      </c>
      <c r="AT95" s="146">
        <f>AU95+各项系数!$M$9*$NM95</f>
        <v>890.99596042012092</v>
      </c>
      <c r="AU95" s="146">
        <f>AV95*(1+$BI95+(VLOOKUP($AM95,$A$12:$B$323,2,0))+各项系数!$J$6+各项系数!$M$5)*(1+$E$2)</f>
        <v>886.10735672957128</v>
      </c>
      <c r="AV95" s="199">
        <f>AW95+各项系数!$L$9*$NM95</f>
        <v>904.19118033629729</v>
      </c>
      <c r="AW95" s="199">
        <f>AX95*(1+$BJ95+各项系数!$J$5+各项系数!$L$5)</f>
        <v>899.30257664574765</v>
      </c>
      <c r="AX95" s="199">
        <f t="shared" si="400"/>
        <v>881.66919278994862</v>
      </c>
      <c r="AY95" s="146">
        <f>AZ95+各项系数!$M$9*$NS95</f>
        <v>889.93092529225055</v>
      </c>
      <c r="AZ95" s="146">
        <f>BA95*(1+$BI95+(VLOOKUP($AM95,$A$12:$B$214,2,0))+各项系数!$J$6+各项系数!$M$5)*(1+$E$2)</f>
        <v>885.01318098863669</v>
      </c>
      <c r="BA95" s="199">
        <f>BB95+各项系数!$L$9*$NS95</f>
        <v>903.07467447820068</v>
      </c>
      <c r="BB95" s="199">
        <f>BC95*(1+$BJ95+各项系数!$J$5+各项系数!$L$5)</f>
        <v>898.15693017458682</v>
      </c>
      <c r="BC95" s="199">
        <f t="shared" si="401"/>
        <v>880.5460099750851</v>
      </c>
      <c r="BD95" s="146">
        <f>BE95+各项系数!$M$9*$NS95</f>
        <v>897.64957421484064</v>
      </c>
      <c r="BE95" s="146">
        <f>BF95*(1+$BI95+(VLOOKUP($AM95,$A$12:$B$214,2,0))+各项系数!$J$6+各项系数!$M$5)*(1+$E$2)</f>
        <v>892.73182991122678</v>
      </c>
      <c r="BF95" s="199">
        <f>BG95+各项系数!$L$9*$NS95</f>
        <v>910.95084684819062</v>
      </c>
      <c r="BG95" s="199">
        <f>BH95*(1+$BJ95+各项系数!$J$5+各项系数!$L$5)</f>
        <v>906.03310254457676</v>
      </c>
      <c r="BH95" s="199">
        <f t="shared" si="402"/>
        <v>888.26774759272234</v>
      </c>
      <c r="BI95" s="214"/>
      <c r="BJ95" s="215"/>
      <c r="BK95" s="78" t="s">
        <v>514</v>
      </c>
      <c r="BL95" s="146">
        <f>BM95+各项系数!$M$9*$NM95</f>
        <v>893.00807512970573</v>
      </c>
      <c r="BM95" s="146">
        <f>BN95*(1+$CF95+(VLOOKUP($AM95,$A$12:$B$323,2,0))+各项系数!$J$6+各项系数!$M$5)*(1+$E$2)</f>
        <v>888.11947143915609</v>
      </c>
      <c r="BN95" s="199">
        <f>BO95+各项系数!$L$9*$NM95</f>
        <v>906.24435861138375</v>
      </c>
      <c r="BO95" s="199">
        <f>BP95*(1+$CG95+各项系数!$J$5+各项系数!$L$5)</f>
        <v>901.3557549208341</v>
      </c>
      <c r="BP95" s="199">
        <f t="shared" si="403"/>
        <v>875.10267468042139</v>
      </c>
      <c r="BQ95" s="146">
        <f>BR95+各项系数!$M$9*$NM95</f>
        <v>899.6363185094624</v>
      </c>
      <c r="BR95" s="146">
        <f>BS95*(1+$CF95+(VLOOKUP($AM95,$A$12:$B$323,2,0))+各项系数!$J$6+各项系数!$M$5)*(1+$E$2)</f>
        <v>894.74771481891275</v>
      </c>
      <c r="BS95" s="199">
        <f>BT95+各项系数!$L$9*$NM95</f>
        <v>913.00787226419675</v>
      </c>
      <c r="BT95" s="199">
        <f>BU95*(1+$CG95+各项系数!$J$5+各项系数!$L$5)</f>
        <v>908.1192685736471</v>
      </c>
      <c r="BU95" s="199">
        <f t="shared" si="404"/>
        <v>881.66919278994862</v>
      </c>
      <c r="BV95" s="146">
        <f>BW95+各项系数!$M$9*$NT95</f>
        <v>894.90050784909693</v>
      </c>
      <c r="BW95" s="146">
        <f>BX95*(1+$CF95+(VLOOKUP($AM95,$A$12:$B$214,2,0))+各项系数!$J$6+各项系数!$M$5)*(1+$E$2)</f>
        <v>889.98276354548307</v>
      </c>
      <c r="BX95" s="199">
        <f>BY95+各项系数!$L$9*$NT$12</f>
        <v>908.14567708722768</v>
      </c>
      <c r="BY95" s="199">
        <f>BZ95*(1+$CG95+各项系数!$J$5+各项系数!$L$5)</f>
        <v>908.13741368407273</v>
      </c>
      <c r="BZ95" s="199">
        <f t="shared" si="343"/>
        <v>881.68680940201239</v>
      </c>
      <c r="CA95" s="146">
        <f>CB95+各项系数!$M$9*$NT95</f>
        <v>901.54330685879961</v>
      </c>
      <c r="CB95" s="146">
        <f>CC95*(1+$CF95+(VLOOKUP($AM95,$A$12:$B$214,2,0))+各项系数!$J$6+各项系数!$M$5)*(1+$E$2)</f>
        <v>896.62556255518575</v>
      </c>
      <c r="CC95" s="199">
        <f>CD95+各项系数!$L$9*$NT$12</f>
        <v>914.92404342365899</v>
      </c>
      <c r="CD95" s="199">
        <f>CE95*(1+$CG95+各项系数!$J$5+各项系数!$L$5)</f>
        <v>914.91578002050403</v>
      </c>
      <c r="CE95" s="199">
        <f t="shared" si="405"/>
        <v>888.26774759272234</v>
      </c>
      <c r="CF95" s="214">
        <f t="shared" si="406"/>
        <v>0</v>
      </c>
      <c r="CG95" s="214">
        <f t="shared" si="344"/>
        <v>0.01</v>
      </c>
      <c r="CH95" s="106"/>
      <c r="CI95" s="146">
        <f>CJ95+各项系数!$M$9*$NO95</f>
        <v>898.58176633975347</v>
      </c>
      <c r="CJ95" s="146">
        <f>CK95*(1+$DC95+(VLOOKUP($AM95,$A$12:$B$323,2,0))+各项系数!$J$6+各项系数!$M$5)*(1+$E$2)+各项系数!$M$9*$NK95</f>
        <v>892.20881760496832</v>
      </c>
      <c r="CK95" s="199">
        <f>CL95+各项系数!$L$9*$NO95</f>
        <v>905.42878970859044</v>
      </c>
      <c r="CL95" s="199">
        <f>CM95*(1+$DD95+各项系数!$J$5+各项系数!$L$5)</f>
        <v>899.05584097380529</v>
      </c>
      <c r="CM95" s="199">
        <f t="shared" si="345"/>
        <v>881.42729507235811</v>
      </c>
      <c r="CN95" s="146">
        <f>CO95+各项系数!$M$9*$NO95</f>
        <v>906.02051326816297</v>
      </c>
      <c r="CO95" s="146">
        <f>CP95*(1+$DC95+(VLOOKUP($AM95,$A$12:$B$323,2,0))+各项系数!$J$6+各项系数!$M$5)*(1+$E$2)+各项系数!$M$9*$NK95</f>
        <v>899.64756453337782</v>
      </c>
      <c r="CP95" s="199">
        <f>CQ95+各项系数!$L$9*$NO95</f>
        <v>913.01934779880423</v>
      </c>
      <c r="CQ95" s="199">
        <f>CR95*(1+$DD95+各项系数!$J$5+各项系数!$L$5)</f>
        <v>906.64639906401908</v>
      </c>
      <c r="CR95" s="199">
        <f t="shared" si="346"/>
        <v>888.86901869021472</v>
      </c>
      <c r="CS95" s="146">
        <f>CT95+各项系数!$M$9*$NU95</f>
        <v>900.48997519620275</v>
      </c>
      <c r="CT95" s="146">
        <f t="shared" si="347"/>
        <v>894.08718016818682</v>
      </c>
      <c r="CU95" s="199">
        <f>CV95+各项系数!$L$9*$NU95</f>
        <v>912.3338573144764</v>
      </c>
      <c r="CV95" s="199">
        <f>CW95*(1+$DD95+各项系数!$J$5+各项系数!$L$5)</f>
        <v>905.93106228646047</v>
      </c>
      <c r="CW95" s="199">
        <f t="shared" si="348"/>
        <v>888.16770812398079</v>
      </c>
      <c r="CX95" s="146">
        <f>CY95+各项系数!$M$9*$NU95</f>
        <v>908.38663366204253</v>
      </c>
      <c r="CY95" s="146">
        <f t="shared" si="349"/>
        <v>901.9838386340266</v>
      </c>
      <c r="CZ95" s="199">
        <f>DA95+各项系数!$L$9*$NU95</f>
        <v>920.39167207553737</v>
      </c>
      <c r="DA95" s="199">
        <f>DB95*(1+$DD95+各项系数!$J$5+各项系数!$L$5)</f>
        <v>913.98887704752144</v>
      </c>
      <c r="DB95" s="199">
        <f t="shared" si="350"/>
        <v>896.06752651717784</v>
      </c>
      <c r="DC95" s="214">
        <f t="shared" si="407"/>
        <v>0</v>
      </c>
      <c r="DD95" s="214">
        <f t="shared" si="351"/>
        <v>0</v>
      </c>
      <c r="DE95" s="78" t="s">
        <v>498</v>
      </c>
      <c r="DF95" s="78" t="s">
        <v>513</v>
      </c>
      <c r="DG95" s="146">
        <f>DH95+各项系数!$M$9*$NQ95</f>
        <v>908.39531029795489</v>
      </c>
      <c r="DH95" s="146">
        <f>DI95*(1+$EA95+(VLOOKUP($AM95,$A$12:$B$323,2,0))+各项系数!$J$6+各项系数!$M$5)*(1+$E$2)+各项系数!$M$9*$NK95</f>
        <v>902.02236156316974</v>
      </c>
      <c r="DI95" s="199">
        <f>DJ95+各项系数!$L$9*$NQ95</f>
        <v>915.44261007410216</v>
      </c>
      <c r="DJ95" s="199">
        <f>DK95*(1+$EB95+各项系数!$J$5+各项系数!$L$5)</f>
        <v>909.06966133931701</v>
      </c>
      <c r="DK95" s="199">
        <f t="shared" si="352"/>
        <v>882.59190421292908</v>
      </c>
      <c r="DL95" s="146">
        <f>DM95+各项系数!$M$9*$NQ95</f>
        <v>915.17675168289054</v>
      </c>
      <c r="DM95" s="146">
        <f>DN95*(1+$EA95+(VLOOKUP($AM95,$A$12:$B$323,2,0))+各项系数!$J$6+各项系数!$M$5)*(1+$E$2)+各项系数!$M$9*$NK95</f>
        <v>908.80380294810539</v>
      </c>
      <c r="DN95" s="199">
        <f>DO95+各项系数!$L$9*$NQ95</f>
        <v>922.36244822199569</v>
      </c>
      <c r="DO95" s="199">
        <f>DP95*(1+$EB95+各项系数!$J$5+各项系数!$L$5)</f>
        <v>915.98949948721054</v>
      </c>
      <c r="DP95" s="199">
        <f t="shared" si="353"/>
        <v>889.3101936769034</v>
      </c>
      <c r="DQ95" s="146">
        <f>DR95+各项系数!$M$9*$NV95</f>
        <v>910.37209840702951</v>
      </c>
      <c r="DR95" s="146">
        <f t="shared" si="354"/>
        <v>903.96930337901358</v>
      </c>
      <c r="DS95" s="199">
        <f>DT95+各项系数!$L$9*$NV95</f>
        <v>922.41765650919751</v>
      </c>
      <c r="DT95" s="199">
        <f>DU95*(1+$EB95+各项系数!$J$5+各项系数!$L$5)</f>
        <v>916.01486148118158</v>
      </c>
      <c r="DU95" s="199">
        <f t="shared" si="355"/>
        <v>889.33481697202092</v>
      </c>
      <c r="DV95" s="146">
        <f>DW95+各项系数!$M$9*$NV95</f>
        <v>909.37447407889704</v>
      </c>
      <c r="DW95" s="146">
        <f t="shared" si="356"/>
        <v>902.97167905088111</v>
      </c>
      <c r="DX95" s="199">
        <f>DY95+各项系数!$L$9*$NV95</f>
        <v>921.3996725008991</v>
      </c>
      <c r="DY95" s="199">
        <f>DZ95*(1+$EB95+各项系数!$J$5+各项系数!$L$5)</f>
        <v>914.99687747288317</v>
      </c>
      <c r="DZ95" s="199">
        <f t="shared" si="357"/>
        <v>888.34648298338175</v>
      </c>
      <c r="EA95" s="214">
        <f t="shared" si="439"/>
        <v>0</v>
      </c>
      <c r="EB95" s="214">
        <f t="shared" si="358"/>
        <v>0.01</v>
      </c>
      <c r="EC95" s="235">
        <f t="shared" si="408"/>
        <v>5</v>
      </c>
      <c r="ED95" s="237" t="str">
        <f t="shared" si="442"/>
        <v>5*300</v>
      </c>
      <c r="EE95" s="78">
        <f t="shared" si="491"/>
        <v>300</v>
      </c>
      <c r="EF95" s="78" t="str">
        <f>LOOKUP(EH95,{1,7,10,14,19,24,30,37,48,61},{1,"1+6","2+8","4+10","1+6+12","2+8+14","4+10+16","1+6+12+18","3+9+15+21","1+6+12+18+24"})</f>
        <v>1+6+12+18+24</v>
      </c>
      <c r="EG95" s="106">
        <f t="shared" si="359"/>
        <v>5</v>
      </c>
      <c r="EH95" s="199">
        <f>VLOOKUP(EE95,各项系数!$B$87:$C$124,2,0)</f>
        <v>61</v>
      </c>
      <c r="EI95" s="106">
        <f>IF(EH95=0,0,VLOOKUP(EH95,各项系数!$D$142:$E$195,2,0))*1</f>
        <v>9</v>
      </c>
      <c r="EJ95" s="240">
        <f t="shared" si="409"/>
        <v>245.118138379664</v>
      </c>
      <c r="EK95" s="78">
        <f t="shared" si="332"/>
        <v>0</v>
      </c>
      <c r="EL95" s="78">
        <f t="shared" si="360"/>
        <v>0</v>
      </c>
      <c r="EM95" s="78">
        <f t="shared" si="443"/>
        <v>0</v>
      </c>
      <c r="EN95" s="78">
        <f>IF(EP95=0,0,LOOKUP(EP95,{1,7,10,14,19,24,30,37,48,61},{1,"1+6","2+8","4+10","1+6+12","2+8+14","4+10+16","1+6+12+18","3+9+15+21","1+6+12+18+24"}))</f>
        <v>0</v>
      </c>
      <c r="EO95" s="78">
        <f t="shared" si="334"/>
        <v>0</v>
      </c>
      <c r="EP95" s="78">
        <f>IF(EM95=0,0,IF(EM95&lt;10,1,IF(AND(EM95&gt;=10,EM95&lt;=35),7,LOOKUP(EM95,{50,70,95,120,150,185,240,300},{10,14,19,24,30,37,48,61})*1)))</f>
        <v>0</v>
      </c>
      <c r="EQ95" s="78">
        <f>IF(EP95=0,0,VLOOKUP(EP95,各项系数!$D$142:$E$195,2,0))*1</f>
        <v>0</v>
      </c>
      <c r="ER95" s="78">
        <f t="shared" si="335"/>
        <v>0</v>
      </c>
      <c r="ES95" s="237">
        <f t="shared" si="444"/>
        <v>5</v>
      </c>
      <c r="ET95" s="78">
        <f>VLOOKUP(ES95,各项系数!$D$142:$E$195,2,0)*1</f>
        <v>2.7</v>
      </c>
      <c r="EU95" s="243">
        <f>((各项系数!$F$76/4*$EJ95^2*$EG95*$EH95*1*10^-7)*(1-$H95)*AA95)*(VLOOKUP($EY$9,各项系数!$D$4:$F$143,3,0))*各项系数!$J$4</f>
        <v>12.98570801146974</v>
      </c>
      <c r="EV95" s="244">
        <f>EU95*(VLOOKUP($EY$9,各项系数!$D$4:$F$143,2,0))</f>
        <v>850.56387475126792</v>
      </c>
      <c r="EW95" s="252">
        <f>(IF($EO95=0,0,(各项系数!$F$76/4*$ER95^2*$EO95*$EP95*1*10^-7))*(1-$K95)*$AF95)*(VLOOKUP($EY$9,各项系数!$D$4:$F$143,3,0))*各项系数!$J$4</f>
        <v>0</v>
      </c>
      <c r="EX95" s="253">
        <f>EW95*(VLOOKUP($EY$9,各项系数!$D$4:$F$143,2,0))</f>
        <v>0</v>
      </c>
      <c r="EY95" s="189">
        <f>((各项系数!$F$76/4*$EJ95^2*$EG95*$EH95*1*10^-7)*(1-$H95)*AA95+IF($EO95=0,0,(各项系数!$F$76/4*$ER95^2*$EO95*$EP95*1*10^-7))*(1-$K95)*$AF95)*(VLOOKUP($EY$9,各项系数!$D$4:$F$143,3,0))*各项系数!$J$4</f>
        <v>12.98570801146974</v>
      </c>
      <c r="EZ95" s="106">
        <v>1</v>
      </c>
      <c r="FA95" s="78">
        <f t="shared" si="445"/>
        <v>12.98570801146974</v>
      </c>
      <c r="FB95" s="246">
        <f>FA95*(VLOOKUP($EY$9,各项系数!$D$4:$F$143,2,0))</f>
        <v>850.56387475126792</v>
      </c>
      <c r="FC95" s="257"/>
      <c r="FD95" s="237">
        <f>各项系数!$F$76/4*($MN95^2-MK95^2)*10^-2*(VLOOKUP(L95,各项系数!$D$1:$F$143,3,0))*10^-3*10^2*$EG95*各项系数!$J$4</f>
        <v>0.73839729727244352</v>
      </c>
      <c r="FE95" s="264">
        <f>FD95*VLOOKUP(L95,各项系数!$D$1:$F$143,2,0)</f>
        <v>7.5316524321789231</v>
      </c>
      <c r="FF95" s="106">
        <f>各项系数!$F$76/4*($MO95^2-ML95^2)*10^-2*(VLOOKUP(L95,各项系数!$D$1:$F$143,3,0))*10^-3*10^2*$EO95*各项系数!$J$4</f>
        <v>0</v>
      </c>
      <c r="FG95" s="264">
        <f>FF95*VLOOKUP(L95,各项系数!$D$1:$F$143,2,0)</f>
        <v>0</v>
      </c>
      <c r="FH95" s="237">
        <f t="shared" si="410"/>
        <v>0.73839729727244352</v>
      </c>
      <c r="FI95" s="106">
        <v>1</v>
      </c>
      <c r="FJ95" s="78">
        <f t="shared" si="446"/>
        <v>0.73839729727244352</v>
      </c>
      <c r="FK95" s="264">
        <f>FJ95*VLOOKUP(L95,各项系数!$D$1:$F$143,2,0)</f>
        <v>7.5316524321789231</v>
      </c>
      <c r="FL95" s="237"/>
      <c r="FM95" s="106"/>
      <c r="FN95" s="78"/>
      <c r="FO95" s="264"/>
      <c r="FP95" s="289">
        <f t="shared" si="447"/>
        <v>0.73839729727244352</v>
      </c>
      <c r="FQ95" s="289">
        <f t="shared" si="448"/>
        <v>7.5316524321789231</v>
      </c>
      <c r="FR95" s="283">
        <f>各项系数!$F$76/4*($MQ95^2-$MN95^2*$EG95-$MO95^2*$EO95)*10^-2</f>
        <v>11.842954881239168</v>
      </c>
      <c r="FS95" s="284">
        <f t="shared" si="411"/>
        <v>1</v>
      </c>
      <c r="FT95" s="285">
        <f t="shared" si="361"/>
        <v>11.842954881239168</v>
      </c>
      <c r="FU95" s="309">
        <f>$FT95*(VLOOKUP($FT$9,各项系数!$D$1:$F$143,3,0))*10^-3*10^2*各项系数!$J$55</f>
        <v>1.4140488128199566</v>
      </c>
      <c r="FV95" s="310">
        <v>1</v>
      </c>
      <c r="FW95" s="311">
        <f t="shared" si="449"/>
        <v>1.4140488128199566</v>
      </c>
      <c r="FX95" s="290">
        <f>FW95*(VLOOKUP($FT$9,各项系数!$D$1:$F$143,2,0))</f>
        <v>4.2421464384598702</v>
      </c>
      <c r="FY95" s="309">
        <f>IF($BK95&lt;&gt;$FY$9,0,各项系数!$F$76/4*($MS95^2-$MQ95^2)*10^-2*(VLOOKUP($FY$9,各项系数!$D$1:$F$143,3,0))*10^-3*10^2)*各项系数!$J$4</f>
        <v>0</v>
      </c>
      <c r="FZ95" s="310">
        <v>1</v>
      </c>
      <c r="GA95" s="311">
        <f t="shared" si="450"/>
        <v>0</v>
      </c>
      <c r="GB95" s="290">
        <f>GA95*(VLOOKUP($FY$9,各项系数!$D$1:$F$143,2,0))</f>
        <v>0</v>
      </c>
      <c r="GC95" s="309">
        <f>IF($BK95&lt;&gt;$GC$9,0,各项系数!$F$76/4*($MS95^2-$MQ95^2)*10^-2*(VLOOKUP($GC$9,各项系数!$D$1:$F$143,3,0))*10^-3*10^2)*各项系数!$J$4</f>
        <v>1.8891794145348906E-2</v>
      </c>
      <c r="GD95" s="310">
        <v>1</v>
      </c>
      <c r="GE95" s="311">
        <f t="shared" si="451"/>
        <v>1.8891794145348906E-2</v>
      </c>
      <c r="GF95" s="290">
        <f>GE95*(VLOOKUP($GC$9,各项系数!$D$1:$F$143,2,0))</f>
        <v>0.24370414447500091</v>
      </c>
      <c r="GG95" s="309">
        <f>IF($BK95&lt;&gt;$GG$9,0,各项系数!$F$76/4*($MS95^2-$MQ95^2)*10^-2*(VLOOKUP($GG$9,各项系数!$D$1:$F$143,3,0))*10^-3*10^2)*各项系数!$J$4</f>
        <v>0</v>
      </c>
      <c r="GH95" s="310">
        <v>1</v>
      </c>
      <c r="GI95" s="311">
        <f t="shared" si="452"/>
        <v>0</v>
      </c>
      <c r="GJ95" s="290">
        <f>GI95*(VLOOKUP($GG$9,各项系数!$D$1:$F$143,2,0))</f>
        <v>0</v>
      </c>
      <c r="GK95" s="309">
        <f>IF($BK95&lt;&gt;$GK$9,0,各项系数!$F$76/4*($MS95^2-$MQ95^2)*10^-2*(VLOOKUP($GK$9,各项系数!$D$1:$F$143,3,0))*10^-3*10^2)*各项系数!$J$4</f>
        <v>0</v>
      </c>
      <c r="GL95" s="310">
        <v>1</v>
      </c>
      <c r="GM95" s="311">
        <f t="shared" si="453"/>
        <v>0</v>
      </c>
      <c r="GN95" s="290">
        <f>GM95*(VLOOKUP($GK$9,各项系数!$D$1:$F$143,2,0))</f>
        <v>0</v>
      </c>
      <c r="GO95" s="311">
        <f t="shared" si="454"/>
        <v>1.8891794145348906E-2</v>
      </c>
      <c r="GP95" s="311">
        <f t="shared" si="455"/>
        <v>0.24370414447500091</v>
      </c>
      <c r="GQ95" s="317">
        <f>各项系数!$F$76/4*($MU95^2-$MS95^2)*10^-2*(VLOOKUP($S95,各项系数!$D$1:$F$143,3,0))*10^-3*10^2*各项系数!$J$4</f>
        <v>1.2871765935462045</v>
      </c>
      <c r="GR95" s="310">
        <v>1</v>
      </c>
      <c r="GS95" s="311">
        <f t="shared" si="456"/>
        <v>1.2871765935462045</v>
      </c>
      <c r="GT95" s="311">
        <f t="shared" si="457"/>
        <v>0</v>
      </c>
      <c r="GU95" s="311">
        <f>ROUND($GS95*(VLOOKUP($S95,各项系数!$D$1:$F$143,2,0))+$E$3*GS95,GT95)</f>
        <v>7</v>
      </c>
      <c r="GV95" s="315">
        <f>各项系数!$F$76/4*($MT95^2-$MS95^2)*10^-2*(VLOOKUP($GV$9,各项系数!$D$1:$F$143,3,0))*10^-3*10^2*各项系数!$J$4*PI()/4*R95</f>
        <v>9.7135376880448099E-2</v>
      </c>
      <c r="GW95" s="310">
        <v>1</v>
      </c>
      <c r="GX95" s="311">
        <f t="shared" si="458"/>
        <v>9.7135376880448099E-2</v>
      </c>
      <c r="GY95" s="311">
        <f>$GX95*(VLOOKUP($GV$9,各项系数!$D$1:$F$143,2,0))</f>
        <v>6.5566379394302468</v>
      </c>
      <c r="GZ95" s="317">
        <f>各项系数!$F$76/4*($MV95^2-$MS95^2)*10^-2*(VLOOKUP($GZ$9,各项系数!$D$1:$F$143,3,0))*10^-3*10^2*各项系数!$J$4</f>
        <v>1.1228126484451153</v>
      </c>
      <c r="HA95" s="310">
        <v>1</v>
      </c>
      <c r="HB95" s="311">
        <f t="shared" si="412"/>
        <v>1.1228126484451153</v>
      </c>
      <c r="HC95" s="311">
        <f>HB95*(VLOOKUP($GZ$9,各项系数!$D$1:$F$143,2,0))</f>
        <v>19.087815023566961</v>
      </c>
      <c r="HD95" s="317">
        <f>各项系数!$F$76/4*($MW95^2-$MT95^2)*10^-2*(VLOOKUP($HD$9,各项系数!$D$1:$F$143,3,0))*10^-3*10^2*各项系数!$J$4</f>
        <v>1.1252783462888414</v>
      </c>
      <c r="HE95" s="310">
        <v>1</v>
      </c>
      <c r="HF95" s="311">
        <f t="shared" si="413"/>
        <v>1.1252783462888414</v>
      </c>
      <c r="HG95" s="311">
        <f>HF95*(VLOOKUP($HD$9,各项系数!$D$1:$F$143,2,0))</f>
        <v>19.129731886910303</v>
      </c>
      <c r="HH95" s="317">
        <f>各项系数!$F$76/4*($MV95^2-$MS95^2)*10^-2*(VLOOKUP($HH$9,各项系数!$D$1:$F$143,3,0))*10^-3*10^2*各项系数!$J$4</f>
        <v>1.1228126484451153</v>
      </c>
      <c r="HI95" s="311">
        <v>1</v>
      </c>
      <c r="HJ95" s="311">
        <f t="shared" si="414"/>
        <v>1.1228126484451153</v>
      </c>
      <c r="HK95" s="311">
        <f>HJ95*(VLOOKUP($HH$9,各项系数!$D$1:$F$143,2,0))</f>
        <v>19.087815023566961</v>
      </c>
      <c r="HL95" s="317">
        <f>各项系数!$F$76/4*($MW95^2-$MT95^2)*10^-2*(VLOOKUP($HL$9,各项系数!$D$1:$F$143,3,0))*10^-3*10^2*各项系数!$J$4</f>
        <v>1.1252783462888414</v>
      </c>
      <c r="HM95" s="311">
        <v>1</v>
      </c>
      <c r="HN95" s="311">
        <f t="shared" si="362"/>
        <v>1.1252783462888414</v>
      </c>
      <c r="HO95" s="311">
        <f>HN95*(VLOOKUP($HL$9,各项系数!$D$1:$F$143,2,0))</f>
        <v>19.129731886910303</v>
      </c>
      <c r="HP95" s="317">
        <f>各项系数!$F$76/4*($MV95^2-$MS95^2)*10^-2*(VLOOKUP(AN95,各项系数!$D$1:$F$143,3,0))*10^-3*10^2*各项系数!$J$4</f>
        <v>1.1382997194581514</v>
      </c>
      <c r="HQ95" s="310">
        <v>1</v>
      </c>
      <c r="HR95" s="311">
        <f t="shared" si="459"/>
        <v>1.1382997194581514</v>
      </c>
      <c r="HS95" s="311">
        <f>HR95*(VLOOKUP(AN95,各项系数!$D$1:$F$143,2,0))</f>
        <v>11.382997194581515</v>
      </c>
      <c r="HT95" s="317">
        <f>各项系数!$F$76/4*($MW95^2-$MT95^2)*10^-2*(VLOOKUP(AN95,各项系数!$D$1:$F$143,3,0))*10^-3*10^2*各项系数!$J$4</f>
        <v>1.1407994269273085</v>
      </c>
      <c r="HU95" s="310">
        <v>1</v>
      </c>
      <c r="HV95" s="311">
        <f t="shared" si="460"/>
        <v>1.1407994269273085</v>
      </c>
      <c r="HW95" s="311">
        <f>HV95*(VLOOKUP(AN95,各项系数!$D$1:$F$143,2,0))</f>
        <v>11.407994269273086</v>
      </c>
      <c r="HX95" s="317">
        <f>各项系数!$F$76/4*($MV95^2-$MS95^2)*10^-2*(VLOOKUP($HX$9,各项系数!$D$1:$F$143,3,0))*10^-3*10^2*各项系数!$J$4</f>
        <v>1.1382997194581514</v>
      </c>
      <c r="HY95" s="311">
        <v>1</v>
      </c>
      <c r="HZ95" s="311">
        <f t="shared" si="461"/>
        <v>1.1382997194581514</v>
      </c>
      <c r="IA95" s="311">
        <f>HZ95*(VLOOKUP($HX$9,各项系数!$D$1:$F$143,2,0))</f>
        <v>12.521296914039667</v>
      </c>
      <c r="IB95" s="317">
        <f>各项系数!$F$76/4*($MW95^2-$MT95^2)*10^-2*(VLOOKUP($IB$9,各项系数!$D$1:$F$143,3,0))*10^-3*10^2*各项系数!$J$4</f>
        <v>1.1407994269273085</v>
      </c>
      <c r="IC95" s="311">
        <v>1</v>
      </c>
      <c r="ID95" s="311">
        <f t="shared" si="462"/>
        <v>1.1407994269273085</v>
      </c>
      <c r="IE95" s="311">
        <f>ID95*(VLOOKUP($IB$9,各项系数!$D$1:$F$143,2,0))</f>
        <v>12.548793696200393</v>
      </c>
      <c r="IF95" s="309"/>
      <c r="IG95" s="317">
        <f t="shared" si="415"/>
        <v>0.15726770673208268</v>
      </c>
      <c r="IH95" s="310">
        <v>1</v>
      </c>
      <c r="II95" s="311">
        <f t="shared" si="463"/>
        <v>0.15726770673208268</v>
      </c>
      <c r="IJ95" s="311">
        <f>II95*(VLOOKUP($IG$8,各项系数!$D$1:$F$143,2,0))</f>
        <v>3.931692668302067</v>
      </c>
      <c r="IK95" s="317">
        <f>(各项系数!$F$76/4*($MX95^2-$MK95^2)*$EG95)*10^-2*(VLOOKUP($IG$8,各项系数!$D$1:$F$143,3,0))*10^-3*10^2*各项系数!$J$4</f>
        <v>0.15726770673208268</v>
      </c>
      <c r="IL95" s="310">
        <f>IK95*(VLOOKUP($IG$8,各项系数!$D$1:$F$143,2,0))</f>
        <v>3.931692668302067</v>
      </c>
      <c r="IM95" s="311">
        <f>(各项系数!$F$76/4*(($MM95+3*$X95)^2-MM95^2)*$EO95)*10^-2*(VLOOKUP($IG$8,各项系数!$D$1:$F$143,3,0))*10^-3*10^2*各项系数!$J$4</f>
        <v>0</v>
      </c>
      <c r="IN95" s="310">
        <f>IM95*(VLOOKUP($IG$8,各项系数!$D$1:$F$143,2,0))</f>
        <v>0</v>
      </c>
      <c r="IO95" s="317">
        <f>各项系数!$F$76/4*($MZ95^2-$MX95^2)*10^-2*(VLOOKUP(L95,各项系数!$D$1:$F$143,3,0))*10^-3*10^2*$ES95*各项系数!$J$4</f>
        <v>0.7569650523329553</v>
      </c>
      <c r="IP95" s="310">
        <v>1</v>
      </c>
      <c r="IQ95" s="311">
        <f t="shared" si="464"/>
        <v>0.7569650523329553</v>
      </c>
      <c r="IR95" s="290">
        <f>IQ95*(VLOOKUP(L95,各项系数!$D$1:$F$143,2,0))</f>
        <v>7.7210435337961432</v>
      </c>
      <c r="IS95" s="317">
        <f>IF($L95&lt;&gt;$IS$9,0,各项系数!$F$76/4*($MZ95^2-$MX95^2)*10^-2*各项系数!$F$12*10^-3*10^2)*$ES95*各项系数!$J$4</f>
        <v>0</v>
      </c>
      <c r="IT95" s="310">
        <v>1</v>
      </c>
      <c r="IU95" s="311">
        <f t="shared" si="465"/>
        <v>0</v>
      </c>
      <c r="IV95" s="290">
        <f>IU95*各项系数!$E$12</f>
        <v>0</v>
      </c>
      <c r="IW95" s="309">
        <f t="shared" si="466"/>
        <v>0.7569650523329553</v>
      </c>
      <c r="IX95" s="309">
        <f t="shared" si="467"/>
        <v>7.7210435337961432</v>
      </c>
      <c r="IY95" s="339">
        <f>各项系数!$F$76/4*($NB95^2-$MZ95^2*$EG95-$NA95^2*$EO95)*10^-2</f>
        <v>12.403256500617779</v>
      </c>
      <c r="IZ95" s="284">
        <f t="shared" si="487"/>
        <v>1</v>
      </c>
      <c r="JA95" s="285">
        <f t="shared" si="363"/>
        <v>12.403256500617779</v>
      </c>
      <c r="JB95" s="289">
        <f>IF($DE95&lt;&gt;$JB$9,0,$JA95*各项系数!$F$32*10^-3*10^2)*各项系数!$J$4</f>
        <v>0</v>
      </c>
      <c r="JC95" s="106">
        <v>1</v>
      </c>
      <c r="JD95" s="78">
        <f t="shared" si="468"/>
        <v>0</v>
      </c>
      <c r="JE95" s="264">
        <f>JD95*各项系数!$E$32</f>
        <v>0</v>
      </c>
      <c r="JF95" s="282">
        <f>IF($DE95&lt;&gt;$JF$9,0,$JA95*VLOOKUP($JF$9,各项系数!$D$4:$F$540,2,0)*10^-3*10^2)*各项系数!$J$4</f>
        <v>6.1706201090573449</v>
      </c>
      <c r="JG95" s="102">
        <v>1</v>
      </c>
      <c r="JH95" s="189">
        <f t="shared" si="364"/>
        <v>6.1706201090573449</v>
      </c>
      <c r="JI95" s="262">
        <f>JH95*VLOOKUP($JF$9,各项系数!$D$4:$F$540,3,0)</f>
        <v>7.4047441308688136</v>
      </c>
      <c r="JJ95" s="289">
        <f t="shared" si="469"/>
        <v>6.1706201090573449</v>
      </c>
      <c r="JK95" s="78">
        <f t="shared" si="470"/>
        <v>7.4047441308688136</v>
      </c>
      <c r="JL95" s="289">
        <f>IF($DF95&lt;&gt;$JL$9,0,各项系数!$F$76/4*($NE95^2-$NC95^2)*10^-2*各项系数!$F$39*10^-3*10^2)*各项系数!$J$4</f>
        <v>7.9924291206451333E-3</v>
      </c>
      <c r="JM95" s="106">
        <v>1</v>
      </c>
      <c r="JN95" s="78">
        <f t="shared" si="471"/>
        <v>7.9924291206451333E-3</v>
      </c>
      <c r="JO95" s="264">
        <f>JN95*各项系数!$E$39</f>
        <v>0.15984858241290267</v>
      </c>
      <c r="JP95" s="289">
        <f>IF($DF95&lt;&gt;$JP$9,0,各项系数!$F$76/4*($NE95^2-$NC95^2)*10^-2*各项系数!$F$36*10^-3*10^2)*各项系数!$J$4</f>
        <v>0</v>
      </c>
      <c r="JQ95" s="106">
        <v>1</v>
      </c>
      <c r="JR95" s="78">
        <f t="shared" si="472"/>
        <v>0</v>
      </c>
      <c r="JS95" s="264">
        <f>JR95*各项系数!$E$36</f>
        <v>0</v>
      </c>
      <c r="JT95" s="289">
        <f>IF($DF95&lt;&gt;$JT$9,0,各项系数!$F$76/4*($NE95^2-$NC95^2)*10^-2*各项系数!$F$40*10^-3*10^2)*各项系数!$J$4</f>
        <v>0</v>
      </c>
      <c r="JU95" s="106">
        <v>1</v>
      </c>
      <c r="JV95" s="78">
        <f t="shared" si="473"/>
        <v>0</v>
      </c>
      <c r="JW95" s="264">
        <f>JV95*各项系数!$E$40</f>
        <v>0</v>
      </c>
      <c r="JX95" s="289">
        <f>IF($DF95&lt;&gt;$JX$9,0,各项系数!$F$76/4*($NE95^2-$NC95^2)*10^-2*各项系数!$F$38*10^-3*10^2)*各项系数!$J$4</f>
        <v>0</v>
      </c>
      <c r="JY95" s="106">
        <v>1</v>
      </c>
      <c r="JZ95" s="78">
        <f t="shared" si="474"/>
        <v>0</v>
      </c>
      <c r="KA95" s="264">
        <f>JZ95*各项系数!$E$38</f>
        <v>0</v>
      </c>
      <c r="KB95" s="289">
        <f>IF($DF95&lt;&gt;$KB$9,0,各项系数!$F$76/4*($NE95^2-$NC95^2)*10^-2*各项系数!$F$41*10^-3*10^2)*各项系数!$J$4</f>
        <v>0</v>
      </c>
      <c r="KC95" s="106">
        <v>1</v>
      </c>
      <c r="KD95" s="78">
        <f t="shared" si="475"/>
        <v>0</v>
      </c>
      <c r="KE95" s="264">
        <f>KD95*各项系数!$E$41</f>
        <v>0</v>
      </c>
      <c r="KF95" s="78">
        <f t="shared" si="476"/>
        <v>7.9924291206451333E-3</v>
      </c>
      <c r="KG95" s="78">
        <f t="shared" si="477"/>
        <v>0.15984858241290267</v>
      </c>
      <c r="KH95" s="237">
        <f>各项系数!$F$76/4*($NG95^2-$NE95^2)*10^-2*各项系数!$F$44*10^-3*10^2*各项系数!$J$4*0.75*$U95</f>
        <v>1.9770748407475836</v>
      </c>
      <c r="KI95" s="106">
        <v>1</v>
      </c>
      <c r="KJ95" s="78">
        <f t="shared" si="478"/>
        <v>1.9770748407475836</v>
      </c>
      <c r="KK95" s="78">
        <f>ROUND(KJ95*各项系数!$E$43,GT95)</f>
        <v>11</v>
      </c>
      <c r="KL95" s="235">
        <f>各项系数!$F$76/4*($NF95^2-$NE95^2)*10^-2*各项系数!$F$46*10^-3*10^2*各项系数!$J$4*PI()/4*R95</f>
        <v>9.9487644102684125E-2</v>
      </c>
      <c r="KM95" s="106">
        <v>1</v>
      </c>
      <c r="KN95" s="78">
        <f t="shared" si="479"/>
        <v>9.9487644102684125E-2</v>
      </c>
      <c r="KO95" s="78">
        <f>KN95*各项系数!$E$46</f>
        <v>6.7154159769311788</v>
      </c>
      <c r="KP95" s="237">
        <f>各项系数!$F$76/4*($NH95^2-$NE95^2)*10^-2*(VLOOKUP($KP$9,各项系数!$D$1:$F$143,3,0))*10^-3*10^2*各项系数!$J$4</f>
        <v>1.148764118250331</v>
      </c>
      <c r="KQ95" s="106">
        <v>1</v>
      </c>
      <c r="KR95" s="78">
        <f t="shared" si="416"/>
        <v>1.148764118250331</v>
      </c>
      <c r="KS95" s="78">
        <f>KR95*(VLOOKUP($KP$9,各项系数!$D$1:$F$143,2,0))</f>
        <v>19.528990010255626</v>
      </c>
      <c r="KT95" s="237">
        <f>各项系数!$F$76/4*($NI95^2-$NF95^2)*10^-2*(VLOOKUP($KT$9,各项系数!$D$1:$F$143,3,0))*10^-3*10^2*各项系数!$J$4</f>
        <v>1.1512298160940564</v>
      </c>
      <c r="KU95" s="106">
        <v>1</v>
      </c>
      <c r="KV95" s="78">
        <f t="shared" si="417"/>
        <v>1.1512298160940564</v>
      </c>
      <c r="KW95" s="78">
        <f>KV95*(VLOOKUP($KT$9,各项系数!$D$1:$F$143,2,0))</f>
        <v>19.570906873598958</v>
      </c>
      <c r="KX95" s="78">
        <f>各项系数!$F$76/4*($NH95^2-$NE95^2)*10^-2*(VLOOKUP($KX$9,各项系数!$D$1:$F$143,3,0))*10^-3*10^2*各项系数!$J$4</f>
        <v>1.148764118250331</v>
      </c>
      <c r="KY95" s="355">
        <v>1</v>
      </c>
      <c r="KZ95" s="78">
        <f t="shared" si="418"/>
        <v>1.148764118250331</v>
      </c>
      <c r="LA95" s="78">
        <f>KZ95*(VLOOKUP($KX$9,各项系数!$D$1:$F$143,2,0))</f>
        <v>19.528990010255626</v>
      </c>
      <c r="LB95" s="78">
        <f>各项系数!$F$76/4*($NI95^2-$NF95^2)*10^-2*(VLOOKUP($LB$9,各项系数!$D$1:$F$143,3,0))*10^-3*10^2*各项系数!$J$4</f>
        <v>1.1512298160940564</v>
      </c>
      <c r="LC95" s="355">
        <v>1</v>
      </c>
      <c r="LD95" s="78">
        <f t="shared" si="419"/>
        <v>1.1512298160940564</v>
      </c>
      <c r="LE95" s="78">
        <f>LD95*(VLOOKUP($LB$9,各项系数!$D$1:$F$143,2,0))</f>
        <v>19.570906873598958</v>
      </c>
      <c r="LF95" s="237">
        <f>各项系数!$F$76/4*($NH95^2-$NE95^2)*10^-2*(VLOOKUP(AN95,各项系数!$D$1:$F$143,3,0))*10^-3*10^2*各项系数!$J$4</f>
        <v>1.1646091405710253</v>
      </c>
      <c r="LG95" s="106">
        <v>1</v>
      </c>
      <c r="LH95" s="78">
        <f t="shared" si="480"/>
        <v>1.1646091405710253</v>
      </c>
      <c r="LI95" s="78">
        <f>LH95*(VLOOKUP(AN95,各项系数!$D$1:$F$143,2,0))</f>
        <v>11.646091405710253</v>
      </c>
      <c r="LJ95" s="237">
        <f>各项系数!$F$76/4*($NI95^2-$NF95^2)*10^-2*(VLOOKUP(AN95,各项系数!$D$1:$F$143,3,0))*10^-3*10^2*各项系数!$J$4</f>
        <v>1.1671088480401814</v>
      </c>
      <c r="LK95" s="106">
        <v>1</v>
      </c>
      <c r="LL95" s="78">
        <f t="shared" si="481"/>
        <v>1.1671088480401814</v>
      </c>
      <c r="LM95" s="78">
        <f>LL95*(VLOOKUP(AN95,各项系数!$D$1:$F$143,2,0))</f>
        <v>11.671088480401814</v>
      </c>
      <c r="LN95" s="78">
        <f>各项系数!$F$76/4*($NH95^2-$NE95^2)*10^-2*(VLOOKUP($LN$9,各项系数!$D$1:$F$143,3,0))*10^-3*10^2*各项系数!$J$4</f>
        <v>1.1646091405710253</v>
      </c>
      <c r="LO95" s="355">
        <v>1</v>
      </c>
      <c r="LP95" s="78">
        <f t="shared" si="482"/>
        <v>1.1646091405710253</v>
      </c>
      <c r="LQ95" s="78">
        <f>LP95*(VLOOKUP($LN$9,各项系数!$D$1:$F$143,2,0))</f>
        <v>12.810700546281279</v>
      </c>
      <c r="LR95" s="78">
        <f>各项系数!$F$76/4*($NI95^2-$NF95^2)*10^-2*(VLOOKUP($LR$9,各项系数!$D$1:$F$143,3,0))*10^-3*10^2*各项系数!$J$4</f>
        <v>1.1671088480401814</v>
      </c>
      <c r="LS95" s="355">
        <v>1</v>
      </c>
      <c r="LT95" s="78">
        <f t="shared" si="483"/>
        <v>1.1671088480401814</v>
      </c>
      <c r="LU95" s="78">
        <f>LT95*(VLOOKUP($LR$9,各项系数!$D$1:$F$143,2,0))</f>
        <v>12.838197328441996</v>
      </c>
      <c r="LV95" s="367">
        <f t="shared" si="420"/>
        <v>1911.1545222699999</v>
      </c>
      <c r="LW95" s="367">
        <f t="shared" si="421"/>
        <v>1439.26451677</v>
      </c>
      <c r="LX95" s="367">
        <f t="shared" si="422"/>
        <v>42.808042446317359</v>
      </c>
      <c r="LY95" s="367">
        <f t="shared" si="423"/>
        <v>471.89000549999992</v>
      </c>
      <c r="LZ95" s="374">
        <f t="shared" si="365"/>
        <v>1</v>
      </c>
      <c r="MA95" s="375">
        <f t="shared" si="366"/>
        <v>1911.1545222699999</v>
      </c>
      <c r="MB95" s="367">
        <f t="shared" si="424"/>
        <v>22.060632420000001</v>
      </c>
      <c r="MC95" s="367">
        <f t="shared" si="425"/>
        <v>0</v>
      </c>
      <c r="MD95" s="367">
        <f t="shared" si="426"/>
        <v>0</v>
      </c>
      <c r="ME95" s="367">
        <f t="shared" si="427"/>
        <v>0</v>
      </c>
      <c r="MF95" s="367">
        <f t="shared" si="428"/>
        <v>0</v>
      </c>
      <c r="MG95" s="379">
        <f t="shared" si="429"/>
        <v>1</v>
      </c>
      <c r="MH95" s="375">
        <f t="shared" si="367"/>
        <v>0</v>
      </c>
      <c r="MI95" s="367">
        <f t="shared" si="430"/>
        <v>0</v>
      </c>
      <c r="MJ95" s="78">
        <f t="shared" si="368"/>
        <v>22.060632420000001</v>
      </c>
      <c r="MK95" s="78">
        <f t="shared" si="431"/>
        <v>22.060632420000001</v>
      </c>
      <c r="ML95" s="78">
        <f t="shared" si="484"/>
        <v>0</v>
      </c>
      <c r="MM95" s="78">
        <f t="shared" si="369"/>
        <v>0</v>
      </c>
      <c r="MN95" s="78">
        <f t="shared" si="370"/>
        <v>25.660632420000002</v>
      </c>
      <c r="MO95" s="189">
        <f t="shared" si="432"/>
        <v>0</v>
      </c>
      <c r="MP95" s="78">
        <f t="shared" si="433"/>
        <v>69.283707530000001</v>
      </c>
      <c r="MQ95" s="78">
        <f t="shared" si="485"/>
        <v>69.283707530000001</v>
      </c>
      <c r="MR95" s="246">
        <f t="shared" si="434"/>
        <v>69.283707530000001</v>
      </c>
      <c r="MS95" s="380">
        <f t="shared" si="371"/>
        <v>69.459707530000003</v>
      </c>
      <c r="MT95" s="382">
        <f t="shared" si="372"/>
        <v>69.619707529999999</v>
      </c>
      <c r="MU95" s="382">
        <f t="shared" si="373"/>
        <v>70.959707530000003</v>
      </c>
      <c r="MV95" s="382">
        <f t="shared" si="374"/>
        <v>76.25970753</v>
      </c>
      <c r="MW95" s="382">
        <f t="shared" si="375"/>
        <v>76.419707529999997</v>
      </c>
      <c r="MX95" s="246">
        <f t="shared" si="376"/>
        <v>22.660632420000002</v>
      </c>
      <c r="MY95" s="246">
        <f t="shared" si="377"/>
        <v>0</v>
      </c>
      <c r="MZ95" s="78">
        <f t="shared" si="378"/>
        <v>26.260632420000004</v>
      </c>
      <c r="NA95" s="78">
        <f t="shared" si="379"/>
        <v>0</v>
      </c>
      <c r="NB95" s="78">
        <f t="shared" si="435"/>
        <v>70.903707530000005</v>
      </c>
      <c r="NC95" s="246">
        <f t="shared" si="486"/>
        <v>70.903707530000005</v>
      </c>
      <c r="ND95" s="246">
        <f t="shared" si="436"/>
        <v>70.903707530000005</v>
      </c>
      <c r="NE95" s="386">
        <f t="shared" si="437"/>
        <v>71.14370753</v>
      </c>
      <c r="NF95" s="382">
        <f t="shared" si="380"/>
        <v>71.303707529999997</v>
      </c>
      <c r="NG95" s="150">
        <f t="shared" si="381"/>
        <v>72.64370753</v>
      </c>
      <c r="NH95" s="246">
        <f t="shared" si="382"/>
        <v>77.943707529999998</v>
      </c>
      <c r="NI95" s="382">
        <f t="shared" si="383"/>
        <v>78.103707529999994</v>
      </c>
      <c r="NK95" s="390">
        <f t="shared" si="384"/>
        <v>16.295345635165638</v>
      </c>
      <c r="NL95" s="390">
        <f t="shared" si="385"/>
        <v>873.96437496096326</v>
      </c>
      <c r="NM95" s="390">
        <f t="shared" si="386"/>
        <v>16.295345635165638</v>
      </c>
      <c r="NN95" s="390">
        <f t="shared" si="387"/>
        <v>875.10267468042139</v>
      </c>
      <c r="NO95" s="390">
        <f t="shared" si="388"/>
        <v>21.243162449283794</v>
      </c>
      <c r="NP95" s="390">
        <f t="shared" si="389"/>
        <v>881.42729507235811</v>
      </c>
      <c r="NQ95" s="390">
        <f t="shared" si="390"/>
        <v>21.243162449283794</v>
      </c>
      <c r="NR95" s="390">
        <f t="shared" si="391"/>
        <v>882.59190421292908</v>
      </c>
      <c r="NS95" s="390">
        <f t="shared" si="392"/>
        <v>16.392481012046087</v>
      </c>
      <c r="NT95" s="390">
        <f t="shared" si="393"/>
        <v>16.392481012046087</v>
      </c>
      <c r="NU95" s="390">
        <f t="shared" si="394"/>
        <v>21.342650093386478</v>
      </c>
      <c r="NV95" s="390">
        <f t="shared" si="395"/>
        <v>21.342650093386478</v>
      </c>
      <c r="NW95" s="9">
        <f t="shared" si="396"/>
        <v>17.582522228711841</v>
      </c>
      <c r="NX95" s="9">
        <f>各项系数!$M$9*NK95</f>
        <v>4.888603690549691</v>
      </c>
      <c r="NY95" s="9">
        <f t="shared" si="397"/>
        <v>16.392481012046087</v>
      </c>
    </row>
    <row r="96" spans="1:389" s="9" customFormat="1" ht="15" hidden="1" customHeight="1">
      <c r="A96" s="65"/>
      <c r="B96" s="66"/>
      <c r="C96" s="67"/>
      <c r="D96" s="58" t="s">
        <v>927</v>
      </c>
      <c r="E96" s="399">
        <f t="shared" si="325"/>
        <v>85.931029409999994</v>
      </c>
      <c r="F96" s="68">
        <f>$F$32</f>
        <v>277.18119106381198</v>
      </c>
      <c r="G96" s="58"/>
      <c r="H96" s="16"/>
      <c r="I96" s="62"/>
      <c r="J96" s="16"/>
      <c r="K96" s="16"/>
      <c r="L96" s="107" t="s">
        <v>467</v>
      </c>
      <c r="M96" s="98">
        <f t="shared" si="339"/>
        <v>2</v>
      </c>
      <c r="N96" s="98">
        <f t="shared" si="340"/>
        <v>0</v>
      </c>
      <c r="O96" s="58">
        <f t="shared" si="488"/>
        <v>0.08</v>
      </c>
      <c r="P96" s="99">
        <v>0.1</v>
      </c>
      <c r="Q96" s="136">
        <f t="shared" si="489"/>
        <v>0.1</v>
      </c>
      <c r="R96" s="151">
        <v>0.8</v>
      </c>
      <c r="S96" s="144" t="str">
        <f>各项系数!$D$43</f>
        <v>钢带</v>
      </c>
      <c r="T96" s="62">
        <v>0.5</v>
      </c>
      <c r="U96" s="62">
        <v>2</v>
      </c>
      <c r="V96" s="143"/>
      <c r="W96" s="145">
        <v>3.8</v>
      </c>
      <c r="X96" s="139">
        <f t="shared" si="490"/>
        <v>0.2</v>
      </c>
      <c r="Y96" s="139"/>
      <c r="Z96" s="169"/>
      <c r="AA96" s="170">
        <f>$AA$32</f>
        <v>1.02</v>
      </c>
      <c r="AB96" s="153">
        <f>PI()*EJ96*EJ96/4*EH96*(1-H96)*AA96*各项系数!$F$5*各项系数!$J$4*10^-7</f>
        <v>3.3210257510184449</v>
      </c>
      <c r="AC96" s="170">
        <f t="shared" si="327"/>
        <v>277.18119106381198</v>
      </c>
      <c r="AD96" s="153">
        <f t="shared" si="341"/>
        <v>375.44593055473609</v>
      </c>
      <c r="AE96" s="153">
        <f>POWER(4*EU96/PI()/EG96/10^-7/EH96/(1-H96)/各项系数!$F$5/各项系数!$J$4,0.5)</f>
        <v>279.93928079700521</v>
      </c>
      <c r="AF96" s="16">
        <v>1</v>
      </c>
      <c r="AG96" s="16">
        <f>IF(EM96=0,0,PI()*ER96*ER96/4*EP96*(1-K96)*(1+AF96)*各项系数!$F$5*各项系数!$J$4*10^-7)</f>
        <v>0</v>
      </c>
      <c r="AH96" s="16">
        <f t="shared" si="328"/>
        <v>0</v>
      </c>
      <c r="AI96" s="69">
        <f t="shared" si="398"/>
        <v>0</v>
      </c>
      <c r="AJ96" s="69">
        <f>IF(OR(EP96="",EP96=0),0,POWER(4*EW96/PI()/EO96/10^-7/EP96/(1-K96)/各项系数!$F$5/各项系数!$J$4,0.5))</f>
        <v>0</v>
      </c>
      <c r="AK96" s="16" t="str">
        <f t="shared" si="342"/>
        <v>√</v>
      </c>
      <c r="AL96" s="16">
        <f t="shared" si="329"/>
        <v>1151.5809588040925</v>
      </c>
      <c r="AM96" s="106">
        <f t="shared" si="330"/>
        <v>400</v>
      </c>
      <c r="AN96" s="107" t="s">
        <v>486</v>
      </c>
      <c r="AO96" s="146">
        <f>AP96+各项系数!$M$9*$NK96</f>
        <v>1129.0009400040121</v>
      </c>
      <c r="AP96" s="146">
        <f>AQ96*(1+$BI96+(VLOOKUP($AM96,$A$12:$B$323,2,0))+各项系数!$J$6+各项系数!$M$5)*(1+$E$2)</f>
        <v>1122.7650094408634</v>
      </c>
      <c r="AQ96" s="199">
        <f>AR96+各项系数!$L$9*$NK96</f>
        <v>1145.6785810621056</v>
      </c>
      <c r="AR96" s="199">
        <f>AS96*(1+$BJ96+各项系数!$J$5+各项系数!$L$5)</f>
        <v>1139.4426504989569</v>
      </c>
      <c r="AS96" s="199">
        <f t="shared" si="399"/>
        <v>1117.1006377440754</v>
      </c>
      <c r="AT96" s="146">
        <f>AU96+各项系数!$M$9*$NM96</f>
        <v>1138.704098925562</v>
      </c>
      <c r="AU96" s="146">
        <f>AV96*(1+$BI96+(VLOOKUP($AM96,$A$12:$B$323,2,0))+各项系数!$J$6+各项系数!$M$5)*(1+$E$2)</f>
        <v>1132.4681683624133</v>
      </c>
      <c r="AV96" s="199">
        <f>AW96+各项系数!$L$9*$NM96</f>
        <v>1155.5797636351156</v>
      </c>
      <c r="AW96" s="199">
        <f>AX96*(1+$BJ96+各项系数!$J$5+各项系数!$L$5)</f>
        <v>1149.3438330719669</v>
      </c>
      <c r="AX96" s="199">
        <f t="shared" si="400"/>
        <v>1126.8076794823205</v>
      </c>
      <c r="AY96" s="146">
        <f>AZ96+各项系数!$M$9*$NS96</f>
        <v>1136.4840501935998</v>
      </c>
      <c r="AZ96" s="146">
        <f>BA96*(1+$BI96+(VLOOKUP($AM96,$A$12:$B$214,2,0))+各项系数!$J$6+各项系数!$M$5)*(1+$E$2)</f>
        <v>1130.2152614901288</v>
      </c>
      <c r="BA96" s="199">
        <f>BB96+各项系数!$L$9*$NS96</f>
        <v>1153.2808790715601</v>
      </c>
      <c r="BB96" s="199">
        <f>BC96*(1+$BJ96+各项系数!$J$5+各项系数!$L$5)</f>
        <v>1147.012090368089</v>
      </c>
      <c r="BC96" s="199">
        <f t="shared" si="401"/>
        <v>1124.5216572236168</v>
      </c>
      <c r="BD96" s="146">
        <f>BE96+各项系数!$M$9*$NS96</f>
        <v>1146.2061119030318</v>
      </c>
      <c r="BE96" s="146">
        <f>BF96*(1+$BI96+(VLOOKUP($AM96,$A$12:$B$214,2,0))+各项系数!$J$6+各项系数!$M$5)*(1+$E$2)</f>
        <v>1139.9373231995608</v>
      </c>
      <c r="BF96" s="199">
        <f>BG96+各项系数!$L$9*$NS96</f>
        <v>1163.2013502036334</v>
      </c>
      <c r="BG96" s="199">
        <f>BH96*(1+$BJ96+各项系数!$J$5+各项系数!$L$5)</f>
        <v>1156.9325615001624</v>
      </c>
      <c r="BH96" s="199">
        <f t="shared" si="402"/>
        <v>1134.2476093138846</v>
      </c>
      <c r="BI96" s="214"/>
      <c r="BJ96" s="215"/>
      <c r="BK96" s="78" t="s">
        <v>514</v>
      </c>
      <c r="BL96" s="146">
        <f>BM96+各项系数!$M$9*$NM96</f>
        <v>1141.3961125109856</v>
      </c>
      <c r="BM96" s="146">
        <f>BN96*(1+$CF96+(VLOOKUP($AM96,$A$12:$B$323,2,0))+各项系数!$J$6+各项系数!$M$5)*(1+$E$2)</f>
        <v>1135.1601819478369</v>
      </c>
      <c r="BN96" s="199">
        <f>BO96+各项系数!$L$9*$NM96</f>
        <v>1158.326716273303</v>
      </c>
      <c r="BO96" s="199">
        <f>BP96*(1+$CG96+各项系数!$J$5+各项系数!$L$5)</f>
        <v>1152.0907857101543</v>
      </c>
      <c r="BP96" s="199">
        <f t="shared" si="403"/>
        <v>1118.5347434079167</v>
      </c>
      <c r="BQ96" s="146">
        <f>BR96+各项系数!$M$9*$NM96</f>
        <v>1149.7468141844888</v>
      </c>
      <c r="BR96" s="146">
        <f>BS96*(1+$CF96+(VLOOKUP($AM96,$A$12:$B$323,2,0))+各项系数!$J$6+各项系数!$M$5)*(1+$E$2)</f>
        <v>1143.5108836213401</v>
      </c>
      <c r="BS96" s="199">
        <f>BT96+各项系数!$L$9*$NM96</f>
        <v>1166.847840429939</v>
      </c>
      <c r="BT96" s="199">
        <f>BU96*(1+$CG96+各项系数!$J$5+各项系数!$L$5)</f>
        <v>1160.6119098667903</v>
      </c>
      <c r="BU96" s="199">
        <f t="shared" si="404"/>
        <v>1126.8076794823205</v>
      </c>
      <c r="BV96" s="146">
        <f>BW96+各项系数!$M$9*$NT96</f>
        <v>1142.8194539494966</v>
      </c>
      <c r="BW96" s="146">
        <f>BX96*(1+$CF96+(VLOOKUP($AM96,$A$12:$B$214,2,0))+各项系数!$J$6+各项系数!$M$5)*(1+$E$2)</f>
        <v>1136.5506652460256</v>
      </c>
      <c r="BX96" s="199">
        <f>BY96+各项系数!$L$9*$NT$12</f>
        <v>1159.7455767816587</v>
      </c>
      <c r="BY96" s="199">
        <f>BZ96*(1+$CG96+各项系数!$J$5+各项系数!$L$5)</f>
        <v>1159.7373133785036</v>
      </c>
      <c r="BZ96" s="199">
        <f t="shared" si="343"/>
        <v>1125.9585566781589</v>
      </c>
      <c r="CA96" s="146">
        <f>CB96+各项系数!$M$9*$NT96</f>
        <v>1151.1864236799981</v>
      </c>
      <c r="CB96" s="146">
        <f>CC96*(1+$CF96+(VLOOKUP($AM96,$A$12:$B$214,2,0))+各项系数!$J$6+各项系数!$M$5)*(1+$E$2)</f>
        <v>1144.9176349765271</v>
      </c>
      <c r="CC96" s="199">
        <f>CD96+各项系数!$L$9*$NT$12</f>
        <v>1168.2833009964563</v>
      </c>
      <c r="CD96" s="199">
        <f>CE96*(1+$CG96+各项系数!$J$5+各项系数!$L$5)</f>
        <v>1168.2750375933012</v>
      </c>
      <c r="CE96" s="199">
        <f t="shared" si="405"/>
        <v>1134.2476093138846</v>
      </c>
      <c r="CF96" s="214">
        <f t="shared" si="406"/>
        <v>0</v>
      </c>
      <c r="CG96" s="214">
        <f t="shared" si="344"/>
        <v>0.01</v>
      </c>
      <c r="CH96" s="106"/>
      <c r="CI96" s="146">
        <f>CJ96+各项系数!$M$9*$NO96</f>
        <v>1147.7563813198399</v>
      </c>
      <c r="CJ96" s="146">
        <f>CK96*(1+$DC96+(VLOOKUP($AM96,$A$12:$B$323,2,0))+各项系数!$J$6+各项系数!$M$5)*(1+$E$2)+各项系数!$M$9*$NK96</f>
        <v>1139.6522733033687</v>
      </c>
      <c r="CK96" s="199">
        <f>CL96+各项系数!$L$9*$NO96</f>
        <v>1156.5472885104286</v>
      </c>
      <c r="CL96" s="199">
        <f>CM96*(1+$DD96+各项系数!$J$5+各项系数!$L$5)</f>
        <v>1148.4431804939575</v>
      </c>
      <c r="CM96" s="199">
        <f t="shared" si="345"/>
        <v>1125.9246867587817</v>
      </c>
      <c r="CN96" s="146">
        <f>CO96+各项系数!$M$9*$NO96</f>
        <v>1157.1656113887166</v>
      </c>
      <c r="CO96" s="146">
        <f>CP96*(1+$DC96+(VLOOKUP($AM96,$A$12:$B$323,2,0))+各项系数!$J$6+各项系数!$M$5)*(1+$E$2)+各项系数!$M$9*$NK96</f>
        <v>1149.0615033722454</v>
      </c>
      <c r="CP96" s="199">
        <f>CQ96+各项系数!$L$9*$NO96</f>
        <v>1166.1485436827518</v>
      </c>
      <c r="CQ96" s="199">
        <f>CR96*(1+$DD96+各项系数!$J$5+各项系数!$L$5)</f>
        <v>1158.0444356662806</v>
      </c>
      <c r="CR96" s="199">
        <f t="shared" si="346"/>
        <v>1135.3376820257654</v>
      </c>
      <c r="CS96" s="146">
        <f>CT96+各项系数!$M$9*$NU96</f>
        <v>1149.1636727192947</v>
      </c>
      <c r="CT96" s="146">
        <f t="shared" si="347"/>
        <v>1141.0260008823345</v>
      </c>
      <c r="CU96" s="199">
        <f>CV96+各项系数!$L$9*$NU96</f>
        <v>1164.3122457983006</v>
      </c>
      <c r="CV96" s="199">
        <f>CW96*(1+$DD96+各项系数!$J$5+各项系数!$L$5)</f>
        <v>1156.1745739613405</v>
      </c>
      <c r="CW96" s="199">
        <f t="shared" si="348"/>
        <v>1133.5044842758239</v>
      </c>
      <c r="CX96" s="146">
        <f>CY96+各项系数!$M$9*$NU96</f>
        <v>1159.0846862711821</v>
      </c>
      <c r="CY96" s="146">
        <f t="shared" si="349"/>
        <v>1150.947014434222</v>
      </c>
      <c r="CZ96" s="199">
        <f>DA96+各项系数!$L$9*$NU96</f>
        <v>1174.4357290145122</v>
      </c>
      <c r="DA96" s="199">
        <f>DB96*(1+$DD96+各项系数!$J$5+各项系数!$L$5)</f>
        <v>1166.298057177552</v>
      </c>
      <c r="DB96" s="199">
        <f t="shared" si="350"/>
        <v>1143.4294678211293</v>
      </c>
      <c r="DC96" s="214">
        <f t="shared" si="407"/>
        <v>0</v>
      </c>
      <c r="DD96" s="214">
        <f t="shared" si="351"/>
        <v>0</v>
      </c>
      <c r="DE96" s="78" t="s">
        <v>498</v>
      </c>
      <c r="DF96" s="78" t="s">
        <v>513</v>
      </c>
      <c r="DG96" s="146">
        <f>DH96+各项系数!$M$9*$NQ96</f>
        <v>1160.2677105579664</v>
      </c>
      <c r="DH96" s="146">
        <f>DI96*(1+$EA96+(VLOOKUP($AM96,$A$12:$B$323,2,0))+各项系数!$J$6+各项系数!$M$5)*(1+$E$2)+各项系数!$M$9*$NK96</f>
        <v>1152.1636025414953</v>
      </c>
      <c r="DI96" s="199">
        <f>DJ96+各项系数!$L$9*$NQ96</f>
        <v>1169.3139509983127</v>
      </c>
      <c r="DJ96" s="199">
        <f>DK96*(1+$EB96+各项系数!$J$5+各项系数!$L$5)</f>
        <v>1161.2098429818416</v>
      </c>
      <c r="DK96" s="199">
        <f t="shared" si="352"/>
        <v>1127.3881970697491</v>
      </c>
      <c r="DL96" s="146">
        <f>DM96+各项系数!$M$9*$NQ96</f>
        <v>1168.7896335313756</v>
      </c>
      <c r="DM96" s="146">
        <f>DN96*(1+$EA96+(VLOOKUP($AM96,$A$12:$B$323,2,0))+各项系数!$J$6+各项系数!$M$5)*(1+$E$2)+各项系数!$M$9*$NK96</f>
        <v>1160.6855255149044</v>
      </c>
      <c r="DN96" s="199">
        <f>DO96+各项系数!$L$9*$NQ96</f>
        <v>1178.0097907670977</v>
      </c>
      <c r="DO96" s="199">
        <f>DP96*(1+$EB96+各项系数!$J$5+各项系数!$L$5)</f>
        <v>1169.9056827506265</v>
      </c>
      <c r="DP96" s="199">
        <f t="shared" si="353"/>
        <v>1135.8307599520645</v>
      </c>
      <c r="DQ96" s="146">
        <f>DR96+各项系数!$M$9*$NV96</f>
        <v>1161.7521040254219</v>
      </c>
      <c r="DR96" s="146">
        <f t="shared" si="354"/>
        <v>1153.6144321884617</v>
      </c>
      <c r="DS96" s="199">
        <f>DT96+各项系数!$L$9*$NV96</f>
        <v>1177.1575838657773</v>
      </c>
      <c r="DT96" s="199">
        <f>DU96*(1+$EB96+各项系数!$J$5+各项系数!$L$5)</f>
        <v>1169.0199120288171</v>
      </c>
      <c r="DU96" s="199">
        <f t="shared" si="355"/>
        <v>1134.9707883774922</v>
      </c>
      <c r="DV96" s="146">
        <f>DW96+各项系数!$M$9*$NV96</f>
        <v>1160.5383219010812</v>
      </c>
      <c r="DW96" s="146">
        <f t="shared" si="356"/>
        <v>1152.400650064121</v>
      </c>
      <c r="DX96" s="199">
        <f>DY96+各项系数!$L$9*$NV96</f>
        <v>1175.9190306776745</v>
      </c>
      <c r="DY96" s="199">
        <f>DZ96*(1+$EB96+各项系数!$J$5+各项系数!$L$5)</f>
        <v>1167.7813588407143</v>
      </c>
      <c r="DZ96" s="199">
        <f t="shared" si="357"/>
        <v>1133.7683095540915</v>
      </c>
      <c r="EA96" s="214">
        <f t="shared" si="439"/>
        <v>0</v>
      </c>
      <c r="EB96" s="214">
        <f t="shared" si="358"/>
        <v>0.01</v>
      </c>
      <c r="EC96" s="235">
        <f t="shared" si="408"/>
        <v>5</v>
      </c>
      <c r="ED96" s="237" t="str">
        <f t="shared" si="442"/>
        <v>5*400</v>
      </c>
      <c r="EE96" s="78">
        <f t="shared" si="491"/>
        <v>400</v>
      </c>
      <c r="EF96" s="78" t="str">
        <f>LOOKUP(EH96,{1,7,10,14,19,24,30,37,48,61},{1,"1+6","2+8","4+10","1+6+12","2+8+14","4+10+16","1+6+12+18","3+9+15+21","1+6+12+18+24"})</f>
        <v>1+6+12+18+24</v>
      </c>
      <c r="EG96" s="106">
        <f t="shared" si="359"/>
        <v>5</v>
      </c>
      <c r="EH96" s="199">
        <f>VLOOKUP(EE96,各项系数!$B$87:$C$124,2,0)</f>
        <v>61</v>
      </c>
      <c r="EI96" s="106">
        <f>IF(EH96=0,0,VLOOKUP(EH96,各项系数!$D$142:$E$195,2,0))*1</f>
        <v>9</v>
      </c>
      <c r="EJ96" s="240">
        <f t="shared" si="409"/>
        <v>277.18119106381198</v>
      </c>
      <c r="EK96" s="78">
        <f t="shared" si="332"/>
        <v>0</v>
      </c>
      <c r="EL96" s="78">
        <f t="shared" si="360"/>
        <v>0</v>
      </c>
      <c r="EM96" s="78">
        <f t="shared" si="443"/>
        <v>0</v>
      </c>
      <c r="EN96" s="78">
        <f>IF(EP96=0,0,LOOKUP(EP96,{1,7,10,14,19,24,30,37,48,61},{1,"1+6","2+8","4+10","1+6+12","2+8+14","4+10+16","1+6+12+18","3+9+15+21","1+6+12+18+24"}))</f>
        <v>0</v>
      </c>
      <c r="EO96" s="78">
        <f t="shared" si="334"/>
        <v>0</v>
      </c>
      <c r="EP96" s="78">
        <f>IF(EM96=0,0,IF(EM96&lt;10,1,IF(AND(EM96&gt;=10,EM96&lt;=35),7,LOOKUP(EM96,{50,70,95,120,150,185,240,300},{10,14,19,24,30,37,48,61})*1)))</f>
        <v>0</v>
      </c>
      <c r="EQ96" s="78">
        <f>IF(EP96=0,0,VLOOKUP(EP96,各项系数!$D$142:$E$195,2,0))*1</f>
        <v>0</v>
      </c>
      <c r="ER96" s="78">
        <f t="shared" si="335"/>
        <v>0</v>
      </c>
      <c r="ES96" s="237">
        <f t="shared" si="444"/>
        <v>5</v>
      </c>
      <c r="ET96" s="78">
        <f>VLOOKUP(ES96,各项系数!$D$142:$E$195,2,0)*1</f>
        <v>2.7</v>
      </c>
      <c r="EU96" s="243">
        <f>((各项系数!$F$76/4*$EJ96^2*$EG96*$EH96*1*10^-7)*(1-$H96)*AA96)*(VLOOKUP($EY$9,各项系数!$D$4:$F$143,3,0))*各项系数!$J$4</f>
        <v>16.60512875509222</v>
      </c>
      <c r="EV96" s="244">
        <f>EU96*(VLOOKUP($EY$9,各项系数!$D$4:$F$143,2,0))</f>
        <v>1087.6359334585404</v>
      </c>
      <c r="EW96" s="252">
        <f>(IF($EO96=0,0,(各项系数!$F$76/4*$ER96^2*$EO96*$EP96*1*10^-7))*(1-$K96)*$AF96)*(VLOOKUP($EY$9,各项系数!$D$4:$F$143,3,0))*各项系数!$J$4</f>
        <v>0</v>
      </c>
      <c r="EX96" s="253">
        <f>EW96*(VLOOKUP($EY$9,各项系数!$D$4:$F$143,2,0))</f>
        <v>0</v>
      </c>
      <c r="EY96" s="189">
        <f>((各项系数!$F$76/4*$EJ96^2*$EG96*$EH96*1*10^-7)*(1-$H96)*AA96+IF($EO96=0,0,(各项系数!$F$76/4*$ER96^2*$EO96*$EP96*1*10^-7))*(1-$K96)*$AF96)*(VLOOKUP($EY$9,各项系数!$D$4:$F$143,3,0))*各项系数!$J$4</f>
        <v>16.60512875509222</v>
      </c>
      <c r="EZ96" s="106">
        <v>1</v>
      </c>
      <c r="FA96" s="78">
        <f t="shared" si="445"/>
        <v>16.60512875509222</v>
      </c>
      <c r="FB96" s="246">
        <f>FA96*(VLOOKUP($EY$9,各项系数!$D$4:$F$143,2,0))</f>
        <v>1087.6359334585404</v>
      </c>
      <c r="FC96" s="257"/>
      <c r="FD96" s="237">
        <f>各项系数!$F$76/4*($MN96^2-MK96^2)*10^-2*(VLOOKUP(L96,各项系数!$D$1:$F$143,3,0))*10^-3*10^2*$EG96*各项系数!$J$4</f>
        <v>0.92654154016523482</v>
      </c>
      <c r="FE96" s="264">
        <f>FD96*VLOOKUP(L96,各项系数!$D$1:$F$143,2,0)</f>
        <v>9.4507237096853949</v>
      </c>
      <c r="FF96" s="106">
        <f>各项系数!$F$76/4*($MO96^2-ML96^2)*10^-2*(VLOOKUP(L96,各项系数!$D$1:$F$143,3,0))*10^-3*10^2*$EO96*各项系数!$J$4</f>
        <v>0</v>
      </c>
      <c r="FG96" s="264">
        <f>FF96*VLOOKUP(L96,各项系数!$D$1:$F$143,2,0)</f>
        <v>0</v>
      </c>
      <c r="FH96" s="237">
        <f t="shared" si="410"/>
        <v>0.92654154016523482</v>
      </c>
      <c r="FI96" s="106">
        <v>1</v>
      </c>
      <c r="FJ96" s="78">
        <f t="shared" si="446"/>
        <v>0.92654154016523482</v>
      </c>
      <c r="FK96" s="264">
        <f>FJ96*VLOOKUP(L96,各项系数!$D$1:$F$143,2,0)</f>
        <v>9.4507237096853949</v>
      </c>
      <c r="FL96" s="237"/>
      <c r="FM96" s="106"/>
      <c r="FN96" s="78"/>
      <c r="FO96" s="264"/>
      <c r="FP96" s="289">
        <f t="shared" si="447"/>
        <v>0.92654154016523482</v>
      </c>
      <c r="FQ96" s="289">
        <f t="shared" si="448"/>
        <v>9.4507237096853949</v>
      </c>
      <c r="FR96" s="283">
        <f>各项系数!$F$76/4*($MQ96^2-$MN96^2*$EG96-$MO96^2*$EO96)*10^-2</f>
        <v>15.069946031151932</v>
      </c>
      <c r="FS96" s="284">
        <f t="shared" si="411"/>
        <v>1</v>
      </c>
      <c r="FT96" s="285">
        <f t="shared" si="361"/>
        <v>15.069946031151932</v>
      </c>
      <c r="FU96" s="309">
        <f>$FT96*(VLOOKUP($FT$9,各项系数!$D$1:$F$143,3,0))*10^-3*10^2*各项系数!$J$55</f>
        <v>1.7993515561195406</v>
      </c>
      <c r="FV96" s="310">
        <v>1</v>
      </c>
      <c r="FW96" s="311">
        <f t="shared" si="449"/>
        <v>1.7993515561195406</v>
      </c>
      <c r="FX96" s="290">
        <f>FW96*(VLOOKUP($FT$9,各项系数!$D$1:$F$143,2,0))</f>
        <v>5.3980546683586219</v>
      </c>
      <c r="FY96" s="309">
        <f>IF($BK96&lt;&gt;$FY$9,0,各项系数!$F$76/4*($MS96^2-$MQ96^2)*10^-2*(VLOOKUP($FY$9,各项系数!$D$1:$F$143,3,0))*10^-3*10^2)*各项系数!$J$4</f>
        <v>0</v>
      </c>
      <c r="FZ96" s="310">
        <v>1</v>
      </c>
      <c r="GA96" s="311">
        <f t="shared" si="450"/>
        <v>0</v>
      </c>
      <c r="GB96" s="290">
        <f>GA96*(VLOOKUP($FY$9,各项系数!$D$1:$F$143,2,0))</f>
        <v>0</v>
      </c>
      <c r="GC96" s="309">
        <f>IF($BK96&lt;&gt;$GC$9,0,各项系数!$F$76/4*($MS96^2-$MQ96^2)*10^-2*(VLOOKUP($GC$9,各项系数!$D$1:$F$143,3,0))*10^-3*10^2)*各项系数!$J$4</f>
        <v>2.1307695277400701E-2</v>
      </c>
      <c r="GD96" s="310">
        <v>1</v>
      </c>
      <c r="GE96" s="311">
        <f t="shared" si="451"/>
        <v>2.1307695277400701E-2</v>
      </c>
      <c r="GF96" s="290">
        <f>GE96*(VLOOKUP($GC$9,各项系数!$D$1:$F$143,2,0))</f>
        <v>0.27486926907846904</v>
      </c>
      <c r="GG96" s="309">
        <f>IF($BK96&lt;&gt;$GG$9,0,各项系数!$F$76/4*($MS96^2-$MQ96^2)*10^-2*(VLOOKUP($GG$9,各项系数!$D$1:$F$143,3,0))*10^-3*10^2)*各项系数!$J$4</f>
        <v>0</v>
      </c>
      <c r="GH96" s="310">
        <v>1</v>
      </c>
      <c r="GI96" s="311">
        <f t="shared" si="452"/>
        <v>0</v>
      </c>
      <c r="GJ96" s="290">
        <f>GI96*(VLOOKUP($GG$9,各项系数!$D$1:$F$143,2,0))</f>
        <v>0</v>
      </c>
      <c r="GK96" s="309">
        <f>IF($BK96&lt;&gt;$GK$9,0,各项系数!$F$76/4*($MS96^2-$MQ96^2)*10^-2*(VLOOKUP($GK$9,各项系数!$D$1:$F$143,3,0))*10^-3*10^2)*各项系数!$J$4</f>
        <v>0</v>
      </c>
      <c r="GL96" s="310">
        <v>1</v>
      </c>
      <c r="GM96" s="311">
        <f t="shared" si="453"/>
        <v>0</v>
      </c>
      <c r="GN96" s="290">
        <f>GM96*(VLOOKUP($GK$9,各项系数!$D$1:$F$143,2,0))</f>
        <v>0</v>
      </c>
      <c r="GO96" s="311">
        <f t="shared" si="454"/>
        <v>2.1307695277400701E-2</v>
      </c>
      <c r="GP96" s="311">
        <f t="shared" si="455"/>
        <v>0.27486926907846904</v>
      </c>
      <c r="GQ96" s="317">
        <f>各项系数!$F$76/4*($MU96^2-$MS96^2)*10^-2*(VLOOKUP($S96,各项系数!$D$1:$F$143,3,0))*10^-3*10^2*各项系数!$J$4</f>
        <v>1.4498173205834328</v>
      </c>
      <c r="GR96" s="310">
        <v>1</v>
      </c>
      <c r="GS96" s="311">
        <f t="shared" si="456"/>
        <v>1.4498173205834328</v>
      </c>
      <c r="GT96" s="311">
        <f t="shared" si="457"/>
        <v>0</v>
      </c>
      <c r="GU96" s="311">
        <f>ROUND($GS96*(VLOOKUP($S96,各项系数!$D$1:$F$143,2,0))+$E$3*GS96,GT96)</f>
        <v>8</v>
      </c>
      <c r="GV96" s="315">
        <f>各项系数!$F$76/4*($MT96^2-$MS96^2)*10^-2*(VLOOKUP($GV$9,各项系数!$D$1:$F$143,3,0))*10^-3*10^2*各项系数!$J$4*PI()/4*R96</f>
        <v>0.10952713440789803</v>
      </c>
      <c r="GW96" s="310">
        <v>1</v>
      </c>
      <c r="GX96" s="311">
        <f t="shared" si="458"/>
        <v>0.10952713440789803</v>
      </c>
      <c r="GY96" s="311">
        <f>$GX96*(VLOOKUP($GV$9,各项系数!$D$1:$F$143,2,0))</f>
        <v>7.3930815725331174</v>
      </c>
      <c r="GZ96" s="317">
        <f>各项系数!$F$76/4*($MV96^2-$MS96^2)*10^-2*(VLOOKUP($GZ$9,各项系数!$D$1:$F$143,3,0))*10^-3*10^2*各项系数!$J$4</f>
        <v>1.4145940221563367</v>
      </c>
      <c r="HA96" s="310">
        <v>1</v>
      </c>
      <c r="HB96" s="311">
        <f t="shared" si="412"/>
        <v>1.4145940221563367</v>
      </c>
      <c r="HC96" s="311">
        <f>HB96*(VLOOKUP($GZ$9,各项系数!$D$1:$F$143,2,0))</f>
        <v>24.048098376657723</v>
      </c>
      <c r="HD96" s="317">
        <f>各项系数!$F$76/4*($MW96^2-$MT96^2)*10^-2*(VLOOKUP($HD$9,各项系数!$D$1:$F$143,3,0))*10^-3*10^2*各项系数!$J$4</f>
        <v>1.417349802099324</v>
      </c>
      <c r="HE96" s="310">
        <v>1</v>
      </c>
      <c r="HF96" s="311">
        <f t="shared" si="413"/>
        <v>1.417349802099324</v>
      </c>
      <c r="HG96" s="311">
        <f>HF96*(VLOOKUP($HD$9,各项系数!$D$1:$F$143,2,0))</f>
        <v>24.094946635688508</v>
      </c>
      <c r="HH96" s="317">
        <f>各项系数!$F$76/4*($MV96^2-$MS96^2)*10^-2*(VLOOKUP($HH$9,各项系数!$D$1:$F$143,3,0))*10^-3*10^2*各项系数!$J$4</f>
        <v>1.4145940221563367</v>
      </c>
      <c r="HI96" s="311">
        <v>1</v>
      </c>
      <c r="HJ96" s="311">
        <f t="shared" si="414"/>
        <v>1.4145940221563367</v>
      </c>
      <c r="HK96" s="311">
        <f>HJ96*(VLOOKUP($HH$9,各项系数!$D$1:$F$143,2,0))</f>
        <v>24.048098376657723</v>
      </c>
      <c r="HL96" s="317">
        <f>各项系数!$F$76/4*($MW96^2-$MT96^2)*10^-2*(VLOOKUP($HL$9,各项系数!$D$1:$F$143,3,0))*10^-3*10^2*各项系数!$J$4</f>
        <v>1.417349802099324</v>
      </c>
      <c r="HM96" s="311">
        <v>1</v>
      </c>
      <c r="HN96" s="311">
        <f t="shared" si="362"/>
        <v>1.417349802099324</v>
      </c>
      <c r="HO96" s="311">
        <f>HN96*(VLOOKUP($HL$9,各项系数!$D$1:$F$143,2,0))</f>
        <v>24.094946635688508</v>
      </c>
      <c r="HP96" s="317">
        <f>各项系数!$F$76/4*($MV96^2-$MS96^2)*10^-2*(VLOOKUP(AN96,各项系数!$D$1:$F$143,3,0))*10^-3*10^2*各项系数!$J$4</f>
        <v>1.4341056638412517</v>
      </c>
      <c r="HQ96" s="310">
        <v>1</v>
      </c>
      <c r="HR96" s="311">
        <f t="shared" si="459"/>
        <v>1.4341056638412517</v>
      </c>
      <c r="HS96" s="311">
        <f>HR96*(VLOOKUP(AN96,各项系数!$D$1:$F$143,2,0))</f>
        <v>14.341056638412518</v>
      </c>
      <c r="HT96" s="317">
        <f>各项系数!$F$76/4*($MW96^2-$MT96^2)*10^-2*(VLOOKUP(AN96,各项系数!$D$1:$F$143,3,0))*10^-3*10^2*各项系数!$J$4</f>
        <v>1.4368994545420735</v>
      </c>
      <c r="HU96" s="310">
        <v>1</v>
      </c>
      <c r="HV96" s="311">
        <f t="shared" si="460"/>
        <v>1.4368994545420735</v>
      </c>
      <c r="HW96" s="311">
        <f>HV96*(VLOOKUP(AN96,各项系数!$D$1:$F$143,2,0))</f>
        <v>14.368994545420735</v>
      </c>
      <c r="HX96" s="317">
        <f>各项系数!$F$76/4*($MV96^2-$MS96^2)*10^-2*(VLOOKUP($HX$9,各项系数!$D$1:$F$143,3,0))*10^-3*10^2*各项系数!$J$4</f>
        <v>1.4341056638412517</v>
      </c>
      <c r="HY96" s="311">
        <v>1</v>
      </c>
      <c r="HZ96" s="311">
        <f t="shared" si="461"/>
        <v>1.4341056638412517</v>
      </c>
      <c r="IA96" s="311">
        <f>HZ96*(VLOOKUP($HX$9,各项系数!$D$1:$F$143,2,0))</f>
        <v>15.775162302253769</v>
      </c>
      <c r="IB96" s="317">
        <f>各项系数!$F$76/4*($MW96^2-$MT96^2)*10^-2*(VLOOKUP($IB$9,各项系数!$D$1:$F$143,3,0))*10^-3*10^2*各项系数!$J$4</f>
        <v>1.4368994545420735</v>
      </c>
      <c r="IC96" s="311">
        <v>1</v>
      </c>
      <c r="ID96" s="311">
        <f t="shared" si="462"/>
        <v>1.4368994545420735</v>
      </c>
      <c r="IE96" s="311">
        <f>ID96*(VLOOKUP($IB$9,各项系数!$D$1:$F$143,2,0))</f>
        <v>15.805893999962809</v>
      </c>
      <c r="IF96" s="309"/>
      <c r="IG96" s="317">
        <f t="shared" si="415"/>
        <v>0.17756335154786279</v>
      </c>
      <c r="IH96" s="310">
        <v>1</v>
      </c>
      <c r="II96" s="311">
        <f t="shared" si="463"/>
        <v>0.17756335154786279</v>
      </c>
      <c r="IJ96" s="311">
        <f>II96*(VLOOKUP($IG$8,各项系数!$D$1:$F$143,2,0))</f>
        <v>4.4390837886965695</v>
      </c>
      <c r="IK96" s="317">
        <f>(各项系数!$F$76/4*($MX96^2-$MK96^2)*$EG96)*10^-2*(VLOOKUP($IG$8,各项系数!$D$1:$F$143,3,0))*10^-3*10^2*各项系数!$J$4</f>
        <v>0.17756335154786279</v>
      </c>
      <c r="IL96" s="310">
        <f>IK96*(VLOOKUP($IG$8,各项系数!$D$1:$F$143,2,0))</f>
        <v>4.4390837886965695</v>
      </c>
      <c r="IM96" s="311">
        <f>(各项系数!$F$76/4*(($MM96+3*$X96)^2-MM96^2)*$EO96)*10^-2*(VLOOKUP($IG$8,各项系数!$D$1:$F$143,3,0))*10^-3*10^2*各项系数!$J$4</f>
        <v>0</v>
      </c>
      <c r="IN96" s="310">
        <f>IM96*(VLOOKUP($IG$8,各项系数!$D$1:$F$143,2,0))</f>
        <v>0</v>
      </c>
      <c r="IO96" s="317">
        <f>各项系数!$F$76/4*($MZ96^2-$MX96^2)*10^-2*(VLOOKUP(L96,各项系数!$D$1:$F$143,3,0))*10^-3*10^2*$ES96*各项系数!$J$4</f>
        <v>0.94717237912135877</v>
      </c>
      <c r="IP96" s="310">
        <v>1</v>
      </c>
      <c r="IQ96" s="311">
        <f t="shared" si="464"/>
        <v>0.94717237912135877</v>
      </c>
      <c r="IR96" s="290">
        <f>IQ96*(VLOOKUP(L96,各项系数!$D$1:$F$143,2,0))</f>
        <v>9.6611582670378588</v>
      </c>
      <c r="IS96" s="317">
        <f>IF($L96&lt;&gt;$IS$9,0,各项系数!$F$76/4*($MZ96^2-$MX96^2)*10^-2*各项系数!$F$12*10^-3*10^2)*$ES96*各项系数!$J$4</f>
        <v>0</v>
      </c>
      <c r="IT96" s="310">
        <v>1</v>
      </c>
      <c r="IU96" s="311">
        <f t="shared" si="465"/>
        <v>0</v>
      </c>
      <c r="IV96" s="290">
        <f>IU96*各项系数!$E$12</f>
        <v>0</v>
      </c>
      <c r="IW96" s="309">
        <f t="shared" si="466"/>
        <v>0.94717237912135877</v>
      </c>
      <c r="IX96" s="309">
        <f t="shared" si="467"/>
        <v>9.6611582670378588</v>
      </c>
      <c r="IY96" s="339">
        <f>各项系数!$F$76/4*($NB96^2-$MZ96^2*$EG96-$NA96^2*$EO96)*10^-2</f>
        <v>15.701161519869085</v>
      </c>
      <c r="IZ96" s="284">
        <f t="shared" si="487"/>
        <v>1</v>
      </c>
      <c r="JA96" s="285">
        <f t="shared" si="363"/>
        <v>15.701161519869085</v>
      </c>
      <c r="JB96" s="289">
        <f>IF($DE96&lt;&gt;$JB$9,0,$JA96*各项系数!$F$32*10^-3*10^2)*各项系数!$J$4</f>
        <v>0</v>
      </c>
      <c r="JC96" s="106">
        <v>1</v>
      </c>
      <c r="JD96" s="78">
        <f t="shared" si="468"/>
        <v>0</v>
      </c>
      <c r="JE96" s="264">
        <f>JD96*各项系数!$E$32</f>
        <v>0</v>
      </c>
      <c r="JF96" s="282">
        <f>IF($DE96&lt;&gt;$JF$9,0,$JA96*VLOOKUP($JF$9,各项系数!$D$4:$F$540,2,0)*10^-3*10^2)*各项系数!$J$4</f>
        <v>7.81132785613487</v>
      </c>
      <c r="JG96" s="102">
        <v>1</v>
      </c>
      <c r="JH96" s="189">
        <f t="shared" si="364"/>
        <v>7.81132785613487</v>
      </c>
      <c r="JI96" s="262">
        <f>JH96*VLOOKUP($JF$9,各项系数!$D$4:$F$540,3,0)</f>
        <v>9.3735934273618433</v>
      </c>
      <c r="JJ96" s="289">
        <f t="shared" si="469"/>
        <v>7.81132785613487</v>
      </c>
      <c r="JK96" s="78">
        <f t="shared" si="470"/>
        <v>9.3735934273618433</v>
      </c>
      <c r="JL96" s="289">
        <f>IF($DF96&lt;&gt;$JL$9,0,各项系数!$F$76/4*($NE96^2-$NC96^2)*10^-2*各项系数!$F$39*10^-3*10^2)*各项系数!$J$4</f>
        <v>8.990735373558904E-3</v>
      </c>
      <c r="JM96" s="106">
        <v>1</v>
      </c>
      <c r="JN96" s="78">
        <f t="shared" si="471"/>
        <v>8.990735373558904E-3</v>
      </c>
      <c r="JO96" s="264">
        <f>JN96*各项系数!$E$39</f>
        <v>0.17981470747117809</v>
      </c>
      <c r="JP96" s="289">
        <f>IF($DF96&lt;&gt;$JP$9,0,各项系数!$F$76/4*($NE96^2-$NC96^2)*10^-2*各项系数!$F$36*10^-3*10^2)*各项系数!$J$4</f>
        <v>0</v>
      </c>
      <c r="JQ96" s="106">
        <v>1</v>
      </c>
      <c r="JR96" s="78">
        <f t="shared" si="472"/>
        <v>0</v>
      </c>
      <c r="JS96" s="264">
        <f>JR96*各项系数!$E$36</f>
        <v>0</v>
      </c>
      <c r="JT96" s="289">
        <f>IF($DF96&lt;&gt;$JT$9,0,各项系数!$F$76/4*($NE96^2-$NC96^2)*10^-2*各项系数!$F$40*10^-3*10^2)*各项系数!$J$4</f>
        <v>0</v>
      </c>
      <c r="JU96" s="106">
        <v>1</v>
      </c>
      <c r="JV96" s="78">
        <f t="shared" si="473"/>
        <v>0</v>
      </c>
      <c r="JW96" s="264">
        <f>JV96*各项系数!$E$40</f>
        <v>0</v>
      </c>
      <c r="JX96" s="289">
        <f>IF($DF96&lt;&gt;$JX$9,0,各项系数!$F$76/4*($NE96^2-$NC96^2)*10^-2*各项系数!$F$38*10^-3*10^2)*各项系数!$J$4</f>
        <v>0</v>
      </c>
      <c r="JY96" s="106">
        <v>1</v>
      </c>
      <c r="JZ96" s="78">
        <f t="shared" si="474"/>
        <v>0</v>
      </c>
      <c r="KA96" s="264">
        <f>JZ96*各项系数!$E$38</f>
        <v>0</v>
      </c>
      <c r="KB96" s="289">
        <f>IF($DF96&lt;&gt;$KB$9,0,各项系数!$F$76/4*($NE96^2-$NC96^2)*10^-2*各项系数!$F$41*10^-3*10^2)*各项系数!$J$4</f>
        <v>0</v>
      </c>
      <c r="KC96" s="106">
        <v>1</v>
      </c>
      <c r="KD96" s="78">
        <f t="shared" si="475"/>
        <v>0</v>
      </c>
      <c r="KE96" s="264">
        <f>KD96*各项系数!$E$41</f>
        <v>0</v>
      </c>
      <c r="KF96" s="78">
        <f t="shared" si="476"/>
        <v>8.990735373558904E-3</v>
      </c>
      <c r="KG96" s="78">
        <f t="shared" si="477"/>
        <v>0.17981470747117809</v>
      </c>
      <c r="KH96" s="237">
        <f>各项系数!$F$76/4*($NG96^2-$NE96^2)*10^-2*各项系数!$F$44*10^-3*10^2*各项系数!$J$4*0.75*$U96</f>
        <v>2.2210359313034265</v>
      </c>
      <c r="KI96" s="106">
        <v>1</v>
      </c>
      <c r="KJ96" s="78">
        <f t="shared" si="478"/>
        <v>2.2210359313034265</v>
      </c>
      <c r="KK96" s="78">
        <f>ROUND(KJ96*各项系数!$E$43,GT96)</f>
        <v>13</v>
      </c>
      <c r="KL96" s="235">
        <f>各项系数!$F$76/4*($NF96^2-$NE96^2)*10^-2*各项系数!$F$46*10^-3*10^2*各项系数!$J$4*PI()/4*R96</f>
        <v>0.11187940163013409</v>
      </c>
      <c r="KM96" s="106">
        <v>1</v>
      </c>
      <c r="KN96" s="78">
        <f t="shared" si="479"/>
        <v>0.11187940163013409</v>
      </c>
      <c r="KO96" s="78">
        <f>KN96*各项系数!$E$46</f>
        <v>7.5518596100340512</v>
      </c>
      <c r="KP96" s="237">
        <f>各项系数!$F$76/4*($NH96^2-$NE96^2)*10^-2*(VLOOKUP($KP$9,各项系数!$D$1:$F$143,3,0))*10^-3*10^2*各项系数!$J$4</f>
        <v>1.4435986060562815</v>
      </c>
      <c r="KQ96" s="106">
        <v>1</v>
      </c>
      <c r="KR96" s="78">
        <f t="shared" si="416"/>
        <v>1.4435986060562815</v>
      </c>
      <c r="KS96" s="78">
        <f>KR96*(VLOOKUP($KP$9,各项系数!$D$1:$F$143,2,0))</f>
        <v>24.541176302956785</v>
      </c>
      <c r="KT96" s="237">
        <f>各项系数!$F$76/4*($NI96^2-$NF96^2)*10^-2*(VLOOKUP($KT$9,各项系数!$D$1:$F$143,3,0))*10^-3*10^2*各项系数!$J$4</f>
        <v>1.4463543859992705</v>
      </c>
      <c r="KU96" s="106">
        <v>1</v>
      </c>
      <c r="KV96" s="78">
        <f t="shared" si="417"/>
        <v>1.4463543859992705</v>
      </c>
      <c r="KW96" s="78">
        <f>KV96*(VLOOKUP($KT$9,各项系数!$D$1:$F$143,2,0))</f>
        <v>24.588024561987599</v>
      </c>
      <c r="KX96" s="78">
        <f>各项系数!$F$76/4*($NH96^2-$NE96^2)*10^-2*(VLOOKUP($KX$9,各项系数!$D$1:$F$143,3,0))*10^-3*10^2*各项系数!$J$4</f>
        <v>1.4435986060562815</v>
      </c>
      <c r="KY96" s="355">
        <v>1</v>
      </c>
      <c r="KZ96" s="78">
        <f t="shared" si="418"/>
        <v>1.4435986060562815</v>
      </c>
      <c r="LA96" s="78">
        <f>KZ96*(VLOOKUP($KX$9,各项系数!$D$1:$F$143,2,0))</f>
        <v>24.541176302956785</v>
      </c>
      <c r="LB96" s="78">
        <f>各项系数!$F$76/4*($NI96^2-$NF96^2)*10^-2*(VLOOKUP($LB$9,各项系数!$D$1:$F$143,3,0))*10^-3*10^2*各项系数!$J$4</f>
        <v>1.4463543859992705</v>
      </c>
      <c r="LC96" s="355">
        <v>1</v>
      </c>
      <c r="LD96" s="78">
        <f t="shared" si="419"/>
        <v>1.4463543859992705</v>
      </c>
      <c r="LE96" s="78">
        <f>LD96*(VLOOKUP($LB$9,各项系数!$D$1:$F$143,2,0))</f>
        <v>24.588024561987599</v>
      </c>
      <c r="LF96" s="237">
        <f>各项系数!$F$76/4*($NH96^2-$NE96^2)*10^-2*(VLOOKUP(AN96,各项系数!$D$1:$F$143,3,0))*10^-3*10^2*各项系数!$J$4</f>
        <v>1.463510310967403</v>
      </c>
      <c r="LG96" s="106">
        <v>1</v>
      </c>
      <c r="LH96" s="78">
        <f t="shared" si="480"/>
        <v>1.463510310967403</v>
      </c>
      <c r="LI96" s="78">
        <f>LH96*(VLOOKUP(AN96,各项系数!$D$1:$F$143,2,0))</f>
        <v>14.635103109674031</v>
      </c>
      <c r="LJ96" s="237">
        <f>各项系数!$F$76/4*($NI96^2-$NF96^2)*10^-2*(VLOOKUP(AN96,各项系数!$D$1:$F$143,3,0))*10^-3*10^2*各项系数!$J$4</f>
        <v>1.4663041016682261</v>
      </c>
      <c r="LK96" s="106">
        <v>1</v>
      </c>
      <c r="LL96" s="78">
        <f t="shared" si="481"/>
        <v>1.4663041016682261</v>
      </c>
      <c r="LM96" s="78">
        <f>LL96*(VLOOKUP(AN96,各项系数!$D$1:$F$143,2,0))</f>
        <v>14.663041016682261</v>
      </c>
      <c r="LN96" s="78">
        <f>各项系数!$F$76/4*($NH96^2-$NE96^2)*10^-2*(VLOOKUP($LN$9,各项系数!$D$1:$F$143,3,0))*10^-3*10^2*各项系数!$J$4</f>
        <v>1.463510310967403</v>
      </c>
      <c r="LO96" s="355">
        <v>1</v>
      </c>
      <c r="LP96" s="78">
        <f t="shared" si="482"/>
        <v>1.463510310967403</v>
      </c>
      <c r="LQ96" s="78">
        <f>LP96*(VLOOKUP($LN$9,各项系数!$D$1:$F$143,2,0))</f>
        <v>16.098613420641435</v>
      </c>
      <c r="LR96" s="78">
        <f>各项系数!$F$76/4*($NI96^2-$NF96^2)*10^-2*(VLOOKUP($LR$9,各项系数!$D$1:$F$143,3,0))*10^-3*10^2*各项系数!$J$4</f>
        <v>1.4663041016682261</v>
      </c>
      <c r="LS96" s="355">
        <v>1</v>
      </c>
      <c r="LT96" s="78">
        <f t="shared" si="483"/>
        <v>1.4663041016682261</v>
      </c>
      <c r="LU96" s="78">
        <f>LT96*(VLOOKUP($LR$9,各项系数!$D$1:$F$143,2,0))</f>
        <v>16.129345118350486</v>
      </c>
      <c r="LV96" s="367">
        <f t="shared" si="420"/>
        <v>2443.8380232200002</v>
      </c>
      <c r="LW96" s="367">
        <f t="shared" si="421"/>
        <v>1840.4212273600001</v>
      </c>
      <c r="LX96" s="367">
        <f t="shared" si="422"/>
        <v>48.407613922241367</v>
      </c>
      <c r="LY96" s="367">
        <f t="shared" si="423"/>
        <v>603.41679586000009</v>
      </c>
      <c r="LZ96" s="374">
        <f t="shared" si="365"/>
        <v>1</v>
      </c>
      <c r="MA96" s="375">
        <f t="shared" si="366"/>
        <v>2443.8380232200002</v>
      </c>
      <c r="MB96" s="367">
        <f t="shared" si="424"/>
        <v>24.946307189999999</v>
      </c>
      <c r="MC96" s="367">
        <f t="shared" si="425"/>
        <v>0</v>
      </c>
      <c r="MD96" s="367">
        <f t="shared" si="426"/>
        <v>0</v>
      </c>
      <c r="ME96" s="367">
        <f t="shared" si="427"/>
        <v>0</v>
      </c>
      <c r="MF96" s="367">
        <f t="shared" si="428"/>
        <v>0</v>
      </c>
      <c r="MG96" s="379">
        <f t="shared" si="429"/>
        <v>1</v>
      </c>
      <c r="MH96" s="375">
        <f t="shared" si="367"/>
        <v>0</v>
      </c>
      <c r="MI96" s="367">
        <f t="shared" si="430"/>
        <v>0</v>
      </c>
      <c r="MJ96" s="78">
        <f t="shared" si="368"/>
        <v>24.946307189999999</v>
      </c>
      <c r="MK96" s="78">
        <f t="shared" si="431"/>
        <v>24.946307189999999</v>
      </c>
      <c r="ML96" s="78">
        <f t="shared" si="484"/>
        <v>0</v>
      </c>
      <c r="MM96" s="78">
        <f t="shared" si="369"/>
        <v>0</v>
      </c>
      <c r="MN96" s="78">
        <f t="shared" si="370"/>
        <v>28.946307189999999</v>
      </c>
      <c r="MO96" s="189">
        <f t="shared" si="432"/>
        <v>0</v>
      </c>
      <c r="MP96" s="78">
        <f t="shared" si="433"/>
        <v>78.155029409999997</v>
      </c>
      <c r="MQ96" s="78">
        <f t="shared" si="485"/>
        <v>78.155029409999997</v>
      </c>
      <c r="MR96" s="246">
        <f t="shared" si="434"/>
        <v>78.155029409999997</v>
      </c>
      <c r="MS96" s="380">
        <f t="shared" si="371"/>
        <v>78.331029409999999</v>
      </c>
      <c r="MT96" s="382">
        <f t="shared" si="372"/>
        <v>78.491029409999996</v>
      </c>
      <c r="MU96" s="382">
        <f t="shared" si="373"/>
        <v>79.831029409999999</v>
      </c>
      <c r="MV96" s="382">
        <f t="shared" si="374"/>
        <v>85.931029409999994</v>
      </c>
      <c r="MW96" s="382">
        <f t="shared" si="375"/>
        <v>86.09102940999999</v>
      </c>
      <c r="MX96" s="246">
        <f t="shared" si="376"/>
        <v>25.54630719</v>
      </c>
      <c r="MY96" s="246">
        <f t="shared" si="377"/>
        <v>0</v>
      </c>
      <c r="MZ96" s="78">
        <f t="shared" si="378"/>
        <v>29.54630719</v>
      </c>
      <c r="NA96" s="78">
        <f t="shared" si="379"/>
        <v>0</v>
      </c>
      <c r="NB96" s="78">
        <f t="shared" si="435"/>
        <v>79.775029410000002</v>
      </c>
      <c r="NC96" s="246">
        <f t="shared" si="486"/>
        <v>79.775029410000002</v>
      </c>
      <c r="ND96" s="246">
        <f t="shared" si="436"/>
        <v>79.775029410000002</v>
      </c>
      <c r="NE96" s="386">
        <f t="shared" si="437"/>
        <v>80.015029409999997</v>
      </c>
      <c r="NF96" s="382">
        <f t="shared" si="380"/>
        <v>80.175029409999993</v>
      </c>
      <c r="NG96" s="150">
        <f t="shared" si="381"/>
        <v>81.515029409999997</v>
      </c>
      <c r="NH96" s="246">
        <f t="shared" si="382"/>
        <v>87.615029409999991</v>
      </c>
      <c r="NI96" s="382">
        <f t="shared" si="383"/>
        <v>87.775029409999988</v>
      </c>
      <c r="NK96" s="390">
        <f t="shared" si="384"/>
        <v>20.786435210495647</v>
      </c>
      <c r="NL96" s="390">
        <f t="shared" si="385"/>
        <v>1117.1006377440754</v>
      </c>
      <c r="NM96" s="390">
        <f t="shared" si="386"/>
        <v>20.786435210495647</v>
      </c>
      <c r="NN96" s="390">
        <f t="shared" si="387"/>
        <v>1118.5347434079167</v>
      </c>
      <c r="NO96" s="390">
        <f t="shared" si="388"/>
        <v>27.013693388237272</v>
      </c>
      <c r="NP96" s="390">
        <f t="shared" si="389"/>
        <v>1125.9246867587819</v>
      </c>
      <c r="NQ96" s="390">
        <f t="shared" si="390"/>
        <v>27.013693388237272</v>
      </c>
      <c r="NR96" s="390">
        <f t="shared" si="391"/>
        <v>1127.3881970697491</v>
      </c>
      <c r="NS96" s="390">
        <f t="shared" si="392"/>
        <v>20.895962344903545</v>
      </c>
      <c r="NT96" s="390">
        <f t="shared" si="393"/>
        <v>20.895962344903545</v>
      </c>
      <c r="NU96" s="390">
        <f t="shared" si="394"/>
        <v>27.125572789867405</v>
      </c>
      <c r="NV96" s="390">
        <f t="shared" si="395"/>
        <v>27.125572789867405</v>
      </c>
      <c r="NW96" s="9">
        <f t="shared" si="396"/>
        <v>22.236252531079078</v>
      </c>
      <c r="NX96" s="9">
        <f>各项系数!$M$9*NK96</f>
        <v>6.2359305631486937</v>
      </c>
      <c r="NY96" s="9">
        <f t="shared" si="397"/>
        <v>20.895962344903545</v>
      </c>
    </row>
    <row r="97" spans="1:389" s="9" customFormat="1" ht="15" hidden="1" customHeight="1">
      <c r="A97" s="65"/>
      <c r="B97" s="66"/>
      <c r="C97" s="67"/>
      <c r="D97" s="58" t="s">
        <v>928</v>
      </c>
      <c r="E97" s="399">
        <f t="shared" si="325"/>
        <v>96.383039210000007</v>
      </c>
      <c r="F97" s="68">
        <f>$F$33</f>
        <v>314.10304232929502</v>
      </c>
      <c r="G97" s="58"/>
      <c r="H97" s="16"/>
      <c r="I97" s="62"/>
      <c r="J97" s="16"/>
      <c r="K97" s="16"/>
      <c r="L97" s="107" t="s">
        <v>467</v>
      </c>
      <c r="M97" s="98">
        <f t="shared" si="339"/>
        <v>2.2000000000000002</v>
      </c>
      <c r="N97" s="98">
        <f t="shared" si="340"/>
        <v>0</v>
      </c>
      <c r="O97" s="58">
        <f t="shared" si="488"/>
        <v>0.08</v>
      </c>
      <c r="P97" s="99">
        <v>0.1</v>
      </c>
      <c r="Q97" s="136">
        <f t="shared" si="489"/>
        <v>0.1</v>
      </c>
      <c r="R97" s="151">
        <v>0.8</v>
      </c>
      <c r="S97" s="144" t="str">
        <f>各项系数!$D$43</f>
        <v>钢带</v>
      </c>
      <c r="T97" s="62">
        <v>0.5</v>
      </c>
      <c r="U97" s="62">
        <v>2</v>
      </c>
      <c r="V97" s="143"/>
      <c r="W97" s="145">
        <v>4</v>
      </c>
      <c r="X97" s="139">
        <f t="shared" si="490"/>
        <v>0.2</v>
      </c>
      <c r="Y97" s="139"/>
      <c r="Z97" s="169"/>
      <c r="AA97" s="170">
        <f>$AA$33</f>
        <v>1.02</v>
      </c>
      <c r="AB97" s="153">
        <f>PI()*EJ97*EJ97/4*EH97*(1-H97)*AA97*各项系数!$F$5*各项系数!$J$4*10^-7</f>
        <v>4.2647051993952481</v>
      </c>
      <c r="AC97" s="170">
        <f t="shared" si="327"/>
        <v>314.10304232929502</v>
      </c>
      <c r="AD97" s="153">
        <f t="shared" si="341"/>
        <v>482.13002011127043</v>
      </c>
      <c r="AE97" s="153">
        <f>POWER(4*EU97/PI()/EG97/10^-7/EH97/(1-H97)/各项系数!$F$5/各项系数!$J$4,0.5)</f>
        <v>317.22852271592683</v>
      </c>
      <c r="AF97" s="16">
        <v>1</v>
      </c>
      <c r="AG97" s="16">
        <f>IF(EM97=0,0,PI()*ER97*ER97/4*EP97*(1-K97)*(1+AF97)*各项系数!$F$5*各项系数!$J$4*10^-7)</f>
        <v>0</v>
      </c>
      <c r="AH97" s="16">
        <f t="shared" si="328"/>
        <v>0</v>
      </c>
      <c r="AI97" s="69">
        <f t="shared" si="398"/>
        <v>0</v>
      </c>
      <c r="AJ97" s="69">
        <f>IF(OR(EP97="",EP97=0),0,POWER(4*EW97/PI()/EO97/10^-7/EP97/(1-K97)/各项系数!$F$5/各项系数!$J$4,0.5))</f>
        <v>0</v>
      </c>
      <c r="AK97" s="16" t="str">
        <f t="shared" si="342"/>
        <v>√</v>
      </c>
      <c r="AL97" s="16">
        <f t="shared" si="329"/>
        <v>1476.7296761617283</v>
      </c>
      <c r="AM97" s="106">
        <f t="shared" si="330"/>
        <v>500</v>
      </c>
      <c r="AN97" s="107" t="s">
        <v>486</v>
      </c>
      <c r="AO97" s="146">
        <f>AP97+各项系数!$M$9*$NK97</f>
        <v>1447.7741923154199</v>
      </c>
      <c r="AP97" s="146">
        <f>AQ97*(1+$BI97+(VLOOKUP($AM97,$A$12:$B$323,2,0))+各项系数!$J$6+各项系数!$M$5)*(1+$E$2)</f>
        <v>1439.8271910660626</v>
      </c>
      <c r="AQ97" s="199">
        <f>AR97+各项系数!$L$9*$NK97</f>
        <v>1469.2114194551659</v>
      </c>
      <c r="AR97" s="199">
        <f>AS97*(1+$BJ97+各项系数!$J$5+各项系数!$L$5)</f>
        <v>1461.2644182058086</v>
      </c>
      <c r="AS97" s="199">
        <f t="shared" si="399"/>
        <v>1432.6121747115772</v>
      </c>
      <c r="AT97" s="146">
        <f>AU97+各项系数!$M$9*$NM97</f>
        <v>1459.2629883289669</v>
      </c>
      <c r="AU97" s="146">
        <f>AV97*(1+$BI97+(VLOOKUP($AM97,$A$12:$B$323,2,0))+各项系数!$J$6+各项系数!$M$5)*(1+$E$2)</f>
        <v>1451.3159870796096</v>
      </c>
      <c r="AV97" s="199">
        <f>AW97+各项系数!$L$9*$NM97</f>
        <v>1480.9346806934793</v>
      </c>
      <c r="AW97" s="199">
        <f>AX97*(1+$BJ97+各项系数!$J$5+各项系数!$L$5)</f>
        <v>1472.987679444122</v>
      </c>
      <c r="AX97" s="199">
        <f t="shared" si="400"/>
        <v>1444.1055680824725</v>
      </c>
      <c r="AY97" s="146">
        <f>AZ97+各项系数!$M$9*$NS97</f>
        <v>1456.2144998338615</v>
      </c>
      <c r="AZ97" s="146">
        <f>BA97*(1+$BI97+(VLOOKUP($AM97,$A$12:$B$214,2,0))+各项系数!$J$6+各项系数!$M$5)*(1+$E$2)</f>
        <v>1448.230428149674</v>
      </c>
      <c r="BA97" s="199">
        <f>BB97+各项系数!$L$9*$NS97</f>
        <v>1477.7861511731369</v>
      </c>
      <c r="BB97" s="199">
        <f>BC97*(1+$BJ97+各项系数!$J$5+各项系数!$L$5)</f>
        <v>1469.8020794889494</v>
      </c>
      <c r="BC97" s="199">
        <f t="shared" si="401"/>
        <v>1440.982430871519</v>
      </c>
      <c r="BD97" s="146">
        <f>BE97+各项系数!$M$9*$NS97</f>
        <v>1467.7231935188631</v>
      </c>
      <c r="BE97" s="146">
        <f>BF97*(1+$BI97+(VLOOKUP($AM97,$A$12:$B$214,2,0))+各项系数!$J$6+各项系数!$M$5)*(1+$E$2)</f>
        <v>1459.7391218346756</v>
      </c>
      <c r="BF97" s="199">
        <f>BG97+各项系数!$L$9*$NS97</f>
        <v>1489.5297161578324</v>
      </c>
      <c r="BG97" s="199">
        <f>BH97*(1+$BJ97+各项系数!$J$5+各项系数!$L$5)</f>
        <v>1481.5456444736449</v>
      </c>
      <c r="BH97" s="199">
        <f t="shared" si="402"/>
        <v>1452.4957298761224</v>
      </c>
      <c r="BI97" s="214"/>
      <c r="BJ97" s="215"/>
      <c r="BK97" s="78" t="s">
        <v>514</v>
      </c>
      <c r="BL97" s="146">
        <f>BM97+各项系数!$M$9*$NM97</f>
        <v>1463.5277719255648</v>
      </c>
      <c r="BM97" s="146">
        <f>BN97*(1+$CF97+(VLOOKUP($AM97,$A$12:$B$323,2,0))+各项系数!$J$6+各项系数!$M$5)*(1+$E$2)</f>
        <v>1455.5807706762075</v>
      </c>
      <c r="BN97" s="199">
        <f>BO97+各项系数!$L$9*$NM97</f>
        <v>1485.2865006900076</v>
      </c>
      <c r="BO97" s="199">
        <f>BP97*(1+$CG97+各项系数!$J$5+各项系数!$L$5)</f>
        <v>1477.3394994406503</v>
      </c>
      <c r="BP97" s="199">
        <f t="shared" si="403"/>
        <v>1434.3101936316993</v>
      </c>
      <c r="BQ97" s="146">
        <f>BR97+各项系数!$M$9*$NM97</f>
        <v>1473.4152228961752</v>
      </c>
      <c r="BR97" s="146">
        <f>BS97*(1+$CF97+(VLOOKUP($AM97,$A$12:$B$323,2,0))+各项系数!$J$6+各项系数!$M$5)*(1+$E$2)</f>
        <v>1465.4682216468179</v>
      </c>
      <c r="BS97" s="199">
        <f>BT97+各项系数!$L$9*$NM97</f>
        <v>1495.3757363743041</v>
      </c>
      <c r="BT97" s="199">
        <f>BU97*(1+$CG97+各项系数!$J$5+各项系数!$L$5)</f>
        <v>1487.4287351249468</v>
      </c>
      <c r="BU97" s="199">
        <f t="shared" si="404"/>
        <v>1444.1055680824725</v>
      </c>
      <c r="BV97" s="146">
        <f>BW97+各项系数!$M$9*$NT97</f>
        <v>1464.2367843151026</v>
      </c>
      <c r="BW97" s="146">
        <f>BX97*(1+$CF97+(VLOOKUP($AM97,$A$12:$B$214,2,0))+各项系数!$J$6+各项系数!$M$5)*(1+$E$2)</f>
        <v>1456.2527126309151</v>
      </c>
      <c r="BX97" s="199">
        <f>BY97+各项系数!$L$9*$NT$12</f>
        <v>1485.9721557458317</v>
      </c>
      <c r="BY97" s="199">
        <f>BZ97*(1+$CG97+各项系数!$J$5+各项系数!$L$5)</f>
        <v>1485.9638923426767</v>
      </c>
      <c r="BZ97" s="199">
        <f t="shared" si="343"/>
        <v>1442.6833906239578</v>
      </c>
      <c r="CA97" s="146">
        <f>CB97+各项系数!$M$9*$NT97</f>
        <v>1474.1413595562374</v>
      </c>
      <c r="CB97" s="146">
        <f>CC97*(1+$CF97+(VLOOKUP($AM97,$A$12:$B$214,2,0))+各项系数!$J$6+各项系数!$M$5)*(1+$E$2)</f>
        <v>1466.1572878720499</v>
      </c>
      <c r="CC97" s="199">
        <f>CD97+各项系数!$L$9*$NT$12</f>
        <v>1496.0788651755611</v>
      </c>
      <c r="CD97" s="199">
        <f>CE97*(1+$CG97+各项系数!$J$5+各项系数!$L$5)</f>
        <v>1496.070601772406</v>
      </c>
      <c r="CE97" s="199">
        <f t="shared" si="405"/>
        <v>1452.4957298761224</v>
      </c>
      <c r="CF97" s="214">
        <f t="shared" si="406"/>
        <v>0</v>
      </c>
      <c r="CG97" s="214">
        <f t="shared" si="344"/>
        <v>0.01</v>
      </c>
      <c r="CH97" s="106"/>
      <c r="CI97" s="146">
        <f>CJ97+各项系数!$M$9*$NO97</f>
        <v>1470.8467933352299</v>
      </c>
      <c r="CJ97" s="146">
        <f>CK97*(1+$DC97+(VLOOKUP($AM97,$A$12:$B$323,2,0))+各项系数!$J$6+各项系数!$M$5)*(1+$E$2)+各项系数!$M$9*$NK97</f>
        <v>1460.5440232936955</v>
      </c>
      <c r="CK97" s="199">
        <f>CL97+各项系数!$L$9*$NO97</f>
        <v>1482.2418592289166</v>
      </c>
      <c r="CL97" s="199">
        <f>CM97*(1+$DD97+各项系数!$J$5+各项系数!$L$5)</f>
        <v>1471.9390891873823</v>
      </c>
      <c r="CM97" s="199">
        <f t="shared" si="345"/>
        <v>1443.0775384190022</v>
      </c>
      <c r="CN97" s="146">
        <f>CO97+各项系数!$M$9*$NO97</f>
        <v>1482.0261905564896</v>
      </c>
      <c r="CO97" s="146">
        <f>CP97*(1+$DC97+(VLOOKUP($AM97,$A$12:$B$323,2,0))+各项系数!$J$6+各项系数!$M$5)*(1+$E$2)+各项系数!$M$9*$NK97</f>
        <v>1471.7234205149553</v>
      </c>
      <c r="CP97" s="199">
        <f>CQ97+各项系数!$L$9*$NO97</f>
        <v>1493.6494074138755</v>
      </c>
      <c r="CQ97" s="199">
        <f>CR97*(1+$DD97+各项系数!$J$5+各项系数!$L$5)</f>
        <v>1483.3466373723411</v>
      </c>
      <c r="CR97" s="199">
        <f t="shared" si="346"/>
        <v>1454.2614091885696</v>
      </c>
      <c r="CS97" s="146">
        <f>CT97+各项系数!$M$9*$NU97</f>
        <v>1471.5002113773303</v>
      </c>
      <c r="CT97" s="146">
        <f t="shared" si="347"/>
        <v>1461.1596652207991</v>
      </c>
      <c r="CU97" s="199">
        <f>CV97+各项系数!$L$9*$NU97</f>
        <v>1490.9792502253051</v>
      </c>
      <c r="CV97" s="199">
        <f>CW97*(1+$DD97+各项系数!$J$5+各项系数!$L$5)</f>
        <v>1480.6387040687739</v>
      </c>
      <c r="CW97" s="199">
        <f t="shared" si="348"/>
        <v>1451.606572616445</v>
      </c>
      <c r="CX97" s="146">
        <f>CY97+各项系数!$M$9*$NU97</f>
        <v>1483.21832805439</v>
      </c>
      <c r="CY97" s="146">
        <f t="shared" si="349"/>
        <v>1472.8777818978588</v>
      </c>
      <c r="CZ97" s="199">
        <f>DA97+各项系数!$L$9*$NU97</f>
        <v>1502.9365121406722</v>
      </c>
      <c r="DA97" s="199">
        <f>DB97*(1+$DD97+各项系数!$J$5+各项系数!$L$5)</f>
        <v>1492.595965984141</v>
      </c>
      <c r="DB97" s="199">
        <f t="shared" si="350"/>
        <v>1463.3293784158245</v>
      </c>
      <c r="DC97" s="214">
        <f t="shared" si="407"/>
        <v>0</v>
      </c>
      <c r="DD97" s="214">
        <f t="shared" si="351"/>
        <v>0</v>
      </c>
      <c r="DE97" s="78" t="s">
        <v>498</v>
      </c>
      <c r="DF97" s="78" t="s">
        <v>513</v>
      </c>
      <c r="DG97" s="146">
        <f>DH97+各项系数!$M$9*$NQ97</f>
        <v>1486.7341767210855</v>
      </c>
      <c r="DH97" s="146">
        <f>DI97*(1+$EA97+(VLOOKUP($AM97,$A$12:$B$323,2,0))+各项系数!$J$6+各项系数!$M$5)*(1+$E$2)+各项系数!$M$9*$NK97</f>
        <v>1476.4314066795512</v>
      </c>
      <c r="DI97" s="199">
        <f>DJ97+各项系数!$L$9*$NQ97</f>
        <v>1498.4534749287693</v>
      </c>
      <c r="DJ97" s="199">
        <f>DK97*(1+$EB97+各项系数!$J$5+各项系数!$L$5)</f>
        <v>1488.150704887235</v>
      </c>
      <c r="DK97" s="199">
        <f t="shared" si="352"/>
        <v>1444.8065095992572</v>
      </c>
      <c r="DL97" s="146">
        <f>DM97+各项系数!$M$9*$NQ97</f>
        <v>1496.8018606389651</v>
      </c>
      <c r="DM97" s="146">
        <f>DN97*(1+$EA97+(VLOOKUP($AM97,$A$12:$B$323,2,0))+各项系数!$J$6+各项系数!$M$5)*(1+$E$2)+各项系数!$M$9*$NK97</f>
        <v>1486.4990905974307</v>
      </c>
      <c r="DN97" s="199">
        <f>DO97+各项系数!$L$9*$NQ97</f>
        <v>1508.7266217837484</v>
      </c>
      <c r="DO97" s="199">
        <f>DP97*(1+$EB97+各项系数!$J$5+各项系数!$L$5)</f>
        <v>1498.4238517422141</v>
      </c>
      <c r="DP97" s="199">
        <f t="shared" si="353"/>
        <v>1454.7804385846739</v>
      </c>
      <c r="DQ97" s="146">
        <f>DR97+各项系数!$M$9*$NV97</f>
        <v>1487.4741477744612</v>
      </c>
      <c r="DR97" s="146">
        <f t="shared" si="354"/>
        <v>1477.13360161793</v>
      </c>
      <c r="DS97" s="199">
        <f>DT97+各项系数!$L$9*$NV97</f>
        <v>1507.2791853244184</v>
      </c>
      <c r="DT97" s="199">
        <f>DU97*(1+$EB97+各项系数!$J$5+各项系数!$L$5)</f>
        <v>1496.9386391678872</v>
      </c>
      <c r="DU97" s="199">
        <f t="shared" si="355"/>
        <v>1453.3384846290166</v>
      </c>
      <c r="DV97" s="146">
        <f>DW97+各项系数!$M$9*$NV97</f>
        <v>1485.4598606494624</v>
      </c>
      <c r="DW97" s="146">
        <f t="shared" si="356"/>
        <v>1475.1193144929312</v>
      </c>
      <c r="DX97" s="199">
        <f>DY97+各项系数!$L$9*$NV97</f>
        <v>1505.2237902989093</v>
      </c>
      <c r="DY97" s="199">
        <f>DZ97*(1+$EB97+各项系数!$J$5+各项系数!$L$5)</f>
        <v>1494.8832441423781</v>
      </c>
      <c r="DZ97" s="199">
        <f t="shared" si="357"/>
        <v>1451.3429554780369</v>
      </c>
      <c r="EA97" s="214">
        <f t="shared" ref="EA97:EA110" si="492">BI97+$EA$2</f>
        <v>0</v>
      </c>
      <c r="EB97" s="214">
        <f t="shared" si="358"/>
        <v>0.01</v>
      </c>
      <c r="EC97" s="235">
        <f t="shared" si="408"/>
        <v>5</v>
      </c>
      <c r="ED97" s="237" t="str">
        <f t="shared" si="442"/>
        <v>5*500</v>
      </c>
      <c r="EE97" s="78">
        <f t="shared" si="491"/>
        <v>500</v>
      </c>
      <c r="EF97" s="78" t="str">
        <f>LOOKUP(EH97,{1,7,10,14,19,24,30,37,48,61},{1,"1+6","2+8","4+10","1+6+12","2+8+14","4+10+16","1+6+12+18","3+9+15+21","1+6+12+18+24"})</f>
        <v>1+6+12+18+24</v>
      </c>
      <c r="EG97" s="106">
        <f t="shared" si="359"/>
        <v>5</v>
      </c>
      <c r="EH97" s="199">
        <f>VLOOKUP(EE97,各项系数!$B$87:$C$124,2,0)</f>
        <v>61</v>
      </c>
      <c r="EI97" s="106">
        <f>IF(EH97=0,0,VLOOKUP(EH97,各项系数!$D$142:$E$195,2,0))*1</f>
        <v>9</v>
      </c>
      <c r="EJ97" s="240">
        <f t="shared" si="409"/>
        <v>314.10304232929502</v>
      </c>
      <c r="EK97" s="78">
        <f t="shared" si="332"/>
        <v>0</v>
      </c>
      <c r="EL97" s="78">
        <f t="shared" si="360"/>
        <v>0</v>
      </c>
      <c r="EM97" s="78">
        <f t="shared" si="443"/>
        <v>0</v>
      </c>
      <c r="EN97" s="78">
        <f>IF(EP97=0,0,LOOKUP(EP97,{1,7,10,14,19,24,30,37,48,61},{1,"1+6","2+8","4+10","1+6+12","2+8+14","4+10+16","1+6+12+18","3+9+15+21","1+6+12+18+24"}))</f>
        <v>0</v>
      </c>
      <c r="EO97" s="78">
        <f t="shared" si="334"/>
        <v>0</v>
      </c>
      <c r="EP97" s="78">
        <f>IF(EM97=0,0,IF(EM97&lt;10,1,IF(AND(EM97&gt;=10,EM97&lt;=35),7,LOOKUP(EM97,{50,70,95,120,150,185,240,300},{10,14,19,24,30,37,48,61})*1)))</f>
        <v>0</v>
      </c>
      <c r="EQ97" s="78">
        <f>IF(EP97=0,0,VLOOKUP(EP97,各项系数!$D$142:$E$195,2,0))*1</f>
        <v>0</v>
      </c>
      <c r="ER97" s="78">
        <f t="shared" si="335"/>
        <v>0</v>
      </c>
      <c r="ES97" s="237">
        <f t="shared" si="444"/>
        <v>5</v>
      </c>
      <c r="ET97" s="78">
        <f>VLOOKUP(ES97,各项系数!$D$142:$E$195,2,0)*1</f>
        <v>2.7</v>
      </c>
      <c r="EU97" s="243">
        <f>((各项系数!$F$76/4*$EJ97^2*$EG97*$EH97*1*10^-7)*(1-$H97)*AA97)*(VLOOKUP($EY$9,各项系数!$D$4:$F$143,3,0))*各项系数!$J$4</f>
        <v>21.323525996976237</v>
      </c>
      <c r="EV97" s="244">
        <f>EU97*(VLOOKUP($EY$9,各项系数!$D$4:$F$143,2,0))</f>
        <v>1396.6909528019435</v>
      </c>
      <c r="EW97" s="252">
        <f>(IF($EO97=0,0,(各项系数!$F$76/4*$ER97^2*$EO97*$EP97*1*10^-7))*(1-$K97)*$AF97)*(VLOOKUP($EY$9,各项系数!$D$4:$F$143,3,0))*各项系数!$J$4</f>
        <v>0</v>
      </c>
      <c r="EX97" s="253">
        <f>EW97*(VLOOKUP($EY$9,各项系数!$D$4:$F$143,2,0))</f>
        <v>0</v>
      </c>
      <c r="EY97" s="189">
        <f>((各项系数!$F$76/4*$EJ97^2*$EG97*$EH97*1*10^-7)*(1-$H97)*AA97+IF($EO97=0,0,(各项系数!$F$76/4*$ER97^2*$EO97*$EP97*1*10^-7))*(1-$K97)*$AF97)*(VLOOKUP($EY$9,各项系数!$D$4:$F$143,3,0))*各项系数!$J$4</f>
        <v>21.323525996976237</v>
      </c>
      <c r="EZ97" s="106">
        <v>1</v>
      </c>
      <c r="FA97" s="78">
        <f t="shared" si="445"/>
        <v>21.323525996976237</v>
      </c>
      <c r="FB97" s="246">
        <f>FA97*(VLOOKUP($EY$9,各项系数!$D$4:$F$143,2,0))</f>
        <v>1396.6909528019435</v>
      </c>
      <c r="FC97" s="257"/>
      <c r="FD97" s="237">
        <f>各项系数!$F$76/4*($MN97^2-MK97^2)*10^-2*(VLOOKUP(L97,各项系数!$D$1:$F$143,3,0))*10^-3*10^2*$EG97*各项系数!$J$4</f>
        <v>1.1524455808529335</v>
      </c>
      <c r="FE97" s="264">
        <f>FD97*VLOOKUP(L97,各项系数!$D$1:$F$143,2,0)</f>
        <v>11.75494492469992</v>
      </c>
      <c r="FF97" s="106">
        <f>各项系数!$F$76/4*($MO97^2-ML97^2)*10^-2*(VLOOKUP(L97,各项系数!$D$1:$F$143,3,0))*10^-3*10^2*$EO97*各项系数!$J$4</f>
        <v>0</v>
      </c>
      <c r="FG97" s="264">
        <f>FF97*VLOOKUP(L97,各项系数!$D$1:$F$143,2,0)</f>
        <v>0</v>
      </c>
      <c r="FH97" s="237">
        <f t="shared" si="410"/>
        <v>1.1524455808529335</v>
      </c>
      <c r="FI97" s="106">
        <v>1</v>
      </c>
      <c r="FJ97" s="78">
        <f t="shared" si="446"/>
        <v>1.1524455808529335</v>
      </c>
      <c r="FK97" s="264">
        <f>FJ97*VLOOKUP(L97,各项系数!$D$1:$F$143,2,0)</f>
        <v>11.75494492469992</v>
      </c>
      <c r="FL97" s="237"/>
      <c r="FM97" s="106"/>
      <c r="FN97" s="78"/>
      <c r="FO97" s="264"/>
      <c r="FP97" s="289">
        <f t="shared" si="447"/>
        <v>1.1524455808529335</v>
      </c>
      <c r="FQ97" s="289">
        <f t="shared" si="448"/>
        <v>11.75494492469992</v>
      </c>
      <c r="FR97" s="283">
        <f>各项系数!$F$76/4*($MQ97^2-$MN97^2*$EG97-$MO97^2*$EO97)*10^-2</f>
        <v>19.195716389250823</v>
      </c>
      <c r="FS97" s="284">
        <f t="shared" si="411"/>
        <v>1</v>
      </c>
      <c r="FT97" s="285">
        <f t="shared" si="361"/>
        <v>19.195716389250823</v>
      </c>
      <c r="FU97" s="309">
        <f>$FT97*(VLOOKUP($FT$9,各项系数!$D$1:$F$143,3,0))*10^-3*10^2*各项系数!$J$55</f>
        <v>2.2919685368765483</v>
      </c>
      <c r="FV97" s="310">
        <v>1</v>
      </c>
      <c r="FW97" s="311">
        <f t="shared" si="449"/>
        <v>2.2919685368765483</v>
      </c>
      <c r="FX97" s="290">
        <f>FW97*(VLOOKUP($FT$9,各项系数!$D$1:$F$143,2,0))</f>
        <v>6.875905610629645</v>
      </c>
      <c r="FY97" s="309">
        <f>IF($BK97&lt;&gt;$FY$9,0,各项系数!$F$76/4*($MS97^2-$MQ97^2)*10^-2*(VLOOKUP($FY$9,各项系数!$D$1:$F$143,3,0))*10^-3*10^2)*各项系数!$J$4</f>
        <v>0</v>
      </c>
      <c r="FZ97" s="310">
        <v>1</v>
      </c>
      <c r="GA97" s="311">
        <f t="shared" si="450"/>
        <v>0</v>
      </c>
      <c r="GB97" s="290">
        <f>GA97*(VLOOKUP($FY$9,各项系数!$D$1:$F$143,2,0))</f>
        <v>0</v>
      </c>
      <c r="GC97" s="309">
        <f>IF($BK97&lt;&gt;$GC$9,0,各项系数!$F$76/4*($MS97^2-$MQ97^2)*10^-2*(VLOOKUP($GC$9,各项系数!$D$1:$F$143,3,0))*10^-3*10^2)*各项系数!$J$4</f>
        <v>2.4045129696274158E-2</v>
      </c>
      <c r="GD97" s="310">
        <v>1</v>
      </c>
      <c r="GE97" s="311">
        <f t="shared" si="451"/>
        <v>2.4045129696274158E-2</v>
      </c>
      <c r="GF97" s="290">
        <f>GE97*(VLOOKUP($GC$9,各项系数!$D$1:$F$143,2,0))</f>
        <v>0.31018217308193663</v>
      </c>
      <c r="GG97" s="309">
        <f>IF($BK97&lt;&gt;$GG$9,0,各项系数!$F$76/4*($MS97^2-$MQ97^2)*10^-2*(VLOOKUP($GG$9,各项系数!$D$1:$F$143,3,0))*10^-3*10^2)*各项系数!$J$4</f>
        <v>0</v>
      </c>
      <c r="GH97" s="310">
        <v>1</v>
      </c>
      <c r="GI97" s="311">
        <f t="shared" si="452"/>
        <v>0</v>
      </c>
      <c r="GJ97" s="290">
        <f>GI97*(VLOOKUP($GG$9,各项系数!$D$1:$F$143,2,0))</f>
        <v>0</v>
      </c>
      <c r="GK97" s="309">
        <f>IF($BK97&lt;&gt;$GK$9,0,各项系数!$F$76/4*($MS97^2-$MQ97^2)*10^-2*(VLOOKUP($GK$9,各项系数!$D$1:$F$143,3,0))*10^-3*10^2)*各项系数!$J$4</f>
        <v>0</v>
      </c>
      <c r="GL97" s="310">
        <v>1</v>
      </c>
      <c r="GM97" s="311">
        <f t="shared" si="453"/>
        <v>0</v>
      </c>
      <c r="GN97" s="290">
        <f>GM97*(VLOOKUP($GK$9,各项系数!$D$1:$F$143,2,0))</f>
        <v>0</v>
      </c>
      <c r="GO97" s="311">
        <f t="shared" si="454"/>
        <v>2.4045129696274158E-2</v>
      </c>
      <c r="GP97" s="311">
        <f t="shared" si="455"/>
        <v>0.31018217308193663</v>
      </c>
      <c r="GQ97" s="317">
        <f>各项系数!$F$76/4*($MU97^2-$MS97^2)*10^-2*(VLOOKUP($S97,各项系数!$D$1:$F$143,3,0))*10^-3*10^2*各项系数!$J$4</f>
        <v>1.6341039696501385</v>
      </c>
      <c r="GR97" s="310">
        <v>1</v>
      </c>
      <c r="GS97" s="311">
        <f t="shared" si="456"/>
        <v>1.6341039696501385</v>
      </c>
      <c r="GT97" s="311">
        <f t="shared" si="457"/>
        <v>0</v>
      </c>
      <c r="GU97" s="311">
        <f>ROUND($GS97*(VLOOKUP($S97,各项系数!$D$1:$F$143,2,0))+$E$3*GS97,GT97)</f>
        <v>9</v>
      </c>
      <c r="GV97" s="315">
        <f>各项系数!$F$76/4*($MT97^2-$MS97^2)*10^-2*(VLOOKUP($GV$9,各项系数!$D$1:$F$143,3,0))*10^-3*10^2*各项系数!$J$4*PI()/4*R97</f>
        <v>0.12356811610037639</v>
      </c>
      <c r="GW97" s="310">
        <v>1</v>
      </c>
      <c r="GX97" s="311">
        <f t="shared" si="458"/>
        <v>0.12356811610037639</v>
      </c>
      <c r="GY97" s="311">
        <f>$GX97*(VLOOKUP($GV$9,各项系数!$D$1:$F$143,2,0))</f>
        <v>8.3408478367754064</v>
      </c>
      <c r="GZ97" s="317">
        <f>各项系数!$F$76/4*($MV97^2-$MS97^2)*10^-2*(VLOOKUP($GZ$9,各项系数!$D$1:$F$143,3,0))*10^-3*10^2*各项系数!$J$4</f>
        <v>1.6749166218892613</v>
      </c>
      <c r="HA97" s="310">
        <v>1</v>
      </c>
      <c r="HB97" s="311">
        <f t="shared" si="412"/>
        <v>1.6749166218892613</v>
      </c>
      <c r="HC97" s="311">
        <f>HB97*(VLOOKUP($GZ$9,各项系数!$D$1:$F$143,2,0))</f>
        <v>28.47358257211744</v>
      </c>
      <c r="HD97" s="317">
        <f>各项系数!$F$76/4*($MW97^2-$MT97^2)*10^-2*(VLOOKUP($HD$9,各项系数!$D$1:$F$143,3,0))*10^-3*10^2*各项系数!$J$4</f>
        <v>1.6778174428818808</v>
      </c>
      <c r="HE97" s="310">
        <v>1</v>
      </c>
      <c r="HF97" s="311">
        <f t="shared" si="413"/>
        <v>1.6778174428818808</v>
      </c>
      <c r="HG97" s="311">
        <f>HF97*(VLOOKUP($HD$9,各项系数!$D$1:$F$143,2,0))</f>
        <v>28.522896528991975</v>
      </c>
      <c r="HH97" s="317">
        <f>各项系数!$F$76/4*($MV97^2-$MS97^2)*10^-2*(VLOOKUP($HH$9,各项系数!$D$1:$F$143,3,0))*10^-3*10^2*各项系数!$J$4</f>
        <v>1.6749166218892613</v>
      </c>
      <c r="HI97" s="311">
        <v>1</v>
      </c>
      <c r="HJ97" s="311">
        <f t="shared" si="414"/>
        <v>1.6749166218892613</v>
      </c>
      <c r="HK97" s="311">
        <f>HJ97*(VLOOKUP($HH$9,各项系数!$D$1:$F$143,2,0))</f>
        <v>28.47358257211744</v>
      </c>
      <c r="HL97" s="317">
        <f>各项系数!$F$76/4*($MW97^2-$MT97^2)*10^-2*(VLOOKUP($HL$9,各项系数!$D$1:$F$143,3,0))*10^-3*10^2*各项系数!$J$4</f>
        <v>1.6778174428818808</v>
      </c>
      <c r="HM97" s="311">
        <v>1</v>
      </c>
      <c r="HN97" s="311">
        <f t="shared" si="362"/>
        <v>1.6778174428818808</v>
      </c>
      <c r="HO97" s="311">
        <f>HN97*(VLOOKUP($HL$9,各项系数!$D$1:$F$143,2,0))</f>
        <v>28.522896528991975</v>
      </c>
      <c r="HP97" s="317">
        <f>各项系数!$F$76/4*($MV97^2-$MS97^2)*10^-2*(VLOOKUP(AN97,各项系数!$D$1:$F$143,3,0))*10^-3*10^2*各项系数!$J$4</f>
        <v>1.6980189201222167</v>
      </c>
      <c r="HQ97" s="310">
        <v>1</v>
      </c>
      <c r="HR97" s="311">
        <f t="shared" si="459"/>
        <v>1.6980189201222167</v>
      </c>
      <c r="HS97" s="311">
        <f>HR97*(VLOOKUP(AN97,各项系数!$D$1:$F$143,2,0))</f>
        <v>16.980189201222167</v>
      </c>
      <c r="HT97" s="317">
        <f>各项系数!$F$76/4*($MW97^2-$MT97^2)*10^-2*(VLOOKUP(AN97,各项系数!$D$1:$F$143,3,0))*10^-3*10^2*各项系数!$J$4</f>
        <v>1.700959752438872</v>
      </c>
      <c r="HU97" s="310">
        <v>1</v>
      </c>
      <c r="HV97" s="311">
        <f t="shared" si="460"/>
        <v>1.700959752438872</v>
      </c>
      <c r="HW97" s="311">
        <f>HV97*(VLOOKUP(AN97,各项系数!$D$1:$F$143,2,0))</f>
        <v>17.00959752438872</v>
      </c>
      <c r="HX97" s="317">
        <f>各项系数!$F$76/4*($MV97^2-$MS97^2)*10^-2*(VLOOKUP($HX$9,各项系数!$D$1:$F$143,3,0))*10^-3*10^2*各项系数!$J$4</f>
        <v>1.6980189201222167</v>
      </c>
      <c r="HY97" s="311">
        <v>1</v>
      </c>
      <c r="HZ97" s="311">
        <f t="shared" si="461"/>
        <v>1.6980189201222167</v>
      </c>
      <c r="IA97" s="311">
        <f>HZ97*(VLOOKUP($HX$9,各项系数!$D$1:$F$143,2,0))</f>
        <v>18.678208121344383</v>
      </c>
      <c r="IB97" s="317">
        <f>各项系数!$F$76/4*($MW97^2-$MT97^2)*10^-2*(VLOOKUP($IB$9,各项系数!$D$1:$F$143,3,0))*10^-3*10^2*各项系数!$J$4</f>
        <v>1.700959752438872</v>
      </c>
      <c r="IC97" s="311">
        <v>1</v>
      </c>
      <c r="ID97" s="311">
        <f t="shared" si="462"/>
        <v>1.700959752438872</v>
      </c>
      <c r="IE97" s="311">
        <f>ID97*(VLOOKUP($IB$9,各项系数!$D$1:$F$143,2,0))</f>
        <v>18.710557276827593</v>
      </c>
      <c r="IF97" s="309"/>
      <c r="IG97" s="317">
        <f t="shared" si="415"/>
        <v>0.20093457492565972</v>
      </c>
      <c r="IH97" s="310">
        <v>1</v>
      </c>
      <c r="II97" s="311">
        <f t="shared" si="463"/>
        <v>0.20093457492565972</v>
      </c>
      <c r="IJ97" s="311">
        <f>II97*(VLOOKUP($IG$8,各项系数!$D$1:$F$143,2,0))</f>
        <v>5.0233643731414928</v>
      </c>
      <c r="IK97" s="317">
        <f>(各项系数!$F$76/4*($MX97^2-$MK97^2)*$EG97)*10^-2*(VLOOKUP($IG$8,各项系数!$D$1:$F$143,3,0))*10^-3*10^2*各项系数!$J$4</f>
        <v>0.20093457492565972</v>
      </c>
      <c r="IL97" s="310">
        <f>IK97*(VLOOKUP($IG$8,各项系数!$D$1:$F$143,2,0))</f>
        <v>5.0233643731414928</v>
      </c>
      <c r="IM97" s="311">
        <f>(各项系数!$F$76/4*(($MM97+3*$X97)^2-MM97^2)*$EO97)*10^-2*(VLOOKUP($IG$8,各项系数!$D$1:$F$143,3,0))*10^-3*10^2*各项系数!$J$4</f>
        <v>0</v>
      </c>
      <c r="IN97" s="310">
        <f>IM97*(VLOOKUP($IG$8,各项系数!$D$1:$F$143,2,0))</f>
        <v>0</v>
      </c>
      <c r="IO97" s="317">
        <f>各项系数!$F$76/4*($MZ97^2-$MX97^2)*10^-2*(VLOOKUP(L97,各项系数!$D$1:$F$143,3,0))*10^-3*10^2*$ES97*各项系数!$J$4</f>
        <v>1.1751395037046708</v>
      </c>
      <c r="IP97" s="310">
        <v>1</v>
      </c>
      <c r="IQ97" s="311">
        <f t="shared" si="464"/>
        <v>1.1751395037046708</v>
      </c>
      <c r="IR97" s="290">
        <f>IQ97*(VLOOKUP(L97,各项系数!$D$1:$F$143,2,0))</f>
        <v>11.986422937787641</v>
      </c>
      <c r="IS97" s="317">
        <f>IF($L97&lt;&gt;$IS$9,0,各项系数!$F$76/4*($MZ97^2-$MX97^2)*10^-2*各项系数!$F$12*10^-3*10^2)*$ES97*各项系数!$J$4</f>
        <v>0</v>
      </c>
      <c r="IT97" s="310">
        <v>1</v>
      </c>
      <c r="IU97" s="311">
        <f t="shared" si="465"/>
        <v>0</v>
      </c>
      <c r="IV97" s="290">
        <f>IU97*各项系数!$E$12</f>
        <v>0</v>
      </c>
      <c r="IW97" s="309">
        <f t="shared" si="466"/>
        <v>1.1751395037046708</v>
      </c>
      <c r="IX97" s="309">
        <f t="shared" si="467"/>
        <v>11.986422937787641</v>
      </c>
      <c r="IY97" s="339">
        <f>各项系数!$F$76/4*($NB97^2-$MZ97^2*$EG97-$NA97^2*$EO97)*10^-2</f>
        <v>19.907283703783474</v>
      </c>
      <c r="IZ97" s="284">
        <f t="shared" si="487"/>
        <v>1</v>
      </c>
      <c r="JA97" s="285">
        <f t="shared" si="363"/>
        <v>19.907283703783474</v>
      </c>
      <c r="JB97" s="289">
        <f>IF($DE97&lt;&gt;$JB$9,0,$JA97*各项系数!$F$32*10^-3*10^2)*各项系数!$J$4</f>
        <v>0</v>
      </c>
      <c r="JC97" s="106">
        <v>1</v>
      </c>
      <c r="JD97" s="78">
        <f t="shared" si="468"/>
        <v>0</v>
      </c>
      <c r="JE97" s="264">
        <f>JD97*各项系数!$E$32</f>
        <v>0</v>
      </c>
      <c r="JF97" s="282">
        <f>IF($DE97&lt;&gt;$JF$9,0,$JA97*VLOOKUP($JF$9,各项系数!$D$4:$F$540,2,0)*10^-3*10^2)*各项系数!$J$4</f>
        <v>9.9038736426322789</v>
      </c>
      <c r="JG97" s="102">
        <v>1</v>
      </c>
      <c r="JH97" s="189">
        <f t="shared" si="364"/>
        <v>9.9038736426322789</v>
      </c>
      <c r="JI97" s="262">
        <f>JH97*VLOOKUP($JF$9,各项系数!$D$4:$F$540,3,0)</f>
        <v>11.884648371158734</v>
      </c>
      <c r="JJ97" s="289">
        <f t="shared" si="469"/>
        <v>9.9038736426322789</v>
      </c>
      <c r="JK97" s="78">
        <f t="shared" si="470"/>
        <v>11.884648371158734</v>
      </c>
      <c r="JL97" s="289">
        <f>IF($DF97&lt;&gt;$JL$9,0,各项系数!$F$76/4*($NE97^2-$NC97^2)*10^-2*各项系数!$F$39*10^-3*10^2)*各项系数!$J$4</f>
        <v>1.0121906621027217E-2</v>
      </c>
      <c r="JM97" s="106">
        <v>1</v>
      </c>
      <c r="JN97" s="78">
        <f t="shared" si="471"/>
        <v>1.0121906621027217E-2</v>
      </c>
      <c r="JO97" s="264">
        <f>JN97*各项系数!$E$39</f>
        <v>0.20243813242054434</v>
      </c>
      <c r="JP97" s="289">
        <f>IF($DF97&lt;&gt;$JP$9,0,各项系数!$F$76/4*($NE97^2-$NC97^2)*10^-2*各项系数!$F$36*10^-3*10^2)*各项系数!$J$4</f>
        <v>0</v>
      </c>
      <c r="JQ97" s="106">
        <v>1</v>
      </c>
      <c r="JR97" s="78">
        <f t="shared" si="472"/>
        <v>0</v>
      </c>
      <c r="JS97" s="264">
        <f>JR97*各项系数!$E$36</f>
        <v>0</v>
      </c>
      <c r="JT97" s="289">
        <f>IF($DF97&lt;&gt;$JT$9,0,各项系数!$F$76/4*($NE97^2-$NC97^2)*10^-2*各项系数!$F$40*10^-3*10^2)*各项系数!$J$4</f>
        <v>0</v>
      </c>
      <c r="JU97" s="106">
        <v>1</v>
      </c>
      <c r="JV97" s="78">
        <f t="shared" si="473"/>
        <v>0</v>
      </c>
      <c r="JW97" s="264">
        <f>JV97*各项系数!$E$40</f>
        <v>0</v>
      </c>
      <c r="JX97" s="289">
        <f>IF($DF97&lt;&gt;$JX$9,0,各项系数!$F$76/4*($NE97^2-$NC97^2)*10^-2*各项系数!$F$38*10^-3*10^2)*各项系数!$J$4</f>
        <v>0</v>
      </c>
      <c r="JY97" s="106">
        <v>1</v>
      </c>
      <c r="JZ97" s="78">
        <f t="shared" si="474"/>
        <v>0</v>
      </c>
      <c r="KA97" s="264">
        <f>JZ97*各项系数!$E$38</f>
        <v>0</v>
      </c>
      <c r="KB97" s="289">
        <f>IF($DF97&lt;&gt;$KB$9,0,各项系数!$F$76/4*($NE97^2-$NC97^2)*10^-2*各项系数!$F$41*10^-3*10^2)*各项系数!$J$4</f>
        <v>0</v>
      </c>
      <c r="KC97" s="106">
        <v>1</v>
      </c>
      <c r="KD97" s="78">
        <f t="shared" si="475"/>
        <v>0</v>
      </c>
      <c r="KE97" s="264">
        <f>KD97*各项系数!$E$41</f>
        <v>0</v>
      </c>
      <c r="KF97" s="78">
        <f t="shared" si="476"/>
        <v>1.0121906621027217E-2</v>
      </c>
      <c r="KG97" s="78">
        <f t="shared" si="477"/>
        <v>0.20243813242054434</v>
      </c>
      <c r="KH97" s="237">
        <f>各项系数!$F$76/4*($NG97^2-$NE97^2)*10^-2*各项系数!$F$44*10^-3*10^2*各项系数!$J$4*0.75*$U97</f>
        <v>2.4974659049034762</v>
      </c>
      <c r="KI97" s="106">
        <v>1</v>
      </c>
      <c r="KJ97" s="78">
        <f t="shared" si="478"/>
        <v>2.4974659049034762</v>
      </c>
      <c r="KK97" s="78">
        <f>ROUND(KJ97*各项系数!$E$43,GT97)</f>
        <v>14</v>
      </c>
      <c r="KL97" s="235">
        <f>各项系数!$F$76/4*($NF97^2-$NE97^2)*10^-2*各项系数!$F$46*10^-3*10^2*各项系数!$J$4*PI()/4*R97</f>
        <v>0.12592038332261238</v>
      </c>
      <c r="KM97" s="106">
        <v>1</v>
      </c>
      <c r="KN97" s="78">
        <f t="shared" si="479"/>
        <v>0.12592038332261238</v>
      </c>
      <c r="KO97" s="78">
        <f>KN97*各项系数!$E$46</f>
        <v>8.4996258742763349</v>
      </c>
      <c r="KP97" s="237">
        <f>各项系数!$F$76/4*($NH97^2-$NE97^2)*10^-2*(VLOOKUP($KP$9,各项系数!$D$1:$F$143,3,0))*10^-3*10^2*各项系数!$J$4</f>
        <v>1.705447762836573</v>
      </c>
      <c r="KQ97" s="106">
        <v>1</v>
      </c>
      <c r="KR97" s="78">
        <f t="shared" si="416"/>
        <v>1.705447762836573</v>
      </c>
      <c r="KS97" s="78">
        <f>KR97*(VLOOKUP($KP$9,各项系数!$D$1:$F$143,2,0))</f>
        <v>28.992611968221741</v>
      </c>
      <c r="KT97" s="237">
        <f>各项系数!$F$76/4*($NI97^2-$NF97^2)*10^-2*(VLOOKUP($KT$9,各项系数!$D$1:$F$143,3,0))*10^-3*10^2*各项系数!$J$4</f>
        <v>1.7083485838291903</v>
      </c>
      <c r="KU97" s="106">
        <v>1</v>
      </c>
      <c r="KV97" s="78">
        <f t="shared" si="417"/>
        <v>1.7083485838291903</v>
      </c>
      <c r="KW97" s="78">
        <f>KV97*(VLOOKUP($KT$9,各项系数!$D$1:$F$143,2,0))</f>
        <v>29.041925925096237</v>
      </c>
      <c r="KX97" s="78">
        <f>各项系数!$F$76/4*($NH97^2-$NE97^2)*10^-2*(VLOOKUP($KX$9,各项系数!$D$1:$F$143,3,0))*10^-3*10^2*各项系数!$J$4</f>
        <v>1.705447762836573</v>
      </c>
      <c r="KY97" s="355">
        <v>1</v>
      </c>
      <c r="KZ97" s="78">
        <f t="shared" si="418"/>
        <v>1.705447762836573</v>
      </c>
      <c r="LA97" s="78">
        <f>KZ97*(VLOOKUP($KX$9,各项系数!$D$1:$F$143,2,0))</f>
        <v>28.992611968221741</v>
      </c>
      <c r="LB97" s="78">
        <f>各项系数!$F$76/4*($NI97^2-$NF97^2)*10^-2*(VLOOKUP($LB$9,各项系数!$D$1:$F$143,3,0))*10^-3*10^2*各项系数!$J$4</f>
        <v>1.7083485838291903</v>
      </c>
      <c r="LC97" s="355">
        <v>1</v>
      </c>
      <c r="LD97" s="78">
        <f t="shared" si="419"/>
        <v>1.7083485838291903</v>
      </c>
      <c r="LE97" s="78">
        <f>LD97*(VLOOKUP($LB$9,各项系数!$D$1:$F$143,2,0))</f>
        <v>29.041925925096237</v>
      </c>
      <c r="LF97" s="237">
        <f>各项系数!$F$76/4*($NH97^2-$NE97^2)*10^-2*(VLOOKUP(AN97,各项系数!$D$1:$F$143,3,0))*10^-3*10^2*各项系数!$J$4</f>
        <v>1.728971180255009</v>
      </c>
      <c r="LG97" s="106">
        <v>1</v>
      </c>
      <c r="LH97" s="78">
        <f t="shared" si="480"/>
        <v>1.728971180255009</v>
      </c>
      <c r="LI97" s="78">
        <f>LH97*(VLOOKUP(AN97,各项系数!$D$1:$F$143,2,0))</f>
        <v>17.289711802550091</v>
      </c>
      <c r="LJ97" s="237">
        <f>各项系数!$F$76/4*($NI97^2-$NF97^2)*10^-2*(VLOOKUP(AN97,各项系数!$D$1:$F$143,3,0))*10^-3*10^2*各项系数!$J$4</f>
        <v>1.7319120125716621</v>
      </c>
      <c r="LK97" s="106">
        <v>1</v>
      </c>
      <c r="LL97" s="78">
        <f t="shared" si="481"/>
        <v>1.7319120125716621</v>
      </c>
      <c r="LM97" s="78">
        <f>LL97*(VLOOKUP(AN97,各项系数!$D$1:$F$143,2,0))</f>
        <v>17.319120125716619</v>
      </c>
      <c r="LN97" s="78">
        <f>各项系数!$F$76/4*($NH97^2-$NE97^2)*10^-2*(VLOOKUP($LN$9,各项系数!$D$1:$F$143,3,0))*10^-3*10^2*各项系数!$J$4</f>
        <v>1.728971180255009</v>
      </c>
      <c r="LO97" s="355">
        <v>1</v>
      </c>
      <c r="LP97" s="78">
        <f t="shared" si="482"/>
        <v>1.728971180255009</v>
      </c>
      <c r="LQ97" s="78">
        <f>LP97*(VLOOKUP($LN$9,各项系数!$D$1:$F$143,2,0))</f>
        <v>19.0186829828051</v>
      </c>
      <c r="LR97" s="78">
        <f>各项系数!$F$76/4*($NI97^2-$NF97^2)*10^-2*(VLOOKUP($LR$9,各项系数!$D$1:$F$143,3,0))*10^-3*10^2*各项系数!$J$4</f>
        <v>1.7319120125716621</v>
      </c>
      <c r="LS97" s="355">
        <v>1</v>
      </c>
      <c r="LT97" s="78">
        <f t="shared" si="483"/>
        <v>1.7319120125716621</v>
      </c>
      <c r="LU97" s="78">
        <f>LT97*(VLOOKUP($LR$9,各项系数!$D$1:$F$143,2,0))</f>
        <v>19.051032138288281</v>
      </c>
      <c r="LV97" s="367">
        <f t="shared" si="420"/>
        <v>3138.2619372499998</v>
      </c>
      <c r="LW97" s="367">
        <f t="shared" si="421"/>
        <v>2363.38244657</v>
      </c>
      <c r="LX97" s="367">
        <f t="shared" si="422"/>
        <v>54.855737988891022</v>
      </c>
      <c r="LY97" s="367">
        <f t="shared" si="423"/>
        <v>774.87949067999989</v>
      </c>
      <c r="LZ97" s="374">
        <f t="shared" si="365"/>
        <v>1</v>
      </c>
      <c r="MA97" s="375">
        <f t="shared" si="366"/>
        <v>3138.2619372499998</v>
      </c>
      <c r="MB97" s="367">
        <f t="shared" si="424"/>
        <v>28.269273779999999</v>
      </c>
      <c r="MC97" s="367">
        <f t="shared" si="425"/>
        <v>0</v>
      </c>
      <c r="MD97" s="367">
        <f t="shared" si="426"/>
        <v>0</v>
      </c>
      <c r="ME97" s="367">
        <f t="shared" si="427"/>
        <v>0</v>
      </c>
      <c r="MF97" s="367">
        <f t="shared" si="428"/>
        <v>0</v>
      </c>
      <c r="MG97" s="379">
        <f t="shared" si="429"/>
        <v>1</v>
      </c>
      <c r="MH97" s="375">
        <f t="shared" si="367"/>
        <v>0</v>
      </c>
      <c r="MI97" s="367">
        <f t="shared" si="430"/>
        <v>0</v>
      </c>
      <c r="MJ97" s="78">
        <f t="shared" si="368"/>
        <v>28.269273779999999</v>
      </c>
      <c r="MK97" s="78">
        <f t="shared" si="431"/>
        <v>28.269273779999999</v>
      </c>
      <c r="ML97" s="78">
        <f t="shared" si="484"/>
        <v>0</v>
      </c>
      <c r="MM97" s="78">
        <f t="shared" si="369"/>
        <v>0</v>
      </c>
      <c r="MN97" s="78">
        <f t="shared" si="370"/>
        <v>32.669273779999997</v>
      </c>
      <c r="MO97" s="189">
        <f t="shared" si="432"/>
        <v>0</v>
      </c>
      <c r="MP97" s="78">
        <f t="shared" si="433"/>
        <v>88.207039210000005</v>
      </c>
      <c r="MQ97" s="78">
        <f t="shared" si="485"/>
        <v>88.207039210000005</v>
      </c>
      <c r="MR97" s="246">
        <f t="shared" si="434"/>
        <v>88.207039210000005</v>
      </c>
      <c r="MS97" s="380">
        <f t="shared" si="371"/>
        <v>88.383039210000007</v>
      </c>
      <c r="MT97" s="382">
        <f t="shared" si="372"/>
        <v>88.543039210000003</v>
      </c>
      <c r="MU97" s="382">
        <f t="shared" si="373"/>
        <v>89.883039210000007</v>
      </c>
      <c r="MV97" s="382">
        <f t="shared" si="374"/>
        <v>96.383039210000007</v>
      </c>
      <c r="MW97" s="382">
        <f t="shared" si="375"/>
        <v>96.543039210000003</v>
      </c>
      <c r="MX97" s="246">
        <f t="shared" si="376"/>
        <v>28.86927378</v>
      </c>
      <c r="MY97" s="246">
        <f t="shared" si="377"/>
        <v>0</v>
      </c>
      <c r="MZ97" s="78">
        <f t="shared" si="378"/>
        <v>33.269273779999999</v>
      </c>
      <c r="NA97" s="78">
        <f t="shared" si="379"/>
        <v>0</v>
      </c>
      <c r="NB97" s="78">
        <f t="shared" si="435"/>
        <v>89.827039209999995</v>
      </c>
      <c r="NC97" s="246">
        <f t="shared" si="486"/>
        <v>89.827039209999995</v>
      </c>
      <c r="ND97" s="246">
        <f t="shared" si="436"/>
        <v>89.827039209999995</v>
      </c>
      <c r="NE97" s="386">
        <f t="shared" si="437"/>
        <v>90.06703920999999</v>
      </c>
      <c r="NF97" s="382">
        <f t="shared" si="380"/>
        <v>90.227039209999987</v>
      </c>
      <c r="NG97" s="150">
        <f t="shared" si="381"/>
        <v>91.56703920999999</v>
      </c>
      <c r="NH97" s="246">
        <f t="shared" si="382"/>
        <v>98.06703920999999</v>
      </c>
      <c r="NI97" s="382">
        <f t="shared" si="383"/>
        <v>98.227039209999987</v>
      </c>
      <c r="NK97" s="390">
        <f t="shared" si="384"/>
        <v>26.490004164524208</v>
      </c>
      <c r="NL97" s="390">
        <f t="shared" si="385"/>
        <v>1432.6121747115772</v>
      </c>
      <c r="NM97" s="390">
        <f t="shared" si="386"/>
        <v>26.490004164524208</v>
      </c>
      <c r="NN97" s="390">
        <f t="shared" si="387"/>
        <v>1434.3101936316993</v>
      </c>
      <c r="NO97" s="390">
        <f t="shared" si="388"/>
        <v>34.342566805114885</v>
      </c>
      <c r="NP97" s="390">
        <f t="shared" si="389"/>
        <v>1443.0775384190019</v>
      </c>
      <c r="NQ97" s="390">
        <f t="shared" si="390"/>
        <v>34.342566805114885</v>
      </c>
      <c r="NR97" s="390">
        <f t="shared" si="391"/>
        <v>1444.8065095992572</v>
      </c>
      <c r="NS97" s="390">
        <f t="shared" si="392"/>
        <v>26.613572280624584</v>
      </c>
      <c r="NT97" s="390">
        <f t="shared" si="393"/>
        <v>26.613572280624584</v>
      </c>
      <c r="NU97" s="390">
        <f t="shared" si="394"/>
        <v>34.4684871884375</v>
      </c>
      <c r="NV97" s="390">
        <f t="shared" si="395"/>
        <v>34.4684871884375</v>
      </c>
      <c r="NW97" s="9">
        <f t="shared" si="396"/>
        <v>28.124108134174346</v>
      </c>
      <c r="NX97" s="9">
        <f>各项系数!$M$9*NK97</f>
        <v>7.9470012493572622</v>
      </c>
      <c r="NY97" s="9">
        <f t="shared" si="397"/>
        <v>26.613572280624588</v>
      </c>
    </row>
    <row r="98" spans="1:389" s="9" customFormat="1" ht="15" hidden="1" customHeight="1">
      <c r="A98" s="65"/>
      <c r="B98" s="66"/>
      <c r="C98" s="67"/>
      <c r="D98" s="58" t="s">
        <v>929</v>
      </c>
      <c r="E98" s="399">
        <f t="shared" si="325"/>
        <v>108.33720234</v>
      </c>
      <c r="F98" s="68">
        <f>$F$34</f>
        <v>357.20659441456399</v>
      </c>
      <c r="G98" s="58"/>
      <c r="H98" s="16"/>
      <c r="I98" s="62"/>
      <c r="J98" s="16"/>
      <c r="K98" s="16"/>
      <c r="L98" s="107" t="s">
        <v>467</v>
      </c>
      <c r="M98" s="98">
        <f t="shared" si="339"/>
        <v>2.4</v>
      </c>
      <c r="N98" s="98">
        <f t="shared" si="340"/>
        <v>0</v>
      </c>
      <c r="O98" s="58">
        <f t="shared" ref="O98:O107" si="493">$O$36</f>
        <v>0.08</v>
      </c>
      <c r="P98" s="99">
        <v>0.1</v>
      </c>
      <c r="Q98" s="136">
        <f t="shared" si="489"/>
        <v>0.1</v>
      </c>
      <c r="R98" s="151">
        <v>0.8</v>
      </c>
      <c r="S98" s="144" t="str">
        <f>各项系数!$D$43</f>
        <v>钢带</v>
      </c>
      <c r="T98" s="62">
        <v>0.5</v>
      </c>
      <c r="U98" s="62">
        <v>2</v>
      </c>
      <c r="V98" s="143"/>
      <c r="W98" s="145">
        <v>4.2</v>
      </c>
      <c r="X98" s="139">
        <f t="shared" si="490"/>
        <v>0.2</v>
      </c>
      <c r="Y98" s="139"/>
      <c r="Z98" s="169"/>
      <c r="AA98" s="170">
        <f>$AA$34</f>
        <v>1.03</v>
      </c>
      <c r="AB98" s="153">
        <f>PI()*EJ98*EJ98/4*EH98*(1-H98)*AA98*各项系数!$F$5*各项系数!$J$4*10^-7</f>
        <v>5.5695578399086223</v>
      </c>
      <c r="AC98" s="170">
        <f t="shared" si="327"/>
        <v>357.20659441456399</v>
      </c>
      <c r="AD98" s="153">
        <f t="shared" si="341"/>
        <v>629.64517072523745</v>
      </c>
      <c r="AE98" s="153">
        <f>POWER(4*EU98/PI()/EG98/10^-7/EH98/(1-H98)/各项系数!$F$5/各项系数!$J$4,0.5)</f>
        <v>362.52509930492863</v>
      </c>
      <c r="AF98" s="16">
        <v>1</v>
      </c>
      <c r="AG98" s="16">
        <f>IF(EM98=0,0,PI()*ER98*ER98/4*EP98*(1-K98)*(1+AF98)*各项系数!$F$5*各项系数!$J$4*10^-7)</f>
        <v>0</v>
      </c>
      <c r="AH98" s="16">
        <f t="shared" si="328"/>
        <v>0</v>
      </c>
      <c r="AI98" s="69">
        <f t="shared" si="398"/>
        <v>0</v>
      </c>
      <c r="AJ98" s="69">
        <f>IF(OR(EP98="",EP98=0),0,POWER(4*EW98/PI()/EO98/10^-7/EP98/(1-K98)/各项系数!$F$5/各项系数!$J$4,0.5))</f>
        <v>0</v>
      </c>
      <c r="AK98" s="16" t="str">
        <f t="shared" si="342"/>
        <v>√</v>
      </c>
      <c r="AL98" s="16">
        <f t="shared" si="329"/>
        <v>1925.1550539692112</v>
      </c>
      <c r="AM98" s="106">
        <f t="shared" si="330"/>
        <v>630</v>
      </c>
      <c r="AN98" s="107" t="s">
        <v>486</v>
      </c>
      <c r="AO98" s="146">
        <f>AP98+各项系数!$M$9*$NK98</f>
        <v>1887.4069156560893</v>
      </c>
      <c r="AP98" s="146">
        <f>AQ98*(1+$BI98+(VLOOKUP($AM98,$A$12:$B$323,2,0))+各项系数!$J$6+各项系数!$M$5)*(1+$E$2)</f>
        <v>1877.1343096176142</v>
      </c>
      <c r="AQ98" s="199">
        <f>AR98+各项系数!$L$9*$NK98</f>
        <v>1915.4431730791982</v>
      </c>
      <c r="AR98" s="199">
        <f>AS98*(1+$BJ98+各项系数!$J$5+各项系数!$L$5)</f>
        <v>1905.1705670407232</v>
      </c>
      <c r="AS98" s="199">
        <f t="shared" si="399"/>
        <v>1867.8142814124737</v>
      </c>
      <c r="AT98" s="146">
        <f>AU98+各项系数!$M$9*$NM98</f>
        <v>1901.0049920952656</v>
      </c>
      <c r="AU98" s="146">
        <f>AV98*(1+$BI98+(VLOOKUP($AM98,$A$12:$B$323,2,0))+各项系数!$J$6+各项系数!$M$5)*(1+$E$2)</f>
        <v>1890.7323860567906</v>
      </c>
      <c r="AV98" s="199">
        <f>AW98+各项系数!$L$9*$NM98</f>
        <v>1929.3187612824395</v>
      </c>
      <c r="AW98" s="199">
        <f>AX98*(1+$BJ98+各项系数!$J$5+各项系数!$L$5)</f>
        <v>1919.0461552439644</v>
      </c>
      <c r="AX98" s="199">
        <f t="shared" si="400"/>
        <v>1881.4177992587886</v>
      </c>
      <c r="AY98" s="146">
        <f>AZ98+各项系数!$M$9*$NS98</f>
        <v>1896.9472426132475</v>
      </c>
      <c r="AZ98" s="146">
        <f>BA98*(1+$BI98+(VLOOKUP($AM98,$A$12:$B$214,2,0))+各项系数!$J$6+各项系数!$M$5)*(1+$E$2)</f>
        <v>1886.6327243681112</v>
      </c>
      <c r="BA98" s="199">
        <f>BB98+各项系数!$L$9*$NS98</f>
        <v>1925.1354330286849</v>
      </c>
      <c r="BB98" s="199">
        <f>BC98*(1+$BJ98+各项系数!$J$5+各项系数!$L$5)</f>
        <v>1914.8209147835487</v>
      </c>
      <c r="BC98" s="199">
        <f t="shared" si="401"/>
        <v>1877.2754066505379</v>
      </c>
      <c r="BD98" s="146">
        <f>BE98+各项系数!$M$9*$NS98</f>
        <v>1910.5662116074511</v>
      </c>
      <c r="BE98" s="146">
        <f>BF98*(1+$BI98+(VLOOKUP($AM98,$A$12:$B$214,2,0))+各项系数!$J$6+各项系数!$M$5)*(1+$E$2)</f>
        <v>1900.2516933623149</v>
      </c>
      <c r="BF98" s="199">
        <f>BG98+各项系数!$L$9*$NS98</f>
        <v>1939.0323401656274</v>
      </c>
      <c r="BG98" s="199">
        <f>BH98*(1+$BJ98+各项系数!$J$5+各项系数!$L$5)</f>
        <v>1928.7178219204911</v>
      </c>
      <c r="BH98" s="199">
        <f t="shared" si="402"/>
        <v>1890.8998254122462</v>
      </c>
      <c r="BI98" s="214"/>
      <c r="BJ98" s="215"/>
      <c r="BK98" s="78" t="s">
        <v>514</v>
      </c>
      <c r="BL98" s="146">
        <f>BM98+各项系数!$M$9*$NM98</f>
        <v>1907.7401533670657</v>
      </c>
      <c r="BM98" s="146">
        <f>BN98*(1+$CF98+(VLOOKUP($AM98,$A$12:$B$323,2,0))+各项系数!$J$6+各项系数!$M$5)*(1+$E$2)</f>
        <v>1897.4675473285906</v>
      </c>
      <c r="BN98" s="199">
        <f>BO98+各项系数!$L$9*$NM98</f>
        <v>1936.1913748250925</v>
      </c>
      <c r="BO98" s="199">
        <f>BP98*(1+$CG98+各项系数!$J$5+各项系数!$L$5)</f>
        <v>1925.9187687866174</v>
      </c>
      <c r="BP98" s="199">
        <f t="shared" si="403"/>
        <v>1869.8240473656479</v>
      </c>
      <c r="BQ98" s="146">
        <f>BR98+各项系数!$M$9*$NM98</f>
        <v>1919.442886528002</v>
      </c>
      <c r="BR98" s="146">
        <f>BS98*(1+$CF98+(VLOOKUP($AM98,$A$12:$B$323,2,0))+各项系数!$J$6+各项系数!$M$5)*(1+$E$2)</f>
        <v>1909.1702804895269</v>
      </c>
      <c r="BS98" s="199">
        <f>BT98+各项系数!$L$9*$NM98</f>
        <v>1948.1329392750274</v>
      </c>
      <c r="BT98" s="199">
        <f>BU98*(1+$CG98+各项系数!$J$5+各项系数!$L$5)</f>
        <v>1937.8603332365524</v>
      </c>
      <c r="BU98" s="199">
        <f t="shared" si="404"/>
        <v>1881.4177992587886</v>
      </c>
      <c r="BV98" s="146">
        <f>BW98+各项系数!$M$9*$NT98</f>
        <v>1907.2761865063628</v>
      </c>
      <c r="BW98" s="146">
        <f>BX98*(1+$CF98+(VLOOKUP($AM98,$A$12:$B$214,2,0))+各项系数!$J$6+各项系数!$M$5)*(1+$E$2)</f>
        <v>1896.9616682612266</v>
      </c>
      <c r="BX98" s="199">
        <f>BY98+各项系数!$L$9*$NT$12</f>
        <v>1935.6751716951292</v>
      </c>
      <c r="BY98" s="199">
        <f>BZ98*(1+$CG98+各项系数!$J$5+各项系数!$L$5)</f>
        <v>1935.6669082919741</v>
      </c>
      <c r="BZ98" s="199">
        <f t="shared" si="343"/>
        <v>1879.2882604776446</v>
      </c>
      <c r="CA98" s="146">
        <f>CB98+各项系数!$M$9*$NT98</f>
        <v>1918.9969001513496</v>
      </c>
      <c r="CB98" s="146">
        <f>CC98*(1+$CF98+(VLOOKUP($AM98,$A$12:$B$214,2,0))+各项系数!$J$6+各项系数!$M$5)*(1+$E$2)</f>
        <v>1908.6823819062133</v>
      </c>
      <c r="CC98" s="199">
        <f>CD98+各项系数!$L$9*$NT$12</f>
        <v>1947.6350835777687</v>
      </c>
      <c r="CD98" s="199">
        <f>CE98*(1+$CG98+各项系数!$J$5+各项系数!$L$5)</f>
        <v>1947.6268201746136</v>
      </c>
      <c r="CE98" s="199">
        <f t="shared" si="405"/>
        <v>1890.8998254122462</v>
      </c>
      <c r="CF98" s="214">
        <f t="shared" si="406"/>
        <v>0</v>
      </c>
      <c r="CG98" s="214">
        <f t="shared" si="344"/>
        <v>0.01</v>
      </c>
      <c r="CH98" s="106"/>
      <c r="CI98" s="146">
        <f>CJ98+各项系数!$M$9*$NO98</f>
        <v>1916.0909861543978</v>
      </c>
      <c r="CJ98" s="146">
        <f>CK98*(1+$DC98+(VLOOKUP($AM98,$A$12:$B$323,2,0))+各项系数!$J$6+各项系数!$M$5)*(1+$E$2)+各项系数!$M$9*$NK98</f>
        <v>1902.832328831422</v>
      </c>
      <c r="CK98" s="199">
        <f>CL98+各项系数!$L$9*$NO98</f>
        <v>1931.1833906050481</v>
      </c>
      <c r="CL98" s="199">
        <f>CM98*(1+$DD98+各项系数!$J$5+各项系数!$L$5)</f>
        <v>1917.9247332820723</v>
      </c>
      <c r="CM98" s="199">
        <f t="shared" si="345"/>
        <v>1880.318365962816</v>
      </c>
      <c r="CN98" s="146">
        <f>CO98+各项系数!$M$9*$NO98</f>
        <v>1929.3641938616724</v>
      </c>
      <c r="CO98" s="146">
        <f>CP98*(1+$DC98+(VLOOKUP($AM98,$A$12:$B$323,2,0))+各项系数!$J$6+各项系数!$M$5)*(1+$E$2)+各项系数!$M$9*$NK98</f>
        <v>1916.1055365386967</v>
      </c>
      <c r="CP98" s="199">
        <f>CQ98+各项系数!$L$9*$NO98</f>
        <v>1944.727480102267</v>
      </c>
      <c r="CQ98" s="199">
        <f>CR98*(1+$DD98+各项系数!$J$5+各项系数!$L$5)</f>
        <v>1931.4688227792913</v>
      </c>
      <c r="CR98" s="199">
        <f t="shared" si="346"/>
        <v>1893.5968850777365</v>
      </c>
      <c r="CS98" s="146">
        <f>CT98+各项系数!$M$9*$NU98</f>
        <v>1915.5188188460968</v>
      </c>
      <c r="CT98" s="146">
        <f t="shared" si="347"/>
        <v>1902.2175436362932</v>
      </c>
      <c r="CU98" s="199">
        <f>CV98+各项系数!$L$9*$NU98</f>
        <v>1941.0383098329523</v>
      </c>
      <c r="CV98" s="199">
        <f>CW98*(1+$DD98+各项系数!$J$5+各项系数!$L$5)</f>
        <v>1927.7370346231487</v>
      </c>
      <c r="CW98" s="199">
        <f t="shared" si="348"/>
        <v>1889.9382692383811</v>
      </c>
      <c r="CX98" s="146">
        <f>CY98+各项系数!$M$9*$NU98</f>
        <v>1929.3576819819618</v>
      </c>
      <c r="CY98" s="146">
        <f t="shared" si="349"/>
        <v>1916.0564067721582</v>
      </c>
      <c r="CZ98" s="199">
        <f>DA98+各项系数!$L$9*$NU98</f>
        <v>1955.1595987471003</v>
      </c>
      <c r="DA98" s="199">
        <f>DB98*(1+$DD98+各项系数!$J$5+各项系数!$L$5)</f>
        <v>1941.8583235372967</v>
      </c>
      <c r="DB98" s="199">
        <f t="shared" si="350"/>
        <v>1903.7826701346046</v>
      </c>
      <c r="DC98" s="214">
        <f t="shared" si="407"/>
        <v>0</v>
      </c>
      <c r="DD98" s="214">
        <f t="shared" si="351"/>
        <v>0</v>
      </c>
      <c r="DE98" s="78" t="s">
        <v>498</v>
      </c>
      <c r="DF98" s="78" t="s">
        <v>513</v>
      </c>
      <c r="DG98" s="146">
        <f>DH98+各项系数!$M$9*$NQ98</f>
        <v>1936.5795692659144</v>
      </c>
      <c r="DH98" s="146">
        <f>DI98*(1+$EA98+(VLOOKUP($AM98,$A$12:$B$323,2,0))+各项系数!$J$6+各项系数!$M$5)*(1+$E$2)+各项系数!$M$9*$NK98</f>
        <v>1923.3209119429387</v>
      </c>
      <c r="DI98" s="199">
        <f>DJ98+各项系数!$L$9*$NQ98</f>
        <v>1952.0901080657793</v>
      </c>
      <c r="DJ98" s="199">
        <f>DK98*(1+$EB98+各项系数!$J$5+各项系数!$L$5)</f>
        <v>1938.8314507428036</v>
      </c>
      <c r="DK98" s="199">
        <f t="shared" si="352"/>
        <v>1882.3606317891297</v>
      </c>
      <c r="DL98" s="146">
        <f>DM98+各项系数!$M$9*$NQ98</f>
        <v>1948.4715470214833</v>
      </c>
      <c r="DM98" s="146">
        <f>DN98*(1+$EA98+(VLOOKUP($AM98,$A$12:$B$323,2,0))+各项系数!$J$6+各项系数!$M$5)*(1+$E$2)+各项系数!$M$9*$NK98</f>
        <v>1935.2128896985075</v>
      </c>
      <c r="DN98" s="199">
        <f>DO98+各项系数!$L$9*$NQ98</f>
        <v>1964.2247792449311</v>
      </c>
      <c r="DO98" s="199">
        <f>DP98*(1+$EB98+各项系数!$J$5+各项系数!$L$5)</f>
        <v>1950.9661219219554</v>
      </c>
      <c r="DP98" s="199">
        <f t="shared" si="353"/>
        <v>1894.1418659436461</v>
      </c>
      <c r="DQ98" s="146">
        <f>DR98+各项系数!$M$9*$NV98</f>
        <v>1936.1047939096613</v>
      </c>
      <c r="DR98" s="146">
        <f t="shared" si="354"/>
        <v>1922.8035186998577</v>
      </c>
      <c r="DS98" s="199">
        <f>DT98+各项系数!$L$9*$NV98</f>
        <v>1962.0444068365896</v>
      </c>
      <c r="DT98" s="199">
        <f>DU98*(1+$EB98+各项系数!$J$5+各项系数!$L$5)</f>
        <v>1948.743131626786</v>
      </c>
      <c r="DU98" s="199">
        <f t="shared" si="355"/>
        <v>1891.9836229386271</v>
      </c>
      <c r="DV98" s="146">
        <f>DW98+各项系数!$M$9*$NV98</f>
        <v>1933.0827409369685</v>
      </c>
      <c r="DW98" s="146">
        <f t="shared" si="356"/>
        <v>1919.7814657271649</v>
      </c>
      <c r="DX98" s="199">
        <f>DY98+各项系数!$L$9*$NV98</f>
        <v>1958.9606793134337</v>
      </c>
      <c r="DY98" s="199">
        <f>DZ98*(1+$EB98+各项系数!$J$5+各项系数!$L$5)</f>
        <v>1945.6594041036301</v>
      </c>
      <c r="DZ98" s="199">
        <f t="shared" si="357"/>
        <v>1888.9897127219708</v>
      </c>
      <c r="EA98" s="214">
        <f t="shared" si="492"/>
        <v>0</v>
      </c>
      <c r="EB98" s="214">
        <f t="shared" si="358"/>
        <v>0.01</v>
      </c>
      <c r="EC98" s="235">
        <f t="shared" si="408"/>
        <v>5</v>
      </c>
      <c r="ED98" s="237" t="str">
        <f t="shared" si="442"/>
        <v>5*630</v>
      </c>
      <c r="EE98" s="78">
        <f t="shared" si="491"/>
        <v>630</v>
      </c>
      <c r="EF98" s="78" t="str">
        <f>LOOKUP(EH98,{1,7,10,14,19,24,30,37,48,61},{1,"1+6","2+8","4+10","1+6+12","2+8+14","4+10+16","1+6+12+18","3+9+15+21","1+6+12+18+24"})</f>
        <v>1+6+12+18+24</v>
      </c>
      <c r="EG98" s="106">
        <f t="shared" si="359"/>
        <v>5</v>
      </c>
      <c r="EH98" s="199">
        <f>VLOOKUP(EE98,各项系数!$B$87:$C$124,2,0)</f>
        <v>61</v>
      </c>
      <c r="EI98" s="106">
        <f>IF(EH98=0,0,VLOOKUP(EH98,各项系数!$D$142:$E$195,2,0))*1</f>
        <v>9</v>
      </c>
      <c r="EJ98" s="240">
        <f t="shared" si="409"/>
        <v>357.20659441456399</v>
      </c>
      <c r="EK98" s="78">
        <f t="shared" si="332"/>
        <v>0</v>
      </c>
      <c r="EL98" s="78">
        <f t="shared" si="360"/>
        <v>0</v>
      </c>
      <c r="EM98" s="78">
        <f t="shared" si="443"/>
        <v>0</v>
      </c>
      <c r="EN98" s="78">
        <f>IF(EP98=0,0,LOOKUP(EP98,{1,7,10,14,19,24,30,37,48,61},{1,"1+6","2+8","4+10","1+6+12","2+8+14","4+10+16","1+6+12+18","3+9+15+21","1+6+12+18+24"}))</f>
        <v>0</v>
      </c>
      <c r="EO98" s="78">
        <f t="shared" si="334"/>
        <v>0</v>
      </c>
      <c r="EP98" s="78">
        <f>IF(EM98=0,0,IF(EM98&lt;10,1,IF(AND(EM98&gt;=10,EM98&lt;=35),7,LOOKUP(EM98,{50,70,95,120,150,185,240,300},{10,14,19,24,30,37,48,61})*1)))</f>
        <v>0</v>
      </c>
      <c r="EQ98" s="78">
        <f>IF(EP98=0,0,VLOOKUP(EP98,各项系数!$D$142:$E$195,2,0))*1</f>
        <v>0</v>
      </c>
      <c r="ER98" s="78">
        <f t="shared" si="335"/>
        <v>0</v>
      </c>
      <c r="ES98" s="237">
        <f t="shared" si="444"/>
        <v>5</v>
      </c>
      <c r="ET98" s="78">
        <f>VLOOKUP(ES98,各项系数!$D$142:$E$195,2,0)*1</f>
        <v>2.7</v>
      </c>
      <c r="EU98" s="243">
        <f>((各项系数!$F$76/4*$EJ98^2*$EG98*$EH98*1*10^-7)*(1-$H98)*AA98)*(VLOOKUP($EY$9,各项系数!$D$4:$F$143,3,0))*各项系数!$J$4</f>
        <v>27.847789199543119</v>
      </c>
      <c r="EV98" s="244">
        <f>EU98*(VLOOKUP($EY$9,各项系数!$D$4:$F$143,2,0))</f>
        <v>1824.0301925700742</v>
      </c>
      <c r="EW98" s="252">
        <f>(IF($EO98=0,0,(各项系数!$F$76/4*$ER98^2*$EO98*$EP98*1*10^-7))*(1-$K98)*$AF98)*(VLOOKUP($EY$9,各项系数!$D$4:$F$143,3,0))*各项系数!$J$4</f>
        <v>0</v>
      </c>
      <c r="EX98" s="253">
        <f>EW98*(VLOOKUP($EY$9,各项系数!$D$4:$F$143,2,0))</f>
        <v>0</v>
      </c>
      <c r="EY98" s="189">
        <f>((各项系数!$F$76/4*$EJ98^2*$EG98*$EH98*1*10^-7)*(1-$H98)*AA98+IF($EO98=0,0,(各项系数!$F$76/4*$ER98^2*$EO98*$EP98*1*10^-7))*(1-$K98)*$AF98)*(VLOOKUP($EY$9,各项系数!$D$4:$F$143,3,0))*各项系数!$J$4</f>
        <v>27.847789199543119</v>
      </c>
      <c r="EZ98" s="106">
        <v>1</v>
      </c>
      <c r="FA98" s="78">
        <f t="shared" si="445"/>
        <v>27.847789199543119</v>
      </c>
      <c r="FB98" s="246">
        <f>FA98*(VLOOKUP($EY$9,各项系数!$D$4:$F$143,2,0))</f>
        <v>1824.0301925700742</v>
      </c>
      <c r="FC98" s="257"/>
      <c r="FD98" s="237">
        <f>各项系数!$F$76/4*($MN98^2-MK98^2)*10^-2*(VLOOKUP(L98,各项系数!$D$1:$F$143,3,0))*10^-3*10^2*$EG98*各项系数!$J$4</f>
        <v>1.4255329356677295</v>
      </c>
      <c r="FE98" s="264">
        <f>FD98*VLOOKUP(L98,各项系数!$D$1:$F$143,2,0)</f>
        <v>14.54043594381084</v>
      </c>
      <c r="FF98" s="106">
        <f>各项系数!$F$76/4*($MO98^2-ML98^2)*10^-2*(VLOOKUP(L98,各项系数!$D$1:$F$143,3,0))*10^-3*10^2*$EO98*各项系数!$J$4</f>
        <v>0</v>
      </c>
      <c r="FG98" s="264">
        <f>FF98*VLOOKUP(L98,各项系数!$D$1:$F$143,2,0)</f>
        <v>0</v>
      </c>
      <c r="FH98" s="237">
        <f t="shared" si="410"/>
        <v>1.4255329356677295</v>
      </c>
      <c r="FI98" s="106">
        <v>1</v>
      </c>
      <c r="FJ98" s="78">
        <f t="shared" si="446"/>
        <v>1.4255329356677295</v>
      </c>
      <c r="FK98" s="264">
        <f>FJ98*VLOOKUP(L98,各项系数!$D$1:$F$143,2,0)</f>
        <v>14.54043594381084</v>
      </c>
      <c r="FL98" s="237"/>
      <c r="FM98" s="106"/>
      <c r="FN98" s="78"/>
      <c r="FO98" s="264"/>
      <c r="FP98" s="289">
        <f t="shared" si="447"/>
        <v>1.4255329356677295</v>
      </c>
      <c r="FQ98" s="289">
        <f t="shared" si="448"/>
        <v>14.54043594381084</v>
      </c>
      <c r="FR98" s="283">
        <f>各项系数!$F$76/4*($MQ98^2-$MN98^2*$EG98-$MO98^2*$EO98)*10^-2</f>
        <v>24.553939687845052</v>
      </c>
      <c r="FS98" s="284">
        <f t="shared" si="411"/>
        <v>1</v>
      </c>
      <c r="FT98" s="285">
        <f t="shared" si="361"/>
        <v>24.553939687845052</v>
      </c>
      <c r="FU98" s="309">
        <f>$FT98*(VLOOKUP($FT$9,各项系数!$D$1:$F$143,3,0))*10^-3*10^2*各项系数!$J$55</f>
        <v>2.931740398728699</v>
      </c>
      <c r="FV98" s="310">
        <v>1</v>
      </c>
      <c r="FW98" s="311">
        <f t="shared" si="449"/>
        <v>2.931740398728699</v>
      </c>
      <c r="FX98" s="290">
        <f>FW98*(VLOOKUP($FT$9,各项系数!$D$1:$F$143,2,0))</f>
        <v>8.7952211961860964</v>
      </c>
      <c r="FY98" s="309">
        <f>IF($BK98&lt;&gt;$FY$9,0,各项系数!$F$76/4*($MS98^2-$MQ98^2)*10^-2*(VLOOKUP($FY$9,各项系数!$D$1:$F$143,3,0))*10^-3*10^2)*各项系数!$J$4</f>
        <v>0</v>
      </c>
      <c r="FZ98" s="310">
        <v>1</v>
      </c>
      <c r="GA98" s="311">
        <f t="shared" si="450"/>
        <v>0</v>
      </c>
      <c r="GB98" s="290">
        <f>GA98*(VLOOKUP($FY$9,各项系数!$D$1:$F$143,2,0))</f>
        <v>0</v>
      </c>
      <c r="GC98" s="309">
        <f>IF($BK98&lt;&gt;$GC$9,0,各项系数!$F$76/4*($MS98^2-$MQ98^2)*10^-2*(VLOOKUP($GC$9,各项系数!$D$1:$F$143,3,0))*10^-3*10^2)*各项系数!$J$4</f>
        <v>2.7191641136536767E-2</v>
      </c>
      <c r="GD98" s="310">
        <v>1</v>
      </c>
      <c r="GE98" s="311">
        <f t="shared" si="451"/>
        <v>2.7191641136536767E-2</v>
      </c>
      <c r="GF98" s="290">
        <f>GE98*(VLOOKUP($GC$9,各项系数!$D$1:$F$143,2,0))</f>
        <v>0.35077217066132432</v>
      </c>
      <c r="GG98" s="309">
        <f>IF($BK98&lt;&gt;$GG$9,0,各项系数!$F$76/4*($MS98^2-$MQ98^2)*10^-2*(VLOOKUP($GG$9,各项系数!$D$1:$F$143,3,0))*10^-3*10^2)*各项系数!$J$4</f>
        <v>0</v>
      </c>
      <c r="GH98" s="310">
        <v>1</v>
      </c>
      <c r="GI98" s="311">
        <f t="shared" si="452"/>
        <v>0</v>
      </c>
      <c r="GJ98" s="290">
        <f>GI98*(VLOOKUP($GG$9,各项系数!$D$1:$F$143,2,0))</f>
        <v>0</v>
      </c>
      <c r="GK98" s="309">
        <f>IF($BK98&lt;&gt;$GK$9,0,各项系数!$F$76/4*($MS98^2-$MQ98^2)*10^-2*(VLOOKUP($GK$9,各项系数!$D$1:$F$143,3,0))*10^-3*10^2)*各项系数!$J$4</f>
        <v>0</v>
      </c>
      <c r="GL98" s="310">
        <v>1</v>
      </c>
      <c r="GM98" s="311">
        <f t="shared" si="453"/>
        <v>0</v>
      </c>
      <c r="GN98" s="290">
        <f>GM98*(VLOOKUP($GK$9,各项系数!$D$1:$F$143,2,0))</f>
        <v>0</v>
      </c>
      <c r="GO98" s="311">
        <f t="shared" si="454"/>
        <v>2.7191641136536767E-2</v>
      </c>
      <c r="GP98" s="311">
        <f t="shared" si="455"/>
        <v>0.35077217066132432</v>
      </c>
      <c r="GQ98" s="317">
        <f>各项系数!$F$76/4*($MU98^2-$MS98^2)*10^-2*(VLOOKUP($S98,各项系数!$D$1:$F$143,3,0))*10^-3*10^2*各项系数!$J$4</f>
        <v>1.8459300669543568</v>
      </c>
      <c r="GR98" s="310">
        <v>1</v>
      </c>
      <c r="GS98" s="311">
        <f t="shared" si="456"/>
        <v>1.8459300669543568</v>
      </c>
      <c r="GT98" s="311">
        <f t="shared" si="457"/>
        <v>0</v>
      </c>
      <c r="GU98" s="311">
        <f>ROUND($GS98*(VLOOKUP($S98,各项系数!$D$1:$F$143,2,0))+$E$3*GS98,GT98)</f>
        <v>11</v>
      </c>
      <c r="GV98" s="315">
        <f>各项系数!$F$76/4*($MT98^2-$MS98^2)*10^-2*(VLOOKUP($GV$9,各项系数!$D$1:$F$143,3,0))*10^-3*10^2*各项系数!$J$4*PI()/4*R98</f>
        <v>0.13970735553687968</v>
      </c>
      <c r="GW98" s="310">
        <v>1</v>
      </c>
      <c r="GX98" s="311">
        <f t="shared" si="458"/>
        <v>0.13970735553687968</v>
      </c>
      <c r="GY98" s="311">
        <f>$GX98*(VLOOKUP($GV$9,各项系数!$D$1:$F$143,2,0))</f>
        <v>9.430246498739379</v>
      </c>
      <c r="GZ98" s="317">
        <f>各项系数!$F$76/4*($MV98^2-$MS98^2)*10^-2*(VLOOKUP($GZ$9,各项系数!$D$1:$F$143,3,0))*10^-3*10^2*各项系数!$J$4</f>
        <v>1.9824221987092059</v>
      </c>
      <c r="HA98" s="310">
        <v>1</v>
      </c>
      <c r="HB98" s="311">
        <f t="shared" si="412"/>
        <v>1.9824221987092059</v>
      </c>
      <c r="HC98" s="311">
        <f>HB98*(VLOOKUP($GZ$9,各项系数!$D$1:$F$143,2,0))</f>
        <v>33.701177378056499</v>
      </c>
      <c r="HD98" s="317">
        <f>各项系数!$F$76/4*($MW98^2-$MT98^2)*10^-2*(VLOOKUP($HD$9,各项系数!$D$1:$F$143,3,0))*10^-3*10^2*各项系数!$J$4</f>
        <v>1.9854680607514554</v>
      </c>
      <c r="HE98" s="310">
        <v>1</v>
      </c>
      <c r="HF98" s="311">
        <f t="shared" si="413"/>
        <v>1.9854680607514554</v>
      </c>
      <c r="HG98" s="311">
        <f>HF98*(VLOOKUP($HD$9,各项系数!$D$1:$F$143,2,0))</f>
        <v>33.752957032774745</v>
      </c>
      <c r="HH98" s="317">
        <f>各项系数!$F$76/4*($MV98^2-$MS98^2)*10^-2*(VLOOKUP($HH$9,各项系数!$D$1:$F$143,3,0))*10^-3*10^2*各项系数!$J$4</f>
        <v>1.9824221987092059</v>
      </c>
      <c r="HI98" s="311">
        <v>1</v>
      </c>
      <c r="HJ98" s="311">
        <f t="shared" si="414"/>
        <v>1.9824221987092059</v>
      </c>
      <c r="HK98" s="311">
        <f>HJ98*(VLOOKUP($HH$9,各项系数!$D$1:$F$143,2,0))</f>
        <v>33.701177378056499</v>
      </c>
      <c r="HL98" s="317">
        <f>各项系数!$F$76/4*($MW98^2-$MT98^2)*10^-2*(VLOOKUP($HL$9,各项系数!$D$1:$F$143,3,0))*10^-3*10^2*各项系数!$J$4</f>
        <v>1.9854680607514554</v>
      </c>
      <c r="HM98" s="311">
        <v>1</v>
      </c>
      <c r="HN98" s="311">
        <f t="shared" si="362"/>
        <v>1.9854680607514554</v>
      </c>
      <c r="HO98" s="311">
        <f>HN98*(VLOOKUP($HL$9,各项系数!$D$1:$F$143,2,0))</f>
        <v>33.752957032774745</v>
      </c>
      <c r="HP98" s="317">
        <f>各项系数!$F$76/4*($MV98^2-$MS98^2)*10^-2*(VLOOKUP(AN98,各项系数!$D$1:$F$143,3,0))*10^-3*10^2*各项系数!$J$4</f>
        <v>2.0097659531741603</v>
      </c>
      <c r="HQ98" s="310">
        <v>1</v>
      </c>
      <c r="HR98" s="311">
        <f t="shared" si="459"/>
        <v>2.0097659531741603</v>
      </c>
      <c r="HS98" s="311">
        <f>HR98*(VLOOKUP(AN98,各项系数!$D$1:$F$143,2,0))</f>
        <v>20.097659531741602</v>
      </c>
      <c r="HT98" s="317">
        <f>各项系数!$F$76/4*($MW98^2-$MT98^2)*10^-2*(VLOOKUP(AN98,各项系数!$D$1:$F$143,3,0))*10^-3*10^2*各项系数!$J$4</f>
        <v>2.0128538271066478</v>
      </c>
      <c r="HU98" s="310">
        <v>1</v>
      </c>
      <c r="HV98" s="311">
        <f t="shared" si="460"/>
        <v>2.0128538271066478</v>
      </c>
      <c r="HW98" s="311">
        <f>HV98*(VLOOKUP(AN98,各项系数!$D$1:$F$143,2,0))</f>
        <v>20.128538271066478</v>
      </c>
      <c r="HX98" s="317">
        <f>各项系数!$F$76/4*($MV98^2-$MS98^2)*10^-2*(VLOOKUP($HX$9,各项系数!$D$1:$F$143,3,0))*10^-3*10^2*各项系数!$J$4</f>
        <v>2.0097659531741603</v>
      </c>
      <c r="HY98" s="311">
        <v>1</v>
      </c>
      <c r="HZ98" s="311">
        <f t="shared" si="461"/>
        <v>2.0097659531741603</v>
      </c>
      <c r="IA98" s="311">
        <f>HZ98*(VLOOKUP($HX$9,各项系数!$D$1:$F$143,2,0))</f>
        <v>22.107425484915762</v>
      </c>
      <c r="IB98" s="317">
        <f>各项系数!$F$76/4*($MW98^2-$MT98^2)*10^-2*(VLOOKUP($IB$9,各项系数!$D$1:$F$143,3,0))*10^-3*10^2*各项系数!$J$4</f>
        <v>2.0128538271066478</v>
      </c>
      <c r="IC98" s="311">
        <v>1</v>
      </c>
      <c r="ID98" s="311">
        <f t="shared" si="462"/>
        <v>2.0128538271066478</v>
      </c>
      <c r="IE98" s="311">
        <f>ID98*(VLOOKUP($IB$9,各项系数!$D$1:$F$143,2,0))</f>
        <v>22.141392098173128</v>
      </c>
      <c r="IF98" s="309"/>
      <c r="IG98" s="317">
        <f t="shared" si="415"/>
        <v>0.22821876341795716</v>
      </c>
      <c r="IH98" s="310">
        <v>1</v>
      </c>
      <c r="II98" s="311">
        <f t="shared" si="463"/>
        <v>0.22821876341795716</v>
      </c>
      <c r="IJ98" s="311">
        <f>II98*(VLOOKUP($IG$8,各项系数!$D$1:$F$143,2,0))</f>
        <v>5.7054690854489287</v>
      </c>
      <c r="IK98" s="317">
        <f>(各项系数!$F$76/4*($MX98^2-$MK98^2)*$EG98)*10^-2*(VLOOKUP($IG$8,各项系数!$D$1:$F$143,3,0))*10^-3*10^2*各项系数!$J$4</f>
        <v>0.22821876341795716</v>
      </c>
      <c r="IL98" s="310">
        <f>IK98*(VLOOKUP($IG$8,各项系数!$D$1:$F$143,2,0))</f>
        <v>5.7054690854489287</v>
      </c>
      <c r="IM98" s="311">
        <f>(各项系数!$F$76/4*(($MM98+3*$X98)^2-MM98^2)*$EO98)*10^-2*(VLOOKUP($IG$8,各项系数!$D$1:$F$143,3,0))*10^-3*10^2*各项系数!$J$4</f>
        <v>0</v>
      </c>
      <c r="IN98" s="310">
        <f>IM98*(VLOOKUP($IG$8,各项系数!$D$1:$F$143,2,0))</f>
        <v>0</v>
      </c>
      <c r="IO98" s="317">
        <f>各项系数!$F$76/4*($MZ98^2-$MX98^2)*10^-2*(VLOOKUP(L98,各项系数!$D$1:$F$143,3,0))*10^-3*10^2*$ES98*各项系数!$J$4</f>
        <v>1.4502899424150775</v>
      </c>
      <c r="IP98" s="310">
        <v>1</v>
      </c>
      <c r="IQ98" s="311">
        <f t="shared" si="464"/>
        <v>1.4502899424150775</v>
      </c>
      <c r="IR98" s="290">
        <f>IQ98*(VLOOKUP(L98,各项系数!$D$1:$F$143,2,0))</f>
        <v>14.79295741263379</v>
      </c>
      <c r="IS98" s="317">
        <f>IF($L98&lt;&gt;$IS$9,0,各项系数!$F$76/4*($MZ98^2-$MX98^2)*10^-2*各项系数!$F$12*10^-3*10^2)*$ES98*各项系数!$J$4</f>
        <v>0</v>
      </c>
      <c r="IT98" s="310">
        <v>1</v>
      </c>
      <c r="IU98" s="311">
        <f t="shared" si="465"/>
        <v>0</v>
      </c>
      <c r="IV98" s="290">
        <f>IU98*各项系数!$E$12</f>
        <v>0</v>
      </c>
      <c r="IW98" s="309">
        <f t="shared" si="466"/>
        <v>1.4502899424150775</v>
      </c>
      <c r="IX98" s="309">
        <f t="shared" si="467"/>
        <v>14.79295741263379</v>
      </c>
      <c r="IY98" s="339">
        <f>各项系数!$F$76/4*($NB98^2-$MZ98^2*$EG98-$NA98^2*$EO98)*10^-2</f>
        <v>25.357866452803425</v>
      </c>
      <c r="IZ98" s="284">
        <f t="shared" si="487"/>
        <v>1</v>
      </c>
      <c r="JA98" s="285">
        <f t="shared" si="363"/>
        <v>25.357866452803425</v>
      </c>
      <c r="JB98" s="289">
        <f>IF($DE98&lt;&gt;$JB$9,0,$JA98*各项系数!$F$32*10^-3*10^2)*各项系数!$J$4</f>
        <v>0</v>
      </c>
      <c r="JC98" s="106">
        <v>1</v>
      </c>
      <c r="JD98" s="78">
        <f t="shared" si="468"/>
        <v>0</v>
      </c>
      <c r="JE98" s="264">
        <f>JD98*各项系数!$E$32</f>
        <v>0</v>
      </c>
      <c r="JF98" s="282">
        <f>IF($DE98&lt;&gt;$JF$9,0,$JA98*VLOOKUP($JF$9,各项系数!$D$4:$F$540,2,0)*10^-3*10^2)*各项系数!$J$4</f>
        <v>12.615538560269703</v>
      </c>
      <c r="JG98" s="102">
        <v>1</v>
      </c>
      <c r="JH98" s="189">
        <f t="shared" si="364"/>
        <v>12.615538560269703</v>
      </c>
      <c r="JI98" s="262">
        <f>JH98*VLOOKUP($JF$9,各项系数!$D$4:$F$540,3,0)</f>
        <v>15.138646272323644</v>
      </c>
      <c r="JJ98" s="289">
        <f t="shared" si="469"/>
        <v>12.615538560269703</v>
      </c>
      <c r="JK98" s="78">
        <f t="shared" si="470"/>
        <v>15.138646272323644</v>
      </c>
      <c r="JL98" s="289">
        <f>IF($DF98&lt;&gt;$JL$9,0,各项系数!$F$76/4*($NE98^2-$NC98^2)*10^-2*各项系数!$F$39*10^-3*10^2)*各项系数!$J$4</f>
        <v>1.1422117959978788E-2</v>
      </c>
      <c r="JM98" s="106">
        <v>1</v>
      </c>
      <c r="JN98" s="78">
        <f t="shared" si="471"/>
        <v>1.1422117959978788E-2</v>
      </c>
      <c r="JO98" s="264">
        <f>JN98*各项系数!$E$39</f>
        <v>0.22844235919957576</v>
      </c>
      <c r="JP98" s="289">
        <f>IF($DF98&lt;&gt;$JP$9,0,各项系数!$F$76/4*($NE98^2-$NC98^2)*10^-2*各项系数!$F$36*10^-3*10^2)*各项系数!$J$4</f>
        <v>0</v>
      </c>
      <c r="JQ98" s="106">
        <v>1</v>
      </c>
      <c r="JR98" s="78">
        <f t="shared" si="472"/>
        <v>0</v>
      </c>
      <c r="JS98" s="264">
        <f>JR98*各项系数!$E$36</f>
        <v>0</v>
      </c>
      <c r="JT98" s="289">
        <f>IF($DF98&lt;&gt;$JT$9,0,各项系数!$F$76/4*($NE98^2-$NC98^2)*10^-2*各项系数!$F$40*10^-3*10^2)*各项系数!$J$4</f>
        <v>0</v>
      </c>
      <c r="JU98" s="106">
        <v>1</v>
      </c>
      <c r="JV98" s="78">
        <f t="shared" si="473"/>
        <v>0</v>
      </c>
      <c r="JW98" s="264">
        <f>JV98*各项系数!$E$40</f>
        <v>0</v>
      </c>
      <c r="JX98" s="289">
        <f>IF($DF98&lt;&gt;$JX$9,0,各项系数!$F$76/4*($NE98^2-$NC98^2)*10^-2*各项系数!$F$38*10^-3*10^2)*各项系数!$J$4</f>
        <v>0</v>
      </c>
      <c r="JY98" s="106">
        <v>1</v>
      </c>
      <c r="JZ98" s="78">
        <f t="shared" si="474"/>
        <v>0</v>
      </c>
      <c r="KA98" s="264">
        <f>JZ98*各项系数!$E$38</f>
        <v>0</v>
      </c>
      <c r="KB98" s="289">
        <f>IF($DF98&lt;&gt;$KB$9,0,各项系数!$F$76/4*($NE98^2-$NC98^2)*10^-2*各项系数!$F$41*10^-3*10^2)*各项系数!$J$4</f>
        <v>0</v>
      </c>
      <c r="KC98" s="106">
        <v>1</v>
      </c>
      <c r="KD98" s="78">
        <f t="shared" si="475"/>
        <v>0</v>
      </c>
      <c r="KE98" s="264">
        <f>KD98*各项系数!$E$41</f>
        <v>0</v>
      </c>
      <c r="KF98" s="78">
        <f t="shared" si="476"/>
        <v>1.1422117959978788E-2</v>
      </c>
      <c r="KG98" s="78">
        <f t="shared" si="477"/>
        <v>0.22844235919957576</v>
      </c>
      <c r="KH98" s="237">
        <f>各项系数!$F$76/4*($NG98^2-$NE98^2)*10^-2*各项系数!$F$44*10^-3*10^2*各项系数!$J$4*0.75*$U98</f>
        <v>2.815205050859821</v>
      </c>
      <c r="KI98" s="106">
        <v>1</v>
      </c>
      <c r="KJ98" s="78">
        <f t="shared" si="478"/>
        <v>2.815205050859821</v>
      </c>
      <c r="KK98" s="78">
        <f>ROUND(KJ98*各项系数!$E$43,GT98)</f>
        <v>16</v>
      </c>
      <c r="KL98" s="235">
        <f>各项系数!$F$76/4*($NF98^2-$NE98^2)*10^-2*各项系数!$F$46*10^-3*10^2*各项系数!$J$4*PI()/4*R98</f>
        <v>0.14205962275911571</v>
      </c>
      <c r="KM98" s="106">
        <v>1</v>
      </c>
      <c r="KN98" s="78">
        <f t="shared" si="479"/>
        <v>0.14205962275911571</v>
      </c>
      <c r="KO98" s="78">
        <f>KN98*各项系数!$E$46</f>
        <v>9.589024536240311</v>
      </c>
      <c r="KP98" s="237">
        <f>各项系数!$F$76/4*($NH98^2-$NE98^2)*10^-2*(VLOOKUP($KP$9,各项系数!$D$1:$F$143,3,0))*10^-3*10^2*各项系数!$J$4</f>
        <v>2.0144798967038824</v>
      </c>
      <c r="KQ98" s="106">
        <v>1</v>
      </c>
      <c r="KR98" s="78">
        <f t="shared" si="416"/>
        <v>2.0144798967038824</v>
      </c>
      <c r="KS98" s="78">
        <f>KR98*(VLOOKUP($KP$9,各项系数!$D$1:$F$143,2,0))</f>
        <v>34.246158243966001</v>
      </c>
      <c r="KT98" s="237">
        <f>各项系数!$F$76/4*($NI98^2-$NF98^2)*10^-2*(VLOOKUP($KT$9,各项系数!$D$1:$F$143,3,0))*10^-3*10^2*各项系数!$J$4</f>
        <v>2.0175257587461326</v>
      </c>
      <c r="KU98" s="106">
        <v>1</v>
      </c>
      <c r="KV98" s="78">
        <f t="shared" si="417"/>
        <v>2.0175257587461326</v>
      </c>
      <c r="KW98" s="78">
        <f>KV98*(VLOOKUP($KT$9,各项系数!$D$1:$F$143,2,0))</f>
        <v>34.297937898684253</v>
      </c>
      <c r="KX98" s="78">
        <f>各项系数!$F$76/4*($NH98^2-$NE98^2)*10^-2*(VLOOKUP($KX$9,各项系数!$D$1:$F$143,3,0))*10^-3*10^2*各项系数!$J$4</f>
        <v>2.0144798967038824</v>
      </c>
      <c r="KY98" s="355">
        <v>1</v>
      </c>
      <c r="KZ98" s="78">
        <f t="shared" si="418"/>
        <v>2.0144798967038824</v>
      </c>
      <c r="LA98" s="78">
        <f>KZ98*(VLOOKUP($KX$9,各项系数!$D$1:$F$143,2,0))</f>
        <v>34.246158243966001</v>
      </c>
      <c r="LB98" s="78">
        <f>各项系数!$F$76/4*($NI98^2-$NF98^2)*10^-2*(VLOOKUP($LB$9,各项系数!$D$1:$F$143,3,0))*10^-3*10^2*各项系数!$J$4</f>
        <v>2.0175257587461326</v>
      </c>
      <c r="LC98" s="355">
        <v>1</v>
      </c>
      <c r="LD98" s="78">
        <f t="shared" si="419"/>
        <v>2.0175257587461326</v>
      </c>
      <c r="LE98" s="78">
        <f>LD98*(VLOOKUP($LB$9,各项系数!$D$1:$F$143,2,0))</f>
        <v>34.297937898684253</v>
      </c>
      <c r="LF98" s="237">
        <f>各项系数!$F$76/4*($NH98^2-$NE98^2)*10^-2*(VLOOKUP(AN98,各项系数!$D$1:$F$143,3,0))*10^-3*10^2*各项系数!$J$4</f>
        <v>2.0422658263135913</v>
      </c>
      <c r="LG98" s="106">
        <v>1</v>
      </c>
      <c r="LH98" s="78">
        <f t="shared" si="480"/>
        <v>2.0422658263135913</v>
      </c>
      <c r="LI98" s="78">
        <f>LH98*(VLOOKUP(AN98,各项系数!$D$1:$F$143,2,0))</f>
        <v>20.422658263135915</v>
      </c>
      <c r="LJ98" s="237">
        <f>各项系数!$F$76/4*($NI98^2-$NF98^2)*10^-2*(VLOOKUP(AN98,各项系数!$D$1:$F$143,3,0))*10^-3*10^2*各项系数!$J$4</f>
        <v>2.0453537002460789</v>
      </c>
      <c r="LK98" s="106">
        <v>1</v>
      </c>
      <c r="LL98" s="78">
        <f t="shared" si="481"/>
        <v>2.0453537002460789</v>
      </c>
      <c r="LM98" s="78">
        <f>LL98*(VLOOKUP(AN98,各项系数!$D$1:$F$143,2,0))</f>
        <v>20.453537002460788</v>
      </c>
      <c r="LN98" s="78">
        <f>各项系数!$F$76/4*($NH98^2-$NE98^2)*10^-2*(VLOOKUP($LN$9,各项系数!$D$1:$F$143,3,0))*10^-3*10^2*各项系数!$J$4</f>
        <v>2.0422658263135913</v>
      </c>
      <c r="LO98" s="355">
        <v>1</v>
      </c>
      <c r="LP98" s="78">
        <f t="shared" si="482"/>
        <v>2.0422658263135913</v>
      </c>
      <c r="LQ98" s="78">
        <f>LP98*(VLOOKUP($LN$9,各项系数!$D$1:$F$143,2,0))</f>
        <v>22.464924089449504</v>
      </c>
      <c r="LR98" s="78">
        <f>各项系数!$F$76/4*($NI98^2-$NF98^2)*10^-2*(VLOOKUP($LR$9,各项系数!$D$1:$F$143,3,0))*10^-3*10^2*各项系数!$J$4</f>
        <v>2.0453537002460789</v>
      </c>
      <c r="LS98" s="355">
        <v>1</v>
      </c>
      <c r="LT98" s="78">
        <f t="shared" si="483"/>
        <v>2.0453537002460789</v>
      </c>
      <c r="LU98" s="78">
        <f>LT98*(VLOOKUP($LR$9,各项系数!$D$1:$F$143,2,0))</f>
        <v>22.498890702706866</v>
      </c>
      <c r="LV98" s="367">
        <f t="shared" si="420"/>
        <v>4058.6709144000001</v>
      </c>
      <c r="LW98" s="367">
        <f t="shared" si="421"/>
        <v>3056.5299478799998</v>
      </c>
      <c r="LX98" s="367">
        <f t="shared" si="422"/>
        <v>62.383449722727917</v>
      </c>
      <c r="LY98" s="367">
        <f t="shared" si="423"/>
        <v>1002.1409665200003</v>
      </c>
      <c r="LZ98" s="374">
        <f t="shared" si="365"/>
        <v>1</v>
      </c>
      <c r="MA98" s="375">
        <f t="shared" si="366"/>
        <v>4058.6709144000001</v>
      </c>
      <c r="MB98" s="367">
        <f t="shared" si="424"/>
        <v>32.148593460000001</v>
      </c>
      <c r="MC98" s="367">
        <f t="shared" si="425"/>
        <v>0</v>
      </c>
      <c r="MD98" s="367">
        <f t="shared" si="426"/>
        <v>0</v>
      </c>
      <c r="ME98" s="367">
        <f t="shared" si="427"/>
        <v>0</v>
      </c>
      <c r="MF98" s="367">
        <f t="shared" si="428"/>
        <v>0</v>
      </c>
      <c r="MG98" s="379">
        <f t="shared" si="429"/>
        <v>1</v>
      </c>
      <c r="MH98" s="375">
        <f t="shared" si="367"/>
        <v>0</v>
      </c>
      <c r="MI98" s="367">
        <f t="shared" si="430"/>
        <v>0</v>
      </c>
      <c r="MJ98" s="78">
        <f t="shared" si="368"/>
        <v>32.148593460000001</v>
      </c>
      <c r="MK98" s="78">
        <f t="shared" si="431"/>
        <v>32.148593460000001</v>
      </c>
      <c r="ML98" s="78">
        <f t="shared" si="484"/>
        <v>0</v>
      </c>
      <c r="MM98" s="78">
        <f t="shared" si="369"/>
        <v>0</v>
      </c>
      <c r="MN98" s="78">
        <f t="shared" si="370"/>
        <v>36.948593459999998</v>
      </c>
      <c r="MO98" s="189">
        <f t="shared" si="432"/>
        <v>0</v>
      </c>
      <c r="MP98" s="78">
        <f t="shared" si="433"/>
        <v>99.761202339999997</v>
      </c>
      <c r="MQ98" s="78">
        <f t="shared" si="485"/>
        <v>99.761202339999997</v>
      </c>
      <c r="MR98" s="246">
        <f t="shared" si="434"/>
        <v>99.761202339999997</v>
      </c>
      <c r="MS98" s="380">
        <f t="shared" si="371"/>
        <v>99.937202339999999</v>
      </c>
      <c r="MT98" s="382">
        <f t="shared" si="372"/>
        <v>100.09720234</v>
      </c>
      <c r="MU98" s="382">
        <f t="shared" si="373"/>
        <v>101.43720234</v>
      </c>
      <c r="MV98" s="382">
        <f t="shared" si="374"/>
        <v>108.33720234</v>
      </c>
      <c r="MW98" s="382">
        <f t="shared" si="375"/>
        <v>108.49720234</v>
      </c>
      <c r="MX98" s="246">
        <f t="shared" si="376"/>
        <v>32.748593460000002</v>
      </c>
      <c r="MY98" s="246">
        <f t="shared" si="377"/>
        <v>0</v>
      </c>
      <c r="MZ98" s="78">
        <f t="shared" si="378"/>
        <v>37.548593459999999</v>
      </c>
      <c r="NA98" s="78">
        <f t="shared" si="379"/>
        <v>0</v>
      </c>
      <c r="NB98" s="78">
        <f t="shared" si="435"/>
        <v>101.38120234</v>
      </c>
      <c r="NC98" s="246">
        <f t="shared" si="486"/>
        <v>101.38120234</v>
      </c>
      <c r="ND98" s="246">
        <f t="shared" si="436"/>
        <v>101.38120234</v>
      </c>
      <c r="NE98" s="386">
        <f t="shared" si="437"/>
        <v>101.62120234</v>
      </c>
      <c r="NF98" s="382">
        <f t="shared" si="380"/>
        <v>101.78120233999999</v>
      </c>
      <c r="NG98" s="150">
        <f t="shared" si="381"/>
        <v>103.12120234</v>
      </c>
      <c r="NH98" s="246">
        <f t="shared" si="382"/>
        <v>110.02120234</v>
      </c>
      <c r="NI98" s="382">
        <f t="shared" si="383"/>
        <v>110.18120234</v>
      </c>
      <c r="NK98" s="390">
        <f t="shared" si="384"/>
        <v>34.242020128250246</v>
      </c>
      <c r="NL98" s="390">
        <f t="shared" si="385"/>
        <v>1867.8142814124737</v>
      </c>
      <c r="NM98" s="390">
        <f t="shared" si="386"/>
        <v>34.242020128250246</v>
      </c>
      <c r="NN98" s="390">
        <f t="shared" si="387"/>
        <v>1869.8240473656479</v>
      </c>
      <c r="NO98" s="390">
        <f t="shared" si="388"/>
        <v>44.195524409919429</v>
      </c>
      <c r="NP98" s="390">
        <f t="shared" si="389"/>
        <v>1880.318365962816</v>
      </c>
      <c r="NQ98" s="390">
        <f t="shared" si="390"/>
        <v>44.195524409919429</v>
      </c>
      <c r="NR98" s="390">
        <f t="shared" si="391"/>
        <v>1882.3606317891297</v>
      </c>
      <c r="NS98" s="390">
        <f t="shared" si="392"/>
        <v>34.381727483787124</v>
      </c>
      <c r="NT98" s="390">
        <f t="shared" si="393"/>
        <v>34.381727483787124</v>
      </c>
      <c r="NU98" s="390">
        <f t="shared" si="394"/>
        <v>44.337584032678542</v>
      </c>
      <c r="NV98" s="390">
        <f t="shared" si="395"/>
        <v>44.337584032678542</v>
      </c>
      <c r="NW98" s="9">
        <f t="shared" si="396"/>
        <v>36.087950195204606</v>
      </c>
      <c r="NX98" s="9">
        <f>各项系数!$M$9*NK98</f>
        <v>10.272606038475073</v>
      </c>
      <c r="NY98" s="9">
        <f t="shared" si="397"/>
        <v>34.381727483787124</v>
      </c>
    </row>
    <row r="99" spans="1:389" s="9" customFormat="1" ht="15" hidden="1" customHeight="1">
      <c r="A99" s="65"/>
      <c r="B99" s="66"/>
      <c r="C99" s="67"/>
      <c r="D99" s="58" t="s">
        <v>930</v>
      </c>
      <c r="E99" s="399">
        <f t="shared" si="325"/>
        <v>121.24117763</v>
      </c>
      <c r="F99" s="68">
        <f>$F$35</f>
        <v>404.21883750578098</v>
      </c>
      <c r="G99" s="58"/>
      <c r="H99" s="16"/>
      <c r="I99" s="62"/>
      <c r="J99" s="16"/>
      <c r="K99" s="16"/>
      <c r="L99" s="107" t="s">
        <v>467</v>
      </c>
      <c r="M99" s="98">
        <f t="shared" si="339"/>
        <v>2.6</v>
      </c>
      <c r="N99" s="98">
        <f t="shared" si="340"/>
        <v>0</v>
      </c>
      <c r="O99" s="58">
        <f t="shared" si="493"/>
        <v>0.08</v>
      </c>
      <c r="P99" s="99">
        <v>0.1</v>
      </c>
      <c r="Q99" s="136">
        <f t="shared" si="489"/>
        <v>0.1</v>
      </c>
      <c r="R99" s="151">
        <v>0.8</v>
      </c>
      <c r="S99" s="144" t="str">
        <f>各项系数!$D$43</f>
        <v>钢带</v>
      </c>
      <c r="T99" s="62">
        <v>0.5</v>
      </c>
      <c r="U99" s="62">
        <v>2</v>
      </c>
      <c r="V99" s="143"/>
      <c r="W99" s="145">
        <v>4.4000000000000004</v>
      </c>
      <c r="X99" s="139">
        <f t="shared" si="490"/>
        <v>0.2</v>
      </c>
      <c r="Y99" s="139"/>
      <c r="Z99" s="169"/>
      <c r="AA99" s="170">
        <f>$AA$35</f>
        <v>1.03</v>
      </c>
      <c r="AB99" s="153">
        <f>PI()*EJ99*EJ99/4*EH99*(1-H99)*AA99*各项系数!$F$5*各项系数!$J$4*10^-7</f>
        <v>7.1320582293852581</v>
      </c>
      <c r="AC99" s="170">
        <f t="shared" si="327"/>
        <v>404.21883750578098</v>
      </c>
      <c r="AD99" s="153">
        <f t="shared" si="341"/>
        <v>806.28770730878864</v>
      </c>
      <c r="AE99" s="153">
        <f>POWER(4*EU99/PI()/EG99/10^-7/EH99/(1-H99)/各项系数!$F$5/各项系数!$J$4,0.5)</f>
        <v>410.23731504138027</v>
      </c>
      <c r="AF99" s="16">
        <v>1</v>
      </c>
      <c r="AG99" s="16">
        <f>IF(EM99=0,0,PI()*ER99*ER99/4*EP99*(1-K99)*(1+AF99)*各项系数!$F$5*各项系数!$J$4*10^-7)</f>
        <v>0</v>
      </c>
      <c r="AH99" s="16">
        <f t="shared" si="328"/>
        <v>0</v>
      </c>
      <c r="AI99" s="69">
        <f t="shared" si="398"/>
        <v>0</v>
      </c>
      <c r="AJ99" s="69">
        <f>IF(OR(EP99="",EP99=0),0,POWER(4*EW99/PI()/EO99/10^-7/EP99/(1-K99)/各项系数!$F$5/各项系数!$J$4,0.5))</f>
        <v>0</v>
      </c>
      <c r="AK99" s="16" t="str">
        <f t="shared" si="342"/>
        <v>√</v>
      </c>
      <c r="AL99" s="16">
        <f t="shared" si="329"/>
        <v>2461.8374002057076</v>
      </c>
      <c r="AM99" s="106">
        <f t="shared" si="330"/>
        <v>800</v>
      </c>
      <c r="AN99" s="107" t="s">
        <v>486</v>
      </c>
      <c r="AO99" s="146">
        <f>AP99+各项系数!$M$9*$NK99</f>
        <v>2413.5660786330468</v>
      </c>
      <c r="AP99" s="146">
        <f>AQ99*(1+$BI99+(VLOOKUP($AM99,$A$12:$B$323,2,0))+各项系数!$J$6+各项系数!$M$5)*(1+$E$2)</f>
        <v>2400.513580239302</v>
      </c>
      <c r="AQ99" s="199">
        <f>AR99+各项系数!$L$9*$NK99</f>
        <v>2449.5036533054104</v>
      </c>
      <c r="AR99" s="199">
        <f>AS99*(1+$BJ99+各项系数!$J$5+各项系数!$L$5)</f>
        <v>2436.4511549116655</v>
      </c>
      <c r="AS99" s="199">
        <f t="shared" si="399"/>
        <v>2388.6776028545742</v>
      </c>
      <c r="AT99" s="146">
        <f>AU99+各项系数!$M$9*$NM99</f>
        <v>2429.5495417663019</v>
      </c>
      <c r="AU99" s="146">
        <f>AV99*(1+$BI99+(VLOOKUP($AM99,$A$12:$B$323,2,0))+各项系数!$J$6+各项系数!$M$5)*(1+$E$2)</f>
        <v>2416.4970433725571</v>
      </c>
      <c r="AV99" s="199">
        <f>AW99+各项系数!$L$9*$NM99</f>
        <v>2465.8133095638336</v>
      </c>
      <c r="AW99" s="199">
        <f>AX99*(1+$BJ99+各项系数!$J$5+各项系数!$L$5)</f>
        <v>2452.7608111700888</v>
      </c>
      <c r="AX99" s="199">
        <f t="shared" si="400"/>
        <v>2404.6674619314595</v>
      </c>
      <c r="AY99" s="146">
        <f>AZ99+各项系数!$M$9*$NS99</f>
        <v>2424.2967315069309</v>
      </c>
      <c r="AZ99" s="146">
        <f>BA99*(1+$BI99+(VLOOKUP($AM99,$A$12:$B$214,2,0))+各项系数!$J$6+各项系数!$M$5)*(1+$E$2)</f>
        <v>2411.1970811159272</v>
      </c>
      <c r="BA99" s="199">
        <f>BB99+各项系数!$L$9*$NS99</f>
        <v>2460.4051848121708</v>
      </c>
      <c r="BB99" s="199">
        <f>BC99*(1+$BJ99+各项系数!$J$5+各项系数!$L$5)</f>
        <v>2447.3055344211671</v>
      </c>
      <c r="BC99" s="199">
        <f t="shared" si="401"/>
        <v>2399.3191513933011</v>
      </c>
      <c r="BD99" s="146">
        <f>BE99+各项系数!$M$9*$NS99</f>
        <v>2440.3020820787851</v>
      </c>
      <c r="BE99" s="146">
        <f>BF99*(1+$BI99+(VLOOKUP($AM99,$A$12:$B$214,2,0))+各项系数!$J$6+各项系数!$M$5)*(1+$E$2)</f>
        <v>2427.2024316877814</v>
      </c>
      <c r="BF99" s="199">
        <f>BG99+各项系数!$L$9*$NS99</f>
        <v>2476.7371751916139</v>
      </c>
      <c r="BG99" s="199">
        <f>BH99*(1+$BJ99+各项系数!$J$5+各项系数!$L$5)</f>
        <v>2463.6375248006102</v>
      </c>
      <c r="BH99" s="199">
        <f t="shared" si="402"/>
        <v>2415.330906667265</v>
      </c>
      <c r="BI99" s="214"/>
      <c r="BJ99" s="215"/>
      <c r="BK99" s="78" t="s">
        <v>514</v>
      </c>
      <c r="BL99" s="146">
        <f>BM99+各项系数!$M$9*$NM99</f>
        <v>2439.359645846122</v>
      </c>
      <c r="BM99" s="146">
        <f>BN99*(1+$CF99+(VLOOKUP($AM99,$A$12:$B$323,2,0))+各项系数!$J$6+各项系数!$M$5)*(1+$E$2)</f>
        <v>2426.3071474523772</v>
      </c>
      <c r="BN99" s="199">
        <f>BO99+各项系数!$L$9*$NM99</f>
        <v>2475.8236198493646</v>
      </c>
      <c r="BO99" s="199">
        <f>BP99*(1+$CG99+各项系数!$J$5+各项系数!$L$5)</f>
        <v>2462.7711214556198</v>
      </c>
      <c r="BP99" s="199">
        <f t="shared" si="403"/>
        <v>2391.0399237433203</v>
      </c>
      <c r="BQ99" s="146">
        <f>BR99+各项系数!$M$9*$NM99</f>
        <v>2453.11528289323</v>
      </c>
      <c r="BR99" s="146">
        <f>BS99*(1+$CF99+(VLOOKUP($AM99,$A$12:$B$323,2,0))+各项系数!$J$6+各项系数!$M$5)*(1+$E$2)</f>
        <v>2440.0627844994851</v>
      </c>
      <c r="BS99" s="199">
        <f>BT99+各项系数!$L$9*$NM99</f>
        <v>2489.8599841831483</v>
      </c>
      <c r="BT99" s="199">
        <f>BU99*(1+$CG99+各项系数!$J$5+各项系数!$L$5)</f>
        <v>2476.8074857894035</v>
      </c>
      <c r="BU99" s="199">
        <f t="shared" si="404"/>
        <v>2404.6674619314595</v>
      </c>
      <c r="BV99" s="146">
        <f>BW99+各项系数!$M$9*$NT99</f>
        <v>2437.3682919713483</v>
      </c>
      <c r="BW99" s="146">
        <f>BX99*(1+$CF99+(VLOOKUP($AM99,$A$12:$B$214,2,0))+各项系数!$J$6+各项系数!$M$5)*(1+$E$2)</f>
        <v>2424.2686415803446</v>
      </c>
      <c r="BX99" s="199">
        <f>BY99+各项系数!$L$9*$NT$12</f>
        <v>2473.7435118166782</v>
      </c>
      <c r="BY99" s="199">
        <f>BZ99*(1+$CG99+各项系数!$J$5+各项系数!$L$5)</f>
        <v>2473.7352484135231</v>
      </c>
      <c r="BZ99" s="199">
        <f t="shared" si="343"/>
        <v>2401.6847071975953</v>
      </c>
      <c r="CA99" s="146">
        <f>CB99+各项系数!$M$9*$NT99</f>
        <v>2451.1427657160334</v>
      </c>
      <c r="CB99" s="146">
        <f>CC99*(1+$CF99+(VLOOKUP($AM99,$A$12:$B$214,2,0))+各项系数!$J$6+各项系数!$M$5)*(1+$E$2)</f>
        <v>2438.0431153250297</v>
      </c>
      <c r="CC99" s="199">
        <f>CD99+各项系数!$L$9*$NT$12</f>
        <v>2487.7990972704383</v>
      </c>
      <c r="CD99" s="199">
        <f>CE99*(1+$CG99+各项系数!$J$5+各项系数!$L$5)</f>
        <v>2487.7908338672833</v>
      </c>
      <c r="CE99" s="199">
        <f t="shared" si="405"/>
        <v>2415.330906667265</v>
      </c>
      <c r="CF99" s="214">
        <f t="shared" si="406"/>
        <v>0</v>
      </c>
      <c r="CG99" s="214">
        <f t="shared" si="344"/>
        <v>0.01</v>
      </c>
      <c r="CH99" s="106"/>
      <c r="CI99" s="146">
        <f>CJ99+各项系数!$M$9*$NO99</f>
        <v>2448.9326087630839</v>
      </c>
      <c r="CJ99" s="146">
        <f>CK99*(1+$DC99+(VLOOKUP($AM99,$A$12:$B$323,2,0))+各项系数!$J$6+各项系数!$M$5)*(1+$E$2)+各项系数!$M$9*$NK99</f>
        <v>2432.1277985378147</v>
      </c>
      <c r="CK99" s="199">
        <f>CL99+各项系数!$L$9*$NO99</f>
        <v>2468.4441838204793</v>
      </c>
      <c r="CL99" s="199">
        <f>CM99*(1+$DD99+各项系数!$J$5+各项系数!$L$5)</f>
        <v>2451.6393735952101</v>
      </c>
      <c r="CM99" s="199">
        <f t="shared" si="345"/>
        <v>2403.5680133286373</v>
      </c>
      <c r="CN99" s="146">
        <f>CO99+各项系数!$M$9*$NO99</f>
        <v>2464.5757332248222</v>
      </c>
      <c r="CO99" s="146">
        <f>CP99*(1+$DC99+(VLOOKUP($AM99,$A$12:$B$323,2,0))+各项系数!$J$6+各项系数!$M$5)*(1+$E$2)+各项系数!$M$9*$NK99</f>
        <v>2447.770922999553</v>
      </c>
      <c r="CP99" s="199">
        <f>CQ99+各项系数!$L$9*$NO99</f>
        <v>2484.4065557202125</v>
      </c>
      <c r="CQ99" s="199">
        <f>CR99*(1+$DD99+各项系数!$J$5+各项系数!$L$5)</f>
        <v>2467.6017454949433</v>
      </c>
      <c r="CR99" s="199">
        <f t="shared" si="346"/>
        <v>2419.2173975440619</v>
      </c>
      <c r="CS99" s="146">
        <f>CT99+各项系数!$M$9*$NU99</f>
        <v>2446.7708750162396</v>
      </c>
      <c r="CT99" s="146">
        <f t="shared" si="347"/>
        <v>2429.9182071135447</v>
      </c>
      <c r="CU99" s="199">
        <f>CV99+各项系数!$L$9*$NU99</f>
        <v>2479.508374605658</v>
      </c>
      <c r="CV99" s="199">
        <f>CW99*(1+$DD99+各项系数!$J$5+各项系数!$L$5)</f>
        <v>2462.655706702963</v>
      </c>
      <c r="CW99" s="199">
        <f t="shared" si="348"/>
        <v>2414.3683399048655</v>
      </c>
      <c r="CX99" s="146">
        <f>CY99+各项系数!$M$9*$NU99</f>
        <v>2463.0065908793586</v>
      </c>
      <c r="CY99" s="146">
        <f t="shared" si="349"/>
        <v>2446.1539229766636</v>
      </c>
      <c r="CZ99" s="199">
        <f>DA99+各项系数!$L$9*$NU99</f>
        <v>2496.0754316088405</v>
      </c>
      <c r="DA99" s="199">
        <f>DB99*(1+$DD99+各项系数!$J$5+各项系数!$L$5)</f>
        <v>2479.2227637061455</v>
      </c>
      <c r="DB99" s="199">
        <f t="shared" si="350"/>
        <v>2430.6105526530837</v>
      </c>
      <c r="DC99" s="214">
        <f t="shared" si="407"/>
        <v>0</v>
      </c>
      <c r="DD99" s="214">
        <f t="shared" si="351"/>
        <v>0</v>
      </c>
      <c r="DE99" s="78" t="s">
        <v>498</v>
      </c>
      <c r="DF99" s="78" t="s">
        <v>513</v>
      </c>
      <c r="DG99" s="146">
        <f>DH99+各项系数!$M$9*$NQ99</f>
        <v>2474.9064695313205</v>
      </c>
      <c r="DH99" s="146">
        <f>DI99*(1+$EA99+(VLOOKUP($AM99,$A$12:$B$323,2,0))+各项系数!$J$6+各项系数!$M$5)*(1+$E$2)+各项系数!$M$9*$NK99</f>
        <v>2458.1016593060513</v>
      </c>
      <c r="DI99" s="199">
        <f>DJ99+各项系数!$L$9*$NQ99</f>
        <v>2494.9481233799047</v>
      </c>
      <c r="DJ99" s="199">
        <f>DK99*(1+$EB99+各项系数!$J$5+各项系数!$L$5)</f>
        <v>2478.1433131546355</v>
      </c>
      <c r="DK99" s="199">
        <f t="shared" si="352"/>
        <v>2405.9643817035294</v>
      </c>
      <c r="DL99" s="146">
        <f>DM99+各项系数!$M$9*$NQ99</f>
        <v>2488.8603628204241</v>
      </c>
      <c r="DM99" s="146">
        <f>DN99*(1+$EA99+(VLOOKUP($AM99,$A$12:$B$323,2,0))+各项系数!$J$6+各项系数!$M$5)*(1+$E$2)+各项系数!$M$9*$NK99</f>
        <v>2472.0555525951549</v>
      </c>
      <c r="DN99" s="199">
        <f>DO99+各项系数!$L$9*$NQ99</f>
        <v>2509.186790001439</v>
      </c>
      <c r="DO99" s="199">
        <f>DP99*(1+$EB99+各项系数!$J$5+各项系数!$L$5)</f>
        <v>2492.3819797761698</v>
      </c>
      <c r="DP99" s="199">
        <f t="shared" si="353"/>
        <v>2419.7883298797765</v>
      </c>
      <c r="DQ99" s="146">
        <f>DR99+各项系数!$M$9*$NV99</f>
        <v>2472.8538443086777</v>
      </c>
      <c r="DR99" s="146">
        <f t="shared" si="354"/>
        <v>2456.0011764059827</v>
      </c>
      <c r="DS99" s="199">
        <f>DT99+各项系数!$L$9*$NV99</f>
        <v>2506.12364939386</v>
      </c>
      <c r="DT99" s="199">
        <f>DU99*(1+$EB99+各项系数!$J$5+各项系数!$L$5)</f>
        <v>2489.270981491165</v>
      </c>
      <c r="DU99" s="199">
        <f t="shared" si="355"/>
        <v>2416.7679431953056</v>
      </c>
      <c r="DV99" s="146">
        <f>DW99+各项系数!$M$9*$NV99</f>
        <v>2468.6109143192084</v>
      </c>
      <c r="DW99" s="146">
        <f t="shared" si="356"/>
        <v>2451.7582464165134</v>
      </c>
      <c r="DX99" s="199">
        <f>DY99+各项系数!$L$9*$NV99</f>
        <v>2501.7941289964424</v>
      </c>
      <c r="DY99" s="199">
        <f>DZ99*(1+$EB99+各项系数!$J$5+各项系数!$L$5)</f>
        <v>2484.9414610937474</v>
      </c>
      <c r="DZ99" s="199">
        <f t="shared" si="357"/>
        <v>2412.5645253337352</v>
      </c>
      <c r="EA99" s="214">
        <f t="shared" si="492"/>
        <v>0</v>
      </c>
      <c r="EB99" s="214">
        <f t="shared" si="358"/>
        <v>0.01</v>
      </c>
      <c r="EC99" s="235">
        <f t="shared" si="408"/>
        <v>5</v>
      </c>
      <c r="ED99" s="237" t="str">
        <f t="shared" si="442"/>
        <v>5*800</v>
      </c>
      <c r="EE99" s="78">
        <f t="shared" si="491"/>
        <v>800</v>
      </c>
      <c r="EF99" s="78" t="str">
        <f>LOOKUP(EH99,{1,7,10,14,19,24,30,37,48,61},{1,"1+6","2+8","4+10","1+6+12","2+8+14","4+10+16","1+6+12+18","3+9+15+21","1+6+12+18+24"})</f>
        <v>1+6+12+18+24</v>
      </c>
      <c r="EG99" s="106">
        <f t="shared" si="359"/>
        <v>5</v>
      </c>
      <c r="EH99" s="199">
        <f>VLOOKUP(EE99,各项系数!$B$87:$C$124,2,0)</f>
        <v>61</v>
      </c>
      <c r="EI99" s="106">
        <f>IF(EH99=0,0,VLOOKUP(EH99,各项系数!$D$142:$E$195,2,0))*1</f>
        <v>9</v>
      </c>
      <c r="EJ99" s="240">
        <f t="shared" si="409"/>
        <v>404.21883750578098</v>
      </c>
      <c r="EK99" s="78">
        <f t="shared" si="332"/>
        <v>0</v>
      </c>
      <c r="EL99" s="78">
        <f t="shared" si="360"/>
        <v>0</v>
      </c>
      <c r="EM99" s="78">
        <f t="shared" si="443"/>
        <v>0</v>
      </c>
      <c r="EN99" s="78">
        <f>IF(EP99=0,0,LOOKUP(EP99,{1,7,10,14,19,24,30,37,48,61},{1,"1+6","2+8","4+10","1+6+12","2+8+14","4+10+16","1+6+12+18","3+9+15+21","1+6+12+18+24"}))</f>
        <v>0</v>
      </c>
      <c r="EO99" s="78">
        <f t="shared" si="334"/>
        <v>0</v>
      </c>
      <c r="EP99" s="78">
        <f>IF(EM99=0,0,IF(EM99&lt;10,1,IF(AND(EM99&gt;=10,EM99&lt;=35),7,LOOKUP(EM99,{50,70,95,120,150,185,240,300},{10,14,19,24,30,37,48,61})*1)))</f>
        <v>0</v>
      </c>
      <c r="EQ99" s="78">
        <f>IF(EP99=0,0,VLOOKUP(EP99,各项系数!$D$142:$E$195,2,0))*1</f>
        <v>0</v>
      </c>
      <c r="ER99" s="78">
        <f t="shared" si="335"/>
        <v>0</v>
      </c>
      <c r="ES99" s="237">
        <f t="shared" si="444"/>
        <v>5</v>
      </c>
      <c r="ET99" s="78">
        <f>VLOOKUP(ES99,各项系数!$D$142:$E$195,2,0)*1</f>
        <v>2.7</v>
      </c>
      <c r="EU99" s="243">
        <f>((各项系数!$F$76/4*$EJ99^2*$EG99*$EH99*1*10^-7)*(1-$H99)*AA99)*(VLOOKUP($EY$9,各项系数!$D$4:$F$143,3,0))*各项系数!$J$4</f>
        <v>35.660291146926284</v>
      </c>
      <c r="EV99" s="244">
        <f>EU99*(VLOOKUP($EY$9,各项系数!$D$4:$F$143,2,0))</f>
        <v>2335.7490701236716</v>
      </c>
      <c r="EW99" s="252">
        <f>(IF($EO99=0,0,(各项系数!$F$76/4*$ER99^2*$EO99*$EP99*1*10^-7))*(1-$K99)*$AF99)*(VLOOKUP($EY$9,各项系数!$D$4:$F$143,3,0))*各项系数!$J$4</f>
        <v>0</v>
      </c>
      <c r="EX99" s="253">
        <f>EW99*(VLOOKUP($EY$9,各项系数!$D$4:$F$143,2,0))</f>
        <v>0</v>
      </c>
      <c r="EY99" s="189">
        <f>((各项系数!$F$76/4*$EJ99^2*$EG99*$EH99*1*10^-7)*(1-$H99)*AA99+IF($EO99=0,0,(各项系数!$F$76/4*$ER99^2*$EO99*$EP99*1*10^-7))*(1-$K99)*$AF99)*(VLOOKUP($EY$9,各项系数!$D$4:$F$143,3,0))*各项系数!$J$4</f>
        <v>35.660291146926284</v>
      </c>
      <c r="EZ99" s="106">
        <v>1</v>
      </c>
      <c r="FA99" s="78">
        <f t="shared" si="445"/>
        <v>35.660291146926284</v>
      </c>
      <c r="FB99" s="246">
        <f>FA99*(VLOOKUP($EY$9,各项系数!$D$4:$F$143,2,0))</f>
        <v>2335.7490701236716</v>
      </c>
      <c r="FC99" s="257"/>
      <c r="FD99" s="237">
        <f>各项系数!$F$76/4*($MN99^2-MK99^2)*10^-2*(VLOOKUP(L99,各项系数!$D$1:$F$143,3,0))*10^-3*10^2*$EG99*各项系数!$J$4</f>
        <v>1.7423982739990485</v>
      </c>
      <c r="FE99" s="264">
        <f>FD99*VLOOKUP(L99,各项系数!$D$1:$F$143,2,0)</f>
        <v>17.772462394790292</v>
      </c>
      <c r="FF99" s="106">
        <f>各项系数!$F$76/4*($MO99^2-ML99^2)*10^-2*(VLOOKUP(L99,各项系数!$D$1:$F$143,3,0))*10^-3*10^2*$EO99*各项系数!$J$4</f>
        <v>0</v>
      </c>
      <c r="FG99" s="264">
        <f>FF99*VLOOKUP(L99,各项系数!$D$1:$F$143,2,0)</f>
        <v>0</v>
      </c>
      <c r="FH99" s="237">
        <f t="shared" si="410"/>
        <v>1.7423982739990485</v>
      </c>
      <c r="FI99" s="106">
        <v>1</v>
      </c>
      <c r="FJ99" s="78">
        <f t="shared" si="446"/>
        <v>1.7423982739990485</v>
      </c>
      <c r="FK99" s="264">
        <f>FJ99*VLOOKUP(L99,各项系数!$D$1:$F$143,2,0)</f>
        <v>17.772462394790292</v>
      </c>
      <c r="FL99" s="237"/>
      <c r="FM99" s="106"/>
      <c r="FN99" s="78"/>
      <c r="FO99" s="264"/>
      <c r="FP99" s="289">
        <f t="shared" si="447"/>
        <v>1.7423982739990485</v>
      </c>
      <c r="FQ99" s="289">
        <f t="shared" si="448"/>
        <v>17.772462394790292</v>
      </c>
      <c r="FR99" s="283">
        <f>各项系数!$F$76/4*($MQ99^2-$MN99^2*$EG99-$MO99^2*$EO99)*10^-2</f>
        <v>31.094814550541741</v>
      </c>
      <c r="FS99" s="284">
        <f t="shared" si="411"/>
        <v>1</v>
      </c>
      <c r="FT99" s="285">
        <f t="shared" si="361"/>
        <v>31.094814550541741</v>
      </c>
      <c r="FU99" s="309">
        <f>$FT99*(VLOOKUP($FT$9,各项系数!$D$1:$F$143,3,0))*10^-3*10^2*各项系数!$J$55</f>
        <v>3.7127208573346837</v>
      </c>
      <c r="FV99" s="310">
        <v>1</v>
      </c>
      <c r="FW99" s="311">
        <f t="shared" si="449"/>
        <v>3.7127208573346837</v>
      </c>
      <c r="FX99" s="290">
        <f>FW99*(VLOOKUP($FT$9,各项系数!$D$1:$F$143,2,0))</f>
        <v>11.138162572004051</v>
      </c>
      <c r="FY99" s="309">
        <f>IF($BK99&lt;&gt;$FY$9,0,各项系数!$F$76/4*($MS99^2-$MQ99^2)*10^-2*(VLOOKUP($FY$9,各项系数!$D$1:$F$143,3,0))*10^-3*10^2)*各项系数!$J$4</f>
        <v>0</v>
      </c>
      <c r="FZ99" s="310">
        <v>1</v>
      </c>
      <c r="GA99" s="311">
        <f t="shared" si="450"/>
        <v>0</v>
      </c>
      <c r="GB99" s="290">
        <f>GA99*(VLOOKUP($FY$9,各项系数!$D$1:$F$143,2,0))</f>
        <v>0</v>
      </c>
      <c r="GC99" s="309">
        <f>IF($BK99&lt;&gt;$GC$9,0,各项系数!$F$76/4*($MS99^2-$MQ99^2)*10^-2*(VLOOKUP($GC$9,各项系数!$D$1:$F$143,3,0))*10^-3*10^2)*各项系数!$J$4</f>
        <v>3.0596812143392046E-2</v>
      </c>
      <c r="GD99" s="310">
        <v>1</v>
      </c>
      <c r="GE99" s="311">
        <f t="shared" si="451"/>
        <v>3.0596812143392046E-2</v>
      </c>
      <c r="GF99" s="290">
        <f>GE99*(VLOOKUP($GC$9,各项系数!$D$1:$F$143,2,0))</f>
        <v>0.39469887664975739</v>
      </c>
      <c r="GG99" s="309">
        <f>IF($BK99&lt;&gt;$GG$9,0,各项系数!$F$76/4*($MS99^2-$MQ99^2)*10^-2*(VLOOKUP($GG$9,各项系数!$D$1:$F$143,3,0))*10^-3*10^2)*各项系数!$J$4</f>
        <v>0</v>
      </c>
      <c r="GH99" s="310">
        <v>1</v>
      </c>
      <c r="GI99" s="311">
        <f t="shared" si="452"/>
        <v>0</v>
      </c>
      <c r="GJ99" s="290">
        <f>GI99*(VLOOKUP($GG$9,各项系数!$D$1:$F$143,2,0))</f>
        <v>0</v>
      </c>
      <c r="GK99" s="309">
        <f>IF($BK99&lt;&gt;$GK$9,0,各项系数!$F$76/4*($MS99^2-$MQ99^2)*10^-2*(VLOOKUP($GK$9,各项系数!$D$1:$F$143,3,0))*10^-3*10^2)*各项系数!$J$4</f>
        <v>0</v>
      </c>
      <c r="GL99" s="310">
        <v>1</v>
      </c>
      <c r="GM99" s="311">
        <f t="shared" si="453"/>
        <v>0</v>
      </c>
      <c r="GN99" s="290">
        <f>GM99*(VLOOKUP($GK$9,各项系数!$D$1:$F$143,2,0))</f>
        <v>0</v>
      </c>
      <c r="GO99" s="311">
        <f t="shared" si="454"/>
        <v>3.0596812143392046E-2</v>
      </c>
      <c r="GP99" s="311">
        <f t="shared" si="455"/>
        <v>0.39469887664975739</v>
      </c>
      <c r="GQ99" s="317">
        <f>各项系数!$F$76/4*($MU99^2-$MS99^2)*10^-2*(VLOOKUP($S99,各项系数!$D$1:$F$143,3,0))*10^-3*10^2*各项系数!$J$4</f>
        <v>2.0751693685522281</v>
      </c>
      <c r="GR99" s="310">
        <v>1</v>
      </c>
      <c r="GS99" s="311">
        <f t="shared" si="456"/>
        <v>2.0751693685522281</v>
      </c>
      <c r="GT99" s="311">
        <f t="shared" si="457"/>
        <v>0</v>
      </c>
      <c r="GU99" s="311">
        <f>ROUND($GS99*(VLOOKUP($S99,各项系数!$D$1:$F$143,2,0))+$E$3*GS99,GT99)</f>
        <v>12</v>
      </c>
      <c r="GV99" s="315">
        <f>各项系数!$F$76/4*($MT99^2-$MS99^2)*10^-2*(VLOOKUP($GV$9,各项系数!$D$1:$F$143,3,0))*10^-3*10^2*各项系数!$J$4*PI()/4*R99</f>
        <v>0.15717332419620547</v>
      </c>
      <c r="GW99" s="310">
        <v>1</v>
      </c>
      <c r="GX99" s="311">
        <f t="shared" si="458"/>
        <v>0.15717332419620547</v>
      </c>
      <c r="GY99" s="311">
        <f>$GX99*(VLOOKUP($GV$9,各项系数!$D$1:$F$143,2,0))</f>
        <v>10.609199383243869</v>
      </c>
      <c r="GZ99" s="317">
        <f>各项系数!$F$76/4*($MV99^2-$MS99^2)*10^-2*(VLOOKUP($GZ$9,各项系数!$D$1:$F$143,3,0))*10^-3*10^2*各项系数!$J$4</f>
        <v>2.3301804684908136</v>
      </c>
      <c r="HA99" s="310">
        <v>1</v>
      </c>
      <c r="HB99" s="311">
        <f t="shared" si="412"/>
        <v>2.3301804684908136</v>
      </c>
      <c r="HC99" s="311">
        <f>HB99*(VLOOKUP($GZ$9,各项系数!$D$1:$F$143,2,0))</f>
        <v>39.613067964343834</v>
      </c>
      <c r="HD99" s="317">
        <f>各项系数!$F$76/4*($MW99^2-$MT99^2)*10^-2*(VLOOKUP($HD$9,各项系数!$D$1:$F$143,3,0))*10^-3*10^2*各项系数!$J$4</f>
        <v>2.3333713715826923</v>
      </c>
      <c r="HE99" s="310">
        <v>1</v>
      </c>
      <c r="HF99" s="311">
        <f t="shared" si="413"/>
        <v>2.3333713715826923</v>
      </c>
      <c r="HG99" s="311">
        <f>HF99*(VLOOKUP($HD$9,各项系数!$D$1:$F$143,2,0))</f>
        <v>39.667313316905769</v>
      </c>
      <c r="HH99" s="317">
        <f>各项系数!$F$76/4*($MV99^2-$MS99^2)*10^-2*(VLOOKUP($HH$9,各项系数!$D$1:$F$143,3,0))*10^-3*10^2*各项系数!$J$4</f>
        <v>2.3301804684908136</v>
      </c>
      <c r="HI99" s="311">
        <v>1</v>
      </c>
      <c r="HJ99" s="311">
        <f t="shared" si="414"/>
        <v>2.3301804684908136</v>
      </c>
      <c r="HK99" s="311">
        <f>HJ99*(VLOOKUP($HH$9,各项系数!$D$1:$F$143,2,0))</f>
        <v>39.613067964343834</v>
      </c>
      <c r="HL99" s="317">
        <f>各项系数!$F$76/4*($MW99^2-$MT99^2)*10^-2*(VLOOKUP($HL$9,各项系数!$D$1:$F$143,3,0))*10^-3*10^2*各项系数!$J$4</f>
        <v>2.3333713715826923</v>
      </c>
      <c r="HM99" s="311">
        <v>1</v>
      </c>
      <c r="HN99" s="311">
        <f t="shared" si="362"/>
        <v>2.3333713715826923</v>
      </c>
      <c r="HO99" s="311">
        <f>HN99*(VLOOKUP($HL$9,各项系数!$D$1:$F$143,2,0))</f>
        <v>39.667313316905769</v>
      </c>
      <c r="HP99" s="317">
        <f>各项系数!$F$76/4*($MV99^2-$MS99^2)*10^-2*(VLOOKUP(AN99,各项系数!$D$1:$F$143,3,0))*10^-3*10^2*各项系数!$J$4</f>
        <v>2.3623208887458591</v>
      </c>
      <c r="HQ99" s="310">
        <v>1</v>
      </c>
      <c r="HR99" s="311">
        <f t="shared" si="459"/>
        <v>2.3623208887458591</v>
      </c>
      <c r="HS99" s="311">
        <f>HR99*(VLOOKUP(AN99,各项系数!$D$1:$F$143,2,0))</f>
        <v>23.623208887458592</v>
      </c>
      <c r="HT99" s="317">
        <f>各项系数!$F$76/4*($MW99^2-$MT99^2)*10^-2*(VLOOKUP(AN99,各项系数!$D$1:$F$143,3,0))*10^-3*10^2*各项系数!$J$4</f>
        <v>2.365555804294178</v>
      </c>
      <c r="HU99" s="310">
        <v>1</v>
      </c>
      <c r="HV99" s="311">
        <f t="shared" si="460"/>
        <v>2.365555804294178</v>
      </c>
      <c r="HW99" s="311">
        <f>HV99*(VLOOKUP(AN99,各项系数!$D$1:$F$143,2,0))</f>
        <v>23.655558042941781</v>
      </c>
      <c r="HX99" s="317">
        <f>各项系数!$F$76/4*($MV99^2-$MS99^2)*10^-2*(VLOOKUP($HX$9,各项系数!$D$1:$F$143,3,0))*10^-3*10^2*各项系数!$J$4</f>
        <v>2.3623208887458591</v>
      </c>
      <c r="HY99" s="311">
        <v>1</v>
      </c>
      <c r="HZ99" s="311">
        <f t="shared" si="461"/>
        <v>2.3623208887458591</v>
      </c>
      <c r="IA99" s="311">
        <f>HZ99*(VLOOKUP($HX$9,各项系数!$D$1:$F$143,2,0))</f>
        <v>25.985529776204451</v>
      </c>
      <c r="IB99" s="317">
        <f>各项系数!$F$76/4*($MW99^2-$MT99^2)*10^-2*(VLOOKUP($IB$9,各项系数!$D$1:$F$143,3,0))*10^-3*10^2*各项系数!$J$4</f>
        <v>2.365555804294178</v>
      </c>
      <c r="IC99" s="311">
        <v>1</v>
      </c>
      <c r="ID99" s="311">
        <f t="shared" si="462"/>
        <v>2.365555804294178</v>
      </c>
      <c r="IE99" s="311">
        <f>ID99*(VLOOKUP($IB$9,各项系数!$D$1:$F$143,2,0))</f>
        <v>26.021113847235959</v>
      </c>
      <c r="IF99" s="309"/>
      <c r="IG99" s="317">
        <f t="shared" si="415"/>
        <v>0.25797712130785544</v>
      </c>
      <c r="IH99" s="310">
        <v>1</v>
      </c>
      <c r="II99" s="311">
        <f t="shared" si="463"/>
        <v>0.25797712130785544</v>
      </c>
      <c r="IJ99" s="311">
        <f>II99*(VLOOKUP($IG$8,各项系数!$D$1:$F$143,2,0))</f>
        <v>6.4494280326963862</v>
      </c>
      <c r="IK99" s="317">
        <f>(各项系数!$F$76/4*($MX99^2-$MK99^2)*$EG99)*10^-2*(VLOOKUP($IG$8,各项系数!$D$1:$F$143,3,0))*10^-3*10^2*各项系数!$J$4</f>
        <v>0.25797712130785544</v>
      </c>
      <c r="IL99" s="310">
        <f>IK99*(VLOOKUP($IG$8,各项系数!$D$1:$F$143,2,0))</f>
        <v>6.4494280326963862</v>
      </c>
      <c r="IM99" s="311">
        <f>(各项系数!$F$76/4*(($MM99+3*$X99)^2-MM99^2)*$EO99)*10^-2*(VLOOKUP($IG$8,各项系数!$D$1:$F$143,3,0))*10^-3*10^2*各项系数!$J$4</f>
        <v>0</v>
      </c>
      <c r="IN99" s="310">
        <f>IM99*(VLOOKUP($IG$8,各项系数!$D$1:$F$143,2,0))</f>
        <v>0</v>
      </c>
      <c r="IO99" s="317">
        <f>各项系数!$F$76/4*($MZ99^2-$MX99^2)*10^-2*(VLOOKUP(L99,各项系数!$D$1:$F$143,3,0))*10^-3*10^2*$ES99*各项系数!$J$4</f>
        <v>1.7692183646420092</v>
      </c>
      <c r="IP99" s="310">
        <v>1</v>
      </c>
      <c r="IQ99" s="311">
        <f t="shared" si="464"/>
        <v>1.7692183646420092</v>
      </c>
      <c r="IR99" s="290">
        <f>IQ99*(VLOOKUP(L99,各项系数!$D$1:$F$143,2,0))</f>
        <v>18.046027319348493</v>
      </c>
      <c r="IS99" s="317">
        <f>IF($L99&lt;&gt;$IS$9,0,各项系数!$F$76/4*($MZ99^2-$MX99^2)*10^-2*各项系数!$F$12*10^-3*10^2)*$ES99*各项系数!$J$4</f>
        <v>0</v>
      </c>
      <c r="IT99" s="310">
        <v>1</v>
      </c>
      <c r="IU99" s="311">
        <f t="shared" si="465"/>
        <v>0</v>
      </c>
      <c r="IV99" s="290">
        <f>IU99*各项系数!$E$12</f>
        <v>0</v>
      </c>
      <c r="IW99" s="309">
        <f t="shared" si="466"/>
        <v>1.7692183646420092</v>
      </c>
      <c r="IX99" s="309">
        <f t="shared" si="467"/>
        <v>18.046027319348493</v>
      </c>
      <c r="IY99" s="339">
        <f>各项系数!$F$76/4*($NB99^2-$MZ99^2*$EG99-$NA99^2*$EO99)*10^-2</f>
        <v>31.998693192051714</v>
      </c>
      <c r="IZ99" s="284">
        <f t="shared" si="487"/>
        <v>1</v>
      </c>
      <c r="JA99" s="285">
        <f t="shared" si="363"/>
        <v>31.998693192051714</v>
      </c>
      <c r="JB99" s="289">
        <f>IF($DE99&lt;&gt;$JB$9,0,$JA99*各项系数!$F$32*10^-3*10^2)*各项系数!$J$4</f>
        <v>0</v>
      </c>
      <c r="JC99" s="106">
        <v>1</v>
      </c>
      <c r="JD99" s="78">
        <f t="shared" si="468"/>
        <v>0</v>
      </c>
      <c r="JE99" s="264">
        <f>JD99*各项系数!$E$32</f>
        <v>0</v>
      </c>
      <c r="JF99" s="282">
        <f>IF($DE99&lt;&gt;$JF$9,0,$JA99*VLOOKUP($JF$9,各项系数!$D$4:$F$540,2,0)*10^-3*10^2)*各项系数!$J$4</f>
        <v>15.919349863045728</v>
      </c>
      <c r="JG99" s="102">
        <v>1</v>
      </c>
      <c r="JH99" s="189">
        <f t="shared" si="364"/>
        <v>15.919349863045728</v>
      </c>
      <c r="JI99" s="262">
        <f>JH99*VLOOKUP($JF$9,各项系数!$D$4:$F$540,3,0)</f>
        <v>19.103219835654873</v>
      </c>
      <c r="JJ99" s="289">
        <f t="shared" si="469"/>
        <v>15.919349863045728</v>
      </c>
      <c r="JK99" s="78">
        <f t="shared" si="470"/>
        <v>19.103219835654873</v>
      </c>
      <c r="JL99" s="289">
        <f>IF($DF99&lt;&gt;$JL$9,0,各项系数!$F$76/4*($NE99^2-$NC99^2)*10^-2*各项系数!$F$39*10^-3*10^2)*各项系数!$J$4</f>
        <v>1.2829213417357077E-2</v>
      </c>
      <c r="JM99" s="106">
        <v>1</v>
      </c>
      <c r="JN99" s="78">
        <f t="shared" si="471"/>
        <v>1.2829213417357077E-2</v>
      </c>
      <c r="JO99" s="264">
        <f>JN99*各项系数!$E$39</f>
        <v>0.25658426834714154</v>
      </c>
      <c r="JP99" s="289">
        <f>IF($DF99&lt;&gt;$JP$9,0,各项系数!$F$76/4*($NE99^2-$NC99^2)*10^-2*各项系数!$F$36*10^-3*10^2)*各项系数!$J$4</f>
        <v>0</v>
      </c>
      <c r="JQ99" s="106">
        <v>1</v>
      </c>
      <c r="JR99" s="78">
        <f t="shared" si="472"/>
        <v>0</v>
      </c>
      <c r="JS99" s="264">
        <f>JR99*各项系数!$E$36</f>
        <v>0</v>
      </c>
      <c r="JT99" s="289">
        <f>IF($DF99&lt;&gt;$JT$9,0,各项系数!$F$76/4*($NE99^2-$NC99^2)*10^-2*各项系数!$F$40*10^-3*10^2)*各项系数!$J$4</f>
        <v>0</v>
      </c>
      <c r="JU99" s="106">
        <v>1</v>
      </c>
      <c r="JV99" s="78">
        <f t="shared" si="473"/>
        <v>0</v>
      </c>
      <c r="JW99" s="264">
        <f>JV99*各项系数!$E$40</f>
        <v>0</v>
      </c>
      <c r="JX99" s="289">
        <f>IF($DF99&lt;&gt;$JX$9,0,各项系数!$F$76/4*($NE99^2-$NC99^2)*10^-2*各项系数!$F$38*10^-3*10^2)*各项系数!$J$4</f>
        <v>0</v>
      </c>
      <c r="JY99" s="106">
        <v>1</v>
      </c>
      <c r="JZ99" s="78">
        <f t="shared" si="474"/>
        <v>0</v>
      </c>
      <c r="KA99" s="264">
        <f>JZ99*各项系数!$E$38</f>
        <v>0</v>
      </c>
      <c r="KB99" s="289">
        <f>IF($DF99&lt;&gt;$KB$9,0,各项系数!$F$76/4*($NE99^2-$NC99^2)*10^-2*各项系数!$F$41*10^-3*10^2)*各项系数!$J$4</f>
        <v>0</v>
      </c>
      <c r="KC99" s="106">
        <v>1</v>
      </c>
      <c r="KD99" s="78">
        <f t="shared" si="475"/>
        <v>0</v>
      </c>
      <c r="KE99" s="264">
        <f>KD99*各项系数!$E$41</f>
        <v>0</v>
      </c>
      <c r="KF99" s="78">
        <f t="shared" si="476"/>
        <v>1.2829213417357077E-2</v>
      </c>
      <c r="KG99" s="78">
        <f t="shared" si="477"/>
        <v>0.25658426834714154</v>
      </c>
      <c r="KH99" s="237">
        <f>各项系数!$F$76/4*($NG99^2-$NE99^2)*10^-2*各项系数!$F$44*10^-3*10^2*各项系数!$J$4*0.75*$U99</f>
        <v>3.1590640032566268</v>
      </c>
      <c r="KI99" s="106">
        <v>1</v>
      </c>
      <c r="KJ99" s="78">
        <f t="shared" si="478"/>
        <v>3.1590640032566268</v>
      </c>
      <c r="KK99" s="78">
        <f>ROUND(KJ99*各项系数!$E$43,GT99)</f>
        <v>18</v>
      </c>
      <c r="KL99" s="235">
        <f>各项系数!$F$76/4*($NF99^2-$NE99^2)*10^-2*各项系数!$F$46*10^-3*10^2*各项系数!$J$4*PI()/4*R99</f>
        <v>0.15952559141844147</v>
      </c>
      <c r="KM99" s="106">
        <v>1</v>
      </c>
      <c r="KN99" s="78">
        <f t="shared" si="479"/>
        <v>0.15952559141844147</v>
      </c>
      <c r="KO99" s="78">
        <f>KN99*各项系数!$E$46</f>
        <v>10.767977420744799</v>
      </c>
      <c r="KP99" s="237">
        <f>各项系数!$F$76/4*($NH99^2-$NE99^2)*10^-2*(VLOOKUP($KP$9,各项系数!$D$1:$F$143,3,0))*10^-3*10^2*各项系数!$J$4</f>
        <v>2.363764723532856</v>
      </c>
      <c r="KQ99" s="106">
        <v>1</v>
      </c>
      <c r="KR99" s="78">
        <f t="shared" si="416"/>
        <v>2.363764723532856</v>
      </c>
      <c r="KS99" s="78">
        <f>KR99*(VLOOKUP($KP$9,各项系数!$D$1:$F$143,2,0))</f>
        <v>40.18400030005855</v>
      </c>
      <c r="KT99" s="237">
        <f>各项系数!$F$76/4*($NI99^2-$NF99^2)*10^-2*(VLOOKUP($KT$9,各项系数!$D$1:$F$143,3,0))*10^-3*10^2*各项系数!$J$4</f>
        <v>2.3669556266247369</v>
      </c>
      <c r="KU99" s="106">
        <v>1</v>
      </c>
      <c r="KV99" s="78">
        <f t="shared" si="417"/>
        <v>2.3669556266247369</v>
      </c>
      <c r="KW99" s="78">
        <f>KV99*(VLOOKUP($KT$9,各项系数!$D$1:$F$143,2,0))</f>
        <v>40.238245652620527</v>
      </c>
      <c r="KX99" s="78">
        <f>各项系数!$F$76/4*($NH99^2-$NE99^2)*10^-2*(VLOOKUP($KX$9,各项系数!$D$1:$F$143,3,0))*10^-3*10^2*各项系数!$J$4</f>
        <v>2.363764723532856</v>
      </c>
      <c r="KY99" s="355">
        <v>1</v>
      </c>
      <c r="KZ99" s="78">
        <f t="shared" si="418"/>
        <v>2.363764723532856</v>
      </c>
      <c r="LA99" s="78">
        <f>KZ99*(VLOOKUP($KX$9,各项系数!$D$1:$F$143,2,0))</f>
        <v>40.18400030005855</v>
      </c>
      <c r="LB99" s="78">
        <f>各项系数!$F$76/4*($NI99^2-$NF99^2)*10^-2*(VLOOKUP($LB$9,各项系数!$D$1:$F$143,3,0))*10^-3*10^2*各项系数!$J$4</f>
        <v>2.3669556266247369</v>
      </c>
      <c r="LC99" s="355">
        <v>1</v>
      </c>
      <c r="LD99" s="78">
        <f t="shared" si="419"/>
        <v>2.3669556266247369</v>
      </c>
      <c r="LE99" s="78">
        <f>LD99*(VLOOKUP($LB$9,各项系数!$D$1:$F$143,2,0))</f>
        <v>40.238245652620527</v>
      </c>
      <c r="LF99" s="237">
        <f>各项系数!$F$76/4*($NH99^2-$NE99^2)*10^-2*(VLOOKUP(AN99,各项系数!$D$1:$F$143,3,0))*10^-3*10^2*各项系数!$J$4</f>
        <v>2.3963683748919298</v>
      </c>
      <c r="LG99" s="106">
        <v>1</v>
      </c>
      <c r="LH99" s="78">
        <f t="shared" si="480"/>
        <v>2.3963683748919298</v>
      </c>
      <c r="LI99" s="78">
        <f>LH99*(VLOOKUP(AN99,各项系数!$D$1:$F$143,2,0))</f>
        <v>23.963683748919298</v>
      </c>
      <c r="LJ99" s="237">
        <f>各项系数!$F$76/4*($NI99^2-$NF99^2)*10^-2*(VLOOKUP(AN99,各项系数!$D$1:$F$143,3,0))*10^-3*10^2*各项系数!$J$4</f>
        <v>2.3996032904402504</v>
      </c>
      <c r="LK99" s="106">
        <v>1</v>
      </c>
      <c r="LL99" s="78">
        <f t="shared" si="481"/>
        <v>2.3996032904402504</v>
      </c>
      <c r="LM99" s="78">
        <f>LL99*(VLOOKUP(AN99,各项系数!$D$1:$F$143,2,0))</f>
        <v>23.996032904402504</v>
      </c>
      <c r="LN99" s="78">
        <f>各项系数!$F$76/4*($NH99^2-$NE99^2)*10^-2*(VLOOKUP($LN$9,各项系数!$D$1:$F$143,3,0))*10^-3*10^2*各项系数!$J$4</f>
        <v>2.3963683748919298</v>
      </c>
      <c r="LO99" s="355">
        <v>1</v>
      </c>
      <c r="LP99" s="78">
        <f t="shared" si="482"/>
        <v>2.3963683748919298</v>
      </c>
      <c r="LQ99" s="78">
        <f>LP99*(VLOOKUP($LN$9,各项系数!$D$1:$F$143,2,0))</f>
        <v>26.360052123811229</v>
      </c>
      <c r="LR99" s="78">
        <f>各项系数!$F$76/4*($NI99^2-$NF99^2)*10^-2*(VLOOKUP($LR$9,各项系数!$D$1:$F$143,3,0))*10^-3*10^2*各项系数!$J$4</f>
        <v>2.3996032904402504</v>
      </c>
      <c r="LS99" s="355">
        <v>1</v>
      </c>
      <c r="LT99" s="78">
        <f t="shared" si="483"/>
        <v>2.3996032904402504</v>
      </c>
      <c r="LU99" s="78">
        <f>LT99*(VLOOKUP($LR$9,各项系数!$D$1:$F$143,2,0))</f>
        <v>26.395636194842755</v>
      </c>
      <c r="LV99" s="367">
        <f t="shared" si="420"/>
        <v>5197.3025984200003</v>
      </c>
      <c r="LW99" s="367">
        <f t="shared" si="421"/>
        <v>3914.0180062200002</v>
      </c>
      <c r="LX99" s="367">
        <f t="shared" si="422"/>
        <v>70.593785167851578</v>
      </c>
      <c r="LY99" s="367">
        <f t="shared" si="423"/>
        <v>1283.2845922000001</v>
      </c>
      <c r="LZ99" s="374">
        <f t="shared" si="365"/>
        <v>1</v>
      </c>
      <c r="MA99" s="375">
        <f t="shared" si="366"/>
        <v>5197.3025984200003</v>
      </c>
      <c r="MB99" s="367">
        <f t="shared" si="424"/>
        <v>36.379695419999997</v>
      </c>
      <c r="MC99" s="367">
        <f t="shared" si="425"/>
        <v>0</v>
      </c>
      <c r="MD99" s="367">
        <f t="shared" si="426"/>
        <v>0</v>
      </c>
      <c r="ME99" s="367">
        <f t="shared" si="427"/>
        <v>0</v>
      </c>
      <c r="MF99" s="367">
        <f t="shared" si="428"/>
        <v>0</v>
      </c>
      <c r="MG99" s="379">
        <f t="shared" si="429"/>
        <v>1</v>
      </c>
      <c r="MH99" s="375">
        <f t="shared" si="367"/>
        <v>0</v>
      </c>
      <c r="MI99" s="367">
        <f t="shared" si="430"/>
        <v>0</v>
      </c>
      <c r="MJ99" s="78">
        <f t="shared" si="368"/>
        <v>36.379695419999997</v>
      </c>
      <c r="MK99" s="78">
        <f t="shared" si="431"/>
        <v>36.379695419999997</v>
      </c>
      <c r="ML99" s="78">
        <f t="shared" si="484"/>
        <v>0</v>
      </c>
      <c r="MM99" s="78">
        <f t="shared" si="369"/>
        <v>0</v>
      </c>
      <c r="MN99" s="78">
        <f t="shared" si="370"/>
        <v>41.57969542</v>
      </c>
      <c r="MO99" s="189">
        <f t="shared" si="432"/>
        <v>0</v>
      </c>
      <c r="MP99" s="78">
        <f t="shared" si="433"/>
        <v>112.26517763</v>
      </c>
      <c r="MQ99" s="78">
        <f t="shared" si="485"/>
        <v>112.26517763</v>
      </c>
      <c r="MR99" s="246">
        <f t="shared" si="434"/>
        <v>112.26517763</v>
      </c>
      <c r="MS99" s="380">
        <f t="shared" si="371"/>
        <v>112.44117763</v>
      </c>
      <c r="MT99" s="382">
        <f t="shared" si="372"/>
        <v>112.60117763</v>
      </c>
      <c r="MU99" s="382">
        <f t="shared" si="373"/>
        <v>113.94117763</v>
      </c>
      <c r="MV99" s="382">
        <f t="shared" si="374"/>
        <v>121.24117763</v>
      </c>
      <c r="MW99" s="382">
        <f t="shared" si="375"/>
        <v>121.40117762999999</v>
      </c>
      <c r="MX99" s="246">
        <f t="shared" si="376"/>
        <v>36.979695419999999</v>
      </c>
      <c r="MY99" s="246">
        <f t="shared" si="377"/>
        <v>0</v>
      </c>
      <c r="MZ99" s="78">
        <f t="shared" si="378"/>
        <v>42.179695420000002</v>
      </c>
      <c r="NA99" s="78">
        <f t="shared" si="379"/>
        <v>0</v>
      </c>
      <c r="NB99" s="78">
        <f t="shared" si="435"/>
        <v>113.88517763</v>
      </c>
      <c r="NC99" s="246">
        <f t="shared" si="486"/>
        <v>113.88517763</v>
      </c>
      <c r="ND99" s="246">
        <f t="shared" si="436"/>
        <v>113.88517763</v>
      </c>
      <c r="NE99" s="386">
        <f t="shared" si="437"/>
        <v>114.12517763</v>
      </c>
      <c r="NF99" s="382">
        <f t="shared" si="380"/>
        <v>114.28517762999999</v>
      </c>
      <c r="NG99" s="150">
        <f t="shared" si="381"/>
        <v>115.62517763</v>
      </c>
      <c r="NH99" s="246">
        <f t="shared" si="382"/>
        <v>122.92517762999999</v>
      </c>
      <c r="NI99" s="382">
        <f t="shared" si="383"/>
        <v>123.08517762999999</v>
      </c>
      <c r="NK99" s="390">
        <f t="shared" si="384"/>
        <v>43.508327979149271</v>
      </c>
      <c r="NL99" s="390">
        <f t="shared" si="385"/>
        <v>2388.6776028545742</v>
      </c>
      <c r="NM99" s="390">
        <f t="shared" si="386"/>
        <v>43.508327979149271</v>
      </c>
      <c r="NN99" s="390">
        <f t="shared" si="387"/>
        <v>2391.0399237433203</v>
      </c>
      <c r="NO99" s="390">
        <f t="shared" si="388"/>
        <v>56.016034084231165</v>
      </c>
      <c r="NP99" s="390">
        <f t="shared" si="389"/>
        <v>2403.5680133286378</v>
      </c>
      <c r="NQ99" s="390">
        <f t="shared" si="390"/>
        <v>56.016034084231165</v>
      </c>
      <c r="NR99" s="390">
        <f t="shared" si="391"/>
        <v>2405.9643817035294</v>
      </c>
      <c r="NS99" s="390">
        <f t="shared" si="392"/>
        <v>43.665501303345479</v>
      </c>
      <c r="NT99" s="390">
        <f t="shared" si="393"/>
        <v>43.665501303345479</v>
      </c>
      <c r="NU99" s="390">
        <f t="shared" si="394"/>
        <v>56.175559675649609</v>
      </c>
      <c r="NV99" s="390">
        <f t="shared" si="395"/>
        <v>56.175559675649609</v>
      </c>
      <c r="NW99" s="9">
        <f t="shared" si="396"/>
        <v>45.583497347701503</v>
      </c>
      <c r="NX99" s="9">
        <f>各项系数!$M$9*NK99</f>
        <v>13.052498393744781</v>
      </c>
      <c r="NY99" s="9">
        <f t="shared" si="397"/>
        <v>43.665501303345472</v>
      </c>
    </row>
    <row r="100" spans="1:389" s="9" customFormat="1" ht="15" hidden="1" customHeight="1">
      <c r="A100" s="65"/>
      <c r="B100" s="66"/>
      <c r="C100" s="67"/>
      <c r="D100" s="58" t="s">
        <v>299</v>
      </c>
      <c r="E100" s="399">
        <f t="shared" si="325"/>
        <v>15.92196671</v>
      </c>
      <c r="F100" s="68">
        <f>$F$20</f>
        <v>131.13029499843299</v>
      </c>
      <c r="G100" s="58"/>
      <c r="H100" s="62"/>
      <c r="I100" s="145">
        <f>$F$203</f>
        <v>267.425148012862</v>
      </c>
      <c r="J100" s="62"/>
      <c r="K100" s="62"/>
      <c r="L100" s="107" t="s">
        <v>467</v>
      </c>
      <c r="M100" s="98">
        <f t="shared" si="339"/>
        <v>0.7</v>
      </c>
      <c r="N100" s="98">
        <f t="shared" si="340"/>
        <v>0.7</v>
      </c>
      <c r="O100" s="58">
        <f t="shared" si="493"/>
        <v>0.08</v>
      </c>
      <c r="P100" s="99">
        <v>0.1</v>
      </c>
      <c r="Q100" s="136">
        <f t="shared" si="489"/>
        <v>0.1</v>
      </c>
      <c r="R100" s="151">
        <v>0.8</v>
      </c>
      <c r="S100" s="144" t="str">
        <f>各项系数!$D$43</f>
        <v>钢带</v>
      </c>
      <c r="T100" s="62">
        <v>0.2</v>
      </c>
      <c r="U100" s="62">
        <v>2</v>
      </c>
      <c r="V100" s="137"/>
      <c r="W100" s="98">
        <v>1.8</v>
      </c>
      <c r="X100" s="139">
        <f t="shared" si="490"/>
        <v>0.2</v>
      </c>
      <c r="Y100" s="139"/>
      <c r="Z100" s="169"/>
      <c r="AA100" s="170">
        <f>$AA$20</f>
        <v>1.0109999999999999</v>
      </c>
      <c r="AB100" s="153">
        <f>PI()*EJ100*EJ100/4*EH100*(1-H100)*AA100*各项系数!$F$5*各项系数!$J$4*10^-7</f>
        <v>8.4541508952717087E-2</v>
      </c>
      <c r="AC100" s="170">
        <f t="shared" si="327"/>
        <v>131.13029499843299</v>
      </c>
      <c r="AD100" s="153">
        <f t="shared" si="341"/>
        <v>9.5575186339704263</v>
      </c>
      <c r="AE100" s="153">
        <f>POWER(4*EU100/PI()/EG100/10^-7/EH100/(1-H100)/各项系数!$F$5/各项系数!$J$4,0.5)</f>
        <v>131.84953910919143</v>
      </c>
      <c r="AF100" s="16">
        <f>$AA$203</f>
        <v>1</v>
      </c>
      <c r="AG100" s="16">
        <f>IF(EM100=0,0,PI()*ER100*ER100/4*EP100*(1-K100)*(1+AF100)*各项系数!$F$5*各项系数!$J$4*10^-7)</f>
        <v>9.9368608542059311E-2</v>
      </c>
      <c r="AH100" s="16">
        <f t="shared" si="328"/>
        <v>267.425148012862</v>
      </c>
      <c r="AI100" s="69">
        <f t="shared" si="398"/>
        <v>5.6168699821977874</v>
      </c>
      <c r="AJ100" s="69">
        <f>IF(OR(EP100="",EP100=0),0,POWER(4*EW100/PI()/EO100/10^-7/EP100/(1-K100)/各项系数!$F$5/各项系数!$J$4,0.5))</f>
        <v>267.42514801286194</v>
      </c>
      <c r="AK100" s="16">
        <f t="shared" si="342"/>
        <v>0.30330883112918094</v>
      </c>
      <c r="AL100" s="16">
        <f t="shared" si="329"/>
        <v>22.366436999384991</v>
      </c>
      <c r="AM100" s="106">
        <f t="shared" si="330"/>
        <v>10</v>
      </c>
      <c r="AN100" s="107" t="s">
        <v>486</v>
      </c>
      <c r="AO100" s="146">
        <f>AP100+各项系数!$M$9*$NK100</f>
        <v>21.927879411161754</v>
      </c>
      <c r="AP100" s="146">
        <f>AQ100*(1+$BI100+(VLOOKUP($AM100,$A$12:$B$323,2,0))+各项系数!$J$6+各项系数!$M$5)*(1+$E$2)</f>
        <v>21.7731138441209</v>
      </c>
      <c r="AQ100" s="199">
        <f>AR100+各项系数!$L$9*$NK100</f>
        <v>22.217463106245816</v>
      </c>
      <c r="AR100" s="199">
        <f>AS100*(1+$BJ100+各项系数!$J$5+各项系数!$L$5)</f>
        <v>22.062697539204962</v>
      </c>
      <c r="AS100" s="199">
        <f t="shared" si="399"/>
        <v>21.63009562667153</v>
      </c>
      <c r="AT100" s="146">
        <f>AU100+各项系数!$M$9*$NM100</f>
        <v>22.7181757502183</v>
      </c>
      <c r="AU100" s="146">
        <f>AV100*(1+$BI100+(VLOOKUP($AM100,$A$12:$B$323,2,0))+各项系数!$J$6+各项系数!$M$5)*(1+$E$2)</f>
        <v>22.563410183177446</v>
      </c>
      <c r="AV100" s="199">
        <f>AW100+各项系数!$L$9*$NM100</f>
        <v>23.023887942017801</v>
      </c>
      <c r="AW100" s="199">
        <f>AX100*(1+$BJ100+各项系数!$J$5+各项系数!$L$5)</f>
        <v>22.869122374976946</v>
      </c>
      <c r="AX100" s="199">
        <f t="shared" si="400"/>
        <v>22.420708210761713</v>
      </c>
      <c r="AY100" s="146">
        <f>AZ100+各项系数!$M$9*$NS100</f>
        <v>23.120265154550847</v>
      </c>
      <c r="AZ100" s="146">
        <f>BA100*(1+$BI100+(VLOOKUP($AM100,$A$12:$B$214,2,0))+各项系数!$J$6+各项系数!$M$5)*(1+$E$2)</f>
        <v>22.960302543605621</v>
      </c>
      <c r="BA100" s="199">
        <f>BB100+各项系数!$L$9*$NS100</f>
        <v>23.428880146536347</v>
      </c>
      <c r="BB100" s="199">
        <f>BC100*(1+$BJ100+各项系数!$J$5+各项系数!$L$5)</f>
        <v>23.268917535591122</v>
      </c>
      <c r="BC100" s="199">
        <f t="shared" si="401"/>
        <v>22.81266425057953</v>
      </c>
      <c r="BD100" s="146">
        <f>BE100+各项系数!$M$9*$NS100</f>
        <v>23.919515445761913</v>
      </c>
      <c r="BE100" s="146">
        <f>BF100*(1+$BI100+(VLOOKUP($AM100,$A$12:$B$214,2,0))+各项系数!$J$6+各项系数!$M$5)*(1+$E$2)</f>
        <v>23.759552834816688</v>
      </c>
      <c r="BF100" s="199">
        <f>BG100+各项系数!$L$9*$NS100</f>
        <v>24.244441668180293</v>
      </c>
      <c r="BG100" s="199">
        <f>BH100*(1+$BJ100+各项系数!$J$5+各项系数!$L$5)</f>
        <v>24.084479057235068</v>
      </c>
      <c r="BH100" s="199">
        <f t="shared" si="402"/>
        <v>23.612234369838301</v>
      </c>
      <c r="BI100" s="214"/>
      <c r="BJ100" s="215"/>
      <c r="BK100" s="78" t="s">
        <v>514</v>
      </c>
      <c r="BL100" s="146">
        <f>BM100+各项系数!$M$9*$NM100</f>
        <v>22.257756376775447</v>
      </c>
      <c r="BM100" s="146">
        <f>BN100*(1+$CF100+(VLOOKUP($AM100,$A$12:$B$323,2,0))+各项系数!$J$6+各项系数!$M$5)*(1+$E$2)</f>
        <v>22.102990809734592</v>
      </c>
      <c r="BN100" s="199">
        <f>BO100+各项系数!$L$9*$NM100</f>
        <v>22.554072254831219</v>
      </c>
      <c r="BO100" s="199">
        <f>BP100*(1+$CG100+各项系数!$J$5+各项系数!$L$5)</f>
        <v>22.399306687790364</v>
      </c>
      <c r="BP100" s="199">
        <f t="shared" si="403"/>
        <v>21.746899696883847</v>
      </c>
      <c r="BQ100" s="146">
        <f>BR100+各项系数!$M$9*$NM100</f>
        <v>22.937898690683763</v>
      </c>
      <c r="BR100" s="146">
        <f>BS100*(1+$CF100+(VLOOKUP($AM100,$A$12:$B$323,2,0))+各项系数!$J$6+各项系数!$M$5)*(1+$E$2)</f>
        <v>22.783133123642909</v>
      </c>
      <c r="BS100" s="199">
        <f>BT100+各项系数!$L$9*$NM100</f>
        <v>23.248095024125419</v>
      </c>
      <c r="BT100" s="199">
        <f>BU100*(1+$CG100+各项系数!$J$5+各项系数!$L$5)</f>
        <v>23.093329457084565</v>
      </c>
      <c r="BU100" s="199">
        <f t="shared" si="404"/>
        <v>22.420708210761713</v>
      </c>
      <c r="BV100" s="146">
        <f>BW100+各项系数!$M$9*$NT100</f>
        <v>23.314401883307585</v>
      </c>
      <c r="BW100" s="146">
        <f>BX100*(1+$CF100+(VLOOKUP($AM100,$A$12:$B$214,2,0))+各项系数!$J$6+各项系数!$M$5)*(1+$E$2)</f>
        <v>23.15443927236236</v>
      </c>
      <c r="BX100" s="199">
        <f>BY100+各项系数!$L$9*$NT$12</f>
        <v>23.626978849349346</v>
      </c>
      <c r="BY100" s="199">
        <f>BZ100*(1+$CG100+各项系数!$J$5+各项系数!$L$5)</f>
        <v>23.618715446194372</v>
      </c>
      <c r="BZ100" s="199">
        <f t="shared" si="343"/>
        <v>22.930791695334342</v>
      </c>
      <c r="CA100" s="146">
        <f>CB100+各项系数!$M$9*$NT100</f>
        <v>24.002250118951881</v>
      </c>
      <c r="CB100" s="146">
        <f>CC100*(1+$CF100+(VLOOKUP($AM100,$A$12:$B$214,2,0))+各项系数!$J$6+各项系数!$M$5)*(1+$E$2)</f>
        <v>23.842287508006656</v>
      </c>
      <c r="CC100" s="199">
        <f>CD100+各项系数!$L$9*$NT$12</f>
        <v>24.328864804088425</v>
      </c>
      <c r="CD100" s="199">
        <f>CE100*(1+$CG100+各项系数!$J$5+各项系数!$L$5)</f>
        <v>24.320601400933452</v>
      </c>
      <c r="CE100" s="199">
        <f t="shared" si="405"/>
        <v>23.612234369838301</v>
      </c>
      <c r="CF100" s="214">
        <f t="shared" si="406"/>
        <v>0</v>
      </c>
      <c r="CG100" s="214">
        <f t="shared" si="344"/>
        <v>0.01</v>
      </c>
      <c r="CH100" s="106"/>
      <c r="CI100" s="146">
        <f>CJ100+各项系数!$M$9*$NO100</f>
        <v>23.107983159694385</v>
      </c>
      <c r="CJ100" s="146">
        <f>CK100*(1+$DC100+(VLOOKUP($AM100,$A$12:$B$323,2,0))+各项系数!$J$6+各项系数!$M$5)*(1+$E$2)+各项系数!$M$9*$NK100</f>
        <v>22.88742625296986</v>
      </c>
      <c r="CK100" s="199">
        <f>CL100+各项系数!$L$9*$NO100</f>
        <v>23.196592536662251</v>
      </c>
      <c r="CL100" s="199">
        <f>CM100*(1+$DD100+各项系数!$J$5+各项系数!$L$5)</f>
        <v>22.976035629937726</v>
      </c>
      <c r="CM100" s="199">
        <f t="shared" si="345"/>
        <v>22.525525127389926</v>
      </c>
      <c r="CN100" s="146">
        <f>CO100+各项系数!$M$9*$NO100</f>
        <v>23.772939916744722</v>
      </c>
      <c r="CO100" s="146">
        <f>CP100*(1+$DC100+(VLOOKUP($AM100,$A$12:$B$323,2,0))+各项系数!$J$6+各项系数!$M$5)*(1+$E$2)+各项系数!$M$9*$NK100</f>
        <v>23.552383010020197</v>
      </c>
      <c r="CP100" s="199">
        <f>CQ100+各项系数!$L$9*$NO100</f>
        <v>23.87511983977484</v>
      </c>
      <c r="CQ100" s="199">
        <f>CR100*(1+$DD100+各项系数!$J$5+各项系数!$L$5)</f>
        <v>23.654562933050315</v>
      </c>
      <c r="CR100" s="199">
        <f t="shared" si="346"/>
        <v>23.190747973578741</v>
      </c>
      <c r="CS100" s="146">
        <f>CT100+各项系数!$M$9*$NU100</f>
        <v>24.289741963056947</v>
      </c>
      <c r="CT100" s="146">
        <f t="shared" si="347"/>
        <v>24.063352732658057</v>
      </c>
      <c r="CU100" s="199">
        <f>CV100+各项系数!$L$9*$NU100</f>
        <v>24.554441563936795</v>
      </c>
      <c r="CV100" s="199">
        <f>CW100*(1+$DD100+各项系数!$J$5+各项系数!$L$5)</f>
        <v>24.328052333537904</v>
      </c>
      <c r="CW100" s="199">
        <f t="shared" si="348"/>
        <v>23.851031699546965</v>
      </c>
      <c r="CX100" s="146">
        <f>CY100+各项系数!$M$9*$NU100</f>
        <v>25.173830950932086</v>
      </c>
      <c r="CY100" s="146">
        <f t="shared" si="349"/>
        <v>24.947441720533195</v>
      </c>
      <c r="CZ100" s="199">
        <f>DA100+各项系数!$L$9*$NU100</f>
        <v>25.456573184217547</v>
      </c>
      <c r="DA100" s="199">
        <f>DB100*(1+$DD100+各项系数!$J$5+各项系数!$L$5)</f>
        <v>25.230183953818656</v>
      </c>
      <c r="DB100" s="199">
        <f t="shared" si="350"/>
        <v>24.735474464528092</v>
      </c>
      <c r="DC100" s="214">
        <f t="shared" si="407"/>
        <v>0</v>
      </c>
      <c r="DD100" s="214">
        <f t="shared" si="351"/>
        <v>0</v>
      </c>
      <c r="DE100" s="78" t="s">
        <v>498</v>
      </c>
      <c r="DF100" s="78" t="s">
        <v>513</v>
      </c>
      <c r="DG100" s="146">
        <f>DH100+各项系数!$M$9*$NQ100</f>
        <v>23.459292174558882</v>
      </c>
      <c r="DH100" s="146">
        <f>DI100*(1+$EA100+(VLOOKUP($AM100,$A$12:$B$323,2,0))+各项系数!$J$6+各项系数!$M$5)*(1+$E$2)+各项系数!$M$9*$NK100</f>
        <v>23.238735267834358</v>
      </c>
      <c r="DI100" s="199">
        <f>DJ100+各项系数!$L$9*$NQ100</f>
        <v>23.555071123258678</v>
      </c>
      <c r="DJ100" s="199">
        <f>DK100*(1+$EB100+各项系数!$J$5+各项系数!$L$5)</f>
        <v>23.334514216534153</v>
      </c>
      <c r="DK100" s="199">
        <f t="shared" si="352"/>
        <v>22.65486817139238</v>
      </c>
      <c r="DL100" s="146">
        <f>DM100+各项系数!$M$9*$NQ100</f>
        <v>24.212448096915583</v>
      </c>
      <c r="DM100" s="146">
        <f>DN100*(1+$EA100+(VLOOKUP($AM100,$A$12:$B$323,2,0))+各项系数!$J$6+各项系数!$M$5)*(1+$E$2)+各项系数!$M$9*$NK100</f>
        <v>23.991891190191058</v>
      </c>
      <c r="DN100" s="199">
        <f>DO100+各项系数!$L$9*$NQ100</f>
        <v>24.323597574643067</v>
      </c>
      <c r="DO100" s="199">
        <f>DP100*(1+$EB100+各项系数!$J$5+各项系数!$L$5)</f>
        <v>24.103040667918542</v>
      </c>
      <c r="DP100" s="199">
        <f t="shared" si="353"/>
        <v>23.401010357202466</v>
      </c>
      <c r="DQ100" s="146">
        <f>DR100+各项系数!$M$9*$NV100</f>
        <v>24.655376756591782</v>
      </c>
      <c r="DR100" s="146">
        <f t="shared" si="354"/>
        <v>24.428987526192891</v>
      </c>
      <c r="DS100" s="199">
        <f>DT100+各项系数!$L$9*$NV100</f>
        <v>24.927538292033564</v>
      </c>
      <c r="DT100" s="199">
        <f>DU100*(1+$EB100+各项系数!$J$5+各项系数!$L$5)</f>
        <v>24.701149061634673</v>
      </c>
      <c r="DU100" s="199">
        <f t="shared" si="355"/>
        <v>23.981698118091916</v>
      </c>
      <c r="DV100" s="146">
        <f>DW100+各项系数!$M$9*$NV100</f>
        <v>24.897422677035873</v>
      </c>
      <c r="DW100" s="146">
        <f t="shared" si="356"/>
        <v>24.671033446636983</v>
      </c>
      <c r="DX100" s="199">
        <f>DY100+各项系数!$L$9*$NV100</f>
        <v>25.174523925139781</v>
      </c>
      <c r="DY100" s="199">
        <f>DZ100*(1+$EB100+各项系数!$J$5+各项系数!$L$5)</f>
        <v>24.94813469474089</v>
      </c>
      <c r="DZ100" s="199">
        <f t="shared" si="357"/>
        <v>24.221489994894068</v>
      </c>
      <c r="EA100" s="214">
        <f t="shared" si="492"/>
        <v>0</v>
      </c>
      <c r="EB100" s="214">
        <f t="shared" si="358"/>
        <v>0.01</v>
      </c>
      <c r="EC100" s="235" t="str">
        <f t="shared" si="408"/>
        <v>3+1</v>
      </c>
      <c r="ED100" s="237" t="str">
        <f t="shared" ref="ED100:ED125" si="494">IF(COUNTIF($D100,"*+*")&gt;0,MID($D100,1,FIND("+",$D100)-1),MID($D100,1,LEN($D100)))</f>
        <v>3*10</v>
      </c>
      <c r="EE100" s="78">
        <f t="shared" ref="EE100:EE157" si="495">IF($D100="",0,IF(COUNTIF($D100,"*+*")&gt;0,MID($D100,FIND("*",$D100)+1,FIND("+",$D100)-FIND("*",$D100)-1),RIGHT($D100,(LEN($D100)-FIND("*",$D100)))))*1</f>
        <v>10</v>
      </c>
      <c r="EF100" s="78" t="str">
        <f>LOOKUP(EH100,{1,7,10,14,19,24,30,37,48,61},{1,"1+6","2+8","4+10","1+6+12","2+8+14","4+10+16","1+6+12+18","3+9+15+21","1+6+12+18+24"})</f>
        <v>1+6</v>
      </c>
      <c r="EG100" s="106">
        <f t="shared" si="359"/>
        <v>3</v>
      </c>
      <c r="EH100" s="199">
        <f>VLOOKUP(EE100,各项系数!$B$87:$C$124,2,0)</f>
        <v>7</v>
      </c>
      <c r="EI100" s="106">
        <f>IF(EH100=0,0,VLOOKUP(EH100,各项系数!$D$142:$E$195,2,0))*1</f>
        <v>3</v>
      </c>
      <c r="EJ100" s="240">
        <f t="shared" si="409"/>
        <v>131.13029499843299</v>
      </c>
      <c r="EK100" s="78" t="str">
        <f t="shared" si="332"/>
        <v>1*6</v>
      </c>
      <c r="EL100" s="78" t="str">
        <f t="shared" si="360"/>
        <v>6</v>
      </c>
      <c r="EM100" s="78">
        <f t="shared" ref="EM100:EM125" si="496">EL100/1</f>
        <v>6</v>
      </c>
      <c r="EN100" s="78">
        <f>IF(EP100=0,0,LOOKUP(EP100,{1,7,10,14,19,24,30,37,48,61},{1,"1+6","2+8","4+10","1+6+12","2+8+14","4+10+16","1+6+12+18","3+9+15+21","1+6+12+18+24"}))</f>
        <v>1</v>
      </c>
      <c r="EO100" s="78" t="str">
        <f t="shared" si="334"/>
        <v>1</v>
      </c>
      <c r="EP100" s="78">
        <f>IF(EM100=0,0,IF(EM100&lt;10,1,IF(AND(EM100&gt;=10,EM100&lt;=35),7,LOOKUP(EM100,{50,70,95,120,150,185,240,300},{10,14,19,24,30,37,48,61})*1)))</f>
        <v>1</v>
      </c>
      <c r="EQ100" s="78">
        <f>IF(EP100=0,0,VLOOKUP(EP100,各项系数!$D$142:$E$195,2,0))*1</f>
        <v>1</v>
      </c>
      <c r="ER100" s="78">
        <f t="shared" si="335"/>
        <v>267.425148012862</v>
      </c>
      <c r="ES100" s="237">
        <f t="shared" ref="ES100:ES125" si="497">EO100+EG100</f>
        <v>4</v>
      </c>
      <c r="ET100" s="78">
        <f>VLOOKUP(ES100,各项系数!$D$142:$E$195,2,0)*1</f>
        <v>2.42</v>
      </c>
      <c r="EU100" s="243">
        <f>((各项系数!$F$76/4*$EJ100^2*$EG100*$EH100*1*10^-7)*(1-$H100)*AA100)*(VLOOKUP($EY$9,各项系数!$D$4:$F$143,3,0))*各项系数!$J$4</f>
        <v>0.25362452685815129</v>
      </c>
      <c r="EV100" s="244">
        <f>EU100*(VLOOKUP($EY$9,各项系数!$D$4:$F$143,2,0))</f>
        <v>16.61240650920891</v>
      </c>
      <c r="EW100" s="252">
        <f>(IF($EO100=0,0,(各项系数!$F$76/4*$ER100^2*$EO100*$EP100*1*10^-7))*(1-$K100)*$AF100)*(VLOOKUP($EY$9,各项系数!$D$4:$F$143,3,0))*各项系数!$J$4</f>
        <v>4.9684304271029649E-2</v>
      </c>
      <c r="EX100" s="253">
        <f>EW100*(VLOOKUP($EY$9,各项系数!$D$4:$F$143,2,0))</f>
        <v>3.2543219297524422</v>
      </c>
      <c r="EY100" s="189">
        <f>((各项系数!$F$76/4*$EJ100^2*$EG100*$EH100*1*10^-7)*(1-$H100)*AA100+IF($EO100=0,0,(各项系数!$F$76/4*$ER100^2*$EO100*$EP100*1*10^-7))*(1-$K100)*$AF100)*(VLOOKUP($EY$9,各项系数!$D$4:$F$143,3,0))*各项系数!$J$4</f>
        <v>0.30330883112918094</v>
      </c>
      <c r="EZ100" s="106">
        <v>1</v>
      </c>
      <c r="FA100" s="78">
        <f t="shared" si="445"/>
        <v>0.30330883112918094</v>
      </c>
      <c r="FB100" s="246">
        <f>FA100*(VLOOKUP($EY$9,各项系数!$D$4:$F$143,2,0))</f>
        <v>19.866728438961353</v>
      </c>
      <c r="FC100" s="257"/>
      <c r="FD100" s="237">
        <f>各项系数!$F$76/4*($MN100^2-MK100^2)*10^-2*(VLOOKUP(L100,各项系数!$D$1:$F$143,3,0))*10^-3*10^2*$EG100*各项系数!$J$4</f>
        <v>3.3460499527598012E-2</v>
      </c>
      <c r="FE100" s="264">
        <f>FD100*VLOOKUP(L100,各项系数!$D$1:$F$143,2,0)</f>
        <v>0.3412970951814997</v>
      </c>
      <c r="FF100" s="106">
        <f>各项系数!$F$76/4*($MO100^2-ML100^2)*10^-2*(VLOOKUP(L100,各项系数!$D$1:$F$143,3,0))*10^-3*10^2*$EO100*各项系数!$J$4</f>
        <v>8.1215911994682258E-3</v>
      </c>
      <c r="FG100" s="264">
        <f>FF100*VLOOKUP(L100,各项系数!$D$1:$F$143,2,0)</f>
        <v>8.2840230234575901E-2</v>
      </c>
      <c r="FH100" s="237">
        <f t="shared" si="410"/>
        <v>4.1582090727066236E-2</v>
      </c>
      <c r="FI100" s="106">
        <v>1</v>
      </c>
      <c r="FJ100" s="78">
        <f t="shared" si="446"/>
        <v>4.1582090727066236E-2</v>
      </c>
      <c r="FK100" s="264">
        <f>FJ100*VLOOKUP(L100,各项系数!$D$1:$F$143,2,0)</f>
        <v>0.42413732541607557</v>
      </c>
      <c r="FL100" s="237"/>
      <c r="FM100" s="106"/>
      <c r="FN100" s="78"/>
      <c r="FO100" s="264"/>
      <c r="FP100" s="289">
        <f t="shared" si="447"/>
        <v>4.1582090727066236E-2</v>
      </c>
      <c r="FQ100" s="289">
        <f t="shared" si="448"/>
        <v>0.42413732541607557</v>
      </c>
      <c r="FR100" s="283">
        <f>各项系数!$F$76/4*($MQ100^2-$MN100^2*$EG100-$MO100^2*$EO100)*10^-2</f>
        <v>0.35793132195336902</v>
      </c>
      <c r="FS100" s="284">
        <f t="shared" si="411"/>
        <v>1</v>
      </c>
      <c r="FT100" s="285">
        <f t="shared" si="361"/>
        <v>0.35793132195336902</v>
      </c>
      <c r="FU100" s="309">
        <f>$FT100*(VLOOKUP($FT$9,各项系数!$D$1:$F$143,3,0))*10^-3*10^2*各项系数!$J$55</f>
        <v>4.2736999841232255E-2</v>
      </c>
      <c r="FV100" s="310">
        <v>1</v>
      </c>
      <c r="FW100" s="311">
        <f t="shared" si="449"/>
        <v>4.2736999841232255E-2</v>
      </c>
      <c r="FX100" s="290">
        <f>FW100*(VLOOKUP($FT$9,各项系数!$D$1:$F$143,2,0))</f>
        <v>0.12821099952369677</v>
      </c>
      <c r="FY100" s="309">
        <f>IF($BK100&lt;&gt;$FY$9,0,各项系数!$F$76/4*($MS100^2-$MQ100^2)*10^-2*(VLOOKUP($FY$9,各项系数!$D$1:$F$143,3,0))*10^-3*10^2)*各项系数!$J$4</f>
        <v>0</v>
      </c>
      <c r="FZ100" s="310">
        <v>1</v>
      </c>
      <c r="GA100" s="311">
        <f t="shared" si="450"/>
        <v>0</v>
      </c>
      <c r="GB100" s="290">
        <f>GA100*(VLOOKUP($FY$9,各项系数!$D$1:$F$143,2,0))</f>
        <v>0</v>
      </c>
      <c r="GC100" s="309">
        <f>IF($BK100&lt;&gt;$GC$9,0,各项系数!$F$76/4*($MS100^2-$MQ100^2)*10^-2*(VLOOKUP($GC$9,各项系数!$D$1:$F$143,3,0))*10^-3*10^2)*各项系数!$J$4</f>
        <v>3.331640360249436E-3</v>
      </c>
      <c r="GD100" s="310">
        <v>1</v>
      </c>
      <c r="GE100" s="311">
        <f t="shared" si="451"/>
        <v>3.331640360249436E-3</v>
      </c>
      <c r="GF100" s="290">
        <f>GE100*(VLOOKUP($GC$9,各项系数!$D$1:$F$143,2,0))</f>
        <v>4.2978160647217725E-2</v>
      </c>
      <c r="GG100" s="309">
        <f>IF($BK100&lt;&gt;$GG$9,0,各项系数!$F$76/4*($MS100^2-$MQ100^2)*10^-2*(VLOOKUP($GG$9,各项系数!$D$1:$F$143,3,0))*10^-3*10^2)*各项系数!$J$4</f>
        <v>0</v>
      </c>
      <c r="GH100" s="310">
        <v>1</v>
      </c>
      <c r="GI100" s="311">
        <f t="shared" si="452"/>
        <v>0</v>
      </c>
      <c r="GJ100" s="290">
        <f>GI100*(VLOOKUP($GG$9,各项系数!$D$1:$F$143,2,0))</f>
        <v>0</v>
      </c>
      <c r="GK100" s="309">
        <f>IF($BK100&lt;&gt;$GK$9,0,各项系数!$F$76/4*($MS100^2-$MQ100^2)*10^-2*(VLOOKUP($GK$9,各项系数!$D$1:$F$143,3,0))*10^-3*10^2)*各项系数!$J$4</f>
        <v>0</v>
      </c>
      <c r="GL100" s="310">
        <v>1</v>
      </c>
      <c r="GM100" s="311">
        <f t="shared" si="453"/>
        <v>0</v>
      </c>
      <c r="GN100" s="290">
        <f>GM100*(VLOOKUP($GK$9,各项系数!$D$1:$F$143,2,0))</f>
        <v>0</v>
      </c>
      <c r="GO100" s="311">
        <f t="shared" si="454"/>
        <v>3.331640360249436E-3</v>
      </c>
      <c r="GP100" s="311">
        <f t="shared" si="455"/>
        <v>4.2978160647217725E-2</v>
      </c>
      <c r="GQ100" s="317">
        <f>各项系数!$F$76/4*($MU100^2-$MS100^2)*10^-2*(VLOOKUP($S100,各项系数!$D$1:$F$143,3,0))*10^-3*10^2*各项系数!$J$4</f>
        <v>9.2560990126269171E-2</v>
      </c>
      <c r="GR100" s="310">
        <v>1</v>
      </c>
      <c r="GS100" s="311">
        <f t="shared" si="456"/>
        <v>9.2560990126269171E-2</v>
      </c>
      <c r="GT100" s="311">
        <f t="shared" si="457"/>
        <v>0</v>
      </c>
      <c r="GU100" s="311">
        <f>ROUND($GS100*(VLOOKUP($S100,各项系数!$D$1:$F$143,2,0))+$E$3*GS100,GT100)</f>
        <v>1</v>
      </c>
      <c r="GV100" s="315">
        <f>各项系数!$F$76/4*($MT100^2-$MS100^2)*10^-2*(VLOOKUP($GV$9,各项系数!$D$1:$F$143,3,0))*10^-3*10^2*各项系数!$J$4*PI()/4*R100</f>
        <v>1.7323479681230457E-2</v>
      </c>
      <c r="GW100" s="310">
        <v>1</v>
      </c>
      <c r="GX100" s="311">
        <f t="shared" si="458"/>
        <v>1.7323479681230457E-2</v>
      </c>
      <c r="GY100" s="311">
        <f>$GX100*(VLOOKUP($GV$9,各项系数!$D$1:$F$143,2,0))</f>
        <v>1.1693348784830557</v>
      </c>
      <c r="GZ100" s="317">
        <f>各项系数!$F$76/4*($MV100^2-$MS100^2)*10^-2*(VLOOKUP($GZ$9,各项系数!$D$1:$F$143,3,0))*10^-3*10^2*各项系数!$J$4</f>
        <v>0.11521489918902196</v>
      </c>
      <c r="HA100" s="310">
        <v>1</v>
      </c>
      <c r="HB100" s="311">
        <f t="shared" si="412"/>
        <v>0.11521489918902196</v>
      </c>
      <c r="HC100" s="311">
        <f>HB100*(VLOOKUP($GZ$9,各项系数!$D$1:$F$143,2,0))</f>
        <v>1.9586532862133734</v>
      </c>
      <c r="HD100" s="317">
        <f>各项系数!$F$76/4*($MW100^2-$MT100^2)*10^-2*(VLOOKUP($HD$9,各项系数!$D$1:$F$143,3,0))*10^-3*10^2*各项系数!$J$4</f>
        <v>0.11652026863570031</v>
      </c>
      <c r="HE100" s="310">
        <v>1</v>
      </c>
      <c r="HF100" s="311">
        <f t="shared" si="413"/>
        <v>0.11652026863570031</v>
      </c>
      <c r="HG100" s="311">
        <f>HF100*(VLOOKUP($HD$9,各项系数!$D$1:$F$143,2,0))</f>
        <v>1.9808445668069052</v>
      </c>
      <c r="HH100" s="317">
        <f>各项系数!$F$76/4*($MV100^2-$MS100^2)*10^-2*(VLOOKUP($HH$9,各项系数!$D$1:$F$143,3,0))*10^-3*10^2*各项系数!$J$4</f>
        <v>0.11521489918902196</v>
      </c>
      <c r="HI100" s="311">
        <v>1</v>
      </c>
      <c r="HJ100" s="311">
        <f t="shared" si="414"/>
        <v>0.11521489918902196</v>
      </c>
      <c r="HK100" s="311">
        <f>HJ100*(VLOOKUP($HH$9,各项系数!$D$1:$F$143,2,0))</f>
        <v>1.9586532862133734</v>
      </c>
      <c r="HL100" s="317">
        <f>各项系数!$F$76/4*($MW100^2-$MT100^2)*10^-2*(VLOOKUP($HL$9,各项系数!$D$1:$F$143,3,0))*10^-3*10^2*各项系数!$J$4</f>
        <v>0.11652026863570031</v>
      </c>
      <c r="HM100" s="311">
        <v>1</v>
      </c>
      <c r="HN100" s="311">
        <f t="shared" si="362"/>
        <v>0.11652026863570031</v>
      </c>
      <c r="HO100" s="311">
        <f>HN100*(VLOOKUP($HL$9,各项系数!$D$1:$F$143,2,0))</f>
        <v>1.9808445668069052</v>
      </c>
      <c r="HP100" s="317">
        <f>各项系数!$F$76/4*($MV100^2-$MS100^2)*10^-2*(VLOOKUP(AN100,各项系数!$D$1:$F$143,3,0))*10^-3*10^2*各项系数!$J$4</f>
        <v>0.11680407021231883</v>
      </c>
      <c r="HQ100" s="310">
        <v>1</v>
      </c>
      <c r="HR100" s="311">
        <f t="shared" si="459"/>
        <v>0.11680407021231883</v>
      </c>
      <c r="HS100" s="311">
        <f>HR100*(VLOOKUP(AN100,各项系数!$D$1:$F$143,2,0))</f>
        <v>1.1680407021231882</v>
      </c>
      <c r="HT100" s="317">
        <f>各项系数!$F$76/4*($MW100^2-$MT100^2)*10^-2*(VLOOKUP(AN100,各项系数!$D$1:$F$143,3,0))*10^-3*10^2*各项系数!$J$4</f>
        <v>0.1181274447548134</v>
      </c>
      <c r="HU100" s="310">
        <v>1</v>
      </c>
      <c r="HV100" s="311">
        <f t="shared" si="460"/>
        <v>0.1181274447548134</v>
      </c>
      <c r="HW100" s="311">
        <f>HV100*(VLOOKUP(AN100,各项系数!$D$1:$F$143,2,0))</f>
        <v>1.181274447548134</v>
      </c>
      <c r="HX100" s="317">
        <f>各项系数!$F$76/4*($MV100^2-$MS100^2)*10^-2*(VLOOKUP($HX$9,各项系数!$D$1:$F$143,3,0))*10^-3*10^2*各项系数!$J$4</f>
        <v>0.11680407021231883</v>
      </c>
      <c r="HY100" s="311">
        <v>1</v>
      </c>
      <c r="HZ100" s="311">
        <f t="shared" si="461"/>
        <v>0.11680407021231883</v>
      </c>
      <c r="IA100" s="311">
        <f>HZ100*(VLOOKUP($HX$9,各项系数!$D$1:$F$143,2,0))</f>
        <v>1.284844772335507</v>
      </c>
      <c r="IB100" s="317">
        <f>各项系数!$F$76/4*($MW100^2-$MT100^2)*10^-2*(VLOOKUP($IB$9,各项系数!$D$1:$F$143,3,0))*10^-3*10^2*各项系数!$J$4</f>
        <v>0.1181274447548134</v>
      </c>
      <c r="IC100" s="311">
        <v>1</v>
      </c>
      <c r="ID100" s="311">
        <f t="shared" si="462"/>
        <v>0.1181274447548134</v>
      </c>
      <c r="IE100" s="311">
        <f>ID100*(VLOOKUP($IB$9,各项系数!$D$1:$F$143,2,0))</f>
        <v>1.2994018923029476</v>
      </c>
      <c r="IF100" s="309"/>
      <c r="IG100" s="317">
        <f t="shared" si="415"/>
        <v>2.2050584877854322E-2</v>
      </c>
      <c r="IH100" s="310">
        <v>1</v>
      </c>
      <c r="II100" s="311">
        <f t="shared" si="463"/>
        <v>2.2050584877854322E-2</v>
      </c>
      <c r="IJ100" s="311">
        <f>II100*(VLOOKUP($IG$8,各项系数!$D$1:$F$143,2,0))</f>
        <v>0.55126462194635806</v>
      </c>
      <c r="IK100" s="317">
        <f>(各项系数!$F$76/4*($MX100^2-$MK100^2)*$EG100)*10^-2*(VLOOKUP($IG$8,各项系数!$D$1:$F$143,3,0))*10^-3*10^2*各项系数!$J$4</f>
        <v>1.7866859653484762E-2</v>
      </c>
      <c r="IL100" s="310">
        <f>IK100*(VLOOKUP($IG$8,各项系数!$D$1:$F$143,2,0))</f>
        <v>0.44667149133711903</v>
      </c>
      <c r="IM100" s="311">
        <f>(各项系数!$F$76/4*(($MM100+3*$X100)^2-MM100^2)*$EO100)*10^-2*(VLOOKUP($IG$8,各项系数!$D$1:$F$143,3,0))*10^-3*10^2*各项系数!$J$4</f>
        <v>4.1837252243695604E-3</v>
      </c>
      <c r="IN100" s="310">
        <f>IM100*(VLOOKUP($IG$8,各项系数!$D$1:$F$143,2,0))</f>
        <v>0.10459313060923901</v>
      </c>
      <c r="IO100" s="317">
        <f>各项系数!$F$76/4*($MZ100^2-$MX100^2)*10^-2*(VLOOKUP(L100,各项系数!$D$1:$F$143,3,0))*10^-3*10^2*$ES100*各项系数!$J$4</f>
        <v>5.0390634277845459E-2</v>
      </c>
      <c r="IP100" s="310">
        <v>1</v>
      </c>
      <c r="IQ100" s="311">
        <f t="shared" si="464"/>
        <v>5.0390634277845459E-2</v>
      </c>
      <c r="IR100" s="290">
        <f>IQ100*(VLOOKUP(L100,各项系数!$D$1:$F$143,2,0))</f>
        <v>0.51398446963402367</v>
      </c>
      <c r="IS100" s="317">
        <f>IF($L100&lt;&gt;$IS$9,0,各项系数!$F$76/4*($MZ100^2-$MX100^2)*10^-2*各项系数!$F$12*10^-3*10^2)*$ES100*各项系数!$J$4</f>
        <v>0</v>
      </c>
      <c r="IT100" s="310">
        <v>1</v>
      </c>
      <c r="IU100" s="311">
        <f t="shared" si="465"/>
        <v>0</v>
      </c>
      <c r="IV100" s="290">
        <f>IU100*各项系数!$E$12</f>
        <v>0</v>
      </c>
      <c r="IW100" s="309">
        <f t="shared" si="466"/>
        <v>5.0390634277845459E-2</v>
      </c>
      <c r="IX100" s="309">
        <f t="shared" si="467"/>
        <v>0.51398446963402367</v>
      </c>
      <c r="IY100" s="339">
        <f>各项系数!$F$76/4*($NB100^2-$MZ100^2*$EG100-$NA100^2*$EO100)*10^-2</f>
        <v>0.45099328927372984</v>
      </c>
      <c r="IZ100" s="284">
        <f t="shared" si="487"/>
        <v>1</v>
      </c>
      <c r="JA100" s="285">
        <f t="shared" si="363"/>
        <v>0.45099328927372984</v>
      </c>
      <c r="JB100" s="289">
        <f>IF($DE100&lt;&gt;$JB$9,0,$JA100*各项系数!$F$32*10^-3*10^2)*各项系数!$J$4</f>
        <v>0</v>
      </c>
      <c r="JC100" s="106">
        <v>1</v>
      </c>
      <c r="JD100" s="78">
        <f t="shared" si="468"/>
        <v>0</v>
      </c>
      <c r="JE100" s="264">
        <f>JD100*各项系数!$E$32</f>
        <v>0</v>
      </c>
      <c r="JF100" s="282">
        <f>IF($DE100&lt;&gt;$JF$9,0,$JA100*VLOOKUP($JF$9,各项系数!$D$4:$F$540,2,0)*10^-3*10^2)*各项系数!$J$4</f>
        <v>0.2243691614136806</v>
      </c>
      <c r="JG100" s="102">
        <v>1</v>
      </c>
      <c r="JH100" s="189">
        <f t="shared" si="364"/>
        <v>0.2243691614136806</v>
      </c>
      <c r="JI100" s="262">
        <f>JH100*VLOOKUP($JF$9,各项系数!$D$4:$F$540,3,0)</f>
        <v>0.26924299369641669</v>
      </c>
      <c r="JJ100" s="289">
        <f t="shared" si="469"/>
        <v>0.2243691614136806</v>
      </c>
      <c r="JK100" s="78">
        <f t="shared" si="470"/>
        <v>0.26924299369641669</v>
      </c>
      <c r="JL100" s="289">
        <f>IF($DF100&lt;&gt;$JL$9,0,各项系数!$F$76/4*($NE100^2-$NC100^2)*10^-2*各项系数!$F$39*10^-3*10^2)*各项系数!$J$4</f>
        <v>1.5437081563608186E-3</v>
      </c>
      <c r="JM100" s="106">
        <v>1</v>
      </c>
      <c r="JN100" s="78">
        <f t="shared" si="471"/>
        <v>1.5437081563608186E-3</v>
      </c>
      <c r="JO100" s="264">
        <f>JN100*各项系数!$E$39</f>
        <v>3.0874163127216372E-2</v>
      </c>
      <c r="JP100" s="289">
        <f>IF($DF100&lt;&gt;$JP$9,0,各项系数!$F$76/4*($NE100^2-$NC100^2)*10^-2*各项系数!$F$36*10^-3*10^2)*各项系数!$J$4</f>
        <v>0</v>
      </c>
      <c r="JQ100" s="106">
        <v>1</v>
      </c>
      <c r="JR100" s="78">
        <f t="shared" si="472"/>
        <v>0</v>
      </c>
      <c r="JS100" s="264">
        <f>JR100*各项系数!$E$36</f>
        <v>0</v>
      </c>
      <c r="JT100" s="289">
        <f>IF($DF100&lt;&gt;$JT$9,0,各项系数!$F$76/4*($NE100^2-$NC100^2)*10^-2*各项系数!$F$40*10^-3*10^2)*各项系数!$J$4</f>
        <v>0</v>
      </c>
      <c r="JU100" s="106">
        <v>1</v>
      </c>
      <c r="JV100" s="78">
        <f t="shared" si="473"/>
        <v>0</v>
      </c>
      <c r="JW100" s="264">
        <f>JV100*各项系数!$E$40</f>
        <v>0</v>
      </c>
      <c r="JX100" s="289">
        <f>IF($DF100&lt;&gt;$JX$9,0,各项系数!$F$76/4*($NE100^2-$NC100^2)*10^-2*各项系数!$F$38*10^-3*10^2)*各项系数!$J$4</f>
        <v>0</v>
      </c>
      <c r="JY100" s="106">
        <v>1</v>
      </c>
      <c r="JZ100" s="78">
        <f t="shared" si="474"/>
        <v>0</v>
      </c>
      <c r="KA100" s="264">
        <f>JZ100*各项系数!$E$38</f>
        <v>0</v>
      </c>
      <c r="KB100" s="289">
        <f>IF($DF100&lt;&gt;$KB$9,0,各项系数!$F$76/4*($NE100^2-$NC100^2)*10^-2*各项系数!$F$41*10^-3*10^2)*各项系数!$J$4</f>
        <v>0</v>
      </c>
      <c r="KC100" s="106">
        <v>1</v>
      </c>
      <c r="KD100" s="78">
        <f t="shared" si="475"/>
        <v>0</v>
      </c>
      <c r="KE100" s="264">
        <f>KD100*各项系数!$E$41</f>
        <v>0</v>
      </c>
      <c r="KF100" s="78">
        <f t="shared" si="476"/>
        <v>1.5437081563608186E-3</v>
      </c>
      <c r="KG100" s="78">
        <f t="shared" si="477"/>
        <v>3.0874163127216372E-2</v>
      </c>
      <c r="KH100" s="237">
        <f>各项系数!$F$76/4*($NG100^2-$NE100^2)*10^-2*各项系数!$F$44*10^-3*10^2*各项系数!$J$4*0.75*$U100</f>
        <v>0.15551746733887145</v>
      </c>
      <c r="KI100" s="106">
        <v>1</v>
      </c>
      <c r="KJ100" s="78">
        <f t="shared" si="478"/>
        <v>0.15551746733887145</v>
      </c>
      <c r="KK100" s="78">
        <f>ROUND(KJ100*各项系数!$E$43,GT100)</f>
        <v>1</v>
      </c>
      <c r="KL100" s="235">
        <f>各项系数!$F$76/4*($NF100^2-$NE100^2)*10^-2*各项系数!$F$46*10^-3*10^2*各项系数!$J$4*PI()/4*R100</f>
        <v>1.9441078914549548E-2</v>
      </c>
      <c r="KM100" s="106">
        <v>1</v>
      </c>
      <c r="KN100" s="78">
        <f t="shared" si="479"/>
        <v>1.9441078914549548E-2</v>
      </c>
      <c r="KO100" s="78">
        <f>KN100*各项系数!$E$46</f>
        <v>1.3122728267320944</v>
      </c>
      <c r="KP100" s="237">
        <f>各项系数!$F$76/4*($NH100^2-$NE100^2)*10^-2*(VLOOKUP($KP$9,各项系数!$D$1:$F$143,3,0))*10^-3*10^2*各项系数!$J$4</f>
        <v>0.12758327469629988</v>
      </c>
      <c r="KQ100" s="106">
        <v>1</v>
      </c>
      <c r="KR100" s="78">
        <f t="shared" si="416"/>
        <v>0.12758327469629988</v>
      </c>
      <c r="KS100" s="78">
        <f>KR100*(VLOOKUP($KP$9,各项系数!$D$1:$F$143,2,0))</f>
        <v>2.1689156698370979</v>
      </c>
      <c r="KT100" s="237">
        <f>各项系数!$F$76/4*($NI100^2-$NF100^2)*10^-2*(VLOOKUP($KT$9,各项系数!$D$1:$F$143,3,0))*10^-3*10^2*各项系数!$J$4</f>
        <v>0.12888864414297829</v>
      </c>
      <c r="KU100" s="106">
        <v>1</v>
      </c>
      <c r="KV100" s="78">
        <f t="shared" si="417"/>
        <v>0.12888864414297829</v>
      </c>
      <c r="KW100" s="78">
        <f>KV100*(VLOOKUP($KT$9,各项系数!$D$1:$F$143,2,0))</f>
        <v>2.1911069504306311</v>
      </c>
      <c r="KX100" s="78">
        <f>各项系数!$F$76/4*($NH100^2-$NE100^2)*10^-2*(VLOOKUP($KX$9,各项系数!$D$1:$F$143,3,0))*10^-3*10^2*各项系数!$J$4</f>
        <v>0.12758327469629988</v>
      </c>
      <c r="KY100" s="355">
        <v>1</v>
      </c>
      <c r="KZ100" s="78">
        <f t="shared" si="418"/>
        <v>0.12758327469629988</v>
      </c>
      <c r="LA100" s="78">
        <f>KZ100*(VLOOKUP($KX$9,各项系数!$D$1:$F$143,2,0))</f>
        <v>2.1689156698370979</v>
      </c>
      <c r="LB100" s="78">
        <f>各项系数!$F$76/4*($NI100^2-$NF100^2)*10^-2*(VLOOKUP($LB$9,各项系数!$D$1:$F$143,3,0))*10^-3*10^2*各项系数!$J$4</f>
        <v>0.12888864414297829</v>
      </c>
      <c r="LC100" s="355">
        <v>1</v>
      </c>
      <c r="LD100" s="78">
        <f t="shared" si="419"/>
        <v>0.12888864414297829</v>
      </c>
      <c r="LE100" s="78">
        <f>LD100*(VLOOKUP($LB$9,各项系数!$D$1:$F$143,2,0))</f>
        <v>2.1911069504306311</v>
      </c>
      <c r="LF100" s="237">
        <f>各项系数!$F$76/4*($NH100^2-$NE100^2)*10^-2*(VLOOKUP(AN100,各项系数!$D$1:$F$143,3,0))*10^-3*10^2*各项系数!$J$4</f>
        <v>0.12934304400245575</v>
      </c>
      <c r="LG100" s="106">
        <v>1</v>
      </c>
      <c r="LH100" s="78">
        <f t="shared" si="480"/>
        <v>0.12934304400245575</v>
      </c>
      <c r="LI100" s="78">
        <f>LH100*(VLOOKUP(AN100,各项系数!$D$1:$F$143,2,0))</f>
        <v>1.2934304400245575</v>
      </c>
      <c r="LJ100" s="237">
        <f>各项系数!$F$76/4*($NI100^2-$NF100^2)*10^-2*(VLOOKUP(AN100,各项系数!$D$1:$F$143,3,0))*10^-3*10^2*各项系数!$J$4</f>
        <v>0.1306664185449504</v>
      </c>
      <c r="LK100" s="106">
        <v>1</v>
      </c>
      <c r="LL100" s="78">
        <f t="shared" si="481"/>
        <v>0.1306664185449504</v>
      </c>
      <c r="LM100" s="78">
        <f>LL100*(VLOOKUP(AN100,各项系数!$D$1:$F$143,2,0))</f>
        <v>1.306664185449504</v>
      </c>
      <c r="LN100" s="78">
        <f>各项系数!$F$76/4*($NH100^2-$NE100^2)*10^-2*(VLOOKUP($LN$9,各项系数!$D$1:$F$143,3,0))*10^-3*10^2*各项系数!$J$4</f>
        <v>0.12934304400245575</v>
      </c>
      <c r="LO100" s="355">
        <v>1</v>
      </c>
      <c r="LP100" s="78">
        <f t="shared" si="482"/>
        <v>0.12934304400245575</v>
      </c>
      <c r="LQ100" s="78">
        <f>LP100*(VLOOKUP($LN$9,各项系数!$D$1:$F$143,2,0))</f>
        <v>1.4227734840270132</v>
      </c>
      <c r="LR100" s="78">
        <f>各项系数!$F$76/4*($NI100^2-$NF100^2)*10^-2*(VLOOKUP($LR$9,各项系数!$D$1:$F$143,3,0))*10^-3*10^2*各项系数!$J$4</f>
        <v>0.1306664185449504</v>
      </c>
      <c r="LS100" s="355">
        <v>1</v>
      </c>
      <c r="LT100" s="78">
        <f t="shared" si="483"/>
        <v>0.1306664185449504</v>
      </c>
      <c r="LU100" s="78">
        <f>LT100*(VLOOKUP($LR$9,各项系数!$D$1:$F$143,2,0))</f>
        <v>1.4373306039944544</v>
      </c>
      <c r="LV100" s="367">
        <f t="shared" si="420"/>
        <v>36.463614970000002</v>
      </c>
      <c r="LW100" s="367">
        <f t="shared" si="421"/>
        <v>28.36058942</v>
      </c>
      <c r="LX100" s="367">
        <f t="shared" si="422"/>
        <v>6.0091450275011393</v>
      </c>
      <c r="LY100" s="367">
        <f t="shared" si="423"/>
        <v>8.1030255500000017</v>
      </c>
      <c r="LZ100" s="374">
        <f t="shared" si="365"/>
        <v>1</v>
      </c>
      <c r="MA100" s="375">
        <f t="shared" si="366"/>
        <v>36.463614970000002</v>
      </c>
      <c r="MB100" s="367">
        <f t="shared" si="424"/>
        <v>3.9339088499999999</v>
      </c>
      <c r="MC100" s="367">
        <f t="shared" si="425"/>
        <v>5.6168699799999997</v>
      </c>
      <c r="MD100" s="367">
        <f t="shared" si="426"/>
        <v>5.6168699799999997</v>
      </c>
      <c r="ME100" s="367">
        <f t="shared" si="427"/>
        <v>2.6742514796054246</v>
      </c>
      <c r="MF100" s="367">
        <f t="shared" si="428"/>
        <v>0</v>
      </c>
      <c r="MG100" s="379">
        <f t="shared" si="429"/>
        <v>1</v>
      </c>
      <c r="MH100" s="375">
        <f t="shared" si="367"/>
        <v>5.6168699799999997</v>
      </c>
      <c r="MI100" s="367">
        <f t="shared" si="430"/>
        <v>2.6742514796054246</v>
      </c>
      <c r="MJ100" s="78">
        <f t="shared" si="368"/>
        <v>3.9339088499999999</v>
      </c>
      <c r="MK100" s="78">
        <f t="shared" si="431"/>
        <v>3.9339088499999999</v>
      </c>
      <c r="ML100" s="78">
        <f t="shared" si="484"/>
        <v>2.6742514801286199</v>
      </c>
      <c r="MM100" s="78">
        <f t="shared" si="369"/>
        <v>2.6742514796054246</v>
      </c>
      <c r="MN100" s="78">
        <f t="shared" si="370"/>
        <v>5.3339088500000003</v>
      </c>
      <c r="MO100" s="189">
        <f t="shared" si="432"/>
        <v>4.0742514796054241</v>
      </c>
      <c r="MP100" s="78">
        <f t="shared" si="433"/>
        <v>12.14596671</v>
      </c>
      <c r="MQ100" s="78">
        <f t="shared" si="485"/>
        <v>12.14596671</v>
      </c>
      <c r="MR100" s="246">
        <f t="shared" si="434"/>
        <v>12.14596671</v>
      </c>
      <c r="MS100" s="380">
        <f t="shared" si="371"/>
        <v>12.32196671</v>
      </c>
      <c r="MT100" s="382">
        <f t="shared" si="372"/>
        <v>12.48196671</v>
      </c>
      <c r="MU100" s="382">
        <f t="shared" si="373"/>
        <v>12.92196671</v>
      </c>
      <c r="MV100" s="382">
        <f t="shared" si="374"/>
        <v>15.92196671</v>
      </c>
      <c r="MW100" s="382">
        <f t="shared" si="375"/>
        <v>16.08196671</v>
      </c>
      <c r="MX100" s="246">
        <f t="shared" si="376"/>
        <v>4.5339088499999995</v>
      </c>
      <c r="MY100" s="246">
        <f t="shared" si="377"/>
        <v>3.2742514796054247</v>
      </c>
      <c r="MZ100" s="78">
        <f t="shared" si="378"/>
        <v>5.9339088499999999</v>
      </c>
      <c r="NA100" s="78">
        <f t="shared" si="379"/>
        <v>4.6742514796054246</v>
      </c>
      <c r="NB100" s="78">
        <f t="shared" si="435"/>
        <v>13.59796671</v>
      </c>
      <c r="NC100" s="246">
        <f t="shared" si="486"/>
        <v>13.59796671</v>
      </c>
      <c r="ND100" s="246">
        <f t="shared" si="436"/>
        <v>13.59796671</v>
      </c>
      <c r="NE100" s="386">
        <f t="shared" si="437"/>
        <v>13.83796671</v>
      </c>
      <c r="NF100" s="382">
        <f t="shared" si="380"/>
        <v>13.99796671</v>
      </c>
      <c r="NG100" s="150">
        <f t="shared" si="381"/>
        <v>14.43796671</v>
      </c>
      <c r="NH100" s="246">
        <f t="shared" si="382"/>
        <v>17.437966710000001</v>
      </c>
      <c r="NI100" s="382">
        <f t="shared" si="383"/>
        <v>17.597966710000001</v>
      </c>
      <c r="NK100" s="390">
        <f t="shared" si="384"/>
        <v>0.51588522346951593</v>
      </c>
      <c r="NL100" s="390">
        <f t="shared" si="385"/>
        <v>21.712935856906107</v>
      </c>
      <c r="NM100" s="390">
        <f t="shared" si="386"/>
        <v>0.51588522346951593</v>
      </c>
      <c r="NN100" s="390">
        <f t="shared" si="387"/>
        <v>21.829739927118425</v>
      </c>
      <c r="NO100" s="390">
        <f t="shared" si="388"/>
        <v>0.73518968908174753</v>
      </c>
      <c r="NP100" s="390">
        <f t="shared" si="389"/>
        <v>22.630118257999165</v>
      </c>
      <c r="NQ100" s="390">
        <f t="shared" si="390"/>
        <v>0.73518968908174753</v>
      </c>
      <c r="NR100" s="390">
        <f t="shared" si="391"/>
        <v>22.759461302001618</v>
      </c>
      <c r="NS100" s="390">
        <f t="shared" si="392"/>
        <v>0.53320870315074642</v>
      </c>
      <c r="NT100" s="390">
        <f t="shared" si="393"/>
        <v>0.53320870315074642</v>
      </c>
      <c r="NU100" s="390">
        <f t="shared" si="394"/>
        <v>0.75463076799629714</v>
      </c>
      <c r="NV100" s="390">
        <f t="shared" si="395"/>
        <v>0.75463076799629714</v>
      </c>
      <c r="NW100" s="9">
        <f t="shared" si="396"/>
        <v>0.6084462135957851</v>
      </c>
      <c r="NX100" s="9">
        <f>各项系数!$M$9*NK100</f>
        <v>0.15476556704085478</v>
      </c>
      <c r="NY100" s="9">
        <f t="shared" si="397"/>
        <v>0.53320870315074642</v>
      </c>
    </row>
    <row r="101" spans="1:389" s="9" customFormat="1" ht="15" hidden="1" customHeight="1">
      <c r="A101" s="65"/>
      <c r="B101" s="66"/>
      <c r="C101" s="67"/>
      <c r="D101" s="58" t="s">
        <v>308</v>
      </c>
      <c r="E101" s="399">
        <f t="shared" si="325"/>
        <v>18.550960589999999</v>
      </c>
      <c r="F101" s="68">
        <f>$F$21</f>
        <v>165.41681820668899</v>
      </c>
      <c r="G101" s="58"/>
      <c r="H101" s="62"/>
      <c r="I101" s="145">
        <f>$F$20</f>
        <v>131.13029499843299</v>
      </c>
      <c r="J101" s="62"/>
      <c r="K101" s="62"/>
      <c r="L101" s="107" t="s">
        <v>467</v>
      </c>
      <c r="M101" s="98">
        <f t="shared" si="339"/>
        <v>0.7</v>
      </c>
      <c r="N101" s="98">
        <f t="shared" si="340"/>
        <v>0.7</v>
      </c>
      <c r="O101" s="58">
        <f t="shared" si="493"/>
        <v>0.08</v>
      </c>
      <c r="P101" s="99">
        <v>0.1</v>
      </c>
      <c r="Q101" s="136">
        <f t="shared" si="489"/>
        <v>0.1</v>
      </c>
      <c r="R101" s="151">
        <v>0.8</v>
      </c>
      <c r="S101" s="144" t="str">
        <f>各项系数!$D$43</f>
        <v>钢带</v>
      </c>
      <c r="T101" s="62">
        <v>0.2</v>
      </c>
      <c r="U101" s="62">
        <v>2</v>
      </c>
      <c r="V101" s="143"/>
      <c r="W101" s="145">
        <v>1.8</v>
      </c>
      <c r="X101" s="139">
        <f t="shared" si="490"/>
        <v>0.2</v>
      </c>
      <c r="Y101" s="139"/>
      <c r="Z101" s="169"/>
      <c r="AA101" s="170">
        <f>$AA$21</f>
        <v>1.0109999999999999</v>
      </c>
      <c r="AB101" s="153">
        <f>PI()*EJ101*EJ101/4*EH101*(1-H101)*AA101*各项系数!$F$5*各项系数!$J$4*10^-7</f>
        <v>0.13453127076823812</v>
      </c>
      <c r="AC101" s="170">
        <f t="shared" si="327"/>
        <v>165.41681820668899</v>
      </c>
      <c r="AD101" s="153">
        <f t="shared" si="341"/>
        <v>15.208920956666137</v>
      </c>
      <c r="AE101" s="153">
        <f>POWER(4*EU101/PI()/EG101/10^-7/EH101/(1-H101)/各项系数!$F$5/各项系数!$J$4,0.5)</f>
        <v>166.32412244418026</v>
      </c>
      <c r="AF101" s="16">
        <f>$AA$20</f>
        <v>1.0109999999999999</v>
      </c>
      <c r="AG101" s="16">
        <f>IF(EM101=0,0,PI()*ER101*ER101/4*EP101*(1-K101)*(1+AF101)*各项系数!$F$5*各项系数!$J$4*10^-7)</f>
        <v>0.16816317952909404</v>
      </c>
      <c r="AH101" s="16">
        <f t="shared" si="328"/>
        <v>131.13029499843299</v>
      </c>
      <c r="AI101" s="69">
        <f t="shared" si="398"/>
        <v>9.5575186339704263</v>
      </c>
      <c r="AJ101" s="69">
        <f>IF(OR(EP101="",EP101=0),0,POWER(4*EW101/PI()/EO101/10^-7/EP101/(1-K101)/各项系数!$F$5/各项系数!$J$4,0.5))</f>
        <v>131.84953910919143</v>
      </c>
      <c r="AK101" s="16">
        <f t="shared" si="342"/>
        <v>0.48813532125743148</v>
      </c>
      <c r="AL101" s="16">
        <f t="shared" si="329"/>
        <v>35.261879366634467</v>
      </c>
      <c r="AM101" s="106">
        <f t="shared" si="330"/>
        <v>16</v>
      </c>
      <c r="AN101" s="107" t="s">
        <v>486</v>
      </c>
      <c r="AO101" s="146">
        <f>AP101+各项系数!$M$9*$NK101</f>
        <v>34.570469967288695</v>
      </c>
      <c r="AP101" s="146">
        <f>AQ101*(1+$BI101+(VLOOKUP($AM101,$A$12:$B$323,2,0))+各项系数!$J$6+各项系数!$M$5)*(1+$E$2)</f>
        <v>34.343047838903232</v>
      </c>
      <c r="AQ101" s="199">
        <f>AR101+各项系数!$L$9*$NK101</f>
        <v>35.043926366227787</v>
      </c>
      <c r="AR101" s="199">
        <f>AS101*(1+$BJ101+各项系数!$J$5+各项系数!$L$5)</f>
        <v>34.816504237842324</v>
      </c>
      <c r="AS101" s="199">
        <f t="shared" si="399"/>
        <v>34.133827684159144</v>
      </c>
      <c r="AT101" s="146">
        <f>AU101+各项系数!$M$9*$NM101</f>
        <v>35.507890590195508</v>
      </c>
      <c r="AU101" s="146">
        <f>AV101*(1+$BI101+(VLOOKUP($AM101,$A$12:$B$323,2,0))+各项系数!$J$6+各项系数!$M$5)*(1+$E$2)</f>
        <v>35.280468461810045</v>
      </c>
      <c r="AV101" s="199">
        <f>AW101+各项系数!$L$9*$NM101</f>
        <v>36.000478022255152</v>
      </c>
      <c r="AW101" s="199">
        <f>AX101*(1+$BJ101+各项系数!$J$5+各项系数!$L$5)</f>
        <v>35.773055893869689</v>
      </c>
      <c r="AX101" s="199">
        <f t="shared" si="400"/>
        <v>35.071623425362439</v>
      </c>
      <c r="AY101" s="146">
        <f>AZ101+各项系数!$M$9*$NS101</f>
        <v>36.01281584807375</v>
      </c>
      <c r="AZ101" s="146">
        <f>BA101*(1+$BI101+(VLOOKUP($AM101,$A$12:$B$214,2,0))+各项系数!$J$6+各项系数!$M$5)*(1+$E$2)</f>
        <v>35.77909499595053</v>
      </c>
      <c r="BA101" s="199">
        <f>BB101+各项系数!$L$9*$NS101</f>
        <v>36.509280608112789</v>
      </c>
      <c r="BB101" s="199">
        <f>BC101*(1+$BJ101+各项系数!$J$5+各项系数!$L$5)</f>
        <v>36.275559755989569</v>
      </c>
      <c r="BC101" s="199">
        <f t="shared" si="401"/>
        <v>35.564274270578011</v>
      </c>
      <c r="BD101" s="146">
        <f>BE101+各项系数!$M$9*$NS101</f>
        <v>36.959190423135084</v>
      </c>
      <c r="BE101" s="146">
        <f>BF101*(1+$BI101+(VLOOKUP($AM101,$A$12:$B$214,2,0))+各项系数!$J$6+各项系数!$M$5)*(1+$E$2)</f>
        <v>36.725469571011864</v>
      </c>
      <c r="BF101" s="199">
        <f>BG101+各项系数!$L$9*$NS101</f>
        <v>37.474968950012105</v>
      </c>
      <c r="BG101" s="199">
        <f>BH101*(1+$BJ101+各项系数!$J$5+各项系数!$L$5)</f>
        <v>37.241248097888885</v>
      </c>
      <c r="BH101" s="199">
        <f t="shared" si="402"/>
        <v>36.51102754694989</v>
      </c>
      <c r="BI101" s="214"/>
      <c r="BJ101" s="215"/>
      <c r="BK101" s="78" t="s">
        <v>514</v>
      </c>
      <c r="BL101" s="146">
        <f>BM101+各项系数!$M$9*$NM101</f>
        <v>35.044832554082987</v>
      </c>
      <c r="BM101" s="146">
        <f>BN101*(1+$CF101+(VLOOKUP($AM101,$A$12:$B$323,2,0))+各项系数!$J$6+各项系数!$M$5)*(1+$E$2)</f>
        <v>34.817410425697524</v>
      </c>
      <c r="BN101" s="199">
        <f>BO101+各项系数!$L$9*$NM101</f>
        <v>35.527969822140328</v>
      </c>
      <c r="BO101" s="199">
        <f>BP101*(1+$CG101+各项系数!$J$5+各项系数!$L$5)</f>
        <v>35.300547693754865</v>
      </c>
      <c r="BP101" s="199">
        <f t="shared" si="403"/>
        <v>34.272376401703752</v>
      </c>
      <c r="BQ101" s="146">
        <f>BR101+各项系数!$M$9*$NM101</f>
        <v>35.851592499764067</v>
      </c>
      <c r="BR101" s="146">
        <f>BS101*(1+$CF101+(VLOOKUP($AM101,$A$12:$B$323,2,0))+各项系数!$J$6+各项系数!$M$5)*(1+$E$2)</f>
        <v>35.624170371378604</v>
      </c>
      <c r="BS101" s="199">
        <f>BT101+各项系数!$L$9*$NM101</f>
        <v>36.351194256508776</v>
      </c>
      <c r="BT101" s="199">
        <f>BU101*(1+$CG101+各项系数!$J$5+各项系数!$L$5)</f>
        <v>36.123772128123314</v>
      </c>
      <c r="BU101" s="199">
        <f t="shared" si="404"/>
        <v>35.071623425362439</v>
      </c>
      <c r="BV101" s="146">
        <f>BW101+各项系数!$M$9*$NT101</f>
        <v>36.281584325689252</v>
      </c>
      <c r="BW101" s="146">
        <f>BX101*(1+$CF101+(VLOOKUP($AM101,$A$12:$B$214,2,0))+各项系数!$J$6+各项系数!$M$5)*(1+$E$2)</f>
        <v>36.047863473566032</v>
      </c>
      <c r="BX101" s="199">
        <f>BY101+各项系数!$L$9*$NT$12</f>
        <v>36.783534156700036</v>
      </c>
      <c r="BY101" s="199">
        <f>BZ101*(1+$CG101+各项系数!$J$5+各项系数!$L$5)</f>
        <v>36.775270753545065</v>
      </c>
      <c r="BZ101" s="199">
        <f t="shared" si="343"/>
        <v>35.704146362665114</v>
      </c>
      <c r="CA101" s="146">
        <f>CB101+各项系数!$M$9*$NT101</f>
        <v>37.096050193106315</v>
      </c>
      <c r="CB101" s="146">
        <f>CC101*(1+$CF101+(VLOOKUP($AM101,$A$12:$B$214,2,0))+各项系数!$J$6+各项系数!$M$5)*(1+$E$2)</f>
        <v>36.862329340983095</v>
      </c>
      <c r="CC101" s="199">
        <f>CD101+各项系数!$L$9*$NT$12</f>
        <v>37.61462177651336</v>
      </c>
      <c r="CD101" s="199">
        <f>CE101*(1+$CG101+各项系数!$J$5+各项系数!$L$5)</f>
        <v>37.60635837335839</v>
      </c>
      <c r="CE101" s="199">
        <f t="shared" si="405"/>
        <v>36.51102754694989</v>
      </c>
      <c r="CF101" s="214">
        <f t="shared" si="406"/>
        <v>0</v>
      </c>
      <c r="CG101" s="214">
        <f t="shared" si="344"/>
        <v>0.01</v>
      </c>
      <c r="CH101" s="106"/>
      <c r="CI101" s="146">
        <f>CJ101+各项系数!$M$9*$NO101</f>
        <v>36.069332599646224</v>
      </c>
      <c r="CJ101" s="146">
        <f>CK101*(1+$DC101+(VLOOKUP($AM101,$A$12:$B$323,2,0))+各项系数!$J$6+各项系数!$M$5)*(1+$E$2)+各项系数!$M$9*$NK101</f>
        <v>35.751779599377144</v>
      </c>
      <c r="CK101" s="199">
        <f>CL101+各项系数!$L$9*$NO101</f>
        <v>36.249344358154779</v>
      </c>
      <c r="CL101" s="199">
        <f>CM101*(1+$DD101+各项系数!$J$5+各项系数!$L$5)</f>
        <v>35.9317913578857</v>
      </c>
      <c r="CM101" s="199">
        <f t="shared" si="345"/>
        <v>35.227246429299704</v>
      </c>
      <c r="CN101" s="146">
        <f>CO101+各项系数!$M$9*$NO101</f>
        <v>36.881413640546832</v>
      </c>
      <c r="CO101" s="146">
        <f>CP101*(1+$DC101+(VLOOKUP($AM101,$A$12:$B$323,2,0))+各项系数!$J$6+各项系数!$M$5)*(1+$E$2)+各项系数!$M$9*$NK101</f>
        <v>36.563860640277753</v>
      </c>
      <c r="CP101" s="199">
        <f>CQ101+各项系数!$L$9*$NO101</f>
        <v>37.077998481522748</v>
      </c>
      <c r="CQ101" s="199">
        <f>CR101*(1+$DD101+各项系数!$J$5+各项系数!$L$5)</f>
        <v>36.760445481253669</v>
      </c>
      <c r="CR101" s="199">
        <f t="shared" si="346"/>
        <v>36.039652432601635</v>
      </c>
      <c r="CS101" s="146">
        <f>CT101+各项系数!$M$9*$NU101</f>
        <v>37.428394979060158</v>
      </c>
      <c r="CT101" s="146">
        <f t="shared" si="347"/>
        <v>37.103907975283327</v>
      </c>
      <c r="CU101" s="199">
        <f>CV101+各项系数!$L$9*$NU101</f>
        <v>37.861130587023801</v>
      </c>
      <c r="CV101" s="199">
        <f>CW101*(1+$DD101+各项系数!$J$5+各项系数!$L$5)</f>
        <v>37.53664358324697</v>
      </c>
      <c r="CW101" s="199">
        <f t="shared" si="348"/>
        <v>36.80063096396762</v>
      </c>
      <c r="CX101" s="146">
        <f>CY101+各项系数!$M$9*$NU101</f>
        <v>38.459608250785564</v>
      </c>
      <c r="CY101" s="146">
        <f t="shared" si="349"/>
        <v>38.135121247008733</v>
      </c>
      <c r="CZ101" s="199">
        <f>DA101+各项系数!$L$9*$NU101</f>
        <v>38.91338902755993</v>
      </c>
      <c r="DA101" s="199">
        <f>DB101*(1+$DD101+各项系数!$J$5+各项系数!$L$5)</f>
        <v>38.588902023783099</v>
      </c>
      <c r="DB101" s="199">
        <f t="shared" si="350"/>
        <v>37.832256886061863</v>
      </c>
      <c r="DC101" s="214">
        <f t="shared" ref="DC101:DC126" si="498">BI101+$DC$2</f>
        <v>0</v>
      </c>
      <c r="DD101" s="214">
        <f t="shared" si="351"/>
        <v>0</v>
      </c>
      <c r="DE101" s="78" t="s">
        <v>498</v>
      </c>
      <c r="DF101" s="78" t="s">
        <v>513</v>
      </c>
      <c r="DG101" s="146">
        <f>DH101+各项系数!$M$9*$NQ101</f>
        <v>36.56706753028665</v>
      </c>
      <c r="DH101" s="146">
        <f>DI101*(1+$EA101+(VLOOKUP($AM101,$A$12:$B$323,2,0))+各项系数!$J$6+各项系数!$M$5)*(1+$E$2)+各项系数!$M$9*$NK101</f>
        <v>36.249514530017571</v>
      </c>
      <c r="DI101" s="199">
        <f>DJ101+各项系数!$L$9*$NQ101</f>
        <v>36.757237144522563</v>
      </c>
      <c r="DJ101" s="199">
        <f>DK101*(1+$EB101+各项系数!$J$5+各项系数!$L$5)</f>
        <v>36.439684144253484</v>
      </c>
      <c r="DK101" s="199">
        <f t="shared" si="352"/>
        <v>35.378334120634449</v>
      </c>
      <c r="DL101" s="146">
        <f>DM101+各项系数!$M$9*$NQ101</f>
        <v>37.446841084416121</v>
      </c>
      <c r="DM101" s="146">
        <f>DN101*(1+$EA101+(VLOOKUP($AM101,$A$12:$B$323,2,0))+各项系数!$J$6+各项系数!$M$5)*(1+$E$2)+各项系数!$M$9*$NK101</f>
        <v>37.129288084147042</v>
      </c>
      <c r="DN101" s="199">
        <f>DO101+各项系数!$L$9*$NQ101</f>
        <v>37.654965260981207</v>
      </c>
      <c r="DO101" s="199">
        <f>DP101*(1+$EB101+各项系数!$J$5+各项系数!$L$5)</f>
        <v>37.337412260712128</v>
      </c>
      <c r="DP101" s="199">
        <f t="shared" si="353"/>
        <v>36.249914816225363</v>
      </c>
      <c r="DQ101" s="146">
        <f>DR101+各项系数!$M$9*$NV101</f>
        <v>37.942884892403526</v>
      </c>
      <c r="DR101" s="146">
        <f t="shared" si="354"/>
        <v>37.618397888626696</v>
      </c>
      <c r="DS101" s="199">
        <f>DT101+各项系数!$L$9*$NV101</f>
        <v>38.386120294517035</v>
      </c>
      <c r="DT101" s="199">
        <f>DU101*(1+$EB101+各项系数!$J$5+各项系数!$L$5)</f>
        <v>38.061633290740204</v>
      </c>
      <c r="DU101" s="199">
        <f t="shared" si="355"/>
        <v>36.953042029844859</v>
      </c>
      <c r="DV101" s="146">
        <f>DW101+各项系数!$M$9*$NV101</f>
        <v>38.209587971432498</v>
      </c>
      <c r="DW101" s="146">
        <f t="shared" si="356"/>
        <v>37.885100967655667</v>
      </c>
      <c r="DX101" s="199">
        <f>DY101+各项系数!$L$9*$NV101</f>
        <v>38.658266293526189</v>
      </c>
      <c r="DY101" s="199">
        <f>DZ101*(1+$EB101+各项系数!$J$5+各项系数!$L$5)</f>
        <v>38.333779289749359</v>
      </c>
      <c r="DZ101" s="199">
        <f t="shared" si="357"/>
        <v>37.217261446358599</v>
      </c>
      <c r="EA101" s="214">
        <f t="shared" si="492"/>
        <v>0</v>
      </c>
      <c r="EB101" s="214">
        <f t="shared" si="358"/>
        <v>0.01</v>
      </c>
      <c r="EC101" s="235" t="str">
        <f t="shared" si="408"/>
        <v>3+1</v>
      </c>
      <c r="ED101" s="237" t="str">
        <f t="shared" si="494"/>
        <v>3*16</v>
      </c>
      <c r="EE101" s="78">
        <f t="shared" si="495"/>
        <v>16</v>
      </c>
      <c r="EF101" s="78" t="str">
        <f>LOOKUP(EH101,{1,7,10,14,19,24,30,37,48,61},{1,"1+6","2+8","4+10","1+6+12","2+8+14","4+10+16","1+6+12+18","3+9+15+21","1+6+12+18+24"})</f>
        <v>1+6</v>
      </c>
      <c r="EG101" s="106">
        <f t="shared" si="359"/>
        <v>3</v>
      </c>
      <c r="EH101" s="199">
        <f>VLOOKUP(EE101,各项系数!$B$87:$C$124,2,0)</f>
        <v>7</v>
      </c>
      <c r="EI101" s="106">
        <f>IF(EH101=0,0,VLOOKUP(EH101,各项系数!$D$142:$E$195,2,0))*1</f>
        <v>3</v>
      </c>
      <c r="EJ101" s="240">
        <f t="shared" si="409"/>
        <v>165.41681820668899</v>
      </c>
      <c r="EK101" s="78" t="str">
        <f t="shared" si="332"/>
        <v>1*10</v>
      </c>
      <c r="EL101" s="78" t="str">
        <f t="shared" si="360"/>
        <v>10</v>
      </c>
      <c r="EM101" s="78">
        <f t="shared" si="496"/>
        <v>10</v>
      </c>
      <c r="EN101" s="78" t="str">
        <f>IF(EP101=0,0,LOOKUP(EP101,{1,7,10,14,19,24,30,37,48,61},{1,"1+6","2+8","4+10","1+6+12","2+8+14","4+10+16","1+6+12+18","3+9+15+21","1+6+12+18+24"}))</f>
        <v>1+6</v>
      </c>
      <c r="EO101" s="78" t="str">
        <f t="shared" si="334"/>
        <v>1</v>
      </c>
      <c r="EP101" s="78">
        <f>IF(EM101=0,0,IF(EM101&lt;10,1,IF(AND(EM101&gt;=10,EM101&lt;=35),7,LOOKUP(EM101,{50,70,95,120,150,185,240,300},{10,14,19,24,30,37,48,61})*1)))</f>
        <v>7</v>
      </c>
      <c r="EQ101" s="78">
        <f>IF(EP101=0,0,VLOOKUP(EP101,各项系数!$D$142:$E$195,2,0))*1</f>
        <v>3</v>
      </c>
      <c r="ER101" s="78">
        <f t="shared" si="335"/>
        <v>131.13029499843299</v>
      </c>
      <c r="ES101" s="237">
        <f t="shared" si="497"/>
        <v>4</v>
      </c>
      <c r="ET101" s="78">
        <f>VLOOKUP(ES101,各项系数!$D$142:$E$195,2,0)*1</f>
        <v>2.42</v>
      </c>
      <c r="EU101" s="243">
        <f>((各项系数!$F$76/4*$EJ101^2*$EG101*$EH101*1*10^-7)*(1-$H101)*AA101)*(VLOOKUP($EY$9,各项系数!$D$4:$F$143,3,0))*各项系数!$J$4</f>
        <v>0.40359381230471436</v>
      </c>
      <c r="EV101" s="244">
        <f>EU101*(VLOOKUP($EY$9,各项系数!$D$4:$F$143,2,0))</f>
        <v>26.435394705958792</v>
      </c>
      <c r="EW101" s="252">
        <f>(IF($EO101=0,0,(各项系数!$F$76/4*$ER101^2*$EO101*$EP101*1*10^-7))*(1-$K101)*$AF101)*(VLOOKUP($EY$9,各项系数!$D$4:$F$143,3,0))*各项系数!$J$4</f>
        <v>8.4541508952717073E-2</v>
      </c>
      <c r="EX101" s="253">
        <f>EW101*(VLOOKUP($EY$9,各项系数!$D$4:$F$143,2,0))</f>
        <v>5.5374688364029687</v>
      </c>
      <c r="EY101" s="189">
        <f>((各项系数!$F$76/4*$EJ101^2*$EG101*$EH101*1*10^-7)*(1-$H101)*AA101+IF($EO101=0,0,(各项系数!$F$76/4*$ER101^2*$EO101*$EP101*1*10^-7))*(1-$K101)*$AF101)*(VLOOKUP($EY$9,各项系数!$D$4:$F$143,3,0))*各项系数!$J$4</f>
        <v>0.48813532125743148</v>
      </c>
      <c r="EZ101" s="106">
        <v>1</v>
      </c>
      <c r="FA101" s="78">
        <f t="shared" si="445"/>
        <v>0.48813532125743148</v>
      </c>
      <c r="FB101" s="246">
        <f>FA101*(VLOOKUP($EY$9,各项系数!$D$4:$F$143,2,0))</f>
        <v>31.972863542361761</v>
      </c>
      <c r="FC101" s="257"/>
      <c r="FD101" s="237">
        <f>各项系数!$F$76/4*($MN101^2-MK101^2)*10^-2*(VLOOKUP(L101,各项系数!$D$1:$F$143,3,0))*10^-3*10^2*$EG101*各项系数!$J$4</f>
        <v>4.0887776738571677E-2</v>
      </c>
      <c r="FE101" s="264">
        <f>FD101*VLOOKUP(L101,各项系数!$D$1:$F$143,2,0)</f>
        <v>0.4170553227334311</v>
      </c>
      <c r="FF101" s="106">
        <f>各项系数!$F$76/4*($MO101^2-ML101^2)*10^-2*(VLOOKUP(L101,各项系数!$D$1:$F$143,3,0))*10^-3*10^2*$EO101*各项系数!$J$4</f>
        <v>1.1153499839254415E-2</v>
      </c>
      <c r="FG101" s="264">
        <f>FF101*VLOOKUP(L101,各项系数!$D$1:$F$143,2,0)</f>
        <v>0.11376569836039503</v>
      </c>
      <c r="FH101" s="237">
        <f t="shared" si="410"/>
        <v>5.204127657782609E-2</v>
      </c>
      <c r="FI101" s="106">
        <v>1</v>
      </c>
      <c r="FJ101" s="78">
        <f t="shared" si="446"/>
        <v>5.204127657782609E-2</v>
      </c>
      <c r="FK101" s="264">
        <f>FJ101*VLOOKUP(L101,各项系数!$D$1:$F$143,2,0)</f>
        <v>0.53082102109382612</v>
      </c>
      <c r="FL101" s="237"/>
      <c r="FM101" s="106"/>
      <c r="FN101" s="78"/>
      <c r="FO101" s="264"/>
      <c r="FP101" s="289">
        <f t="shared" si="447"/>
        <v>5.204127657782609E-2</v>
      </c>
      <c r="FQ101" s="289">
        <f t="shared" si="448"/>
        <v>0.53082102109382612</v>
      </c>
      <c r="FR101" s="283">
        <f>各项系数!$F$76/4*($MQ101^2-$MN101^2*$EG101-$MO101^2*$EO101)*10^-2</f>
        <v>0.5372475669517065</v>
      </c>
      <c r="FS101" s="284">
        <f t="shared" si="411"/>
        <v>1</v>
      </c>
      <c r="FT101" s="285">
        <f t="shared" si="361"/>
        <v>0.5372475669517065</v>
      </c>
      <c r="FU101" s="309">
        <f>$FT101*(VLOOKUP($FT$9,各项系数!$D$1:$F$143,3,0))*10^-3*10^2*各项系数!$J$55</f>
        <v>6.4147359494033759E-2</v>
      </c>
      <c r="FV101" s="310">
        <v>1</v>
      </c>
      <c r="FW101" s="311">
        <f t="shared" si="449"/>
        <v>6.4147359494033759E-2</v>
      </c>
      <c r="FX101" s="290">
        <f>FW101*(VLOOKUP($FT$9,各项系数!$D$1:$F$143,2,0))</f>
        <v>0.19244207848210126</v>
      </c>
      <c r="FY101" s="309">
        <f>IF($BK101&lt;&gt;$FY$9,0,各项系数!$F$76/4*($MS101^2-$MQ101^2)*10^-2*(VLOOKUP($FY$9,各项系数!$D$1:$F$143,3,0))*10^-3*10^2)*各项系数!$J$4</f>
        <v>0</v>
      </c>
      <c r="FZ101" s="310">
        <v>1</v>
      </c>
      <c r="GA101" s="311">
        <f t="shared" si="450"/>
        <v>0</v>
      </c>
      <c r="GB101" s="290">
        <f>GA101*(VLOOKUP($FY$9,各项系数!$D$1:$F$143,2,0))</f>
        <v>0</v>
      </c>
      <c r="GC101" s="309">
        <f>IF($BK101&lt;&gt;$GC$9,0,各项系数!$F$76/4*($MS101^2-$MQ101^2)*10^-2*(VLOOKUP($GC$9,各项系数!$D$1:$F$143,3,0))*10^-3*10^2)*各项系数!$J$4</f>
        <v>4.0475865717343462E-3</v>
      </c>
      <c r="GD101" s="310">
        <v>1</v>
      </c>
      <c r="GE101" s="311">
        <f t="shared" si="451"/>
        <v>4.0475865717343462E-3</v>
      </c>
      <c r="GF101" s="290">
        <f>GE101*(VLOOKUP($GC$9,各项系数!$D$1:$F$143,2,0))</f>
        <v>5.2213866775373069E-2</v>
      </c>
      <c r="GG101" s="309">
        <f>IF($BK101&lt;&gt;$GG$9,0,各项系数!$F$76/4*($MS101^2-$MQ101^2)*10^-2*(VLOOKUP($GG$9,各项系数!$D$1:$F$143,3,0))*10^-3*10^2)*各项系数!$J$4</f>
        <v>0</v>
      </c>
      <c r="GH101" s="310">
        <v>1</v>
      </c>
      <c r="GI101" s="311">
        <f t="shared" si="452"/>
        <v>0</v>
      </c>
      <c r="GJ101" s="290">
        <f>GI101*(VLOOKUP($GG$9,各项系数!$D$1:$F$143,2,0))</f>
        <v>0</v>
      </c>
      <c r="GK101" s="309">
        <f>IF($BK101&lt;&gt;$GK$9,0,各项系数!$F$76/4*($MS101^2-$MQ101^2)*10^-2*(VLOOKUP($GK$9,各项系数!$D$1:$F$143,3,0))*10^-3*10^2)*各项系数!$J$4</f>
        <v>0</v>
      </c>
      <c r="GL101" s="310">
        <v>1</v>
      </c>
      <c r="GM101" s="311">
        <f t="shared" si="453"/>
        <v>0</v>
      </c>
      <c r="GN101" s="290">
        <f>GM101*(VLOOKUP($GK$9,各项系数!$D$1:$F$143,2,0))</f>
        <v>0</v>
      </c>
      <c r="GO101" s="311">
        <f t="shared" si="454"/>
        <v>4.0475865717343462E-3</v>
      </c>
      <c r="GP101" s="311">
        <f t="shared" si="455"/>
        <v>5.2213866775373069E-2</v>
      </c>
      <c r="GQ101" s="317">
        <f>各项系数!$F$76/4*($MU101^2-$MS101^2)*10^-2*(VLOOKUP($S101,各项系数!$D$1:$F$143,3,0))*10^-3*10^2*各项系数!$J$4</f>
        <v>0.11184025794242559</v>
      </c>
      <c r="GR101" s="310">
        <v>1</v>
      </c>
      <c r="GS101" s="311">
        <f t="shared" si="456"/>
        <v>0.11184025794242559</v>
      </c>
      <c r="GT101" s="311">
        <f t="shared" si="457"/>
        <v>0</v>
      </c>
      <c r="GU101" s="311">
        <f>ROUND($GS101*(VLOOKUP($S101,各项系数!$D$1:$F$143,2,0))+$E$3*GS101,GT101)</f>
        <v>1</v>
      </c>
      <c r="GV101" s="315">
        <f>各项系数!$F$76/4*($MT101^2-$MS101^2)*10^-2*(VLOOKUP($GV$9,各项系数!$D$1:$F$143,3,0))*10^-3*10^2*各项系数!$J$4*PI()/4*R101</f>
        <v>2.0995745792502487E-2</v>
      </c>
      <c r="GW101" s="310">
        <v>1</v>
      </c>
      <c r="GX101" s="311">
        <f t="shared" si="458"/>
        <v>2.0995745792502487E-2</v>
      </c>
      <c r="GY101" s="311">
        <f>$GX101*(VLOOKUP($GV$9,各项系数!$D$1:$F$143,2,0))</f>
        <v>1.417212840993918</v>
      </c>
      <c r="GZ101" s="317">
        <f>各项系数!$F$76/4*($MV101^2-$MS101^2)*10^-2*(VLOOKUP($GZ$9,各项系数!$D$1:$F$143,3,0))*10^-3*10^2*各项系数!$J$4</f>
        <v>0.13666370097937505</v>
      </c>
      <c r="HA101" s="310">
        <v>1</v>
      </c>
      <c r="HB101" s="311">
        <f t="shared" si="412"/>
        <v>0.13666370097937505</v>
      </c>
      <c r="HC101" s="311">
        <f>HB101*(VLOOKUP($GZ$9,各项系数!$D$1:$F$143,2,0))</f>
        <v>2.3232829166493758</v>
      </c>
      <c r="HD101" s="317">
        <f>各项系数!$F$76/4*($MW101^2-$MT101^2)*10^-2*(VLOOKUP($HD$9,各项系数!$D$1:$F$143,3,0))*10^-3*10^2*各项系数!$J$4</f>
        <v>0.13796907042605358</v>
      </c>
      <c r="HE101" s="310">
        <v>1</v>
      </c>
      <c r="HF101" s="311">
        <f t="shared" si="413"/>
        <v>0.13796907042605358</v>
      </c>
      <c r="HG101" s="311">
        <f>HF101*(VLOOKUP($HD$9,各项系数!$D$1:$F$143,2,0))</f>
        <v>2.3454741972429107</v>
      </c>
      <c r="HH101" s="317">
        <f>各项系数!$F$76/4*($MV101^2-$MS101^2)*10^-2*(VLOOKUP($HH$9,各项系数!$D$1:$F$143,3,0))*10^-3*10^2*各项系数!$J$4</f>
        <v>0.13666370097937505</v>
      </c>
      <c r="HI101" s="311">
        <v>1</v>
      </c>
      <c r="HJ101" s="311">
        <f t="shared" si="414"/>
        <v>0.13666370097937505</v>
      </c>
      <c r="HK101" s="311">
        <f>HJ101*(VLOOKUP($HH$9,各项系数!$D$1:$F$143,2,0))</f>
        <v>2.3232829166493758</v>
      </c>
      <c r="HL101" s="317">
        <f>各项系数!$F$76/4*($MW101^2-$MT101^2)*10^-2*(VLOOKUP($HL$9,各项系数!$D$1:$F$143,3,0))*10^-3*10^2*各项系数!$J$4</f>
        <v>0.13796907042605358</v>
      </c>
      <c r="HM101" s="311">
        <v>1</v>
      </c>
      <c r="HN101" s="311">
        <f t="shared" si="362"/>
        <v>0.13796907042605358</v>
      </c>
      <c r="HO101" s="311">
        <f>HN101*(VLOOKUP($HL$9,各项系数!$D$1:$F$143,2,0))</f>
        <v>2.3454741972429107</v>
      </c>
      <c r="HP101" s="317">
        <f>各项系数!$F$76/4*($MV101^2-$MS101^2)*10^-2*(VLOOKUP(AN101,各项系数!$D$1:$F$143,3,0))*10^-3*10^2*各项系数!$J$4</f>
        <v>0.13854871754460782</v>
      </c>
      <c r="HQ101" s="310">
        <v>1</v>
      </c>
      <c r="HR101" s="311">
        <f t="shared" si="459"/>
        <v>0.13854871754460782</v>
      </c>
      <c r="HS101" s="311">
        <f>HR101*(VLOOKUP(AN101,各项系数!$D$1:$F$143,2,0))</f>
        <v>1.3854871754460782</v>
      </c>
      <c r="HT101" s="317">
        <f>各项系数!$F$76/4*($MW101^2-$MT101^2)*10^-2*(VLOOKUP(AN101,各项系数!$D$1:$F$143,3,0))*10^-3*10^2*各项系数!$J$4</f>
        <v>0.13987209208710255</v>
      </c>
      <c r="HU101" s="310">
        <v>1</v>
      </c>
      <c r="HV101" s="311">
        <f t="shared" si="460"/>
        <v>0.13987209208710255</v>
      </c>
      <c r="HW101" s="311">
        <f>HV101*(VLOOKUP(AN101,各项系数!$D$1:$F$143,2,0))</f>
        <v>1.3987209208710256</v>
      </c>
      <c r="HX101" s="317">
        <f>各项系数!$F$76/4*($MV101^2-$MS101^2)*10^-2*(VLOOKUP($HX$9,各项系数!$D$1:$F$143,3,0))*10^-3*10^2*各项系数!$J$4</f>
        <v>0.13854871754460782</v>
      </c>
      <c r="HY101" s="311">
        <v>1</v>
      </c>
      <c r="HZ101" s="311">
        <f t="shared" si="461"/>
        <v>0.13854871754460782</v>
      </c>
      <c r="IA101" s="311">
        <f>HZ101*(VLOOKUP($HX$9,各项系数!$D$1:$F$143,2,0))</f>
        <v>1.5240358929906861</v>
      </c>
      <c r="IB101" s="317">
        <f>各项系数!$F$76/4*($MW101^2-$MT101^2)*10^-2*(VLOOKUP($IB$9,各项系数!$D$1:$F$143,3,0))*10^-3*10^2*各项系数!$J$4</f>
        <v>0.13987209208710255</v>
      </c>
      <c r="IC101" s="311">
        <v>1</v>
      </c>
      <c r="ID101" s="311">
        <f t="shared" si="462"/>
        <v>0.13987209208710255</v>
      </c>
      <c r="IE101" s="311">
        <f>ID101*(VLOOKUP($IB$9,各项系数!$D$1:$F$143,2,0))</f>
        <v>1.538593012958128</v>
      </c>
      <c r="IF101" s="309"/>
      <c r="IG101" s="317">
        <f t="shared" si="415"/>
        <v>2.8163096089295833E-2</v>
      </c>
      <c r="IH101" s="310">
        <v>1</v>
      </c>
      <c r="II101" s="311">
        <f t="shared" si="463"/>
        <v>2.8163096089295833E-2</v>
      </c>
      <c r="IJ101" s="311">
        <f>II101*(VLOOKUP($IG$8,各项系数!$D$1:$F$143,2,0))</f>
        <v>0.70407740223239579</v>
      </c>
      <c r="IK101" s="317">
        <f>(各项系数!$F$76/4*($MX101^2-$MK101^2)*$EG101)*10^-2*(VLOOKUP($IG$8,各项系数!$D$1:$F$143,3,0))*10^-3*10^2*各项系数!$J$4</f>
        <v>2.2207476205352534E-2</v>
      </c>
      <c r="IL101" s="310">
        <f>IK101*(VLOOKUP($IG$8,各项系数!$D$1:$F$143,2,0))</f>
        <v>0.5551869051338133</v>
      </c>
      <c r="IM101" s="311">
        <f>(各项系数!$F$76/4*(($MM101+3*$X101)^2-MM101^2)*$EO101)*10^-2*(VLOOKUP($IG$8,各项系数!$D$1:$F$143,3,0))*10^-3*10^2*各项系数!$J$4</f>
        <v>5.9556198839432993E-3</v>
      </c>
      <c r="IN101" s="310">
        <f>IM101*(VLOOKUP($IG$8,各项系数!$D$1:$F$143,2,0))</f>
        <v>0.14889049709858249</v>
      </c>
      <c r="IO101" s="317">
        <f>各项系数!$F$76/4*($MZ101^2-$MX101^2)*10^-2*(VLOOKUP(L101,各项系数!$D$1:$F$143,3,0))*10^-3*10^2*$ES101*各项系数!$J$4</f>
        <v>6.0293670559143739E-2</v>
      </c>
      <c r="IP101" s="310">
        <v>1</v>
      </c>
      <c r="IQ101" s="311">
        <f t="shared" si="464"/>
        <v>6.0293670559143739E-2</v>
      </c>
      <c r="IR101" s="290">
        <f>IQ101*(VLOOKUP(L101,各项系数!$D$1:$F$143,2,0))</f>
        <v>0.61499543970326609</v>
      </c>
      <c r="IS101" s="317">
        <f>IF($L101&lt;&gt;$IS$9,0,各项系数!$F$76/4*($MZ101^2-$MX101^2)*10^-2*各项系数!$F$12*10^-3*10^2)*$ES101*各项系数!$J$4</f>
        <v>0</v>
      </c>
      <c r="IT101" s="310">
        <v>1</v>
      </c>
      <c r="IU101" s="311">
        <f t="shared" si="465"/>
        <v>0</v>
      </c>
      <c r="IV101" s="290">
        <f>IU101*各项系数!$E$12</f>
        <v>0</v>
      </c>
      <c r="IW101" s="309">
        <f t="shared" si="466"/>
        <v>6.0293670559143739E-2</v>
      </c>
      <c r="IX101" s="309">
        <f t="shared" si="467"/>
        <v>0.61499543970326609</v>
      </c>
      <c r="IY101" s="339">
        <f>各项系数!$F$76/4*($NB101^2-$MZ101^2*$EG101-$NA101^2*$EO101)*10^-2</f>
        <v>0.64931667954590055</v>
      </c>
      <c r="IZ101" s="284">
        <f t="shared" si="487"/>
        <v>1</v>
      </c>
      <c r="JA101" s="285">
        <f t="shared" si="363"/>
        <v>0.64931667954590055</v>
      </c>
      <c r="JB101" s="289">
        <f>IF($DE101&lt;&gt;$JB$9,0,$JA101*各项系数!$F$32*10^-3*10^2)*各项系数!$J$4</f>
        <v>0</v>
      </c>
      <c r="JC101" s="106">
        <v>1</v>
      </c>
      <c r="JD101" s="78">
        <f t="shared" si="468"/>
        <v>0</v>
      </c>
      <c r="JE101" s="264">
        <f>JD101*各项系数!$E$32</f>
        <v>0</v>
      </c>
      <c r="JF101" s="282">
        <f>IF($DE101&lt;&gt;$JF$9,0,$JA101*VLOOKUP($JF$9,各项系数!$D$4:$F$540,2,0)*10^-3*10^2)*各项系数!$J$4</f>
        <v>0.32303504807408551</v>
      </c>
      <c r="JG101" s="102">
        <v>1</v>
      </c>
      <c r="JH101" s="189">
        <f t="shared" si="364"/>
        <v>0.32303504807408551</v>
      </c>
      <c r="JI101" s="262">
        <f>JH101*VLOOKUP($JF$9,各项系数!$D$4:$F$540,3,0)</f>
        <v>0.38764205768890259</v>
      </c>
      <c r="JJ101" s="289">
        <f t="shared" si="469"/>
        <v>0.32303504807408551</v>
      </c>
      <c r="JK101" s="78">
        <f t="shared" si="470"/>
        <v>0.38764205768890259</v>
      </c>
      <c r="JL101" s="289">
        <f>IF($DF101&lt;&gt;$JL$9,0,各项系数!$F$76/4*($NE101^2-$NC101^2)*10^-2*各项系数!$F$39*10^-3*10^2)*各项系数!$J$4</f>
        <v>1.8395536982967083E-3</v>
      </c>
      <c r="JM101" s="106">
        <v>1</v>
      </c>
      <c r="JN101" s="78">
        <f t="shared" si="471"/>
        <v>1.8395536982967083E-3</v>
      </c>
      <c r="JO101" s="264">
        <f>JN101*各项系数!$E$39</f>
        <v>3.6791073965934167E-2</v>
      </c>
      <c r="JP101" s="289">
        <f>IF($DF101&lt;&gt;$JP$9,0,各项系数!$F$76/4*($NE101^2-$NC101^2)*10^-2*各项系数!$F$36*10^-3*10^2)*各项系数!$J$4</f>
        <v>0</v>
      </c>
      <c r="JQ101" s="106">
        <v>1</v>
      </c>
      <c r="JR101" s="78">
        <f t="shared" si="472"/>
        <v>0</v>
      </c>
      <c r="JS101" s="264">
        <f>JR101*各项系数!$E$36</f>
        <v>0</v>
      </c>
      <c r="JT101" s="289">
        <f>IF($DF101&lt;&gt;$JT$9,0,各项系数!$F$76/4*($NE101^2-$NC101^2)*10^-2*各项系数!$F$40*10^-3*10^2)*各项系数!$J$4</f>
        <v>0</v>
      </c>
      <c r="JU101" s="106">
        <v>1</v>
      </c>
      <c r="JV101" s="78">
        <f t="shared" si="473"/>
        <v>0</v>
      </c>
      <c r="JW101" s="264">
        <f>JV101*各项系数!$E$40</f>
        <v>0</v>
      </c>
      <c r="JX101" s="289">
        <f>IF($DF101&lt;&gt;$JX$9,0,各项系数!$F$76/4*($NE101^2-$NC101^2)*10^-2*各项系数!$F$38*10^-3*10^2)*各项系数!$J$4</f>
        <v>0</v>
      </c>
      <c r="JY101" s="106">
        <v>1</v>
      </c>
      <c r="JZ101" s="78">
        <f t="shared" si="474"/>
        <v>0</v>
      </c>
      <c r="KA101" s="264">
        <f>JZ101*各项系数!$E$38</f>
        <v>0</v>
      </c>
      <c r="KB101" s="289">
        <f>IF($DF101&lt;&gt;$KB$9,0,各项系数!$F$76/4*($NE101^2-$NC101^2)*10^-2*各项系数!$F$41*10^-3*10^2)*各项系数!$J$4</f>
        <v>0</v>
      </c>
      <c r="KC101" s="106">
        <v>1</v>
      </c>
      <c r="KD101" s="78">
        <f t="shared" si="475"/>
        <v>0</v>
      </c>
      <c r="KE101" s="264">
        <f>KD101*各项系数!$E$41</f>
        <v>0</v>
      </c>
      <c r="KF101" s="78">
        <f t="shared" si="476"/>
        <v>1.8395536982967083E-3</v>
      </c>
      <c r="KG101" s="78">
        <f t="shared" si="477"/>
        <v>3.6791073965934167E-2</v>
      </c>
      <c r="KH101" s="237">
        <f>各项系数!$F$76/4*($NG101^2-$NE101^2)*10^-2*各项系数!$F$44*10^-3*10^2*各项系数!$J$4*0.75*$U101</f>
        <v>0.18443636906310659</v>
      </c>
      <c r="KI101" s="106">
        <v>1</v>
      </c>
      <c r="KJ101" s="78">
        <f t="shared" si="478"/>
        <v>0.18443636906310659</v>
      </c>
      <c r="KK101" s="78">
        <f>ROUND(KJ101*各项系数!$E$43,GT101)</f>
        <v>1</v>
      </c>
      <c r="KL101" s="235">
        <f>各项系数!$F$76/4*($NF101^2-$NE101^2)*10^-2*各项系数!$F$46*10^-3*10^2*各项系数!$J$4*PI()/4*R101</f>
        <v>2.311334502582171E-2</v>
      </c>
      <c r="KM101" s="106">
        <v>1</v>
      </c>
      <c r="KN101" s="78">
        <f t="shared" si="479"/>
        <v>2.311334502582171E-2</v>
      </c>
      <c r="KO101" s="78">
        <f>KN101*各项系数!$E$46</f>
        <v>1.5601507892429654</v>
      </c>
      <c r="KP101" s="237">
        <f>各项系数!$F$76/4*($NH101^2-$NE101^2)*10^-2*(VLOOKUP($KP$9,各项系数!$D$1:$F$143,3,0))*10^-3*10^2*各项系数!$J$4</f>
        <v>0.14903207648665309</v>
      </c>
      <c r="KQ101" s="106">
        <v>1</v>
      </c>
      <c r="KR101" s="78">
        <f t="shared" si="416"/>
        <v>0.14903207648665309</v>
      </c>
      <c r="KS101" s="78">
        <f>KR101*(VLOOKUP($KP$9,各项系数!$D$1:$F$143,2,0))</f>
        <v>2.5335453002731025</v>
      </c>
      <c r="KT101" s="237">
        <f>各项系数!$F$76/4*($NI101^2-$NF101^2)*10^-2*(VLOOKUP($KT$9,各项系数!$D$1:$F$143,3,0))*10^-3*10^2*各项系数!$J$4</f>
        <v>0.15033744593333148</v>
      </c>
      <c r="KU101" s="106">
        <v>1</v>
      </c>
      <c r="KV101" s="78">
        <f t="shared" si="417"/>
        <v>0.15033744593333148</v>
      </c>
      <c r="KW101" s="78">
        <f>KV101*(VLOOKUP($KT$9,各项系数!$D$1:$F$143,2,0))</f>
        <v>2.5557365808666352</v>
      </c>
      <c r="KX101" s="78">
        <f>各项系数!$F$76/4*($NH101^2-$NE101^2)*10^-2*(VLOOKUP($KX$9,各项系数!$D$1:$F$143,3,0))*10^-3*10^2*各项系数!$J$4</f>
        <v>0.14903207648665309</v>
      </c>
      <c r="KY101" s="355">
        <v>1</v>
      </c>
      <c r="KZ101" s="78">
        <f t="shared" si="418"/>
        <v>0.14903207648665309</v>
      </c>
      <c r="LA101" s="78">
        <f>KZ101*(VLOOKUP($KX$9,各项系数!$D$1:$F$143,2,0))</f>
        <v>2.5335453002731025</v>
      </c>
      <c r="LB101" s="78">
        <f>各项系数!$F$76/4*($NI101^2-$NF101^2)*10^-2*(VLOOKUP($LB$9,各项系数!$D$1:$F$143,3,0))*10^-3*10^2*各项系数!$J$4</f>
        <v>0.15033744593333148</v>
      </c>
      <c r="LC101" s="355">
        <v>1</v>
      </c>
      <c r="LD101" s="78">
        <f t="shared" si="419"/>
        <v>0.15033744593333148</v>
      </c>
      <c r="LE101" s="78">
        <f>LD101*(VLOOKUP($LB$9,各项系数!$D$1:$F$143,2,0))</f>
        <v>2.5557365808666352</v>
      </c>
      <c r="LF101" s="237">
        <f>各项系数!$F$76/4*($NH101^2-$NE101^2)*10^-2*(VLOOKUP(AN101,各项系数!$D$1:$F$143,3,0))*10^-3*10^2*各项系数!$J$4</f>
        <v>0.15108769133474487</v>
      </c>
      <c r="LG101" s="106">
        <v>1</v>
      </c>
      <c r="LH101" s="78">
        <f t="shared" si="480"/>
        <v>0.15108769133474487</v>
      </c>
      <c r="LI101" s="78">
        <f>LH101*(VLOOKUP(AN101,各项系数!$D$1:$F$143,2,0))</f>
        <v>1.5108769133474487</v>
      </c>
      <c r="LJ101" s="237">
        <f>各项系数!$F$76/4*($NI101^2-$NF101^2)*10^-2*(VLOOKUP(AN101,各项系数!$D$1:$F$143,3,0))*10^-3*10^2*各项系数!$J$4</f>
        <v>0.15241106587723949</v>
      </c>
      <c r="LK101" s="106">
        <v>1</v>
      </c>
      <c r="LL101" s="78">
        <f t="shared" si="481"/>
        <v>0.15241106587723949</v>
      </c>
      <c r="LM101" s="78">
        <f>LL101*(VLOOKUP(AN101,各项系数!$D$1:$F$143,2,0))</f>
        <v>1.5241106587723949</v>
      </c>
      <c r="LN101" s="78">
        <f>各项系数!$F$76/4*($NH101^2-$NE101^2)*10^-2*(VLOOKUP($LN$9,各项系数!$D$1:$F$143,3,0))*10^-3*10^2*各项系数!$J$4</f>
        <v>0.15108769133474487</v>
      </c>
      <c r="LO101" s="355">
        <v>1</v>
      </c>
      <c r="LP101" s="78">
        <f t="shared" si="482"/>
        <v>0.15108769133474487</v>
      </c>
      <c r="LQ101" s="78">
        <f>LP101*(VLOOKUP($LN$9,各项系数!$D$1:$F$143,2,0))</f>
        <v>1.6619646046821934</v>
      </c>
      <c r="LR101" s="78">
        <f>各项系数!$F$76/4*($NI101^2-$NF101^2)*10^-2*(VLOOKUP($LR$9,各项系数!$D$1:$F$143,3,0))*10^-3*10^2*各项系数!$J$4</f>
        <v>0.15241106587723949</v>
      </c>
      <c r="LS101" s="355">
        <v>1</v>
      </c>
      <c r="LT101" s="78">
        <f t="shared" si="483"/>
        <v>0.15241106587723949</v>
      </c>
      <c r="LU101" s="78">
        <f>LT101*(VLOOKUP($LR$9,各项系数!$D$1:$F$143,2,0))</f>
        <v>1.6765217246496344</v>
      </c>
      <c r="LV101" s="367">
        <f t="shared" si="420"/>
        <v>58.024708889999999</v>
      </c>
      <c r="LW101" s="367">
        <f t="shared" si="421"/>
        <v>45.130329140000001</v>
      </c>
      <c r="LX101" s="367">
        <f t="shared" si="422"/>
        <v>7.5803508974164018</v>
      </c>
      <c r="LY101" s="367">
        <f t="shared" si="423"/>
        <v>12.894379749999999</v>
      </c>
      <c r="LZ101" s="374">
        <f t="shared" si="365"/>
        <v>1</v>
      </c>
      <c r="MA101" s="375">
        <f t="shared" si="366"/>
        <v>58.024708889999999</v>
      </c>
      <c r="MB101" s="367">
        <f t="shared" si="424"/>
        <v>4.9625045400000003</v>
      </c>
      <c r="MC101" s="367">
        <f t="shared" si="425"/>
        <v>12.15453832</v>
      </c>
      <c r="MD101" s="367">
        <f t="shared" si="426"/>
        <v>9.4535298099999991</v>
      </c>
      <c r="ME101" s="367">
        <f t="shared" si="427"/>
        <v>3.4693814998389394</v>
      </c>
      <c r="MF101" s="367">
        <f t="shared" si="428"/>
        <v>2.7010085100000012</v>
      </c>
      <c r="MG101" s="379">
        <f t="shared" si="429"/>
        <v>1</v>
      </c>
      <c r="MH101" s="375">
        <f t="shared" si="367"/>
        <v>12.15453832</v>
      </c>
      <c r="MI101" s="367">
        <f t="shared" si="430"/>
        <v>3.9339088496078416</v>
      </c>
      <c r="MJ101" s="78">
        <f t="shared" si="368"/>
        <v>4.9625045400000003</v>
      </c>
      <c r="MK101" s="78">
        <f t="shared" si="431"/>
        <v>4.9625045400000003</v>
      </c>
      <c r="ML101" s="78">
        <f t="shared" si="484"/>
        <v>3.9339088499529895</v>
      </c>
      <c r="MM101" s="78">
        <f t="shared" si="369"/>
        <v>3.9339088496078416</v>
      </c>
      <c r="MN101" s="78">
        <f t="shared" si="370"/>
        <v>6.3625045399999998</v>
      </c>
      <c r="MO101" s="189">
        <f t="shared" si="432"/>
        <v>5.3339088496078411</v>
      </c>
      <c r="MP101" s="78">
        <f t="shared" si="433"/>
        <v>14.774960589999999</v>
      </c>
      <c r="MQ101" s="78">
        <f t="shared" si="485"/>
        <v>14.774960589999999</v>
      </c>
      <c r="MR101" s="246">
        <f t="shared" si="434"/>
        <v>14.774960589999999</v>
      </c>
      <c r="MS101" s="380">
        <f t="shared" si="371"/>
        <v>14.950960589999999</v>
      </c>
      <c r="MT101" s="382">
        <f t="shared" si="372"/>
        <v>15.110960589999999</v>
      </c>
      <c r="MU101" s="382">
        <f t="shared" si="373"/>
        <v>15.550960589999999</v>
      </c>
      <c r="MV101" s="382">
        <f t="shared" si="374"/>
        <v>18.550960589999999</v>
      </c>
      <c r="MW101" s="382">
        <f t="shared" si="375"/>
        <v>18.710960589999999</v>
      </c>
      <c r="MX101" s="246">
        <f t="shared" si="376"/>
        <v>5.5625045400000008</v>
      </c>
      <c r="MY101" s="246">
        <f t="shared" si="377"/>
        <v>4.5339088496078421</v>
      </c>
      <c r="MZ101" s="78">
        <f t="shared" si="378"/>
        <v>6.9625045400000012</v>
      </c>
      <c r="NA101" s="78">
        <f t="shared" si="379"/>
        <v>5.9339088496078425</v>
      </c>
      <c r="NB101" s="78">
        <f t="shared" si="435"/>
        <v>16.226960590000001</v>
      </c>
      <c r="NC101" s="246">
        <f t="shared" si="486"/>
        <v>16.226960590000001</v>
      </c>
      <c r="ND101" s="246">
        <f t="shared" si="436"/>
        <v>16.226960590000001</v>
      </c>
      <c r="NE101" s="386">
        <f t="shared" si="437"/>
        <v>16.466960589999999</v>
      </c>
      <c r="NF101" s="382">
        <f t="shared" si="380"/>
        <v>16.626960589999999</v>
      </c>
      <c r="NG101" s="150">
        <f t="shared" si="381"/>
        <v>17.066960590000001</v>
      </c>
      <c r="NH101" s="246">
        <f t="shared" si="382"/>
        <v>20.066960590000001</v>
      </c>
      <c r="NI101" s="382">
        <f t="shared" si="383"/>
        <v>20.226960590000001</v>
      </c>
      <c r="NK101" s="390">
        <f t="shared" si="384"/>
        <v>0.7580737612848879</v>
      </c>
      <c r="NL101" s="390">
        <f t="shared" si="385"/>
        <v>34.24759338251954</v>
      </c>
      <c r="NM101" s="390">
        <f t="shared" si="386"/>
        <v>0.7580737612848879</v>
      </c>
      <c r="NN101" s="390">
        <f t="shared" si="387"/>
        <v>34.386142100064149</v>
      </c>
      <c r="NO101" s="390">
        <f t="shared" si="388"/>
        <v>1.0585100008969415</v>
      </c>
      <c r="NP101" s="390">
        <f t="shared" si="389"/>
        <v>35.376136926398289</v>
      </c>
      <c r="NQ101" s="390">
        <f t="shared" si="390"/>
        <v>1.0585100008969415</v>
      </c>
      <c r="NR101" s="390">
        <f t="shared" si="391"/>
        <v>35.52722461773304</v>
      </c>
      <c r="NS101" s="390">
        <f t="shared" si="392"/>
        <v>0.77906950707739042</v>
      </c>
      <c r="NT101" s="390">
        <f t="shared" si="393"/>
        <v>0.77906950707739042</v>
      </c>
      <c r="NU101" s="390">
        <f t="shared" si="394"/>
        <v>1.0816233459227631</v>
      </c>
      <c r="NV101" s="390">
        <f t="shared" si="395"/>
        <v>1.0816233459227631</v>
      </c>
      <c r="NW101" s="9">
        <f t="shared" si="396"/>
        <v>0.86991401922731348</v>
      </c>
      <c r="NX101" s="9">
        <f>各项系数!$M$9*NK101</f>
        <v>0.22742212838546635</v>
      </c>
      <c r="NY101" s="9">
        <f t="shared" si="397"/>
        <v>0.77906950707739031</v>
      </c>
    </row>
    <row r="102" spans="1:389" s="9" customFormat="1" ht="15" hidden="1" customHeight="1">
      <c r="A102" s="65"/>
      <c r="B102" s="66"/>
      <c r="C102" s="67"/>
      <c r="D102" s="58" t="s">
        <v>317</v>
      </c>
      <c r="E102" s="399">
        <f t="shared" si="325"/>
        <v>22.22047233</v>
      </c>
      <c r="F102" s="68">
        <f>$F$22</f>
        <v>208.046961644752</v>
      </c>
      <c r="G102" s="58"/>
      <c r="H102" s="16"/>
      <c r="I102" s="145">
        <f>$F$21</f>
        <v>165.41681820668899</v>
      </c>
      <c r="J102" s="62"/>
      <c r="K102" s="16"/>
      <c r="L102" s="107" t="s">
        <v>467</v>
      </c>
      <c r="M102" s="98">
        <f t="shared" si="339"/>
        <v>0.9</v>
      </c>
      <c r="N102" s="98">
        <f t="shared" si="340"/>
        <v>0.7</v>
      </c>
      <c r="O102" s="58">
        <f t="shared" si="493"/>
        <v>0.08</v>
      </c>
      <c r="P102" s="99">
        <v>0.1</v>
      </c>
      <c r="Q102" s="136">
        <f t="shared" si="489"/>
        <v>0.1</v>
      </c>
      <c r="R102" s="151">
        <v>0.8</v>
      </c>
      <c r="S102" s="144" t="str">
        <f>各项系数!$D$43</f>
        <v>钢带</v>
      </c>
      <c r="T102" s="62">
        <v>0.2</v>
      </c>
      <c r="U102" s="62">
        <v>2</v>
      </c>
      <c r="V102" s="143"/>
      <c r="W102" s="145">
        <v>1.8</v>
      </c>
      <c r="X102" s="139">
        <f t="shared" si="490"/>
        <v>0.2</v>
      </c>
      <c r="Y102" s="139"/>
      <c r="Z102" s="169"/>
      <c r="AA102" s="170">
        <f>$AA$22</f>
        <v>1.0109999999999999</v>
      </c>
      <c r="AB102" s="153">
        <f>PI()*EJ102*EJ102/4*EH102*(1-H102)*AA102*各项系数!$F$5*各项系数!$J$4*10^-7</f>
        <v>0.21280737466777744</v>
      </c>
      <c r="AC102" s="170">
        <f t="shared" si="327"/>
        <v>208.046961644752</v>
      </c>
      <c r="AD102" s="153">
        <f t="shared" si="341"/>
        <v>24.058128060751155</v>
      </c>
      <c r="AE102" s="153">
        <f>POWER(4*EU102/PI()/EG102/10^-7/EH102/(1-H102)/各项系数!$F$5/各项系数!$J$4,0.5)</f>
        <v>209.18809041233357</v>
      </c>
      <c r="AF102" s="16">
        <f>$AA$21</f>
        <v>1.0109999999999999</v>
      </c>
      <c r="AG102" s="16">
        <f>IF(EM102=0,0,PI()*ER102*ER102/4*EP102*(1-K102)*(1+AF102)*各项系数!$F$5*各项系数!$J$4*10^-7)</f>
        <v>0.2675987987289089</v>
      </c>
      <c r="AH102" s="16">
        <f t="shared" si="328"/>
        <v>165.41681820668899</v>
      </c>
      <c r="AI102" s="69">
        <f t="shared" si="398"/>
        <v>15.208920956666134</v>
      </c>
      <c r="AJ102" s="69">
        <f>IF(OR(EP102="",EP102=0),0,POWER(4*EW102/PI()/EO102/10^-7/EP102/(1-K102)/各项系数!$F$5/各项系数!$J$4,0.5))</f>
        <v>166.32412244418023</v>
      </c>
      <c r="AK102" s="16">
        <f t="shared" si="342"/>
        <v>0.77295339477157055</v>
      </c>
      <c r="AL102" s="16">
        <f t="shared" si="329"/>
        <v>55.233801832571558</v>
      </c>
      <c r="AM102" s="106">
        <f t="shared" si="330"/>
        <v>25</v>
      </c>
      <c r="AN102" s="107" t="s">
        <v>486</v>
      </c>
      <c r="AO102" s="146">
        <f>AP102+各项系数!$M$9*$NK102</f>
        <v>54.150786110364272</v>
      </c>
      <c r="AP102" s="146">
        <f>AQ102*(1+$BI102+(VLOOKUP($AM102,$A$12:$B$323,2,0))+各项系数!$J$6+各项系数!$M$5)*(1+$E$2)</f>
        <v>53.8089052193057</v>
      </c>
      <c r="AQ102" s="199">
        <f>AR102+各项系数!$L$9*$NK102</f>
        <v>54.907046142148673</v>
      </c>
      <c r="AR102" s="199">
        <f>AS102*(1+$BJ102+各项系数!$J$5+各项系数!$L$5)</f>
        <v>54.5651652510901</v>
      </c>
      <c r="AS102" s="199">
        <f t="shared" si="399"/>
        <v>53.495260050088334</v>
      </c>
      <c r="AT102" s="146">
        <f>AU102+各项系数!$M$9*$NM102</f>
        <v>55.293560686711125</v>
      </c>
      <c r="AU102" s="146">
        <f>AV102*(1+$BI102+(VLOOKUP($AM102,$A$12:$B$323,2,0))+各项系数!$J$6+各项系数!$M$5)*(1+$E$2)</f>
        <v>54.951679795652552</v>
      </c>
      <c r="AV102" s="199">
        <f>AW102+各项系数!$L$9*$NM102</f>
        <v>56.073142648625051</v>
      </c>
      <c r="AW102" s="199">
        <f>AX102*(1+$BJ102+各项系数!$J$5+各项系数!$L$5)</f>
        <v>55.731261757566479</v>
      </c>
      <c r="AX102" s="199">
        <f t="shared" si="400"/>
        <v>54.638491919182819</v>
      </c>
      <c r="AY102" s="146">
        <f>AZ102+各项系数!$M$9*$NS102</f>
        <v>55.942022745777663</v>
      </c>
      <c r="AZ102" s="146">
        <f>BA102*(1+$BI102+(VLOOKUP($AM102,$A$12:$B$214,2,0))+各项系数!$J$6+各项系数!$M$5)*(1+$E$2)</f>
        <v>55.59230542215932</v>
      </c>
      <c r="BA102" s="199">
        <f>BB102+各项系数!$L$9*$NS102</f>
        <v>56.726842267509511</v>
      </c>
      <c r="BB102" s="199">
        <f>BC102*(1+$BJ102+各项系数!$J$5+各项系数!$L$5)</f>
        <v>56.377124943891168</v>
      </c>
      <c r="BC102" s="199">
        <f t="shared" si="401"/>
        <v>55.271691121461927</v>
      </c>
      <c r="BD102" s="146">
        <f>BE102+各项系数!$M$9*$NS102</f>
        <v>57.093751274279029</v>
      </c>
      <c r="BE102" s="146">
        <f>BF102*(1+$BI102+(VLOOKUP($AM102,$A$12:$B$214,2,0))+各项系数!$J$6+各项系数!$M$5)*(1+$E$2)</f>
        <v>56.744033950660686</v>
      </c>
      <c r="BF102" s="199">
        <f>BG102+各项系数!$L$9*$NS102</f>
        <v>57.902075459857841</v>
      </c>
      <c r="BG102" s="199">
        <f>BH102*(1+$BJ102+各项系数!$J$5+各项系数!$L$5)</f>
        <v>57.552358136239498</v>
      </c>
      <c r="BH102" s="199">
        <f t="shared" si="402"/>
        <v>56.423880525724996</v>
      </c>
      <c r="BI102" s="214"/>
      <c r="BJ102" s="215"/>
      <c r="BK102" s="78" t="s">
        <v>514</v>
      </c>
      <c r="BL102" s="146">
        <f>BM102+各项系数!$M$9*$NM102</f>
        <v>54.845526897602483</v>
      </c>
      <c r="BM102" s="146">
        <f>BN102*(1+$CF102+(VLOOKUP($AM102,$A$12:$B$323,2,0))+各项系数!$J$6+各项系数!$M$5)*(1+$E$2)</f>
        <v>54.50364600654391</v>
      </c>
      <c r="BN102" s="199">
        <f>BO102+各项系数!$L$9*$NM102</f>
        <v>55.615965312799908</v>
      </c>
      <c r="BO102" s="199">
        <f>BP102*(1+$CG102+各项系数!$J$5+各项系数!$L$5)</f>
        <v>55.274084421741335</v>
      </c>
      <c r="BP102" s="199">
        <f t="shared" si="403"/>
        <v>53.664159632758576</v>
      </c>
      <c r="BQ102" s="146">
        <f>BR102+各项系数!$M$9*$NM102</f>
        <v>55.829017907519109</v>
      </c>
      <c r="BR102" s="146">
        <f>BS102*(1+$CF102+(VLOOKUP($AM102,$A$12:$B$323,2,0))+各项系数!$J$6+各项系数!$M$5)*(1+$E$2)</f>
        <v>55.487137016460537</v>
      </c>
      <c r="BS102" s="199">
        <f>BT102+各项系数!$L$9*$NM102</f>
        <v>56.619527567816874</v>
      </c>
      <c r="BT102" s="199">
        <f>BU102*(1+$CG102+各项系数!$J$5+各项系数!$L$5)</f>
        <v>56.277646676758302</v>
      </c>
      <c r="BU102" s="199">
        <f t="shared" si="404"/>
        <v>54.638491919182819</v>
      </c>
      <c r="BV102" s="146">
        <f>BW102+各项系数!$M$9*$NT102</f>
        <v>56.320883529724419</v>
      </c>
      <c r="BW102" s="146">
        <f>BX102*(1+$CF102+(VLOOKUP($AM102,$A$12:$B$214,2,0))+各项系数!$J$6+各项系数!$M$5)*(1+$E$2)</f>
        <v>55.971166206106076</v>
      </c>
      <c r="BX102" s="199">
        <f>BY102+各项系数!$L$9*$NT$12</f>
        <v>57.113434904189873</v>
      </c>
      <c r="BY102" s="199">
        <f>BZ102*(1+$CG102+各项系数!$J$5+各项系数!$L$5)</f>
        <v>57.105171501034903</v>
      </c>
      <c r="BZ102" s="199">
        <f t="shared" si="343"/>
        <v>55.441914078674664</v>
      </c>
      <c r="CA102" s="146">
        <f>CB102+各项系数!$M$9*$NT102</f>
        <v>57.312080461377022</v>
      </c>
      <c r="CB102" s="146">
        <f>CC102*(1+$CF102+(VLOOKUP($AM102,$A$12:$B$214,2,0))+各项系数!$J$6+各项系数!$M$5)*(1+$E$2)</f>
        <v>56.962363137758679</v>
      </c>
      <c r="CC102" s="199">
        <f>CD102+各项系数!$L$9*$NT$12</f>
        <v>58.124860344651715</v>
      </c>
      <c r="CD102" s="199">
        <f>CE102*(1+$CG102+各项系数!$J$5+各项系数!$L$5)</f>
        <v>58.116596941496745</v>
      </c>
      <c r="CE102" s="199">
        <f t="shared" si="405"/>
        <v>56.423880525724996</v>
      </c>
      <c r="CF102" s="214">
        <f t="shared" si="406"/>
        <v>0</v>
      </c>
      <c r="CG102" s="214">
        <f t="shared" si="344"/>
        <v>0.01</v>
      </c>
      <c r="CH102" s="106"/>
      <c r="CI102" s="146">
        <f>CJ102+各项系数!$M$9*$NO102</f>
        <v>56.225068900151754</v>
      </c>
      <c r="CJ102" s="146">
        <f>CK102*(1+$DC102+(VLOOKUP($AM102,$A$12:$B$323,2,0))+各项系数!$J$6+各项系数!$M$5)*(1+$E$2)+各项系数!$M$9*$NK102</f>
        <v>55.746739192792141</v>
      </c>
      <c r="CK102" s="199">
        <f>CL102+各项系数!$L$9*$NO102</f>
        <v>56.535569695646501</v>
      </c>
      <c r="CL102" s="199">
        <f>CM102*(1+$DD102+各项系数!$J$5+各项系数!$L$5)</f>
        <v>56.057239988286888</v>
      </c>
      <c r="CM102" s="199">
        <f t="shared" si="345"/>
        <v>54.958078419889105</v>
      </c>
      <c r="CN102" s="146">
        <f>CO102+各项系数!$M$9*$NO102</f>
        <v>57.222495860953153</v>
      </c>
      <c r="CO102" s="146">
        <f>CP102*(1+$DC102+(VLOOKUP($AM102,$A$12:$B$323,2,0))+各项系数!$J$6+各项系数!$M$5)*(1+$E$2)+各项系数!$M$9*$NK102</f>
        <v>56.74416615359354</v>
      </c>
      <c r="CP102" s="199">
        <f>CQ102+各项系数!$L$9*$NO102</f>
        <v>57.553352308709151</v>
      </c>
      <c r="CQ102" s="199">
        <f>CR102*(1+$DD102+各项系数!$J$5+各项系数!$L$5)</f>
        <v>57.075022601349538</v>
      </c>
      <c r="CR102" s="199">
        <f t="shared" si="346"/>
        <v>55.955904511126995</v>
      </c>
      <c r="CS102" s="146">
        <f>CT102+各项系数!$M$9*$NU102</f>
        <v>57.841572208023194</v>
      </c>
      <c r="CT102" s="146">
        <f t="shared" si="347"/>
        <v>57.354669378238604</v>
      </c>
      <c r="CU102" s="199">
        <f>CV102+各项系数!$L$9*$NU102</f>
        <v>58.525172834937351</v>
      </c>
      <c r="CV102" s="199">
        <f>CW102*(1+$DD102+各项系数!$J$5+各项系数!$L$5)</f>
        <v>58.038270005152761</v>
      </c>
      <c r="CW102" s="199">
        <f t="shared" si="348"/>
        <v>56.900264710934081</v>
      </c>
      <c r="CX102" s="146">
        <f>CY102+各项系数!$M$9*$NU102</f>
        <v>59.091682285822337</v>
      </c>
      <c r="CY102" s="146">
        <f t="shared" si="349"/>
        <v>58.604779456037747</v>
      </c>
      <c r="CZ102" s="199">
        <f>DA102+各项系数!$L$9*$NU102</f>
        <v>59.800795363303827</v>
      </c>
      <c r="DA102" s="199">
        <f>DB102*(1+$DD102+各项系数!$J$5+各项系数!$L$5)</f>
        <v>59.313892533519237</v>
      </c>
      <c r="DB102" s="199">
        <f t="shared" si="350"/>
        <v>58.150875032861997</v>
      </c>
      <c r="DC102" s="214">
        <f t="shared" si="498"/>
        <v>0</v>
      </c>
      <c r="DD102" s="214">
        <f t="shared" si="351"/>
        <v>0</v>
      </c>
      <c r="DE102" s="78" t="s">
        <v>498</v>
      </c>
      <c r="DF102" s="78" t="s">
        <v>513</v>
      </c>
      <c r="DG102" s="146">
        <f>DH102+各项系数!$M$9*$NQ102</f>
        <v>56.948822566630852</v>
      </c>
      <c r="DH102" s="146">
        <f>DI102*(1+$EA102+(VLOOKUP($AM102,$A$12:$B$323,2,0))+各项系数!$J$6+各项系数!$M$5)*(1+$E$2)+各项系数!$M$9*$NK102</f>
        <v>56.470492859271239</v>
      </c>
      <c r="DI102" s="199">
        <f>DJ102+各项系数!$L$9*$NQ102</f>
        <v>57.274093845114969</v>
      </c>
      <c r="DJ102" s="199">
        <f>DK102*(1+$EB102+各项系数!$J$5+各项系数!$L$5)</f>
        <v>56.795764137755356</v>
      </c>
      <c r="DK102" s="199">
        <f t="shared" si="352"/>
        <v>55.141518580345007</v>
      </c>
      <c r="DL102" s="146">
        <f>DM102+各项系数!$M$9*$NQ102</f>
        <v>58.016982391621539</v>
      </c>
      <c r="DM102" s="146">
        <f>DN102*(1+$EA102+(VLOOKUP($AM102,$A$12:$B$323,2,0))+各项系数!$J$6+各项系数!$M$5)*(1+$E$2)+各项系数!$M$9*$NK102</f>
        <v>57.538652684261926</v>
      </c>
      <c r="DN102" s="199">
        <f>DO102+各项系数!$L$9*$NQ102</f>
        <v>58.364052850207507</v>
      </c>
      <c r="DO102" s="199">
        <f>DP102*(1+$EB102+各项系数!$J$5+各项系数!$L$5)</f>
        <v>57.885723142847894</v>
      </c>
      <c r="DP102" s="199">
        <f t="shared" si="353"/>
        <v>56.199731206648437</v>
      </c>
      <c r="DQ102" s="146">
        <f>DR102+各项系数!$M$9*$NV102</f>
        <v>58.585695114417732</v>
      </c>
      <c r="DR102" s="146">
        <f t="shared" si="354"/>
        <v>58.098792284633141</v>
      </c>
      <c r="DS102" s="199">
        <f>DT102+各项系数!$L$9*$NV102</f>
        <v>59.284481923095043</v>
      </c>
      <c r="DT102" s="199">
        <f>DU102*(1+$EB102+各项系数!$J$5+各项系数!$L$5)</f>
        <v>58.797579093310453</v>
      </c>
      <c r="DU102" s="199">
        <f t="shared" si="355"/>
        <v>57.085028245932477</v>
      </c>
      <c r="DV102" s="146">
        <f>DW102+各项系数!$M$9*$NV102</f>
        <v>58.674936995001644</v>
      </c>
      <c r="DW102" s="146">
        <f t="shared" si="356"/>
        <v>58.188034165217054</v>
      </c>
      <c r="DX102" s="199">
        <f>DY102+各项系数!$L$9*$NV102</f>
        <v>59.375545066548014</v>
      </c>
      <c r="DY102" s="199">
        <f>DZ102*(1+$EB102+各项系数!$J$5+各项系数!$L$5)</f>
        <v>58.888642236763424</v>
      </c>
      <c r="DZ102" s="199">
        <f t="shared" si="357"/>
        <v>57.173439064818858</v>
      </c>
      <c r="EA102" s="214">
        <f t="shared" si="492"/>
        <v>0</v>
      </c>
      <c r="EB102" s="214">
        <f t="shared" si="358"/>
        <v>0.01</v>
      </c>
      <c r="EC102" s="235" t="str">
        <f t="shared" si="408"/>
        <v>3+1</v>
      </c>
      <c r="ED102" s="237" t="str">
        <f t="shared" si="494"/>
        <v>3*25</v>
      </c>
      <c r="EE102" s="78">
        <f t="shared" si="495"/>
        <v>25</v>
      </c>
      <c r="EF102" s="78" t="str">
        <f>LOOKUP(EH102,{1,7,10,14,19,24,30,37,48,61},{1,"1+6","2+8","4+10","1+6+12","2+8+14","4+10+16","1+6+12+18","3+9+15+21","1+6+12+18+24"})</f>
        <v>1+6</v>
      </c>
      <c r="EG102" s="106">
        <f t="shared" si="359"/>
        <v>3</v>
      </c>
      <c r="EH102" s="199">
        <f>VLOOKUP(EE102,各项系数!$B$87:$C$124,2,0)</f>
        <v>7</v>
      </c>
      <c r="EI102" s="106">
        <f>IF(EH102=0,0,VLOOKUP(EH102,各项系数!$D$142:$E$195,2,0))*1</f>
        <v>3</v>
      </c>
      <c r="EJ102" s="240">
        <f t="shared" si="409"/>
        <v>208.046961644752</v>
      </c>
      <c r="EK102" s="78" t="str">
        <f t="shared" si="332"/>
        <v>1*16</v>
      </c>
      <c r="EL102" s="78" t="str">
        <f t="shared" si="360"/>
        <v>16</v>
      </c>
      <c r="EM102" s="78">
        <f t="shared" si="496"/>
        <v>16</v>
      </c>
      <c r="EN102" s="78" t="str">
        <f>IF(EP102=0,0,LOOKUP(EP102,{1,7,10,14,19,24,30,37,48,61},{1,"1+6","2+8","4+10","1+6+12","2+8+14","4+10+16","1+6+12+18","3+9+15+21","1+6+12+18+24"}))</f>
        <v>1+6</v>
      </c>
      <c r="EO102" s="78" t="str">
        <f t="shared" si="334"/>
        <v>1</v>
      </c>
      <c r="EP102" s="78">
        <f>IF(EM102=0,0,IF(EM102&lt;10,1,IF(AND(EM102&gt;=10,EM102&lt;=35),7,LOOKUP(EM102,{50,70,95,120,150,185,240,300},{10,14,19,24,30,37,48,61})*1)))</f>
        <v>7</v>
      </c>
      <c r="EQ102" s="78">
        <f>IF(EP102=0,0,VLOOKUP(EP102,各项系数!$D$142:$E$195,2,0))*1</f>
        <v>3</v>
      </c>
      <c r="ER102" s="78">
        <f t="shared" si="335"/>
        <v>165.41681820668899</v>
      </c>
      <c r="ES102" s="237">
        <f t="shared" si="497"/>
        <v>4</v>
      </c>
      <c r="ET102" s="78">
        <f>VLOOKUP(ES102,各项系数!$D$142:$E$195,2,0)*1</f>
        <v>2.42</v>
      </c>
      <c r="EU102" s="243">
        <f>((各项系数!$F$76/4*$EJ102^2*$EG102*$EH102*1*10^-7)*(1-$H102)*AA102)*(VLOOKUP($EY$9,各项系数!$D$4:$F$143,3,0))*各项系数!$J$4</f>
        <v>0.63842212400333231</v>
      </c>
      <c r="EV102" s="244">
        <f>EU102*(VLOOKUP($EY$9,各项系数!$D$4:$F$143,2,0))</f>
        <v>41.816649122218266</v>
      </c>
      <c r="EW102" s="252">
        <f>(IF($EO102=0,0,(各项系数!$F$76/4*$ER102^2*$EO102*$EP102*1*10^-7))*(1-$K102)*$AF102)*(VLOOKUP($EY$9,各项系数!$D$4:$F$143,3,0))*各项系数!$J$4</f>
        <v>0.13453127076823812</v>
      </c>
      <c r="EX102" s="253">
        <f>EW102*(VLOOKUP($EY$9,各项系数!$D$4:$F$143,2,0))</f>
        <v>8.8117982353195963</v>
      </c>
      <c r="EY102" s="189">
        <f>((各项系数!$F$76/4*$EJ102^2*$EG102*$EH102*1*10^-7)*(1-$H102)*AA102+IF($EO102=0,0,(各项系数!$F$76/4*$ER102^2*$EO102*$EP102*1*10^-7))*(1-$K102)*$AF102)*(VLOOKUP($EY$9,各项系数!$D$4:$F$143,3,0))*各项系数!$J$4</f>
        <v>0.77295339477157055</v>
      </c>
      <c r="EZ102" s="106">
        <v>1</v>
      </c>
      <c r="FA102" s="78">
        <f t="shared" si="445"/>
        <v>0.77295339477157055</v>
      </c>
      <c r="FB102" s="246">
        <f>FA102*(VLOOKUP($EY$9,各项系数!$D$4:$F$143,2,0))</f>
        <v>50.628447357537873</v>
      </c>
      <c r="FC102" s="257"/>
      <c r="FD102" s="237">
        <f>各项系数!$F$76/4*($MN102^2-MK102^2)*10^-2*(VLOOKUP(L102,各项系数!$D$1:$F$143,3,0))*10^-3*10^2*$EG102*各项系数!$J$4</f>
        <v>6.6299965249724258E-2</v>
      </c>
      <c r="FE102" s="264">
        <f>FD102*VLOOKUP(L102,各项系数!$D$1:$F$143,2,0)</f>
        <v>0.67625964554718743</v>
      </c>
      <c r="FF102" s="106">
        <f>各项系数!$F$76/4*($MO102^2-ML102^2)*10^-2*(VLOOKUP(L102,各项系数!$D$1:$F$143,3,0))*10^-3*10^2*$EO102*各项系数!$J$4</f>
        <v>1.3629258930828439E-2</v>
      </c>
      <c r="FG102" s="264">
        <f>FF102*VLOOKUP(L102,各项系数!$D$1:$F$143,2,0)</f>
        <v>0.13901844109445005</v>
      </c>
      <c r="FH102" s="237">
        <f t="shared" si="410"/>
        <v>7.9929224180552691E-2</v>
      </c>
      <c r="FI102" s="106">
        <v>1</v>
      </c>
      <c r="FJ102" s="78">
        <f t="shared" si="446"/>
        <v>7.9929224180552691E-2</v>
      </c>
      <c r="FK102" s="264">
        <f>FJ102*VLOOKUP(L102,各项系数!$D$1:$F$143,2,0)</f>
        <v>0.81527808664163737</v>
      </c>
      <c r="FL102" s="237"/>
      <c r="FM102" s="106"/>
      <c r="FN102" s="78"/>
      <c r="FO102" s="264"/>
      <c r="FP102" s="289">
        <f t="shared" si="447"/>
        <v>7.9929224180552691E-2</v>
      </c>
      <c r="FQ102" s="289">
        <f t="shared" si="448"/>
        <v>0.81527808664163737</v>
      </c>
      <c r="FR102" s="283">
        <f>各项系数!$F$76/4*($MQ102^2-$MN102^2*$EG102-$MO102^2*$EO102)*10^-2</f>
        <v>0.83035691519539412</v>
      </c>
      <c r="FS102" s="284">
        <f t="shared" si="411"/>
        <v>1</v>
      </c>
      <c r="FT102" s="285">
        <f t="shared" si="361"/>
        <v>0.83035691519539412</v>
      </c>
      <c r="FU102" s="309">
        <f>$FT102*(VLOOKUP($FT$9,各项系数!$D$1:$F$143,3,0))*10^-3*10^2*各项系数!$J$55</f>
        <v>9.9144615674330042E-2</v>
      </c>
      <c r="FV102" s="310">
        <v>1</v>
      </c>
      <c r="FW102" s="311">
        <f t="shared" si="449"/>
        <v>9.9144615674330042E-2</v>
      </c>
      <c r="FX102" s="290">
        <f>FW102*(VLOOKUP($FT$9,各项系数!$D$1:$F$143,2,0))</f>
        <v>0.29743384702299014</v>
      </c>
      <c r="FY102" s="309">
        <f>IF($BK102&lt;&gt;$FY$9,0,各项系数!$F$76/4*($MS102^2-$MQ102^2)*10^-2*(VLOOKUP($FY$9,各项系数!$D$1:$F$143,3,0))*10^-3*10^2)*各项系数!$J$4</f>
        <v>0</v>
      </c>
      <c r="FZ102" s="310">
        <v>1</v>
      </c>
      <c r="GA102" s="311">
        <f t="shared" si="450"/>
        <v>0</v>
      </c>
      <c r="GB102" s="290">
        <f>GA102*(VLOOKUP($FY$9,各项系数!$D$1:$F$143,2,0))</f>
        <v>0</v>
      </c>
      <c r="GC102" s="309">
        <f>IF($BK102&lt;&gt;$GC$9,0,各项系数!$F$76/4*($MS102^2-$MQ102^2)*10^-2*(VLOOKUP($GC$9,各项系数!$D$1:$F$143,3,0))*10^-3*10^2)*各项系数!$J$4</f>
        <v>5.046893967707522E-3</v>
      </c>
      <c r="GD102" s="310">
        <v>1</v>
      </c>
      <c r="GE102" s="311">
        <f t="shared" si="451"/>
        <v>5.046893967707522E-3</v>
      </c>
      <c r="GF102" s="290">
        <f>GE102*(VLOOKUP($GC$9,各项系数!$D$1:$F$143,2,0))</f>
        <v>6.5104932183427042E-2</v>
      </c>
      <c r="GG102" s="309">
        <f>IF($BK102&lt;&gt;$GG$9,0,各项系数!$F$76/4*($MS102^2-$MQ102^2)*10^-2*(VLOOKUP($GG$9,各项系数!$D$1:$F$143,3,0))*10^-3*10^2)*各项系数!$J$4</f>
        <v>0</v>
      </c>
      <c r="GH102" s="310">
        <v>1</v>
      </c>
      <c r="GI102" s="311">
        <f t="shared" si="452"/>
        <v>0</v>
      </c>
      <c r="GJ102" s="290">
        <f>GI102*(VLOOKUP($GG$9,各项系数!$D$1:$F$143,2,0))</f>
        <v>0</v>
      </c>
      <c r="GK102" s="309">
        <f>IF($BK102&lt;&gt;$GK$9,0,各项系数!$F$76/4*($MS102^2-$MQ102^2)*10^-2*(VLOOKUP($GK$9,各项系数!$D$1:$F$143,3,0))*10^-3*10^2)*各项系数!$J$4</f>
        <v>0</v>
      </c>
      <c r="GL102" s="310">
        <v>1</v>
      </c>
      <c r="GM102" s="311">
        <f t="shared" si="453"/>
        <v>0</v>
      </c>
      <c r="GN102" s="290">
        <f>GM102*(VLOOKUP($GK$9,各项系数!$D$1:$F$143,2,0))</f>
        <v>0</v>
      </c>
      <c r="GO102" s="311">
        <f t="shared" si="454"/>
        <v>5.046893967707522E-3</v>
      </c>
      <c r="GP102" s="311">
        <f t="shared" si="455"/>
        <v>6.5104932183427042E-2</v>
      </c>
      <c r="GQ102" s="317">
        <f>各项系数!$F$76/4*($MU102^2-$MS102^2)*10^-2*(VLOOKUP($S102,各项系数!$D$1:$F$143,3,0))*10^-3*10^2*各项系数!$J$4</f>
        <v>0.13874998189735224</v>
      </c>
      <c r="GR102" s="310">
        <v>1</v>
      </c>
      <c r="GS102" s="311">
        <f t="shared" si="456"/>
        <v>0.13874998189735224</v>
      </c>
      <c r="GT102" s="311">
        <f t="shared" si="457"/>
        <v>0</v>
      </c>
      <c r="GU102" s="311">
        <f>ROUND($GS102*(VLOOKUP($S102,各项系数!$D$1:$F$143,2,0))+$E$3*GS102,GT102)</f>
        <v>1</v>
      </c>
      <c r="GV102" s="315">
        <f>各项系数!$F$76/4*($MT102^2-$MS102^2)*10^-2*(VLOOKUP($GV$9,各项系数!$D$1:$F$143,3,0))*10^-3*10^2*各项系数!$J$4*PI()/4*R102</f>
        <v>2.6121441865905839E-2</v>
      </c>
      <c r="GW102" s="310">
        <v>1</v>
      </c>
      <c r="GX102" s="311">
        <f t="shared" si="458"/>
        <v>2.6121441865905839E-2</v>
      </c>
      <c r="GY102" s="311">
        <f>$GX102*(VLOOKUP($GV$9,各项系数!$D$1:$F$143,2,0))</f>
        <v>1.7631973259486442</v>
      </c>
      <c r="GZ102" s="317">
        <f>各项系数!$F$76/4*($MV102^2-$MS102^2)*10^-2*(VLOOKUP($GZ$9,各项系数!$D$1:$F$143,3,0))*10^-3*10^2*各项系数!$J$4</f>
        <v>0.16660162916452328</v>
      </c>
      <c r="HA102" s="310">
        <v>1</v>
      </c>
      <c r="HB102" s="311">
        <f t="shared" si="412"/>
        <v>0.16660162916452328</v>
      </c>
      <c r="HC102" s="311">
        <f>HB102*(VLOOKUP($GZ$9,各项系数!$D$1:$F$143,2,0))</f>
        <v>2.8322276957968957</v>
      </c>
      <c r="HD102" s="317">
        <f>各项系数!$F$76/4*($MW102^2-$MT102^2)*10^-2*(VLOOKUP($HD$9,各项系数!$D$1:$F$143,3,0))*10^-3*10^2*各项系数!$J$4</f>
        <v>0.16790699861120179</v>
      </c>
      <c r="HE102" s="310">
        <v>1</v>
      </c>
      <c r="HF102" s="311">
        <f t="shared" si="413"/>
        <v>0.16790699861120179</v>
      </c>
      <c r="HG102" s="311">
        <f>HF102*(VLOOKUP($HD$9,各项系数!$D$1:$F$143,2,0))</f>
        <v>2.8544189763904302</v>
      </c>
      <c r="HH102" s="317">
        <f>各项系数!$F$76/4*($MV102^2-$MS102^2)*10^-2*(VLOOKUP($HH$9,各项系数!$D$1:$F$143,3,0))*10^-3*10^2*各项系数!$J$4</f>
        <v>0.16660162916452328</v>
      </c>
      <c r="HI102" s="311">
        <v>1</v>
      </c>
      <c r="HJ102" s="311">
        <f t="shared" si="414"/>
        <v>0.16660162916452328</v>
      </c>
      <c r="HK102" s="311">
        <f>HJ102*(VLOOKUP($HH$9,各项系数!$D$1:$F$143,2,0))</f>
        <v>2.8322276957968957</v>
      </c>
      <c r="HL102" s="317">
        <f>各项系数!$F$76/4*($MW102^2-$MT102^2)*10^-2*(VLOOKUP($HL$9,各项系数!$D$1:$F$143,3,0))*10^-3*10^2*各项系数!$J$4</f>
        <v>0.16790699861120179</v>
      </c>
      <c r="HM102" s="311">
        <v>1</v>
      </c>
      <c r="HN102" s="311">
        <f t="shared" si="362"/>
        <v>0.16790699861120179</v>
      </c>
      <c r="HO102" s="311">
        <f>HN102*(VLOOKUP($HL$9,各项系数!$D$1:$F$143,2,0))</f>
        <v>2.8544189763904302</v>
      </c>
      <c r="HP102" s="317">
        <f>各项系数!$F$76/4*($MV102^2-$MS102^2)*10^-2*(VLOOKUP(AN102,各项系数!$D$1:$F$143,3,0))*10^-3*10^2*各项系数!$J$4</f>
        <v>0.16889958267024083</v>
      </c>
      <c r="HQ102" s="310">
        <v>1</v>
      </c>
      <c r="HR102" s="311">
        <f t="shared" si="459"/>
        <v>0.16889958267024083</v>
      </c>
      <c r="HS102" s="311">
        <f>HR102*(VLOOKUP(AN102,各项系数!$D$1:$F$143,2,0))</f>
        <v>1.6889958267024083</v>
      </c>
      <c r="HT102" s="317">
        <f>各项系数!$F$76/4*($MW102^2-$MT102^2)*10^-2*(VLOOKUP(AN102,各项系数!$D$1:$F$143,3,0))*10^-3*10^2*各项系数!$J$4</f>
        <v>0.17022295721273561</v>
      </c>
      <c r="HU102" s="310">
        <v>1</v>
      </c>
      <c r="HV102" s="311">
        <f t="shared" si="460"/>
        <v>0.17022295721273561</v>
      </c>
      <c r="HW102" s="311">
        <f>HV102*(VLOOKUP(AN102,各项系数!$D$1:$F$143,2,0))</f>
        <v>1.7022295721273561</v>
      </c>
      <c r="HX102" s="317">
        <f>各项系数!$F$76/4*($MV102^2-$MS102^2)*10^-2*(VLOOKUP($HX$9,各项系数!$D$1:$F$143,3,0))*10^-3*10^2*各项系数!$J$4</f>
        <v>0.16889958267024083</v>
      </c>
      <c r="HY102" s="311">
        <v>1</v>
      </c>
      <c r="HZ102" s="311">
        <f t="shared" si="461"/>
        <v>0.16889958267024083</v>
      </c>
      <c r="IA102" s="311">
        <f>HZ102*(VLOOKUP($HX$9,各项系数!$D$1:$F$143,2,0))</f>
        <v>1.8578954093726492</v>
      </c>
      <c r="IB102" s="317">
        <f>各项系数!$F$76/4*($MW102^2-$MT102^2)*10^-2*(VLOOKUP($IB$9,各项系数!$D$1:$F$143,3,0))*10^-3*10^2*各项系数!$J$4</f>
        <v>0.17022295721273561</v>
      </c>
      <c r="IC102" s="311">
        <v>1</v>
      </c>
      <c r="ID102" s="311">
        <f t="shared" si="462"/>
        <v>0.17022295721273561</v>
      </c>
      <c r="IE102" s="311">
        <f>ID102*(VLOOKUP($IB$9,各项系数!$D$1:$F$143,2,0))</f>
        <v>1.8724525293400918</v>
      </c>
      <c r="IF102" s="309"/>
      <c r="IG102" s="317">
        <f t="shared" si="415"/>
        <v>3.5006873319187802E-2</v>
      </c>
      <c r="IH102" s="310">
        <v>1</v>
      </c>
      <c r="II102" s="311">
        <f t="shared" si="463"/>
        <v>3.5006873319187802E-2</v>
      </c>
      <c r="IJ102" s="311">
        <f>II102*(VLOOKUP($IG$8,各项系数!$D$1:$F$143,2,0))</f>
        <v>0.87517183297969503</v>
      </c>
      <c r="IK102" s="317">
        <f>(各项系数!$F$76/4*($MX102^2-$MK102^2)*$EG102)*10^-2*(VLOOKUP($IG$8,各项系数!$D$1:$F$143,3,0))*10^-3*10^2*各项系数!$J$4</f>
        <v>2.7604381241623014E-2</v>
      </c>
      <c r="IL102" s="310">
        <f>IK102*(VLOOKUP($IG$8,各项系数!$D$1:$F$143,2,0))</f>
        <v>0.69010953104057537</v>
      </c>
      <c r="IM102" s="311">
        <f>(各项系数!$F$76/4*(($MM102+3*$X102)^2-MM102^2)*$EO102)*10^-2*(VLOOKUP($IG$8,各项系数!$D$1:$F$143,3,0))*10^-3*10^2*各项系数!$J$4</f>
        <v>7.4024920775647872E-3</v>
      </c>
      <c r="IN102" s="310">
        <f>IM102*(VLOOKUP($IG$8,各项系数!$D$1:$F$143,2,0))</f>
        <v>0.18506230193911968</v>
      </c>
      <c r="IO102" s="317">
        <f>各项系数!$F$76/4*($MZ102^2-$MX102^2)*10^-2*(VLOOKUP(L102,各项系数!$D$1:$F$143,3,0))*10^-3*10^2*$ES102*各项系数!$J$4</f>
        <v>9.5827055690503746E-2</v>
      </c>
      <c r="IP102" s="310">
        <v>1</v>
      </c>
      <c r="IQ102" s="311">
        <f t="shared" si="464"/>
        <v>9.5827055690503746E-2</v>
      </c>
      <c r="IR102" s="290">
        <f>IQ102*(VLOOKUP(L102,各项系数!$D$1:$F$143,2,0))</f>
        <v>0.97743596804313815</v>
      </c>
      <c r="IS102" s="317">
        <f>IF($L102&lt;&gt;$IS$9,0,各项系数!$F$76/4*($MZ102^2-$MX102^2)*10^-2*各项系数!$F$12*10^-3*10^2)*$ES102*各项系数!$J$4</f>
        <v>0</v>
      </c>
      <c r="IT102" s="310">
        <v>1</v>
      </c>
      <c r="IU102" s="311">
        <f t="shared" si="465"/>
        <v>0</v>
      </c>
      <c r="IV102" s="290">
        <f>IU102*各项系数!$E$12</f>
        <v>0</v>
      </c>
      <c r="IW102" s="309">
        <f t="shared" si="466"/>
        <v>9.5827055690503746E-2</v>
      </c>
      <c r="IX102" s="309">
        <f t="shared" si="467"/>
        <v>0.97743596804313815</v>
      </c>
      <c r="IY102" s="339">
        <f>各项系数!$F$76/4*($NB102^2-$MZ102^2*$EG102-$NA102^2*$EO102)*10^-2</f>
        <v>1.0000455441295162</v>
      </c>
      <c r="IZ102" s="284">
        <f t="shared" si="487"/>
        <v>1</v>
      </c>
      <c r="JA102" s="285">
        <f t="shared" si="363"/>
        <v>1.0000455441295162</v>
      </c>
      <c r="JB102" s="289">
        <f>IF($DE102&lt;&gt;$JB$9,0,$JA102*各项系数!$F$32*10^-3*10^2)*各项系数!$J$4</f>
        <v>0</v>
      </c>
      <c r="JC102" s="106">
        <v>1</v>
      </c>
      <c r="JD102" s="78">
        <f t="shared" si="468"/>
        <v>0</v>
      </c>
      <c r="JE102" s="264">
        <f>JD102*各项系数!$E$32</f>
        <v>0</v>
      </c>
      <c r="JF102" s="282">
        <f>IF($DE102&lt;&gt;$JF$9,0,$JA102*VLOOKUP($JF$9,各项系数!$D$4:$F$540,2,0)*10^-3*10^2)*各项系数!$J$4</f>
        <v>0.49752265820443442</v>
      </c>
      <c r="JG102" s="102">
        <v>1</v>
      </c>
      <c r="JH102" s="189">
        <f t="shared" si="364"/>
        <v>0.49752265820443442</v>
      </c>
      <c r="JI102" s="262">
        <f>JH102*VLOOKUP($JF$9,各项系数!$D$4:$F$540,3,0)</f>
        <v>0.59702718984532133</v>
      </c>
      <c r="JJ102" s="289">
        <f t="shared" si="469"/>
        <v>0.49752265820443442</v>
      </c>
      <c r="JK102" s="78">
        <f t="shared" si="470"/>
        <v>0.59702718984532133</v>
      </c>
      <c r="JL102" s="289">
        <f>IF($DF102&lt;&gt;$JL$9,0,各项系数!$F$76/4*($NE102^2-$NC102^2)*10^-2*各项系数!$F$39*10^-3*10^2)*各项系数!$J$4</f>
        <v>2.2797233462035979E-3</v>
      </c>
      <c r="JM102" s="106">
        <v>1</v>
      </c>
      <c r="JN102" s="78">
        <f t="shared" si="471"/>
        <v>2.2797233462035979E-3</v>
      </c>
      <c r="JO102" s="264">
        <f>JN102*各项系数!$E$39</f>
        <v>4.5594466924071958E-2</v>
      </c>
      <c r="JP102" s="289">
        <f>IF($DF102&lt;&gt;$JP$9,0,各项系数!$F$76/4*($NE102^2-$NC102^2)*10^-2*各项系数!$F$36*10^-3*10^2)*各项系数!$J$4</f>
        <v>0</v>
      </c>
      <c r="JQ102" s="106">
        <v>1</v>
      </c>
      <c r="JR102" s="78">
        <f t="shared" si="472"/>
        <v>0</v>
      </c>
      <c r="JS102" s="264">
        <f>JR102*各项系数!$E$36</f>
        <v>0</v>
      </c>
      <c r="JT102" s="289">
        <f>IF($DF102&lt;&gt;$JT$9,0,各项系数!$F$76/4*($NE102^2-$NC102^2)*10^-2*各项系数!$F$40*10^-3*10^2)*各项系数!$J$4</f>
        <v>0</v>
      </c>
      <c r="JU102" s="106">
        <v>1</v>
      </c>
      <c r="JV102" s="78">
        <f t="shared" si="473"/>
        <v>0</v>
      </c>
      <c r="JW102" s="264">
        <f>JV102*各项系数!$E$40</f>
        <v>0</v>
      </c>
      <c r="JX102" s="289">
        <f>IF($DF102&lt;&gt;$JX$9,0,各项系数!$F$76/4*($NE102^2-$NC102^2)*10^-2*各项系数!$F$38*10^-3*10^2)*各项系数!$J$4</f>
        <v>0</v>
      </c>
      <c r="JY102" s="106">
        <v>1</v>
      </c>
      <c r="JZ102" s="78">
        <f t="shared" si="474"/>
        <v>0</v>
      </c>
      <c r="KA102" s="264">
        <f>JZ102*各项系数!$E$38</f>
        <v>0</v>
      </c>
      <c r="KB102" s="289">
        <f>IF($DF102&lt;&gt;$KB$9,0,各项系数!$F$76/4*($NE102^2-$NC102^2)*10^-2*各项系数!$F$41*10^-3*10^2)*各项系数!$J$4</f>
        <v>0</v>
      </c>
      <c r="KC102" s="106">
        <v>1</v>
      </c>
      <c r="KD102" s="78">
        <f t="shared" si="475"/>
        <v>0</v>
      </c>
      <c r="KE102" s="264">
        <f>KD102*各项系数!$E$41</f>
        <v>0</v>
      </c>
      <c r="KF102" s="78">
        <f t="shared" si="476"/>
        <v>2.2797233462035979E-3</v>
      </c>
      <c r="KG102" s="78">
        <f t="shared" si="477"/>
        <v>4.5594466924071958E-2</v>
      </c>
      <c r="KH102" s="237">
        <f>各项系数!$F$76/4*($NG102^2-$NE102^2)*10^-2*各项系数!$F$44*10^-3*10^2*各项系数!$J$4*0.75*$U102</f>
        <v>0.22746295214600476</v>
      </c>
      <c r="KI102" s="106">
        <v>1</v>
      </c>
      <c r="KJ102" s="78">
        <f t="shared" si="478"/>
        <v>0.22746295214600476</v>
      </c>
      <c r="KK102" s="78">
        <f>ROUND(KJ102*各项系数!$E$43,GT102)</f>
        <v>1</v>
      </c>
      <c r="KL102" s="235">
        <f>各项系数!$F$76/4*($NF102^2-$NE102^2)*10^-2*各项系数!$F$46*10^-3*10^2*各项系数!$J$4*PI()/4*R102</f>
        <v>2.8577074749926375E-2</v>
      </c>
      <c r="KM102" s="106">
        <v>1</v>
      </c>
      <c r="KN102" s="78">
        <f t="shared" si="479"/>
        <v>2.8577074749926375E-2</v>
      </c>
      <c r="KO102" s="78">
        <f>KN102*各项系数!$E$46</f>
        <v>1.9289525456200303</v>
      </c>
      <c r="KP102" s="237">
        <f>各项系数!$F$76/4*($NH102^2-$NE102^2)*10^-2*(VLOOKUP($KP$9,各项系数!$D$1:$F$143,3,0))*10^-3*10^2*各项系数!$J$4</f>
        <v>0.18094437595990223</v>
      </c>
      <c r="KQ102" s="106">
        <v>1</v>
      </c>
      <c r="KR102" s="78">
        <f t="shared" si="416"/>
        <v>0.18094437595990223</v>
      </c>
      <c r="KS102" s="78">
        <f>KR102*(VLOOKUP($KP$9,各项系数!$D$1:$F$143,2,0))</f>
        <v>3.0760543913183378</v>
      </c>
      <c r="KT102" s="237">
        <f>各项系数!$F$76/4*($NI102^2-$NF102^2)*10^-2*(VLOOKUP($KT$9,各项系数!$D$1:$F$143,3,0))*10^-3*10^2*各项系数!$J$4</f>
        <v>0.18224974540658062</v>
      </c>
      <c r="KU102" s="106">
        <v>1</v>
      </c>
      <c r="KV102" s="78">
        <f t="shared" si="417"/>
        <v>0.18224974540658062</v>
      </c>
      <c r="KW102" s="78">
        <f>KV102*(VLOOKUP($KT$9,各项系数!$D$1:$F$143,2,0))</f>
        <v>3.0982456719118705</v>
      </c>
      <c r="KX102" s="78">
        <f>各项系数!$F$76/4*($NH102^2-$NE102^2)*10^-2*(VLOOKUP($KX$9,各项系数!$D$1:$F$143,3,0))*10^-3*10^2*各项系数!$J$4</f>
        <v>0.18094437595990223</v>
      </c>
      <c r="KY102" s="355">
        <v>1</v>
      </c>
      <c r="KZ102" s="78">
        <f t="shared" si="418"/>
        <v>0.18094437595990223</v>
      </c>
      <c r="LA102" s="78">
        <f>KZ102*(VLOOKUP($KX$9,各项系数!$D$1:$F$143,2,0))</f>
        <v>3.0760543913183378</v>
      </c>
      <c r="LB102" s="78">
        <f>各项系数!$F$76/4*($NI102^2-$NF102^2)*10^-2*(VLOOKUP($LB$9,各项系数!$D$1:$F$143,3,0))*10^-3*10^2*各项系数!$J$4</f>
        <v>0.18224974540658062</v>
      </c>
      <c r="LC102" s="355">
        <v>1</v>
      </c>
      <c r="LD102" s="78">
        <f t="shared" si="419"/>
        <v>0.18224974540658062</v>
      </c>
      <c r="LE102" s="78">
        <f>LD102*(VLOOKUP($LB$9,各项系数!$D$1:$F$143,2,0))</f>
        <v>3.0982456719118705</v>
      </c>
      <c r="LF102" s="237">
        <f>各项系数!$F$76/4*($NH102^2-$NE102^2)*10^-2*(VLOOKUP(AN102,各项系数!$D$1:$F$143,3,0))*10^-3*10^2*各项系数!$J$4</f>
        <v>0.18344016045590089</v>
      </c>
      <c r="LG102" s="106">
        <v>1</v>
      </c>
      <c r="LH102" s="78">
        <f t="shared" si="480"/>
        <v>0.18344016045590089</v>
      </c>
      <c r="LI102" s="78">
        <f>LH102*(VLOOKUP(AN102,各项系数!$D$1:$F$143,2,0))</f>
        <v>1.8344016045590088</v>
      </c>
      <c r="LJ102" s="237">
        <f>各项系数!$F$76/4*($NI102^2-$NF102^2)*10^-2*(VLOOKUP(AN102,各项系数!$D$1:$F$143,3,0))*10^-3*10^2*各项系数!$J$4</f>
        <v>0.18476353499839551</v>
      </c>
      <c r="LK102" s="106">
        <v>1</v>
      </c>
      <c r="LL102" s="78">
        <f t="shared" si="481"/>
        <v>0.18476353499839551</v>
      </c>
      <c r="LM102" s="78">
        <f>LL102*(VLOOKUP(AN102,各项系数!$D$1:$F$143,2,0))</f>
        <v>1.8476353499839551</v>
      </c>
      <c r="LN102" s="78">
        <f>各项系数!$F$76/4*($NH102^2-$NE102^2)*10^-2*(VLOOKUP($LN$9,各项系数!$D$1:$F$143,3,0))*10^-3*10^2*各项系数!$J$4</f>
        <v>0.18344016045590089</v>
      </c>
      <c r="LO102" s="355">
        <v>1</v>
      </c>
      <c r="LP102" s="78">
        <f t="shared" si="482"/>
        <v>0.18344016045590089</v>
      </c>
      <c r="LQ102" s="78">
        <f>LP102*(VLOOKUP($LN$9,各项系数!$D$1:$F$143,2,0))</f>
        <v>2.0178417650149099</v>
      </c>
      <c r="LR102" s="78">
        <f>各项系数!$F$76/4*($NI102^2-$NF102^2)*10^-2*(VLOOKUP($LR$9,各项系数!$D$1:$F$143,3,0))*10^-3*10^2*各项系数!$J$4</f>
        <v>0.18476353499839551</v>
      </c>
      <c r="LS102" s="355">
        <v>1</v>
      </c>
      <c r="LT102" s="78">
        <f t="shared" si="483"/>
        <v>0.18476353499839551</v>
      </c>
      <c r="LU102" s="78">
        <f>LT102*(VLOOKUP($LR$9,各项系数!$D$1:$F$143,2,0))</f>
        <v>2.0323988849823507</v>
      </c>
      <c r="LV102" s="367">
        <f t="shared" si="420"/>
        <v>91.78599122</v>
      </c>
      <c r="LW102" s="367">
        <f t="shared" si="421"/>
        <v>71.389104279999998</v>
      </c>
      <c r="LX102" s="367">
        <f t="shared" si="422"/>
        <v>9.5339095145967399</v>
      </c>
      <c r="LY102" s="367">
        <f t="shared" si="423"/>
        <v>20.396886940000002</v>
      </c>
      <c r="LZ102" s="374">
        <f t="shared" si="365"/>
        <v>1</v>
      </c>
      <c r="MA102" s="375">
        <f t="shared" si="366"/>
        <v>91.78599122</v>
      </c>
      <c r="MB102" s="367">
        <f t="shared" si="424"/>
        <v>6.2414088599999999</v>
      </c>
      <c r="MC102" s="367">
        <f t="shared" si="425"/>
        <v>19.341569679999999</v>
      </c>
      <c r="MD102" s="367">
        <f t="shared" si="426"/>
        <v>15.04344305</v>
      </c>
      <c r="ME102" s="367">
        <f t="shared" si="427"/>
        <v>4.3765176316600565</v>
      </c>
      <c r="MF102" s="367">
        <f t="shared" si="428"/>
        <v>4.2981266299999987</v>
      </c>
      <c r="MG102" s="379">
        <f t="shared" si="429"/>
        <v>1</v>
      </c>
      <c r="MH102" s="375">
        <f t="shared" si="367"/>
        <v>19.341569679999999</v>
      </c>
      <c r="MI102" s="367">
        <f t="shared" si="430"/>
        <v>4.962504546479189</v>
      </c>
      <c r="MJ102" s="78">
        <f t="shared" si="368"/>
        <v>6.2414088599999999</v>
      </c>
      <c r="MK102" s="78">
        <f t="shared" si="431"/>
        <v>6.2414088599999999</v>
      </c>
      <c r="ML102" s="78">
        <f t="shared" si="484"/>
        <v>4.9625045462006696</v>
      </c>
      <c r="MM102" s="78">
        <f t="shared" si="369"/>
        <v>4.962504546479189</v>
      </c>
      <c r="MN102" s="78">
        <f t="shared" si="370"/>
        <v>8.0414088600000007</v>
      </c>
      <c r="MO102" s="189">
        <f t="shared" si="432"/>
        <v>6.3625045464791885</v>
      </c>
      <c r="MP102" s="78">
        <f t="shared" si="433"/>
        <v>18.44447233</v>
      </c>
      <c r="MQ102" s="78">
        <f t="shared" si="485"/>
        <v>18.44447233</v>
      </c>
      <c r="MR102" s="246">
        <f t="shared" si="434"/>
        <v>18.44447233</v>
      </c>
      <c r="MS102" s="380">
        <f t="shared" si="371"/>
        <v>18.620472329999998</v>
      </c>
      <c r="MT102" s="382">
        <f t="shared" si="372"/>
        <v>18.780472329999998</v>
      </c>
      <c r="MU102" s="382">
        <f t="shared" si="373"/>
        <v>19.22047233</v>
      </c>
      <c r="MV102" s="382">
        <f t="shared" si="374"/>
        <v>22.22047233</v>
      </c>
      <c r="MW102" s="382">
        <f t="shared" si="375"/>
        <v>22.38047233</v>
      </c>
      <c r="MX102" s="246">
        <f t="shared" si="376"/>
        <v>6.8414088599999996</v>
      </c>
      <c r="MY102" s="246">
        <f t="shared" si="377"/>
        <v>5.5625045464791896</v>
      </c>
      <c r="MZ102" s="78">
        <f t="shared" si="378"/>
        <v>8.6414088600000003</v>
      </c>
      <c r="NA102" s="78">
        <f t="shared" si="379"/>
        <v>7.3625045464791894</v>
      </c>
      <c r="NB102" s="78">
        <f t="shared" si="435"/>
        <v>20.138472329999999</v>
      </c>
      <c r="NC102" s="246">
        <f t="shared" si="486"/>
        <v>20.138472329999999</v>
      </c>
      <c r="ND102" s="246">
        <f t="shared" si="436"/>
        <v>20.138472329999999</v>
      </c>
      <c r="NE102" s="386">
        <f t="shared" si="437"/>
        <v>20.378472329999997</v>
      </c>
      <c r="NF102" s="382">
        <f t="shared" si="380"/>
        <v>20.538472329999998</v>
      </c>
      <c r="NG102" s="150">
        <f t="shared" si="381"/>
        <v>20.978472329999999</v>
      </c>
      <c r="NH102" s="246">
        <f t="shared" si="382"/>
        <v>23.978472329999999</v>
      </c>
      <c r="NI102" s="382">
        <f t="shared" si="383"/>
        <v>24.138472329999999</v>
      </c>
      <c r="NK102" s="390">
        <f t="shared" si="384"/>
        <v>1.1396029701952302</v>
      </c>
      <c r="NL102" s="390">
        <f t="shared" si="385"/>
        <v>53.634278491182783</v>
      </c>
      <c r="NM102" s="390">
        <f t="shared" si="386"/>
        <v>1.1396029701952302</v>
      </c>
      <c r="NN102" s="390">
        <f t="shared" si="387"/>
        <v>53.803178073853026</v>
      </c>
      <c r="NO102" s="390">
        <f t="shared" si="388"/>
        <v>1.5944323578653659</v>
      </c>
      <c r="NP102" s="390">
        <f t="shared" si="389"/>
        <v>55.143140721828232</v>
      </c>
      <c r="NQ102" s="390">
        <f t="shared" si="390"/>
        <v>1.5944323578653659</v>
      </c>
      <c r="NR102" s="390">
        <f t="shared" si="391"/>
        <v>55.326580882284127</v>
      </c>
      <c r="NS102" s="390">
        <f t="shared" si="392"/>
        <v>1.1657244120611361</v>
      </c>
      <c r="NT102" s="390">
        <f t="shared" si="393"/>
        <v>1.1657244120611361</v>
      </c>
      <c r="NU102" s="390">
        <f t="shared" si="394"/>
        <v>1.6230094326152922</v>
      </c>
      <c r="NV102" s="390">
        <f t="shared" si="395"/>
        <v>1.6230094326152922</v>
      </c>
      <c r="NW102" s="9">
        <f t="shared" si="396"/>
        <v>1.2783529520925825</v>
      </c>
      <c r="NX102" s="9">
        <f>各项系数!$M$9*NK102</f>
        <v>0.34188089105856906</v>
      </c>
      <c r="NY102" s="9">
        <f t="shared" si="397"/>
        <v>1.1657244120611359</v>
      </c>
    </row>
    <row r="103" spans="1:389" s="9" customFormat="1" ht="15" hidden="1" customHeight="1">
      <c r="A103" s="65"/>
      <c r="B103" s="66"/>
      <c r="C103" s="67"/>
      <c r="D103" s="58" t="s">
        <v>323</v>
      </c>
      <c r="E103" s="399">
        <f t="shared" si="325"/>
        <v>24.235540669999999</v>
      </c>
      <c r="F103" s="68">
        <f>$F$23</f>
        <v>245.05464536042999</v>
      </c>
      <c r="G103" s="58"/>
      <c r="H103" s="16"/>
      <c r="I103" s="145">
        <f>$F$21</f>
        <v>165.41681820668899</v>
      </c>
      <c r="J103" s="62"/>
      <c r="K103" s="16"/>
      <c r="L103" s="107" t="s">
        <v>467</v>
      </c>
      <c r="M103" s="98">
        <f t="shared" si="339"/>
        <v>0.9</v>
      </c>
      <c r="N103" s="98">
        <f t="shared" si="340"/>
        <v>0.7</v>
      </c>
      <c r="O103" s="58">
        <f t="shared" si="493"/>
        <v>0.08</v>
      </c>
      <c r="P103" s="99">
        <v>0.1</v>
      </c>
      <c r="Q103" s="136">
        <f t="shared" si="489"/>
        <v>0.1</v>
      </c>
      <c r="R103" s="151">
        <v>0.8</v>
      </c>
      <c r="S103" s="144" t="str">
        <f>各项系数!$D$43</f>
        <v>钢带</v>
      </c>
      <c r="T103" s="62">
        <v>0.2</v>
      </c>
      <c r="U103" s="62">
        <v>2</v>
      </c>
      <c r="V103" s="143"/>
      <c r="W103" s="145">
        <v>1.8</v>
      </c>
      <c r="X103" s="139">
        <f t="shared" si="490"/>
        <v>0.2</v>
      </c>
      <c r="Y103" s="139"/>
      <c r="Z103" s="169"/>
      <c r="AA103" s="170">
        <f>$AA$23</f>
        <v>1.0109999999999999</v>
      </c>
      <c r="AB103" s="153">
        <f>PI()*EJ103*EJ103/4*EH103*(1-H103)*AA103*各项系数!$F$5*各项系数!$J$4*10^-7</f>
        <v>0.29524992630433911</v>
      </c>
      <c r="AC103" s="170">
        <f t="shared" si="327"/>
        <v>245.05464536042999</v>
      </c>
      <c r="AD103" s="153">
        <f t="shared" si="341"/>
        <v>33.378357061385572</v>
      </c>
      <c r="AE103" s="153">
        <f>POWER(4*EU103/PI()/EG103/10^-7/EH103/(1-H103)/各项系数!$F$5/各项系数!$J$4,0.5)</f>
        <v>246.39875970480472</v>
      </c>
      <c r="AF103" s="16">
        <f>$AA$21</f>
        <v>1.0109999999999999</v>
      </c>
      <c r="AG103" s="16">
        <f>IF(EM103=0,0,PI()*ER103*ER103/4*EP103*(1-K103)*(1+AF103)*各项系数!$F$5*各项系数!$J$4*10^-7)</f>
        <v>0.2675987987289089</v>
      </c>
      <c r="AH103" s="16">
        <f t="shared" si="328"/>
        <v>165.41681820668899</v>
      </c>
      <c r="AI103" s="69">
        <f t="shared" si="398"/>
        <v>15.208920956666134</v>
      </c>
      <c r="AJ103" s="69">
        <f>IF(OR(EP103="",EP103=0),0,POWER(4*EW103/PI()/EO103/10^-7/EP103/(1-K103)/各项系数!$F$5/各项系数!$J$4,0.5))</f>
        <v>166.32412244418023</v>
      </c>
      <c r="AK103" s="16">
        <f t="shared" si="342"/>
        <v>1.0202810496812555</v>
      </c>
      <c r="AL103" s="16">
        <f t="shared" si="329"/>
        <v>72.274637505993311</v>
      </c>
      <c r="AM103" s="106">
        <f t="shared" si="330"/>
        <v>35</v>
      </c>
      <c r="AN103" s="107" t="s">
        <v>486</v>
      </c>
      <c r="AO103" s="146">
        <f>AP103+各项系数!$M$9*$NK103</f>
        <v>70.857487750973831</v>
      </c>
      <c r="AP103" s="146">
        <f>AQ103*(1+$BI103+(VLOOKUP($AM103,$A$12:$B$323,2,0))+各项系数!$J$6+各项系数!$M$5)*(1+$E$2)</f>
        <v>70.42720736305094</v>
      </c>
      <c r="AQ103" s="199">
        <f>AR103+各项系数!$L$9*$NK103</f>
        <v>71.864497309235659</v>
      </c>
      <c r="AR103" s="199">
        <f>AS103*(1+$BJ103+各项系数!$J$5+各项系数!$L$5)</f>
        <v>71.434216921312768</v>
      </c>
      <c r="AS103" s="199">
        <f t="shared" si="399"/>
        <v>70.033546001287021</v>
      </c>
      <c r="AT103" s="146">
        <f>AU103+各项系数!$M$9*$NM103</f>
        <v>72.113029986723461</v>
      </c>
      <c r="AU103" s="146">
        <f>AV103*(1+$BI103+(VLOOKUP($AM103,$A$12:$B$323,2,0))+各项系数!$J$6+各项系数!$M$5)*(1+$E$2)</f>
        <v>71.682749598800569</v>
      </c>
      <c r="AV103" s="199">
        <f>AW103+各项系数!$L$9*$NM103</f>
        <v>73.145662855918957</v>
      </c>
      <c r="AW103" s="199">
        <f>AX103*(1+$BJ103+各项系数!$J$5+各项系数!$L$5)</f>
        <v>72.715382467996065</v>
      </c>
      <c r="AX103" s="199">
        <f t="shared" si="400"/>
        <v>71.289590654898106</v>
      </c>
      <c r="AY103" s="146">
        <f>AZ103+各项系数!$M$9*$NS103</f>
        <v>72.840313557803896</v>
      </c>
      <c r="AZ103" s="146">
        <f>BA103*(1+$BI103+(VLOOKUP($AM103,$A$12:$B$214,2,0))+各项系数!$J$6+各项系数!$M$5)*(1+$E$2)</f>
        <v>72.401352322973239</v>
      </c>
      <c r="BA103" s="199">
        <f>BB103+各项系数!$L$9*$NS103</f>
        <v>73.878930941809429</v>
      </c>
      <c r="BB103" s="199">
        <f>BC103*(1+$BJ103+各项系数!$J$5+各项系数!$L$5)</f>
        <v>73.439969706978772</v>
      </c>
      <c r="BC103" s="199">
        <f t="shared" si="401"/>
        <v>71.999970300959575</v>
      </c>
      <c r="BD103" s="146">
        <f>BE103+各项系数!$M$9*$NS103</f>
        <v>74.104809745708039</v>
      </c>
      <c r="BE103" s="146">
        <f>BF103*(1+$BI103+(VLOOKUP($AM103,$A$12:$B$214,2,0))+各项系数!$J$6+各项系数!$M$5)*(1+$E$2)</f>
        <v>73.665848510877382</v>
      </c>
      <c r="BF103" s="199">
        <f>BG103+各项系数!$L$9*$NS103</f>
        <v>75.169233174364678</v>
      </c>
      <c r="BG103" s="199">
        <f>BH103*(1+$BJ103+各项系数!$J$5+各项系数!$L$5)</f>
        <v>74.73027193953402</v>
      </c>
      <c r="BH103" s="199">
        <f t="shared" si="402"/>
        <v>73.264972489739236</v>
      </c>
      <c r="BI103" s="214"/>
      <c r="BJ103" s="215"/>
      <c r="BK103" s="78" t="s">
        <v>514</v>
      </c>
      <c r="BL103" s="146">
        <f>BM103+各项系数!$M$9*$NM103</f>
        <v>71.731127221970567</v>
      </c>
      <c r="BM103" s="146">
        <f>BN103*(1+$CF103+(VLOOKUP($AM103,$A$12:$B$323,2,0))+各项系数!$J$6+各项系数!$M$5)*(1+$E$2)</f>
        <v>71.300846834047675</v>
      </c>
      <c r="BN103" s="199">
        <f>BO103+各项系数!$L$9*$NM103</f>
        <v>72.755966157191509</v>
      </c>
      <c r="BO103" s="199">
        <f>BP103*(1+$CG103+各项系数!$J$5+各项系数!$L$5)</f>
        <v>72.325685769268617</v>
      </c>
      <c r="BP103" s="199">
        <f t="shared" si="403"/>
        <v>70.219112397348169</v>
      </c>
      <c r="BQ103" s="146">
        <f>BR103+各项系数!$M$9*$NM103</f>
        <v>72.811667975141475</v>
      </c>
      <c r="BR103" s="146">
        <f>BS103*(1+$CF103+(VLOOKUP($AM103,$A$12:$B$323,2,0))+各项系数!$J$6+各项系数!$M$5)*(1+$E$2)</f>
        <v>72.381387587218583</v>
      </c>
      <c r="BS103" s="199">
        <f>BT103+各项系数!$L$9*$NM103</f>
        <v>73.858558762467936</v>
      </c>
      <c r="BT103" s="199">
        <f>BU103*(1+$CG103+各项系数!$J$5+各项系数!$L$5)</f>
        <v>73.428278374545044</v>
      </c>
      <c r="BU103" s="199">
        <f t="shared" si="404"/>
        <v>71.289590654898106</v>
      </c>
      <c r="BV103" s="146">
        <f>BW103+各项系数!$M$9*$NT103</f>
        <v>73.312475926158427</v>
      </c>
      <c r="BW103" s="146">
        <f>BX103*(1+$CF103+(VLOOKUP($AM103,$A$12:$B$214,2,0))+各项系数!$J$6+各项系数!$M$5)*(1+$E$2)</f>
        <v>72.87351469132777</v>
      </c>
      <c r="BX103" s="199">
        <f>BY103+各项系数!$L$9*$NT$12</f>
        <v>74.360729276865072</v>
      </c>
      <c r="BY103" s="199">
        <f>BZ103*(1+$CG103+各项系数!$J$5+各项系数!$L$5)</f>
        <v>74.352465873710102</v>
      </c>
      <c r="BZ103" s="199">
        <f t="shared" si="343"/>
        <v>72.186860071563203</v>
      </c>
      <c r="CA103" s="146">
        <f>CB103+各项系数!$M$9*$NT103</f>
        <v>74.400722601065311</v>
      </c>
      <c r="CB103" s="146">
        <f>CC103*(1+$CF103+(VLOOKUP($AM103,$A$12:$B$214,2,0))+各项系数!$J$6+各项系数!$M$5)*(1+$E$2)</f>
        <v>73.961761366234654</v>
      </c>
      <c r="CC103" s="199">
        <f>CD103+各项系数!$L$9*$NT$12</f>
        <v>75.47118506758639</v>
      </c>
      <c r="CD103" s="199">
        <f>CE103*(1+$CG103+各项系数!$J$5+各项系数!$L$5)</f>
        <v>75.46292166443142</v>
      </c>
      <c r="CE103" s="199">
        <f t="shared" si="405"/>
        <v>73.264972489739236</v>
      </c>
      <c r="CF103" s="214">
        <f t="shared" si="406"/>
        <v>0</v>
      </c>
      <c r="CG103" s="214">
        <f t="shared" si="344"/>
        <v>0.01</v>
      </c>
      <c r="CH103" s="106"/>
      <c r="CI103" s="146">
        <f>CJ103+各项系数!$M$9*$NO103</f>
        <v>73.271089593154628</v>
      </c>
      <c r="CJ103" s="146">
        <f>CK103*(1+$DC103+(VLOOKUP($AM103,$A$12:$B$323,2,0))+各项系数!$J$6+各项系数!$M$5)*(1+$E$2)+各项系数!$M$9*$NK103</f>
        <v>72.679879331983258</v>
      </c>
      <c r="CK103" s="199">
        <f>CL103+各项系数!$L$9*$NO103</f>
        <v>73.724080555163638</v>
      </c>
      <c r="CL103" s="199">
        <f>CM103*(1+$DD103+各项系数!$J$5+各项系数!$L$5)</f>
        <v>73.132870293992269</v>
      </c>
      <c r="CM103" s="199">
        <f t="shared" si="345"/>
        <v>71.698892445090465</v>
      </c>
      <c r="CN103" s="146">
        <f>CO103+各项系数!$M$9*$NO103</f>
        <v>74.381284213358796</v>
      </c>
      <c r="CO103" s="146">
        <f>CP103*(1+$DC103+(VLOOKUP($AM103,$A$12:$B$323,2,0))+各项系数!$J$6+各项系数!$M$5)*(1+$E$2)+各项系数!$M$9*$NK103</f>
        <v>73.790073952187427</v>
      </c>
      <c r="CP103" s="199">
        <f>CQ103+各项系数!$L$9*$NO103</f>
        <v>74.856932208433207</v>
      </c>
      <c r="CQ103" s="199">
        <f>CR103*(1+$DD103+各项系数!$J$5+各项系数!$L$5)</f>
        <v>74.265721947261838</v>
      </c>
      <c r="CR103" s="199">
        <f t="shared" si="346"/>
        <v>72.80953132084494</v>
      </c>
      <c r="CS103" s="146">
        <f>CT103+各项系数!$M$9*$NU103</f>
        <v>74.990782575578407</v>
      </c>
      <c r="CT103" s="146">
        <f t="shared" si="347"/>
        <v>74.390154777634066</v>
      </c>
      <c r="CU103" s="199">
        <f>CV103+各项系数!$L$9*$NU103</f>
        <v>75.90832120166742</v>
      </c>
      <c r="CV103" s="199">
        <f>CW103*(1+$DD103+各项系数!$J$5+各项系数!$L$5)</f>
        <v>75.307693403723079</v>
      </c>
      <c r="CW103" s="199">
        <f t="shared" si="348"/>
        <v>73.831071964434386</v>
      </c>
      <c r="CX103" s="146">
        <f>CY103+各项系数!$M$9*$NU103</f>
        <v>76.353660312780349</v>
      </c>
      <c r="CY103" s="146">
        <f t="shared" si="349"/>
        <v>75.753032514836008</v>
      </c>
      <c r="CZ103" s="199">
        <f>DA103+各项系数!$L$9*$NU103</f>
        <v>77.299012770240822</v>
      </c>
      <c r="DA103" s="199">
        <f>DB103*(1+$DD103+各项系数!$J$5+各项系数!$L$5)</f>
        <v>76.698384972296481</v>
      </c>
      <c r="DB103" s="199">
        <f t="shared" si="350"/>
        <v>75.194495070878901</v>
      </c>
      <c r="DC103" s="214">
        <f t="shared" si="498"/>
        <v>0</v>
      </c>
      <c r="DD103" s="214">
        <f t="shared" si="351"/>
        <v>0</v>
      </c>
      <c r="DE103" s="78" t="s">
        <v>498</v>
      </c>
      <c r="DF103" s="78" t="s">
        <v>513</v>
      </c>
      <c r="DG103" s="146">
        <f>DH103+各项系数!$M$9*$NQ103</f>
        <v>74.175726718517453</v>
      </c>
      <c r="DH103" s="146">
        <f>DI103*(1+$EA103+(VLOOKUP($AM103,$A$12:$B$323,2,0))+各项系数!$J$6+各项系数!$M$5)*(1+$E$2)+各项系数!$M$9*$NK103</f>
        <v>73.584516457346083</v>
      </c>
      <c r="DI103" s="199">
        <f>DJ103+各项系数!$L$9*$NQ103</f>
        <v>74.647179662676734</v>
      </c>
      <c r="DJ103" s="199">
        <f>DK103*(1+$EB103+各项系数!$J$5+各项系数!$L$5)</f>
        <v>74.055969401505365</v>
      </c>
      <c r="DK103" s="199">
        <f t="shared" si="352"/>
        <v>71.898999418937251</v>
      </c>
      <c r="DL103" s="146">
        <f>DM103+各项系数!$M$9*$NQ103</f>
        <v>75.340936286762442</v>
      </c>
      <c r="DM103" s="146">
        <f>DN103*(1+$EA103+(VLOOKUP($AM103,$A$12:$B$323,2,0))+各项系数!$J$6+各项系数!$M$5)*(1+$E$2)+各项系数!$M$9*$NK103</f>
        <v>74.749726025591073</v>
      </c>
      <c r="DN103" s="199">
        <f>DO103+各项系数!$L$9*$NQ103</f>
        <v>75.836169018028755</v>
      </c>
      <c r="DO103" s="199">
        <f>DP103*(1+$EB103+各项系数!$J$5+各项系数!$L$5)</f>
        <v>75.244958756857386</v>
      </c>
      <c r="DP103" s="199">
        <f t="shared" si="353"/>
        <v>73.053358016366388</v>
      </c>
      <c r="DQ103" s="146">
        <f>DR103+各项系数!$M$9*$NV103</f>
        <v>75.917650874494015</v>
      </c>
      <c r="DR103" s="146">
        <f t="shared" si="354"/>
        <v>75.317023076549674</v>
      </c>
      <c r="DS103" s="199">
        <f>DT103+各项系数!$L$9*$NV103</f>
        <v>76.854105180152729</v>
      </c>
      <c r="DT103" s="199">
        <f>DU103*(1+$EB103+各项系数!$J$5+各项系数!$L$5)</f>
        <v>76.253477382208388</v>
      </c>
      <c r="DU103" s="199">
        <f t="shared" si="355"/>
        <v>74.032502312823681</v>
      </c>
      <c r="DV103" s="146">
        <f>DW103+各项系数!$M$9*$NV103</f>
        <v>75.962446303238679</v>
      </c>
      <c r="DW103" s="146">
        <f t="shared" si="356"/>
        <v>75.361818505294337</v>
      </c>
      <c r="DX103" s="199">
        <f>DY103+各项系数!$L$9*$NV103</f>
        <v>76.899814801320758</v>
      </c>
      <c r="DY103" s="199">
        <f>DZ103*(1+$EB103+各项系数!$J$5+各项系数!$L$5)</f>
        <v>76.299187003376417</v>
      </c>
      <c r="DZ103" s="199">
        <f t="shared" si="357"/>
        <v>74.076880585802343</v>
      </c>
      <c r="EA103" s="214">
        <f t="shared" si="492"/>
        <v>0</v>
      </c>
      <c r="EB103" s="214">
        <f t="shared" si="358"/>
        <v>0.01</v>
      </c>
      <c r="EC103" s="235" t="str">
        <f t="shared" si="408"/>
        <v>3+1</v>
      </c>
      <c r="ED103" s="237" t="str">
        <f t="shared" si="494"/>
        <v>3*35</v>
      </c>
      <c r="EE103" s="78">
        <f t="shared" si="495"/>
        <v>35</v>
      </c>
      <c r="EF103" s="78" t="str">
        <f>LOOKUP(EH103,{1,7,10,14,19,24,30,37,48,61},{1,"1+6","2+8","4+10","1+6+12","2+8+14","4+10+16","1+6+12+18","3+9+15+21","1+6+12+18+24"})</f>
        <v>1+6</v>
      </c>
      <c r="EG103" s="106">
        <f t="shared" si="359"/>
        <v>3</v>
      </c>
      <c r="EH103" s="199">
        <f>VLOOKUP(EE103,各项系数!$B$87:$C$124,2,0)</f>
        <v>7</v>
      </c>
      <c r="EI103" s="106">
        <f>IF(EH103=0,0,VLOOKUP(EH103,各项系数!$D$142:$E$195,2,0))*1</f>
        <v>3</v>
      </c>
      <c r="EJ103" s="240">
        <f t="shared" si="409"/>
        <v>245.05464536042999</v>
      </c>
      <c r="EK103" s="78" t="str">
        <f t="shared" si="332"/>
        <v>1*16</v>
      </c>
      <c r="EL103" s="78" t="str">
        <f t="shared" si="360"/>
        <v>16</v>
      </c>
      <c r="EM103" s="78">
        <f t="shared" si="496"/>
        <v>16</v>
      </c>
      <c r="EN103" s="78" t="str">
        <f>IF(EP103=0,0,LOOKUP(EP103,{1,7,10,14,19,24,30,37,48,61},{1,"1+6","2+8","4+10","1+6+12","2+8+14","4+10+16","1+6+12+18","3+9+15+21","1+6+12+18+24"}))</f>
        <v>1+6</v>
      </c>
      <c r="EO103" s="78" t="str">
        <f t="shared" si="334"/>
        <v>1</v>
      </c>
      <c r="EP103" s="78">
        <f>IF(EM103=0,0,IF(EM103&lt;10,1,IF(AND(EM103&gt;=10,EM103&lt;=35),7,LOOKUP(EM103,{50,70,95,120,150,185,240,300},{10,14,19,24,30,37,48,61})*1)))</f>
        <v>7</v>
      </c>
      <c r="EQ103" s="78">
        <f>IF(EP103=0,0,VLOOKUP(EP103,各项系数!$D$142:$E$195,2,0))*1</f>
        <v>3</v>
      </c>
      <c r="ER103" s="78">
        <f t="shared" si="335"/>
        <v>165.41681820668899</v>
      </c>
      <c r="ES103" s="237">
        <f t="shared" si="497"/>
        <v>4</v>
      </c>
      <c r="ET103" s="78">
        <f>VLOOKUP(ES103,各项系数!$D$142:$E$195,2,0)*1</f>
        <v>2.42</v>
      </c>
      <c r="EU103" s="243">
        <f>((各项系数!$F$76/4*$EJ103^2*$EG103*$EH103*1*10^-7)*(1-$H103)*AA103)*(VLOOKUP($EY$9,各项系数!$D$4:$F$143,3,0))*各项系数!$J$4</f>
        <v>0.88574977891301732</v>
      </c>
      <c r="EV103" s="244">
        <f>EU103*(VLOOKUP($EY$9,各项系数!$D$4:$F$143,2,0))</f>
        <v>58.016610518802636</v>
      </c>
      <c r="EW103" s="252">
        <f>(IF($EO103=0,0,(各项系数!$F$76/4*$ER103^2*$EO103*$EP103*1*10^-7))*(1-$K103)*$AF103)*(VLOOKUP($EY$9,各项系数!$D$4:$F$143,3,0))*各项系数!$J$4</f>
        <v>0.13453127076823812</v>
      </c>
      <c r="EX103" s="253">
        <f>EW103*(VLOOKUP($EY$9,各项系数!$D$4:$F$143,2,0))</f>
        <v>8.8117982353195963</v>
      </c>
      <c r="EY103" s="189">
        <f>((各项系数!$F$76/4*$EJ103^2*$EG103*$EH103*1*10^-7)*(1-$H103)*AA103+IF($EO103=0,0,(各项系数!$F$76/4*$ER103^2*$EO103*$EP103*1*10^-7))*(1-$K103)*$AF103)*(VLOOKUP($EY$9,各项系数!$D$4:$F$143,3,0))*各项系数!$J$4</f>
        <v>1.0202810496812555</v>
      </c>
      <c r="EZ103" s="106">
        <v>1</v>
      </c>
      <c r="FA103" s="78">
        <f t="shared" si="445"/>
        <v>1.0202810496812555</v>
      </c>
      <c r="FB103" s="246">
        <f>FA103*(VLOOKUP($EY$9,各项系数!$D$4:$F$143,2,0))</f>
        <v>66.828408754122236</v>
      </c>
      <c r="FC103" s="257"/>
      <c r="FD103" s="237">
        <f>各项系数!$F$76/4*($MN103^2-MK103^2)*10^-2*(VLOOKUP(L103,各项系数!$D$1:$F$143,3,0))*10^-3*10^2*$EG103*各项系数!$J$4</f>
        <v>7.6607209149240185E-2</v>
      </c>
      <c r="FE103" s="264">
        <f>FD103*VLOOKUP(L103,各项系数!$D$1:$F$143,2,0)</f>
        <v>0.78139353332224981</v>
      </c>
      <c r="FF103" s="106">
        <f>各项系数!$F$76/4*($MO103^2-ML103^2)*10^-2*(VLOOKUP(L103,各项系数!$D$1:$F$143,3,0))*10^-3*10^2*$EO103*各项系数!$J$4</f>
        <v>1.3629258930828439E-2</v>
      </c>
      <c r="FG103" s="264">
        <f>FF103*VLOOKUP(L103,各项系数!$D$1:$F$143,2,0)</f>
        <v>0.13901844109445005</v>
      </c>
      <c r="FH103" s="237">
        <f t="shared" si="410"/>
        <v>9.0236468080068619E-2</v>
      </c>
      <c r="FI103" s="106">
        <v>1</v>
      </c>
      <c r="FJ103" s="78">
        <f t="shared" si="446"/>
        <v>9.0236468080068619E-2</v>
      </c>
      <c r="FK103" s="264">
        <f>FJ103*VLOOKUP(L103,各项系数!$D$1:$F$143,2,0)</f>
        <v>0.92041197441669986</v>
      </c>
      <c r="FL103" s="237"/>
      <c r="FM103" s="106"/>
      <c r="FN103" s="78"/>
      <c r="FO103" s="264"/>
      <c r="FP103" s="289">
        <f t="shared" si="447"/>
        <v>9.0236468080068619E-2</v>
      </c>
      <c r="FQ103" s="289">
        <f t="shared" si="448"/>
        <v>0.92041197441669986</v>
      </c>
      <c r="FR103" s="283">
        <f>各项系数!$F$76/4*($MQ103^2-$MN103^2*$EG103-$MO103^2*$EO103)*10^-2</f>
        <v>0.99630766630325129</v>
      </c>
      <c r="FS103" s="284">
        <f t="shared" si="411"/>
        <v>1</v>
      </c>
      <c r="FT103" s="285">
        <f t="shared" si="361"/>
        <v>0.99630766630325129</v>
      </c>
      <c r="FU103" s="309">
        <f>$FT103*(VLOOKUP($FT$9,各项系数!$D$1:$F$143,3,0))*10^-3*10^2*各项系数!$J$55</f>
        <v>0.11895913535660819</v>
      </c>
      <c r="FV103" s="310">
        <v>1</v>
      </c>
      <c r="FW103" s="311">
        <f t="shared" si="449"/>
        <v>0.11895913535660819</v>
      </c>
      <c r="FX103" s="290">
        <f>FW103*(VLOOKUP($FT$9,各项系数!$D$1:$F$143,2,0))</f>
        <v>0.3568774060698246</v>
      </c>
      <c r="FY103" s="309">
        <f>IF($BK103&lt;&gt;$FY$9,0,各项系数!$F$76/4*($MS103^2-$MQ103^2)*10^-2*(VLOOKUP($FY$9,各项系数!$D$1:$F$143,3,0))*10^-3*10^2)*各项系数!$J$4</f>
        <v>0</v>
      </c>
      <c r="FZ103" s="310">
        <v>1</v>
      </c>
      <c r="GA103" s="311">
        <f t="shared" si="450"/>
        <v>0</v>
      </c>
      <c r="GB103" s="290">
        <f>GA103*(VLOOKUP($FY$9,各项系数!$D$1:$F$143,2,0))</f>
        <v>0</v>
      </c>
      <c r="GC103" s="309">
        <f>IF($BK103&lt;&gt;$GC$9,0,各项系数!$F$76/4*($MS103^2-$MQ103^2)*10^-2*(VLOOKUP($GC$9,各项系数!$D$1:$F$143,3,0))*10^-3*10^2)*各项系数!$J$4</f>
        <v>5.5956516330947495E-3</v>
      </c>
      <c r="GD103" s="310">
        <v>1</v>
      </c>
      <c r="GE103" s="311">
        <f t="shared" si="451"/>
        <v>5.5956516330947495E-3</v>
      </c>
      <c r="GF103" s="290">
        <f>GE103*(VLOOKUP($GC$9,各项系数!$D$1:$F$143,2,0))</f>
        <v>7.2183906066922265E-2</v>
      </c>
      <c r="GG103" s="309">
        <f>IF($BK103&lt;&gt;$GG$9,0,各项系数!$F$76/4*($MS103^2-$MQ103^2)*10^-2*(VLOOKUP($GG$9,各项系数!$D$1:$F$143,3,0))*10^-3*10^2)*各项系数!$J$4</f>
        <v>0</v>
      </c>
      <c r="GH103" s="310">
        <v>1</v>
      </c>
      <c r="GI103" s="311">
        <f t="shared" si="452"/>
        <v>0</v>
      </c>
      <c r="GJ103" s="290">
        <f>GI103*(VLOOKUP($GG$9,各项系数!$D$1:$F$143,2,0))</f>
        <v>0</v>
      </c>
      <c r="GK103" s="309">
        <f>IF($BK103&lt;&gt;$GK$9,0,各项系数!$F$76/4*($MS103^2-$MQ103^2)*10^-2*(VLOOKUP($GK$9,各项系数!$D$1:$F$143,3,0))*10^-3*10^2)*各项系数!$J$4</f>
        <v>0</v>
      </c>
      <c r="GL103" s="310">
        <v>1</v>
      </c>
      <c r="GM103" s="311">
        <f t="shared" si="453"/>
        <v>0</v>
      </c>
      <c r="GN103" s="290">
        <f>GM103*(VLOOKUP($GK$9,各项系数!$D$1:$F$143,2,0))</f>
        <v>0</v>
      </c>
      <c r="GO103" s="311">
        <f t="shared" si="454"/>
        <v>5.5956516330947495E-3</v>
      </c>
      <c r="GP103" s="311">
        <f t="shared" si="455"/>
        <v>7.2183906066922265E-2</v>
      </c>
      <c r="GQ103" s="317">
        <f>各项系数!$F$76/4*($MU103^2-$MS103^2)*10^-2*(VLOOKUP($S103,各项系数!$D$1:$F$143,3,0))*10^-3*10^2*各项系数!$J$4</f>
        <v>0.15352713390605827</v>
      </c>
      <c r="GR103" s="310">
        <v>1</v>
      </c>
      <c r="GS103" s="311">
        <f t="shared" si="456"/>
        <v>0.15352713390605827</v>
      </c>
      <c r="GT103" s="311">
        <f t="shared" si="457"/>
        <v>0</v>
      </c>
      <c r="GU103" s="311">
        <f>ROUND($GS103*(VLOOKUP($S103,各项系数!$D$1:$F$143,2,0))+$E$3*GS103,GT103)</f>
        <v>1</v>
      </c>
      <c r="GV103" s="315">
        <f>各项系数!$F$76/4*($MT103^2-$MS103^2)*10^-2*(VLOOKUP($GV$9,各项系数!$D$1:$F$143,3,0))*10^-3*10^2*各项系数!$J$4*PI()/4*R103</f>
        <v>2.8936156359223638E-2</v>
      </c>
      <c r="GW103" s="310">
        <v>1</v>
      </c>
      <c r="GX103" s="311">
        <f t="shared" si="458"/>
        <v>2.8936156359223638E-2</v>
      </c>
      <c r="GY103" s="311">
        <f>$GX103*(VLOOKUP($GV$9,各项系数!$D$1:$F$143,2,0))</f>
        <v>1.9531905542475956</v>
      </c>
      <c r="GZ103" s="317">
        <f>各项系数!$F$76/4*($MV103^2-$MS103^2)*10^-2*(VLOOKUP($GZ$9,各项系数!$D$1:$F$143,3,0))*10^-3*10^2*各项系数!$J$4</f>
        <v>0.18304168318955438</v>
      </c>
      <c r="HA103" s="310">
        <v>1</v>
      </c>
      <c r="HB103" s="311">
        <f t="shared" si="412"/>
        <v>0.18304168318955438</v>
      </c>
      <c r="HC103" s="311">
        <f>HB103*(VLOOKUP($GZ$9,各项系数!$D$1:$F$143,2,0))</f>
        <v>3.1117086142224246</v>
      </c>
      <c r="HD103" s="317">
        <f>各项系数!$F$76/4*($MW103^2-$MT103^2)*10^-2*(VLOOKUP($HD$9,各项系数!$D$1:$F$143,3,0))*10^-3*10^2*各项系数!$J$4</f>
        <v>0.18434705263623272</v>
      </c>
      <c r="HE103" s="310">
        <v>1</v>
      </c>
      <c r="HF103" s="311">
        <f t="shared" si="413"/>
        <v>0.18434705263623272</v>
      </c>
      <c r="HG103" s="311">
        <f>HF103*(VLOOKUP($HD$9,各项系数!$D$1:$F$143,2,0))</f>
        <v>3.133899894815956</v>
      </c>
      <c r="HH103" s="317">
        <f>各项系数!$F$76/4*($MV103^2-$MS103^2)*10^-2*(VLOOKUP($HH$9,各项系数!$D$1:$F$143,3,0))*10^-3*10^2*各项系数!$J$4</f>
        <v>0.18304168318955438</v>
      </c>
      <c r="HI103" s="311">
        <v>1</v>
      </c>
      <c r="HJ103" s="311">
        <f t="shared" si="414"/>
        <v>0.18304168318955438</v>
      </c>
      <c r="HK103" s="311">
        <f>HJ103*(VLOOKUP($HH$9,各项系数!$D$1:$F$143,2,0))</f>
        <v>3.1117086142224246</v>
      </c>
      <c r="HL103" s="317">
        <f>各项系数!$F$76/4*($MW103^2-$MT103^2)*10^-2*(VLOOKUP($HL$9,各项系数!$D$1:$F$143,3,0))*10^-3*10^2*各项系数!$J$4</f>
        <v>0.18434705263623272</v>
      </c>
      <c r="HM103" s="311">
        <v>1</v>
      </c>
      <c r="HN103" s="311">
        <f t="shared" si="362"/>
        <v>0.18434705263623272</v>
      </c>
      <c r="HO103" s="311">
        <f>HN103*(VLOOKUP($HL$9,各项系数!$D$1:$F$143,2,0))</f>
        <v>3.133899894815956</v>
      </c>
      <c r="HP103" s="317">
        <f>各项系数!$F$76/4*($MV103^2-$MS103^2)*10^-2*(VLOOKUP(AN103,各项系数!$D$1:$F$143,3,0))*10^-3*10^2*各项系数!$J$4</f>
        <v>0.18556639606113445</v>
      </c>
      <c r="HQ103" s="310">
        <v>1</v>
      </c>
      <c r="HR103" s="311">
        <f t="shared" si="459"/>
        <v>0.18556639606113445</v>
      </c>
      <c r="HS103" s="311">
        <f>HR103*(VLOOKUP(AN103,各项系数!$D$1:$F$143,2,0))</f>
        <v>1.8556639606113445</v>
      </c>
      <c r="HT103" s="317">
        <f>各项系数!$F$76/4*($MW103^2-$MT103^2)*10^-2*(VLOOKUP(AN103,各项系数!$D$1:$F$143,3,0))*10^-3*10^2*各项系数!$J$4</f>
        <v>0.18688977060362902</v>
      </c>
      <c r="HU103" s="310">
        <v>1</v>
      </c>
      <c r="HV103" s="311">
        <f t="shared" si="460"/>
        <v>0.18688977060362902</v>
      </c>
      <c r="HW103" s="311">
        <f>HV103*(VLOOKUP(AN103,各项系数!$D$1:$F$143,2,0))</f>
        <v>1.8688977060362901</v>
      </c>
      <c r="HX103" s="317">
        <f>各项系数!$F$76/4*($MV103^2-$MS103^2)*10^-2*(VLOOKUP($HX$9,各项系数!$D$1:$F$143,3,0))*10^-3*10^2*各项系数!$J$4</f>
        <v>0.18556639606113445</v>
      </c>
      <c r="HY103" s="311">
        <v>1</v>
      </c>
      <c r="HZ103" s="311">
        <f t="shared" si="461"/>
        <v>0.18556639606113445</v>
      </c>
      <c r="IA103" s="311">
        <f>HZ103*(VLOOKUP($HX$9,各项系数!$D$1:$F$143,2,0))</f>
        <v>2.0412303566724788</v>
      </c>
      <c r="IB103" s="317">
        <f>各项系数!$F$76/4*($MW103^2-$MT103^2)*10^-2*(VLOOKUP($IB$9,各项系数!$D$1:$F$143,3,0))*10^-3*10^2*各项系数!$J$4</f>
        <v>0.18688977060362902</v>
      </c>
      <c r="IC103" s="311">
        <v>1</v>
      </c>
      <c r="ID103" s="311">
        <f t="shared" si="462"/>
        <v>0.18688977060362902</v>
      </c>
      <c r="IE103" s="311">
        <f>ID103*(VLOOKUP($IB$9,各项系数!$D$1:$F$143,2,0))</f>
        <v>2.0557874766399191</v>
      </c>
      <c r="IF103" s="309"/>
      <c r="IG103" s="317">
        <f t="shared" si="415"/>
        <v>3.9691984182604223E-2</v>
      </c>
      <c r="IH103" s="310">
        <v>1</v>
      </c>
      <c r="II103" s="311">
        <f t="shared" si="463"/>
        <v>3.9691984182604223E-2</v>
      </c>
      <c r="IJ103" s="311">
        <f>II103*(VLOOKUP($IG$8,各项系数!$D$1:$F$143,2,0))</f>
        <v>0.99229960456510558</v>
      </c>
      <c r="IK103" s="317">
        <f>(各项系数!$F$76/4*($MX103^2-$MK103^2)*$EG103)*10^-2*(VLOOKUP($IG$8,各项系数!$D$1:$F$143,3,0))*10^-3*10^2*各项系数!$J$4</f>
        <v>3.2289492105039438E-2</v>
      </c>
      <c r="IL103" s="310">
        <f>IK103*(VLOOKUP($IG$8,各项系数!$D$1:$F$143,2,0))</f>
        <v>0.80723730262598592</v>
      </c>
      <c r="IM103" s="311">
        <f>(各项系数!$F$76/4*(($MM103+3*$X103)^2-MM103^2)*$EO103)*10^-2*(VLOOKUP($IG$8,各项系数!$D$1:$F$143,3,0))*10^-3*10^2*各项系数!$J$4</f>
        <v>7.4024920775647872E-3</v>
      </c>
      <c r="IN103" s="310">
        <f>IM103*(VLOOKUP($IG$8,各项系数!$D$1:$F$143,2,0))</f>
        <v>0.18506230193911968</v>
      </c>
      <c r="IO103" s="317">
        <f>各项系数!$F$76/4*($MZ103^2-$MX103^2)*10^-2*(VLOOKUP(L103,各项系数!$D$1:$F$143,3,0))*10^-3*10^2*$ES103*各项系数!$J$4</f>
        <v>0.10957004755652505</v>
      </c>
      <c r="IP103" s="310">
        <v>1</v>
      </c>
      <c r="IQ103" s="311">
        <f t="shared" si="464"/>
        <v>0.10957004755652505</v>
      </c>
      <c r="IR103" s="290">
        <f>IQ103*(VLOOKUP(L103,各项系数!$D$1:$F$143,2,0))</f>
        <v>1.1176144850765555</v>
      </c>
      <c r="IS103" s="317">
        <f>IF($L103&lt;&gt;$IS$9,0,各项系数!$F$76/4*($MZ103^2-$MX103^2)*10^-2*各项系数!$F$12*10^-3*10^2)*$ES103*各项系数!$J$4</f>
        <v>0</v>
      </c>
      <c r="IT103" s="310">
        <v>1</v>
      </c>
      <c r="IU103" s="311">
        <f t="shared" si="465"/>
        <v>0</v>
      </c>
      <c r="IV103" s="290">
        <f>IU103*各项系数!$E$12</f>
        <v>0</v>
      </c>
      <c r="IW103" s="309">
        <f t="shared" si="466"/>
        <v>0.10957004755652505</v>
      </c>
      <c r="IX103" s="309">
        <f t="shared" si="467"/>
        <v>1.1176144850765555</v>
      </c>
      <c r="IY103" s="339">
        <f>各项系数!$F$76/4*($NB103^2-$MZ103^2*$EG103-$NA103^2*$EO103)*10^-2</f>
        <v>1.1882248050541084</v>
      </c>
      <c r="IZ103" s="284">
        <f t="shared" si="487"/>
        <v>1</v>
      </c>
      <c r="JA103" s="285">
        <f t="shared" si="363"/>
        <v>1.1882248050541084</v>
      </c>
      <c r="JB103" s="289">
        <f>IF($DE103&lt;&gt;$JB$9,0,$JA103*各项系数!$F$32*10^-3*10^2)*各项系数!$J$4</f>
        <v>0</v>
      </c>
      <c r="JC103" s="106">
        <v>1</v>
      </c>
      <c r="JD103" s="78">
        <f t="shared" si="468"/>
        <v>0</v>
      </c>
      <c r="JE103" s="264">
        <f>JD103*各项系数!$E$32</f>
        <v>0</v>
      </c>
      <c r="JF103" s="282">
        <f>IF($DE103&lt;&gt;$JF$9,0,$JA103*VLOOKUP($JF$9,各项系数!$D$4:$F$540,2,0)*10^-3*10^2)*各项系数!$J$4</f>
        <v>0.59114184051441898</v>
      </c>
      <c r="JG103" s="102">
        <v>1</v>
      </c>
      <c r="JH103" s="189">
        <f t="shared" si="364"/>
        <v>0.59114184051441898</v>
      </c>
      <c r="JI103" s="262">
        <f>JH103*VLOOKUP($JF$9,各项系数!$D$4:$F$540,3,0)</f>
        <v>0.70937020861730271</v>
      </c>
      <c r="JJ103" s="289">
        <f t="shared" si="469"/>
        <v>0.59114184051441898</v>
      </c>
      <c r="JK103" s="78">
        <f t="shared" si="470"/>
        <v>0.70937020861730271</v>
      </c>
      <c r="JL103" s="289">
        <f>IF($DF103&lt;&gt;$JL$9,0,各项系数!$F$76/4*($NE103^2-$NC103^2)*10^-2*各项系数!$F$39*10^-3*10^2)*各项系数!$J$4</f>
        <v>2.5064827120660758E-3</v>
      </c>
      <c r="JM103" s="106">
        <v>1</v>
      </c>
      <c r="JN103" s="78">
        <f t="shared" si="471"/>
        <v>2.5064827120660758E-3</v>
      </c>
      <c r="JO103" s="264">
        <f>JN103*各项系数!$E$39</f>
        <v>5.0129654241321514E-2</v>
      </c>
      <c r="JP103" s="289">
        <f>IF($DF103&lt;&gt;$JP$9,0,各项系数!$F$76/4*($NE103^2-$NC103^2)*10^-2*各项系数!$F$36*10^-3*10^2)*各项系数!$J$4</f>
        <v>0</v>
      </c>
      <c r="JQ103" s="106">
        <v>1</v>
      </c>
      <c r="JR103" s="78">
        <f t="shared" si="472"/>
        <v>0</v>
      </c>
      <c r="JS103" s="264">
        <f>JR103*各项系数!$E$36</f>
        <v>0</v>
      </c>
      <c r="JT103" s="289">
        <f>IF($DF103&lt;&gt;$JT$9,0,各项系数!$F$76/4*($NE103^2-$NC103^2)*10^-2*各项系数!$F$40*10^-3*10^2)*各项系数!$J$4</f>
        <v>0</v>
      </c>
      <c r="JU103" s="106">
        <v>1</v>
      </c>
      <c r="JV103" s="78">
        <f t="shared" si="473"/>
        <v>0</v>
      </c>
      <c r="JW103" s="264">
        <f>JV103*各项系数!$E$40</f>
        <v>0</v>
      </c>
      <c r="JX103" s="289">
        <f>IF($DF103&lt;&gt;$JX$9,0,各项系数!$F$76/4*($NE103^2-$NC103^2)*10^-2*各项系数!$F$38*10^-3*10^2)*各项系数!$J$4</f>
        <v>0</v>
      </c>
      <c r="JY103" s="106">
        <v>1</v>
      </c>
      <c r="JZ103" s="78">
        <f t="shared" si="474"/>
        <v>0</v>
      </c>
      <c r="KA103" s="264">
        <f>JZ103*各项系数!$E$38</f>
        <v>0</v>
      </c>
      <c r="KB103" s="289">
        <f>IF($DF103&lt;&gt;$KB$9,0,各项系数!$F$76/4*($NE103^2-$NC103^2)*10^-2*各项系数!$F$41*10^-3*10^2)*各项系数!$J$4</f>
        <v>0</v>
      </c>
      <c r="KC103" s="106">
        <v>1</v>
      </c>
      <c r="KD103" s="78">
        <f t="shared" si="475"/>
        <v>0</v>
      </c>
      <c r="KE103" s="264">
        <f>KD103*各项系数!$E$41</f>
        <v>0</v>
      </c>
      <c r="KF103" s="78">
        <f t="shared" si="476"/>
        <v>2.5064827120660758E-3</v>
      </c>
      <c r="KG103" s="78">
        <f t="shared" si="477"/>
        <v>5.0129654241321514E-2</v>
      </c>
      <c r="KH103" s="237">
        <f>各项系数!$F$76/4*($NG103^2-$NE103^2)*10^-2*各项系数!$F$44*10^-3*10^2*各项系数!$J$4*0.75*$U103</f>
        <v>0.24962868015906386</v>
      </c>
      <c r="KI103" s="106">
        <v>1</v>
      </c>
      <c r="KJ103" s="78">
        <f t="shared" si="478"/>
        <v>0.24962868015906386</v>
      </c>
      <c r="KK103" s="78">
        <f>ROUND(KJ103*各项系数!$E$43,GT103)</f>
        <v>1</v>
      </c>
      <c r="KL103" s="235">
        <f>各项系数!$F$76/4*($NF103^2-$NE103^2)*10^-2*各项系数!$F$46*10^-3*10^2*各项系数!$J$4*PI()/4*R103</f>
        <v>3.1391789243244171E-2</v>
      </c>
      <c r="KM103" s="106">
        <v>1</v>
      </c>
      <c r="KN103" s="78">
        <f t="shared" si="479"/>
        <v>3.1391789243244171E-2</v>
      </c>
      <c r="KO103" s="78">
        <f>KN103*各项系数!$E$46</f>
        <v>2.1189457739189814</v>
      </c>
      <c r="KP103" s="237">
        <f>各项系数!$F$76/4*($NH103^2-$NE103^2)*10^-2*(VLOOKUP($KP$9,各项系数!$D$1:$F$143,3,0))*10^-3*10^2*各项系数!$J$4</f>
        <v>0.19738442998493341</v>
      </c>
      <c r="KQ103" s="106">
        <v>1</v>
      </c>
      <c r="KR103" s="78">
        <f t="shared" si="416"/>
        <v>0.19738442998493341</v>
      </c>
      <c r="KS103" s="78">
        <f>KR103*(VLOOKUP($KP$9,各项系数!$D$1:$F$143,2,0))</f>
        <v>3.355535309743868</v>
      </c>
      <c r="KT103" s="237">
        <f>各项系数!$F$76/4*($NI103^2-$NF103^2)*10^-2*(VLOOKUP($KT$9,各项系数!$D$1:$F$143,3,0))*10^-3*10^2*各项系数!$J$4</f>
        <v>0.1986897994316118</v>
      </c>
      <c r="KU103" s="106">
        <v>1</v>
      </c>
      <c r="KV103" s="78">
        <f t="shared" si="417"/>
        <v>0.1986897994316118</v>
      </c>
      <c r="KW103" s="78">
        <f>KV103*(VLOOKUP($KT$9,各项系数!$D$1:$F$143,2,0))</f>
        <v>3.3777265903374007</v>
      </c>
      <c r="KX103" s="78">
        <f>各项系数!$F$76/4*($NH103^2-$NE103^2)*10^-2*(VLOOKUP($KX$9,各项系数!$D$1:$F$143,3,0))*10^-3*10^2*各项系数!$J$4</f>
        <v>0.19738442998493341</v>
      </c>
      <c r="KY103" s="355">
        <v>1</v>
      </c>
      <c r="KZ103" s="78">
        <f t="shared" si="418"/>
        <v>0.19738442998493341</v>
      </c>
      <c r="LA103" s="78">
        <f>KZ103*(VLOOKUP($KX$9,各项系数!$D$1:$F$143,2,0))</f>
        <v>3.355535309743868</v>
      </c>
      <c r="LB103" s="78">
        <f>各项系数!$F$76/4*($NI103^2-$NF103^2)*10^-2*(VLOOKUP($LB$9,各项系数!$D$1:$F$143,3,0))*10^-3*10^2*各项系数!$J$4</f>
        <v>0.1986897994316118</v>
      </c>
      <c r="LC103" s="355">
        <v>1</v>
      </c>
      <c r="LD103" s="78">
        <f t="shared" si="419"/>
        <v>0.1986897994316118</v>
      </c>
      <c r="LE103" s="78">
        <f>LD103*(VLOOKUP($LB$9,各项系数!$D$1:$F$143,2,0))</f>
        <v>3.3777265903374007</v>
      </c>
      <c r="LF103" s="237">
        <f>各项系数!$F$76/4*($NH103^2-$NE103^2)*10^-2*(VLOOKUP(AN103,各项系数!$D$1:$F$143,3,0))*10^-3*10^2*各项系数!$J$4</f>
        <v>0.20010697384679457</v>
      </c>
      <c r="LG103" s="106">
        <v>1</v>
      </c>
      <c r="LH103" s="78">
        <f t="shared" si="480"/>
        <v>0.20010697384679457</v>
      </c>
      <c r="LI103" s="78">
        <f>LH103*(VLOOKUP(AN103,各项系数!$D$1:$F$143,2,0))</f>
        <v>2.0010697384679457</v>
      </c>
      <c r="LJ103" s="237">
        <f>各项系数!$F$76/4*($NI103^2-$NF103^2)*10^-2*(VLOOKUP(AN103,各项系数!$D$1:$F$143,3,0))*10^-3*10^2*各项系数!$J$4</f>
        <v>0.20143034838928922</v>
      </c>
      <c r="LK103" s="106">
        <v>1</v>
      </c>
      <c r="LL103" s="78">
        <f t="shared" si="481"/>
        <v>0.20143034838928922</v>
      </c>
      <c r="LM103" s="78">
        <f>LL103*(VLOOKUP(AN103,各项系数!$D$1:$F$143,2,0))</f>
        <v>2.0143034838928924</v>
      </c>
      <c r="LN103" s="78">
        <f>各项系数!$F$76/4*($NH103^2-$NE103^2)*10^-2*(VLOOKUP($LN$9,各项系数!$D$1:$F$143,3,0))*10^-3*10^2*各项系数!$J$4</f>
        <v>0.20010697384679457</v>
      </c>
      <c r="LO103" s="355">
        <v>1</v>
      </c>
      <c r="LP103" s="78">
        <f t="shared" si="482"/>
        <v>0.20010697384679457</v>
      </c>
      <c r="LQ103" s="78">
        <f>LP103*(VLOOKUP($LN$9,各项系数!$D$1:$F$143,2,0))</f>
        <v>2.2011767123147403</v>
      </c>
      <c r="LR103" s="78">
        <f>各项系数!$F$76/4*($NI103^2-$NF103^2)*10^-2*(VLOOKUP($LR$9,各项系数!$D$1:$F$143,3,0))*10^-3*10^2*各项系数!$J$4</f>
        <v>0.20143034838928922</v>
      </c>
      <c r="LS103" s="355">
        <v>1</v>
      </c>
      <c r="LT103" s="78">
        <f t="shared" si="483"/>
        <v>0.20143034838928922</v>
      </c>
      <c r="LU103" s="78">
        <f>LT103*(VLOOKUP($LR$9,各项系数!$D$1:$F$143,2,0))</f>
        <v>2.2157338322821816</v>
      </c>
      <c r="LV103" s="367">
        <f t="shared" si="420"/>
        <v>127.34430380000001</v>
      </c>
      <c r="LW103" s="367">
        <f t="shared" si="421"/>
        <v>99.045569619999995</v>
      </c>
      <c r="LX103" s="367">
        <f t="shared" si="422"/>
        <v>11.229814600918559</v>
      </c>
      <c r="LY103" s="367">
        <f t="shared" si="423"/>
        <v>28.298734180000011</v>
      </c>
      <c r="LZ103" s="374">
        <f t="shared" si="365"/>
        <v>1</v>
      </c>
      <c r="MA103" s="375">
        <f t="shared" si="366"/>
        <v>127.34430380000001</v>
      </c>
      <c r="MB103" s="367">
        <f t="shared" si="424"/>
        <v>7.3516393500000001</v>
      </c>
      <c r="MC103" s="367">
        <f t="shared" si="425"/>
        <v>19.341569679999999</v>
      </c>
      <c r="MD103" s="367">
        <f t="shared" si="426"/>
        <v>15.04344305</v>
      </c>
      <c r="ME103" s="367">
        <f t="shared" si="427"/>
        <v>4.3765176316600565</v>
      </c>
      <c r="MF103" s="367">
        <f t="shared" si="428"/>
        <v>4.2981266299999987</v>
      </c>
      <c r="MG103" s="379">
        <f t="shared" si="429"/>
        <v>1</v>
      </c>
      <c r="MH103" s="375">
        <f t="shared" si="367"/>
        <v>19.341569679999999</v>
      </c>
      <c r="MI103" s="367">
        <f t="shared" si="430"/>
        <v>4.962504546479189</v>
      </c>
      <c r="MJ103" s="78">
        <f t="shared" si="368"/>
        <v>7.3516393500000001</v>
      </c>
      <c r="MK103" s="78">
        <f t="shared" si="431"/>
        <v>7.3516393500000001</v>
      </c>
      <c r="ML103" s="78">
        <f t="shared" si="484"/>
        <v>4.9625045462006696</v>
      </c>
      <c r="MM103" s="78">
        <f t="shared" si="369"/>
        <v>4.962504546479189</v>
      </c>
      <c r="MN103" s="78">
        <f t="shared" si="370"/>
        <v>9.15163935</v>
      </c>
      <c r="MO103" s="189">
        <f t="shared" si="432"/>
        <v>6.3625045464791885</v>
      </c>
      <c r="MP103" s="78">
        <f t="shared" si="433"/>
        <v>20.459540669999999</v>
      </c>
      <c r="MQ103" s="78">
        <f t="shared" si="485"/>
        <v>20.459540669999999</v>
      </c>
      <c r="MR103" s="246">
        <f t="shared" si="434"/>
        <v>20.459540669999999</v>
      </c>
      <c r="MS103" s="380">
        <f t="shared" si="371"/>
        <v>20.635540669999997</v>
      </c>
      <c r="MT103" s="382">
        <f t="shared" si="372"/>
        <v>20.795540669999998</v>
      </c>
      <c r="MU103" s="382">
        <f t="shared" si="373"/>
        <v>21.235540669999999</v>
      </c>
      <c r="MV103" s="382">
        <f t="shared" si="374"/>
        <v>24.235540669999999</v>
      </c>
      <c r="MW103" s="382">
        <f t="shared" si="375"/>
        <v>24.395540669999999</v>
      </c>
      <c r="MX103" s="246">
        <f t="shared" si="376"/>
        <v>7.9516393500000007</v>
      </c>
      <c r="MY103" s="246">
        <f t="shared" si="377"/>
        <v>5.5625045464791896</v>
      </c>
      <c r="MZ103" s="78">
        <f t="shared" si="378"/>
        <v>9.7516393500000014</v>
      </c>
      <c r="NA103" s="78">
        <f t="shared" si="379"/>
        <v>7.3625045464791894</v>
      </c>
      <c r="NB103" s="78">
        <f t="shared" si="435"/>
        <v>22.153540670000002</v>
      </c>
      <c r="NC103" s="246">
        <f t="shared" si="486"/>
        <v>22.153540670000002</v>
      </c>
      <c r="ND103" s="246">
        <f t="shared" si="436"/>
        <v>22.153540670000002</v>
      </c>
      <c r="NE103" s="386">
        <f t="shared" si="437"/>
        <v>22.39354067</v>
      </c>
      <c r="NF103" s="382">
        <f t="shared" si="380"/>
        <v>22.55354067</v>
      </c>
      <c r="NG103" s="150">
        <f t="shared" si="381"/>
        <v>22.993540670000002</v>
      </c>
      <c r="NH103" s="246">
        <f t="shared" si="382"/>
        <v>25.993540670000002</v>
      </c>
      <c r="NI103" s="382">
        <f t="shared" si="383"/>
        <v>26.153540670000002</v>
      </c>
      <c r="NK103" s="390">
        <f t="shared" si="384"/>
        <v>1.4342679597429902</v>
      </c>
      <c r="NL103" s="390">
        <f t="shared" si="385"/>
        <v>70.172564442381471</v>
      </c>
      <c r="NM103" s="390">
        <f t="shared" si="386"/>
        <v>1.4342679597429902</v>
      </c>
      <c r="NN103" s="390">
        <f t="shared" si="387"/>
        <v>70.358130838442605</v>
      </c>
      <c r="NO103" s="390">
        <f t="shared" si="388"/>
        <v>1.9707008705712292</v>
      </c>
      <c r="NP103" s="390">
        <f t="shared" si="389"/>
        <v>71.883954747029591</v>
      </c>
      <c r="NQ103" s="390">
        <f t="shared" si="390"/>
        <v>1.9707008705712292</v>
      </c>
      <c r="NR103" s="390">
        <f t="shared" si="391"/>
        <v>72.084061720876377</v>
      </c>
      <c r="NS103" s="390">
        <f t="shared" si="392"/>
        <v>1.4632041161022138</v>
      </c>
      <c r="NT103" s="390">
        <f t="shared" si="393"/>
        <v>1.4632041161022138</v>
      </c>
      <c r="NU103" s="390">
        <f t="shared" si="394"/>
        <v>2.0020926598144735</v>
      </c>
      <c r="NV103" s="390">
        <f t="shared" si="395"/>
        <v>2.0020926598144735</v>
      </c>
      <c r="NW103" s="9">
        <f t="shared" si="396"/>
        <v>1.5877950936490484</v>
      </c>
      <c r="NX103" s="9">
        <f>各项系数!$M$9*NK103</f>
        <v>0.43028038792289702</v>
      </c>
      <c r="NY103" s="9">
        <f t="shared" si="397"/>
        <v>1.4632041161022138</v>
      </c>
    </row>
    <row r="104" spans="1:389" s="9" customFormat="1" ht="15" customHeight="1">
      <c r="A104" s="966"/>
      <c r="B104" s="967"/>
      <c r="C104" s="77"/>
      <c r="D104" s="78" t="s">
        <v>329</v>
      </c>
      <c r="E104" s="79">
        <f t="shared" si="325"/>
        <v>29.79148519</v>
      </c>
      <c r="F104" s="80">
        <f>$F$24</f>
        <v>238.573455311777</v>
      </c>
      <c r="G104" s="78"/>
      <c r="H104" s="79"/>
      <c r="I104" s="149">
        <f>$F$22</f>
        <v>208.046961644752</v>
      </c>
      <c r="J104" s="106"/>
      <c r="K104" s="79"/>
      <c r="L104" s="107" t="s">
        <v>467</v>
      </c>
      <c r="M104" s="108">
        <f t="shared" si="339"/>
        <v>1</v>
      </c>
      <c r="N104" s="108">
        <f t="shared" si="340"/>
        <v>0.9</v>
      </c>
      <c r="O104" s="78">
        <f t="shared" si="493"/>
        <v>0.08</v>
      </c>
      <c r="P104" s="968">
        <v>0.1</v>
      </c>
      <c r="Q104" s="146">
        <f t="shared" ref="Q104:Q113" si="499">$Q$12</f>
        <v>0.1</v>
      </c>
      <c r="R104" s="76">
        <v>0.8</v>
      </c>
      <c r="S104" s="147" t="str">
        <f>各项系数!$D$43</f>
        <v>钢带</v>
      </c>
      <c r="T104" s="106">
        <v>0.2</v>
      </c>
      <c r="U104" s="106">
        <v>2</v>
      </c>
      <c r="V104" s="148"/>
      <c r="W104" s="149">
        <v>1.9</v>
      </c>
      <c r="X104" s="150">
        <f t="shared" ref="X104:X113" si="500">$X$12</f>
        <v>0.2</v>
      </c>
      <c r="Y104" s="150"/>
      <c r="Z104" s="171"/>
      <c r="AA104" s="172">
        <f>$AA$24</f>
        <v>1.0109999999999999</v>
      </c>
      <c r="AB104" s="172">
        <f>PI()*EJ104*EJ104/4*EH104*(1-H104)*AA104*各项系数!$F$5*各项系数!$J$4*10^-7</f>
        <v>0.39976992605548828</v>
      </c>
      <c r="AC104" s="172">
        <f t="shared" si="327"/>
        <v>238.573455311777</v>
      </c>
      <c r="AD104" s="172">
        <f t="shared" si="341"/>
        <v>45.194467959085443</v>
      </c>
      <c r="AE104" s="172">
        <f>POWER(4*EU104/PI()/EG104/10^-7/EH104/(1-H104)/各项系数!$F$5/各项系数!$J$4,0.5)</f>
        <v>239.88202060340797</v>
      </c>
      <c r="AF104" s="79">
        <f>$AA$22</f>
        <v>1.0109999999999999</v>
      </c>
      <c r="AG104" s="79">
        <f>IF(EM104=0,0,PI()*ER104*ER104/4*EP104*(1-K104)*(1+AF104)*各项系数!$F$5*各项系数!$J$4*10^-7)</f>
        <v>0.42329933774174133</v>
      </c>
      <c r="AH104" s="79">
        <f t="shared" si="328"/>
        <v>208.046961644752</v>
      </c>
      <c r="AI104" s="79">
        <f t="shared" si="398"/>
        <v>24.058128060751155</v>
      </c>
      <c r="AJ104" s="79">
        <f>IF(OR(EP104="",EP104=0),0,POWER(4*EW104/PI()/EO104/10^-7/EP104/(1-K104)/各项系数!$F$5/各项系数!$J$4,0.5))</f>
        <v>209.18809041233357</v>
      </c>
      <c r="AK104" s="79">
        <f t="shared" si="342"/>
        <v>1.4121171528342422</v>
      </c>
      <c r="AL104" s="79">
        <f t="shared" si="329"/>
        <v>100.03670499645749</v>
      </c>
      <c r="AM104" s="106">
        <f t="shared" si="330"/>
        <v>50</v>
      </c>
      <c r="AN104" s="107" t="s">
        <v>486</v>
      </c>
      <c r="AO104" s="146">
        <f>AP104+各项系数!$M$9*$NK104</f>
        <v>98.075200976919106</v>
      </c>
      <c r="AP104" s="146">
        <f>AQ104*(1+$BI104+(VLOOKUP($AM104,$A$12:$B$323,2,0))+各项系数!$J$6+各项系数!$M$5)*(1+$E$2)</f>
        <v>97.473665786897101</v>
      </c>
      <c r="AQ104" s="199">
        <f>AR104+各项系数!$L$9*$NK104</f>
        <v>99.462924272343983</v>
      </c>
      <c r="AR104" s="199">
        <f>AS104*(1+$BJ104+各项系数!$J$5+各项系数!$L$5)</f>
        <v>98.861389082321978</v>
      </c>
      <c r="AS104" s="199">
        <f t="shared" si="399"/>
        <v>96.922930472864678</v>
      </c>
      <c r="AT104" s="146">
        <f>AU104+各项系数!$M$9*$NM104</f>
        <v>99.722784815212464</v>
      </c>
      <c r="AU104" s="146">
        <f>AV104*(1+$BI104+(VLOOKUP($AM104,$A$12:$B$323,2,0))+各项系数!$J$6+各项系数!$M$5)*(1+$E$2)</f>
        <v>99.121249625190458</v>
      </c>
      <c r="AV104" s="199">
        <f>AW104+各项系数!$L$9*$NM104</f>
        <v>101.14413227060251</v>
      </c>
      <c r="AW104" s="199">
        <f>AX104*(1+$BJ104+各项系数!$J$5+各项系数!$L$5)</f>
        <v>100.54259708058051</v>
      </c>
      <c r="AX104" s="199">
        <f t="shared" si="400"/>
        <v>98.571173608412266</v>
      </c>
      <c r="AY104" s="146">
        <f>AZ104+各项系数!$M$9*$NS104</f>
        <v>100.5679955298544</v>
      </c>
      <c r="AZ104" s="146">
        <f>BA104*(1+$BI104+(VLOOKUP($AM104,$A$12:$B$214,2,0))+各项系数!$J$6+各项系数!$M$5)*(1+$E$2)</f>
        <v>99.955535084479521</v>
      </c>
      <c r="BA104" s="199">
        <f>BB104+各项系数!$L$9*$NS104</f>
        <v>101.99544396375461</v>
      </c>
      <c r="BB104" s="199">
        <f>BC104*(1+$BJ104+各项系数!$J$5+各项系数!$L$5)</f>
        <v>101.38298351837973</v>
      </c>
      <c r="BC104" s="199">
        <f t="shared" si="401"/>
        <v>99.395081880764437</v>
      </c>
      <c r="BD104" s="146">
        <f>BE104+各项系数!$M$9*$NS104</f>
        <v>102.22503076208864</v>
      </c>
      <c r="BE104" s="146">
        <f>BF104*(1+$BI104+(VLOOKUP($AM104,$A$12:$B$214,2,0))+各项系数!$J$6+各项系数!$M$5)*(1+$E$2)</f>
        <v>101.61257031671376</v>
      </c>
      <c r="BF104" s="199">
        <f>BG104+各项系数!$L$9*$NS104</f>
        <v>103.68629624154465</v>
      </c>
      <c r="BG104" s="199">
        <f>BH104*(1+$BJ104+各项系数!$J$5+各项系数!$L$5)</f>
        <v>103.07383579616977</v>
      </c>
      <c r="BH104" s="199">
        <f t="shared" si="402"/>
        <v>101.05278019232331</v>
      </c>
      <c r="BI104" s="214"/>
      <c r="BJ104" s="215"/>
      <c r="BK104" s="78" t="s">
        <v>514</v>
      </c>
      <c r="BL104" s="146">
        <f>BM104+各项系数!$M$9*$NM104</f>
        <v>99.270843970216688</v>
      </c>
      <c r="BM104" s="146">
        <f>BN104*(1+$CF104+(VLOOKUP($AM104,$A$12:$B$323,2,0))+各项系数!$J$6+各项系数!$M$5)*(1+$E$2)</f>
        <v>98.669308780194683</v>
      </c>
      <c r="BN104" s="199">
        <f>BO104+各项系数!$L$9*$NM104</f>
        <v>100.6829681430558</v>
      </c>
      <c r="BO104" s="199">
        <f>BP104*(1+$CG104+各项系数!$J$5+各项系数!$L$5)</f>
        <v>100.0814329530338</v>
      </c>
      <c r="BP104" s="199">
        <f t="shared" si="403"/>
        <v>97.166439760226979</v>
      </c>
      <c r="BQ104" s="146">
        <f>BR104+各项系数!$M$9*$NM104</f>
        <v>100.68878231657492</v>
      </c>
      <c r="BR104" s="146">
        <f>BS104*(1+$CF104+(VLOOKUP($AM104,$A$12:$B$323,2,0))+各项系数!$J$6+各项系数!$M$5)*(1+$E$2)</f>
        <v>100.08724712655291</v>
      </c>
      <c r="BS104" s="199">
        <f>BT104+各项系数!$L$9*$NM104</f>
        <v>102.12984400668664</v>
      </c>
      <c r="BT104" s="199">
        <f>BU104*(1+$CG104+各项系数!$J$5+各项系数!$L$5)</f>
        <v>101.52830881666463</v>
      </c>
      <c r="BU104" s="199">
        <f t="shared" si="404"/>
        <v>98.571173608412266</v>
      </c>
      <c r="BV104" s="146">
        <f>BW104+各项系数!$M$9*$NT104</f>
        <v>101.1971625317406</v>
      </c>
      <c r="BW104" s="146">
        <f>BX104*(1+$CF104+(VLOOKUP($AM104,$A$12:$B$214,2,0))+各项系数!$J$6+各项系数!$M$5)*(1+$E$2)</f>
        <v>100.58470208636572</v>
      </c>
      <c r="BX104" s="199">
        <f>BY104+各项系数!$L$9*$NT$12</f>
        <v>102.63745110853645</v>
      </c>
      <c r="BY104" s="199">
        <f>BZ104*(1+$CG104+各项系数!$J$5+各项系数!$L$5)</f>
        <v>102.62918770538148</v>
      </c>
      <c r="BZ104" s="199">
        <f t="shared" si="343"/>
        <v>99.639988063477162</v>
      </c>
      <c r="CA104" s="146">
        <f>CB104+各项系数!$M$9*$NT104</f>
        <v>102.6232349065979</v>
      </c>
      <c r="CB104" s="146">
        <f>CC104*(1+$CF104+(VLOOKUP($AM104,$A$12:$B$214,2,0))+各项系数!$J$6+各项系数!$M$5)*(1+$E$2)</f>
        <v>102.01077446122302</v>
      </c>
      <c r="CC104" s="199">
        <f>CD104+各项系数!$L$9*$NT$12</f>
        <v>104.09262700124799</v>
      </c>
      <c r="CD104" s="199">
        <f>CE104*(1+$CG104+各项系数!$J$5+各项系数!$L$5)</f>
        <v>104.08436359809302</v>
      </c>
      <c r="CE104" s="199">
        <f t="shared" si="405"/>
        <v>101.05278019232331</v>
      </c>
      <c r="CF104" s="214">
        <f t="shared" si="406"/>
        <v>0</v>
      </c>
      <c r="CG104" s="214">
        <f t="shared" si="344"/>
        <v>0.01</v>
      </c>
      <c r="CH104" s="106"/>
      <c r="CI104" s="146">
        <f>CJ104+各项系数!$M$9*$NO104</f>
        <v>101.25710841417298</v>
      </c>
      <c r="CJ104" s="146">
        <f>CK104*(1+$DC104+(VLOOKUP($AM104,$A$12:$B$323,2,0))+各项系数!$J$6+各项系数!$M$5)*(1+$E$2)+各项系数!$M$9*$NK104</f>
        <v>100.42209927692939</v>
      </c>
      <c r="CK104" s="199">
        <f>CL104+各项系数!$L$9*$NO104</f>
        <v>101.85771845602794</v>
      </c>
      <c r="CL104" s="199">
        <f>CM104*(1+$DD104+各项系数!$J$5+各项系数!$L$5)</f>
        <v>101.02270931878435</v>
      </c>
      <c r="CM104" s="199">
        <f t="shared" si="345"/>
        <v>99.041871881161128</v>
      </c>
      <c r="CN104" s="146">
        <f>CO104+各项系数!$M$9*$NO104</f>
        <v>102.76182956486961</v>
      </c>
      <c r="CO104" s="146">
        <f>CP104*(1+$DC104+(VLOOKUP($AM104,$A$12:$B$323,2,0))+各项系数!$J$6+各项系数!$M$5)*(1+$E$2)+各项系数!$M$9*$NK104</f>
        <v>101.92682042762603</v>
      </c>
      <c r="CP104" s="199">
        <f>CQ104+各项系数!$L$9*$NO104</f>
        <v>103.39314820163676</v>
      </c>
      <c r="CQ104" s="199">
        <f>CR104*(1+$DD104+各项系数!$J$5+各项系数!$L$5)</f>
        <v>102.55813906439317</v>
      </c>
      <c r="CR104" s="199">
        <f t="shared" si="346"/>
        <v>100.54719516116978</v>
      </c>
      <c r="CS104" s="146">
        <f>CT104+各项系数!$M$9*$NU104</f>
        <v>103.30401087235174</v>
      </c>
      <c r="CT104" s="146">
        <f t="shared" si="347"/>
        <v>102.45739049493768</v>
      </c>
      <c r="CU104" s="199">
        <f>CV104+各项系数!$L$9*$NU104</f>
        <v>104.5483576478956</v>
      </c>
      <c r="CV104" s="199">
        <f>CW104*(1+$DD104+各项系数!$J$5+各项系数!$L$5)</f>
        <v>103.70173727048154</v>
      </c>
      <c r="CW104" s="199">
        <f t="shared" si="348"/>
        <v>101.66836987302112</v>
      </c>
      <c r="CX104" s="146">
        <f>CY104+各项系数!$M$9*$NU104</f>
        <v>105.0577456788436</v>
      </c>
      <c r="CY104" s="146">
        <f t="shared" si="349"/>
        <v>104.21112530142955</v>
      </c>
      <c r="CZ104" s="199">
        <f>DA104+各项系数!$L$9*$NU104</f>
        <v>106.3378829606424</v>
      </c>
      <c r="DA104" s="199">
        <f>DB104*(1+$DD104+各项系数!$J$5+各项系数!$L$5)</f>
        <v>105.49126258322835</v>
      </c>
      <c r="DB104" s="199">
        <f t="shared" si="350"/>
        <v>103.42280645414544</v>
      </c>
      <c r="DC104" s="214">
        <f t="shared" si="498"/>
        <v>0</v>
      </c>
      <c r="DD104" s="214">
        <f t="shared" si="351"/>
        <v>0</v>
      </c>
      <c r="DE104" s="78" t="s">
        <v>498</v>
      </c>
      <c r="DF104" s="78" t="s">
        <v>513</v>
      </c>
      <c r="DG104" s="146">
        <f>DH104+各项系数!$M$9*$NQ104</f>
        <v>102.48794336348996</v>
      </c>
      <c r="DH104" s="146">
        <f>DI104*(1+$EA104+(VLOOKUP($AM104,$A$12:$B$323,2,0))+各项系数!$J$6+各项系数!$M$5)*(1+$E$2)+各项系数!$M$9*$NK104</f>
        <v>101.65293422624637</v>
      </c>
      <c r="DI104" s="199">
        <f>DJ104+各项系数!$L$9*$NQ104</f>
        <v>103.11367248594324</v>
      </c>
      <c r="DJ104" s="199">
        <f>DK104*(1+$EB104+各项系数!$J$5+各项系数!$L$5)</f>
        <v>102.27866334869965</v>
      </c>
      <c r="DK104" s="199">
        <f t="shared" si="352"/>
        <v>99.299673154077325</v>
      </c>
      <c r="DL104" s="146">
        <f>DM104+各项系数!$M$9*$NQ104</f>
        <v>103.98910298892946</v>
      </c>
      <c r="DM104" s="146">
        <f>DN104*(1+$EA104+(VLOOKUP($AM104,$A$12:$B$323,2,0))+各项系数!$J$6+各项系数!$M$5)*(1+$E$2)+各项系数!$M$9*$NK104</f>
        <v>103.15409385168587</v>
      </c>
      <c r="DN104" s="199">
        <f>DO104+各项系数!$L$9*$NQ104</f>
        <v>104.64546802210599</v>
      </c>
      <c r="DO104" s="199">
        <f>DP104*(1+$EB104+各项系数!$J$5+各项系数!$L$5)</f>
        <v>103.8104588848624</v>
      </c>
      <c r="DP104" s="199">
        <f t="shared" si="353"/>
        <v>100.78685328627417</v>
      </c>
      <c r="DQ104" s="146">
        <f>DR104+各项系数!$M$9*$NV104</f>
        <v>104.56199552815566</v>
      </c>
      <c r="DR104" s="146">
        <f t="shared" si="354"/>
        <v>103.71537515074161</v>
      </c>
      <c r="DS104" s="199">
        <f>DT104+各项系数!$L$9*$NV104</f>
        <v>105.83201545994042</v>
      </c>
      <c r="DT104" s="199">
        <f>DU104*(1+$EB104+各项系数!$J$5+各项系数!$L$5)</f>
        <v>104.98539508252637</v>
      </c>
      <c r="DU104" s="199">
        <f t="shared" si="355"/>
        <v>101.92756804128773</v>
      </c>
      <c r="DV104" s="146">
        <f>DW104+各项系数!$M$9*$NV104</f>
        <v>104.49335521886792</v>
      </c>
      <c r="DW104" s="146">
        <f t="shared" si="356"/>
        <v>103.64673484145386</v>
      </c>
      <c r="DX104" s="199">
        <f>DY104+各项系数!$L$9*$NV104</f>
        <v>105.76197432801415</v>
      </c>
      <c r="DY104" s="199">
        <f>DZ104*(1+$EB104+各项系数!$J$5+各项系数!$L$5)</f>
        <v>104.91535395060009</v>
      </c>
      <c r="DZ104" s="199">
        <f t="shared" si="357"/>
        <v>101.85956694233019</v>
      </c>
      <c r="EA104" s="214">
        <f t="shared" si="492"/>
        <v>0</v>
      </c>
      <c r="EB104" s="214">
        <f t="shared" si="358"/>
        <v>0.01</v>
      </c>
      <c r="EC104" s="237" t="str">
        <f t="shared" si="408"/>
        <v>3+1</v>
      </c>
      <c r="ED104" s="237" t="str">
        <f t="shared" si="494"/>
        <v>3*50</v>
      </c>
      <c r="EE104" s="78">
        <f t="shared" si="495"/>
        <v>50</v>
      </c>
      <c r="EF104" s="78" t="str">
        <f>LOOKUP(EH104,{1,7,10,14,19,24,30,37,48,61},{1,"1+6","2+8","4+10","1+6+12","2+8+14","4+10+16","1+6+12+18","3+9+15+21","1+6+12+18+24"})</f>
        <v>2+8</v>
      </c>
      <c r="EG104" s="106">
        <f t="shared" si="359"/>
        <v>3</v>
      </c>
      <c r="EH104" s="199">
        <f>VLOOKUP(EE104,各项系数!$B$87:$C$124,2,0)</f>
        <v>10</v>
      </c>
      <c r="EI104" s="106">
        <f>IF(EH104=0,0,VLOOKUP(EH104,各项系数!$D$142:$E$195,2,0))*1</f>
        <v>4</v>
      </c>
      <c r="EJ104" s="240">
        <f t="shared" si="409"/>
        <v>238.573455311777</v>
      </c>
      <c r="EK104" s="78" t="str">
        <f t="shared" si="332"/>
        <v>1*25</v>
      </c>
      <c r="EL104" s="78" t="str">
        <f t="shared" si="360"/>
        <v>25</v>
      </c>
      <c r="EM104" s="78">
        <f t="shared" si="496"/>
        <v>25</v>
      </c>
      <c r="EN104" s="78" t="str">
        <f>IF(EP104=0,0,LOOKUP(EP104,{1,7,10,14,19,24,30,37,48,61},{1,"1+6","2+8","4+10","1+6+12","2+8+14","4+10+16","1+6+12+18","3+9+15+21","1+6+12+18+24"}))</f>
        <v>1+6</v>
      </c>
      <c r="EO104" s="78" t="str">
        <f t="shared" si="334"/>
        <v>1</v>
      </c>
      <c r="EP104" s="78">
        <f>IF(EM104=0,0,IF(EM104&lt;10,1,IF(AND(EM104&gt;=10,EM104&lt;=35),7,LOOKUP(EM104,{50,70,95,120,150,185,240,300},{10,14,19,24,30,37,48,61})*1)))</f>
        <v>7</v>
      </c>
      <c r="EQ104" s="78">
        <f>IF(EP104=0,0,VLOOKUP(EP104,各项系数!$D$142:$E$195,2,0))*1</f>
        <v>3</v>
      </c>
      <c r="ER104" s="78">
        <f t="shared" si="335"/>
        <v>208.046961644752</v>
      </c>
      <c r="ES104" s="237">
        <f t="shared" si="497"/>
        <v>4</v>
      </c>
      <c r="ET104" s="78">
        <f>VLOOKUP(ES104,各项系数!$D$142:$E$195,2,0)*1</f>
        <v>2.42</v>
      </c>
      <c r="EU104" s="78">
        <f>((各项系数!$F$76/4*$EJ104^2*$EG104*$EH104*1*10^-7)*(1-$H104)*AA104)*(VLOOKUP($EY$9,各项系数!$D$4:$F$143,3,0))*各项系数!$J$4</f>
        <v>1.1993097781664646</v>
      </c>
      <c r="EV104" s="246">
        <f>EU104*(VLOOKUP($EY$9,各项系数!$D$4:$F$143,2,0))</f>
        <v>78.554790469903423</v>
      </c>
      <c r="EW104" s="78">
        <f>(IF($EO104=0,0,(各项系数!$F$76/4*$ER104^2*$EO104*$EP104*1*10^-7))*(1-$K104)*$AF104)*(VLOOKUP($EY$9,各项系数!$D$4:$F$143,3,0))*各项系数!$J$4</f>
        <v>0.21280737466777744</v>
      </c>
      <c r="EX104" s="246">
        <f>EW104*(VLOOKUP($EY$9,各项系数!$D$4:$F$143,2,0))</f>
        <v>13.938883040739423</v>
      </c>
      <c r="EY104" s="78">
        <f>((各项系数!$F$76/4*$EJ104^2*$EG104*$EH104*1*10^-7)*(1-$H104)*AA104+IF($EO104=0,0,(各项系数!$F$76/4*$ER104^2*$EO104*$EP104*1*10^-7))*(1-$K104)*$AF104)*(VLOOKUP($EY$9,各项系数!$D$4:$F$143,3,0))*各项系数!$J$4</f>
        <v>1.4121171528342422</v>
      </c>
      <c r="EZ104" s="106">
        <v>1</v>
      </c>
      <c r="FA104" s="78">
        <f t="shared" si="445"/>
        <v>1.4121171528342422</v>
      </c>
      <c r="FB104" s="246">
        <f>FA104*(VLOOKUP($EY$9,各项系数!$D$4:$F$143,2,0))</f>
        <v>92.493673510642864</v>
      </c>
      <c r="FC104" s="257"/>
      <c r="FD104" s="237">
        <f>各项系数!$F$76/4*($MN104^2-MK104^2)*10^-2*(VLOOKUP(L104,各项系数!$D$1:$F$143,3,0))*10^-3*10^2*$EG104*各项系数!$J$4</f>
        <v>0.10875483006428488</v>
      </c>
      <c r="FE104" s="264">
        <f>FD104*VLOOKUP(L104,各项系数!$D$1:$F$143,2,0)</f>
        <v>1.1092992666557058</v>
      </c>
      <c r="FF104" s="106">
        <f>各项系数!$F$76/4*($MO104^2-ML104^2)*10^-2*(VLOOKUP(L104,各项系数!$D$1:$F$143,3,0))*10^-3*10^2*$EO104*各项系数!$J$4</f>
        <v>2.2099988380872005E-2</v>
      </c>
      <c r="FG104" s="264">
        <f>FF104*VLOOKUP(L104,各项系数!$D$1:$F$143,2,0)</f>
        <v>0.22541988148489445</v>
      </c>
      <c r="FH104" s="237">
        <f t="shared" si="410"/>
        <v>0.1308548184451569</v>
      </c>
      <c r="FI104" s="106">
        <v>1</v>
      </c>
      <c r="FJ104" s="78">
        <f t="shared" si="446"/>
        <v>0.1308548184451569</v>
      </c>
      <c r="FK104" s="264">
        <f>FJ104*VLOOKUP(L104,各项系数!$D$1:$F$143,2,0)</f>
        <v>1.3347191481406002</v>
      </c>
      <c r="FL104" s="237"/>
      <c r="FM104" s="106"/>
      <c r="FN104" s="78"/>
      <c r="FO104" s="264"/>
      <c r="FP104" s="289">
        <f t="shared" si="447"/>
        <v>0.1308548184451569</v>
      </c>
      <c r="FQ104" s="289">
        <f t="shared" si="448"/>
        <v>1.3347191481406002</v>
      </c>
      <c r="FR104" s="283">
        <f>各项系数!$F$76/4*($MQ104^2-$MN104^2*$EG104-$MO104^2*$EO104)*10^-2</f>
        <v>1.5869500227544504</v>
      </c>
      <c r="FS104" s="284">
        <f t="shared" si="411"/>
        <v>1</v>
      </c>
      <c r="FT104" s="290">
        <f t="shared" si="361"/>
        <v>1.5869500227544504</v>
      </c>
      <c r="FU104" s="309">
        <f>$FT104*(VLOOKUP($FT$9,各项系数!$D$1:$F$143,3,0))*10^-3*10^2*各项系数!$J$55</f>
        <v>0.18948183271688138</v>
      </c>
      <c r="FV104" s="310">
        <v>1</v>
      </c>
      <c r="FW104" s="311">
        <f t="shared" si="449"/>
        <v>0.18948183271688138</v>
      </c>
      <c r="FX104" s="290">
        <f>FW104*(VLOOKUP($FT$9,各项系数!$D$1:$F$143,2,0))</f>
        <v>0.56844549815064416</v>
      </c>
      <c r="FY104" s="309">
        <f>IF($BK104&lt;&gt;$FY$9,0,各项系数!$F$76/4*($MS104^2-$MQ104^2)*10^-2*(VLOOKUP($FY$9,各项系数!$D$1:$F$143,3,0))*10^-3*10^2)*各项系数!$J$4</f>
        <v>0</v>
      </c>
      <c r="FZ104" s="310">
        <v>1</v>
      </c>
      <c r="GA104" s="311">
        <f t="shared" si="450"/>
        <v>0</v>
      </c>
      <c r="GB104" s="290">
        <f>GA104*(VLOOKUP($FY$9,各项系数!$D$1:$F$143,2,0))</f>
        <v>0</v>
      </c>
      <c r="GC104" s="309">
        <f>IF($BK104&lt;&gt;$GC$9,0,各项系数!$F$76/4*($MS104^2-$MQ104^2)*10^-2*(VLOOKUP($GC$9,各项系数!$D$1:$F$143,3,0))*10^-3*10^2)*各项系数!$J$4</f>
        <v>7.0542203339154673E-3</v>
      </c>
      <c r="GD104" s="310">
        <v>1</v>
      </c>
      <c r="GE104" s="311">
        <f t="shared" si="451"/>
        <v>7.0542203339154673E-3</v>
      </c>
      <c r="GF104" s="290">
        <f>GE104*(VLOOKUP($GC$9,各项系数!$D$1:$F$143,2,0))</f>
        <v>9.0999442307509532E-2</v>
      </c>
      <c r="GG104" s="309">
        <f>IF($BK104&lt;&gt;$GG$9,0,各项系数!$F$76/4*($MS104^2-$MQ104^2)*10^-2*(VLOOKUP($GG$9,各项系数!$D$1:$F$143,3,0))*10^-3*10^2)*各项系数!$J$4</f>
        <v>0</v>
      </c>
      <c r="GH104" s="310">
        <v>1</v>
      </c>
      <c r="GI104" s="311">
        <f t="shared" si="452"/>
        <v>0</v>
      </c>
      <c r="GJ104" s="290">
        <f>GI104*(VLOOKUP($GG$9,各项系数!$D$1:$F$143,2,0))</f>
        <v>0</v>
      </c>
      <c r="GK104" s="309">
        <f>IF($BK104&lt;&gt;$GK$9,0,各项系数!$F$76/4*($MS104^2-$MQ104^2)*10^-2*(VLOOKUP($GK$9,各项系数!$D$1:$F$143,3,0))*10^-3*10^2)*各项系数!$J$4</f>
        <v>0</v>
      </c>
      <c r="GL104" s="310">
        <v>1</v>
      </c>
      <c r="GM104" s="311">
        <f t="shared" si="453"/>
        <v>0</v>
      </c>
      <c r="GN104" s="290">
        <f>GM104*(VLOOKUP($GK$9,各项系数!$D$1:$F$143,2,0))</f>
        <v>0</v>
      </c>
      <c r="GO104" s="311">
        <f t="shared" si="454"/>
        <v>7.0542203339154673E-3</v>
      </c>
      <c r="GP104" s="311">
        <f t="shared" si="455"/>
        <v>9.0999442307509532E-2</v>
      </c>
      <c r="GQ104" s="317">
        <f>各项系数!$F$76/4*($MU104^2-$MS104^2)*10^-2*(VLOOKUP($S104,各项系数!$D$1:$F$143,3,0))*10^-3*10^2*各项系数!$J$4</f>
        <v>0.19280401834275976</v>
      </c>
      <c r="GR104" s="310">
        <v>1</v>
      </c>
      <c r="GS104" s="311">
        <f t="shared" si="456"/>
        <v>0.19280401834275976</v>
      </c>
      <c r="GT104" s="311">
        <f t="shared" si="457"/>
        <v>0</v>
      </c>
      <c r="GU104" s="311">
        <f>ROUND($GS104*(VLOOKUP($S104,各项系数!$D$1:$F$143,2,0))+$E$3*GS104,GT104)</f>
        <v>1</v>
      </c>
      <c r="GV104" s="317">
        <f>各项系数!$F$76/4*($MT104^2-$MS104^2)*10^-2*(VLOOKUP($GV$9,各项系数!$D$1:$F$143,3,0))*10^-3*10^2*各项系数!$J$4*PI()/4*R104</f>
        <v>3.6417517842898595E-2</v>
      </c>
      <c r="GW104" s="310">
        <v>1</v>
      </c>
      <c r="GX104" s="311">
        <f t="shared" si="458"/>
        <v>3.6417517842898595E-2</v>
      </c>
      <c r="GY104" s="311">
        <f>$GX104*(VLOOKUP($GV$9,各项系数!$D$1:$F$143,2,0))</f>
        <v>2.4581824543956552</v>
      </c>
      <c r="GZ104" s="317">
        <f>各项系数!$F$76/4*($MV104^2-$MS104^2)*10^-2*(VLOOKUP($GZ$9,各项系数!$D$1:$F$143,3,0))*10^-3*10^2*各项系数!$J$4</f>
        <v>0.24019623583356736</v>
      </c>
      <c r="HA104" s="310">
        <v>1</v>
      </c>
      <c r="HB104" s="311">
        <f t="shared" si="412"/>
        <v>0.24019623583356736</v>
      </c>
      <c r="HC104" s="311">
        <f>HB104*(VLOOKUP($GZ$9,各项系数!$D$1:$F$143,2,0))</f>
        <v>4.0833360091706448</v>
      </c>
      <c r="HD104" s="317">
        <f>各项系数!$F$76/4*($MW104^2-$MT104^2)*10^-2*(VLOOKUP($HD$9,各项系数!$D$1:$F$143,3,0))*10^-3*10^2*各项系数!$J$4</f>
        <v>0.24157412580506121</v>
      </c>
      <c r="HE104" s="310">
        <v>1</v>
      </c>
      <c r="HF104" s="311">
        <f t="shared" si="413"/>
        <v>0.24157412580506121</v>
      </c>
      <c r="HG104" s="311">
        <f>HF104*(VLOOKUP($HD$9,各项系数!$D$1:$F$143,2,0))</f>
        <v>4.1067601386860408</v>
      </c>
      <c r="HH104" s="317">
        <f>各项系数!$F$76/4*($MV104^2-$MS104^2)*10^-2*(VLOOKUP($HH$9,各项系数!$D$1:$F$143,3,0))*10^-3*10^2*各项系数!$J$4</f>
        <v>0.24019623583356736</v>
      </c>
      <c r="HI104" s="311">
        <v>1</v>
      </c>
      <c r="HJ104" s="311">
        <f t="shared" si="414"/>
        <v>0.24019623583356736</v>
      </c>
      <c r="HK104" s="311">
        <f>HJ104*(VLOOKUP($HH$9,各项系数!$D$1:$F$143,2,0))</f>
        <v>4.0833360091706448</v>
      </c>
      <c r="HL104" s="317">
        <f>各项系数!$F$76/4*($MW104^2-$MT104^2)*10^-2*(VLOOKUP($HL$9,各项系数!$D$1:$F$143,3,0))*10^-3*10^2*各项系数!$J$4</f>
        <v>0.24157412580506121</v>
      </c>
      <c r="HM104" s="311">
        <v>1</v>
      </c>
      <c r="HN104" s="311">
        <f t="shared" si="362"/>
        <v>0.24157412580506121</v>
      </c>
      <c r="HO104" s="311">
        <f>HN104*(VLOOKUP($HL$9,各项系数!$D$1:$F$143,2,0))</f>
        <v>4.1067601386860408</v>
      </c>
      <c r="HP104" s="317">
        <f>各项系数!$F$76/4*($MV104^2-$MS104^2)*10^-2*(VLOOKUP(AN104,各项系数!$D$1:$F$143,3,0))*10^-3*10^2*各项系数!$J$4</f>
        <v>0.2435092873623062</v>
      </c>
      <c r="HQ104" s="310">
        <v>1</v>
      </c>
      <c r="HR104" s="311">
        <f t="shared" si="459"/>
        <v>0.2435092873623062</v>
      </c>
      <c r="HS104" s="311">
        <f>HR104*(VLOOKUP(AN104,各项系数!$D$1:$F$143,2,0))</f>
        <v>2.4350928736230619</v>
      </c>
      <c r="HT104" s="317">
        <f>各项系数!$F$76/4*($MW104^2-$MT104^2)*10^-2*(VLOOKUP(AN104,各项系数!$D$1:$F$143,3,0))*10^-3*10^2*各项系数!$J$4</f>
        <v>0.24490618271271727</v>
      </c>
      <c r="HU104" s="310">
        <v>1</v>
      </c>
      <c r="HV104" s="311">
        <f t="shared" si="460"/>
        <v>0.24490618271271727</v>
      </c>
      <c r="HW104" s="311">
        <f>HV104*(VLOOKUP(AN104,各项系数!$D$1:$F$143,2,0))</f>
        <v>2.4490618271271729</v>
      </c>
      <c r="HX104" s="317">
        <f>各项系数!$F$76/4*($MV104^2-$MS104^2)*10^-2*(VLOOKUP($HX$9,各项系数!$D$1:$F$143,3,0))*10^-3*10^2*各项系数!$J$4</f>
        <v>0.2435092873623062</v>
      </c>
      <c r="HY104" s="311">
        <v>1</v>
      </c>
      <c r="HZ104" s="311">
        <f t="shared" si="461"/>
        <v>0.2435092873623062</v>
      </c>
      <c r="IA104" s="311">
        <f>HZ104*(VLOOKUP($HX$9,各项系数!$D$1:$F$143,2,0))</f>
        <v>2.6786021609853683</v>
      </c>
      <c r="IB104" s="317">
        <f>各项系数!$F$76/4*($MW104^2-$MT104^2)*10^-2*(VLOOKUP($IB$9,各项系数!$D$1:$F$143,3,0))*10^-3*10^2*各项系数!$J$4</f>
        <v>0.24490618271271727</v>
      </c>
      <c r="IC104" s="311">
        <v>1</v>
      </c>
      <c r="ID104" s="311">
        <f t="shared" si="462"/>
        <v>0.24490618271271727</v>
      </c>
      <c r="IE104" s="311">
        <f>ID104*(VLOOKUP($IB$9,各项系数!$D$1:$F$143,2,0))</f>
        <v>2.6939680098398902</v>
      </c>
      <c r="IF104" s="309"/>
      <c r="IG104" s="317">
        <f t="shared" si="415"/>
        <v>5.0738111665277592E-2</v>
      </c>
      <c r="IH104" s="310">
        <v>1</v>
      </c>
      <c r="II104" s="311">
        <f t="shared" si="463"/>
        <v>5.0738111665277592E-2</v>
      </c>
      <c r="IJ104" s="311">
        <f>II104*(VLOOKUP($IG$8,各项系数!$D$1:$F$143,2,0))</f>
        <v>1.2684527916319399</v>
      </c>
      <c r="IK104" s="317">
        <f>(各项系数!$F$76/4*($MX104^2-$MK104^2)*$EG104)*10^-2*(VLOOKUP($IG$8,各项系数!$D$1:$F$143,3,0))*10^-3*10^2*各项系数!$J$4</f>
        <v>4.1536651266671464E-2</v>
      </c>
      <c r="IL104" s="310">
        <f>IK104*(VLOOKUP($IG$8,各项系数!$D$1:$F$143,2,0))</f>
        <v>1.0384162816667866</v>
      </c>
      <c r="IM104" s="311">
        <f>(各项系数!$F$76/4*(($MM104+3*$X104)^2-MM104^2)*$EO104)*10^-2*(VLOOKUP($IG$8,各项系数!$D$1:$F$143,3,0))*10^-3*10^2*各项系数!$J$4</f>
        <v>9.2014603986061289E-3</v>
      </c>
      <c r="IN104" s="310">
        <f>IM104*(VLOOKUP($IG$8,各项系数!$D$1:$F$143,2,0))</f>
        <v>0.23003650996515324</v>
      </c>
      <c r="IO104" s="317">
        <f>各项系数!$F$76/4*($MZ104^2-$MX104^2)*10^-2*(VLOOKUP(L104,各项系数!$D$1:$F$143,3,0))*10^-3*10^2*$ES104*各项系数!$J$4</f>
        <v>0.15325877566816273</v>
      </c>
      <c r="IP104" s="310">
        <v>1</v>
      </c>
      <c r="IQ104" s="311">
        <f t="shared" si="464"/>
        <v>0.15325877566816273</v>
      </c>
      <c r="IR104" s="290">
        <f>IQ104*(VLOOKUP(L104,各项系数!$D$1:$F$143,2,0))</f>
        <v>1.5632395118152598</v>
      </c>
      <c r="IS104" s="317">
        <f>IF($L104&lt;&gt;$IS$9,0,各项系数!$F$76/4*($MZ104^2-$MX104^2)*10^-2*各项系数!$F$12*10^-3*10^2)*$ES104*各项系数!$J$4</f>
        <v>0</v>
      </c>
      <c r="IT104" s="310">
        <v>1</v>
      </c>
      <c r="IU104" s="311">
        <f t="shared" si="465"/>
        <v>0</v>
      </c>
      <c r="IV104" s="290">
        <f>IU104*各项系数!$E$12</f>
        <v>0</v>
      </c>
      <c r="IW104" s="309">
        <f t="shared" si="466"/>
        <v>0.15325877566816273</v>
      </c>
      <c r="IX104" s="309">
        <f t="shared" si="467"/>
        <v>1.5632395118152598</v>
      </c>
      <c r="IY104" s="339">
        <f>各项系数!$F$76/4*($NB104^2-$MZ104^2*$EG104-$NA104^2*$EO104)*10^-2</f>
        <v>1.8033194706169682</v>
      </c>
      <c r="IZ104" s="284">
        <f t="shared" si="487"/>
        <v>1</v>
      </c>
      <c r="JA104" s="290">
        <f t="shared" si="363"/>
        <v>1.8033194706169682</v>
      </c>
      <c r="JB104" s="289">
        <f>IF($DE104&lt;&gt;$JB$9,0,$JA104*各项系数!$F$32*10^-3*10^2)*各项系数!$J$4</f>
        <v>0</v>
      </c>
      <c r="JC104" s="106">
        <v>1</v>
      </c>
      <c r="JD104" s="78">
        <f t="shared" si="468"/>
        <v>0</v>
      </c>
      <c r="JE104" s="264">
        <f>JD104*各项系数!$E$32</f>
        <v>0</v>
      </c>
      <c r="JF104" s="289">
        <f>IF($DE104&lt;&gt;$JF$9,0,$JA104*VLOOKUP($JF$9,各项系数!$D$4:$F$540,2,0)*10^-3*10^2)*各项系数!$J$4</f>
        <v>0.89715143663194163</v>
      </c>
      <c r="JG104" s="106">
        <v>1</v>
      </c>
      <c r="JH104" s="78">
        <f t="shared" si="364"/>
        <v>0.89715143663194163</v>
      </c>
      <c r="JI104" s="264">
        <f>JH104*VLOOKUP($JF$9,各项系数!$D$4:$F$540,3,0)</f>
        <v>1.07658172395833</v>
      </c>
      <c r="JJ104" s="289">
        <f t="shared" si="469"/>
        <v>0.89715143663194163</v>
      </c>
      <c r="JK104" s="78">
        <f t="shared" si="470"/>
        <v>1.07658172395833</v>
      </c>
      <c r="JL104" s="289">
        <f>IF($DF104&lt;&gt;$JL$9,0,各项系数!$F$76/4*($NE104^2-$NC104^2)*10^-2*各项系数!$F$39*10^-3*10^2)*各项系数!$J$4</f>
        <v>3.0955806975371527E-3</v>
      </c>
      <c r="JM104" s="106">
        <v>1</v>
      </c>
      <c r="JN104" s="78">
        <f t="shared" si="471"/>
        <v>3.0955806975371527E-3</v>
      </c>
      <c r="JO104" s="264">
        <f>JN104*各项系数!$E$39</f>
        <v>6.1911613950743058E-2</v>
      </c>
      <c r="JP104" s="289">
        <f>IF($DF104&lt;&gt;$JP$9,0,各项系数!$F$76/4*($NE104^2-$NC104^2)*10^-2*各项系数!$F$36*10^-3*10^2)*各项系数!$J$4</f>
        <v>0</v>
      </c>
      <c r="JQ104" s="106">
        <v>1</v>
      </c>
      <c r="JR104" s="78">
        <f t="shared" si="472"/>
        <v>0</v>
      </c>
      <c r="JS104" s="264">
        <f>JR104*各项系数!$E$36</f>
        <v>0</v>
      </c>
      <c r="JT104" s="289">
        <f>IF($DF104&lt;&gt;$JT$9,0,各项系数!$F$76/4*($NE104^2-$NC104^2)*10^-2*各项系数!$F$40*10^-3*10^2)*各项系数!$J$4</f>
        <v>0</v>
      </c>
      <c r="JU104" s="106">
        <v>1</v>
      </c>
      <c r="JV104" s="78">
        <f t="shared" si="473"/>
        <v>0</v>
      </c>
      <c r="JW104" s="264">
        <f>JV104*各项系数!$E$40</f>
        <v>0</v>
      </c>
      <c r="JX104" s="289">
        <f>IF($DF104&lt;&gt;$JX$9,0,各项系数!$F$76/4*($NE104^2-$NC104^2)*10^-2*各项系数!$F$38*10^-3*10^2)*各项系数!$J$4</f>
        <v>0</v>
      </c>
      <c r="JY104" s="106">
        <v>1</v>
      </c>
      <c r="JZ104" s="78">
        <f t="shared" si="474"/>
        <v>0</v>
      </c>
      <c r="KA104" s="264">
        <f>JZ104*各项系数!$E$38</f>
        <v>0</v>
      </c>
      <c r="KB104" s="289">
        <f>IF($DF104&lt;&gt;$KB$9,0,各项系数!$F$76/4*($NE104^2-$NC104^2)*10^-2*各项系数!$F$41*10^-3*10^2)*各项系数!$J$4</f>
        <v>0</v>
      </c>
      <c r="KC104" s="106">
        <v>1</v>
      </c>
      <c r="KD104" s="78">
        <f t="shared" si="475"/>
        <v>0</v>
      </c>
      <c r="KE104" s="264">
        <f>KD104*各项系数!$E$41</f>
        <v>0</v>
      </c>
      <c r="KF104" s="78">
        <f t="shared" si="476"/>
        <v>3.0955806975371527E-3</v>
      </c>
      <c r="KG104" s="78">
        <f t="shared" si="477"/>
        <v>6.1911613950743058E-2</v>
      </c>
      <c r="KH104" s="237">
        <f>各项系数!$F$76/4*($NG104^2-$NE104^2)*10^-2*各项系数!$F$44*10^-3*10^2*各项系数!$J$4*0.75*$U104</f>
        <v>0.30721300823886244</v>
      </c>
      <c r="KI104" s="106">
        <v>1</v>
      </c>
      <c r="KJ104" s="78">
        <f t="shared" si="478"/>
        <v>0.30721300823886244</v>
      </c>
      <c r="KK104" s="78">
        <f>ROUND(KJ104*各项系数!$E$43,GT104)</f>
        <v>2</v>
      </c>
      <c r="KL104" s="237">
        <f>各项系数!$F$76/4*($NF104^2-$NE104^2)*10^-2*各项系数!$F$46*10^-3*10^2*各项系数!$J$4*PI()/4*R104</f>
        <v>3.8704133901568655E-2</v>
      </c>
      <c r="KM104" s="106">
        <v>1</v>
      </c>
      <c r="KN104" s="78">
        <f t="shared" si="479"/>
        <v>3.8704133901568655E-2</v>
      </c>
      <c r="KO104" s="78">
        <f>KN104*各项系数!$E$46</f>
        <v>2.6125290383558841</v>
      </c>
      <c r="KP104" s="237">
        <f>各项系数!$F$76/4*($NH104^2-$NE104^2)*10^-2*(VLOOKUP($KP$9,各项系数!$D$1:$F$143,3,0))*10^-3*10^2*各项系数!$J$4</f>
        <v>0.25429377260441405</v>
      </c>
      <c r="KQ104" s="106">
        <v>1</v>
      </c>
      <c r="KR104" s="78">
        <f t="shared" si="416"/>
        <v>0.25429377260441405</v>
      </c>
      <c r="KS104" s="78">
        <f>KR104*(VLOOKUP($KP$9,各项系数!$D$1:$F$143,2,0))</f>
        <v>4.3229941342750386</v>
      </c>
      <c r="KT104" s="237">
        <f>各项系数!$F$76/4*($NI104^2-$NF104^2)*10^-2*(VLOOKUP($KT$9,各项系数!$D$1:$F$143,3,0))*10^-3*10^2*各项系数!$J$4</f>
        <v>0.25567166257590784</v>
      </c>
      <c r="KU104" s="106">
        <v>1</v>
      </c>
      <c r="KV104" s="78">
        <f t="shared" si="417"/>
        <v>0.25567166257590784</v>
      </c>
      <c r="KW104" s="78">
        <f>KV104*(VLOOKUP($KT$9,各项系数!$D$1:$F$143,2,0))</f>
        <v>4.3464182637904329</v>
      </c>
      <c r="KX104" s="78">
        <f>各项系数!$F$76/4*($NH104^2-$NE104^2)*10^-2*(VLOOKUP($KX$9,各项系数!$D$1:$F$143,3,0))*10^-3*10^2*各项系数!$J$4</f>
        <v>0.25429377260441405</v>
      </c>
      <c r="KY104" s="355">
        <v>1</v>
      </c>
      <c r="KZ104" s="78">
        <f t="shared" si="418"/>
        <v>0.25429377260441405</v>
      </c>
      <c r="LA104" s="78">
        <f>KZ104*(VLOOKUP($KX$9,各项系数!$D$1:$F$143,2,0))</f>
        <v>4.3229941342750386</v>
      </c>
      <c r="LB104" s="78">
        <f>各项系数!$F$76/4*($NI104^2-$NF104^2)*10^-2*(VLOOKUP($LB$9,各项系数!$D$1:$F$143,3,0))*10^-3*10^2*各项系数!$J$4</f>
        <v>0.25567166257590784</v>
      </c>
      <c r="LC104" s="355">
        <v>1</v>
      </c>
      <c r="LD104" s="78">
        <f t="shared" si="419"/>
        <v>0.25567166257590784</v>
      </c>
      <c r="LE104" s="78">
        <f>LD104*(VLOOKUP($LB$9,各项系数!$D$1:$F$143,2,0))</f>
        <v>4.3464182637904329</v>
      </c>
      <c r="LF104" s="237">
        <f>各项系数!$F$76/4*($NH104^2-$NE104^2)*10^-2*(VLOOKUP(AN104,各项系数!$D$1:$F$143,3,0))*10^-3*10^2*各项系数!$J$4</f>
        <v>0.25780127291619909</v>
      </c>
      <c r="LG104" s="106">
        <v>1</v>
      </c>
      <c r="LH104" s="78">
        <f t="shared" si="480"/>
        <v>0.25780127291619909</v>
      </c>
      <c r="LI104" s="78">
        <f>LH104*(VLOOKUP(AN104,各项系数!$D$1:$F$143,2,0))</f>
        <v>2.578012729161991</v>
      </c>
      <c r="LJ104" s="237">
        <f>各项系数!$F$76/4*($NI104^2-$NF104^2)*10^-2*(VLOOKUP(AN104,各项系数!$D$1:$F$143,3,0))*10^-3*10^2*各项系数!$J$4</f>
        <v>0.25919816826661007</v>
      </c>
      <c r="LK104" s="106">
        <v>1</v>
      </c>
      <c r="LL104" s="78">
        <f t="shared" si="481"/>
        <v>0.25919816826661007</v>
      </c>
      <c r="LM104" s="78">
        <f>LL104*(VLOOKUP(AN104,各项系数!$D$1:$F$143,2,0))</f>
        <v>2.5919816826661006</v>
      </c>
      <c r="LN104" s="78">
        <f>各项系数!$F$76/4*($NH104^2-$NE104^2)*10^-2*(VLOOKUP($LN$9,各项系数!$D$1:$F$143,3,0))*10^-3*10^2*各项系数!$J$4</f>
        <v>0.25780127291619909</v>
      </c>
      <c r="LO104" s="355">
        <v>1</v>
      </c>
      <c r="LP104" s="78">
        <f t="shared" si="482"/>
        <v>0.25780127291619909</v>
      </c>
      <c r="LQ104" s="78">
        <f>LP104*(VLOOKUP($LN$9,各项系数!$D$1:$F$143,2,0))</f>
        <v>2.8358140020781901</v>
      </c>
      <c r="LR104" s="78">
        <f>各项系数!$F$76/4*($NI104^2-$NF104^2)*10^-2*(VLOOKUP($LR$9,各项系数!$D$1:$F$143,3,0))*10^-3*10^2*各项系数!$J$4</f>
        <v>0.25919816826661007</v>
      </c>
      <c r="LS104" s="355">
        <v>1</v>
      </c>
      <c r="LT104" s="78">
        <f t="shared" si="483"/>
        <v>0.25919816826661007</v>
      </c>
      <c r="LU104" s="78">
        <f>LT104*(VLOOKUP($LR$9,各项系数!$D$1:$F$143,2,0))</f>
        <v>2.8511798509327106</v>
      </c>
      <c r="LV104" s="367">
        <f t="shared" si="420"/>
        <v>214.57314108</v>
      </c>
      <c r="LW104" s="367">
        <f t="shared" si="421"/>
        <v>134.10821318000001</v>
      </c>
      <c r="LX104" s="367">
        <f t="shared" si="422"/>
        <v>13.067206292645317</v>
      </c>
      <c r="LY104" s="367">
        <f t="shared" si="423"/>
        <v>80.464927899999992</v>
      </c>
      <c r="LZ104" s="379">
        <f t="shared" si="365"/>
        <v>1</v>
      </c>
      <c r="MA104" s="367">
        <f t="shared" si="366"/>
        <v>214.57314108</v>
      </c>
      <c r="MB104" s="367">
        <f t="shared" si="424"/>
        <v>9.5429382</v>
      </c>
      <c r="MC104" s="367">
        <f t="shared" si="425"/>
        <v>30.595330300000001</v>
      </c>
      <c r="MD104" s="367">
        <f t="shared" si="426"/>
        <v>23.796368090000001</v>
      </c>
      <c r="ME104" s="367">
        <f t="shared" si="427"/>
        <v>5.5044052242964412</v>
      </c>
      <c r="MF104" s="367">
        <f t="shared" si="428"/>
        <v>6.7989622099999991</v>
      </c>
      <c r="MG104" s="379">
        <f t="shared" si="429"/>
        <v>1</v>
      </c>
      <c r="MH104" s="367">
        <f t="shared" si="367"/>
        <v>30.595330300000001</v>
      </c>
      <c r="MI104" s="367">
        <f t="shared" si="430"/>
        <v>6.2414088491456745</v>
      </c>
      <c r="MJ104" s="78">
        <f t="shared" si="368"/>
        <v>9.5429382</v>
      </c>
      <c r="MK104" s="78">
        <f t="shared" si="431"/>
        <v>9.5429382</v>
      </c>
      <c r="ML104" s="78">
        <f t="shared" si="484"/>
        <v>6.2414088493425606</v>
      </c>
      <c r="MM104" s="78">
        <f t="shared" si="369"/>
        <v>6.2414088491456745</v>
      </c>
      <c r="MN104" s="78">
        <f t="shared" si="370"/>
        <v>11.5429382</v>
      </c>
      <c r="MO104" s="78">
        <f t="shared" si="432"/>
        <v>8.0414088491456752</v>
      </c>
      <c r="MP104" s="78">
        <f t="shared" si="433"/>
        <v>25.81548519</v>
      </c>
      <c r="MQ104" s="78">
        <f t="shared" si="485"/>
        <v>25.81548519</v>
      </c>
      <c r="MR104" s="246">
        <f t="shared" si="434"/>
        <v>25.81548519</v>
      </c>
      <c r="MS104" s="382">
        <f t="shared" si="371"/>
        <v>25.991485189999999</v>
      </c>
      <c r="MT104" s="382">
        <f t="shared" si="372"/>
        <v>26.151485189999999</v>
      </c>
      <c r="MU104" s="382">
        <f t="shared" si="373"/>
        <v>26.59148519</v>
      </c>
      <c r="MV104" s="382">
        <f t="shared" si="374"/>
        <v>29.79148519</v>
      </c>
      <c r="MW104" s="382">
        <f t="shared" si="375"/>
        <v>29.95148519</v>
      </c>
      <c r="MX104" s="246">
        <f t="shared" si="376"/>
        <v>10.1429382</v>
      </c>
      <c r="MY104" s="246">
        <f t="shared" si="377"/>
        <v>6.8414088491456742</v>
      </c>
      <c r="MZ104" s="78">
        <f t="shared" si="378"/>
        <v>12.1429382</v>
      </c>
      <c r="NA104" s="78">
        <f t="shared" si="379"/>
        <v>8.8414088491456742</v>
      </c>
      <c r="NB104" s="78">
        <f t="shared" si="435"/>
        <v>27.388485190000001</v>
      </c>
      <c r="NC104" s="246">
        <f t="shared" si="486"/>
        <v>27.388485190000001</v>
      </c>
      <c r="ND104" s="246">
        <f t="shared" si="436"/>
        <v>27.388485190000001</v>
      </c>
      <c r="NE104" s="389">
        <f t="shared" si="437"/>
        <v>27.628485189999999</v>
      </c>
      <c r="NF104" s="382">
        <f t="shared" si="380"/>
        <v>27.788485189999999</v>
      </c>
      <c r="NG104" s="150">
        <f t="shared" si="381"/>
        <v>28.228485190000001</v>
      </c>
      <c r="NH104" s="246">
        <f t="shared" si="382"/>
        <v>31.42848519</v>
      </c>
      <c r="NI104" s="382">
        <f t="shared" si="383"/>
        <v>31.58848519</v>
      </c>
      <c r="NK104" s="390">
        <f t="shared" si="384"/>
        <v>2.0051173000733744</v>
      </c>
      <c r="NL104" s="390">
        <f t="shared" si="385"/>
        <v>97.148350354349574</v>
      </c>
      <c r="NM104" s="390">
        <f t="shared" si="386"/>
        <v>2.0051173000733744</v>
      </c>
      <c r="NN104" s="390">
        <f t="shared" si="387"/>
        <v>97.391859641711875</v>
      </c>
      <c r="NO104" s="390">
        <f t="shared" si="388"/>
        <v>2.7833637908119666</v>
      </c>
      <c r="NP104" s="390">
        <f t="shared" si="389"/>
        <v>99.271908391126289</v>
      </c>
      <c r="NQ104" s="390">
        <f t="shared" si="390"/>
        <v>2.7833637908119666</v>
      </c>
      <c r="NR104" s="390">
        <f t="shared" si="391"/>
        <v>99.529709664042485</v>
      </c>
      <c r="NS104" s="390">
        <f t="shared" si="392"/>
        <v>2.0415348179162729</v>
      </c>
      <c r="NT104" s="390">
        <f t="shared" si="393"/>
        <v>2.0415348179162729</v>
      </c>
      <c r="NU104" s="390">
        <f t="shared" si="394"/>
        <v>2.8220679247135352</v>
      </c>
      <c r="NV104" s="390">
        <f t="shared" si="395"/>
        <v>2.8220679247135352</v>
      </c>
      <c r="NW104" s="9">
        <f t="shared" si="396"/>
        <v>2.1979213184161344</v>
      </c>
      <c r="NX104" s="9">
        <f>各项系数!$M$9*NK104</f>
        <v>0.60153519002201228</v>
      </c>
      <c r="NY104" s="9">
        <f t="shared" si="397"/>
        <v>2.0415348179162729</v>
      </c>
    </row>
    <row r="105" spans="1:389" s="9" customFormat="1" ht="15" hidden="1" customHeight="1">
      <c r="A105" s="65"/>
      <c r="B105" s="66"/>
      <c r="C105" s="67"/>
      <c r="D105" s="58" t="s">
        <v>335</v>
      </c>
      <c r="E105" s="399">
        <f t="shared" si="325"/>
        <v>33.299474609999997</v>
      </c>
      <c r="F105" s="68">
        <f>$F$25</f>
        <v>242.29596858910099</v>
      </c>
      <c r="G105" s="58"/>
      <c r="H105" s="16"/>
      <c r="I105" s="145">
        <f>$F$23</f>
        <v>245.05464536042999</v>
      </c>
      <c r="J105" s="62"/>
      <c r="K105" s="16"/>
      <c r="L105" s="107" t="s">
        <v>467</v>
      </c>
      <c r="M105" s="98">
        <f t="shared" si="339"/>
        <v>1.1000000000000001</v>
      </c>
      <c r="N105" s="98">
        <f t="shared" si="340"/>
        <v>0.9</v>
      </c>
      <c r="O105" s="58">
        <f t="shared" si="493"/>
        <v>0.08</v>
      </c>
      <c r="P105" s="99">
        <v>0.1</v>
      </c>
      <c r="Q105" s="136">
        <f t="shared" si="499"/>
        <v>0.1</v>
      </c>
      <c r="R105" s="151">
        <v>0.8</v>
      </c>
      <c r="S105" s="144" t="str">
        <f>各项系数!$D$43</f>
        <v>钢带</v>
      </c>
      <c r="T105" s="62">
        <v>0.5</v>
      </c>
      <c r="U105" s="62">
        <v>2</v>
      </c>
      <c r="V105" s="143"/>
      <c r="W105" s="145">
        <v>2.1</v>
      </c>
      <c r="X105" s="139">
        <f t="shared" si="500"/>
        <v>0.2</v>
      </c>
      <c r="Y105" s="139"/>
      <c r="Z105" s="169"/>
      <c r="AA105" s="170">
        <f>$AA$25</f>
        <v>1.0129999999999999</v>
      </c>
      <c r="AB105" s="153">
        <f>PI()*EJ105*EJ105/4*EH105*(1-H105)*AA105*各项系数!$F$5*各项系数!$J$4*10^-7</f>
        <v>0.57842170409620475</v>
      </c>
      <c r="AC105" s="170">
        <f t="shared" si="327"/>
        <v>242.29596858910099</v>
      </c>
      <c r="AD105" s="153">
        <f t="shared" si="341"/>
        <v>65.39126499722515</v>
      </c>
      <c r="AE105" s="153">
        <f>POWER(4*EU105/PI()/EG105/10^-7/EH105/(1-H105)/各项系数!$F$5/各项系数!$J$4,0.5)</f>
        <v>243.86580688497418</v>
      </c>
      <c r="AF105" s="16">
        <f>$AA$23</f>
        <v>1.0109999999999999</v>
      </c>
      <c r="AG105" s="16">
        <f>IF(EM105=0,0,PI()*ER105*ER105/4*EP105*(1-K105)*(1+AF105)*各项系数!$F$5*各项系数!$J$4*10^-7)</f>
        <v>0.58728743995848276</v>
      </c>
      <c r="AH105" s="16">
        <f t="shared" si="328"/>
        <v>245.05464536042999</v>
      </c>
      <c r="AI105" s="69">
        <f t="shared" si="398"/>
        <v>33.378357061385572</v>
      </c>
      <c r="AJ105" s="69">
        <f>IF(OR(EP105="",EP105=0),0,POWER(4*EW105/PI()/EO105/10^-7/EP105/(1-K105)/各项系数!$F$5/各项系数!$J$4,0.5))</f>
        <v>246.39875970480472</v>
      </c>
      <c r="AK105" s="16">
        <f t="shared" si="342"/>
        <v>2.0305150385929531</v>
      </c>
      <c r="AL105" s="16">
        <f t="shared" si="329"/>
        <v>142.83907202491179</v>
      </c>
      <c r="AM105" s="106">
        <f t="shared" si="330"/>
        <v>70</v>
      </c>
      <c r="AN105" s="107" t="s">
        <v>486</v>
      </c>
      <c r="AO105" s="146">
        <f>AP105+各项系数!$M$9*$NK105</f>
        <v>140.03830590677626</v>
      </c>
      <c r="AP105" s="146">
        <f>AQ105*(1+$BI105+(VLOOKUP($AM105,$A$12:$B$323,2,0))+各项系数!$J$6+各项系数!$M$5)*(1+$E$2)</f>
        <v>139.20936105157583</v>
      </c>
      <c r="AQ105" s="199">
        <f>AR105+各项系数!$L$9*$NK105</f>
        <v>142.05036841997534</v>
      </c>
      <c r="AR105" s="199">
        <f>AS105*(1+$BJ105+各项系数!$J$5+各项系数!$L$5)</f>
        <v>141.22142356477491</v>
      </c>
      <c r="AS105" s="199">
        <f t="shared" si="399"/>
        <v>138.45237604389698</v>
      </c>
      <c r="AT105" s="146">
        <f>AU105+各项系数!$M$9*$NM105</f>
        <v>142.07529571961842</v>
      </c>
      <c r="AU105" s="146">
        <f>AV105*(1+$BI105+(VLOOKUP($AM105,$A$12:$B$323,2,0))+各项系数!$J$6+各项系数!$M$5)*(1+$E$2)</f>
        <v>141.24635086441799</v>
      </c>
      <c r="AV105" s="199">
        <f>AW105+各项系数!$L$9*$NM105</f>
        <v>144.12892945348776</v>
      </c>
      <c r="AW105" s="199">
        <f>AX105*(1+$BJ105+各项系数!$J$5+各项系数!$L$5)</f>
        <v>143.29998459828732</v>
      </c>
      <c r="AX105" s="199">
        <f t="shared" si="400"/>
        <v>140.49018097871306</v>
      </c>
      <c r="AY105" s="146">
        <f>AZ105+各项系数!$M$9*$NS105</f>
        <v>142.82807248280494</v>
      </c>
      <c r="AZ105" s="146">
        <f>BA105*(1+$BI105+(VLOOKUP($AM105,$A$12:$B$214,2,0))+各项系数!$J$6+各项系数!$M$5)*(1+$E$2)</f>
        <v>141.98689996934669</v>
      </c>
      <c r="BA105" s="199">
        <f>BB105+各项系数!$L$9*$NS105</f>
        <v>144.88459180545581</v>
      </c>
      <c r="BB105" s="199">
        <f>BC105*(1+$BJ105+各项系数!$J$5+各项系数!$L$5)</f>
        <v>144.04341929199757</v>
      </c>
      <c r="BC105" s="199">
        <f t="shared" si="401"/>
        <v>141.21903852156623</v>
      </c>
      <c r="BD105" s="146">
        <f>BE105+各项系数!$M$9*$NS105</f>
        <v>144.87550857316069</v>
      </c>
      <c r="BE105" s="146">
        <f>BF105*(1+$BI105+(VLOOKUP($AM105,$A$12:$B$214,2,0))+各项系数!$J$6+各项系数!$M$5)*(1+$E$2)</f>
        <v>144.03433605970244</v>
      </c>
      <c r="BF105" s="199">
        <f>BG105+各项系数!$L$9*$NS105</f>
        <v>146.97381230581883</v>
      </c>
      <c r="BG105" s="199">
        <f>BH105*(1+$BJ105+各项系数!$J$5+各项系数!$L$5)</f>
        <v>146.13263979236058</v>
      </c>
      <c r="BH105" s="199">
        <f t="shared" si="402"/>
        <v>143.267293914079</v>
      </c>
      <c r="BI105" s="214"/>
      <c r="BJ105" s="215"/>
      <c r="BK105" s="78" t="s">
        <v>514</v>
      </c>
      <c r="BL105" s="146">
        <f>BM105+各项系数!$M$9*$NM105</f>
        <v>141.69903181942044</v>
      </c>
      <c r="BM105" s="146">
        <f>BN105*(1+$CF105+(VLOOKUP($AM105,$A$12:$B$323,2,0))+各项系数!$J$6+各项系数!$M$5)*(1+$E$2)</f>
        <v>140.87008696422001</v>
      </c>
      <c r="BN105" s="199">
        <f>BO105+各项系数!$L$9*$NM105</f>
        <v>143.74498669818368</v>
      </c>
      <c r="BO105" s="199">
        <f>BP105*(1+$CG105+各项系数!$J$5+各项系数!$L$5)</f>
        <v>142.91604184298325</v>
      </c>
      <c r="BP105" s="199">
        <f t="shared" si="403"/>
        <v>138.753438682508</v>
      </c>
      <c r="BQ105" s="146">
        <f>BR105+各项系数!$M$9*$NM105</f>
        <v>143.45209949320983</v>
      </c>
      <c r="BR105" s="146">
        <f>BS105*(1+$CF105+(VLOOKUP($AM105,$A$12:$B$323,2,0))+各项系数!$J$6+各项系数!$M$5)*(1+$E$2)</f>
        <v>142.6231546380094</v>
      </c>
      <c r="BS105" s="199">
        <f>BT105+各项系数!$L$9*$NM105</f>
        <v>145.53383126327489</v>
      </c>
      <c r="BT105" s="199">
        <f>BU105*(1+$CG105+各项系数!$J$5+各项系数!$L$5)</f>
        <v>144.70488640807446</v>
      </c>
      <c r="BU105" s="199">
        <f t="shared" si="404"/>
        <v>140.49018097871306</v>
      </c>
      <c r="BV105" s="146">
        <f>BW105+各项系数!$M$9*$NT105</f>
        <v>143.70121920960679</v>
      </c>
      <c r="BW105" s="146">
        <f>BX105*(1+$CF105+(VLOOKUP($AM105,$A$12:$B$214,2,0))+各项系数!$J$6+各项系数!$M$5)*(1+$E$2)</f>
        <v>142.86004669614854</v>
      </c>
      <c r="BX105" s="199">
        <f>BY105+各项系数!$L$9*$NT$12</f>
        <v>145.7755578532128</v>
      </c>
      <c r="BY105" s="199">
        <f>BZ105*(1+$CG105+各项系数!$J$5+各项系数!$L$5)</f>
        <v>145.76729445005782</v>
      </c>
      <c r="BZ105" s="199">
        <f t="shared" si="343"/>
        <v>141.52164509714351</v>
      </c>
      <c r="CA105" s="146">
        <f>CB105+各项系数!$M$9*$NT105</f>
        <v>145.46327712542146</v>
      </c>
      <c r="CB105" s="146">
        <f>CC105*(1+$CF105+(VLOOKUP($AM105,$A$12:$B$214,2,0))+各项系数!$J$6+各项系数!$M$5)*(1+$E$2)</f>
        <v>144.62210461196321</v>
      </c>
      <c r="CC105" s="199">
        <f>CD105+各项系数!$L$9*$NT$12</f>
        <v>147.57357613465635</v>
      </c>
      <c r="CD105" s="199">
        <f>CE105*(1+$CG105+各项系数!$J$5+各项系数!$L$5)</f>
        <v>147.56531273150136</v>
      </c>
      <c r="CE105" s="199">
        <f t="shared" si="405"/>
        <v>143.267293914079</v>
      </c>
      <c r="CF105" s="214">
        <f t="shared" si="406"/>
        <v>0</v>
      </c>
      <c r="CG105" s="214">
        <f t="shared" si="344"/>
        <v>0.01</v>
      </c>
      <c r="CH105" s="106"/>
      <c r="CI105" s="146">
        <f>CJ105+各项系数!$M$9*$NO105</f>
        <v>143.93330166227602</v>
      </c>
      <c r="CJ105" s="146">
        <f>CK105*(1+$DC105+(VLOOKUP($AM105,$A$12:$B$323,2,0))+各项系数!$J$6+各项系数!$M$5)*(1+$E$2)+各项系数!$M$9*$NK105</f>
        <v>142.81256815858734</v>
      </c>
      <c r="CK105" s="199">
        <f>CL105+各项系数!$L$9*$NO105</f>
        <v>144.88124826876216</v>
      </c>
      <c r="CL105" s="199">
        <f>CM105*(1+$DD105+各项系数!$J$5+各项系数!$L$5)</f>
        <v>143.76051476507348</v>
      </c>
      <c r="CM105" s="199">
        <f t="shared" si="345"/>
        <v>140.9416811422289</v>
      </c>
      <c r="CN105" s="146">
        <f>CO105+各项系数!$M$9*$NO105</f>
        <v>145.80071925698181</v>
      </c>
      <c r="CO105" s="146">
        <f>CP105*(1+$DC105+(VLOOKUP($AM105,$A$12:$B$323,2,0))+各项系数!$J$6+各项系数!$M$5)*(1+$E$2)+各项系数!$M$9*$NK105</f>
        <v>144.67998575329312</v>
      </c>
      <c r="CP105" s="199">
        <f>CQ105+各项系数!$L$9*$NO105</f>
        <v>146.78677642662521</v>
      </c>
      <c r="CQ105" s="199">
        <f>CR105*(1+$DD105+各项系数!$J$5+各项系数!$L$5)</f>
        <v>145.66604292293653</v>
      </c>
      <c r="CR105" s="199">
        <f t="shared" si="346"/>
        <v>142.80984600287894</v>
      </c>
      <c r="CS105" s="146">
        <f>CT105+各项系数!$M$9*$NU105</f>
        <v>146.06127094662094</v>
      </c>
      <c r="CT105" s="146">
        <f t="shared" si="347"/>
        <v>144.92757309480922</v>
      </c>
      <c r="CU105" s="199">
        <f>CV105+各项系数!$L$9*$NU105</f>
        <v>147.88527866817267</v>
      </c>
      <c r="CV105" s="199">
        <f>CW105*(1+$DD105+各项系数!$J$5+各项系数!$L$5)</f>
        <v>146.75158081636096</v>
      </c>
      <c r="CW105" s="199">
        <f t="shared" si="348"/>
        <v>143.87409883956957</v>
      </c>
      <c r="CX105" s="146">
        <f>CY105+各项系数!$M$9*$NU105</f>
        <v>148.22348551115741</v>
      </c>
      <c r="CY105" s="146">
        <f t="shared" si="349"/>
        <v>147.08978765934569</v>
      </c>
      <c r="CZ105" s="199">
        <f>DA105+各项系数!$L$9*$NU105</f>
        <v>150.09162006055683</v>
      </c>
      <c r="DA105" s="199">
        <f>DB105*(1+$DD105+各项系数!$J$5+各项系数!$L$5)</f>
        <v>148.95792220874512</v>
      </c>
      <c r="DB105" s="199">
        <f t="shared" si="350"/>
        <v>146.03717863602463</v>
      </c>
      <c r="DC105" s="214">
        <f t="shared" si="498"/>
        <v>0</v>
      </c>
      <c r="DD105" s="214">
        <f t="shared" si="351"/>
        <v>0</v>
      </c>
      <c r="DE105" s="78" t="s">
        <v>498</v>
      </c>
      <c r="DF105" s="78" t="s">
        <v>513</v>
      </c>
      <c r="DG105" s="146">
        <f>DH105+各项系数!$M$9*$NQ105</f>
        <v>145.63554623397016</v>
      </c>
      <c r="DH105" s="146">
        <f>DI105*(1+$EA105+(VLOOKUP($AM105,$A$12:$B$323,2,0))+各项系数!$J$6+各项系数!$M$5)*(1+$E$2)+各项系数!$M$9*$NK105</f>
        <v>144.51481273028148</v>
      </c>
      <c r="DI105" s="199">
        <f>DJ105+各项系数!$L$9*$NQ105</f>
        <v>146.6182325255929</v>
      </c>
      <c r="DJ105" s="199">
        <f>DK105*(1+$EB105+各项系数!$J$5+各项系数!$L$5)</f>
        <v>145.49749902190422</v>
      </c>
      <c r="DK105" s="199">
        <f t="shared" si="352"/>
        <v>141.25970778825652</v>
      </c>
      <c r="DL105" s="146">
        <f>DM105+各项系数!$M$9*$NQ105</f>
        <v>147.48739419201257</v>
      </c>
      <c r="DM105" s="146">
        <f>DN105*(1+$EA105+(VLOOKUP($AM105,$A$12:$B$323,2,0))+各项系数!$J$6+各项系数!$M$5)*(1+$E$2)+各项系数!$M$9*$NK105</f>
        <v>146.36666068832389</v>
      </c>
      <c r="DN105" s="199">
        <f>DO105+各项系数!$L$9*$NQ105</f>
        <v>148.50787329910557</v>
      </c>
      <c r="DO105" s="199">
        <f>DP105*(1+$EB105+各项系数!$J$5+各项系数!$L$5)</f>
        <v>147.38713979541689</v>
      </c>
      <c r="DP105" s="199">
        <f t="shared" si="353"/>
        <v>143.09431048098728</v>
      </c>
      <c r="DQ105" s="146">
        <f>DR105+各项系数!$M$9*$NV105</f>
        <v>147.79381166172271</v>
      </c>
      <c r="DR105" s="146">
        <f t="shared" si="354"/>
        <v>146.660113809911</v>
      </c>
      <c r="DS105" s="199">
        <f>DT105+各项系数!$L$9*$NV105</f>
        <v>149.65317735705204</v>
      </c>
      <c r="DT105" s="199">
        <f>DU105*(1+$EB105+各项系数!$J$5+各项系数!$L$5)</f>
        <v>148.51947950524033</v>
      </c>
      <c r="DU105" s="199">
        <f t="shared" si="355"/>
        <v>144.19366942256343</v>
      </c>
      <c r="DV105" s="146">
        <f>DW105+各项系数!$M$9*$NV105</f>
        <v>147.7254081515093</v>
      </c>
      <c r="DW105" s="146">
        <f t="shared" si="356"/>
        <v>146.59171029969758</v>
      </c>
      <c r="DX105" s="199">
        <f>DY105+各项系数!$L$9*$NV105</f>
        <v>149.58337785683426</v>
      </c>
      <c r="DY105" s="199">
        <f>DZ105*(1+$EB105+各项系数!$J$5+各项系数!$L$5)</f>
        <v>148.44968000502254</v>
      </c>
      <c r="DZ105" s="199">
        <f t="shared" si="357"/>
        <v>144.1259029174976</v>
      </c>
      <c r="EA105" s="214">
        <f t="shared" si="492"/>
        <v>0</v>
      </c>
      <c r="EB105" s="214">
        <f t="shared" si="358"/>
        <v>0.01</v>
      </c>
      <c r="EC105" s="235" t="str">
        <f t="shared" si="408"/>
        <v>3+1</v>
      </c>
      <c r="ED105" s="237" t="str">
        <f t="shared" si="494"/>
        <v>3*70</v>
      </c>
      <c r="EE105" s="78">
        <f t="shared" si="495"/>
        <v>70</v>
      </c>
      <c r="EF105" s="78" t="str">
        <f>LOOKUP(EH105,{1,7,10,14,19,24,30,37,48,61},{1,"1+6","2+8","4+10","1+6+12","2+8+14","4+10+16","1+6+12+18","3+9+15+21","1+6+12+18+24"})</f>
        <v>4+10</v>
      </c>
      <c r="EG105" s="106">
        <f t="shared" si="359"/>
        <v>3</v>
      </c>
      <c r="EH105" s="199">
        <f>VLOOKUP(EE105,各项系数!$B$87:$C$124,2,0)</f>
        <v>14</v>
      </c>
      <c r="EI105" s="106">
        <f>IF(EH105=0,0,VLOOKUP(EH105,各项系数!$D$142:$E$195,2,0))*1</f>
        <v>4.41</v>
      </c>
      <c r="EJ105" s="240">
        <f t="shared" si="409"/>
        <v>242.29596858910099</v>
      </c>
      <c r="EK105" s="78" t="str">
        <f t="shared" si="332"/>
        <v>1*35</v>
      </c>
      <c r="EL105" s="78" t="str">
        <f t="shared" si="360"/>
        <v>35</v>
      </c>
      <c r="EM105" s="78">
        <f t="shared" si="496"/>
        <v>35</v>
      </c>
      <c r="EN105" s="78" t="str">
        <f>IF(EP105=0,0,LOOKUP(EP105,{1,7,10,14,19,24,30,37,48,61},{1,"1+6","2+8","4+10","1+6+12","2+8+14","4+10+16","1+6+12+18","3+9+15+21","1+6+12+18+24"}))</f>
        <v>1+6</v>
      </c>
      <c r="EO105" s="78" t="str">
        <f t="shared" si="334"/>
        <v>1</v>
      </c>
      <c r="EP105" s="78">
        <f>IF(EM105=0,0,IF(EM105&lt;10,1,IF(AND(EM105&gt;=10,EM105&lt;=35),7,LOOKUP(EM105,{50,70,95,120,150,185,240,300},{10,14,19,24,30,37,48,61})*1)))</f>
        <v>7</v>
      </c>
      <c r="EQ105" s="78">
        <f>IF(EP105=0,0,VLOOKUP(EP105,各项系数!$D$142:$E$195,2,0))*1</f>
        <v>3</v>
      </c>
      <c r="ER105" s="78">
        <f t="shared" si="335"/>
        <v>245.05464536042999</v>
      </c>
      <c r="ES105" s="237">
        <f t="shared" si="497"/>
        <v>4</v>
      </c>
      <c r="ET105" s="78">
        <f>VLOOKUP(ES105,各项系数!$D$142:$E$195,2,0)*1</f>
        <v>2.42</v>
      </c>
      <c r="EU105" s="243">
        <f>((各项系数!$F$76/4*$EJ105^2*$EG105*$EH105*1*10^-7)*(1-$H105)*AA105)*(VLOOKUP($EY$9,各项系数!$D$4:$F$143,3,0))*各项系数!$J$4</f>
        <v>1.7352651122886145</v>
      </c>
      <c r="EV105" s="244">
        <f>EU105*(VLOOKUP($EY$9,各项系数!$D$4:$F$143,2,0))</f>
        <v>113.65986485490424</v>
      </c>
      <c r="EW105" s="252">
        <f>(IF($EO105=0,0,(各项系数!$F$76/4*$ER105^2*$EO105*$EP105*1*10^-7))*(1-$K105)*$AF105)*(VLOOKUP($EY$9,各项系数!$D$4:$F$143,3,0))*各项系数!$J$4</f>
        <v>0.29524992630433911</v>
      </c>
      <c r="EX105" s="253">
        <f>EW105*(VLOOKUP($EY$9,各项系数!$D$4:$F$143,2,0))</f>
        <v>19.338870172934211</v>
      </c>
      <c r="EY105" s="189">
        <f>((各项系数!$F$76/4*$EJ105^2*$EG105*$EH105*1*10^-7)*(1-$H105)*AA105+IF($EO105=0,0,(各项系数!$F$76/4*$ER105^2*$EO105*$EP105*1*10^-7))*(1-$K105)*$AF105)*(VLOOKUP($EY$9,各项系数!$D$4:$F$143,3,0))*各项系数!$J$4</f>
        <v>2.0305150385929531</v>
      </c>
      <c r="EZ105" s="106">
        <v>1</v>
      </c>
      <c r="FA105" s="78">
        <f t="shared" si="445"/>
        <v>2.0305150385929531</v>
      </c>
      <c r="FB105" s="246">
        <f>FA105*(VLOOKUP($EY$9,各项系数!$D$4:$F$143,2,0))</f>
        <v>132.99873502783842</v>
      </c>
      <c r="FC105" s="257"/>
      <c r="FD105" s="237">
        <f>各项系数!$F$76/4*($MN105^2-MK105^2)*10^-2*(VLOOKUP(L105,各项系数!$D$1:$F$143,3,0))*10^-3*10^2*$EG105*各项系数!$J$4</f>
        <v>0.13372680244793828</v>
      </c>
      <c r="FE105" s="264">
        <f>FD105*VLOOKUP(L105,各项系数!$D$1:$F$143,2,0)</f>
        <v>1.3640133849689704</v>
      </c>
      <c r="FF105" s="106">
        <f>各项系数!$F$76/4*($MO105^2-ML105^2)*10^-2*(VLOOKUP(L105,各项系数!$D$1:$F$143,3,0))*10^-3*10^2*$EO105*各项系数!$J$4</f>
        <v>2.5535736413569377E-2</v>
      </c>
      <c r="FG105" s="264">
        <f>FF105*VLOOKUP(L105,各项系数!$D$1:$F$143,2,0)</f>
        <v>0.2604645114184076</v>
      </c>
      <c r="FH105" s="237">
        <f t="shared" si="410"/>
        <v>0.15926253886150765</v>
      </c>
      <c r="FI105" s="106">
        <v>1</v>
      </c>
      <c r="FJ105" s="78">
        <f t="shared" si="446"/>
        <v>0.15926253886150765</v>
      </c>
      <c r="FK105" s="264">
        <f>FJ105*VLOOKUP(L105,各项系数!$D$1:$F$143,2,0)</f>
        <v>1.6244778963873778</v>
      </c>
      <c r="FL105" s="237"/>
      <c r="FM105" s="106"/>
      <c r="FN105" s="78"/>
      <c r="FO105" s="264"/>
      <c r="FP105" s="289">
        <f t="shared" si="447"/>
        <v>0.15926253886150765</v>
      </c>
      <c r="FQ105" s="289">
        <f t="shared" si="448"/>
        <v>1.6244778963873778</v>
      </c>
      <c r="FR105" s="283">
        <f>各项系数!$F$76/4*($MQ105^2-$MN105^2*$EG105-$MO105^2*$EO105)*10^-2</f>
        <v>2.0006110121973673</v>
      </c>
      <c r="FS105" s="284">
        <f t="shared" si="411"/>
        <v>1</v>
      </c>
      <c r="FT105" s="285">
        <f t="shared" si="361"/>
        <v>2.0006110121973673</v>
      </c>
      <c r="FU105" s="309">
        <f>$FT105*(VLOOKUP($FT$9,各项系数!$D$1:$F$143,3,0))*10^-3*10^2*各项系数!$J$55</f>
        <v>0.23887295485636562</v>
      </c>
      <c r="FV105" s="310">
        <v>1</v>
      </c>
      <c r="FW105" s="311">
        <f t="shared" si="449"/>
        <v>0.23887295485636562</v>
      </c>
      <c r="FX105" s="290">
        <f>FW105*(VLOOKUP($FT$9,各项系数!$D$1:$F$143,2,0))</f>
        <v>0.71661886456909685</v>
      </c>
      <c r="FY105" s="309">
        <f>IF($BK105&lt;&gt;$FY$9,0,各项系数!$F$76/4*($MS105^2-$MQ105^2)*10^-2*(VLOOKUP($FY$9,各项系数!$D$1:$F$143,3,0))*10^-3*10^2)*各项系数!$J$4</f>
        <v>0</v>
      </c>
      <c r="FZ105" s="310">
        <v>1</v>
      </c>
      <c r="GA105" s="311">
        <f t="shared" si="450"/>
        <v>0</v>
      </c>
      <c r="GB105" s="290">
        <f>GA105*(VLOOKUP($FY$9,各项系数!$D$1:$F$143,2,0))</f>
        <v>0</v>
      </c>
      <c r="GC105" s="309">
        <f>IF($BK105&lt;&gt;$GC$9,0,各项系数!$F$76/4*($MS105^2-$MQ105^2)*10^-2*(VLOOKUP($GC$9,各项系数!$D$1:$F$143,3,0))*10^-3*10^2)*各项系数!$J$4</f>
        <v>7.9006099993733769E-3</v>
      </c>
      <c r="GD105" s="310">
        <v>1</v>
      </c>
      <c r="GE105" s="311">
        <f t="shared" si="451"/>
        <v>7.9006099993733769E-3</v>
      </c>
      <c r="GF105" s="290">
        <f>GE105*(VLOOKUP($GC$9,各项系数!$D$1:$F$143,2,0))</f>
        <v>0.10191786899191656</v>
      </c>
      <c r="GG105" s="309">
        <f>IF($BK105&lt;&gt;$GG$9,0,各项系数!$F$76/4*($MS105^2-$MQ105^2)*10^-2*(VLOOKUP($GG$9,各项系数!$D$1:$F$143,3,0))*10^-3*10^2)*各项系数!$J$4</f>
        <v>0</v>
      </c>
      <c r="GH105" s="310">
        <v>1</v>
      </c>
      <c r="GI105" s="311">
        <f t="shared" si="452"/>
        <v>0</v>
      </c>
      <c r="GJ105" s="290">
        <f>GI105*(VLOOKUP($GG$9,各项系数!$D$1:$F$143,2,0))</f>
        <v>0</v>
      </c>
      <c r="GK105" s="309">
        <f>IF($BK105&lt;&gt;$GK$9,0,各项系数!$F$76/4*($MS105^2-$MQ105^2)*10^-2*(VLOOKUP($GK$9,各项系数!$D$1:$F$143,3,0))*10^-3*10^2)*各项系数!$J$4</f>
        <v>0</v>
      </c>
      <c r="GL105" s="310">
        <v>1</v>
      </c>
      <c r="GM105" s="311">
        <f t="shared" si="453"/>
        <v>0</v>
      </c>
      <c r="GN105" s="290">
        <f>GM105*(VLOOKUP($GK$9,各项系数!$D$1:$F$143,2,0))</f>
        <v>0</v>
      </c>
      <c r="GO105" s="311">
        <f t="shared" si="454"/>
        <v>7.9006099993733769E-3</v>
      </c>
      <c r="GP105" s="311">
        <f t="shared" si="455"/>
        <v>0.10191786899191656</v>
      </c>
      <c r="GQ105" s="317">
        <f>各项系数!$F$76/4*($MU105^2-$MS105^2)*10^-2*(VLOOKUP($S105,各项系数!$D$1:$F$143,3,0))*10^-3*10^2*各项系数!$J$4</f>
        <v>0.547239782066128</v>
      </c>
      <c r="GR105" s="310">
        <v>1</v>
      </c>
      <c r="GS105" s="311">
        <f t="shared" si="456"/>
        <v>0.547239782066128</v>
      </c>
      <c r="GT105" s="311">
        <f t="shared" si="457"/>
        <v>0</v>
      </c>
      <c r="GU105" s="311">
        <f>ROUND($GS105*(VLOOKUP($S105,各项系数!$D$1:$F$143,2,0))+$E$3*GS105,GT105)</f>
        <v>3</v>
      </c>
      <c r="GV105" s="315">
        <f>各项系数!$F$76/4*($MT105^2-$MS105^2)*10^-2*(VLOOKUP($GV$9,各项系数!$D$1:$F$143,3,0))*10^-3*10^2*各项系数!$J$4*PI()/4*R105</f>
        <v>4.0758860859360473E-2</v>
      </c>
      <c r="GW105" s="310">
        <v>1</v>
      </c>
      <c r="GX105" s="311">
        <f t="shared" si="458"/>
        <v>4.0758860859360473E-2</v>
      </c>
      <c r="GY105" s="311">
        <f>$GX105*(VLOOKUP($GV$9,各项系数!$D$1:$F$143,2,0))</f>
        <v>2.7512231080068319</v>
      </c>
      <c r="GZ105" s="317">
        <f>各项系数!$F$76/4*($MV105^2-$MS105^2)*10^-2*(VLOOKUP($GZ$9,各项系数!$D$1:$F$143,3,0))*10^-3*10^2*各项系数!$J$4</f>
        <v>0.29696654828977892</v>
      </c>
      <c r="HA105" s="310">
        <v>1</v>
      </c>
      <c r="HB105" s="311">
        <f t="shared" si="412"/>
        <v>0.29696654828977892</v>
      </c>
      <c r="HC105" s="311">
        <f>HB105*(VLOOKUP($GZ$9,各项系数!$D$1:$F$143,2,0))</f>
        <v>5.0484313209262419</v>
      </c>
      <c r="HD105" s="317">
        <f>各项系数!$F$76/4*($MW105^2-$MT105^2)*10^-2*(VLOOKUP($HD$9,各项系数!$D$1:$F$143,3,0))*10^-3*10^2*各项系数!$J$4</f>
        <v>0.29848947931090419</v>
      </c>
      <c r="HE105" s="310">
        <v>1</v>
      </c>
      <c r="HF105" s="311">
        <f t="shared" si="413"/>
        <v>0.29848947931090419</v>
      </c>
      <c r="HG105" s="311">
        <f>HF105*(VLOOKUP($HD$9,各项系数!$D$1:$F$143,2,0))</f>
        <v>5.074321148285371</v>
      </c>
      <c r="HH105" s="317">
        <f>各项系数!$F$76/4*($MV105^2-$MS105^2)*10^-2*(VLOOKUP($HH$9,各项系数!$D$1:$F$143,3,0))*10^-3*10^2*各项系数!$J$4</f>
        <v>0.29696654828977892</v>
      </c>
      <c r="HI105" s="311">
        <v>1</v>
      </c>
      <c r="HJ105" s="311">
        <f t="shared" si="414"/>
        <v>0.29696654828977892</v>
      </c>
      <c r="HK105" s="311">
        <f>HJ105*(VLOOKUP($HH$9,各项系数!$D$1:$F$143,2,0))</f>
        <v>5.0484313209262419</v>
      </c>
      <c r="HL105" s="317">
        <f>各项系数!$F$76/4*($MW105^2-$MT105^2)*10^-2*(VLOOKUP($HL$9,各项系数!$D$1:$F$143,3,0))*10^-3*10^2*各项系数!$J$4</f>
        <v>0.29848947931090419</v>
      </c>
      <c r="HM105" s="311">
        <v>1</v>
      </c>
      <c r="HN105" s="311">
        <f t="shared" si="362"/>
        <v>0.29848947931090419</v>
      </c>
      <c r="HO105" s="311">
        <f>HN105*(VLOOKUP($HL$9,各项系数!$D$1:$F$143,2,0))</f>
        <v>5.074321148285371</v>
      </c>
      <c r="HP105" s="317">
        <f>各项系数!$F$76/4*($MV105^2-$MS105^2)*10^-2*(VLOOKUP(AN105,各项系数!$D$1:$F$143,3,0))*10^-3*10^2*各项系数!$J$4</f>
        <v>0.30106263861101729</v>
      </c>
      <c r="HQ105" s="310">
        <v>1</v>
      </c>
      <c r="HR105" s="311">
        <f t="shared" si="459"/>
        <v>0.30106263861101729</v>
      </c>
      <c r="HS105" s="311">
        <f>HR105*(VLOOKUP(AN105,各项系数!$D$1:$F$143,2,0))</f>
        <v>3.010626386110173</v>
      </c>
      <c r="HT105" s="317">
        <f>各项系数!$F$76/4*($MW105^2-$MT105^2)*10^-2*(VLOOKUP(AN105,各项系数!$D$1:$F$143,3,0))*10^-3*10^2*各项系数!$J$4</f>
        <v>0.30260657557726145</v>
      </c>
      <c r="HU105" s="310">
        <v>1</v>
      </c>
      <c r="HV105" s="311">
        <f t="shared" si="460"/>
        <v>0.30260657557726145</v>
      </c>
      <c r="HW105" s="311">
        <f>HV105*(VLOOKUP(AN105,各项系数!$D$1:$F$143,2,0))</f>
        <v>3.0260657557726143</v>
      </c>
      <c r="HX105" s="317">
        <f>各项系数!$F$76/4*($MV105^2-$MS105^2)*10^-2*(VLOOKUP($HX$9,各项系数!$D$1:$F$143,3,0))*10^-3*10^2*各项系数!$J$4</f>
        <v>0.30106263861101729</v>
      </c>
      <c r="HY105" s="311">
        <v>1</v>
      </c>
      <c r="HZ105" s="311">
        <f t="shared" si="461"/>
        <v>0.30106263861101729</v>
      </c>
      <c r="IA105" s="311">
        <f>HZ105*(VLOOKUP($HX$9,各项系数!$D$1:$F$143,2,0))</f>
        <v>3.3116890247211903</v>
      </c>
      <c r="IB105" s="317">
        <f>各项系数!$F$76/4*($MW105^2-$MT105^2)*10^-2*(VLOOKUP($IB$9,各项系数!$D$1:$F$143,3,0))*10^-3*10^2*各项系数!$J$4</f>
        <v>0.30260657557726145</v>
      </c>
      <c r="IC105" s="311">
        <v>1</v>
      </c>
      <c r="ID105" s="311">
        <f t="shared" si="462"/>
        <v>0.30260657557726145</v>
      </c>
      <c r="IE105" s="311">
        <f>ID105*(VLOOKUP($IB$9,各项系数!$D$1:$F$143,2,0))</f>
        <v>3.3286723313498761</v>
      </c>
      <c r="IF105" s="309"/>
      <c r="IG105" s="317">
        <f t="shared" si="415"/>
        <v>5.7120316932816495E-2</v>
      </c>
      <c r="IH105" s="310">
        <v>1</v>
      </c>
      <c r="II105" s="311">
        <f t="shared" si="463"/>
        <v>5.7120316932816495E-2</v>
      </c>
      <c r="IJ105" s="311">
        <f>II105*(VLOOKUP($IG$8,各项系数!$D$1:$F$143,2,0))</f>
        <v>1.4280079233204124</v>
      </c>
      <c r="IK105" s="317">
        <f>(各项系数!$F$76/4*($MX105^2-$MK105^2)*$EG105)*10^-2*(VLOOKUP($IG$8,各项系数!$D$1:$F$143,3,0))*10^-3*10^2*各项系数!$J$4</f>
        <v>4.635715288285918E-2</v>
      </c>
      <c r="IL105" s="310">
        <f>IK105*(VLOOKUP($IG$8,各项系数!$D$1:$F$143,2,0))</f>
        <v>1.1589288220714795</v>
      </c>
      <c r="IM105" s="311">
        <f>(各项系数!$F$76/4*(($MM105+3*$X105)^2-MM105^2)*$EO105)*10^-2*(VLOOKUP($IG$8,各项系数!$D$1:$F$143,3,0))*10^-3*10^2*各项系数!$J$4</f>
        <v>1.0763164049957316E-2</v>
      </c>
      <c r="IN105" s="310">
        <f>IM105*(VLOOKUP($IG$8,各项系数!$D$1:$F$143,2,0))</f>
        <v>0.26907910124893292</v>
      </c>
      <c r="IO105" s="317">
        <f>各项系数!$F$76/4*($MZ105^2-$MX105^2)*10^-2*(VLOOKUP(L105,各项系数!$D$1:$F$143,3,0))*10^-3*10^2*$ES105*各项系数!$J$4</f>
        <v>0.18737997240461246</v>
      </c>
      <c r="IP105" s="310">
        <v>1</v>
      </c>
      <c r="IQ105" s="311">
        <f t="shared" si="464"/>
        <v>0.18737997240461246</v>
      </c>
      <c r="IR105" s="290">
        <f>IQ105*(VLOOKUP(L105,各项系数!$D$1:$F$143,2,0))</f>
        <v>1.911275718527047</v>
      </c>
      <c r="IS105" s="317">
        <f>IF($L105&lt;&gt;$IS$9,0,各项系数!$F$76/4*($MZ105^2-$MX105^2)*10^-2*各项系数!$F$12*10^-3*10^2)*$ES105*各项系数!$J$4</f>
        <v>0</v>
      </c>
      <c r="IT105" s="310">
        <v>1</v>
      </c>
      <c r="IU105" s="311">
        <f t="shared" si="465"/>
        <v>0</v>
      </c>
      <c r="IV105" s="290">
        <f>IU105*各项系数!$E$12</f>
        <v>0</v>
      </c>
      <c r="IW105" s="309">
        <f t="shared" si="466"/>
        <v>0.18737997240461246</v>
      </c>
      <c r="IX105" s="309">
        <f t="shared" si="467"/>
        <v>1.911275718527047</v>
      </c>
      <c r="IY105" s="339">
        <f>各项系数!$F$76/4*($NB105^2-$MZ105^2*$EG105-$NA105^2*$EO105)*10^-2</f>
        <v>2.2683703774354549</v>
      </c>
      <c r="IZ105" s="284">
        <f t="shared" si="487"/>
        <v>1</v>
      </c>
      <c r="JA105" s="285">
        <f t="shared" si="363"/>
        <v>2.2683703774354549</v>
      </c>
      <c r="JB105" s="289">
        <f>IF($DE105&lt;&gt;$JB$9,0,$JA105*各项系数!$F$32*10^-3*10^2)*各项系数!$J$4</f>
        <v>0</v>
      </c>
      <c r="JC105" s="106">
        <v>1</v>
      </c>
      <c r="JD105" s="78">
        <f t="shared" si="468"/>
        <v>0</v>
      </c>
      <c r="JE105" s="264">
        <f>JD105*各项系数!$E$32</f>
        <v>0</v>
      </c>
      <c r="JF105" s="282">
        <f>IF($DE105&lt;&gt;$JF$9,0,$JA105*VLOOKUP($JF$9,各项系数!$D$4:$F$540,2,0)*10^-3*10^2)*各项系数!$J$4</f>
        <v>1.1285142627741389</v>
      </c>
      <c r="JG105" s="102">
        <v>1</v>
      </c>
      <c r="JH105" s="189">
        <f t="shared" si="364"/>
        <v>1.1285142627741389</v>
      </c>
      <c r="JI105" s="262">
        <f>JH105*VLOOKUP($JF$9,各项系数!$D$4:$F$540,3,0)</f>
        <v>1.3542171153289666</v>
      </c>
      <c r="JJ105" s="289">
        <f t="shared" si="469"/>
        <v>1.1285142627741389</v>
      </c>
      <c r="JK105" s="78">
        <f t="shared" si="470"/>
        <v>1.3542171153289666</v>
      </c>
      <c r="JL105" s="289">
        <f>IF($DF105&lt;&gt;$JL$9,0,各项系数!$F$76/4*($NE105^2-$NC105^2)*10^-2*各项系数!$F$39*10^-3*10^2)*各项系数!$J$4</f>
        <v>3.4589448468919691E-3</v>
      </c>
      <c r="JM105" s="106">
        <v>1</v>
      </c>
      <c r="JN105" s="78">
        <f t="shared" si="471"/>
        <v>3.4589448468919691E-3</v>
      </c>
      <c r="JO105" s="264">
        <f>JN105*各项系数!$E$39</f>
        <v>6.9178896937839379E-2</v>
      </c>
      <c r="JP105" s="289">
        <f>IF($DF105&lt;&gt;$JP$9,0,各项系数!$F$76/4*($NE105^2-$NC105^2)*10^-2*各项系数!$F$36*10^-3*10^2)*各项系数!$J$4</f>
        <v>0</v>
      </c>
      <c r="JQ105" s="106">
        <v>1</v>
      </c>
      <c r="JR105" s="78">
        <f t="shared" si="472"/>
        <v>0</v>
      </c>
      <c r="JS105" s="264">
        <f>JR105*各项系数!$E$36</f>
        <v>0</v>
      </c>
      <c r="JT105" s="289">
        <f>IF($DF105&lt;&gt;$JT$9,0,各项系数!$F$76/4*($NE105^2-$NC105^2)*10^-2*各项系数!$F$40*10^-3*10^2)*各项系数!$J$4</f>
        <v>0</v>
      </c>
      <c r="JU105" s="106">
        <v>1</v>
      </c>
      <c r="JV105" s="78">
        <f t="shared" si="473"/>
        <v>0</v>
      </c>
      <c r="JW105" s="264">
        <f>JV105*各项系数!$E$40</f>
        <v>0</v>
      </c>
      <c r="JX105" s="289">
        <f>IF($DF105&lt;&gt;$JX$9,0,各项系数!$F$76/4*($NE105^2-$NC105^2)*10^-2*各项系数!$F$38*10^-3*10^2)*各项系数!$J$4</f>
        <v>0</v>
      </c>
      <c r="JY105" s="106">
        <v>1</v>
      </c>
      <c r="JZ105" s="78">
        <f t="shared" si="474"/>
        <v>0</v>
      </c>
      <c r="KA105" s="264">
        <f>JZ105*各项系数!$E$38</f>
        <v>0</v>
      </c>
      <c r="KB105" s="289">
        <f>IF($DF105&lt;&gt;$KB$9,0,各项系数!$F$76/4*($NE105^2-$NC105^2)*10^-2*各项系数!$F$41*10^-3*10^2)*各项系数!$J$4</f>
        <v>0</v>
      </c>
      <c r="KC105" s="106">
        <v>1</v>
      </c>
      <c r="KD105" s="78">
        <f t="shared" si="475"/>
        <v>0</v>
      </c>
      <c r="KE105" s="264">
        <f>KD105*各项系数!$E$41</f>
        <v>0</v>
      </c>
      <c r="KF105" s="78">
        <f t="shared" si="476"/>
        <v>3.4589448468919691E-3</v>
      </c>
      <c r="KG105" s="78">
        <f t="shared" si="477"/>
        <v>6.9178896937839379E-2</v>
      </c>
      <c r="KH105" s="237">
        <f>各项系数!$F$76/4*($NG105^2-$NE105^2)*10^-2*各项系数!$F$44*10^-3*10^2*各项系数!$J$4*0.75*$U105</f>
        <v>0.86920462134913312</v>
      </c>
      <c r="KI105" s="106">
        <v>1</v>
      </c>
      <c r="KJ105" s="78">
        <f t="shared" si="478"/>
        <v>0.86920462134913312</v>
      </c>
      <c r="KK105" s="78">
        <f>ROUND(KJ105*各项系数!$E$43,GT105)</f>
        <v>5</v>
      </c>
      <c r="KL105" s="235">
        <f>各项系数!$F$76/4*($NF105^2-$NE105^2)*10^-2*各项系数!$F$46*10^-3*10^2*各项系数!$J$4*PI()/4*R105</f>
        <v>4.3214493743381245E-2</v>
      </c>
      <c r="KM105" s="106">
        <v>1</v>
      </c>
      <c r="KN105" s="78">
        <f t="shared" si="479"/>
        <v>4.3214493743381245E-2</v>
      </c>
      <c r="KO105" s="78">
        <f>KN105*各项系数!$E$46</f>
        <v>2.9169783276782342</v>
      </c>
      <c r="KP105" s="237">
        <f>各项系数!$F$76/4*($NH105^2-$NE105^2)*10^-2*(VLOOKUP($KP$9,各项系数!$D$1:$F$143,3,0))*10^-3*10^2*各项系数!$J$4</f>
        <v>0.31369975288438812</v>
      </c>
      <c r="KQ105" s="106">
        <v>1</v>
      </c>
      <c r="KR105" s="78">
        <f t="shared" si="416"/>
        <v>0.31369975288438812</v>
      </c>
      <c r="KS105" s="78">
        <f>KR105*(VLOOKUP($KP$9,各项系数!$D$1:$F$143,2,0))</f>
        <v>5.3328957990345982</v>
      </c>
      <c r="KT105" s="237">
        <f>各项系数!$F$76/4*($NI105^2-$NF105^2)*10^-2*(VLOOKUP($KT$9,各项系数!$D$1:$F$143,3,0))*10^-3*10^2*各项系数!$J$4</f>
        <v>0.31522268390551256</v>
      </c>
      <c r="KU105" s="106">
        <v>1</v>
      </c>
      <c r="KV105" s="78">
        <f t="shared" si="417"/>
        <v>0.31522268390551256</v>
      </c>
      <c r="KW105" s="78">
        <f>KV105*(VLOOKUP($KT$9,各项系数!$D$1:$F$143,2,0))</f>
        <v>5.358785626393713</v>
      </c>
      <c r="KX105" s="78">
        <f>各项系数!$F$76/4*($NH105^2-$NE105^2)*10^-2*(VLOOKUP($KX$9,各项系数!$D$1:$F$143,3,0))*10^-3*10^2*各项系数!$J$4</f>
        <v>0.31369975288438812</v>
      </c>
      <c r="KY105" s="355">
        <v>1</v>
      </c>
      <c r="KZ105" s="78">
        <f t="shared" si="418"/>
        <v>0.31369975288438812</v>
      </c>
      <c r="LA105" s="78">
        <f>KZ105*(VLOOKUP($KX$9,各项系数!$D$1:$F$143,2,0))</f>
        <v>5.3328957990345982</v>
      </c>
      <c r="LB105" s="78">
        <f>各项系数!$F$76/4*($NI105^2-$NF105^2)*10^-2*(VLOOKUP($LB$9,各项系数!$D$1:$F$143,3,0))*10^-3*10^2*各项系数!$J$4</f>
        <v>0.31522268390551256</v>
      </c>
      <c r="LC105" s="355">
        <v>1</v>
      </c>
      <c r="LD105" s="78">
        <f t="shared" si="419"/>
        <v>0.31522268390551256</v>
      </c>
      <c r="LE105" s="78">
        <f>LD105*(VLOOKUP($LB$9,各项系数!$D$1:$F$143,2,0))</f>
        <v>5.358785626393713</v>
      </c>
      <c r="LF105" s="237">
        <f>各项系数!$F$76/4*($NH105^2-$NE105^2)*10^-2*(VLOOKUP(AN105,各项系数!$D$1:$F$143,3,0))*10^-3*10^2*各项系数!$J$4</f>
        <v>0.31802664602762104</v>
      </c>
      <c r="LG105" s="106">
        <v>1</v>
      </c>
      <c r="LH105" s="78">
        <f t="shared" si="480"/>
        <v>0.31802664602762104</v>
      </c>
      <c r="LI105" s="78">
        <f>LH105*(VLOOKUP(AN105,各项系数!$D$1:$F$143,2,0))</f>
        <v>3.1802664602762105</v>
      </c>
      <c r="LJ105" s="237">
        <f>各项系数!$F$76/4*($NI105^2-$NF105^2)*10^-2*(VLOOKUP(AN105,各项系数!$D$1:$F$143,3,0))*10^-3*10^2*各项系数!$J$4</f>
        <v>0.31957058299386443</v>
      </c>
      <c r="LK105" s="106">
        <v>1</v>
      </c>
      <c r="LL105" s="78">
        <f t="shared" si="481"/>
        <v>0.31957058299386443</v>
      </c>
      <c r="LM105" s="78">
        <f>LL105*(VLOOKUP(AN105,各项系数!$D$1:$F$143,2,0))</f>
        <v>3.1957058299386443</v>
      </c>
      <c r="LN105" s="78">
        <f>各项系数!$F$76/4*($NH105^2-$NE105^2)*10^-2*(VLOOKUP($LN$9,各项系数!$D$1:$F$143,3,0))*10^-3*10^2*各项系数!$J$4</f>
        <v>0.31802664602762104</v>
      </c>
      <c r="LO105" s="355">
        <v>1</v>
      </c>
      <c r="LP105" s="78">
        <f t="shared" si="482"/>
        <v>0.31802664602762104</v>
      </c>
      <c r="LQ105" s="78">
        <f>LP105*(VLOOKUP($LN$9,各项系数!$D$1:$F$143,2,0))</f>
        <v>3.4982931063038314</v>
      </c>
      <c r="LR105" s="78">
        <f>各项系数!$F$76/4*($NI105^2-$NF105^2)*10^-2*(VLOOKUP($LR$9,各项系数!$D$1:$F$143,3,0))*10^-3*10^2*各项系数!$J$4</f>
        <v>0.31957058299386443</v>
      </c>
      <c r="LS105" s="355">
        <v>1</v>
      </c>
      <c r="LT105" s="78">
        <f t="shared" si="483"/>
        <v>0.31957058299386443</v>
      </c>
      <c r="LU105" s="78">
        <f>LT105*(VLOOKUP($LR$9,各项系数!$D$1:$F$143,2,0))</f>
        <v>3.5152764129325087</v>
      </c>
      <c r="LV105" s="367">
        <f t="shared" si="420"/>
        <v>269.01759929999997</v>
      </c>
      <c r="LW105" s="367">
        <f t="shared" si="421"/>
        <v>193.65626422</v>
      </c>
      <c r="LX105" s="367">
        <f t="shared" si="422"/>
        <v>15.702573473497431</v>
      </c>
      <c r="LY105" s="367">
        <f t="shared" si="423"/>
        <v>75.361335079999975</v>
      </c>
      <c r="LZ105" s="374">
        <f t="shared" si="365"/>
        <v>1</v>
      </c>
      <c r="MA105" s="375">
        <f t="shared" si="366"/>
        <v>269.01759929999997</v>
      </c>
      <c r="MB105" s="367">
        <f t="shared" si="424"/>
        <v>10.68525223</v>
      </c>
      <c r="MC105" s="367">
        <f t="shared" si="425"/>
        <v>42.448101389999998</v>
      </c>
      <c r="MD105" s="367">
        <f t="shared" si="426"/>
        <v>33.01518987</v>
      </c>
      <c r="ME105" s="367">
        <f t="shared" si="427"/>
        <v>6.4835364824626192</v>
      </c>
      <c r="MF105" s="367">
        <f t="shared" si="428"/>
        <v>9.4329115199999976</v>
      </c>
      <c r="MG105" s="379">
        <f t="shared" si="429"/>
        <v>1</v>
      </c>
      <c r="MH105" s="375">
        <f t="shared" si="367"/>
        <v>42.448101389999998</v>
      </c>
      <c r="MI105" s="367">
        <f t="shared" si="430"/>
        <v>7.3516393606239703</v>
      </c>
      <c r="MJ105" s="78">
        <f t="shared" si="368"/>
        <v>10.68525223</v>
      </c>
      <c r="MK105" s="78">
        <f t="shared" si="431"/>
        <v>10.68525223</v>
      </c>
      <c r="ML105" s="78">
        <f t="shared" si="484"/>
        <v>7.3516393608129</v>
      </c>
      <c r="MM105" s="78">
        <f t="shared" si="369"/>
        <v>7.3516393606239703</v>
      </c>
      <c r="MN105" s="78">
        <f t="shared" si="370"/>
        <v>12.885252229999999</v>
      </c>
      <c r="MO105" s="189">
        <f t="shared" si="432"/>
        <v>9.151639360623971</v>
      </c>
      <c r="MP105" s="78">
        <f t="shared" si="433"/>
        <v>28.92347461</v>
      </c>
      <c r="MQ105" s="78">
        <f t="shared" si="485"/>
        <v>28.92347461</v>
      </c>
      <c r="MR105" s="246">
        <f t="shared" si="434"/>
        <v>28.92347461</v>
      </c>
      <c r="MS105" s="380">
        <f t="shared" si="371"/>
        <v>29.099474609999998</v>
      </c>
      <c r="MT105" s="382">
        <f t="shared" si="372"/>
        <v>29.259474609999998</v>
      </c>
      <c r="MU105" s="382">
        <f t="shared" si="373"/>
        <v>30.599474609999998</v>
      </c>
      <c r="MV105" s="382">
        <f t="shared" si="374"/>
        <v>33.299474609999997</v>
      </c>
      <c r="MW105" s="382">
        <f t="shared" si="375"/>
        <v>33.459474610000001</v>
      </c>
      <c r="MX105" s="246">
        <f t="shared" si="376"/>
        <v>11.285252229999999</v>
      </c>
      <c r="MY105" s="246">
        <f t="shared" si="377"/>
        <v>7.9516393606239699</v>
      </c>
      <c r="MZ105" s="78">
        <f t="shared" si="378"/>
        <v>13.48525223</v>
      </c>
      <c r="NA105" s="78">
        <f t="shared" si="379"/>
        <v>10.151639360623971</v>
      </c>
      <c r="NB105" s="78">
        <f t="shared" si="435"/>
        <v>30.617474609999999</v>
      </c>
      <c r="NC105" s="246">
        <f t="shared" si="486"/>
        <v>30.617474609999999</v>
      </c>
      <c r="ND105" s="246">
        <f t="shared" si="436"/>
        <v>30.617474609999999</v>
      </c>
      <c r="NE105" s="386">
        <f t="shared" si="437"/>
        <v>30.857474609999997</v>
      </c>
      <c r="NF105" s="382">
        <f t="shared" si="380"/>
        <v>31.017474609999997</v>
      </c>
      <c r="NG105" s="150">
        <f t="shared" si="381"/>
        <v>32.357474609999997</v>
      </c>
      <c r="NH105" s="246">
        <f t="shared" si="382"/>
        <v>35.05747461</v>
      </c>
      <c r="NI105" s="382">
        <f t="shared" si="383"/>
        <v>35.217474609999996</v>
      </c>
      <c r="NK105" s="390">
        <f t="shared" si="384"/>
        <v>2.7631495173347864</v>
      </c>
      <c r="NL105" s="390">
        <f t="shared" si="385"/>
        <v>138.71284055531538</v>
      </c>
      <c r="NM105" s="390">
        <f t="shared" si="386"/>
        <v>2.7631495173347864</v>
      </c>
      <c r="NN105" s="390">
        <f t="shared" si="387"/>
        <v>139.01390319392641</v>
      </c>
      <c r="NO105" s="390">
        <f t="shared" si="388"/>
        <v>3.735778345628991</v>
      </c>
      <c r="NP105" s="390">
        <f t="shared" si="389"/>
        <v>141.21076024347784</v>
      </c>
      <c r="NQ105" s="390">
        <f t="shared" si="390"/>
        <v>3.735778345628991</v>
      </c>
      <c r="NR105" s="390">
        <f t="shared" si="391"/>
        <v>141.52878688950545</v>
      </c>
      <c r="NS105" s="390">
        <f t="shared" si="392"/>
        <v>2.803908378194147</v>
      </c>
      <c r="NT105" s="390">
        <f t="shared" si="393"/>
        <v>2.803908378194147</v>
      </c>
      <c r="NU105" s="390">
        <f t="shared" si="394"/>
        <v>3.7789928393723722</v>
      </c>
      <c r="NV105" s="390">
        <f t="shared" si="395"/>
        <v>3.7789928393723722</v>
      </c>
      <c r="NW105" s="9">
        <f t="shared" si="396"/>
        <v>3.3103892994009145</v>
      </c>
      <c r="NX105" s="9">
        <f>各项系数!$M$9*NK105</f>
        <v>0.82894485520043593</v>
      </c>
      <c r="NY105" s="9">
        <f t="shared" si="397"/>
        <v>2.803908378194147</v>
      </c>
    </row>
    <row r="106" spans="1:389" s="9" customFormat="1" ht="15" hidden="1" customHeight="1">
      <c r="A106" s="65"/>
      <c r="B106" s="66"/>
      <c r="C106" s="67"/>
      <c r="D106" s="58" t="s">
        <v>341</v>
      </c>
      <c r="E106" s="399">
        <f t="shared" si="325"/>
        <v>37.794218790000002</v>
      </c>
      <c r="F106" s="68">
        <f>$F$26</f>
        <v>245.088056587712</v>
      </c>
      <c r="G106" s="58"/>
      <c r="H106" s="62"/>
      <c r="I106" s="145">
        <f>$F$24</f>
        <v>238.573455311777</v>
      </c>
      <c r="J106" s="62"/>
      <c r="K106" s="62"/>
      <c r="L106" s="107" t="s">
        <v>467</v>
      </c>
      <c r="M106" s="98">
        <f t="shared" si="339"/>
        <v>1.1000000000000001</v>
      </c>
      <c r="N106" s="98">
        <f t="shared" si="340"/>
        <v>1</v>
      </c>
      <c r="O106" s="58">
        <f t="shared" si="493"/>
        <v>0.08</v>
      </c>
      <c r="P106" s="99">
        <v>0.1</v>
      </c>
      <c r="Q106" s="136">
        <f t="shared" si="499"/>
        <v>0.1</v>
      </c>
      <c r="R106" s="151">
        <v>0.8</v>
      </c>
      <c r="S106" s="144" t="str">
        <f>各项系数!$D$43</f>
        <v>钢带</v>
      </c>
      <c r="T106" s="62">
        <v>0.5</v>
      </c>
      <c r="U106" s="62">
        <v>2</v>
      </c>
      <c r="V106" s="143"/>
      <c r="W106" s="145">
        <v>2.2000000000000002</v>
      </c>
      <c r="X106" s="139">
        <f t="shared" si="500"/>
        <v>0.2</v>
      </c>
      <c r="Y106" s="139"/>
      <c r="Z106" s="169"/>
      <c r="AA106" s="170">
        <f>$AA$26</f>
        <v>1.0129999999999999</v>
      </c>
      <c r="AB106" s="153">
        <f>PI()*EJ106*EJ106/4*EH106*(1-H106)*AA106*各项系数!$F$5*各项系数!$J$4*10^-7</f>
        <v>0.80319697770872212</v>
      </c>
      <c r="AC106" s="170">
        <f t="shared" si="327"/>
        <v>245.088056587712</v>
      </c>
      <c r="AD106" s="153">
        <f t="shared" si="341"/>
        <v>90.802378338116014</v>
      </c>
      <c r="AE106" s="153">
        <f>POWER(4*EU106/PI()/EG106/10^-7/EH106/(1-H106)/各项系数!$F$5/各项系数!$J$4,0.5)</f>
        <v>246.67598485301878</v>
      </c>
      <c r="AF106" s="16">
        <f>$AA$24</f>
        <v>1.0109999999999999</v>
      </c>
      <c r="AG106" s="16">
        <f>IF(EM106=0,0,PI()*ER106*ER106/4*EP106*(1-K106)*(1+AF106)*各项系数!$F$5*各项系数!$J$4*10^-7)</f>
        <v>0.7951902287809961</v>
      </c>
      <c r="AH106" s="16">
        <f t="shared" si="328"/>
        <v>238.573455311777</v>
      </c>
      <c r="AI106" s="69">
        <f t="shared" si="398"/>
        <v>45.194467959085458</v>
      </c>
      <c r="AJ106" s="69">
        <f>IF(OR(EP106="",EP106=0),0,POWER(4*EW106/PI()/EO106/10^-7/EP106/(1-K106)/各项系数!$F$5/各项系数!$J$4,0.5))</f>
        <v>239.88202060340802</v>
      </c>
      <c r="AK106" s="16">
        <f t="shared" si="342"/>
        <v>2.8093608591816541</v>
      </c>
      <c r="AL106" s="16">
        <f t="shared" si="329"/>
        <v>196.60087199500629</v>
      </c>
      <c r="AM106" s="106">
        <f t="shared" si="330"/>
        <v>95</v>
      </c>
      <c r="AN106" s="107" t="s">
        <v>486</v>
      </c>
      <c r="AO106" s="146">
        <f>AP106+各项系数!$M$9*$NK106</f>
        <v>192.74595293628067</v>
      </c>
      <c r="AP106" s="146">
        <f>AQ106*(1+$BI106+(VLOOKUP($AM106,$A$12:$B$323,2,0))+各项系数!$J$6+各项系数!$M$5)*(1+$E$2)</f>
        <v>191.62865071607411</v>
      </c>
      <c r="AQ106" s="199">
        <f>AR106+各项系数!$L$9*$NK106</f>
        <v>195.53943950619808</v>
      </c>
      <c r="AR106" s="199">
        <f>AS106*(1+$BJ106+各项系数!$J$5+各项系数!$L$5)</f>
        <v>194.42213728599151</v>
      </c>
      <c r="AS106" s="199">
        <f t="shared" si="399"/>
        <v>190.60993851567795</v>
      </c>
      <c r="AT106" s="146">
        <f>AU106+各项系数!$M$9*$NM106</f>
        <v>195.18053505590186</v>
      </c>
      <c r="AU106" s="146">
        <f>AV106*(1+$BI106+(VLOOKUP($AM106,$A$12:$B$323,2,0))+各项系数!$J$6+各项系数!$M$5)*(1+$E$2)</f>
        <v>194.06323283569529</v>
      </c>
      <c r="AV106" s="199">
        <f>AW106+各项系数!$L$9*$NM106</f>
        <v>198.02370697519927</v>
      </c>
      <c r="AW106" s="199">
        <f>AX106*(1+$BJ106+各项系数!$J$5+各项系数!$L$5)</f>
        <v>196.90640475499271</v>
      </c>
      <c r="AX106" s="199">
        <f t="shared" si="400"/>
        <v>193.04549485783599</v>
      </c>
      <c r="AY106" s="146">
        <f>AZ106+各项系数!$M$9*$NS106</f>
        <v>195.94479118717788</v>
      </c>
      <c r="AZ106" s="146">
        <f>BA106*(1+$BI106+(VLOOKUP($AM106,$A$12:$B$214,2,0))+各项系数!$J$6+各项系数!$M$5)*(1+$E$2)</f>
        <v>194.81346159624988</v>
      </c>
      <c r="BA106" s="199">
        <f>BB106+各项系数!$L$9*$NS106</f>
        <v>198.7892465267856</v>
      </c>
      <c r="BB106" s="199">
        <f>BC106*(1+$BJ106+各项系数!$J$5+各项系数!$L$5)</f>
        <v>197.6579169358576</v>
      </c>
      <c r="BC106" s="199">
        <f t="shared" si="401"/>
        <v>193.78227150574273</v>
      </c>
      <c r="BD106" s="146">
        <f>BE106+各项系数!$M$9*$NS106</f>
        <v>198.39031702609901</v>
      </c>
      <c r="BE106" s="146">
        <f>BF106*(1+$BI106+(VLOOKUP($AM106,$A$12:$B$214,2,0))+各项系数!$J$6+各项系数!$M$5)*(1+$E$2)</f>
        <v>197.25898743517101</v>
      </c>
      <c r="BF106" s="199">
        <f>BG106+各项系数!$L$9*$NS106</f>
        <v>201.28468105629696</v>
      </c>
      <c r="BG106" s="199">
        <f>BH106*(1+$BJ106+各项系数!$J$5+各项系数!$L$5)</f>
        <v>200.15335146536896</v>
      </c>
      <c r="BH106" s="199">
        <f t="shared" si="402"/>
        <v>196.22877594644015</v>
      </c>
      <c r="BI106" s="214"/>
      <c r="BJ106" s="215"/>
      <c r="BK106" s="78" t="s">
        <v>514</v>
      </c>
      <c r="BL106" s="146">
        <f>BM106+各项系数!$M$9*$NM106</f>
        <v>194.97713860916227</v>
      </c>
      <c r="BM106" s="146">
        <f>BN106*(1+$CF106+(VLOOKUP($AM106,$A$12:$B$323,2,0))+各项系数!$J$6+各项系数!$M$5)*(1+$E$2)</f>
        <v>193.8598363889557</v>
      </c>
      <c r="BN106" s="199">
        <f>BO106+各项系数!$L$9*$NM106</f>
        <v>197.81615958056705</v>
      </c>
      <c r="BO106" s="199">
        <f>BP106*(1+$CG106+各项系数!$J$5+各项系数!$L$5)</f>
        <v>196.69885736036048</v>
      </c>
      <c r="BP106" s="199">
        <f t="shared" si="403"/>
        <v>190.96976442753444</v>
      </c>
      <c r="BQ106" s="146">
        <f>BR106+各项系数!$M$9*$NM106</f>
        <v>197.07238090550865</v>
      </c>
      <c r="BR106" s="146">
        <f>BS106*(1+$CF106+(VLOOKUP($AM106,$A$12:$B$323,2,0))+各项系数!$J$6+各项系数!$M$5)*(1+$E$2)</f>
        <v>195.95507868530208</v>
      </c>
      <c r="BS106" s="199">
        <f>BT106+各项系数!$L$9*$NM106</f>
        <v>199.95416192377763</v>
      </c>
      <c r="BT106" s="199">
        <f>BU106*(1+$CG106+各项系数!$J$5+各项系数!$L$5)</f>
        <v>198.83685970357106</v>
      </c>
      <c r="BU106" s="199">
        <f t="shared" si="404"/>
        <v>193.04549485783599</v>
      </c>
      <c r="BV106" s="146">
        <f>BW106+各项系数!$M$9*$NT106</f>
        <v>197.1080935212218</v>
      </c>
      <c r="BW106" s="146">
        <f>BX106*(1+$CF106+(VLOOKUP($AM106,$A$12:$B$214,2,0))+各项系数!$J$6+各项系数!$M$5)*(1+$E$2)</f>
        <v>195.9767639302938</v>
      </c>
      <c r="BX106" s="199">
        <f>BY106+各项系数!$L$9*$NT$12</f>
        <v>199.97628972478961</v>
      </c>
      <c r="BY106" s="199">
        <f>BZ106*(1+$CG106+各项系数!$J$5+各项系数!$L$5)</f>
        <v>199.96802632163462</v>
      </c>
      <c r="BZ106" s="199">
        <f t="shared" si="343"/>
        <v>194.1437148753734</v>
      </c>
      <c r="CA106" s="146">
        <f>CB106+各项系数!$M$9*$NT106</f>
        <v>199.21275416635658</v>
      </c>
      <c r="CB106" s="146">
        <f>CC106*(1+$CF106+(VLOOKUP($AM106,$A$12:$B$214,2,0))+各项系数!$J$6+各项系数!$M$5)*(1+$E$2)</f>
        <v>198.08142457542857</v>
      </c>
      <c r="CC106" s="199">
        <f>CD106+各项系数!$L$9*$NT$12</f>
        <v>202.12390262798834</v>
      </c>
      <c r="CD106" s="199">
        <f>CE106*(1+$CG106+各项系数!$J$5+各项系数!$L$5)</f>
        <v>202.11563922483336</v>
      </c>
      <c r="CE106" s="199">
        <f t="shared" si="405"/>
        <v>196.22877594644015</v>
      </c>
      <c r="CF106" s="214">
        <f t="shared" si="406"/>
        <v>0</v>
      </c>
      <c r="CG106" s="214">
        <f t="shared" si="344"/>
        <v>0.01</v>
      </c>
      <c r="CH106" s="106"/>
      <c r="CI106" s="146">
        <f>CJ106+各项系数!$M$9*$NO106</f>
        <v>197.43832893469491</v>
      </c>
      <c r="CJ106" s="146">
        <f>CK106*(1+$DC106+(VLOOKUP($AM106,$A$12:$B$323,2,0))+各项系数!$J$6+各项系数!$M$5)*(1+$E$2)+各项系数!$M$9*$NK106</f>
        <v>195.95059266088916</v>
      </c>
      <c r="CK106" s="199">
        <f>CL106+各项系数!$L$9*$NO106</f>
        <v>198.80948004151284</v>
      </c>
      <c r="CL106" s="199">
        <f>CM106*(1+$DD106+各项系数!$J$5+各项系数!$L$5)</f>
        <v>197.32174376770709</v>
      </c>
      <c r="CM106" s="199">
        <f t="shared" si="345"/>
        <v>193.45268996834028</v>
      </c>
      <c r="CN106" s="146">
        <f>CO106+各项系数!$M$9*$NO106</f>
        <v>199.70749110025673</v>
      </c>
      <c r="CO106" s="146">
        <f>CP106*(1+$DC106+(VLOOKUP($AM106,$A$12:$B$323,2,0))+各项系数!$J$6+各项系数!$M$5)*(1+$E$2)+各项系数!$M$9*$NK106</f>
        <v>198.21975482645098</v>
      </c>
      <c r="CP106" s="199">
        <f>CQ106+各项系数!$L$9*$NO106</f>
        <v>201.12495163902491</v>
      </c>
      <c r="CQ106" s="199">
        <f>CR106*(1+$DD106+各项系数!$J$5+各项系数!$L$5)</f>
        <v>199.63721536521916</v>
      </c>
      <c r="CR106" s="199">
        <f t="shared" si="346"/>
        <v>195.72276016197958</v>
      </c>
      <c r="CS106" s="146">
        <f>CT106+各项系数!$M$9*$NU106</f>
        <v>199.67550806065105</v>
      </c>
      <c r="CT106" s="146">
        <f t="shared" si="347"/>
        <v>198.17305843130626</v>
      </c>
      <c r="CU106" s="199">
        <f>CV106+各项系数!$L$9*$NU106</f>
        <v>202.21740656255741</v>
      </c>
      <c r="CV106" s="199">
        <f>CW106*(1+$DD106+各项系数!$J$5+各项系数!$L$5)</f>
        <v>200.71495693321262</v>
      </c>
      <c r="CW106" s="199">
        <f t="shared" si="348"/>
        <v>196.77936954236532</v>
      </c>
      <c r="CX106" s="146">
        <f>CY106+各项系数!$M$9*$NU106</f>
        <v>202.23300182765996</v>
      </c>
      <c r="CY106" s="146">
        <f t="shared" si="349"/>
        <v>200.73055219831517</v>
      </c>
      <c r="CZ106" s="199">
        <f>DA106+各项系数!$L$9*$NU106</f>
        <v>204.82709407991345</v>
      </c>
      <c r="DA106" s="199">
        <f>DB106*(1+$DD106+各项系数!$J$5+各项系数!$L$5)</f>
        <v>203.32464445056866</v>
      </c>
      <c r="DB106" s="199">
        <f t="shared" si="350"/>
        <v>199.33788671624379</v>
      </c>
      <c r="DC106" s="214">
        <f t="shared" si="498"/>
        <v>0</v>
      </c>
      <c r="DD106" s="214">
        <f t="shared" si="351"/>
        <v>0</v>
      </c>
      <c r="DE106" s="78" t="s">
        <v>498</v>
      </c>
      <c r="DF106" s="78" t="s">
        <v>513</v>
      </c>
      <c r="DG106" s="146">
        <f>DH106+各项系数!$M$9*$NQ106</f>
        <v>199.71407774364408</v>
      </c>
      <c r="DH106" s="146">
        <f>DI106*(1+$EA106+(VLOOKUP($AM106,$A$12:$B$323,2,0))+各项系数!$J$6+各项系数!$M$5)*(1+$E$2)+各项系数!$M$9*$NK106</f>
        <v>198.22634146983833</v>
      </c>
      <c r="DI106" s="199">
        <f>DJ106+各项系数!$L$9*$NQ106</f>
        <v>201.13167270370587</v>
      </c>
      <c r="DJ106" s="199">
        <f>DK106*(1+$EB106+各项系数!$J$5+各项系数!$L$5)</f>
        <v>199.64393642990012</v>
      </c>
      <c r="DK106" s="199">
        <f t="shared" si="352"/>
        <v>193.82906449504867</v>
      </c>
      <c r="DL106" s="146">
        <f>DM106+各项系数!$M$9*$NQ106</f>
        <v>201.90568152103194</v>
      </c>
      <c r="DM106" s="146">
        <f>DN106*(1+$EA106+(VLOOKUP($AM106,$A$12:$B$323,2,0))+各项系数!$J$6+各项系数!$M$5)*(1+$E$2)+各项系数!$M$9*$NK106</f>
        <v>200.41794524722619</v>
      </c>
      <c r="DN106" s="199">
        <f>DO106+各项系数!$L$9*$NQ106</f>
        <v>203.36800308879552</v>
      </c>
      <c r="DO106" s="199">
        <f>DP106*(1+$EB106+各项系数!$J$5+各项系数!$L$5)</f>
        <v>201.88026681498977</v>
      </c>
      <c r="DP106" s="199">
        <f t="shared" si="353"/>
        <v>196.00025904367939</v>
      </c>
      <c r="DQ106" s="146">
        <f>DR106+各项系数!$M$9*$NV106</f>
        <v>201.98549099130292</v>
      </c>
      <c r="DR106" s="146">
        <f t="shared" si="354"/>
        <v>200.48304136195813</v>
      </c>
      <c r="DS106" s="199">
        <f>DT106+各项系数!$L$9*$NV106</f>
        <v>204.57453200199811</v>
      </c>
      <c r="DT106" s="199">
        <f>DU106*(1+$EB106+各项系数!$J$5+各项系数!$L$5)</f>
        <v>203.07208237265331</v>
      </c>
      <c r="DU106" s="199">
        <f t="shared" si="355"/>
        <v>197.15736152684786</v>
      </c>
      <c r="DV106" s="146">
        <f>DW106+各项系数!$M$9*$NV106</f>
        <v>202.01284595912477</v>
      </c>
      <c r="DW106" s="146">
        <f t="shared" si="356"/>
        <v>200.51039632977998</v>
      </c>
      <c r="DX106" s="199">
        <f>DY106+各项系数!$L$9*$NV106</f>
        <v>204.60244523446937</v>
      </c>
      <c r="DY106" s="199">
        <f>DZ106*(1+$EB106+各项系数!$J$5+各项系数!$L$5)</f>
        <v>203.09999560512458</v>
      </c>
      <c r="DZ106" s="199">
        <f t="shared" si="357"/>
        <v>197.18446175254812</v>
      </c>
      <c r="EA106" s="214">
        <f t="shared" si="492"/>
        <v>0</v>
      </c>
      <c r="EB106" s="214">
        <f t="shared" si="358"/>
        <v>0.01</v>
      </c>
      <c r="EC106" s="235" t="str">
        <f t="shared" si="408"/>
        <v>3+1</v>
      </c>
      <c r="ED106" s="237" t="str">
        <f t="shared" si="494"/>
        <v>3*95</v>
      </c>
      <c r="EE106" s="78">
        <f t="shared" si="495"/>
        <v>95</v>
      </c>
      <c r="EF106" s="78" t="str">
        <f>LOOKUP(EH106,{1,7,10,14,19,24,30,37,48,61},{1,"1+6","2+8","4+10","1+6+12","2+8+14","4+10+16","1+6+12+18","3+9+15+21","1+6+12+18+24"})</f>
        <v>1+6+12</v>
      </c>
      <c r="EG106" s="106">
        <f t="shared" si="359"/>
        <v>3</v>
      </c>
      <c r="EH106" s="199">
        <f>VLOOKUP(EE106,各项系数!$B$87:$C$124,2,0)</f>
        <v>19</v>
      </c>
      <c r="EI106" s="106">
        <f>IF(EH106=0,0,VLOOKUP(EH106,各项系数!$D$142:$E$195,2,0))*1</f>
        <v>5</v>
      </c>
      <c r="EJ106" s="240">
        <f t="shared" si="409"/>
        <v>245.088056587712</v>
      </c>
      <c r="EK106" s="78" t="str">
        <f t="shared" si="332"/>
        <v>1*50</v>
      </c>
      <c r="EL106" s="78" t="str">
        <f t="shared" si="360"/>
        <v>50</v>
      </c>
      <c r="EM106" s="78">
        <f t="shared" si="496"/>
        <v>50</v>
      </c>
      <c r="EN106" s="78" t="str">
        <f>IF(EP106=0,0,LOOKUP(EP106,{1,7,10,14,19,24,30,37,48,61},{1,"1+6","2+8","4+10","1+6+12","2+8+14","4+10+16","1+6+12+18","3+9+15+21","1+6+12+18+24"}))</f>
        <v>2+8</v>
      </c>
      <c r="EO106" s="78" t="str">
        <f t="shared" si="334"/>
        <v>1</v>
      </c>
      <c r="EP106" s="78">
        <f>IF(EM106=0,0,IF(EM106&lt;10,1,IF(AND(EM106&gt;=10,EM106&lt;=35),7,LOOKUP(EM106,{50,70,95,120,150,185,240,300},{10,14,19,24,30,37,48,61})*1)))</f>
        <v>10</v>
      </c>
      <c r="EQ106" s="78">
        <f>IF(EP106=0,0,VLOOKUP(EP106,各项系数!$D$142:$E$195,2,0))*1</f>
        <v>4</v>
      </c>
      <c r="ER106" s="78">
        <f t="shared" si="335"/>
        <v>238.573455311777</v>
      </c>
      <c r="ES106" s="237">
        <f t="shared" si="497"/>
        <v>4</v>
      </c>
      <c r="ET106" s="78">
        <f>VLOOKUP(ES106,各项系数!$D$142:$E$195,2,0)*1</f>
        <v>2.42</v>
      </c>
      <c r="EU106" s="243">
        <f>((各项系数!$F$76/4*$EJ106^2*$EG106*$EH106*1*10^-7)*(1-$H106)*AA106)*(VLOOKUP($EY$9,各项系数!$D$4:$F$143,3,0))*各项系数!$J$4</f>
        <v>2.4095909331261662</v>
      </c>
      <c r="EV106" s="244">
        <f>EU106*(VLOOKUP($EY$9,各项系数!$D$4:$F$143,2,0))</f>
        <v>157.82820611976388</v>
      </c>
      <c r="EW106" s="252">
        <f>(IF($EO106=0,0,(各项系数!$F$76/4*$ER106^2*$EO106*$EP106*1*10^-7))*(1-$K106)*$AF106)*(VLOOKUP($EY$9,各项系数!$D$4:$F$143,3,0))*各项系数!$J$4</f>
        <v>0.39976992605548828</v>
      </c>
      <c r="EX106" s="253">
        <f>EW106*(VLOOKUP($EY$9,各项系数!$D$4:$F$143,2,0))</f>
        <v>26.184930156634483</v>
      </c>
      <c r="EY106" s="189">
        <f>((各项系数!$F$76/4*$EJ106^2*$EG106*$EH106*1*10^-7)*(1-$H106)*AA106+IF($EO106=0,0,(各项系数!$F$76/4*$ER106^2*$EO106*$EP106*1*10^-7))*(1-$K106)*$AF106)*(VLOOKUP($EY$9,各项系数!$D$4:$F$143,3,0))*各项系数!$J$4</f>
        <v>2.8093608591816541</v>
      </c>
      <c r="EZ106" s="106">
        <v>1</v>
      </c>
      <c r="FA106" s="78">
        <f t="shared" si="445"/>
        <v>2.8093608591816541</v>
      </c>
      <c r="FB106" s="246">
        <f>FA106*(VLOOKUP($EY$9,各项系数!$D$4:$F$143,2,0))</f>
        <v>184.01313627639834</v>
      </c>
      <c r="FC106" s="257"/>
      <c r="FD106" s="237">
        <f>各项系数!$F$76/4*($MN106^2-MK106^2)*10^-2*(VLOOKUP(L106,各项系数!$D$1:$F$143,3,0))*10^-3*10^2*$EG106*各项系数!$J$4</f>
        <v>0.15153189400445569</v>
      </c>
      <c r="FE106" s="264">
        <f>FD106*VLOOKUP(L106,各项系数!$D$1:$F$143,2,0)</f>
        <v>1.5456253188454478</v>
      </c>
      <c r="FF106" s="106">
        <f>各项系数!$F$76/4*($MO106^2-ML106^2)*10^-2*(VLOOKUP(L106,各项系数!$D$1:$F$143,3,0))*10^-3*10^2*$EO106*各项系数!$J$4</f>
        <v>3.6251610066291365E-2</v>
      </c>
      <c r="FG106" s="264">
        <f>FF106*VLOOKUP(L106,各项系数!$D$1:$F$143,2,0)</f>
        <v>0.36976642267617188</v>
      </c>
      <c r="FH106" s="237">
        <f t="shared" si="410"/>
        <v>0.18778350407074706</v>
      </c>
      <c r="FI106" s="106">
        <v>1</v>
      </c>
      <c r="FJ106" s="78">
        <f t="shared" si="446"/>
        <v>0.18778350407074706</v>
      </c>
      <c r="FK106" s="264">
        <f>FJ106*VLOOKUP(L106,各项系数!$D$1:$F$143,2,0)</f>
        <v>1.91539174152162</v>
      </c>
      <c r="FL106" s="237"/>
      <c r="FM106" s="106"/>
      <c r="FN106" s="78"/>
      <c r="FO106" s="264"/>
      <c r="FP106" s="289">
        <f t="shared" si="447"/>
        <v>0.18778350407074706</v>
      </c>
      <c r="FQ106" s="289">
        <f t="shared" si="448"/>
        <v>1.91539174152162</v>
      </c>
      <c r="FR106" s="283">
        <f>各项系数!$F$76/4*($MQ106^2-$MN106^2*$EG106-$MO106^2*$EO106)*10^-2</f>
        <v>2.6972249893655875</v>
      </c>
      <c r="FS106" s="284">
        <f t="shared" si="411"/>
        <v>1</v>
      </c>
      <c r="FT106" s="285">
        <f t="shared" si="361"/>
        <v>2.6972249893655875</v>
      </c>
      <c r="FU106" s="309">
        <f>$FT106*(VLOOKUP($FT$9,各项系数!$D$1:$F$143,3,0))*10^-3*10^2*各项系数!$J$55</f>
        <v>0.32204866373025115</v>
      </c>
      <c r="FV106" s="310">
        <v>1</v>
      </c>
      <c r="FW106" s="311">
        <f t="shared" si="449"/>
        <v>0.32204866373025115</v>
      </c>
      <c r="FX106" s="290">
        <f>FW106*(VLOOKUP($FT$9,各项系数!$D$1:$F$143,2,0))</f>
        <v>0.96614599119075351</v>
      </c>
      <c r="FY106" s="309">
        <f>IF($BK106&lt;&gt;$FY$9,0,各项系数!$F$76/4*($MS106^2-$MQ106^2)*10^-2*(VLOOKUP($FY$9,各项系数!$D$1:$F$143,3,0))*10^-3*10^2)*各项系数!$J$4</f>
        <v>0</v>
      </c>
      <c r="FZ106" s="310">
        <v>1</v>
      </c>
      <c r="GA106" s="311">
        <f t="shared" si="450"/>
        <v>0</v>
      </c>
      <c r="GB106" s="290">
        <f>GA106*(VLOOKUP($FY$9,各项系数!$D$1:$F$143,2,0))</f>
        <v>0</v>
      </c>
      <c r="GC106" s="309">
        <f>IF($BK106&lt;&gt;$GC$9,0,各项系数!$F$76/4*($MS106^2-$MQ106^2)*10^-2*(VLOOKUP($GC$9,各项系数!$D$1:$F$143,3,0))*10^-3*10^2)*各项系数!$J$4</f>
        <v>9.0701851164398436E-3</v>
      </c>
      <c r="GD106" s="310">
        <v>1</v>
      </c>
      <c r="GE106" s="311">
        <f t="shared" si="451"/>
        <v>9.0701851164398436E-3</v>
      </c>
      <c r="GF106" s="290">
        <f>GE106*(VLOOKUP($GC$9,各项系数!$D$1:$F$143,2,0))</f>
        <v>0.11700538800207398</v>
      </c>
      <c r="GG106" s="309">
        <f>IF($BK106&lt;&gt;$GG$9,0,各项系数!$F$76/4*($MS106^2-$MQ106^2)*10^-2*(VLOOKUP($GG$9,各项系数!$D$1:$F$143,3,0))*10^-3*10^2)*各项系数!$J$4</f>
        <v>0</v>
      </c>
      <c r="GH106" s="310">
        <v>1</v>
      </c>
      <c r="GI106" s="311">
        <f t="shared" si="452"/>
        <v>0</v>
      </c>
      <c r="GJ106" s="290">
        <f>GI106*(VLOOKUP($GG$9,各项系数!$D$1:$F$143,2,0))</f>
        <v>0</v>
      </c>
      <c r="GK106" s="309">
        <f>IF($BK106&lt;&gt;$GK$9,0,各项系数!$F$76/4*($MS106^2-$MQ106^2)*10^-2*(VLOOKUP($GK$9,各项系数!$D$1:$F$143,3,0))*10^-3*10^2)*各项系数!$J$4</f>
        <v>0</v>
      </c>
      <c r="GL106" s="310">
        <v>1</v>
      </c>
      <c r="GM106" s="311">
        <f t="shared" si="453"/>
        <v>0</v>
      </c>
      <c r="GN106" s="290">
        <f>GM106*(VLOOKUP($GK$9,各项系数!$D$1:$F$143,2,0))</f>
        <v>0</v>
      </c>
      <c r="GO106" s="311">
        <f t="shared" si="454"/>
        <v>9.0701851164398436E-3</v>
      </c>
      <c r="GP106" s="311">
        <f t="shared" si="455"/>
        <v>0.11700538800207398</v>
      </c>
      <c r="GQ106" s="317">
        <f>各项系数!$F$76/4*($MU106^2-$MS106^2)*10^-2*(VLOOKUP($S106,各项系数!$D$1:$F$143,3,0))*10^-3*10^2*各项系数!$J$4</f>
        <v>0.62597667441684435</v>
      </c>
      <c r="GR106" s="310">
        <v>1</v>
      </c>
      <c r="GS106" s="311">
        <f t="shared" si="456"/>
        <v>0.62597667441684435</v>
      </c>
      <c r="GT106" s="311">
        <f t="shared" si="457"/>
        <v>0</v>
      </c>
      <c r="GU106" s="311">
        <f>ROUND($GS106*(VLOOKUP($S106,各项系数!$D$1:$F$143,2,0))+$E$3*GS106,GT106)</f>
        <v>4</v>
      </c>
      <c r="GV106" s="315">
        <f>各项系数!$F$76/4*($MT106^2-$MS106^2)*10^-2*(VLOOKUP($GV$9,各项系数!$D$1:$F$143,3,0))*10^-3*10^2*各项系数!$J$4*PI()/4*R106</f>
        <v>4.6757902404787929E-2</v>
      </c>
      <c r="GW106" s="310">
        <v>1</v>
      </c>
      <c r="GX106" s="311">
        <f t="shared" si="458"/>
        <v>4.6757902404787929E-2</v>
      </c>
      <c r="GY106" s="311">
        <f>$GX106*(VLOOKUP($GV$9,各项系数!$D$1:$F$143,2,0))</f>
        <v>3.1561584123231854</v>
      </c>
      <c r="GZ106" s="317">
        <f>各项系数!$F$76/4*($MV106^2-$MS106^2)*10^-2*(VLOOKUP($GZ$9,各项系数!$D$1:$F$143,3,0))*10^-3*10^2*各项系数!$J$4</f>
        <v>0.35493032121901041</v>
      </c>
      <c r="HA106" s="310">
        <v>1</v>
      </c>
      <c r="HB106" s="311">
        <f t="shared" si="412"/>
        <v>0.35493032121901041</v>
      </c>
      <c r="HC106" s="311">
        <f>HB106*(VLOOKUP($GZ$9,各项系数!$D$1:$F$143,2,0))</f>
        <v>6.0338154607231766</v>
      </c>
      <c r="HD106" s="317">
        <f>各项系数!$F$76/4*($MW106^2-$MT106^2)*10^-2*(VLOOKUP($HD$9,各项系数!$D$1:$F$143,3,0))*10^-3*10^2*各项系数!$J$4</f>
        <v>0.35652577276495084</v>
      </c>
      <c r="HE106" s="310">
        <v>1</v>
      </c>
      <c r="HF106" s="311">
        <f t="shared" si="413"/>
        <v>0.35652577276495084</v>
      </c>
      <c r="HG106" s="311">
        <f>HF106*(VLOOKUP($HD$9,各项系数!$D$1:$F$143,2,0))</f>
        <v>6.0609381370041646</v>
      </c>
      <c r="HH106" s="317">
        <f>各项系数!$F$76/4*($MV106^2-$MS106^2)*10^-2*(VLOOKUP($HH$9,各项系数!$D$1:$F$143,3,0))*10^-3*10^2*各项系数!$J$4</f>
        <v>0.35493032121901041</v>
      </c>
      <c r="HI106" s="311">
        <v>1</v>
      </c>
      <c r="HJ106" s="311">
        <f t="shared" si="414"/>
        <v>0.35493032121901041</v>
      </c>
      <c r="HK106" s="311">
        <f>HJ106*(VLOOKUP($HH$9,各项系数!$D$1:$F$143,2,0))</f>
        <v>6.0338154607231766</v>
      </c>
      <c r="HL106" s="317">
        <f>各项系数!$F$76/4*($MW106^2-$MT106^2)*10^-2*(VLOOKUP($HL$9,各项系数!$D$1:$F$143,3,0))*10^-3*10^2*各项系数!$J$4</f>
        <v>0.35652577276495084</v>
      </c>
      <c r="HM106" s="311">
        <v>1</v>
      </c>
      <c r="HN106" s="311">
        <f t="shared" si="362"/>
        <v>0.35652577276495084</v>
      </c>
      <c r="HO106" s="311">
        <f>HN106*(VLOOKUP($HL$9,各项系数!$D$1:$F$143,2,0))</f>
        <v>6.0609381370041646</v>
      </c>
      <c r="HP106" s="317">
        <f>各项系数!$F$76/4*($MV106^2-$MS106^2)*10^-2*(VLOOKUP(AN106,各项系数!$D$1:$F$143,3,0))*10^-3*10^2*各项系数!$J$4</f>
        <v>0.35982591185651402</v>
      </c>
      <c r="HQ106" s="310">
        <v>1</v>
      </c>
      <c r="HR106" s="311">
        <f t="shared" si="459"/>
        <v>0.35982591185651402</v>
      </c>
      <c r="HS106" s="311">
        <f>HR106*(VLOOKUP(AN106,各项系数!$D$1:$F$143,2,0))</f>
        <v>3.5982591185651405</v>
      </c>
      <c r="HT106" s="317">
        <f>各项系数!$F$76/4*($MW106^2-$MT106^2)*10^-2*(VLOOKUP(AN106,各项系数!$D$1:$F$143,3,0))*10^-3*10^2*各项系数!$J$4</f>
        <v>0.36144336963067436</v>
      </c>
      <c r="HU106" s="310">
        <v>1</v>
      </c>
      <c r="HV106" s="311">
        <f t="shared" si="460"/>
        <v>0.36144336963067436</v>
      </c>
      <c r="HW106" s="311">
        <f>HV106*(VLOOKUP(AN106,各项系数!$D$1:$F$143,2,0))</f>
        <v>3.6144336963067438</v>
      </c>
      <c r="HX106" s="317">
        <f>各项系数!$F$76/4*($MV106^2-$MS106^2)*10^-2*(VLOOKUP($HX$9,各项系数!$D$1:$F$143,3,0))*10^-3*10^2*各项系数!$J$4</f>
        <v>0.35982591185651402</v>
      </c>
      <c r="HY106" s="311">
        <v>1</v>
      </c>
      <c r="HZ106" s="311">
        <f t="shared" si="461"/>
        <v>0.35982591185651402</v>
      </c>
      <c r="IA106" s="311">
        <f>HZ106*(VLOOKUP($HX$9,各项系数!$D$1:$F$143,2,0))</f>
        <v>3.9580850304216542</v>
      </c>
      <c r="IB106" s="317">
        <f>各项系数!$F$76/4*($MW106^2-$MT106^2)*10^-2*(VLOOKUP($IB$9,各项系数!$D$1:$F$143,3,0))*10^-3*10^2*各项系数!$J$4</f>
        <v>0.36144336963067436</v>
      </c>
      <c r="IC106" s="311">
        <v>1</v>
      </c>
      <c r="ID106" s="311">
        <f t="shared" si="462"/>
        <v>0.36144336963067436</v>
      </c>
      <c r="IE106" s="311">
        <f>ID106*(VLOOKUP($IB$9,各项系数!$D$1:$F$143,2,0))</f>
        <v>3.9758770659374179</v>
      </c>
      <c r="IF106" s="309"/>
      <c r="IG106" s="317">
        <f t="shared" si="415"/>
        <v>6.6824431587586372E-2</v>
      </c>
      <c r="IH106" s="310">
        <v>1</v>
      </c>
      <c r="II106" s="311">
        <f t="shared" si="463"/>
        <v>6.6824431587586372E-2</v>
      </c>
      <c r="IJ106" s="311">
        <f>II106*(VLOOKUP($IG$8,各项系数!$D$1:$F$143,2,0))</f>
        <v>1.6706107896896594</v>
      </c>
      <c r="IK106" s="317">
        <f>(各项系数!$F$76/4*($MX106^2-$MK106^2)*$EG106)*10^-2*(VLOOKUP($IG$8,各项系数!$D$1:$F$143,3,0))*10^-3*10^2*各项系数!$J$4</f>
        <v>5.2978881147679666E-2</v>
      </c>
      <c r="IL106" s="310">
        <f>IK106*(VLOOKUP($IG$8,各项系数!$D$1:$F$143,2,0))</f>
        <v>1.3244720286919915</v>
      </c>
      <c r="IM106" s="311">
        <f>(各项系数!$F$76/4*(($MM106+3*$X106)^2-MM106^2)*$EO106)*10^-2*(VLOOKUP($IG$8,各项系数!$D$1:$F$143,3,0))*10^-3*10^2*各项系数!$J$4</f>
        <v>1.3845550439906705E-2</v>
      </c>
      <c r="IN106" s="310">
        <f>IM106*(VLOOKUP($IG$8,各项系数!$D$1:$F$143,2,0))</f>
        <v>0.3461387609976676</v>
      </c>
      <c r="IO106" s="317">
        <f>各项系数!$F$76/4*($MZ106^2-$MX106^2)*10^-2*(VLOOKUP(L106,各项系数!$D$1:$F$143,3,0))*10^-3*10^2*$ES106*各项系数!$J$4</f>
        <v>0.21112009447996871</v>
      </c>
      <c r="IP106" s="310">
        <v>1</v>
      </c>
      <c r="IQ106" s="311">
        <f t="shared" si="464"/>
        <v>0.21112009447996871</v>
      </c>
      <c r="IR106" s="290">
        <f>IQ106*(VLOOKUP(L106,各项系数!$D$1:$F$143,2,0))</f>
        <v>2.1534249636956808</v>
      </c>
      <c r="IS106" s="317">
        <f>IF($L106&lt;&gt;$IS$9,0,各项系数!$F$76/4*($MZ106^2-$MX106^2)*10^-2*各项系数!$F$12*10^-3*10^2)*$ES106*各项系数!$J$4</f>
        <v>0</v>
      </c>
      <c r="IT106" s="310">
        <v>1</v>
      </c>
      <c r="IU106" s="311">
        <f t="shared" si="465"/>
        <v>0</v>
      </c>
      <c r="IV106" s="290">
        <f>IU106*各项系数!$E$12</f>
        <v>0</v>
      </c>
      <c r="IW106" s="309">
        <f t="shared" si="466"/>
        <v>0.21112009447996871</v>
      </c>
      <c r="IX106" s="309">
        <f t="shared" si="467"/>
        <v>2.1534249636956808</v>
      </c>
      <c r="IY106" s="339">
        <f>各项系数!$F$76/4*($NB106^2-$MZ106^2*$EG106-$NA106^2*$EO106)*10^-2</f>
        <v>2.9701845754618206</v>
      </c>
      <c r="IZ106" s="284">
        <f t="shared" si="487"/>
        <v>1</v>
      </c>
      <c r="JA106" s="285">
        <f t="shared" si="363"/>
        <v>2.9701845754618206</v>
      </c>
      <c r="JB106" s="289">
        <f>IF($DE106&lt;&gt;$JB$9,0,$JA106*各项系数!$F$32*10^-3*10^2)*各项系数!$J$4</f>
        <v>0</v>
      </c>
      <c r="JC106" s="106">
        <v>1</v>
      </c>
      <c r="JD106" s="78">
        <f t="shared" si="468"/>
        <v>0</v>
      </c>
      <c r="JE106" s="264">
        <f>JD106*各项系数!$E$32</f>
        <v>0</v>
      </c>
      <c r="JF106" s="282">
        <f>IF($DE106&lt;&gt;$JF$9,0,$JA106*VLOOKUP($JF$9,各项系数!$D$4:$F$540,2,0)*10^-3*10^2)*各项系数!$J$4</f>
        <v>1.4776668262922557</v>
      </c>
      <c r="JG106" s="102">
        <v>1</v>
      </c>
      <c r="JH106" s="189">
        <f t="shared" si="364"/>
        <v>1.4776668262922557</v>
      </c>
      <c r="JI106" s="262">
        <f>JH106*VLOOKUP($JF$9,各项系数!$D$4:$F$540,3,0)</f>
        <v>1.7732001915507067</v>
      </c>
      <c r="JJ106" s="289">
        <f t="shared" si="469"/>
        <v>1.4776668262922557</v>
      </c>
      <c r="JK106" s="78">
        <f t="shared" si="470"/>
        <v>1.7732001915507067</v>
      </c>
      <c r="JL106" s="289">
        <f>IF($DF106&lt;&gt;$JL$9,0,各项系数!$F$76/4*($NE106^2-$NC106^2)*10^-2*各项系数!$F$39*10^-3*10^2)*各项系数!$J$4</f>
        <v>3.928623996100996E-3</v>
      </c>
      <c r="JM106" s="106">
        <v>1</v>
      </c>
      <c r="JN106" s="78">
        <f t="shared" si="471"/>
        <v>3.928623996100996E-3</v>
      </c>
      <c r="JO106" s="264">
        <f>JN106*各项系数!$E$39</f>
        <v>7.8572479922019919E-2</v>
      </c>
      <c r="JP106" s="289">
        <f>IF($DF106&lt;&gt;$JP$9,0,各项系数!$F$76/4*($NE106^2-$NC106^2)*10^-2*各项系数!$F$36*10^-3*10^2)*各项系数!$J$4</f>
        <v>0</v>
      </c>
      <c r="JQ106" s="106">
        <v>1</v>
      </c>
      <c r="JR106" s="78">
        <f t="shared" si="472"/>
        <v>0</v>
      </c>
      <c r="JS106" s="264">
        <f>JR106*各项系数!$E$36</f>
        <v>0</v>
      </c>
      <c r="JT106" s="289">
        <f>IF($DF106&lt;&gt;$JT$9,0,各项系数!$F$76/4*($NE106^2-$NC106^2)*10^-2*各项系数!$F$40*10^-3*10^2)*各项系数!$J$4</f>
        <v>0</v>
      </c>
      <c r="JU106" s="106">
        <v>1</v>
      </c>
      <c r="JV106" s="78">
        <f t="shared" si="473"/>
        <v>0</v>
      </c>
      <c r="JW106" s="264">
        <f>JV106*各项系数!$E$40</f>
        <v>0</v>
      </c>
      <c r="JX106" s="289">
        <f>IF($DF106&lt;&gt;$JX$9,0,各项系数!$F$76/4*($NE106^2-$NC106^2)*10^-2*各项系数!$F$38*10^-3*10^2)*各项系数!$J$4</f>
        <v>0</v>
      </c>
      <c r="JY106" s="106">
        <v>1</v>
      </c>
      <c r="JZ106" s="78">
        <f t="shared" si="474"/>
        <v>0</v>
      </c>
      <c r="KA106" s="264">
        <f>JZ106*各项系数!$E$38</f>
        <v>0</v>
      </c>
      <c r="KB106" s="289">
        <f>IF($DF106&lt;&gt;$KB$9,0,各项系数!$F$76/4*($NE106^2-$NC106^2)*10^-2*各项系数!$F$41*10^-3*10^2)*各项系数!$J$4</f>
        <v>0</v>
      </c>
      <c r="KC106" s="106">
        <v>1</v>
      </c>
      <c r="KD106" s="78">
        <f t="shared" si="475"/>
        <v>0</v>
      </c>
      <c r="KE106" s="264">
        <f>KD106*各项系数!$E$41</f>
        <v>0</v>
      </c>
      <c r="KF106" s="78">
        <f t="shared" si="476"/>
        <v>3.928623996100996E-3</v>
      </c>
      <c r="KG106" s="78">
        <f t="shared" si="477"/>
        <v>7.8572479922019919E-2</v>
      </c>
      <c r="KH106" s="237">
        <f>各项系数!$F$76/4*($NG106^2-$NE106^2)*10^-2*各项系数!$F$44*10^-3*10^2*各项系数!$J$4*0.75*$U106</f>
        <v>0.98398246343707008</v>
      </c>
      <c r="KI106" s="106">
        <v>1</v>
      </c>
      <c r="KJ106" s="78">
        <f t="shared" si="478"/>
        <v>0.98398246343707008</v>
      </c>
      <c r="KK106" s="78">
        <f>ROUND(KJ106*各项系数!$E$43,GT106)</f>
        <v>6</v>
      </c>
      <c r="KL106" s="235">
        <f>各项系数!$F$76/4*($NF106^2-$NE106^2)*10^-2*各项系数!$F$46*10^-3*10^2*各项系数!$J$4*PI()/4*R106</f>
        <v>4.9044518463457996E-2</v>
      </c>
      <c r="KM106" s="106">
        <v>1</v>
      </c>
      <c r="KN106" s="78">
        <f t="shared" si="479"/>
        <v>4.9044518463457996E-2</v>
      </c>
      <c r="KO106" s="78">
        <f>KN106*各项系数!$E$46</f>
        <v>3.3105049962834148</v>
      </c>
      <c r="KP106" s="237">
        <f>各项系数!$F$76/4*($NH106^2-$NE106^2)*10^-2*(VLOOKUP($KP$9,各项系数!$D$1:$F$143,3,0))*10^-3*10^2*各项系数!$J$4</f>
        <v>0.37125378484841159</v>
      </c>
      <c r="KQ106" s="106">
        <v>1</v>
      </c>
      <c r="KR106" s="78">
        <f t="shared" si="416"/>
        <v>0.37125378484841159</v>
      </c>
      <c r="KS106" s="78">
        <f>KR106*(VLOOKUP($KP$9,各项系数!$D$1:$F$143,2,0))</f>
        <v>6.3113143424229969</v>
      </c>
      <c r="KT106" s="237">
        <f>各项系数!$F$76/4*($NI106^2-$NF106^2)*10^-2*(VLOOKUP($KT$9,各项系数!$D$1:$F$143,3,0))*10^-3*10^2*各项系数!$J$4</f>
        <v>0.37284923639435202</v>
      </c>
      <c r="KU106" s="106">
        <v>1</v>
      </c>
      <c r="KV106" s="78">
        <f t="shared" si="417"/>
        <v>0.37284923639435202</v>
      </c>
      <c r="KW106" s="78">
        <f>KV106*(VLOOKUP($KT$9,各项系数!$D$1:$F$143,2,0))</f>
        <v>6.338437018703984</v>
      </c>
      <c r="KX106" s="78">
        <f>各项系数!$F$76/4*($NH106^2-$NE106^2)*10^-2*(VLOOKUP($KX$9,各项系数!$D$1:$F$143,3,0))*10^-3*10^2*各项系数!$J$4</f>
        <v>0.37125378484841159</v>
      </c>
      <c r="KY106" s="355">
        <v>1</v>
      </c>
      <c r="KZ106" s="78">
        <f t="shared" si="418"/>
        <v>0.37125378484841159</v>
      </c>
      <c r="LA106" s="78">
        <f>KZ106*(VLOOKUP($KX$9,各项系数!$D$1:$F$143,2,0))</f>
        <v>6.3113143424229969</v>
      </c>
      <c r="LB106" s="78">
        <f>各项系数!$F$76/4*($NI106^2-$NF106^2)*10^-2*(VLOOKUP($LB$9,各项系数!$D$1:$F$143,3,0))*10^-3*10^2*各项系数!$J$4</f>
        <v>0.37284923639435202</v>
      </c>
      <c r="LC106" s="355">
        <v>1</v>
      </c>
      <c r="LD106" s="78">
        <f t="shared" si="419"/>
        <v>0.37284923639435202</v>
      </c>
      <c r="LE106" s="78">
        <f>LD106*(VLOOKUP($LB$9,各项系数!$D$1:$F$143,2,0))</f>
        <v>6.338437018703984</v>
      </c>
      <c r="LF106" s="237">
        <f>各项系数!$F$76/4*($NH106^2-$NE106^2)*10^-2*(VLOOKUP(AN106,各项系数!$D$1:$F$143,3,0))*10^-3*10^2*各项系数!$J$4</f>
        <v>0.37637452670838972</v>
      </c>
      <c r="LG106" s="106">
        <v>1</v>
      </c>
      <c r="LH106" s="78">
        <f t="shared" si="480"/>
        <v>0.37637452670838972</v>
      </c>
      <c r="LI106" s="78">
        <f>LH106*(VLOOKUP(AN106,各项系数!$D$1:$F$143,2,0))</f>
        <v>3.7637452670838973</v>
      </c>
      <c r="LJ106" s="237">
        <f>各项系数!$F$76/4*($NI106^2-$NF106^2)*10^-2*(VLOOKUP(AN106,各项系数!$D$1:$F$143,3,0))*10^-3*10^2*各项系数!$J$4</f>
        <v>0.37799198448255</v>
      </c>
      <c r="LK106" s="106">
        <v>1</v>
      </c>
      <c r="LL106" s="78">
        <f t="shared" si="481"/>
        <v>0.37799198448255</v>
      </c>
      <c r="LM106" s="78">
        <f>LL106*(VLOOKUP(AN106,各项系数!$D$1:$F$143,2,0))</f>
        <v>3.7799198448254998</v>
      </c>
      <c r="LN106" s="78">
        <f>各项系数!$F$76/4*($NH106^2-$NE106^2)*10^-2*(VLOOKUP($LN$9,各项系数!$D$1:$F$143,3,0))*10^-3*10^2*各项系数!$J$4</f>
        <v>0.37637452670838972</v>
      </c>
      <c r="LO106" s="355">
        <v>1</v>
      </c>
      <c r="LP106" s="78">
        <f t="shared" si="482"/>
        <v>0.37637452670838972</v>
      </c>
      <c r="LQ106" s="78">
        <f>LP106*(VLOOKUP($LN$9,各项系数!$D$1:$F$143,2,0))</f>
        <v>4.1401197937922873</v>
      </c>
      <c r="LR106" s="78">
        <f>各项系数!$F$76/4*($NI106^2-$NF106^2)*10^-2*(VLOOKUP($LR$9,各项系数!$D$1:$F$143,3,0))*10^-3*10^2*各项系数!$J$4</f>
        <v>0.37799198448255</v>
      </c>
      <c r="LS106" s="355">
        <v>1</v>
      </c>
      <c r="LT106" s="78">
        <f t="shared" si="483"/>
        <v>0.37799198448255</v>
      </c>
      <c r="LU106" s="78">
        <f>LT106*(VLOOKUP($LR$9,各项系数!$D$1:$F$143,2,0))</f>
        <v>4.1579118293080501</v>
      </c>
      <c r="LV106" s="367">
        <f t="shared" si="420"/>
        <v>353.83064365000001</v>
      </c>
      <c r="LW106" s="367">
        <f t="shared" si="421"/>
        <v>268.91128916999998</v>
      </c>
      <c r="LX106" s="367">
        <f t="shared" si="422"/>
        <v>18.503742524066759</v>
      </c>
      <c r="LY106" s="367">
        <f t="shared" si="423"/>
        <v>84.919354480000038</v>
      </c>
      <c r="LZ106" s="374">
        <f t="shared" si="365"/>
        <v>1</v>
      </c>
      <c r="MA106" s="375">
        <f t="shared" si="366"/>
        <v>353.83064365000001</v>
      </c>
      <c r="MB106" s="367">
        <f t="shared" si="424"/>
        <v>12.25440285</v>
      </c>
      <c r="MC106" s="367">
        <f t="shared" si="425"/>
        <v>71.524380550000004</v>
      </c>
      <c r="MD106" s="367">
        <f t="shared" si="426"/>
        <v>44.702737730000003</v>
      </c>
      <c r="ME106" s="367">
        <f t="shared" si="427"/>
        <v>7.5443550708964242</v>
      </c>
      <c r="MF106" s="367">
        <f t="shared" si="428"/>
        <v>26.821642820000001</v>
      </c>
      <c r="MG106" s="379">
        <f t="shared" si="429"/>
        <v>1</v>
      </c>
      <c r="MH106" s="375">
        <f t="shared" si="367"/>
        <v>71.524380550000004</v>
      </c>
      <c r="MI106" s="367">
        <f t="shared" si="430"/>
        <v>9.5429382125709346</v>
      </c>
      <c r="MJ106" s="78">
        <f t="shared" si="368"/>
        <v>12.25440285</v>
      </c>
      <c r="MK106" s="78">
        <f t="shared" si="431"/>
        <v>12.25440285</v>
      </c>
      <c r="ML106" s="78">
        <f t="shared" si="484"/>
        <v>9.5429382124710802</v>
      </c>
      <c r="MM106" s="78">
        <f t="shared" si="369"/>
        <v>9.5429382125709346</v>
      </c>
      <c r="MN106" s="78">
        <f t="shared" si="370"/>
        <v>14.454402850000001</v>
      </c>
      <c r="MO106" s="189">
        <f t="shared" si="432"/>
        <v>11.542938212570935</v>
      </c>
      <c r="MP106" s="78">
        <f t="shared" si="433"/>
        <v>33.218218790000002</v>
      </c>
      <c r="MQ106" s="78">
        <f t="shared" si="485"/>
        <v>33.218218790000002</v>
      </c>
      <c r="MR106" s="246">
        <f t="shared" si="434"/>
        <v>33.218218790000002</v>
      </c>
      <c r="MS106" s="380">
        <f t="shared" si="371"/>
        <v>33.394218790000004</v>
      </c>
      <c r="MT106" s="382">
        <f t="shared" si="372"/>
        <v>33.55421879</v>
      </c>
      <c r="MU106" s="382">
        <f t="shared" si="373"/>
        <v>34.894218790000004</v>
      </c>
      <c r="MV106" s="382">
        <f t="shared" si="374"/>
        <v>37.794218790000002</v>
      </c>
      <c r="MW106" s="382">
        <f t="shared" si="375"/>
        <v>37.954218789999999</v>
      </c>
      <c r="MX106" s="246">
        <f t="shared" si="376"/>
        <v>12.85440285</v>
      </c>
      <c r="MY106" s="246">
        <f t="shared" si="377"/>
        <v>10.142938212570934</v>
      </c>
      <c r="MZ106" s="78">
        <f t="shared" si="378"/>
        <v>15.054402849999999</v>
      </c>
      <c r="NA106" s="78">
        <f t="shared" si="379"/>
        <v>12.342938212570935</v>
      </c>
      <c r="NB106" s="78">
        <f t="shared" si="435"/>
        <v>34.791218790000002</v>
      </c>
      <c r="NC106" s="246">
        <f t="shared" si="486"/>
        <v>34.791218790000002</v>
      </c>
      <c r="ND106" s="246">
        <f t="shared" si="436"/>
        <v>34.791218790000002</v>
      </c>
      <c r="NE106" s="386">
        <f t="shared" si="437"/>
        <v>35.031218790000004</v>
      </c>
      <c r="NF106" s="382">
        <f t="shared" si="380"/>
        <v>35.191218790000001</v>
      </c>
      <c r="NG106" s="150">
        <f t="shared" si="381"/>
        <v>36.531218790000004</v>
      </c>
      <c r="NH106" s="246">
        <f t="shared" si="382"/>
        <v>39.431218790000003</v>
      </c>
      <c r="NI106" s="382">
        <f t="shared" si="383"/>
        <v>39.591218789999999</v>
      </c>
      <c r="NK106" s="390">
        <f t="shared" si="384"/>
        <v>3.7243407340218977</v>
      </c>
      <c r="NL106" s="390">
        <f t="shared" si="385"/>
        <v>190.97970493835413</v>
      </c>
      <c r="NM106" s="390">
        <f t="shared" si="386"/>
        <v>3.7243407340218977</v>
      </c>
      <c r="NN106" s="390">
        <f t="shared" si="387"/>
        <v>191.33953085021062</v>
      </c>
      <c r="NO106" s="390">
        <f t="shared" si="388"/>
        <v>4.9591209126858633</v>
      </c>
      <c r="NP106" s="390">
        <f t="shared" si="389"/>
        <v>193.79882872933797</v>
      </c>
      <c r="NQ106" s="390">
        <f t="shared" si="390"/>
        <v>4.9591209126858633</v>
      </c>
      <c r="NR106" s="390">
        <f t="shared" si="391"/>
        <v>194.17520325604633</v>
      </c>
      <c r="NS106" s="390">
        <f t="shared" si="392"/>
        <v>3.7710986364266854</v>
      </c>
      <c r="NT106" s="390">
        <f t="shared" si="393"/>
        <v>3.7710986364266854</v>
      </c>
      <c r="NU106" s="390">
        <f t="shared" si="394"/>
        <v>5.0081654311493216</v>
      </c>
      <c r="NV106" s="390">
        <f t="shared" si="395"/>
        <v>5.0081654311493216</v>
      </c>
      <c r="NW106" s="9">
        <f t="shared" si="396"/>
        <v>4.3503174084387419</v>
      </c>
      <c r="NX106" s="9">
        <f>各项系数!$M$9*NK106</f>
        <v>1.1173022202065692</v>
      </c>
      <c r="NY106" s="9">
        <f t="shared" si="397"/>
        <v>3.7710986364266859</v>
      </c>
    </row>
    <row r="107" spans="1:389" s="9" customFormat="1" ht="15" hidden="1" customHeight="1">
      <c r="A107" s="65"/>
      <c r="B107" s="66"/>
      <c r="C107" s="67"/>
      <c r="D107" s="58" t="s">
        <v>345</v>
      </c>
      <c r="E107" s="399">
        <f t="shared" si="325"/>
        <v>43.79948941</v>
      </c>
      <c r="F107" s="68">
        <f>$F$27</f>
        <v>244.921136962963</v>
      </c>
      <c r="G107" s="58"/>
      <c r="H107" s="62"/>
      <c r="I107" s="145">
        <f>$F$25</f>
        <v>242.29596858910099</v>
      </c>
      <c r="J107" s="62"/>
      <c r="K107" s="62"/>
      <c r="L107" s="107" t="s">
        <v>467</v>
      </c>
      <c r="M107" s="98">
        <f t="shared" si="339"/>
        <v>1.2</v>
      </c>
      <c r="N107" s="98">
        <f t="shared" si="340"/>
        <v>1.1000000000000001</v>
      </c>
      <c r="O107" s="58">
        <f t="shared" si="493"/>
        <v>0.08</v>
      </c>
      <c r="P107" s="99">
        <v>0.1</v>
      </c>
      <c r="Q107" s="136">
        <f t="shared" si="499"/>
        <v>0.1</v>
      </c>
      <c r="R107" s="151">
        <v>0.8</v>
      </c>
      <c r="S107" s="144" t="str">
        <f>各项系数!$D$43</f>
        <v>钢带</v>
      </c>
      <c r="T107" s="62">
        <v>0.5</v>
      </c>
      <c r="U107" s="62">
        <v>2</v>
      </c>
      <c r="V107" s="143"/>
      <c r="W107" s="145">
        <v>2.4</v>
      </c>
      <c r="X107" s="139">
        <f t="shared" si="500"/>
        <v>0.2</v>
      </c>
      <c r="Y107" s="139"/>
      <c r="Z107" s="169"/>
      <c r="AA107" s="170">
        <f>$AA$27</f>
        <v>1.0129999999999999</v>
      </c>
      <c r="AB107" s="153">
        <f>PI()*EJ107*EJ107/4*EH107*(1-H107)*AA107*各项系数!$F$5*各项系数!$J$4*10^-7</f>
        <v>1.013183115671781</v>
      </c>
      <c r="AC107" s="170">
        <f t="shared" si="327"/>
        <v>244.921136962963</v>
      </c>
      <c r="AD107" s="153">
        <f t="shared" si="341"/>
        <v>114.54156221736136</v>
      </c>
      <c r="AE107" s="153">
        <f>POWER(4*EU107/PI()/EG107/10^-7/EH107/(1-H107)/各项系数!$F$5/各项系数!$J$4,0.5)</f>
        <v>246.50798375415033</v>
      </c>
      <c r="AF107" s="16">
        <f>$AA$25</f>
        <v>1.0129999999999999</v>
      </c>
      <c r="AG107" s="16">
        <f>IF(EM107=0,0,PI()*ER107*ER107/4*EP107*(1-K107)*(1+AF107)*各项系数!$F$5*各项系数!$J$4*10^-7)</f>
        <v>1.1494204248229618</v>
      </c>
      <c r="AH107" s="16">
        <f t="shared" si="328"/>
        <v>242.29596858910099</v>
      </c>
      <c r="AI107" s="69">
        <f t="shared" si="398"/>
        <v>65.39126499722515</v>
      </c>
      <c r="AJ107" s="69">
        <f>IF(OR(EP107="",EP107=0),0,POWER(4*EW107/PI()/EO107/10^-7/EP107/(1-K107)/各项系数!$F$5/各项系数!$J$4,0.5))</f>
        <v>243.86580688497418</v>
      </c>
      <c r="AK107" s="16">
        <f t="shared" si="342"/>
        <v>3.6179710511115473</v>
      </c>
      <c r="AL107" s="16">
        <f t="shared" si="329"/>
        <v>253.16879766266993</v>
      </c>
      <c r="AM107" s="106">
        <f t="shared" si="330"/>
        <v>120</v>
      </c>
      <c r="AN107" s="107" t="s">
        <v>486</v>
      </c>
      <c r="AO107" s="146">
        <f>AP107+各项系数!$M$9*$NK107</f>
        <v>248.20470359085286</v>
      </c>
      <c r="AP107" s="146">
        <f>AQ107*(1+$BI107+(VLOOKUP($AM107,$A$12:$B$323,2,0))+各项系数!$J$6+各项系数!$M$5)*(1+$E$2)</f>
        <v>246.76271793402782</v>
      </c>
      <c r="AQ107" s="199">
        <f>AR107+各项系数!$L$9*$NK107</f>
        <v>251.79869176941614</v>
      </c>
      <c r="AR107" s="199">
        <f>AS107*(1+$BJ107+各项系数!$J$5+各项系数!$L$5)</f>
        <v>250.3567061125911</v>
      </c>
      <c r="AS107" s="199">
        <f t="shared" si="399"/>
        <v>245.44775109077557</v>
      </c>
      <c r="AT107" s="146">
        <f>AU107+各项系数!$M$9*$NM107</f>
        <v>251.29377898584158</v>
      </c>
      <c r="AU107" s="146">
        <f>AV107*(1+$BI107+(VLOOKUP($AM107,$A$12:$B$323,2,0))+各项系数!$J$6+各项系数!$M$5)*(1+$E$2)</f>
        <v>249.85179332901654</v>
      </c>
      <c r="AV107" s="199">
        <f>AW107+各项系数!$L$9*$NM107</f>
        <v>254.95080951940463</v>
      </c>
      <c r="AW107" s="199">
        <f>AX107*(1+$BJ107+各项系数!$J$5+各项系数!$L$5)</f>
        <v>253.50882386257959</v>
      </c>
      <c r="AX107" s="199">
        <f t="shared" si="400"/>
        <v>248.53806261037215</v>
      </c>
      <c r="AY107" s="146">
        <f>AZ107+各项系数!$M$9*$NS107</f>
        <v>251.93795099112091</v>
      </c>
      <c r="AZ107" s="146">
        <f>BA107*(1+$BI107+(VLOOKUP($AM107,$A$12:$B$214,2,0))+各项系数!$J$6+各项系数!$M$5)*(1+$E$2)</f>
        <v>250.47958907503207</v>
      </c>
      <c r="BA107" s="199">
        <f>BB107+各项系数!$L$9*$NS107</f>
        <v>255.59141742350212</v>
      </c>
      <c r="BB107" s="199">
        <f>BC107*(1+$BJ107+各项系数!$J$5+各项系数!$L$5)</f>
        <v>254.13305550741327</v>
      </c>
      <c r="BC107" s="199">
        <f t="shared" si="401"/>
        <v>249.15005441903261</v>
      </c>
      <c r="BD107" s="146">
        <f>BE107+各项系数!$M$9*$NS107</f>
        <v>255.03896498898234</v>
      </c>
      <c r="BE107" s="146">
        <f>BF107*(1+$BI107+(VLOOKUP($AM107,$A$12:$B$214,2,0))+各项系数!$J$6+各项系数!$M$5)*(1+$E$2)</f>
        <v>253.5806030728935</v>
      </c>
      <c r="BF107" s="199">
        <f>BG107+各项系数!$L$9*$NS107</f>
        <v>258.7557174213199</v>
      </c>
      <c r="BG107" s="199">
        <f>BH107*(1+$BJ107+各项系数!$J$5+各项系数!$L$5)</f>
        <v>257.29735550523105</v>
      </c>
      <c r="BH107" s="199">
        <f t="shared" si="402"/>
        <v>252.25230931885397</v>
      </c>
      <c r="BI107" s="214"/>
      <c r="BJ107" s="215"/>
      <c r="BK107" s="78" t="s">
        <v>514</v>
      </c>
      <c r="BL107" s="146">
        <f>BM107+各项系数!$M$9*$NM107</f>
        <v>251.07094178856605</v>
      </c>
      <c r="BM107" s="146">
        <f>BN107*(1+$CF107+(VLOOKUP($AM107,$A$12:$B$323,2,0))+各项系数!$J$6+各项系数!$M$5)*(1+$E$2)</f>
        <v>249.62895613174101</v>
      </c>
      <c r="BN107" s="199">
        <f>BO107+各项系数!$L$9*$NM107</f>
        <v>254.72342462422552</v>
      </c>
      <c r="BO107" s="199">
        <f>BP107*(1+$CG107+各项系数!$J$5+各项系数!$L$5)</f>
        <v>253.28143896740048</v>
      </c>
      <c r="BP107" s="199">
        <f t="shared" si="403"/>
        <v>245.90430967708784</v>
      </c>
      <c r="BQ107" s="146">
        <f>BR107+各项系数!$M$9*$NM107</f>
        <v>253.72945199942322</v>
      </c>
      <c r="BR107" s="146">
        <f>BS107*(1+$CF107+(VLOOKUP($AM107,$A$12:$B$323,2,0))+各项系数!$J$6+各项系数!$M$5)*(1+$E$2)</f>
        <v>252.28746634259818</v>
      </c>
      <c r="BS107" s="199">
        <f>BT107+各项系数!$L$9*$NM107</f>
        <v>257.43619014550836</v>
      </c>
      <c r="BT107" s="199">
        <f>BU107*(1+$CG107+各项系数!$J$5+各项系数!$L$5)</f>
        <v>255.99420448868332</v>
      </c>
      <c r="BU107" s="199">
        <f t="shared" si="404"/>
        <v>248.53806261037215</v>
      </c>
      <c r="BV107" s="146">
        <f>BW107+各项系数!$M$9*$NT107</f>
        <v>253.42115630446008</v>
      </c>
      <c r="BW107" s="146">
        <f>BX107*(1+$CF107+(VLOOKUP($AM107,$A$12:$B$214,2,0))+各项系数!$J$6+各项系数!$M$5)*(1+$E$2)</f>
        <v>251.96279438837124</v>
      </c>
      <c r="BX107" s="199">
        <f>BY107+各项系数!$L$9*$NT$12</f>
        <v>257.10489223303188</v>
      </c>
      <c r="BY107" s="199">
        <f>BZ107*(1+$CG107+各项系数!$J$5+各项系数!$L$5)</f>
        <v>257.09662882987692</v>
      </c>
      <c r="BZ107" s="199">
        <f t="shared" si="343"/>
        <v>249.60837750473485</v>
      </c>
      <c r="CA107" s="146">
        <f>CB107+各项系数!$M$9*$NT107</f>
        <v>256.08994107763192</v>
      </c>
      <c r="CB107" s="146">
        <f>CC107*(1+$CF107+(VLOOKUP($AM107,$A$12:$B$214,2,0))+各项系数!$J$6+各项系数!$M$5)*(1+$E$2)</f>
        <v>254.63157916154307</v>
      </c>
      <c r="CC107" s="199">
        <f>CD107+各项系数!$L$9*$NT$12</f>
        <v>259.82814200157458</v>
      </c>
      <c r="CD107" s="199">
        <f>CE107*(1+$CG107+各项系数!$J$5+各项系数!$L$5)</f>
        <v>259.81987859841962</v>
      </c>
      <c r="CE107" s="199">
        <f t="shared" si="405"/>
        <v>252.25230931885397</v>
      </c>
      <c r="CF107" s="214">
        <f t="shared" si="406"/>
        <v>0</v>
      </c>
      <c r="CG107" s="214">
        <f t="shared" si="344"/>
        <v>0.01</v>
      </c>
      <c r="CH107" s="106"/>
      <c r="CI107" s="146">
        <f>CJ107+各项系数!$M$9*$NO107</f>
        <v>254.09492297672429</v>
      </c>
      <c r="CJ107" s="146">
        <f>CK107*(1+$DC107+(VLOOKUP($AM107,$A$12:$B$323,2,0))+各项系数!$J$6+各项系数!$M$5)*(1+$E$2)+各项系数!$M$9*$NK107</f>
        <v>252.16362503757182</v>
      </c>
      <c r="CK107" s="199">
        <f>CL107+各项系数!$L$9*$NO107</f>
        <v>255.83840753137426</v>
      </c>
      <c r="CL107" s="199">
        <f>CM107*(1+$DD107+各项系数!$J$5+各项系数!$L$5)</f>
        <v>253.90710959222179</v>
      </c>
      <c r="CM107" s="199">
        <f t="shared" si="345"/>
        <v>248.92853881590372</v>
      </c>
      <c r="CN107" s="146">
        <f>CO107+各项系数!$M$9*$NO107</f>
        <v>257.003540240012</v>
      </c>
      <c r="CO107" s="146">
        <f>CP107*(1+$DC107+(VLOOKUP($AM107,$A$12:$B$323,2,0))+各项系数!$J$6+各项系数!$M$5)*(1+$E$2)+各项系数!$M$9*$NK107</f>
        <v>255.0722423008595</v>
      </c>
      <c r="CP107" s="199">
        <f>CQ107+各项系数!$L$9*$NO107</f>
        <v>258.8063843306474</v>
      </c>
      <c r="CQ107" s="199">
        <f>CR107*(1+$DD107+各项系数!$J$5+各项系数!$L$5)</f>
        <v>256.8750863914949</v>
      </c>
      <c r="CR107" s="199">
        <f t="shared" si="346"/>
        <v>251.83831999166165</v>
      </c>
      <c r="CS107" s="146">
        <f>CT107+各项系数!$M$9*$NU107</f>
        <v>256.54182781543284</v>
      </c>
      <c r="CT107" s="146">
        <f t="shared" si="347"/>
        <v>254.59346763219895</v>
      </c>
      <c r="CU107" s="199">
        <f>CV107+各项系数!$L$9*$NU107</f>
        <v>259.78925268591729</v>
      </c>
      <c r="CV107" s="199">
        <f>CW107*(1+$DD107+各项系数!$J$5+各项系数!$L$5)</f>
        <v>257.8408925026834</v>
      </c>
      <c r="CW107" s="199">
        <f t="shared" si="348"/>
        <v>252.78518872812097</v>
      </c>
      <c r="CX107" s="146">
        <f>CY107+各项系数!$M$9*$NU107</f>
        <v>259.76498864393551</v>
      </c>
      <c r="CY107" s="146">
        <f t="shared" si="349"/>
        <v>257.81662846070162</v>
      </c>
      <c r="CZ107" s="199">
        <f>DA107+各项系数!$L$9*$NU107</f>
        <v>263.07819230683839</v>
      </c>
      <c r="DA107" s="199">
        <f>DB107*(1+$DD107+各项系数!$J$5+各项系数!$L$5)</f>
        <v>261.1298321236045</v>
      </c>
      <c r="DB107" s="199">
        <f t="shared" si="350"/>
        <v>256.00963933686717</v>
      </c>
      <c r="DC107" s="214">
        <f t="shared" si="498"/>
        <v>0</v>
      </c>
      <c r="DD107" s="214">
        <f t="shared" si="351"/>
        <v>0</v>
      </c>
      <c r="DE107" s="78" t="s">
        <v>498</v>
      </c>
      <c r="DF107" s="78" t="s">
        <v>513</v>
      </c>
      <c r="DG107" s="146">
        <f>DH107+各项系数!$M$9*$NQ107</f>
        <v>257.01349562705087</v>
      </c>
      <c r="DH107" s="146">
        <f>DI107*(1+$EA107+(VLOOKUP($AM107,$A$12:$B$323,2,0))+各项系数!$J$6+各项系数!$M$5)*(1+$E$2)+各项系数!$M$9*$NK107</f>
        <v>255.08219768789837</v>
      </c>
      <c r="DI107" s="199">
        <f>DJ107+各项系数!$L$9*$NQ107</f>
        <v>258.81654288885034</v>
      </c>
      <c r="DJ107" s="199">
        <f>DK107*(1+$EB107+各项系数!$J$5+各项系数!$L$5)</f>
        <v>256.88524494969784</v>
      </c>
      <c r="DK107" s="199">
        <f t="shared" si="352"/>
        <v>249.40315043659984</v>
      </c>
      <c r="DL107" s="146">
        <f>DM107+各项系数!$M$9*$NQ107</f>
        <v>259.77712745358969</v>
      </c>
      <c r="DM107" s="146">
        <f>DN107*(1+$EA107+(VLOOKUP($AM107,$A$12:$B$323,2,0))+各项系数!$J$6+各项系数!$M$5)*(1+$E$2)+各项系数!$M$9*$NK107</f>
        <v>257.84582951443718</v>
      </c>
      <c r="DN107" s="199">
        <f>DO107+各项系数!$L$9*$NQ107</f>
        <v>261.63657536491036</v>
      </c>
      <c r="DO107" s="199">
        <f>DP107*(1+$EB107+各项系数!$J$5+各项系数!$L$5)</f>
        <v>259.70527742575786</v>
      </c>
      <c r="DP107" s="199">
        <f t="shared" si="353"/>
        <v>252.14104604442511</v>
      </c>
      <c r="DQ107" s="146">
        <f>DR107+各项系数!$M$9*$NV107</f>
        <v>259.49997672058333</v>
      </c>
      <c r="DR107" s="146">
        <f t="shared" si="354"/>
        <v>257.55161653734945</v>
      </c>
      <c r="DS107" s="199">
        <f>DT107+各项系数!$L$9*$NV107</f>
        <v>262.80777197688718</v>
      </c>
      <c r="DT107" s="199">
        <f>DU107*(1+$EB107+各项系数!$J$5+各项系数!$L$5)</f>
        <v>260.85941179365329</v>
      </c>
      <c r="DU107" s="199">
        <f t="shared" si="355"/>
        <v>253.26156484820709</v>
      </c>
      <c r="DV107" s="146">
        <f>DW107+各项系数!$M$9*$NV107</f>
        <v>259.47084030442159</v>
      </c>
      <c r="DW107" s="146">
        <f t="shared" si="356"/>
        <v>257.5224801211877</v>
      </c>
      <c r="DX107" s="199">
        <f>DY107+各项系数!$L$9*$NV107</f>
        <v>262.77804093998748</v>
      </c>
      <c r="DY107" s="199">
        <f>DZ107*(1+$EB107+各项系数!$J$5+各项系数!$L$5)</f>
        <v>260.82968075675359</v>
      </c>
      <c r="DZ107" s="199">
        <f t="shared" si="357"/>
        <v>253.23269976383841</v>
      </c>
      <c r="EA107" s="214">
        <f t="shared" si="492"/>
        <v>0</v>
      </c>
      <c r="EB107" s="214">
        <f t="shared" si="358"/>
        <v>0.01</v>
      </c>
      <c r="EC107" s="235" t="str">
        <f t="shared" si="408"/>
        <v>3+1</v>
      </c>
      <c r="ED107" s="237" t="str">
        <f t="shared" si="494"/>
        <v>3*120</v>
      </c>
      <c r="EE107" s="78">
        <f t="shared" si="495"/>
        <v>120</v>
      </c>
      <c r="EF107" s="78" t="str">
        <f>LOOKUP(EH107,{1,7,10,14,19,24,30,37,48,61},{1,"1+6","2+8","4+10","1+6+12","2+8+14","4+10+16","1+6+12+18","3+9+15+21","1+6+12+18+24"})</f>
        <v>2+8+14</v>
      </c>
      <c r="EG107" s="106">
        <f t="shared" si="359"/>
        <v>3</v>
      </c>
      <c r="EH107" s="199">
        <f>VLOOKUP(EE107,各项系数!$B$87:$C$124,2,0)</f>
        <v>24</v>
      </c>
      <c r="EI107" s="106">
        <f>IF(EH107=0,0,VLOOKUP(EH107,各项系数!$D$142:$E$195,2,0))*1</f>
        <v>6</v>
      </c>
      <c r="EJ107" s="240">
        <f t="shared" si="409"/>
        <v>244.921136962963</v>
      </c>
      <c r="EK107" s="78" t="str">
        <f t="shared" si="332"/>
        <v>1*70</v>
      </c>
      <c r="EL107" s="78" t="str">
        <f t="shared" si="360"/>
        <v>70</v>
      </c>
      <c r="EM107" s="78">
        <f t="shared" si="496"/>
        <v>70</v>
      </c>
      <c r="EN107" s="78" t="str">
        <f>IF(EP107=0,0,LOOKUP(EP107,{1,7,10,14,19,24,30,37,48,61},{1,"1+6","2+8","4+10","1+6+12","2+8+14","4+10+16","1+6+12+18","3+9+15+21","1+6+12+18+24"}))</f>
        <v>4+10</v>
      </c>
      <c r="EO107" s="78" t="str">
        <f t="shared" si="334"/>
        <v>1</v>
      </c>
      <c r="EP107" s="78">
        <f>IF(EM107=0,0,IF(EM107&lt;10,1,IF(AND(EM107&gt;=10,EM107&lt;=35),7,LOOKUP(EM107,{50,70,95,120,150,185,240,300},{10,14,19,24,30,37,48,61})*1)))</f>
        <v>14</v>
      </c>
      <c r="EQ107" s="78">
        <f>IF(EP107=0,0,VLOOKUP(EP107,各项系数!$D$142:$E$195,2,0))*1</f>
        <v>4.41</v>
      </c>
      <c r="ER107" s="78">
        <f t="shared" si="335"/>
        <v>242.29596858910099</v>
      </c>
      <c r="ES107" s="237">
        <f t="shared" si="497"/>
        <v>4</v>
      </c>
      <c r="ET107" s="78">
        <f>VLOOKUP(ES107,各项系数!$D$142:$E$195,2,0)*1</f>
        <v>2.42</v>
      </c>
      <c r="EU107" s="243">
        <f>((各项系数!$F$76/4*$EJ107^2*$EG107*$EH107*1*10^-7)*(1-$H107)*AA107)*(VLOOKUP($EY$9,各项系数!$D$4:$F$143,3,0))*各项系数!$J$4</f>
        <v>3.0395493470153423</v>
      </c>
      <c r="EV107" s="244">
        <f>EU107*(VLOOKUP($EY$9,各项系数!$D$4:$F$143,2,0))</f>
        <v>199.09048222950491</v>
      </c>
      <c r="EW107" s="252">
        <f>(IF($EO107=0,0,(各项系数!$F$76/4*$ER107^2*$EO107*$EP107*1*10^-7))*(1-$K107)*$AF107)*(VLOOKUP($EY$9,各项系数!$D$4:$F$143,3,0))*各项系数!$J$4</f>
        <v>0.57842170409620486</v>
      </c>
      <c r="EX107" s="253">
        <f>EW107*(VLOOKUP($EY$9,各项系数!$D$4:$F$143,2,0))</f>
        <v>37.886621618301419</v>
      </c>
      <c r="EY107" s="189">
        <f>((各项系数!$F$76/4*$EJ107^2*$EG107*$EH107*1*10^-7)*(1-$H107)*AA107+IF($EO107=0,0,(各项系数!$F$76/4*$ER107^2*$EO107*$EP107*1*10^-7))*(1-$K107)*$AF107)*(VLOOKUP($EY$9,各项系数!$D$4:$F$143,3,0))*各项系数!$J$4</f>
        <v>3.6179710511115473</v>
      </c>
      <c r="EZ107" s="106">
        <v>1</v>
      </c>
      <c r="FA107" s="78">
        <f t="shared" si="445"/>
        <v>3.6179710511115473</v>
      </c>
      <c r="FB107" s="246">
        <f>FA107*(VLOOKUP($EY$9,各项系数!$D$4:$F$143,2,0))</f>
        <v>236.97710384780635</v>
      </c>
      <c r="FC107" s="257"/>
      <c r="FD107" s="237">
        <f>各项系数!$F$76/4*($MN107^2-MK107^2)*10^-2*(VLOOKUP(L107,各项系数!$D$1:$F$143,3,0))*10^-3*10^2*$EG107*各项系数!$J$4</f>
        <v>0.19675963128673118</v>
      </c>
      <c r="FE107" s="264">
        <f>FD107*VLOOKUP(L107,各项系数!$D$1:$F$143,2,0)</f>
        <v>2.0069482391246578</v>
      </c>
      <c r="FF107" s="106">
        <f>各项系数!$F$76/4*($MO107^2-ML107^2)*10^-2*(VLOOKUP(L107,各项系数!$D$1:$F$143,3,0))*10^-3*10^2*$EO107*各项系数!$J$4</f>
        <v>4.4575600753230624E-2</v>
      </c>
      <c r="FG107" s="264">
        <f>FF107*VLOOKUP(L107,各项系数!$D$1:$F$143,2,0)</f>
        <v>0.45467112768295231</v>
      </c>
      <c r="FH107" s="237">
        <f t="shared" si="410"/>
        <v>0.24133523203996182</v>
      </c>
      <c r="FI107" s="106">
        <v>1</v>
      </c>
      <c r="FJ107" s="78">
        <f t="shared" si="446"/>
        <v>0.24133523203996182</v>
      </c>
      <c r="FK107" s="264">
        <f>FJ107*VLOOKUP(L107,各项系数!$D$1:$F$143,2,0)</f>
        <v>2.4616193668076103</v>
      </c>
      <c r="FL107" s="237"/>
      <c r="FM107" s="106"/>
      <c r="FN107" s="78"/>
      <c r="FO107" s="264"/>
      <c r="FP107" s="289">
        <f t="shared" si="447"/>
        <v>0.24133523203996182</v>
      </c>
      <c r="FQ107" s="289">
        <f t="shared" si="448"/>
        <v>2.4616193668076103</v>
      </c>
      <c r="FR107" s="283">
        <f>各项系数!$F$76/4*($MQ107^2-$MN107^2*$EG107-$MO107^2*$EO107)*10^-2</f>
        <v>3.6480882227964422</v>
      </c>
      <c r="FS107" s="284">
        <f t="shared" si="411"/>
        <v>1</v>
      </c>
      <c r="FT107" s="285">
        <f t="shared" si="361"/>
        <v>3.6480882227964422</v>
      </c>
      <c r="FU107" s="309">
        <f>$FT107*(VLOOKUP($FT$9,各项系数!$D$1:$F$143,3,0))*10^-3*10^2*各项系数!$J$55</f>
        <v>0.43558173380189519</v>
      </c>
      <c r="FV107" s="310">
        <v>1</v>
      </c>
      <c r="FW107" s="311">
        <f t="shared" si="449"/>
        <v>0.43558173380189519</v>
      </c>
      <c r="FX107" s="290">
        <f>FW107*(VLOOKUP($FT$9,各项系数!$D$1:$F$143,2,0))</f>
        <v>1.3067452014056855</v>
      </c>
      <c r="FY107" s="309">
        <f>IF($BK107&lt;&gt;$FY$9,0,各项系数!$F$76/4*($MS107^2-$MQ107^2)*10^-2*(VLOOKUP($FY$9,各项系数!$D$1:$F$143,3,0))*10^-3*10^2)*各项系数!$J$4</f>
        <v>0</v>
      </c>
      <c r="FZ107" s="310">
        <v>1</v>
      </c>
      <c r="GA107" s="311">
        <f t="shared" si="450"/>
        <v>0</v>
      </c>
      <c r="GB107" s="290">
        <f>GA107*(VLOOKUP($FY$9,各项系数!$D$1:$F$143,2,0))</f>
        <v>0</v>
      </c>
      <c r="GC107" s="309">
        <f>IF($BK107&lt;&gt;$GC$9,0,各项系数!$F$76/4*($MS107^2-$MQ107^2)*10^-2*(VLOOKUP($GC$9,各项系数!$D$1:$F$143,3,0))*10^-3*10^2)*各项系数!$J$4</f>
        <v>1.0596652064600679E-2</v>
      </c>
      <c r="GD107" s="310">
        <v>1</v>
      </c>
      <c r="GE107" s="311">
        <f t="shared" si="451"/>
        <v>1.0596652064600679E-2</v>
      </c>
      <c r="GF107" s="290">
        <f>GE107*(VLOOKUP($GC$9,各项系数!$D$1:$F$143,2,0))</f>
        <v>0.13669681163334876</v>
      </c>
      <c r="GG107" s="309">
        <f>IF($BK107&lt;&gt;$GG$9,0,各项系数!$F$76/4*($MS107^2-$MQ107^2)*10^-2*(VLOOKUP($GG$9,各项系数!$D$1:$F$143,3,0))*10^-3*10^2)*各项系数!$J$4</f>
        <v>0</v>
      </c>
      <c r="GH107" s="310">
        <v>1</v>
      </c>
      <c r="GI107" s="311">
        <f t="shared" si="452"/>
        <v>0</v>
      </c>
      <c r="GJ107" s="290">
        <f>GI107*(VLOOKUP($GG$9,各项系数!$D$1:$F$143,2,0))</f>
        <v>0</v>
      </c>
      <c r="GK107" s="309">
        <f>IF($BK107&lt;&gt;$GK$9,0,各项系数!$F$76/4*($MS107^2-$MQ107^2)*10^-2*(VLOOKUP($GK$9,各项系数!$D$1:$F$143,3,0))*10^-3*10^2)*各项系数!$J$4</f>
        <v>0</v>
      </c>
      <c r="GL107" s="310">
        <v>1</v>
      </c>
      <c r="GM107" s="311">
        <f t="shared" si="453"/>
        <v>0</v>
      </c>
      <c r="GN107" s="290">
        <f>GM107*(VLOOKUP($GK$9,各项系数!$D$1:$F$143,2,0))</f>
        <v>0</v>
      </c>
      <c r="GO107" s="311">
        <f t="shared" si="454"/>
        <v>1.0596652064600679E-2</v>
      </c>
      <c r="GP107" s="311">
        <f t="shared" si="455"/>
        <v>0.13669681163334876</v>
      </c>
      <c r="GQ107" s="317">
        <f>各项系数!$F$76/4*($MU107^2-$MS107^2)*10^-2*(VLOOKUP($S107,各项系数!$D$1:$F$143,3,0))*10^-3*10^2*各项系数!$J$4</f>
        <v>0.72873985911567418</v>
      </c>
      <c r="GR107" s="310">
        <v>1</v>
      </c>
      <c r="GS107" s="311">
        <f t="shared" si="456"/>
        <v>0.72873985911567418</v>
      </c>
      <c r="GT107" s="311">
        <f t="shared" si="457"/>
        <v>0</v>
      </c>
      <c r="GU107" s="311">
        <f>ROUND($GS107*(VLOOKUP($S107,各项系数!$D$1:$F$143,2,0))+$E$3*GS107,GT107)</f>
        <v>4</v>
      </c>
      <c r="GV107" s="315">
        <f>各项系数!$F$76/4*($MT107^2-$MS107^2)*10^-2*(VLOOKUP($GV$9,各项系数!$D$1:$F$143,3,0))*10^-3*10^2*各项系数!$J$4*PI()/4*R107</f>
        <v>5.4587530879364438E-2</v>
      </c>
      <c r="GW107" s="310">
        <v>1</v>
      </c>
      <c r="GX107" s="311">
        <f t="shared" si="458"/>
        <v>5.4587530879364438E-2</v>
      </c>
      <c r="GY107" s="311">
        <f>$GX107*(VLOOKUP($GV$9,各项系数!$D$1:$F$143,2,0))</f>
        <v>3.6846583343570996</v>
      </c>
      <c r="GZ107" s="317">
        <f>各项系数!$F$76/4*($MV107^2-$MS107^2)*10^-2*(VLOOKUP($GZ$9,各项系数!$D$1:$F$143,3,0))*10^-3*10^2*各项系数!$J$4</f>
        <v>0.45034690486583373</v>
      </c>
      <c r="HA107" s="310">
        <v>1</v>
      </c>
      <c r="HB107" s="311">
        <f t="shared" si="412"/>
        <v>0.45034690486583373</v>
      </c>
      <c r="HC107" s="311">
        <f>HB107*(VLOOKUP($GZ$9,各项系数!$D$1:$F$143,2,0))</f>
        <v>7.6558973827191732</v>
      </c>
      <c r="HD107" s="317">
        <f>各项系数!$F$76/4*($MW107^2-$MT107^2)*10^-2*(VLOOKUP($HD$9,各项系数!$D$1:$F$143,3,0))*10^-3*10^2*各项系数!$J$4</f>
        <v>0.45208739746140497</v>
      </c>
      <c r="HE107" s="310">
        <v>1</v>
      </c>
      <c r="HF107" s="311">
        <f t="shared" si="413"/>
        <v>0.45208739746140497</v>
      </c>
      <c r="HG107" s="311">
        <f>HF107*(VLOOKUP($HD$9,各项系数!$D$1:$F$143,2,0))</f>
        <v>7.6854857568438844</v>
      </c>
      <c r="HH107" s="317">
        <f>各项系数!$F$76/4*($MV107^2-$MS107^2)*10^-2*(VLOOKUP($HH$9,各项系数!$D$1:$F$143,3,0))*10^-3*10^2*各项系数!$J$4</f>
        <v>0.45034690486583373</v>
      </c>
      <c r="HI107" s="311">
        <v>1</v>
      </c>
      <c r="HJ107" s="311">
        <f t="shared" si="414"/>
        <v>0.45034690486583373</v>
      </c>
      <c r="HK107" s="311">
        <f>HJ107*(VLOOKUP($HH$9,各项系数!$D$1:$F$143,2,0))</f>
        <v>7.6558973827191732</v>
      </c>
      <c r="HL107" s="317">
        <f>各项系数!$F$76/4*($MW107^2-$MT107^2)*10^-2*(VLOOKUP($HL$9,各项系数!$D$1:$F$143,3,0))*10^-3*10^2*各项系数!$J$4</f>
        <v>0.45208739746140497</v>
      </c>
      <c r="HM107" s="311">
        <v>1</v>
      </c>
      <c r="HN107" s="311">
        <f t="shared" si="362"/>
        <v>0.45208739746140497</v>
      </c>
      <c r="HO107" s="311">
        <f>HN107*(VLOOKUP($HL$9,各项系数!$D$1:$F$143,2,0))</f>
        <v>7.6854857568438844</v>
      </c>
      <c r="HP107" s="317">
        <f>各项系数!$F$76/4*($MV107^2-$MS107^2)*10^-2*(VLOOKUP(AN107,各项系数!$D$1:$F$143,3,0))*10^-3*10^2*各项系数!$J$4</f>
        <v>0.45655858631225898</v>
      </c>
      <c r="HQ107" s="310">
        <v>1</v>
      </c>
      <c r="HR107" s="311">
        <f t="shared" si="459"/>
        <v>0.45655858631225898</v>
      </c>
      <c r="HS107" s="311">
        <f>HR107*(VLOOKUP(AN107,各项系数!$D$1:$F$143,2,0))</f>
        <v>4.5655858631225898</v>
      </c>
      <c r="HT107" s="317">
        <f>各项系数!$F$76/4*($MW107^2-$MT107^2)*10^-2*(VLOOKUP(AN107,各项系数!$D$1:$F$143,3,0))*10^-3*10^2*各项系数!$J$4</f>
        <v>0.45832308570225183</v>
      </c>
      <c r="HU107" s="310">
        <v>1</v>
      </c>
      <c r="HV107" s="311">
        <f t="shared" si="460"/>
        <v>0.45832308570225183</v>
      </c>
      <c r="HW107" s="311">
        <f>HV107*(VLOOKUP(AN107,各项系数!$D$1:$F$143,2,0))</f>
        <v>4.5832308570225182</v>
      </c>
      <c r="HX107" s="317">
        <f>各项系数!$F$76/4*($MV107^2-$MS107^2)*10^-2*(VLOOKUP($HX$9,各项系数!$D$1:$F$143,3,0))*10^-3*10^2*各项系数!$J$4</f>
        <v>0.45655858631225898</v>
      </c>
      <c r="HY107" s="311">
        <v>1</v>
      </c>
      <c r="HZ107" s="311">
        <f t="shared" si="461"/>
        <v>0.45655858631225898</v>
      </c>
      <c r="IA107" s="311">
        <f>HZ107*(VLOOKUP($HX$9,各项系数!$D$1:$F$143,2,0))</f>
        <v>5.0221444494348493</v>
      </c>
      <c r="IB107" s="317">
        <f>各项系数!$F$76/4*($MW107^2-$MT107^2)*10^-2*(VLOOKUP($IB$9,各项系数!$D$1:$F$143,3,0))*10^-3*10^2*各项系数!$J$4</f>
        <v>0.45832308570225183</v>
      </c>
      <c r="IC107" s="311">
        <v>1</v>
      </c>
      <c r="ID107" s="311">
        <f t="shared" si="462"/>
        <v>0.45832308570225183</v>
      </c>
      <c r="IE107" s="311">
        <f>ID107*(VLOOKUP($IB$9,各项系数!$D$1:$F$143,2,0))</f>
        <v>5.0415539427247698</v>
      </c>
      <c r="IF107" s="309"/>
      <c r="IG107" s="317">
        <f t="shared" si="415"/>
        <v>7.8731581403373774E-2</v>
      </c>
      <c r="IH107" s="310">
        <v>1</v>
      </c>
      <c r="II107" s="311">
        <f t="shared" si="463"/>
        <v>7.8731581403373774E-2</v>
      </c>
      <c r="IJ107" s="311">
        <f>II107*(VLOOKUP($IG$8,各项系数!$D$1:$F$143,2,0))</f>
        <v>1.9682895350843443</v>
      </c>
      <c r="IK107" s="317">
        <f>(各项系数!$F$76/4*($MX107^2-$MK107^2)*$EG107)*10^-2*(VLOOKUP($IG$8,各项系数!$D$1:$F$143,3,0))*10^-3*10^2*各项系数!$J$4</f>
        <v>6.3279197130826373E-2</v>
      </c>
      <c r="IL107" s="310">
        <f>IK107*(VLOOKUP($IG$8,各项系数!$D$1:$F$143,2,0))</f>
        <v>1.5819799282706593</v>
      </c>
      <c r="IM107" s="311">
        <f>(各项系数!$F$76/4*(($MM107+3*$X107)^2-MM107^2)*$EO107)*10^-2*(VLOOKUP($IG$8,各项系数!$D$1:$F$143,3,0))*10^-3*10^2*各项系数!$J$4</f>
        <v>1.5452384272547408E-2</v>
      </c>
      <c r="IN107" s="310">
        <f>IM107*(VLOOKUP($IG$8,各项系数!$D$1:$F$143,2,0))</f>
        <v>0.3863096068136852</v>
      </c>
      <c r="IO107" s="317">
        <f>各项系数!$F$76/4*($MZ107^2-$MX107^2)*10^-2*(VLOOKUP(L107,各项系数!$D$1:$F$143,3,0))*10^-3*10^2*$ES107*各项系数!$J$4</f>
        <v>0.27224897774791423</v>
      </c>
      <c r="IP107" s="310">
        <v>1</v>
      </c>
      <c r="IQ107" s="311">
        <f t="shared" si="464"/>
        <v>0.27224897774791423</v>
      </c>
      <c r="IR107" s="290">
        <f>IQ107*(VLOOKUP(L107,各项系数!$D$1:$F$143,2,0))</f>
        <v>2.776939573028725</v>
      </c>
      <c r="IS107" s="317">
        <f>IF($L107&lt;&gt;$IS$9,0,各项系数!$F$76/4*($MZ107^2-$MX107^2)*10^-2*各项系数!$F$12*10^-3*10^2)*$ES107*各项系数!$J$4</f>
        <v>0</v>
      </c>
      <c r="IT107" s="310">
        <v>1</v>
      </c>
      <c r="IU107" s="311">
        <f t="shared" si="465"/>
        <v>0</v>
      </c>
      <c r="IV107" s="290">
        <f>IU107*各项系数!$E$12</f>
        <v>0</v>
      </c>
      <c r="IW107" s="309">
        <f t="shared" si="466"/>
        <v>0.27224897774791423</v>
      </c>
      <c r="IX107" s="309">
        <f t="shared" si="467"/>
        <v>2.776939573028725</v>
      </c>
      <c r="IY107" s="339">
        <f>各项系数!$F$76/4*($NB107^2-$MZ107^2*$EG107-$NA107^2*$EO107)*10^-2</f>
        <v>3.968009621067655</v>
      </c>
      <c r="IZ107" s="284">
        <f t="shared" si="487"/>
        <v>1</v>
      </c>
      <c r="JA107" s="285">
        <f t="shared" si="363"/>
        <v>3.968009621067655</v>
      </c>
      <c r="JB107" s="289">
        <f>IF($DE107&lt;&gt;$JB$9,0,$JA107*各项系数!$F$32*10^-3*10^2)*各项系数!$J$4</f>
        <v>0</v>
      </c>
      <c r="JC107" s="106">
        <v>1</v>
      </c>
      <c r="JD107" s="78">
        <f t="shared" si="468"/>
        <v>0</v>
      </c>
      <c r="JE107" s="264">
        <f>JD107*各项系数!$E$32</f>
        <v>0</v>
      </c>
      <c r="JF107" s="282">
        <f>IF($DE107&lt;&gt;$JF$9,0,$JA107*VLOOKUP($JF$9,各项系数!$D$4:$F$540,2,0)*10^-3*10^2)*各项系数!$J$4</f>
        <v>1.9740847864811584</v>
      </c>
      <c r="JG107" s="102">
        <v>1</v>
      </c>
      <c r="JH107" s="189">
        <f t="shared" si="364"/>
        <v>1.9740847864811584</v>
      </c>
      <c r="JI107" s="262">
        <f>JH107*VLOOKUP($JF$9,各项系数!$D$4:$F$540,3,0)</f>
        <v>2.36890174377739</v>
      </c>
      <c r="JJ107" s="289">
        <f t="shared" si="469"/>
        <v>1.9740847864811584</v>
      </c>
      <c r="JK107" s="78">
        <f t="shared" si="470"/>
        <v>2.36890174377739</v>
      </c>
      <c r="JL107" s="289">
        <f>IF($DF107&lt;&gt;$JL$9,0,各项系数!$F$76/4*($NE107^2-$NC107^2)*10^-2*各项系数!$F$39*10^-3*10^2)*各项系数!$J$4</f>
        <v>4.5593954622830373E-3</v>
      </c>
      <c r="JM107" s="106">
        <v>1</v>
      </c>
      <c r="JN107" s="78">
        <f t="shared" si="471"/>
        <v>4.5593954622830373E-3</v>
      </c>
      <c r="JO107" s="264">
        <f>JN107*各项系数!$E$39</f>
        <v>9.1187909245660753E-2</v>
      </c>
      <c r="JP107" s="289">
        <f>IF($DF107&lt;&gt;$JP$9,0,各项系数!$F$76/4*($NE107^2-$NC107^2)*10^-2*各项系数!$F$36*10^-3*10^2)*各项系数!$J$4</f>
        <v>0</v>
      </c>
      <c r="JQ107" s="106">
        <v>1</v>
      </c>
      <c r="JR107" s="78">
        <f t="shared" si="472"/>
        <v>0</v>
      </c>
      <c r="JS107" s="264">
        <f>JR107*各项系数!$E$36</f>
        <v>0</v>
      </c>
      <c r="JT107" s="289">
        <f>IF($DF107&lt;&gt;$JT$9,0,各项系数!$F$76/4*($NE107^2-$NC107^2)*10^-2*各项系数!$F$40*10^-3*10^2)*各项系数!$J$4</f>
        <v>0</v>
      </c>
      <c r="JU107" s="106">
        <v>1</v>
      </c>
      <c r="JV107" s="78">
        <f t="shared" si="473"/>
        <v>0</v>
      </c>
      <c r="JW107" s="264">
        <f>JV107*各项系数!$E$40</f>
        <v>0</v>
      </c>
      <c r="JX107" s="289">
        <f>IF($DF107&lt;&gt;$JX$9,0,各项系数!$F$76/4*($NE107^2-$NC107^2)*10^-2*各项系数!$F$38*10^-3*10^2)*各项系数!$J$4</f>
        <v>0</v>
      </c>
      <c r="JY107" s="106">
        <v>1</v>
      </c>
      <c r="JZ107" s="78">
        <f t="shared" si="474"/>
        <v>0</v>
      </c>
      <c r="KA107" s="264">
        <f>JZ107*各项系数!$E$38</f>
        <v>0</v>
      </c>
      <c r="KB107" s="289">
        <f>IF($DF107&lt;&gt;$KB$9,0,各项系数!$F$76/4*($NE107^2-$NC107^2)*10^-2*各项系数!$F$41*10^-3*10^2)*各项系数!$J$4</f>
        <v>0</v>
      </c>
      <c r="KC107" s="106">
        <v>1</v>
      </c>
      <c r="KD107" s="78">
        <f t="shared" si="475"/>
        <v>0</v>
      </c>
      <c r="KE107" s="264">
        <f>KD107*各项系数!$E$41</f>
        <v>0</v>
      </c>
      <c r="KF107" s="78">
        <f t="shared" si="476"/>
        <v>4.5593954622830373E-3</v>
      </c>
      <c r="KG107" s="78">
        <f t="shared" si="477"/>
        <v>9.1187909245660753E-2</v>
      </c>
      <c r="KH107" s="237">
        <f>各项系数!$F$76/4*($NG107^2-$NE107^2)*10^-2*各项系数!$F$44*10^-3*10^2*各项系数!$J$4*0.75*$U107</f>
        <v>1.1381272404853169</v>
      </c>
      <c r="KI107" s="106">
        <v>1</v>
      </c>
      <c r="KJ107" s="78">
        <f t="shared" si="478"/>
        <v>1.1381272404853169</v>
      </c>
      <c r="KK107" s="78">
        <f>ROUND(KJ107*各项系数!$E$43,GT107)</f>
        <v>7</v>
      </c>
      <c r="KL107" s="235">
        <f>各项系数!$F$76/4*($NF107^2-$NE107^2)*10^-2*各项系数!$F$46*10^-3*10^2*各项系数!$J$4*PI()/4*R107</f>
        <v>5.6874146938034512E-2</v>
      </c>
      <c r="KM107" s="106">
        <v>1</v>
      </c>
      <c r="KN107" s="78">
        <f t="shared" si="479"/>
        <v>5.6874146938034512E-2</v>
      </c>
      <c r="KO107" s="78">
        <f>KN107*各项系数!$E$46</f>
        <v>3.8390049183173294</v>
      </c>
      <c r="KP107" s="237">
        <f>各项系数!$F$76/4*($NH107^2-$NE107^2)*10^-2*(VLOOKUP($KP$9,各项系数!$D$1:$F$143,3,0))*10^-3*10^2*各项系数!$J$4</f>
        <v>0.46815431973427163</v>
      </c>
      <c r="KQ107" s="106">
        <v>1</v>
      </c>
      <c r="KR107" s="78">
        <f t="shared" si="416"/>
        <v>0.46815431973427163</v>
      </c>
      <c r="KS107" s="78">
        <f>KR107*(VLOOKUP($KP$9,各项系数!$D$1:$F$143,2,0))</f>
        <v>7.9586234354826173</v>
      </c>
      <c r="KT107" s="237">
        <f>各项系数!$F$76/4*($NI107^2-$NF107^2)*10^-2*(VLOOKUP($KT$9,各项系数!$D$1:$F$143,3,0))*10^-3*10^2*各项系数!$J$4</f>
        <v>0.46989481232984298</v>
      </c>
      <c r="KU107" s="106">
        <v>1</v>
      </c>
      <c r="KV107" s="78">
        <f t="shared" si="417"/>
        <v>0.46989481232984298</v>
      </c>
      <c r="KW107" s="78">
        <f>KV107*(VLOOKUP($KT$9,各项系数!$D$1:$F$143,2,0))</f>
        <v>7.9882118096073302</v>
      </c>
      <c r="KX107" s="78">
        <f>各项系数!$F$76/4*($NH107^2-$NE107^2)*10^-2*(VLOOKUP($KX$9,各项系数!$D$1:$F$143,3,0))*10^-3*10^2*各项系数!$J$4</f>
        <v>0.46815431973427163</v>
      </c>
      <c r="KY107" s="355">
        <v>1</v>
      </c>
      <c r="KZ107" s="78">
        <f t="shared" si="418"/>
        <v>0.46815431973427163</v>
      </c>
      <c r="LA107" s="78">
        <f>KZ107*(VLOOKUP($KX$9,各项系数!$D$1:$F$143,2,0))</f>
        <v>7.9586234354826173</v>
      </c>
      <c r="LB107" s="78">
        <f>各项系数!$F$76/4*($NI107^2-$NF107^2)*10^-2*(VLOOKUP($LB$9,各项系数!$D$1:$F$143,3,0))*10^-3*10^2*各项系数!$J$4</f>
        <v>0.46989481232984298</v>
      </c>
      <c r="LC107" s="355">
        <v>1</v>
      </c>
      <c r="LD107" s="78">
        <f t="shared" si="419"/>
        <v>0.46989481232984298</v>
      </c>
      <c r="LE107" s="78">
        <f>LD107*(VLOOKUP($LB$9,各项系数!$D$1:$F$143,2,0))</f>
        <v>7.9882118096073302</v>
      </c>
      <c r="LF107" s="237">
        <f>各项系数!$F$76/4*($NH107^2-$NE107^2)*10^-2*(VLOOKUP(AN107,各项系数!$D$1:$F$143,3,0))*10^-3*10^2*各项系数!$J$4</f>
        <v>0.47461162069612367</v>
      </c>
      <c r="LG107" s="106">
        <v>1</v>
      </c>
      <c r="LH107" s="78">
        <f t="shared" si="480"/>
        <v>0.47461162069612367</v>
      </c>
      <c r="LI107" s="78">
        <f>LH107*(VLOOKUP(AN107,各项系数!$D$1:$F$143,2,0))</f>
        <v>4.7461162069612364</v>
      </c>
      <c r="LJ107" s="237">
        <f>各项系数!$F$76/4*($NI107^2-$NF107^2)*10^-2*(VLOOKUP(AN107,各项系数!$D$1:$F$143,3,0))*10^-3*10^2*各项系数!$J$4</f>
        <v>0.47637612008611657</v>
      </c>
      <c r="LK107" s="106">
        <v>1</v>
      </c>
      <c r="LL107" s="78">
        <f t="shared" si="481"/>
        <v>0.47637612008611657</v>
      </c>
      <c r="LM107" s="78">
        <f>LL107*(VLOOKUP(AN107,各项系数!$D$1:$F$143,2,0))</f>
        <v>4.7637612008611656</v>
      </c>
      <c r="LN107" s="78">
        <f>各项系数!$F$76/4*($NH107^2-$NE107^2)*10^-2*(VLOOKUP($LN$9,各项系数!$D$1:$F$143,3,0))*10^-3*10^2*各项系数!$J$4</f>
        <v>0.47461162069612367</v>
      </c>
      <c r="LO107" s="355">
        <v>1</v>
      </c>
      <c r="LP107" s="78">
        <f t="shared" si="482"/>
        <v>0.47461162069612367</v>
      </c>
      <c r="LQ107" s="78">
        <f>LP107*(VLOOKUP($LN$9,各项系数!$D$1:$F$143,2,0))</f>
        <v>5.2207278276573605</v>
      </c>
      <c r="LR107" s="78">
        <f>各项系数!$F$76/4*($NI107^2-$NF107^2)*10^-2*(VLOOKUP($LR$9,各项系数!$D$1:$F$143,3,0))*10^-3*10^2*各项系数!$J$4</f>
        <v>0.47637612008611657</v>
      </c>
      <c r="LS107" s="355">
        <v>1</v>
      </c>
      <c r="LT107" s="78">
        <f t="shared" si="483"/>
        <v>0.47637612008611657</v>
      </c>
      <c r="LU107" s="78">
        <f>LT107*(VLOOKUP($LR$9,各项系数!$D$1:$F$143,2,0))</f>
        <v>5.2401373209472819</v>
      </c>
      <c r="LV107" s="367">
        <f t="shared" si="420"/>
        <v>508.82233972</v>
      </c>
      <c r="LW107" s="367">
        <f t="shared" si="421"/>
        <v>339.21489315000002</v>
      </c>
      <c r="LX107" s="367">
        <f t="shared" si="422"/>
        <v>20.782247619583714</v>
      </c>
      <c r="LY107" s="367">
        <f t="shared" si="423"/>
        <v>169.60744656999998</v>
      </c>
      <c r="LZ107" s="374">
        <f t="shared" si="365"/>
        <v>1</v>
      </c>
      <c r="MA107" s="375">
        <f t="shared" si="366"/>
        <v>508.82233972</v>
      </c>
      <c r="MB107" s="367">
        <f t="shared" si="424"/>
        <v>14.695268220000001</v>
      </c>
      <c r="MC107" s="367">
        <f t="shared" si="425"/>
        <v>89.672532840000002</v>
      </c>
      <c r="MD107" s="367">
        <f t="shared" si="426"/>
        <v>64.552088069999996</v>
      </c>
      <c r="ME107" s="367">
        <f t="shared" si="427"/>
        <v>9.0658850216595468</v>
      </c>
      <c r="MF107" s="367">
        <f t="shared" si="428"/>
        <v>25.120444770000006</v>
      </c>
      <c r="MG107" s="379">
        <f t="shared" si="429"/>
        <v>1</v>
      </c>
      <c r="MH107" s="375">
        <f t="shared" si="367"/>
        <v>89.672532840000002</v>
      </c>
      <c r="MI107" s="367">
        <f t="shared" si="430"/>
        <v>10.685252214545548</v>
      </c>
      <c r="MJ107" s="78">
        <f t="shared" si="368"/>
        <v>14.695268220000001</v>
      </c>
      <c r="MK107" s="78">
        <f t="shared" si="431"/>
        <v>14.695268220000001</v>
      </c>
      <c r="ML107" s="78">
        <f t="shared" si="484"/>
        <v>10.685252214779355</v>
      </c>
      <c r="MM107" s="78">
        <f t="shared" si="369"/>
        <v>10.685252214545548</v>
      </c>
      <c r="MN107" s="78">
        <f t="shared" si="370"/>
        <v>17.095268220000001</v>
      </c>
      <c r="MO107" s="189">
        <f t="shared" si="432"/>
        <v>12.885252214545549</v>
      </c>
      <c r="MP107" s="78">
        <f t="shared" si="433"/>
        <v>38.823489410000001</v>
      </c>
      <c r="MQ107" s="78">
        <f t="shared" si="485"/>
        <v>38.823489410000001</v>
      </c>
      <c r="MR107" s="246">
        <f t="shared" si="434"/>
        <v>38.823489410000001</v>
      </c>
      <c r="MS107" s="380">
        <f t="shared" si="371"/>
        <v>38.999489410000002</v>
      </c>
      <c r="MT107" s="382">
        <f t="shared" si="372"/>
        <v>39.159489409999999</v>
      </c>
      <c r="MU107" s="382">
        <f t="shared" si="373"/>
        <v>40.499489410000002</v>
      </c>
      <c r="MV107" s="382">
        <f t="shared" si="374"/>
        <v>43.79948941</v>
      </c>
      <c r="MW107" s="382">
        <f t="shared" si="375"/>
        <v>43.959489409999996</v>
      </c>
      <c r="MX107" s="246">
        <f t="shared" si="376"/>
        <v>15.295268220000001</v>
      </c>
      <c r="MY107" s="246">
        <f t="shared" si="377"/>
        <v>11.285252214545547</v>
      </c>
      <c r="MZ107" s="78">
        <f t="shared" si="378"/>
        <v>17.695268219999999</v>
      </c>
      <c r="NA107" s="78">
        <f t="shared" si="379"/>
        <v>13.685252214545548</v>
      </c>
      <c r="NB107" s="78">
        <f t="shared" si="435"/>
        <v>40.396489410000001</v>
      </c>
      <c r="NC107" s="246">
        <f t="shared" si="486"/>
        <v>40.396489410000001</v>
      </c>
      <c r="ND107" s="246">
        <f t="shared" si="436"/>
        <v>40.396489410000001</v>
      </c>
      <c r="NE107" s="386">
        <f t="shared" si="437"/>
        <v>40.636489410000003</v>
      </c>
      <c r="NF107" s="382">
        <f t="shared" si="380"/>
        <v>40.79648941</v>
      </c>
      <c r="NG107" s="150">
        <f t="shared" si="381"/>
        <v>42.136489410000003</v>
      </c>
      <c r="NH107" s="246">
        <f t="shared" si="382"/>
        <v>45.43648941</v>
      </c>
      <c r="NI107" s="382">
        <f t="shared" si="383"/>
        <v>45.596489409999997</v>
      </c>
      <c r="NK107" s="390">
        <f t="shared" si="384"/>
        <v>4.8066188560834942</v>
      </c>
      <c r="NL107" s="390">
        <f t="shared" si="385"/>
        <v>245.90242221845853</v>
      </c>
      <c r="NM107" s="390">
        <f t="shared" si="386"/>
        <v>4.8066188560834942</v>
      </c>
      <c r="NN107" s="390">
        <f t="shared" si="387"/>
        <v>246.35898080477079</v>
      </c>
      <c r="NO107" s="390">
        <f t="shared" si="388"/>
        <v>6.4376597971749474</v>
      </c>
      <c r="NP107" s="390">
        <f t="shared" si="389"/>
        <v>249.31484842271738</v>
      </c>
      <c r="NQ107" s="390">
        <f t="shared" si="390"/>
        <v>6.4376597971749474</v>
      </c>
      <c r="NR107" s="390">
        <f t="shared" si="391"/>
        <v>249.78946004341353</v>
      </c>
      <c r="NS107" s="390">
        <f t="shared" si="392"/>
        <v>4.8612063869628583</v>
      </c>
      <c r="NT107" s="390">
        <f t="shared" si="393"/>
        <v>4.8612063869628583</v>
      </c>
      <c r="NU107" s="390">
        <f t="shared" si="394"/>
        <v>6.4945339441129821</v>
      </c>
      <c r="NV107" s="390">
        <f t="shared" si="395"/>
        <v>6.4945339441129821</v>
      </c>
      <c r="NW107" s="9">
        <f t="shared" si="396"/>
        <v>5.5353587151991679</v>
      </c>
      <c r="NX107" s="9">
        <f>各项系数!$M$9*NK107</f>
        <v>1.4419856568250482</v>
      </c>
      <c r="NY107" s="9">
        <f t="shared" si="397"/>
        <v>4.8612063869628592</v>
      </c>
    </row>
    <row r="108" spans="1:389" s="9" customFormat="1" ht="15" hidden="1" customHeight="1">
      <c r="A108" s="65"/>
      <c r="B108" s="66"/>
      <c r="C108" s="67"/>
      <c r="D108" s="58" t="s">
        <v>349</v>
      </c>
      <c r="E108" s="399">
        <f t="shared" si="325"/>
        <v>46.363637709999999</v>
      </c>
      <c r="F108" s="68">
        <f>$F$28</f>
        <v>243.33587022849699</v>
      </c>
      <c r="G108" s="58"/>
      <c r="H108" s="16"/>
      <c r="I108" s="145">
        <f>$F$25</f>
        <v>242.29596858910099</v>
      </c>
      <c r="J108" s="62"/>
      <c r="K108" s="16"/>
      <c r="L108" s="107" t="s">
        <v>467</v>
      </c>
      <c r="M108" s="98">
        <f t="shared" si="339"/>
        <v>1.4</v>
      </c>
      <c r="N108" s="98">
        <f t="shared" ref="N108:N139" si="501">IF(EM108=0,0,VLOOKUP(EM108,$A$12:$C$46,3,0))</f>
        <v>1.1000000000000001</v>
      </c>
      <c r="O108" s="58">
        <f t="shared" ref="O108:O117" si="502">$O$36</f>
        <v>0.08</v>
      </c>
      <c r="P108" s="99">
        <v>0.1</v>
      </c>
      <c r="Q108" s="136">
        <f t="shared" si="499"/>
        <v>0.1</v>
      </c>
      <c r="R108" s="151">
        <v>0.8</v>
      </c>
      <c r="S108" s="144" t="str">
        <f>各项系数!$D$43</f>
        <v>钢带</v>
      </c>
      <c r="T108" s="62">
        <v>0.5</v>
      </c>
      <c r="U108" s="62">
        <v>2</v>
      </c>
      <c r="V108" s="143"/>
      <c r="W108" s="145">
        <v>2.5</v>
      </c>
      <c r="X108" s="139">
        <f t="shared" si="500"/>
        <v>0.2</v>
      </c>
      <c r="Y108" s="139"/>
      <c r="Z108" s="169"/>
      <c r="AA108" s="170">
        <f>$AA$28</f>
        <v>1.0149999999999999</v>
      </c>
      <c r="AB108" s="153">
        <f>PI()*EJ108*EJ108/4*EH108*(1-H108)*AA108*各项系数!$F$5*各项系数!$J$4*10^-7</f>
        <v>1.2526054194523586</v>
      </c>
      <c r="AC108" s="170">
        <f t="shared" si="327"/>
        <v>243.33587022849699</v>
      </c>
      <c r="AD108" s="153">
        <f t="shared" si="341"/>
        <v>141.60853982537643</v>
      </c>
      <c r="AE108" s="153">
        <f>POWER(4*EU108/PI()/EG108/10^-7/EH108/(1-H108)/各项系数!$F$5/各项系数!$J$4,0.5)</f>
        <v>245.15409628631093</v>
      </c>
      <c r="AF108" s="16">
        <f>$AA$25</f>
        <v>1.0129999999999999</v>
      </c>
      <c r="AG108" s="16">
        <f>IF(EM108=0,0,PI()*ER108*ER108/4*EP108*(1-K108)*(1+AF108)*各项系数!$F$5*各项系数!$J$4*10^-7)</f>
        <v>1.1494204248229618</v>
      </c>
      <c r="AH108" s="16">
        <f t="shared" si="328"/>
        <v>242.29596858910099</v>
      </c>
      <c r="AI108" s="69">
        <f t="shared" si="398"/>
        <v>65.39126499722515</v>
      </c>
      <c r="AJ108" s="69">
        <f>IF(OR(EP108="",EP108=0),0,POWER(4*EW108/PI()/EO108/10^-7/EP108/(1-K108)/各项系数!$F$5/各项系数!$J$4,0.5))</f>
        <v>243.86580688497418</v>
      </c>
      <c r="AK108" s="16">
        <f t="shared" si="342"/>
        <v>4.3362379624532794</v>
      </c>
      <c r="AL108" s="16">
        <f t="shared" si="329"/>
        <v>302.80188421749642</v>
      </c>
      <c r="AM108" s="106">
        <f t="shared" si="330"/>
        <v>150</v>
      </c>
      <c r="AN108" s="107" t="s">
        <v>486</v>
      </c>
      <c r="AO108" s="146">
        <f>AP108+各项系数!$M$9*$NK108</f>
        <v>296.8645923700945</v>
      </c>
      <c r="AP108" s="146">
        <f>AQ108*(1+$BI108+(VLOOKUP($AM108,$A$12:$B$323,2,0))+各项系数!$J$6+各项系数!$M$5)*(1+$E$2)</f>
        <v>295.16392298017456</v>
      </c>
      <c r="AQ108" s="199">
        <f>AR108+各项系数!$L$9*$NK108</f>
        <v>301.18767651038223</v>
      </c>
      <c r="AR108" s="199">
        <f>AS108*(1+$BJ108+各项系数!$J$5+各项系数!$L$5)</f>
        <v>299.48700712046229</v>
      </c>
      <c r="AS108" s="199">
        <f t="shared" si="399"/>
        <v>293.61471286319835</v>
      </c>
      <c r="AT108" s="146">
        <f>AU108+各项系数!$M$9*$NM108</f>
        <v>300.27390585428287</v>
      </c>
      <c r="AU108" s="146">
        <f>AV108*(1+$BI108+(VLOOKUP($AM108,$A$12:$B$323,2,0))+各项系数!$J$6+各项系数!$M$5)*(1+$E$2)</f>
        <v>298.57323646436294</v>
      </c>
      <c r="AV108" s="199">
        <f>AW108+各项系数!$L$9*$NM108</f>
        <v>304.66656782077848</v>
      </c>
      <c r="AW108" s="199">
        <f>AX108*(1+$BJ108+各项系数!$J$5+各项系数!$L$5)</f>
        <v>302.96589843085854</v>
      </c>
      <c r="AX108" s="199">
        <f t="shared" si="400"/>
        <v>297.02539061848876</v>
      </c>
      <c r="AY108" s="146">
        <f>AZ108+各项系数!$M$9*$NS108</f>
        <v>300.82335376748529</v>
      </c>
      <c r="AZ108" s="146">
        <f>BA108*(1+$BI108+(VLOOKUP($AM108,$A$12:$B$214,2,0))+各项系数!$J$6+各项系数!$M$5)*(1+$E$2)</f>
        <v>299.10531742200322</v>
      </c>
      <c r="BA108" s="199">
        <f>BB108+各项系数!$L$9*$NS108</f>
        <v>305.20950757347271</v>
      </c>
      <c r="BB108" s="199">
        <f>BC108*(1+$BJ108+各项系数!$J$5+各项系数!$L$5)</f>
        <v>303.49147122799064</v>
      </c>
      <c r="BC108" s="199">
        <f t="shared" si="401"/>
        <v>297.5406580666575</v>
      </c>
      <c r="BD108" s="146">
        <f>BE108+各项系数!$M$9*$NS108</f>
        <v>304.24510329633273</v>
      </c>
      <c r="BE108" s="146">
        <f>BF108*(1+$BI108+(VLOOKUP($AM108,$A$12:$B$214,2,0))+各项系数!$J$6+各项系数!$M$5)*(1+$E$2)</f>
        <v>302.52706695085067</v>
      </c>
      <c r="BF108" s="199">
        <f>BG108+各项系数!$L$9*$NS108</f>
        <v>308.70108872535781</v>
      </c>
      <c r="BG108" s="199">
        <f>BH108*(1+$BJ108+各项系数!$J$5+各项系数!$L$5)</f>
        <v>306.98305237987574</v>
      </c>
      <c r="BH108" s="199">
        <f t="shared" si="402"/>
        <v>300.96377684301541</v>
      </c>
      <c r="BI108" s="214"/>
      <c r="BJ108" s="215"/>
      <c r="BK108" s="78" t="s">
        <v>514</v>
      </c>
      <c r="BL108" s="146">
        <f>BM108+各项系数!$M$9*$NM108</f>
        <v>300.2506421888674</v>
      </c>
      <c r="BM108" s="146">
        <f>BN108*(1+$CF108+(VLOOKUP($AM108,$A$12:$B$323,2,0))+各项系数!$J$6+各项系数!$M$5)*(1+$E$2)</f>
        <v>298.54997279894746</v>
      </c>
      <c r="BN108" s="199">
        <f>BO108+各项系数!$L$9*$NM108</f>
        <v>304.64282938668111</v>
      </c>
      <c r="BO108" s="199">
        <f>BP108*(1+$CG108+各项系数!$J$5+各项系数!$L$5)</f>
        <v>302.94215999676118</v>
      </c>
      <c r="BP108" s="199">
        <f t="shared" si="403"/>
        <v>294.11860193860309</v>
      </c>
      <c r="BQ108" s="146">
        <f>BR108+各项系数!$M$9*$NM108</f>
        <v>303.18475468234402</v>
      </c>
      <c r="BR108" s="146">
        <f>BS108*(1+$CF108+(VLOOKUP($AM108,$A$12:$B$323,2,0))+各项系数!$J$6+各项系数!$M$5)*(1+$E$2)</f>
        <v>301.48408529242408</v>
      </c>
      <c r="BS108" s="199">
        <f>BT108+各项系数!$L$9*$NM108</f>
        <v>307.63682172696338</v>
      </c>
      <c r="BT108" s="199">
        <f>BU108*(1+$CG108+各项系数!$J$5+各项系数!$L$5)</f>
        <v>305.93615233704344</v>
      </c>
      <c r="BU108" s="199">
        <f t="shared" si="404"/>
        <v>297.02539061848876</v>
      </c>
      <c r="BV108" s="146">
        <f>BW108+各项系数!$M$9*$NT108</f>
        <v>302.57415566335936</v>
      </c>
      <c r="BW108" s="146">
        <f>BX108*(1+$CF108+(VLOOKUP($AM108,$A$12:$B$214,2,0))+各项系数!$J$6+各项系数!$M$5)*(1+$E$2)</f>
        <v>300.8561193178773</v>
      </c>
      <c r="BX108" s="199">
        <f>BY108+各项系数!$L$9*$NT$12</f>
        <v>306.99604012028294</v>
      </c>
      <c r="BY108" s="199">
        <f>BZ108*(1+$CG108+各项系数!$J$5+各项系数!$L$5)</f>
        <v>306.98777671712799</v>
      </c>
      <c r="BZ108" s="199">
        <f t="shared" si="343"/>
        <v>298.04638516226015</v>
      </c>
      <c r="CA108" s="146">
        <f>CB108+各项系数!$M$9*$NT108</f>
        <v>305.5189708259137</v>
      </c>
      <c r="CB108" s="146">
        <f>CC108*(1+$CF108+(VLOOKUP($AM108,$A$12:$B$214,2,0))+各项系数!$J$6+各项系数!$M$5)*(1+$E$2)</f>
        <v>303.80093448043164</v>
      </c>
      <c r="CC108" s="199">
        <f>CD108+各项系数!$L$9*$NT$12</f>
        <v>310.00095355146084</v>
      </c>
      <c r="CD108" s="199">
        <f>CE108*(1+$CG108+各项系数!$J$5+各项系数!$L$5)</f>
        <v>309.99269014830588</v>
      </c>
      <c r="CE108" s="199">
        <f t="shared" si="405"/>
        <v>300.96377684301541</v>
      </c>
      <c r="CF108" s="214">
        <f t="shared" si="406"/>
        <v>0</v>
      </c>
      <c r="CG108" s="214">
        <f t="shared" si="344"/>
        <v>0.01</v>
      </c>
      <c r="CH108" s="106"/>
      <c r="CI108" s="146">
        <f>CJ108+各项系数!$M$9*$NO108</f>
        <v>303.60920104706099</v>
      </c>
      <c r="CJ108" s="146">
        <f>CK108*(1+$DC108+(VLOOKUP($AM108,$A$12:$B$323,2,0))+各项系数!$J$6+各项系数!$M$5)*(1+$E$2)+各项系数!$M$9*$NK108</f>
        <v>301.35227032854783</v>
      </c>
      <c r="CK108" s="199">
        <f>CL108+各项系数!$L$9*$NO108</f>
        <v>305.76693973329378</v>
      </c>
      <c r="CL108" s="199">
        <f>CM108*(1+$DD108+各项系数!$J$5+各项系数!$L$5)</f>
        <v>303.51000901478062</v>
      </c>
      <c r="CM108" s="199">
        <f t="shared" si="345"/>
        <v>297.55883236743199</v>
      </c>
      <c r="CN108" s="146">
        <f>CO108+各项系数!$M$9*$NO108</f>
        <v>306.8027483752561</v>
      </c>
      <c r="CO108" s="146">
        <f>CP108*(1+$DC108+(VLOOKUP($AM108,$A$12:$B$323,2,0))+各项系数!$J$6+各项系数!$M$5)*(1+$E$2)+各项系数!$M$9*$NK108</f>
        <v>304.54581765674294</v>
      </c>
      <c r="CP108" s="199">
        <f>CQ108+各项系数!$L$9*$NO108</f>
        <v>309.02566149675818</v>
      </c>
      <c r="CQ108" s="199">
        <f>CR108*(1+$DD108+各项系数!$J$5+各项系数!$L$5)</f>
        <v>306.76873077824501</v>
      </c>
      <c r="CR108" s="199">
        <f t="shared" si="346"/>
        <v>300.7536576257304</v>
      </c>
      <c r="CS108" s="146">
        <f>CT108+各项系数!$M$9*$NU108</f>
        <v>306.04594508629964</v>
      </c>
      <c r="CT108" s="146">
        <f t="shared" si="347"/>
        <v>303.77086001731158</v>
      </c>
      <c r="CU108" s="199">
        <f>CV108+各项系数!$L$9*$NU108</f>
        <v>309.97026532378732</v>
      </c>
      <c r="CV108" s="199">
        <f>CW108*(1+$DD108+各项系数!$J$5+各项系数!$L$5)</f>
        <v>307.69518025479925</v>
      </c>
      <c r="CW108" s="199">
        <f t="shared" si="348"/>
        <v>301.66194142627376</v>
      </c>
      <c r="CX108" s="146">
        <f>CY108+各项系数!$M$9*$NU108</f>
        <v>309.6137404146117</v>
      </c>
      <c r="CY108" s="146">
        <f t="shared" si="349"/>
        <v>307.33865534562364</v>
      </c>
      <c r="CZ108" s="199">
        <f>DA108+各项系数!$L$9*$NU108</f>
        <v>313.6108728016568</v>
      </c>
      <c r="DA108" s="199">
        <f>DB108*(1+$DD108+各项系数!$J$5+各项系数!$L$5)</f>
        <v>311.33578773266873</v>
      </c>
      <c r="DB108" s="199">
        <f t="shared" si="350"/>
        <v>305.23116444379286</v>
      </c>
      <c r="DC108" s="214">
        <f t="shared" si="498"/>
        <v>0</v>
      </c>
      <c r="DD108" s="214">
        <f t="shared" si="351"/>
        <v>0</v>
      </c>
      <c r="DE108" s="78" t="s">
        <v>498</v>
      </c>
      <c r="DF108" s="78" t="s">
        <v>513</v>
      </c>
      <c r="DG108" s="146">
        <f>DH108+各项系数!$M$9*$NQ108</f>
        <v>307.05569138802178</v>
      </c>
      <c r="DH108" s="146">
        <f>DI108*(1+$EA108+(VLOOKUP($AM108,$A$12:$B$323,2,0))+各项系数!$J$6+各项系数!$M$5)*(1+$E$2)+各项系数!$M$9*$NK108</f>
        <v>304.79876066950862</v>
      </c>
      <c r="DI108" s="199">
        <f>DJ108+各项系数!$L$9*$NQ108</f>
        <v>309.28376661182517</v>
      </c>
      <c r="DJ108" s="199">
        <f>DK108*(1+$EB108+各项系数!$J$5+各项系数!$L$5)</f>
        <v>307.02683589331201</v>
      </c>
      <c r="DK108" s="199">
        <f t="shared" si="352"/>
        <v>298.0843066925359</v>
      </c>
      <c r="DL108" s="146">
        <f>DM108+各项系数!$M$9*$NQ108</f>
        <v>310.1154933514801</v>
      </c>
      <c r="DM108" s="146">
        <f>DN108*(1+$EA108+(VLOOKUP($AM108,$A$12:$B$323,2,0))+各项系数!$J$6+各项系数!$M$5)*(1+$E$2)+各项系数!$M$9*$NK108</f>
        <v>307.85856263296694</v>
      </c>
      <c r="DN108" s="199">
        <f>DO108+各项系数!$L$9*$NQ108</f>
        <v>312.40601351331327</v>
      </c>
      <c r="DO108" s="199">
        <f>DP108*(1+$EB108+各项系数!$J$5+各项系数!$L$5)</f>
        <v>310.14908279480011</v>
      </c>
      <c r="DP108" s="199">
        <f t="shared" si="353"/>
        <v>301.11561436388359</v>
      </c>
      <c r="DQ108" s="146">
        <f>DR108+各项系数!$M$9*$NV108</f>
        <v>309.53450119362475</v>
      </c>
      <c r="DR108" s="146">
        <f t="shared" si="354"/>
        <v>307.25941612463669</v>
      </c>
      <c r="DS108" s="199">
        <f>DT108+各项系数!$L$9*$NV108</f>
        <v>313.53001645371091</v>
      </c>
      <c r="DT108" s="199">
        <f>DU108*(1+$EB108+各项系数!$J$5+各项系数!$L$5)</f>
        <v>311.25493138472285</v>
      </c>
      <c r="DU108" s="199">
        <f t="shared" si="355"/>
        <v>302.18925377157558</v>
      </c>
      <c r="DV108" s="146">
        <f>DW108+各项系数!$M$9*$NV108</f>
        <v>309.11620450822232</v>
      </c>
      <c r="DW108" s="146">
        <f t="shared" si="356"/>
        <v>306.84111943923426</v>
      </c>
      <c r="DX108" s="199">
        <f>DY108+各项系数!$L$9*$NV108</f>
        <v>313.10318310125945</v>
      </c>
      <c r="DY108" s="199">
        <f>DZ108*(1+$EB108+各项系数!$J$5+各项系数!$L$5)</f>
        <v>310.82809803227138</v>
      </c>
      <c r="DZ108" s="199">
        <f t="shared" si="357"/>
        <v>301.77485245851591</v>
      </c>
      <c r="EA108" s="214">
        <f t="shared" si="492"/>
        <v>0</v>
      </c>
      <c r="EB108" s="214">
        <f t="shared" si="358"/>
        <v>0.01</v>
      </c>
      <c r="EC108" s="235" t="str">
        <f t="shared" si="408"/>
        <v>3+1</v>
      </c>
      <c r="ED108" s="237" t="str">
        <f t="shared" si="494"/>
        <v>3*150</v>
      </c>
      <c r="EE108" s="78">
        <f t="shared" si="495"/>
        <v>150</v>
      </c>
      <c r="EF108" s="78" t="str">
        <f>LOOKUP(EH108,{1,7,10,14,19,24,30,37,48,61},{1,"1+6","2+8","4+10","1+6+12","2+8+14","4+10+16","1+6+12+18","3+9+15+21","1+6+12+18+24"})</f>
        <v>4+10+16</v>
      </c>
      <c r="EG108" s="106">
        <f t="shared" si="359"/>
        <v>3</v>
      </c>
      <c r="EH108" s="199">
        <f>VLOOKUP(EE108,各项系数!$B$87:$C$124,2,0)</f>
        <v>30</v>
      </c>
      <c r="EI108" s="106">
        <f>IF(EH108=0,0,VLOOKUP(EH108,各项系数!$D$142:$E$195,2,0))*1</f>
        <v>6.41</v>
      </c>
      <c r="EJ108" s="240">
        <f t="shared" si="409"/>
        <v>243.33587022849699</v>
      </c>
      <c r="EK108" s="78" t="str">
        <f t="shared" si="332"/>
        <v>1*70</v>
      </c>
      <c r="EL108" s="78" t="str">
        <f t="shared" si="360"/>
        <v>70</v>
      </c>
      <c r="EM108" s="78">
        <f t="shared" si="496"/>
        <v>70</v>
      </c>
      <c r="EN108" s="78" t="str">
        <f>IF(EP108=0,0,LOOKUP(EP108,{1,7,10,14,19,24,30,37,48,61},{1,"1+6","2+8","4+10","1+6+12","2+8+14","4+10+16","1+6+12+18","3+9+15+21","1+6+12+18+24"}))</f>
        <v>4+10</v>
      </c>
      <c r="EO108" s="78" t="str">
        <f t="shared" si="334"/>
        <v>1</v>
      </c>
      <c r="EP108" s="78">
        <f>IF(EM108=0,0,IF(EM108&lt;10,1,IF(AND(EM108&gt;=10,EM108&lt;=35),7,LOOKUP(EM108,{50,70,95,120,150,185,240,300},{10,14,19,24,30,37,48,61})*1)))</f>
        <v>14</v>
      </c>
      <c r="EQ108" s="78">
        <f>IF(EP108=0,0,VLOOKUP(EP108,各项系数!$D$142:$E$195,2,0))*1</f>
        <v>4.41</v>
      </c>
      <c r="ER108" s="78">
        <f t="shared" si="335"/>
        <v>242.29596858910099</v>
      </c>
      <c r="ES108" s="237">
        <f t="shared" si="497"/>
        <v>4</v>
      </c>
      <c r="ET108" s="78">
        <f>VLOOKUP(ES108,各项系数!$D$142:$E$195,2,0)*1</f>
        <v>2.42</v>
      </c>
      <c r="EU108" s="243">
        <f>((各项系数!$F$76/4*$EJ108^2*$EG108*$EH108*1*10^-7)*(1-$H108)*AA108)*(VLOOKUP($EY$9,各项系数!$D$4:$F$143,3,0))*各项系数!$J$4</f>
        <v>3.7578162583570753</v>
      </c>
      <c r="EV108" s="244">
        <f>EU108*(VLOOKUP($EY$9,各项系数!$D$4:$F$143,2,0))</f>
        <v>246.13696492238844</v>
      </c>
      <c r="EW108" s="252">
        <f>(IF($EO108=0,0,(各项系数!$F$76/4*$ER108^2*$EO108*$EP108*1*10^-7))*(1-$K108)*$AF108)*(VLOOKUP($EY$9,各项系数!$D$4:$F$143,3,0))*各项系数!$J$4</f>
        <v>0.57842170409620486</v>
      </c>
      <c r="EX108" s="253">
        <f>EW108*(VLOOKUP($EY$9,各项系数!$D$4:$F$143,2,0))</f>
        <v>37.886621618301419</v>
      </c>
      <c r="EY108" s="189">
        <f>((各项系数!$F$76/4*$EJ108^2*$EG108*$EH108*1*10^-7)*(1-$H108)*AA108+IF($EO108=0,0,(各项系数!$F$76/4*$ER108^2*$EO108*$EP108*1*10^-7))*(1-$K108)*$AF108)*(VLOOKUP($EY$9,各项系数!$D$4:$F$143,3,0))*各项系数!$J$4</f>
        <v>4.3362379624532794</v>
      </c>
      <c r="EZ108" s="106">
        <v>1</v>
      </c>
      <c r="FA108" s="78">
        <f t="shared" si="445"/>
        <v>4.3362379624532794</v>
      </c>
      <c r="FB108" s="246">
        <f>FA108*(VLOOKUP($EY$9,各项系数!$D$4:$F$143,2,0))</f>
        <v>284.02358654068979</v>
      </c>
      <c r="FC108" s="257"/>
      <c r="FD108" s="237">
        <f>各项系数!$F$76/4*($MN108^2-MK108^2)*10^-2*(VLOOKUP(L108,各项系数!$D$1:$F$143,3,0))*10^-3*10^2*$EG108*各项系数!$J$4</f>
        <v>0.24547563479114451</v>
      </c>
      <c r="FE108" s="264">
        <f>FD108*VLOOKUP(L108,各项系数!$D$1:$F$143,2,0)</f>
        <v>2.5038514748696739</v>
      </c>
      <c r="FF108" s="106">
        <f>各项系数!$F$76/4*($MO108^2-ML108^2)*10^-2*(VLOOKUP(L108,各项系数!$D$1:$F$143,3,0))*10^-3*10^2*$EO108*各项系数!$J$4</f>
        <v>4.4575600753230624E-2</v>
      </c>
      <c r="FG108" s="264">
        <f>FF108*VLOOKUP(L108,各项系数!$D$1:$F$143,2,0)</f>
        <v>0.45467112768295231</v>
      </c>
      <c r="FH108" s="237">
        <f t="shared" si="410"/>
        <v>0.29005123554437512</v>
      </c>
      <c r="FI108" s="106">
        <v>1</v>
      </c>
      <c r="FJ108" s="78">
        <f t="shared" si="446"/>
        <v>0.29005123554437512</v>
      </c>
      <c r="FK108" s="264">
        <f>FJ108*VLOOKUP(L108,各项系数!$D$1:$F$143,2,0)</f>
        <v>2.9585226025526259</v>
      </c>
      <c r="FL108" s="237"/>
      <c r="FM108" s="106"/>
      <c r="FN108" s="78"/>
      <c r="FO108" s="264"/>
      <c r="FP108" s="289">
        <f t="shared" si="447"/>
        <v>0.29005123554437512</v>
      </c>
      <c r="FQ108" s="289">
        <f t="shared" si="448"/>
        <v>2.9585226025526259</v>
      </c>
      <c r="FR108" s="283">
        <f>各项系数!$F$76/4*($MQ108^2-$MN108^2*$EG108-$MO108^2*$EO108)*10^-2</f>
        <v>4.0444189161644992</v>
      </c>
      <c r="FS108" s="284">
        <f t="shared" si="411"/>
        <v>1</v>
      </c>
      <c r="FT108" s="285">
        <f t="shared" si="361"/>
        <v>4.0444189161644992</v>
      </c>
      <c r="FU108" s="309">
        <f>$FT108*(VLOOKUP($FT$9,各项系数!$D$1:$F$143,3,0))*10^-3*10^2*各项系数!$J$55</f>
        <v>0.48290361859004116</v>
      </c>
      <c r="FV108" s="310">
        <v>1</v>
      </c>
      <c r="FW108" s="311">
        <f t="shared" si="449"/>
        <v>0.48290361859004116</v>
      </c>
      <c r="FX108" s="290">
        <f>FW108*(VLOOKUP($FT$9,各项系数!$D$1:$F$143,2,0))</f>
        <v>1.4487108557701234</v>
      </c>
      <c r="FY108" s="309">
        <f>IF($BK108&lt;&gt;$FY$9,0,各项系数!$F$76/4*($MS108^2-$MQ108^2)*10^-2*(VLOOKUP($FY$9,各项系数!$D$1:$F$143,3,0))*10^-3*10^2)*各项系数!$J$4</f>
        <v>0</v>
      </c>
      <c r="FZ108" s="310">
        <v>1</v>
      </c>
      <c r="GA108" s="311">
        <f t="shared" si="450"/>
        <v>0</v>
      </c>
      <c r="GB108" s="290">
        <f>GA108*(VLOOKUP($FY$9,各项系数!$D$1:$F$143,2,0))</f>
        <v>0</v>
      </c>
      <c r="GC108" s="309">
        <f>IF($BK108&lt;&gt;$GC$9,0,各项系数!$F$76/4*($MS108^2-$MQ108^2)*10^-2*(VLOOKUP($GC$9,各项系数!$D$1:$F$143,3,0))*10^-3*10^2)*各项系数!$J$4</f>
        <v>1.1240473654163724E-2</v>
      </c>
      <c r="GD108" s="310">
        <v>1</v>
      </c>
      <c r="GE108" s="311">
        <f t="shared" si="451"/>
        <v>1.1240473654163724E-2</v>
      </c>
      <c r="GF108" s="290">
        <f>GE108*(VLOOKUP($GC$9,各项系数!$D$1:$F$143,2,0))</f>
        <v>0.14500211013871203</v>
      </c>
      <c r="GG108" s="309">
        <f>IF($BK108&lt;&gt;$GG$9,0,各项系数!$F$76/4*($MS108^2-$MQ108^2)*10^-2*(VLOOKUP($GG$9,各项系数!$D$1:$F$143,3,0))*10^-3*10^2)*各项系数!$J$4</f>
        <v>0</v>
      </c>
      <c r="GH108" s="310">
        <v>1</v>
      </c>
      <c r="GI108" s="311">
        <f t="shared" si="452"/>
        <v>0</v>
      </c>
      <c r="GJ108" s="290">
        <f>GI108*(VLOOKUP($GG$9,各项系数!$D$1:$F$143,2,0))</f>
        <v>0</v>
      </c>
      <c r="GK108" s="309">
        <f>IF($BK108&lt;&gt;$GK$9,0,各项系数!$F$76/4*($MS108^2-$MQ108^2)*10^-2*(VLOOKUP($GK$9,各项系数!$D$1:$F$143,3,0))*10^-3*10^2)*各项系数!$J$4</f>
        <v>0</v>
      </c>
      <c r="GL108" s="310">
        <v>1</v>
      </c>
      <c r="GM108" s="311">
        <f t="shared" si="453"/>
        <v>0</v>
      </c>
      <c r="GN108" s="290">
        <f>GM108*(VLOOKUP($GK$9,各项系数!$D$1:$F$143,2,0))</f>
        <v>0</v>
      </c>
      <c r="GO108" s="311">
        <f t="shared" si="454"/>
        <v>1.1240473654163724E-2</v>
      </c>
      <c r="GP108" s="311">
        <f t="shared" si="455"/>
        <v>0.14500211013871203</v>
      </c>
      <c r="GQ108" s="317">
        <f>各项系数!$F$76/4*($MU108^2-$MS108^2)*10^-2*(VLOOKUP($S108,各项系数!$D$1:$F$143,3,0))*10^-3*10^2*各项系数!$J$4</f>
        <v>0.77208253155355233</v>
      </c>
      <c r="GR108" s="310">
        <v>1</v>
      </c>
      <c r="GS108" s="311">
        <f t="shared" si="456"/>
        <v>0.77208253155355233</v>
      </c>
      <c r="GT108" s="311">
        <f t="shared" si="457"/>
        <v>0</v>
      </c>
      <c r="GU108" s="311">
        <f>ROUND($GS108*(VLOOKUP($S108,各项系数!$D$1:$F$143,2,0))+$E$3*GS108,GT108)</f>
        <v>4</v>
      </c>
      <c r="GV108" s="315">
        <f>各项系数!$F$76/4*($MT108^2-$MS108^2)*10^-2*(VLOOKUP($GV$9,各项系数!$D$1:$F$143,3,0))*10^-3*10^2*各项系数!$J$4*PI()/4*R108</f>
        <v>5.7889851873778965E-2</v>
      </c>
      <c r="GW108" s="310">
        <v>1</v>
      </c>
      <c r="GX108" s="311">
        <f t="shared" si="458"/>
        <v>5.7889851873778965E-2</v>
      </c>
      <c r="GY108" s="311">
        <f>$GX108*(VLOOKUP($GV$9,各项系数!$D$1:$F$143,2,0))</f>
        <v>3.90756500148008</v>
      </c>
      <c r="GZ108" s="317">
        <f>各项系数!$F$76/4*($MV108^2-$MS108^2)*10^-2*(VLOOKUP($GZ$9,各项系数!$D$1:$F$143,3,0))*10^-3*10^2*各项系数!$J$4</f>
        <v>0.49703344172573455</v>
      </c>
      <c r="HA108" s="310">
        <v>1</v>
      </c>
      <c r="HB108" s="311">
        <f t="shared" si="412"/>
        <v>0.49703344172573455</v>
      </c>
      <c r="HC108" s="311">
        <f>HB108*(VLOOKUP($GZ$9,各项系数!$D$1:$F$143,2,0))</f>
        <v>8.449568509337487</v>
      </c>
      <c r="HD108" s="317">
        <f>各项系数!$F$76/4*($MW108^2-$MT108^2)*10^-2*(VLOOKUP($HD$9,各项系数!$D$1:$F$143,3,0))*10^-3*10^2*各项系数!$J$4</f>
        <v>0.49884645484612106</v>
      </c>
      <c r="HE108" s="310">
        <v>1</v>
      </c>
      <c r="HF108" s="311">
        <f t="shared" si="413"/>
        <v>0.49884645484612106</v>
      </c>
      <c r="HG108" s="311">
        <f>HF108*(VLOOKUP($HD$9,各项系数!$D$1:$F$143,2,0))</f>
        <v>8.480389732384058</v>
      </c>
      <c r="HH108" s="317">
        <f>各项系数!$F$76/4*($MV108^2-$MS108^2)*10^-2*(VLOOKUP($HH$9,各项系数!$D$1:$F$143,3,0))*10^-3*10^2*各项系数!$J$4</f>
        <v>0.49703344172573455</v>
      </c>
      <c r="HI108" s="311">
        <v>1</v>
      </c>
      <c r="HJ108" s="311">
        <f t="shared" si="414"/>
        <v>0.49703344172573455</v>
      </c>
      <c r="HK108" s="311">
        <f>HJ108*(VLOOKUP($HH$9,各项系数!$D$1:$F$143,2,0))</f>
        <v>8.449568509337487</v>
      </c>
      <c r="HL108" s="317">
        <f>各项系数!$F$76/4*($MW108^2-$MT108^2)*10^-2*(VLOOKUP($HL$9,各项系数!$D$1:$F$143,3,0))*10^-3*10^2*各项系数!$J$4</f>
        <v>0.49884645484612106</v>
      </c>
      <c r="HM108" s="311">
        <v>1</v>
      </c>
      <c r="HN108" s="311">
        <f t="shared" si="362"/>
        <v>0.49884645484612106</v>
      </c>
      <c r="HO108" s="311">
        <f>HN108*(VLOOKUP($HL$9,各项系数!$D$1:$F$143,2,0))</f>
        <v>8.480389732384058</v>
      </c>
      <c r="HP108" s="317">
        <f>各项系数!$F$76/4*($MV108^2-$MS108^2)*10^-2*(VLOOKUP(AN108,各项系数!$D$1:$F$143,3,0))*10^-3*10^2*各项系数!$J$4</f>
        <v>0.50388907540471017</v>
      </c>
      <c r="HQ108" s="310">
        <v>1</v>
      </c>
      <c r="HR108" s="311">
        <f t="shared" si="459"/>
        <v>0.50388907540471017</v>
      </c>
      <c r="HS108" s="311">
        <f>HR108*(VLOOKUP(AN108,各项系数!$D$1:$F$143,2,0))</f>
        <v>5.0388907540471015</v>
      </c>
      <c r="HT108" s="317">
        <f>各项系数!$F$76/4*($MW108^2-$MT108^2)*10^-2*(VLOOKUP(AN108,各项系数!$D$1:$F$143,3,0))*10^-3*10^2*各项系数!$J$4</f>
        <v>0.5057270956026193</v>
      </c>
      <c r="HU108" s="310">
        <v>1</v>
      </c>
      <c r="HV108" s="311">
        <f t="shared" si="460"/>
        <v>0.5057270956026193</v>
      </c>
      <c r="HW108" s="311">
        <f>HV108*(VLOOKUP(AN108,各项系数!$D$1:$F$143,2,0))</f>
        <v>5.0572709560261933</v>
      </c>
      <c r="HX108" s="317">
        <f>各项系数!$F$76/4*($MV108^2-$MS108^2)*10^-2*(VLOOKUP($HX$9,各项系数!$D$1:$F$143,3,0))*10^-3*10^2*各项系数!$J$4</f>
        <v>0.50388907540471017</v>
      </c>
      <c r="HY108" s="311">
        <v>1</v>
      </c>
      <c r="HZ108" s="311">
        <f t="shared" si="461"/>
        <v>0.50388907540471017</v>
      </c>
      <c r="IA108" s="311">
        <f>HZ108*(VLOOKUP($HX$9,各项系数!$D$1:$F$143,2,0))</f>
        <v>5.5427798294518116</v>
      </c>
      <c r="IB108" s="317">
        <f>各项系数!$F$76/4*($MW108^2-$MT108^2)*10^-2*(VLOOKUP($IB$9,各项系数!$D$1:$F$143,3,0))*10^-3*10^2*各项系数!$J$4</f>
        <v>0.5057270956026193</v>
      </c>
      <c r="IC108" s="311">
        <v>1</v>
      </c>
      <c r="ID108" s="311">
        <f t="shared" si="462"/>
        <v>0.5057270956026193</v>
      </c>
      <c r="IE108" s="311">
        <f>ID108*(VLOOKUP($IB$9,各项系数!$D$1:$F$143,2,0))</f>
        <v>5.5629980516288127</v>
      </c>
      <c r="IF108" s="309"/>
      <c r="IG108" s="317">
        <f t="shared" si="415"/>
        <v>8.2540338790546203E-2</v>
      </c>
      <c r="IH108" s="310">
        <v>1</v>
      </c>
      <c r="II108" s="311">
        <f t="shared" si="463"/>
        <v>8.2540338790546203E-2</v>
      </c>
      <c r="IJ108" s="311">
        <f>II108*(VLOOKUP($IG$8,各项系数!$D$1:$F$143,2,0))</f>
        <v>2.0635084697636552</v>
      </c>
      <c r="IK108" s="317">
        <f>(各项系数!$F$76/4*($MX108^2-$MK108^2)*$EG108)*10^-2*(VLOOKUP($IG$8,各项系数!$D$1:$F$143,3,0))*10^-3*10^2*各项系数!$J$4</f>
        <v>6.7087954517998788E-2</v>
      </c>
      <c r="IL108" s="310">
        <f>IK108*(VLOOKUP($IG$8,各项系数!$D$1:$F$143,2,0))</f>
        <v>1.6771988629499697</v>
      </c>
      <c r="IM108" s="311">
        <f>(各项系数!$F$76/4*(($MM108+3*$X108)^2-MM108^2)*$EO108)*10^-2*(VLOOKUP($IG$8,各项系数!$D$1:$F$143,3,0))*10^-3*10^2*各项系数!$J$4</f>
        <v>1.5452384272547408E-2</v>
      </c>
      <c r="IN108" s="310">
        <f>IM108*(VLOOKUP($IG$8,各项系数!$D$1:$F$143,2,0))</f>
        <v>0.3863096068136852</v>
      </c>
      <c r="IO108" s="317">
        <f>各项系数!$F$76/4*($MZ108^2-$MX108^2)*10^-2*(VLOOKUP(L108,各项系数!$D$1:$F$143,3,0))*10^-3*10^2*$ES108*各项系数!$J$4</f>
        <v>0.33885411620362238</v>
      </c>
      <c r="IP108" s="310">
        <v>1</v>
      </c>
      <c r="IQ108" s="311">
        <f t="shared" si="464"/>
        <v>0.33885411620362238</v>
      </c>
      <c r="IR108" s="290">
        <f>IQ108*(VLOOKUP(L108,各项系数!$D$1:$F$143,2,0))</f>
        <v>3.4563119852769479</v>
      </c>
      <c r="IS108" s="317">
        <f>IF($L108&lt;&gt;$IS$9,0,各项系数!$F$76/4*($MZ108^2-$MX108^2)*10^-2*各项系数!$F$12*10^-3*10^2)*$ES108*各项系数!$J$4</f>
        <v>0</v>
      </c>
      <c r="IT108" s="310">
        <v>1</v>
      </c>
      <c r="IU108" s="311">
        <f t="shared" si="465"/>
        <v>0</v>
      </c>
      <c r="IV108" s="290">
        <f>IU108*各项系数!$E$12</f>
        <v>0</v>
      </c>
      <c r="IW108" s="309">
        <f t="shared" si="466"/>
        <v>0.33885411620362238</v>
      </c>
      <c r="IX108" s="309">
        <f t="shared" si="467"/>
        <v>3.4563119852769479</v>
      </c>
      <c r="IY108" s="339">
        <f>各项系数!$F$76/4*($NB108^2-$MZ108^2*$EG108-$NA108^2*$EO108)*10^-2</f>
        <v>4.4616896443638954</v>
      </c>
      <c r="IZ108" s="284">
        <f t="shared" si="487"/>
        <v>1</v>
      </c>
      <c r="JA108" s="285">
        <f t="shared" si="363"/>
        <v>4.4616896443638954</v>
      </c>
      <c r="JB108" s="289">
        <f>IF($DE108&lt;&gt;$JB$9,0,$JA108*各项系数!$F$32*10^-3*10^2)*各项系数!$J$4</f>
        <v>0</v>
      </c>
      <c r="JC108" s="106">
        <v>1</v>
      </c>
      <c r="JD108" s="78">
        <f t="shared" si="468"/>
        <v>0</v>
      </c>
      <c r="JE108" s="264">
        <f>JD108*各项系数!$E$32</f>
        <v>0</v>
      </c>
      <c r="JF108" s="282">
        <f>IF($DE108&lt;&gt;$JF$9,0,$JA108*VLOOKUP($JF$9,各项系数!$D$4:$F$540,2,0)*10^-3*10^2)*各项系数!$J$4</f>
        <v>2.2196905980710375</v>
      </c>
      <c r="JG108" s="102">
        <v>1</v>
      </c>
      <c r="JH108" s="189">
        <f t="shared" si="364"/>
        <v>2.2196905980710375</v>
      </c>
      <c r="JI108" s="262">
        <f>JH108*VLOOKUP($JF$9,各项系数!$D$4:$F$540,3,0)</f>
        <v>2.6636287176852451</v>
      </c>
      <c r="JJ108" s="289">
        <f t="shared" si="469"/>
        <v>2.2196905980710375</v>
      </c>
      <c r="JK108" s="78">
        <f t="shared" si="470"/>
        <v>2.6636287176852451</v>
      </c>
      <c r="JL108" s="289">
        <f>IF($DF108&lt;&gt;$JL$9,0,各项系数!$F$76/4*($NE108^2-$NC108^2)*10^-2*各项系数!$F$39*10^-3*10^2)*各项系数!$J$4</f>
        <v>4.8526701488634761E-3</v>
      </c>
      <c r="JM108" s="106">
        <v>1</v>
      </c>
      <c r="JN108" s="78">
        <f t="shared" si="471"/>
        <v>4.8526701488634761E-3</v>
      </c>
      <c r="JO108" s="264">
        <f>JN108*各项系数!$E$39</f>
        <v>9.7053402977269526E-2</v>
      </c>
      <c r="JP108" s="289">
        <f>IF($DF108&lt;&gt;$JP$9,0,各项系数!$F$76/4*($NE108^2-$NC108^2)*10^-2*各项系数!$F$36*10^-3*10^2)*各项系数!$J$4</f>
        <v>0</v>
      </c>
      <c r="JQ108" s="106">
        <v>1</v>
      </c>
      <c r="JR108" s="78">
        <f t="shared" si="472"/>
        <v>0</v>
      </c>
      <c r="JS108" s="264">
        <f>JR108*各项系数!$E$36</f>
        <v>0</v>
      </c>
      <c r="JT108" s="289">
        <f>IF($DF108&lt;&gt;$JT$9,0,各项系数!$F$76/4*($NE108^2-$NC108^2)*10^-2*各项系数!$F$40*10^-3*10^2)*各项系数!$J$4</f>
        <v>0</v>
      </c>
      <c r="JU108" s="106">
        <v>1</v>
      </c>
      <c r="JV108" s="78">
        <f t="shared" si="473"/>
        <v>0</v>
      </c>
      <c r="JW108" s="264">
        <f>JV108*各项系数!$E$40</f>
        <v>0</v>
      </c>
      <c r="JX108" s="289">
        <f>IF($DF108&lt;&gt;$JX$9,0,各项系数!$F$76/4*($NE108^2-$NC108^2)*10^-2*各项系数!$F$38*10^-3*10^2)*各项系数!$J$4</f>
        <v>0</v>
      </c>
      <c r="JY108" s="106">
        <v>1</v>
      </c>
      <c r="JZ108" s="78">
        <f t="shared" si="474"/>
        <v>0</v>
      </c>
      <c r="KA108" s="264">
        <f>JZ108*各项系数!$E$38</f>
        <v>0</v>
      </c>
      <c r="KB108" s="289">
        <f>IF($DF108&lt;&gt;$KB$9,0,各项系数!$F$76/4*($NE108^2-$NC108^2)*10^-2*各项系数!$F$41*10^-3*10^2)*各项系数!$J$4</f>
        <v>0</v>
      </c>
      <c r="KC108" s="106">
        <v>1</v>
      </c>
      <c r="KD108" s="78">
        <f t="shared" si="475"/>
        <v>0</v>
      </c>
      <c r="KE108" s="264">
        <f>KD108*各项系数!$E$41</f>
        <v>0</v>
      </c>
      <c r="KF108" s="78">
        <f t="shared" si="476"/>
        <v>4.8526701488634761E-3</v>
      </c>
      <c r="KG108" s="78">
        <f t="shared" si="477"/>
        <v>9.7053402977269526E-2</v>
      </c>
      <c r="KH108" s="237">
        <f>各项系数!$F$76/4*($NG108^2-$NE108^2)*10^-2*各项系数!$F$44*10^-3*10^2*各项系数!$J$4*0.75*$U108</f>
        <v>1.209796242018407</v>
      </c>
      <c r="KI108" s="106">
        <v>1</v>
      </c>
      <c r="KJ108" s="78">
        <f t="shared" si="478"/>
        <v>1.209796242018407</v>
      </c>
      <c r="KK108" s="78">
        <f>ROUND(KJ108*各项系数!$E$43,GT108)</f>
        <v>7</v>
      </c>
      <c r="KL108" s="235">
        <f>各项系数!$F$76/4*($NF108^2-$NE108^2)*10^-2*各项系数!$F$46*10^-3*10^2*各项系数!$J$4*PI()/4*R108</f>
        <v>6.0514501583150471E-2</v>
      </c>
      <c r="KM108" s="106">
        <v>1</v>
      </c>
      <c r="KN108" s="78">
        <f t="shared" si="479"/>
        <v>6.0514501583150471E-2</v>
      </c>
      <c r="KO108" s="78">
        <f>KN108*各项系数!$E$46</f>
        <v>4.0847288568626565</v>
      </c>
      <c r="KP108" s="237">
        <f>各项系数!$F$76/4*($NH108^2-$NE108^2)*10^-2*(VLOOKUP($KP$9,各项系数!$D$1:$F$143,3,0))*10^-3*10^2*各项系数!$J$4</f>
        <v>0.51832501455827551</v>
      </c>
      <c r="KQ108" s="106">
        <v>1</v>
      </c>
      <c r="KR108" s="78">
        <f t="shared" si="416"/>
        <v>0.51832501455827551</v>
      </c>
      <c r="KS108" s="78">
        <f>KR108*(VLOOKUP($KP$9,各项系数!$D$1:$F$143,2,0))</f>
        <v>8.8115252474906836</v>
      </c>
      <c r="KT108" s="237">
        <f>各项系数!$F$76/4*($NI108^2-$NF108^2)*10^-2*(VLOOKUP($KT$9,各项系数!$D$1:$F$143,3,0))*10^-3*10^2*各项系数!$J$4</f>
        <v>0.52013802767866191</v>
      </c>
      <c r="KU108" s="106">
        <v>1</v>
      </c>
      <c r="KV108" s="78">
        <f t="shared" si="417"/>
        <v>0.52013802767866191</v>
      </c>
      <c r="KW108" s="78">
        <f>KV108*(VLOOKUP($KT$9,各项系数!$D$1:$F$143,2,0))</f>
        <v>8.8423464705372528</v>
      </c>
      <c r="KX108" s="78">
        <f>各项系数!$F$76/4*($NH108^2-$NE108^2)*10^-2*(VLOOKUP($KX$9,各项系数!$D$1:$F$143,3,0))*10^-3*10^2*各项系数!$J$4</f>
        <v>0.51832501455827551</v>
      </c>
      <c r="KY108" s="355">
        <v>1</v>
      </c>
      <c r="KZ108" s="78">
        <f t="shared" si="418"/>
        <v>0.51832501455827551</v>
      </c>
      <c r="LA108" s="78">
        <f>KZ108*(VLOOKUP($KX$9,各项系数!$D$1:$F$143,2,0))</f>
        <v>8.8115252474906836</v>
      </c>
      <c r="LB108" s="78">
        <f>各项系数!$F$76/4*($NI108^2-$NF108^2)*10^-2*(VLOOKUP($LB$9,各项系数!$D$1:$F$143,3,0))*10^-3*10^2*各项系数!$J$4</f>
        <v>0.52013802767866191</v>
      </c>
      <c r="LC108" s="355">
        <v>1</v>
      </c>
      <c r="LD108" s="78">
        <f t="shared" si="419"/>
        <v>0.52013802767866191</v>
      </c>
      <c r="LE108" s="78">
        <f>LD108*(VLOOKUP($LB$9,各项系数!$D$1:$F$143,2,0))</f>
        <v>8.8423464705372528</v>
      </c>
      <c r="LF108" s="237">
        <f>各项系数!$F$76/4*($NH108^2-$NE108^2)*10^-2*(VLOOKUP(AN108,各项系数!$D$1:$F$143,3,0))*10^-3*10^2*各项系数!$J$4</f>
        <v>0.52547432510390701</v>
      </c>
      <c r="LG108" s="106">
        <v>1</v>
      </c>
      <c r="LH108" s="78">
        <f t="shared" si="480"/>
        <v>0.52547432510390701</v>
      </c>
      <c r="LI108" s="78">
        <f>LH108*(VLOOKUP(AN108,各项系数!$D$1:$F$143,2,0))</f>
        <v>5.2547432510390699</v>
      </c>
      <c r="LJ108" s="237">
        <f>各项系数!$F$76/4*($NI108^2-$NF108^2)*10^-2*(VLOOKUP(AN108,各项系数!$D$1:$F$143,3,0))*10^-3*10^2*各项系数!$J$4</f>
        <v>0.52731234530181592</v>
      </c>
      <c r="LK108" s="106">
        <v>1</v>
      </c>
      <c r="LL108" s="78">
        <f t="shared" si="481"/>
        <v>0.52731234530181592</v>
      </c>
      <c r="LM108" s="78">
        <f>LL108*(VLOOKUP(AN108,各项系数!$D$1:$F$143,2,0))</f>
        <v>5.273123453018159</v>
      </c>
      <c r="LN108" s="78">
        <f>各项系数!$F$76/4*($NH108^2-$NE108^2)*10^-2*(VLOOKUP($LN$9,各项系数!$D$1:$F$143,3,0))*10^-3*10^2*各项系数!$J$4</f>
        <v>0.52547432510390701</v>
      </c>
      <c r="LO108" s="355">
        <v>1</v>
      </c>
      <c r="LP108" s="78">
        <f t="shared" si="482"/>
        <v>0.52547432510390701</v>
      </c>
      <c r="LQ108" s="78">
        <f>LP108*(VLOOKUP($LN$9,各项系数!$D$1:$F$143,2,0))</f>
        <v>5.7802175761429773</v>
      </c>
      <c r="LR108" s="78">
        <f>各项系数!$F$76/4*($NI108^2-$NF108^2)*10^-2*(VLOOKUP($LR$9,各项系数!$D$1:$F$143,3,0))*10^-3*10^2*各项系数!$J$4</f>
        <v>0.52731234530181592</v>
      </c>
      <c r="LS108" s="355">
        <v>1</v>
      </c>
      <c r="LT108" s="78">
        <f t="shared" si="483"/>
        <v>0.52731234530181592</v>
      </c>
      <c r="LU108" s="78">
        <f>LT108*(VLOOKUP($LR$9,各项系数!$D$1:$F$143,2,0))</f>
        <v>5.8004357983199748</v>
      </c>
      <c r="LV108" s="367">
        <f t="shared" si="420"/>
        <v>573.24392478000004</v>
      </c>
      <c r="LW108" s="367">
        <f t="shared" si="421"/>
        <v>418.54740756000001</v>
      </c>
      <c r="LX108" s="367">
        <f t="shared" si="422"/>
        <v>23.084867568426226</v>
      </c>
      <c r="LY108" s="367">
        <f t="shared" si="423"/>
        <v>154.69651722000003</v>
      </c>
      <c r="LZ108" s="374">
        <f t="shared" si="365"/>
        <v>1</v>
      </c>
      <c r="MA108" s="375">
        <f t="shared" si="366"/>
        <v>573.24392478000004</v>
      </c>
      <c r="MB108" s="367">
        <f t="shared" si="424"/>
        <v>15.59782927</v>
      </c>
      <c r="MC108" s="367">
        <f t="shared" si="425"/>
        <v>89.672532840000002</v>
      </c>
      <c r="MD108" s="367">
        <f t="shared" si="426"/>
        <v>64.552088069999996</v>
      </c>
      <c r="ME108" s="367">
        <f t="shared" si="427"/>
        <v>9.0658850216595468</v>
      </c>
      <c r="MF108" s="367">
        <f t="shared" si="428"/>
        <v>25.120444770000006</v>
      </c>
      <c r="MG108" s="379">
        <f t="shared" si="429"/>
        <v>1</v>
      </c>
      <c r="MH108" s="375">
        <f t="shared" si="367"/>
        <v>89.672532840000002</v>
      </c>
      <c r="MI108" s="367">
        <f t="shared" si="430"/>
        <v>10.685252214545548</v>
      </c>
      <c r="MJ108" s="78">
        <f t="shared" si="368"/>
        <v>15.59782927</v>
      </c>
      <c r="MK108" s="78">
        <f t="shared" si="431"/>
        <v>15.59782927</v>
      </c>
      <c r="ML108" s="78">
        <f t="shared" si="484"/>
        <v>10.685252214779355</v>
      </c>
      <c r="MM108" s="78">
        <f t="shared" si="369"/>
        <v>10.685252214545548</v>
      </c>
      <c r="MN108" s="78">
        <f t="shared" si="370"/>
        <v>18.397829269999999</v>
      </c>
      <c r="MO108" s="189">
        <f t="shared" si="432"/>
        <v>12.885252214545549</v>
      </c>
      <c r="MP108" s="78">
        <f t="shared" si="433"/>
        <v>41.187637709999997</v>
      </c>
      <c r="MQ108" s="78">
        <f t="shared" si="485"/>
        <v>41.187637709999997</v>
      </c>
      <c r="MR108" s="246">
        <f t="shared" si="434"/>
        <v>41.187637709999997</v>
      </c>
      <c r="MS108" s="380">
        <f t="shared" si="371"/>
        <v>41.363637709999999</v>
      </c>
      <c r="MT108" s="382">
        <f t="shared" si="372"/>
        <v>41.523637709999996</v>
      </c>
      <c r="MU108" s="382">
        <f t="shared" si="373"/>
        <v>42.863637709999999</v>
      </c>
      <c r="MV108" s="382">
        <f t="shared" si="374"/>
        <v>46.363637709999999</v>
      </c>
      <c r="MW108" s="382">
        <f t="shared" si="375"/>
        <v>46.523637709999996</v>
      </c>
      <c r="MX108" s="246">
        <f t="shared" si="376"/>
        <v>16.19782927</v>
      </c>
      <c r="MY108" s="246">
        <f t="shared" si="377"/>
        <v>11.285252214545547</v>
      </c>
      <c r="MZ108" s="78">
        <f t="shared" si="378"/>
        <v>18.99782927</v>
      </c>
      <c r="NA108" s="78">
        <f t="shared" si="379"/>
        <v>14.085252214545548</v>
      </c>
      <c r="NB108" s="78">
        <f t="shared" si="435"/>
        <v>43.002637710000002</v>
      </c>
      <c r="NC108" s="246">
        <f t="shared" si="486"/>
        <v>43.002637710000002</v>
      </c>
      <c r="ND108" s="246">
        <f t="shared" si="436"/>
        <v>43.002637710000002</v>
      </c>
      <c r="NE108" s="386">
        <f t="shared" si="437"/>
        <v>43.242637710000004</v>
      </c>
      <c r="NF108" s="382">
        <f t="shared" si="380"/>
        <v>43.40263771</v>
      </c>
      <c r="NG108" s="150">
        <f t="shared" si="381"/>
        <v>44.742637710000004</v>
      </c>
      <c r="NH108" s="246">
        <f t="shared" si="382"/>
        <v>48.242637710000004</v>
      </c>
      <c r="NI108" s="382">
        <f t="shared" si="383"/>
        <v>48.40263771</v>
      </c>
      <c r="NK108" s="390">
        <f t="shared" si="384"/>
        <v>5.6688979663998005</v>
      </c>
      <c r="NL108" s="390">
        <f t="shared" si="385"/>
        <v>294.06938399088131</v>
      </c>
      <c r="NM108" s="390">
        <f t="shared" si="386"/>
        <v>5.6688979663998005</v>
      </c>
      <c r="NN108" s="390">
        <f t="shared" si="387"/>
        <v>294.57327306628605</v>
      </c>
      <c r="NO108" s="390">
        <f t="shared" si="388"/>
        <v>7.5231023950438036</v>
      </c>
      <c r="NP108" s="390">
        <f t="shared" si="389"/>
        <v>297.94514197424564</v>
      </c>
      <c r="NQ108" s="390">
        <f t="shared" si="390"/>
        <v>7.5231023950438036</v>
      </c>
      <c r="NR108" s="390">
        <f t="shared" si="391"/>
        <v>298.47061629934962</v>
      </c>
      <c r="NS108" s="390">
        <f t="shared" si="392"/>
        <v>5.7267878182735794</v>
      </c>
      <c r="NT108" s="390">
        <f t="shared" si="393"/>
        <v>5.7267878182735794</v>
      </c>
      <c r="NU108" s="390">
        <f t="shared" si="394"/>
        <v>7.5836168966269542</v>
      </c>
      <c r="NV108" s="390">
        <f t="shared" si="395"/>
        <v>7.5836168966269542</v>
      </c>
      <c r="NW108" s="9">
        <f t="shared" si="396"/>
        <v>6.4409804979533529</v>
      </c>
      <c r="NX108" s="9">
        <f>各项系数!$M$9*NK108</f>
        <v>1.7006693899199401</v>
      </c>
      <c r="NY108" s="9">
        <f t="shared" si="397"/>
        <v>5.7267878182735794</v>
      </c>
    </row>
    <row r="109" spans="1:389" s="9" customFormat="1" ht="15" hidden="1" customHeight="1">
      <c r="A109" s="65"/>
      <c r="B109" s="66"/>
      <c r="C109" s="67"/>
      <c r="D109" s="58" t="s">
        <v>353</v>
      </c>
      <c r="E109" s="399">
        <f t="shared" si="325"/>
        <v>51.268625159999999</v>
      </c>
      <c r="F109" s="68">
        <f>$F$29</f>
        <v>245.09808262108001</v>
      </c>
      <c r="G109" s="58"/>
      <c r="H109" s="16"/>
      <c r="I109" s="145">
        <f>$F$26</f>
        <v>245.088056587712</v>
      </c>
      <c r="J109" s="62"/>
      <c r="K109" s="16"/>
      <c r="L109" s="107" t="s">
        <v>467</v>
      </c>
      <c r="M109" s="98">
        <f t="shared" si="339"/>
        <v>1.6</v>
      </c>
      <c r="N109" s="98">
        <f t="shared" si="501"/>
        <v>1.1000000000000001</v>
      </c>
      <c r="O109" s="58">
        <f t="shared" si="502"/>
        <v>0.08</v>
      </c>
      <c r="P109" s="99">
        <v>0.1</v>
      </c>
      <c r="Q109" s="136">
        <f t="shared" si="499"/>
        <v>0.1</v>
      </c>
      <c r="R109" s="151">
        <v>0.8</v>
      </c>
      <c r="S109" s="144" t="str">
        <f>各项系数!$D$43</f>
        <v>钢带</v>
      </c>
      <c r="T109" s="62">
        <v>0.5</v>
      </c>
      <c r="U109" s="62">
        <v>2</v>
      </c>
      <c r="V109" s="143"/>
      <c r="W109" s="145">
        <v>2.7</v>
      </c>
      <c r="X109" s="139">
        <f t="shared" si="500"/>
        <v>0.2</v>
      </c>
      <c r="Y109" s="139"/>
      <c r="Z109" s="169"/>
      <c r="AA109" s="170">
        <f>$AA$29</f>
        <v>1.0149999999999999</v>
      </c>
      <c r="AB109" s="153">
        <f>PI()*EJ109*EJ109/4*EH109*(1-H109)*AA109*各项系数!$F$5*各项系数!$J$4*10^-7</f>
        <v>1.5673367508788369</v>
      </c>
      <c r="AC109" s="170">
        <f t="shared" si="327"/>
        <v>245.09808262108001</v>
      </c>
      <c r="AD109" s="153">
        <f t="shared" si="341"/>
        <v>177.18929302065297</v>
      </c>
      <c r="AE109" s="153">
        <f>POWER(4*EU109/PI()/EG109/10^-7/EH109/(1-H109)/各项系数!$F$5/各项系数!$J$4,0.5)</f>
        <v>246.92947607788281</v>
      </c>
      <c r="AF109" s="16">
        <f>$AA$26</f>
        <v>1.0129999999999999</v>
      </c>
      <c r="AG109" s="16">
        <f>IF(EM109=0,0,PI()*ER109*ER109/4*EP109*(1-K109)*(1+AF109)*各项系数!$F$5*各项系数!$J$4*10^-7)</f>
        <v>1.5960863930184181</v>
      </c>
      <c r="AH109" s="16">
        <f t="shared" si="328"/>
        <v>245.088056587712</v>
      </c>
      <c r="AI109" s="69">
        <f t="shared" si="398"/>
        <v>90.802378338116014</v>
      </c>
      <c r="AJ109" s="69">
        <f>IF(OR(EP109="",EP109=0),0,POWER(4*EW109/PI()/EO109/10^-7/EP109/(1-K109)/各项系数!$F$5/各项系数!$J$4,0.5))</f>
        <v>246.67598485301878</v>
      </c>
      <c r="AK109" s="16">
        <f t="shared" si="342"/>
        <v>5.5052072303452313</v>
      </c>
      <c r="AL109" s="16">
        <f t="shared" si="329"/>
        <v>383.84986299643498</v>
      </c>
      <c r="AM109" s="106">
        <f t="shared" si="330"/>
        <v>185</v>
      </c>
      <c r="AN109" s="107" t="s">
        <v>486</v>
      </c>
      <c r="AO109" s="146">
        <f>AP109+各项系数!$M$9*$NK109</f>
        <v>376.32339509454408</v>
      </c>
      <c r="AP109" s="146">
        <f>AQ109*(1+$BI109+(VLOOKUP($AM109,$A$12:$B$323,2,0))+各项系数!$J$6+各项系数!$M$5)*(1+$E$2)</f>
        <v>374.18530591212846</v>
      </c>
      <c r="AQ109" s="199">
        <f>AR109+各项系数!$L$9*$NK109</f>
        <v>381.82174072666169</v>
      </c>
      <c r="AR109" s="199">
        <f>AS109*(1+$BJ109+各项系数!$J$5+各项系数!$L$5)</f>
        <v>379.68365154424606</v>
      </c>
      <c r="AS109" s="199">
        <f t="shared" si="399"/>
        <v>372.23887406298633</v>
      </c>
      <c r="AT109" s="146">
        <f>AU109+各项系数!$M$9*$NM109</f>
        <v>380.40040583729467</v>
      </c>
      <c r="AU109" s="146">
        <f>AV109*(1+$BI109+(VLOOKUP($AM109,$A$12:$B$323,2,0))+各项系数!$J$6+各项系数!$M$5)*(1+$E$2)</f>
        <v>378.26231665487904</v>
      </c>
      <c r="AV109" s="199">
        <f>AW109+各项系数!$L$9*$NM109</f>
        <v>385.98195577028474</v>
      </c>
      <c r="AW109" s="199">
        <f>AX109*(1+$BJ109+各项系数!$J$5+各项系数!$L$5)</f>
        <v>383.84386658786912</v>
      </c>
      <c r="AX109" s="199">
        <f t="shared" si="400"/>
        <v>376.31751626261678</v>
      </c>
      <c r="AY109" s="146">
        <f>AZ109+各项系数!$M$9*$NS109</f>
        <v>380.7119526429874</v>
      </c>
      <c r="AZ109" s="146">
        <f>BA109*(1+$BI109+(VLOOKUP($AM109,$A$12:$B$214,2,0))+各项系数!$J$6+各项系数!$M$5)*(1+$E$2)</f>
        <v>378.5546086901079</v>
      </c>
      <c r="BA109" s="199">
        <f>BB109+各项系数!$L$9*$NS109</f>
        <v>386.28021294908967</v>
      </c>
      <c r="BB109" s="199">
        <f>BC109*(1+$BJ109+各项系数!$J$5+各项系数!$L$5)</f>
        <v>384.12286899621017</v>
      </c>
      <c r="BC109" s="199">
        <f t="shared" si="401"/>
        <v>376.59104803550014</v>
      </c>
      <c r="BD109" s="146">
        <f>BE109+各项系数!$M$9*$NS109</f>
        <v>384.80239431396973</v>
      </c>
      <c r="BE109" s="146">
        <f>BF109*(1+$BI109+(VLOOKUP($AM109,$A$12:$B$214,2,0))+各项系数!$J$6+各项系数!$M$5)*(1+$E$2)</f>
        <v>382.64505036109023</v>
      </c>
      <c r="BF109" s="199">
        <f>BG109+各项系数!$L$9*$NS109</f>
        <v>390.45413302152065</v>
      </c>
      <c r="BG109" s="199">
        <f>BH109*(1+$BJ109+各项系数!$J$5+各项系数!$L$5)</f>
        <v>388.29678906864115</v>
      </c>
      <c r="BH109" s="199">
        <f t="shared" si="402"/>
        <v>380.68312653788348</v>
      </c>
      <c r="BI109" s="214"/>
      <c r="BJ109" s="215"/>
      <c r="BK109" s="78" t="s">
        <v>514</v>
      </c>
      <c r="BL109" s="146">
        <f>BM109+各项系数!$M$9*$NM109</f>
        <v>380.57957351879054</v>
      </c>
      <c r="BM109" s="146">
        <f>BN109*(1+$CF109+(VLOOKUP($AM109,$A$12:$B$323,2,0))+各项系数!$J$6+各项系数!$M$5)*(1+$E$2)</f>
        <v>378.44148433637491</v>
      </c>
      <c r="BN109" s="199">
        <f>BO109+各项系数!$L$9*$NM109</f>
        <v>386.16477993507647</v>
      </c>
      <c r="BO109" s="199">
        <f>BP109*(1+$CG109+各项系数!$J$5+各项系数!$L$5)</f>
        <v>384.02669075266084</v>
      </c>
      <c r="BP109" s="199">
        <f t="shared" si="403"/>
        <v>372.84144733268045</v>
      </c>
      <c r="BQ109" s="146">
        <f>BR109+各项系数!$M$9*$NM109</f>
        <v>384.08831749666831</v>
      </c>
      <c r="BR109" s="146">
        <f>BS109*(1+$CF109+(VLOOKUP($AM109,$A$12:$B$323,2,0))+各项系数!$J$6+各项系数!$M$5)*(1+$E$2)</f>
        <v>381.95022831425268</v>
      </c>
      <c r="BS109" s="199">
        <f>BT109+各项系数!$L$9*$NM109</f>
        <v>389.74513093291091</v>
      </c>
      <c r="BT109" s="199">
        <f>BU109*(1+$CG109+各项系数!$J$5+各项系数!$L$5)</f>
        <v>387.60704175049528</v>
      </c>
      <c r="BU109" s="199">
        <f t="shared" si="404"/>
        <v>376.31751626261678</v>
      </c>
      <c r="BV109" s="146">
        <f>BW109+各项系数!$M$9*$NT109</f>
        <v>382.90668715482923</v>
      </c>
      <c r="BW109" s="146">
        <f>BX109*(1+$CF109+(VLOOKUP($AM109,$A$12:$B$214,2,0))+各项系数!$J$6+各项系数!$M$5)*(1+$E$2)</f>
        <v>380.74934320194973</v>
      </c>
      <c r="BX109" s="199">
        <f>BY109+各项系数!$L$9*$NT$12</f>
        <v>388.51973796117318</v>
      </c>
      <c r="BY109" s="199">
        <f>BZ109*(1+$CG109+各项系数!$J$5+各项系数!$L$5)</f>
        <v>388.51147455801822</v>
      </c>
      <c r="BZ109" s="199">
        <f t="shared" si="343"/>
        <v>377.195606367008</v>
      </c>
      <c r="CA109" s="146">
        <f>CB109+各项系数!$M$9*$NT109</f>
        <v>386.42699001531093</v>
      </c>
      <c r="CB109" s="146">
        <f>CC109*(1+$CF109+(VLOOKUP($AM109,$A$12:$B$214,2,0))+各项系数!$J$6+各项系数!$M$5)*(1+$E$2)</f>
        <v>384.26964606243143</v>
      </c>
      <c r="CC109" s="199">
        <f>CD109+各项系数!$L$9*$NT$12</f>
        <v>392.11188373717494</v>
      </c>
      <c r="CD109" s="199">
        <f>CE109*(1+$CG109+各项系数!$J$5+各项系数!$L$5)</f>
        <v>392.10362033401998</v>
      </c>
      <c r="CE109" s="199">
        <f t="shared" si="405"/>
        <v>380.68312653788348</v>
      </c>
      <c r="CF109" s="214">
        <f t="shared" si="406"/>
        <v>0</v>
      </c>
      <c r="CG109" s="214">
        <f t="shared" si="344"/>
        <v>0.01</v>
      </c>
      <c r="CH109" s="106"/>
      <c r="CI109" s="146">
        <f>CJ109+各项系数!$M$9*$NO109</f>
        <v>384.50759155556113</v>
      </c>
      <c r="CJ109" s="146">
        <f>CK109*(1+$DC109+(VLOOKUP($AM109,$A$12:$B$323,2,0))+各项系数!$J$6+各项系数!$M$5)*(1+$E$2)+各项系数!$M$9*$NK109</f>
        <v>381.67919126759341</v>
      </c>
      <c r="CK109" s="199">
        <f>CL109+各项系数!$L$9*$NO109</f>
        <v>387.28683886242629</v>
      </c>
      <c r="CL109" s="199">
        <f>CM109*(1+$DD109+各项系数!$J$5+各项系数!$L$5)</f>
        <v>384.45843857445857</v>
      </c>
      <c r="CM109" s="199">
        <f t="shared" si="345"/>
        <v>376.9200378180966</v>
      </c>
      <c r="CN109" s="146">
        <f>CO109+各项系数!$M$9*$NO109</f>
        <v>388.32156279953023</v>
      </c>
      <c r="CO109" s="146">
        <f>CP109*(1+$DC109+(VLOOKUP($AM109,$A$12:$B$323,2,0))+各项系数!$J$6+各项系数!$M$5)*(1+$E$2)+各项系数!$M$9*$NK109</f>
        <v>385.4931625115625</v>
      </c>
      <c r="CP109" s="199">
        <f>CQ109+各项系数!$L$9*$NO109</f>
        <v>391.17864625423152</v>
      </c>
      <c r="CQ109" s="199">
        <f>CR109*(1+$DD109+各项系数!$J$5+各项系数!$L$5)</f>
        <v>388.3502459662638</v>
      </c>
      <c r="CR109" s="199">
        <f t="shared" si="346"/>
        <v>380.73553526104291</v>
      </c>
      <c r="CS109" s="146">
        <f>CT109+各项系数!$M$9*$NU109</f>
        <v>386.95972088985883</v>
      </c>
      <c r="CT109" s="146">
        <f t="shared" si="347"/>
        <v>384.11117702641917</v>
      </c>
      <c r="CU109" s="199">
        <f>CV109+各项系数!$L$9*$NU109</f>
        <v>391.95018063920327</v>
      </c>
      <c r="CV109" s="199">
        <f>CW109*(1+$DD109+各项系数!$J$5+各项系数!$L$5)</f>
        <v>389.10163677576361</v>
      </c>
      <c r="CW109" s="199">
        <f t="shared" si="348"/>
        <v>381.47219291741527</v>
      </c>
      <c r="CX109" s="146">
        <f>CY109+各项系数!$M$9*$NU109</f>
        <v>391.22820630321377</v>
      </c>
      <c r="CY109" s="146">
        <f t="shared" si="349"/>
        <v>388.37966243977411</v>
      </c>
      <c r="CZ109" s="199">
        <f>DA109+各项系数!$L$9*$NU109</f>
        <v>396.30577799976953</v>
      </c>
      <c r="DA109" s="199">
        <f>DB109*(1+$DD109+各项系数!$J$5+各项系数!$L$5)</f>
        <v>393.45723413632987</v>
      </c>
      <c r="DB109" s="199">
        <f t="shared" si="350"/>
        <v>385.74238640816651</v>
      </c>
      <c r="DC109" s="214">
        <f t="shared" si="498"/>
        <v>0</v>
      </c>
      <c r="DD109" s="214">
        <f t="shared" si="351"/>
        <v>0</v>
      </c>
      <c r="DE109" s="78" t="s">
        <v>498</v>
      </c>
      <c r="DF109" s="78" t="s">
        <v>513</v>
      </c>
      <c r="DG109" s="146">
        <f>DH109+各项系数!$M$9*$NQ109</f>
        <v>388.83620721634742</v>
      </c>
      <c r="DH109" s="146">
        <f>DI109*(1+$EA109+(VLOOKUP($AM109,$A$12:$B$323,2,0))+各项系数!$J$6+各项系数!$M$5)*(1+$E$2)+各项系数!$M$9*$NK109</f>
        <v>386.00780692837969</v>
      </c>
      <c r="DI109" s="199">
        <f>DJ109+各项系数!$L$9*$NQ109</f>
        <v>391.70379361833068</v>
      </c>
      <c r="DJ109" s="199">
        <f>DK109*(1+$EB109+各项系数!$J$5+各项系数!$L$5)</f>
        <v>388.87539333036295</v>
      </c>
      <c r="DK109" s="199">
        <f t="shared" si="352"/>
        <v>377.54892556345919</v>
      </c>
      <c r="DL109" s="146">
        <f>DM109+各项系数!$M$9*$NQ109</f>
        <v>392.49817863174394</v>
      </c>
      <c r="DM109" s="146">
        <f>DN109*(1+$EA109+(VLOOKUP($AM109,$A$12:$B$323,2,0))+各项系数!$J$6+各项系数!$M$5)*(1+$E$2)+各项系数!$M$9*$NK109</f>
        <v>389.66977834377622</v>
      </c>
      <c r="DN109" s="199">
        <f>DO109+各项系数!$L$9*$NQ109</f>
        <v>395.44049914424551</v>
      </c>
      <c r="DO109" s="199">
        <f>DP109*(1+$EB109+各项系数!$J$5+各项系数!$L$5)</f>
        <v>392.61209885627778</v>
      </c>
      <c r="DP109" s="199">
        <f t="shared" si="353"/>
        <v>381.17679500609495</v>
      </c>
      <c r="DQ109" s="146">
        <f>DR109+各项系数!$M$9*$NV109</f>
        <v>391.33495139201329</v>
      </c>
      <c r="DR109" s="146">
        <f t="shared" si="354"/>
        <v>388.48640752857364</v>
      </c>
      <c r="DS109" s="199">
        <f>DT109+各项系数!$L$9*$NV109</f>
        <v>396.41470155976901</v>
      </c>
      <c r="DT109" s="199">
        <f>DU109*(1+$EB109+各项系数!$J$5+各项系数!$L$5)</f>
        <v>393.56615769632936</v>
      </c>
      <c r="DU109" s="199">
        <f t="shared" si="355"/>
        <v>382.1030657245916</v>
      </c>
      <c r="DV109" s="146">
        <f>DW109+各项系数!$M$9*$NV109</f>
        <v>390.62272914468048</v>
      </c>
      <c r="DW109" s="146">
        <f t="shared" si="356"/>
        <v>387.77418528124082</v>
      </c>
      <c r="DX109" s="199">
        <f>DY109+各项系数!$L$9*$NV109</f>
        <v>395.68794416453147</v>
      </c>
      <c r="DY109" s="199">
        <f>DZ109*(1+$EB109+各项系数!$J$5+各项系数!$L$5)</f>
        <v>392.83940030109181</v>
      </c>
      <c r="DZ109" s="199">
        <f t="shared" si="357"/>
        <v>381.39747602047748</v>
      </c>
      <c r="EA109" s="214">
        <f t="shared" si="492"/>
        <v>0</v>
      </c>
      <c r="EB109" s="214">
        <f t="shared" si="358"/>
        <v>0.01</v>
      </c>
      <c r="EC109" s="235" t="str">
        <f t="shared" si="408"/>
        <v>3+1</v>
      </c>
      <c r="ED109" s="237" t="str">
        <f t="shared" si="494"/>
        <v>3*185</v>
      </c>
      <c r="EE109" s="78">
        <f t="shared" si="495"/>
        <v>185</v>
      </c>
      <c r="EF109" s="78" t="str">
        <f>LOOKUP(EH109,{1,7,10,14,19,24,30,37,48,61},{1,"1+6","2+8","4+10","1+6+12","2+8+14","4+10+16","1+6+12+18","3+9+15+21","1+6+12+18+24"})</f>
        <v>1+6+12+18</v>
      </c>
      <c r="EG109" s="106">
        <f t="shared" si="359"/>
        <v>3</v>
      </c>
      <c r="EH109" s="199">
        <f>VLOOKUP(EE109,各项系数!$B$87:$C$124,2,0)</f>
        <v>37</v>
      </c>
      <c r="EI109" s="106">
        <f>IF(EH109=0,0,VLOOKUP(EH109,各项系数!$D$142:$E$195,2,0))*1</f>
        <v>7</v>
      </c>
      <c r="EJ109" s="240">
        <f t="shared" si="409"/>
        <v>245.09808262108001</v>
      </c>
      <c r="EK109" s="78" t="str">
        <f t="shared" si="332"/>
        <v>1*95</v>
      </c>
      <c r="EL109" s="78" t="str">
        <f t="shared" si="360"/>
        <v>95</v>
      </c>
      <c r="EM109" s="78">
        <f t="shared" si="496"/>
        <v>95</v>
      </c>
      <c r="EN109" s="78" t="str">
        <f>IF(EP109=0,0,LOOKUP(EP109,{1,7,10,14,19,24,30,37,48,61},{1,"1+6","2+8","4+10","1+6+12","2+8+14","4+10+16","1+6+12+18","3+9+15+21","1+6+12+18+24"}))</f>
        <v>1+6+12</v>
      </c>
      <c r="EO109" s="78" t="str">
        <f t="shared" si="334"/>
        <v>1</v>
      </c>
      <c r="EP109" s="78">
        <f>IF(EM109=0,0,IF(EM109&lt;10,1,IF(AND(EM109&gt;=10,EM109&lt;=35),7,LOOKUP(EM109,{50,70,95,120,150,185,240,300},{10,14,19,24,30,37,48,61})*1)))</f>
        <v>19</v>
      </c>
      <c r="EQ109" s="78">
        <f>IF(EP109=0,0,VLOOKUP(EP109,各项系数!$D$142:$E$195,2,0))*1</f>
        <v>5</v>
      </c>
      <c r="ER109" s="78">
        <f t="shared" si="335"/>
        <v>245.088056587712</v>
      </c>
      <c r="ES109" s="237">
        <f t="shared" si="497"/>
        <v>4</v>
      </c>
      <c r="ET109" s="78">
        <f>VLOOKUP(ES109,各项系数!$D$142:$E$195,2,0)*1</f>
        <v>2.42</v>
      </c>
      <c r="EU109" s="243">
        <f>((各项系数!$F$76/4*$EJ109^2*$EG109*$EH109*1*10^-7)*(1-$H109)*AA109)*(VLOOKUP($EY$9,各项系数!$D$4:$F$143,3,0))*各项系数!$J$4</f>
        <v>4.7020102526365095</v>
      </c>
      <c r="EV109" s="244">
        <f>EU109*(VLOOKUP($EY$9,各项系数!$D$4:$F$143,2,0))</f>
        <v>307.98167154769135</v>
      </c>
      <c r="EW109" s="252">
        <f>(IF($EO109=0,0,(各项系数!$F$76/4*$ER109^2*$EO109*$EP109*1*10^-7))*(1-$K109)*$AF109)*(VLOOKUP($EY$9,各项系数!$D$4:$F$143,3,0))*各项系数!$J$4</f>
        <v>0.803196977708722</v>
      </c>
      <c r="EX109" s="253">
        <f>EW109*(VLOOKUP($EY$9,各项系数!$D$4:$F$143,2,0))</f>
        <v>52.609402039921292</v>
      </c>
      <c r="EY109" s="189">
        <f>((各项系数!$F$76/4*$EJ109^2*$EG109*$EH109*1*10^-7)*(1-$H109)*AA109+IF($EO109=0,0,(各项系数!$F$76/4*$ER109^2*$EO109*$EP109*1*10^-7))*(1-$K109)*$AF109)*(VLOOKUP($EY$9,各项系数!$D$4:$F$143,3,0))*各项系数!$J$4</f>
        <v>5.5052072303452313</v>
      </c>
      <c r="EZ109" s="106">
        <v>1</v>
      </c>
      <c r="FA109" s="78">
        <f t="shared" si="445"/>
        <v>5.5052072303452313</v>
      </c>
      <c r="FB109" s="246">
        <f>FA109*(VLOOKUP($EY$9,各项系数!$D$4:$F$143,2,0))</f>
        <v>360.59107358761264</v>
      </c>
      <c r="FC109" s="257"/>
      <c r="FD109" s="237">
        <f>各项系数!$F$76/4*($MN109^2-MK109^2)*10^-2*(VLOOKUP(L109,各项系数!$D$1:$F$143,3,0))*10^-3*10^2*$EG109*各项系数!$J$4</f>
        <v>0.30957590227819315</v>
      </c>
      <c r="FE109" s="264">
        <f>FD109*VLOOKUP(L109,各项系数!$D$1:$F$143,2,0)</f>
        <v>3.15767420323757</v>
      </c>
      <c r="FF109" s="106">
        <f>各项系数!$F$76/4*($MO109^2-ML109^2)*10^-2*(VLOOKUP(L109,各项系数!$D$1:$F$143,3,0))*10^-3*10^2*$EO109*各项系数!$J$4</f>
        <v>5.0510631262692542E-2</v>
      </c>
      <c r="FG109" s="264">
        <f>FF109*VLOOKUP(L109,各项系数!$D$1:$F$143,2,0)</f>
        <v>0.51520843887946388</v>
      </c>
      <c r="FH109" s="237">
        <f t="shared" si="410"/>
        <v>0.36008653354088571</v>
      </c>
      <c r="FI109" s="106">
        <v>1</v>
      </c>
      <c r="FJ109" s="78">
        <f t="shared" si="446"/>
        <v>0.36008653354088571</v>
      </c>
      <c r="FK109" s="264">
        <f>FJ109*VLOOKUP(L109,各项系数!$D$1:$F$143,2,0)</f>
        <v>3.6728826421170342</v>
      </c>
      <c r="FL109" s="237"/>
      <c r="FM109" s="106"/>
      <c r="FN109" s="78"/>
      <c r="FO109" s="264"/>
      <c r="FP109" s="289">
        <f t="shared" si="447"/>
        <v>0.36008653354088571</v>
      </c>
      <c r="FQ109" s="289">
        <f t="shared" si="448"/>
        <v>3.6728826421170342</v>
      </c>
      <c r="FR109" s="283">
        <f>各项系数!$F$76/4*($MQ109^2-$MN109^2*$EG109-$MO109^2*$EO109)*10^-2</f>
        <v>4.99262121303732</v>
      </c>
      <c r="FS109" s="284">
        <f t="shared" si="411"/>
        <v>1</v>
      </c>
      <c r="FT109" s="285">
        <f t="shared" si="361"/>
        <v>4.99262121303732</v>
      </c>
      <c r="FU109" s="309">
        <f>$FT109*(VLOOKUP($FT$9,各项系数!$D$1:$F$143,3,0))*10^-3*10^2*各项系数!$J$55</f>
        <v>0.59611897283665605</v>
      </c>
      <c r="FV109" s="310">
        <v>1</v>
      </c>
      <c r="FW109" s="311">
        <f t="shared" si="449"/>
        <v>0.59611897283665605</v>
      </c>
      <c r="FX109" s="290">
        <f>FW109*(VLOOKUP($FT$9,各项系数!$D$1:$F$143,2,0))</f>
        <v>1.7883569185099681</v>
      </c>
      <c r="FY109" s="309">
        <f>IF($BK109&lt;&gt;$FY$9,0,各项系数!$F$76/4*($MS109^2-$MQ109^2)*10^-2*(VLOOKUP($FY$9,各项系数!$D$1:$F$143,3,0))*10^-3*10^2)*各项系数!$J$4</f>
        <v>0</v>
      </c>
      <c r="FZ109" s="310">
        <v>1</v>
      </c>
      <c r="GA109" s="311">
        <f t="shared" si="450"/>
        <v>0</v>
      </c>
      <c r="GB109" s="290">
        <f>GA109*(VLOOKUP($FY$9,各项系数!$D$1:$F$143,2,0))</f>
        <v>0</v>
      </c>
      <c r="GC109" s="309">
        <f>IF($BK109&lt;&gt;$GC$9,0,各项系数!$F$76/4*($MS109^2-$MQ109^2)*10^-2*(VLOOKUP($GC$9,各项系数!$D$1:$F$143,3,0))*10^-3*10^2)*各项系数!$J$4</f>
        <v>1.2467303705823649E-2</v>
      </c>
      <c r="GD109" s="310">
        <v>1</v>
      </c>
      <c r="GE109" s="311">
        <f t="shared" si="451"/>
        <v>1.2467303705823649E-2</v>
      </c>
      <c r="GF109" s="290">
        <f>GE109*(VLOOKUP($GC$9,各项系数!$D$1:$F$143,2,0))</f>
        <v>0.16082821780512507</v>
      </c>
      <c r="GG109" s="309">
        <f>IF($BK109&lt;&gt;$GG$9,0,各项系数!$F$76/4*($MS109^2-$MQ109^2)*10^-2*(VLOOKUP($GG$9,各项系数!$D$1:$F$143,3,0))*10^-3*10^2)*各项系数!$J$4</f>
        <v>0</v>
      </c>
      <c r="GH109" s="310">
        <v>1</v>
      </c>
      <c r="GI109" s="311">
        <f t="shared" si="452"/>
        <v>0</v>
      </c>
      <c r="GJ109" s="290">
        <f>GI109*(VLOOKUP($GG$9,各项系数!$D$1:$F$143,2,0))</f>
        <v>0</v>
      </c>
      <c r="GK109" s="309">
        <f>IF($BK109&lt;&gt;$GK$9,0,各项系数!$F$76/4*($MS109^2-$MQ109^2)*10^-2*(VLOOKUP($GK$9,各项系数!$D$1:$F$143,3,0))*10^-3*10^2)*各项系数!$J$4</f>
        <v>0</v>
      </c>
      <c r="GL109" s="310">
        <v>1</v>
      </c>
      <c r="GM109" s="311">
        <f t="shared" si="453"/>
        <v>0</v>
      </c>
      <c r="GN109" s="290">
        <f>GM109*(VLOOKUP($GK$9,各项系数!$D$1:$F$143,2,0))</f>
        <v>0</v>
      </c>
      <c r="GO109" s="311">
        <f t="shared" si="454"/>
        <v>1.2467303705823649E-2</v>
      </c>
      <c r="GP109" s="311">
        <f t="shared" si="455"/>
        <v>0.16082821780512507</v>
      </c>
      <c r="GQ109" s="317">
        <f>各项系数!$F$76/4*($MU109^2-$MS109^2)*10^-2*(VLOOKUP($S109,各项系数!$D$1:$F$143,3,0))*10^-3*10^2*各项系数!$J$4</f>
        <v>0.85467387972832931</v>
      </c>
      <c r="GR109" s="310">
        <v>1</v>
      </c>
      <c r="GS109" s="311">
        <f t="shared" si="456"/>
        <v>0.85467387972832931</v>
      </c>
      <c r="GT109" s="311">
        <f t="shared" si="457"/>
        <v>0</v>
      </c>
      <c r="GU109" s="311">
        <f>ROUND($GS109*(VLOOKUP($S109,各项系数!$D$1:$F$143,2,0))+$E$3*GS109,GT109)</f>
        <v>5</v>
      </c>
      <c r="GV109" s="315">
        <f>各项系数!$F$76/4*($MT109^2-$MS109^2)*10^-2*(VLOOKUP($GV$9,各项系数!$D$1:$F$143,3,0))*10^-3*10^2*各项系数!$J$4*PI()/4*R109</f>
        <v>6.4182568212983557E-2</v>
      </c>
      <c r="GW109" s="310">
        <v>1</v>
      </c>
      <c r="GX109" s="311">
        <f t="shared" si="458"/>
        <v>6.4182568212983557E-2</v>
      </c>
      <c r="GY109" s="311">
        <f>$GX109*(VLOOKUP($GV$9,各项系数!$D$1:$F$143,2,0))</f>
        <v>4.3323233543763902</v>
      </c>
      <c r="GZ109" s="317">
        <f>各项系数!$F$76/4*($MV109^2-$MS109^2)*10^-2*(VLOOKUP($GZ$9,各项系数!$D$1:$F$143,3,0))*10^-3*10^2*各项系数!$J$4</f>
        <v>0.59437499391599913</v>
      </c>
      <c r="HA109" s="310">
        <v>1</v>
      </c>
      <c r="HB109" s="311">
        <f t="shared" si="412"/>
        <v>0.59437499391599913</v>
      </c>
      <c r="HC109" s="311">
        <f>HB109*(VLOOKUP($GZ$9,各项系数!$D$1:$F$143,2,0))</f>
        <v>10.104374896571985</v>
      </c>
      <c r="HD109" s="317">
        <f>各项系数!$F$76/4*($MW109^2-$MT109^2)*10^-2*(VLOOKUP($HD$9,各项系数!$D$1:$F$143,3,0))*10^-3*10^2*各项系数!$J$4</f>
        <v>0.59633304808601639</v>
      </c>
      <c r="HE109" s="310">
        <v>1</v>
      </c>
      <c r="HF109" s="311">
        <f t="shared" si="413"/>
        <v>0.59633304808601639</v>
      </c>
      <c r="HG109" s="311">
        <f>HF109*(VLOOKUP($HD$9,各项系数!$D$1:$F$143,2,0))</f>
        <v>10.137661817462279</v>
      </c>
      <c r="HH109" s="317">
        <f>各项系数!$F$76/4*($MV109^2-$MS109^2)*10^-2*(VLOOKUP($HH$9,各项系数!$D$1:$F$143,3,0))*10^-3*10^2*各项系数!$J$4</f>
        <v>0.59437499391599913</v>
      </c>
      <c r="HI109" s="311">
        <v>1</v>
      </c>
      <c r="HJ109" s="311">
        <f t="shared" si="414"/>
        <v>0.59437499391599913</v>
      </c>
      <c r="HK109" s="311">
        <f>HJ109*(VLOOKUP($HH$9,各项系数!$D$1:$F$143,2,0))</f>
        <v>10.104374896571985</v>
      </c>
      <c r="HL109" s="317">
        <f>各项系数!$F$76/4*($MW109^2-$MT109^2)*10^-2*(VLOOKUP($HL$9,各项系数!$D$1:$F$143,3,0))*10^-3*10^2*各项系数!$J$4</f>
        <v>0.59633304808601639</v>
      </c>
      <c r="HM109" s="311">
        <v>1</v>
      </c>
      <c r="HN109" s="311">
        <f t="shared" si="362"/>
        <v>0.59633304808601639</v>
      </c>
      <c r="HO109" s="311">
        <f>HN109*(VLOOKUP($HL$9,各项系数!$D$1:$F$143,2,0))</f>
        <v>10.137661817462279</v>
      </c>
      <c r="HP109" s="317">
        <f>各项系数!$F$76/4*($MV109^2-$MS109^2)*10^-2*(VLOOKUP(AN109,各项系数!$D$1:$F$143,3,0))*10^-3*10^2*各项系数!$J$4</f>
        <v>0.60257326969415081</v>
      </c>
      <c r="HQ109" s="310">
        <v>1</v>
      </c>
      <c r="HR109" s="311">
        <f t="shared" si="459"/>
        <v>0.60257326969415081</v>
      </c>
      <c r="HS109" s="311">
        <f>HR109*(VLOOKUP(AN109,各项系数!$D$1:$F$143,2,0))</f>
        <v>6.0257326969415086</v>
      </c>
      <c r="HT109" s="317">
        <f>各项系数!$F$76/4*($MW109^2-$MT109^2)*10^-2*(VLOOKUP(AN109,各项系数!$D$1:$F$143,3,0))*10^-3*10^2*各项系数!$J$4</f>
        <v>0.6045583315078924</v>
      </c>
      <c r="HU109" s="310">
        <v>1</v>
      </c>
      <c r="HV109" s="311">
        <f t="shared" si="460"/>
        <v>0.6045583315078924</v>
      </c>
      <c r="HW109" s="311">
        <f>HV109*(VLOOKUP(AN109,各项系数!$D$1:$F$143,2,0))</f>
        <v>6.0455833150789235</v>
      </c>
      <c r="HX109" s="317">
        <f>各项系数!$F$76/4*($MV109^2-$MS109^2)*10^-2*(VLOOKUP($HX$9,各项系数!$D$1:$F$143,3,0))*10^-3*10^2*各项系数!$J$4</f>
        <v>0.60257326969415081</v>
      </c>
      <c r="HY109" s="311">
        <v>1</v>
      </c>
      <c r="HZ109" s="311">
        <f t="shared" si="461"/>
        <v>0.60257326969415081</v>
      </c>
      <c r="IA109" s="311">
        <f>HZ109*(VLOOKUP($HX$9,各项系数!$D$1:$F$143,2,0))</f>
        <v>6.6283059666356587</v>
      </c>
      <c r="IB109" s="317">
        <f>各项系数!$F$76/4*($MW109^2-$MT109^2)*10^-2*(VLOOKUP($IB$9,各项系数!$D$1:$F$143,3,0))*10^-3*10^2*各项系数!$J$4</f>
        <v>0.6045583315078924</v>
      </c>
      <c r="IC109" s="311">
        <v>1</v>
      </c>
      <c r="ID109" s="311">
        <f t="shared" si="462"/>
        <v>0.6045583315078924</v>
      </c>
      <c r="IE109" s="311">
        <f>ID109*(VLOOKUP($IB$9,各项系数!$D$1:$F$143,2,0))</f>
        <v>6.6501416465868166</v>
      </c>
      <c r="IF109" s="309"/>
      <c r="IG109" s="317">
        <f t="shared" si="415"/>
        <v>9.132662894881069E-2</v>
      </c>
      <c r="IH109" s="310">
        <v>1</v>
      </c>
      <c r="II109" s="311">
        <f t="shared" si="463"/>
        <v>9.132662894881069E-2</v>
      </c>
      <c r="IJ109" s="311">
        <f>II109*(VLOOKUP($IG$8,各项系数!$D$1:$F$143,2,0))</f>
        <v>2.2831657237202672</v>
      </c>
      <c r="IK109" s="317">
        <f>(各项系数!$F$76/4*($MX109^2-$MK109^2)*$EG109)*10^-2*(VLOOKUP($IG$8,各项系数!$D$1:$F$143,3,0))*10^-3*10^2*各项系数!$J$4</f>
        <v>7.3667001928250556E-2</v>
      </c>
      <c r="IL109" s="310">
        <f>IK109*(VLOOKUP($IG$8,各项系数!$D$1:$F$143,2,0))</f>
        <v>1.8416750482062638</v>
      </c>
      <c r="IM109" s="311">
        <f>(各项系数!$F$76/4*(($MM109+3*$X109)^2-MM109^2)*$EO109)*10^-2*(VLOOKUP($IG$8,各项系数!$D$1:$F$143,3,0))*10^-3*10^2*各项系数!$J$4</f>
        <v>1.7659627020560131E-2</v>
      </c>
      <c r="IN109" s="310">
        <f>IM109*(VLOOKUP($IG$8,各项系数!$D$1:$F$143,2,0))</f>
        <v>0.44149067551400328</v>
      </c>
      <c r="IO109" s="317">
        <f>各项系数!$F$76/4*($MZ109^2-$MX109^2)*10^-2*(VLOOKUP(L109,各项系数!$D$1:$F$143,3,0))*10^-3*10^2*$ES109*各项系数!$J$4</f>
        <v>0.42597160663617711</v>
      </c>
      <c r="IP109" s="310">
        <v>1</v>
      </c>
      <c r="IQ109" s="311">
        <f t="shared" si="464"/>
        <v>0.42597160663617711</v>
      </c>
      <c r="IR109" s="290">
        <f>IQ109*(VLOOKUP(L109,各项系数!$D$1:$F$143,2,0))</f>
        <v>4.3449103876890058</v>
      </c>
      <c r="IS109" s="317">
        <f>IF($L109&lt;&gt;$IS$9,0,各项系数!$F$76/4*($MZ109^2-$MX109^2)*10^-2*各项系数!$F$12*10^-3*10^2)*$ES109*各项系数!$J$4</f>
        <v>0</v>
      </c>
      <c r="IT109" s="310">
        <v>1</v>
      </c>
      <c r="IU109" s="311">
        <f t="shared" si="465"/>
        <v>0</v>
      </c>
      <c r="IV109" s="290">
        <f>IU109*各项系数!$E$12</f>
        <v>0</v>
      </c>
      <c r="IW109" s="309">
        <f t="shared" si="466"/>
        <v>0.42597160663617711</v>
      </c>
      <c r="IX109" s="309">
        <f t="shared" si="467"/>
        <v>4.3449103876890058</v>
      </c>
      <c r="IY109" s="339">
        <f>各项系数!$F$76/4*($NB109^2-$MZ109^2*$EG109-$NA109^2*$EO109)*10^-2</f>
        <v>5.5347965108663892</v>
      </c>
      <c r="IZ109" s="284">
        <f t="shared" si="487"/>
        <v>1</v>
      </c>
      <c r="JA109" s="285">
        <f t="shared" si="363"/>
        <v>5.5347965108663892</v>
      </c>
      <c r="JB109" s="289">
        <f>IF($DE109&lt;&gt;$JB$9,0,$JA109*各项系数!$F$32*10^-3*10^2)*各项系数!$J$4</f>
        <v>0</v>
      </c>
      <c r="JC109" s="106">
        <v>1</v>
      </c>
      <c r="JD109" s="78">
        <f t="shared" si="468"/>
        <v>0</v>
      </c>
      <c r="JE109" s="264">
        <f>JD109*各项系数!$E$32</f>
        <v>0</v>
      </c>
      <c r="JF109" s="282">
        <f>IF($DE109&lt;&gt;$JF$9,0,$JA109*VLOOKUP($JF$9,各项系数!$D$4:$F$540,2,0)*10^-3*10^2)*各项系数!$J$4</f>
        <v>2.7535612641560285</v>
      </c>
      <c r="JG109" s="102">
        <v>1</v>
      </c>
      <c r="JH109" s="189">
        <f t="shared" si="364"/>
        <v>2.7535612641560285</v>
      </c>
      <c r="JI109" s="262">
        <f>JH109*VLOOKUP($JF$9,各项系数!$D$4:$F$540,3,0)</f>
        <v>3.3042735169872341</v>
      </c>
      <c r="JJ109" s="289">
        <f t="shared" si="469"/>
        <v>2.7535612641560285</v>
      </c>
      <c r="JK109" s="78">
        <f t="shared" si="470"/>
        <v>3.3042735169872341</v>
      </c>
      <c r="JL109" s="289">
        <f>IF($DF109&lt;&gt;$JL$9,0,各项系数!$F$76/4*($NE109^2-$NC109^2)*10^-2*各项系数!$F$39*10^-3*10^2)*各项系数!$J$4</f>
        <v>5.386857423087258E-3</v>
      </c>
      <c r="JM109" s="106">
        <v>1</v>
      </c>
      <c r="JN109" s="78">
        <f t="shared" si="471"/>
        <v>5.386857423087258E-3</v>
      </c>
      <c r="JO109" s="264">
        <f>JN109*各项系数!$E$39</f>
        <v>0.10773714846174516</v>
      </c>
      <c r="JP109" s="289">
        <f>IF($DF109&lt;&gt;$JP$9,0,各项系数!$F$76/4*($NE109^2-$NC109^2)*10^-2*各项系数!$F$36*10^-3*10^2)*各项系数!$J$4</f>
        <v>0</v>
      </c>
      <c r="JQ109" s="106">
        <v>1</v>
      </c>
      <c r="JR109" s="78">
        <f t="shared" si="472"/>
        <v>0</v>
      </c>
      <c r="JS109" s="264">
        <f>JR109*各项系数!$E$36</f>
        <v>0</v>
      </c>
      <c r="JT109" s="289">
        <f>IF($DF109&lt;&gt;$JT$9,0,各项系数!$F$76/4*($NE109^2-$NC109^2)*10^-2*各项系数!$F$40*10^-3*10^2)*各项系数!$J$4</f>
        <v>0</v>
      </c>
      <c r="JU109" s="106">
        <v>1</v>
      </c>
      <c r="JV109" s="78">
        <f t="shared" si="473"/>
        <v>0</v>
      </c>
      <c r="JW109" s="264">
        <f>JV109*各项系数!$E$40</f>
        <v>0</v>
      </c>
      <c r="JX109" s="289">
        <f>IF($DF109&lt;&gt;$JX$9,0,各项系数!$F$76/4*($NE109^2-$NC109^2)*10^-2*各项系数!$F$38*10^-3*10^2)*各项系数!$J$4</f>
        <v>0</v>
      </c>
      <c r="JY109" s="106">
        <v>1</v>
      </c>
      <c r="JZ109" s="78">
        <f t="shared" si="474"/>
        <v>0</v>
      </c>
      <c r="KA109" s="264">
        <f>JZ109*各项系数!$E$38</f>
        <v>0</v>
      </c>
      <c r="KB109" s="289">
        <f>IF($DF109&lt;&gt;$KB$9,0,各项系数!$F$76/4*($NE109^2-$NC109^2)*10^-2*各项系数!$F$41*10^-3*10^2)*各项系数!$J$4</f>
        <v>0</v>
      </c>
      <c r="KC109" s="106">
        <v>1</v>
      </c>
      <c r="KD109" s="78">
        <f t="shared" si="475"/>
        <v>0</v>
      </c>
      <c r="KE109" s="264">
        <f>KD109*各项系数!$E$41</f>
        <v>0</v>
      </c>
      <c r="KF109" s="78">
        <f t="shared" si="476"/>
        <v>5.386857423087258E-3</v>
      </c>
      <c r="KG109" s="78">
        <f t="shared" si="477"/>
        <v>0.10773714846174516</v>
      </c>
      <c r="KH109" s="237">
        <f>各项系数!$F$76/4*($NG109^2-$NE109^2)*10^-2*各项系数!$F$44*10^-3*10^2*各项系数!$J$4*0.75*$U109</f>
        <v>1.340338257156841</v>
      </c>
      <c r="KI109" s="106">
        <v>1</v>
      </c>
      <c r="KJ109" s="78">
        <f t="shared" si="478"/>
        <v>1.340338257156841</v>
      </c>
      <c r="KK109" s="78">
        <f>ROUND(KJ109*各项系数!$E$43,GT109)</f>
        <v>8</v>
      </c>
      <c r="KL109" s="235">
        <f>各项系数!$F$76/4*($NF109^2-$NE109^2)*10^-2*各项系数!$F$46*10^-3*10^2*各项系数!$J$4*PI()/4*R109</f>
        <v>6.7145251573055495E-2</v>
      </c>
      <c r="KM109" s="106">
        <v>1</v>
      </c>
      <c r="KN109" s="78">
        <f t="shared" si="479"/>
        <v>6.7145251573055495E-2</v>
      </c>
      <c r="KO109" s="78">
        <f>KN109*各项系数!$E$46</f>
        <v>4.5323044811812458</v>
      </c>
      <c r="KP109" s="237">
        <f>各项系数!$F$76/4*($NH109^2-$NE109^2)*10^-2*(VLOOKUP($KP$9,各项系数!$D$1:$F$143,3,0))*10^-3*10^2*各项系数!$J$4</f>
        <v>0.6203314495072948</v>
      </c>
      <c r="KQ109" s="106">
        <v>1</v>
      </c>
      <c r="KR109" s="78">
        <f t="shared" si="416"/>
        <v>0.6203314495072948</v>
      </c>
      <c r="KS109" s="78">
        <f>KR109*(VLOOKUP($KP$9,各项系数!$D$1:$F$143,2,0))</f>
        <v>10.545634641624012</v>
      </c>
      <c r="KT109" s="237">
        <f>各项系数!$F$76/4*($NI109^2-$NF109^2)*10^-2*(VLOOKUP($KT$9,各项系数!$D$1:$F$143,3,0))*10^-3*10^2*各项系数!$J$4</f>
        <v>0.62228950367731239</v>
      </c>
      <c r="KU109" s="106">
        <v>1</v>
      </c>
      <c r="KV109" s="78">
        <f t="shared" si="417"/>
        <v>0.62228950367731239</v>
      </c>
      <c r="KW109" s="78">
        <f>KV109*(VLOOKUP($KT$9,各项系数!$D$1:$F$143,2,0))</f>
        <v>10.57892156251431</v>
      </c>
      <c r="KX109" s="78">
        <f>各项系数!$F$76/4*($NH109^2-$NE109^2)*10^-2*(VLOOKUP($KX$9,各项系数!$D$1:$F$143,3,0))*10^-3*10^2*各项系数!$J$4</f>
        <v>0.6203314495072948</v>
      </c>
      <c r="KY109" s="355">
        <v>1</v>
      </c>
      <c r="KZ109" s="78">
        <f t="shared" si="418"/>
        <v>0.6203314495072948</v>
      </c>
      <c r="LA109" s="78">
        <f>KZ109*(VLOOKUP($KX$9,各项系数!$D$1:$F$143,2,0))</f>
        <v>10.545634641624012</v>
      </c>
      <c r="LB109" s="78">
        <f>各项系数!$F$76/4*($NI109^2-$NF109^2)*10^-2*(VLOOKUP($LB$9,各项系数!$D$1:$F$143,3,0))*10^-3*10^2*各项系数!$J$4</f>
        <v>0.62228950367731239</v>
      </c>
      <c r="LC109" s="355">
        <v>1</v>
      </c>
      <c r="LD109" s="78">
        <f t="shared" si="419"/>
        <v>0.62228950367731239</v>
      </c>
      <c r="LE109" s="78">
        <f>LD109*(VLOOKUP($LB$9,各项系数!$D$1:$F$143,2,0))</f>
        <v>10.57892156251431</v>
      </c>
      <c r="LF109" s="237">
        <f>各项系数!$F$76/4*($NH109^2-$NE109^2)*10^-2*(VLOOKUP(AN109,各项系数!$D$1:$F$143,3,0))*10^-3*10^2*各项系数!$J$4</f>
        <v>0.62888774536256764</v>
      </c>
      <c r="LG109" s="106">
        <v>1</v>
      </c>
      <c r="LH109" s="78">
        <f t="shared" si="480"/>
        <v>0.62888774536256764</v>
      </c>
      <c r="LI109" s="78">
        <f>LH109*(VLOOKUP(AN109,各项系数!$D$1:$F$143,2,0))</f>
        <v>6.2888774536256768</v>
      </c>
      <c r="LJ109" s="237">
        <f>各项系数!$F$76/4*($NI109^2-$NF109^2)*10^-2*(VLOOKUP(AN109,各项系数!$D$1:$F$143,3,0))*10^-3*10^2*各项系数!$J$4</f>
        <v>0.63087280717630978</v>
      </c>
      <c r="LK109" s="106">
        <v>1</v>
      </c>
      <c r="LL109" s="78">
        <f t="shared" si="481"/>
        <v>0.63087280717630978</v>
      </c>
      <c r="LM109" s="78">
        <f>LL109*(VLOOKUP(AN109,各项系数!$D$1:$F$143,2,0))</f>
        <v>6.308728071763098</v>
      </c>
      <c r="LN109" s="78">
        <f>各项系数!$F$76/4*($NH109^2-$NE109^2)*10^-2*(VLOOKUP($LN$9,各项系数!$D$1:$F$143,3,0))*10^-3*10^2*各项系数!$J$4</f>
        <v>0.62888774536256764</v>
      </c>
      <c r="LO109" s="355">
        <v>1</v>
      </c>
      <c r="LP109" s="78">
        <f t="shared" si="482"/>
        <v>0.62888774536256764</v>
      </c>
      <c r="LQ109" s="78">
        <f>LP109*(VLOOKUP($LN$9,各项系数!$D$1:$F$143,2,0))</f>
        <v>6.9177651989882438</v>
      </c>
      <c r="LR109" s="78">
        <f>各项系数!$F$76/4*($NI109^2-$NF109^2)*10^-2*(VLOOKUP($LR$9,各项系数!$D$1:$F$143,3,0))*10^-3*10^2*各项系数!$J$4</f>
        <v>0.63087280717630978</v>
      </c>
      <c r="LS109" s="355">
        <v>1</v>
      </c>
      <c r="LT109" s="78">
        <f t="shared" si="483"/>
        <v>0.63087280717630978</v>
      </c>
      <c r="LU109" s="78">
        <f>LT109*(VLOOKUP($LR$9,各项系数!$D$1:$F$143,2,0))</f>
        <v>6.9396008789394079</v>
      </c>
      <c r="LV109" s="367">
        <f t="shared" si="420"/>
        <v>693.56480240999997</v>
      </c>
      <c r="LW109" s="367">
        <f t="shared" si="421"/>
        <v>523.71219773999997</v>
      </c>
      <c r="LX109" s="367">
        <f t="shared" si="422"/>
        <v>25.822685379772746</v>
      </c>
      <c r="LY109" s="367">
        <f t="shared" si="423"/>
        <v>169.85260467000001</v>
      </c>
      <c r="LZ109" s="374">
        <f t="shared" si="365"/>
        <v>1</v>
      </c>
      <c r="MA109" s="375">
        <f t="shared" si="366"/>
        <v>693.56480240999997</v>
      </c>
      <c r="MB109" s="367">
        <f t="shared" si="424"/>
        <v>17.156865809999999</v>
      </c>
      <c r="MC109" s="367">
        <f t="shared" si="425"/>
        <v>117.94354749</v>
      </c>
      <c r="MD109" s="367">
        <f t="shared" si="426"/>
        <v>89.637096389999996</v>
      </c>
      <c r="ME109" s="367">
        <f t="shared" si="427"/>
        <v>10.683140727285469</v>
      </c>
      <c r="MF109" s="367">
        <f t="shared" si="428"/>
        <v>28.306451100000004</v>
      </c>
      <c r="MG109" s="379">
        <f t="shared" si="429"/>
        <v>1</v>
      </c>
      <c r="MH109" s="375">
        <f t="shared" si="367"/>
        <v>117.94354749</v>
      </c>
      <c r="MI109" s="367">
        <f t="shared" si="430"/>
        <v>12.254402829620775</v>
      </c>
      <c r="MJ109" s="78">
        <f t="shared" si="368"/>
        <v>17.156865809999999</v>
      </c>
      <c r="MK109" s="78">
        <f t="shared" si="431"/>
        <v>17.156865809999999</v>
      </c>
      <c r="ML109" s="78">
        <f t="shared" si="484"/>
        <v>12.254402829385599</v>
      </c>
      <c r="MM109" s="78">
        <f t="shared" si="369"/>
        <v>12.254402829620775</v>
      </c>
      <c r="MN109" s="78">
        <f t="shared" si="370"/>
        <v>20.356865809999999</v>
      </c>
      <c r="MO109" s="189">
        <f t="shared" si="432"/>
        <v>14.454402829620776</v>
      </c>
      <c r="MP109" s="78">
        <f t="shared" si="433"/>
        <v>45.692625159999999</v>
      </c>
      <c r="MQ109" s="78">
        <f t="shared" si="485"/>
        <v>45.692625159999999</v>
      </c>
      <c r="MR109" s="246">
        <f t="shared" si="434"/>
        <v>45.692625159999999</v>
      </c>
      <c r="MS109" s="380">
        <f t="shared" si="371"/>
        <v>45.868625160000001</v>
      </c>
      <c r="MT109" s="382">
        <f t="shared" si="372"/>
        <v>46.028625159999997</v>
      </c>
      <c r="MU109" s="382">
        <f t="shared" si="373"/>
        <v>47.368625160000001</v>
      </c>
      <c r="MV109" s="382">
        <f t="shared" si="374"/>
        <v>51.268625159999999</v>
      </c>
      <c r="MW109" s="382">
        <f t="shared" si="375"/>
        <v>51.428625159999996</v>
      </c>
      <c r="MX109" s="246">
        <f t="shared" si="376"/>
        <v>17.756865810000001</v>
      </c>
      <c r="MY109" s="246">
        <f t="shared" si="377"/>
        <v>12.854402829620774</v>
      </c>
      <c r="MZ109" s="78">
        <f t="shared" si="378"/>
        <v>20.95686581</v>
      </c>
      <c r="NA109" s="78">
        <f t="shared" si="379"/>
        <v>16.054402829620773</v>
      </c>
      <c r="NB109" s="78">
        <f t="shared" si="435"/>
        <v>47.749625160000001</v>
      </c>
      <c r="NC109" s="246">
        <f t="shared" si="486"/>
        <v>47.749625160000001</v>
      </c>
      <c r="ND109" s="246">
        <f t="shared" si="436"/>
        <v>47.749625160000001</v>
      </c>
      <c r="NE109" s="386">
        <f t="shared" si="437"/>
        <v>47.989625160000003</v>
      </c>
      <c r="NF109" s="382">
        <f t="shared" si="380"/>
        <v>48.149625159999999</v>
      </c>
      <c r="NG109" s="150">
        <f t="shared" si="381"/>
        <v>49.489625160000003</v>
      </c>
      <c r="NH109" s="246">
        <f t="shared" si="382"/>
        <v>53.389625160000001</v>
      </c>
      <c r="NI109" s="382">
        <f t="shared" si="383"/>
        <v>53.549625159999998</v>
      </c>
      <c r="NK109" s="390">
        <f t="shared" si="384"/>
        <v>7.1269639413854398</v>
      </c>
      <c r="NL109" s="390">
        <f t="shared" si="385"/>
        <v>372.75408250186581</v>
      </c>
      <c r="NM109" s="390">
        <f t="shared" si="386"/>
        <v>7.1269639413854398</v>
      </c>
      <c r="NN109" s="390">
        <f t="shared" si="387"/>
        <v>373.35665577155993</v>
      </c>
      <c r="NO109" s="390">
        <f t="shared" si="388"/>
        <v>9.4280009598924632</v>
      </c>
      <c r="NP109" s="390">
        <f t="shared" si="389"/>
        <v>377.36152849361059</v>
      </c>
      <c r="NQ109" s="390">
        <f t="shared" si="390"/>
        <v>9.4280009598924632</v>
      </c>
      <c r="NR109" s="390">
        <f t="shared" si="391"/>
        <v>377.99041623897318</v>
      </c>
      <c r="NS109" s="390">
        <f t="shared" si="392"/>
        <v>7.1911465095984237</v>
      </c>
      <c r="NT109" s="390">
        <f t="shared" si="393"/>
        <v>7.1911465095984237</v>
      </c>
      <c r="NU109" s="390">
        <f t="shared" si="394"/>
        <v>9.495146211465519</v>
      </c>
      <c r="NV109" s="390">
        <f t="shared" si="395"/>
        <v>9.495146211465519</v>
      </c>
      <c r="NW109" s="9">
        <f t="shared" si="396"/>
        <v>7.9816378211137691</v>
      </c>
      <c r="NX109" s="9">
        <f>各项系数!$M$9*NK109</f>
        <v>2.1380891824156318</v>
      </c>
      <c r="NY109" s="9">
        <f t="shared" si="397"/>
        <v>7.1911465095984237</v>
      </c>
    </row>
    <row r="110" spans="1:389" s="9" customFormat="1" ht="15" hidden="1" customHeight="1">
      <c r="A110" s="65"/>
      <c r="B110" s="66"/>
      <c r="C110" s="67"/>
      <c r="D110" s="58" t="s">
        <v>357</v>
      </c>
      <c r="E110" s="399">
        <f t="shared" ref="E110:E125" si="503">MV110</f>
        <v>58.982299669999996</v>
      </c>
      <c r="F110" s="68">
        <f>$F$30</f>
        <v>246.701228113631</v>
      </c>
      <c r="G110" s="58"/>
      <c r="H110" s="16"/>
      <c r="I110" s="145">
        <f>$F$27</f>
        <v>244.921136962963</v>
      </c>
      <c r="J110" s="62"/>
      <c r="K110" s="16"/>
      <c r="L110" s="107" t="s">
        <v>467</v>
      </c>
      <c r="M110" s="98">
        <f t="shared" si="339"/>
        <v>1.7</v>
      </c>
      <c r="N110" s="98">
        <f t="shared" si="501"/>
        <v>1.2</v>
      </c>
      <c r="O110" s="58">
        <f t="shared" si="502"/>
        <v>0.08</v>
      </c>
      <c r="P110" s="99">
        <v>0.1</v>
      </c>
      <c r="Q110" s="136">
        <f t="shared" si="499"/>
        <v>0.1</v>
      </c>
      <c r="R110" s="151">
        <v>0.8</v>
      </c>
      <c r="S110" s="144" t="str">
        <f>各项系数!$D$43</f>
        <v>钢带</v>
      </c>
      <c r="T110" s="62">
        <v>0.5</v>
      </c>
      <c r="U110" s="62">
        <v>2</v>
      </c>
      <c r="V110" s="143"/>
      <c r="W110" s="145">
        <v>2.9</v>
      </c>
      <c r="X110" s="139">
        <f t="shared" si="500"/>
        <v>0.2</v>
      </c>
      <c r="Y110" s="139"/>
      <c r="Z110" s="169"/>
      <c r="AA110" s="170">
        <f>$AA$30</f>
        <v>1.0149999999999999</v>
      </c>
      <c r="AB110" s="153">
        <f>PI()*EJ110*EJ110/4*EH110*(1-H110)*AA110*各项系数!$F$5*各项系数!$J$4*10^-7</f>
        <v>2.05998769246807</v>
      </c>
      <c r="AC110" s="170">
        <f t="shared" ref="AC110:AC125" si="504">EJ110</f>
        <v>246.701228113631</v>
      </c>
      <c r="AD110" s="153">
        <f t="shared" si="341"/>
        <v>232.88407080035392</v>
      </c>
      <c r="AE110" s="153">
        <f>POWER(4*EU110/PI()/EG110/10^-7/EH110/(1-H110)/各项系数!$F$5/各项系数!$J$4,0.5)</f>
        <v>248.54460040818714</v>
      </c>
      <c r="AF110" s="16">
        <f>$AA$27</f>
        <v>1.0129999999999999</v>
      </c>
      <c r="AG110" s="16">
        <f>IF(EM110=0,0,PI()*ER110*ER110/4*EP110*(1-K110)*(1+AF110)*各项系数!$F$5*各项系数!$J$4*10^-7)</f>
        <v>2.0133638813892349</v>
      </c>
      <c r="AH110" s="16">
        <f t="shared" ref="AH110:AH125" si="505">ER110</f>
        <v>244.921136962963</v>
      </c>
      <c r="AI110" s="69">
        <f t="shared" si="398"/>
        <v>114.54156221736139</v>
      </c>
      <c r="AJ110" s="69">
        <f>IF(OR(EP110="",EP110=0),0,POWER(4*EW110/PI()/EO110/10^-7/EP110/(1-K110)/各项系数!$F$5/各项系数!$J$4,0.5))</f>
        <v>246.50798375415039</v>
      </c>
      <c r="AK110" s="16">
        <f t="shared" si="342"/>
        <v>7.1931461930759912</v>
      </c>
      <c r="AL110" s="16">
        <f t="shared" ref="AL110:AL125" si="506">AO110*(1+0.02)</f>
        <v>500.936435084952</v>
      </c>
      <c r="AM110" s="106">
        <f t="shared" ref="AM110:AM125" si="507">EE110*1</f>
        <v>240</v>
      </c>
      <c r="AN110" s="107" t="s">
        <v>486</v>
      </c>
      <c r="AO110" s="146">
        <f>AP110+各项系数!$M$9*$NK110</f>
        <v>491.11415204407058</v>
      </c>
      <c r="AP110" s="146">
        <f>AQ110*(1+$BI110+(VLOOKUP($AM110,$A$12:$B$323,2,0))+各项系数!$J$6+各项系数!$M$5)*(1+$E$2)</f>
        <v>488.33171163194709</v>
      </c>
      <c r="AQ110" s="199">
        <f>AR110+各项系数!$L$9*$NK110</f>
        <v>498.29766493055826</v>
      </c>
      <c r="AR110" s="199">
        <f>AS110*(1+$BJ110+各项系数!$J$5+各项系数!$L$5)</f>
        <v>495.51522451843476</v>
      </c>
      <c r="AS110" s="199">
        <f t="shared" si="399"/>
        <v>485.79923972395562</v>
      </c>
      <c r="AT110" s="146">
        <f>AU110+各项系数!$M$9*$NM110</f>
        <v>496.17060642284019</v>
      </c>
      <c r="AU110" s="146">
        <f>AV110*(1+$BI110+(VLOOKUP($AM110,$A$12:$B$323,2,0))+各项系数!$J$6+各项系数!$M$5)*(1+$E$2)</f>
        <v>493.3881660107167</v>
      </c>
      <c r="AV110" s="199">
        <f>AW110+各项系数!$L$9*$NM110</f>
        <v>503.45731225583336</v>
      </c>
      <c r="AW110" s="199">
        <f>AX110*(1+$BJ110+各项系数!$J$5+各项系数!$L$5)</f>
        <v>500.67487184370987</v>
      </c>
      <c r="AX110" s="199">
        <f t="shared" si="400"/>
        <v>490.85771749383321</v>
      </c>
      <c r="AY110" s="146">
        <f>AZ110+各项系数!$M$9*$NS110</f>
        <v>496.19955079405514</v>
      </c>
      <c r="AZ110" s="146">
        <f>BA110*(1+$BI110+(VLOOKUP($AM110,$A$12:$B$214,2,0))+各项系数!$J$6+各项系数!$M$5)*(1+$E$2)</f>
        <v>493.39479081630913</v>
      </c>
      <c r="BA110" s="199">
        <f>BB110+各项系数!$L$9*$NS110</f>
        <v>503.46407226153991</v>
      </c>
      <c r="BB110" s="199">
        <f>BC110*(1+$BJ110+各项系数!$J$5+各项系数!$L$5)</f>
        <v>500.65931228379389</v>
      </c>
      <c r="BC110" s="199">
        <f t="shared" si="401"/>
        <v>490.84246302332735</v>
      </c>
      <c r="BD110" s="146">
        <f>BE110+各项系数!$M$9*$NS110</f>
        <v>501.27043098462923</v>
      </c>
      <c r="BE110" s="146">
        <f>BF110*(1+$BI110+(VLOOKUP($AM110,$A$12:$B$214,2,0))+各项系数!$J$6+各项系数!$M$5)*(1+$E$2)</f>
        <v>498.46567100688321</v>
      </c>
      <c r="BF110" s="199">
        <f>BG110+各项系数!$L$9*$NS110</f>
        <v>508.63843980294206</v>
      </c>
      <c r="BG110" s="199">
        <f>BH110*(1+$BJ110+各项系数!$J$5+各项系数!$L$5)</f>
        <v>505.83367982519604</v>
      </c>
      <c r="BH110" s="199">
        <f t="shared" si="402"/>
        <v>495.91537237764317</v>
      </c>
      <c r="BI110" s="214"/>
      <c r="BJ110" s="215"/>
      <c r="BK110" s="78" t="s">
        <v>514</v>
      </c>
      <c r="BL110" s="146">
        <f>BM110+各项系数!$M$9*$NM110</f>
        <v>496.62934241924916</v>
      </c>
      <c r="BM110" s="146">
        <f>BN110*(1+$CF110+(VLOOKUP($AM110,$A$12:$B$323,2,0))+各项系数!$J$6+各项系数!$M$5)*(1+$E$2)</f>
        <v>493.84690200712566</v>
      </c>
      <c r="BN110" s="199">
        <f>BO110+各项系数!$L$9*$NM110</f>
        <v>503.92541021135276</v>
      </c>
      <c r="BO110" s="199">
        <f>BP110*(1+$CG110+各项系数!$J$5+各项系数!$L$5)</f>
        <v>501.14296979922926</v>
      </c>
      <c r="BP110" s="199">
        <f t="shared" si="403"/>
        <v>486.5465726206109</v>
      </c>
      <c r="BQ110" s="146">
        <f>BR110+各项系数!$M$9*$NM110</f>
        <v>500.98101205427974</v>
      </c>
      <c r="BR110" s="146">
        <f>BS110*(1+$CF110+(VLOOKUP($AM110,$A$12:$B$323,2,0))+各项系数!$J$6+各项系数!$M$5)*(1+$E$2)</f>
        <v>498.19857164215625</v>
      </c>
      <c r="BS110" s="199">
        <f>BT110+各项系数!$L$9*$NM110</f>
        <v>508.36588943077169</v>
      </c>
      <c r="BT110" s="199">
        <f>BU110*(1+$CG110+各项系数!$J$5+各项系数!$L$5)</f>
        <v>505.5834490186482</v>
      </c>
      <c r="BU110" s="199">
        <f t="shared" si="404"/>
        <v>490.85771749383321</v>
      </c>
      <c r="BV110" s="146">
        <f>BW110+各项系数!$M$9*$NT110</f>
        <v>499.02575025967013</v>
      </c>
      <c r="BW110" s="146">
        <f>BX110*(1+$CF110+(VLOOKUP($AM110,$A$12:$B$214,2,0))+各项系数!$J$6+各项系数!$M$5)*(1+$E$2)</f>
        <v>496.22099028192412</v>
      </c>
      <c r="BX110" s="199">
        <f>BY110+各项系数!$L$9*$NT$12</f>
        <v>506.34794926726954</v>
      </c>
      <c r="BY110" s="199">
        <f>BZ110*(1+$CG110+各项系数!$J$5+各项系数!$L$5)</f>
        <v>506.33968586411459</v>
      </c>
      <c r="BZ110" s="199">
        <f t="shared" si="343"/>
        <v>491.59192802341221</v>
      </c>
      <c r="CA110" s="146">
        <f>CB110+各项系数!$M$9*$NT110</f>
        <v>503.38983499083088</v>
      </c>
      <c r="CB110" s="146">
        <f>CC110*(1+$CF110+(VLOOKUP($AM110,$A$12:$B$214,2,0))+各项系数!$J$6+各项系数!$M$5)*(1+$E$2)</f>
        <v>500.58507501308486</v>
      </c>
      <c r="CC110" s="199">
        <f>CD110+各项系数!$L$9*$NT$12</f>
        <v>510.80109695212741</v>
      </c>
      <c r="CD110" s="199">
        <f>CE110*(1+$CG110+各项系数!$J$5+各项系数!$L$5)</f>
        <v>510.79283354897245</v>
      </c>
      <c r="CE110" s="199">
        <f t="shared" si="405"/>
        <v>495.91537237764317</v>
      </c>
      <c r="CF110" s="214">
        <f t="shared" si="406"/>
        <v>0</v>
      </c>
      <c r="CG110" s="214">
        <f t="shared" si="344"/>
        <v>0.01</v>
      </c>
      <c r="CH110" s="106"/>
      <c r="CI110" s="146">
        <f>CJ110+各项系数!$M$9*$NO110</f>
        <v>501.34860692959285</v>
      </c>
      <c r="CJ110" s="146">
        <f>CK110*(1+$DC110+(VLOOKUP($AM110,$A$12:$B$323,2,0))+各项系数!$J$6+各项系数!$M$5)*(1+$E$2)+各项系数!$M$9*$NK110</f>
        <v>497.65960402598432</v>
      </c>
      <c r="CK110" s="199">
        <f>CL110+各项系数!$L$9*$NO110</f>
        <v>504.9766975651641</v>
      </c>
      <c r="CL110" s="199">
        <f>CM110*(1+$DD110+各项系数!$J$5+各项系数!$L$5)</f>
        <v>501.28769466155558</v>
      </c>
      <c r="CM110" s="199">
        <f t="shared" si="345"/>
        <v>491.45852417799563</v>
      </c>
      <c r="CN110" s="146">
        <f>CO110+各项系数!$M$9*$NO110</f>
        <v>506.12253740226373</v>
      </c>
      <c r="CO110" s="146">
        <f>CP110*(1+$DC110+(VLOOKUP($AM110,$A$12:$B$323,2,0))+各项系数!$J$6+各项系数!$M$5)*(1+$E$2)+各项系数!$M$9*$NK110</f>
        <v>502.43353449865521</v>
      </c>
      <c r="CP110" s="199">
        <f>CQ110+各项系数!$L$9*$NO110</f>
        <v>509.84805519033847</v>
      </c>
      <c r="CQ110" s="199">
        <f>CR110*(1+$DD110+各项系数!$J$5+各项系数!$L$5)</f>
        <v>506.15905228672995</v>
      </c>
      <c r="CR110" s="199">
        <f t="shared" si="346"/>
        <v>496.23436498699016</v>
      </c>
      <c r="CS110" s="146">
        <f>CT110+各项系数!$M$9*$NU110</f>
        <v>503.85322623572398</v>
      </c>
      <c r="CT110" s="146">
        <f t="shared" si="347"/>
        <v>500.14101496148487</v>
      </c>
      <c r="CU110" s="199">
        <f>CV110+各项系数!$L$9*$NU110</f>
        <v>510.34797445049475</v>
      </c>
      <c r="CV110" s="199">
        <f>CW110*(1+$DD110+各项系数!$J$5+各项系数!$L$5)</f>
        <v>506.63576317625564</v>
      </c>
      <c r="CW110" s="199">
        <f t="shared" si="348"/>
        <v>496.70172860417216</v>
      </c>
      <c r="CX110" s="146">
        <f>CY110+各项系数!$M$9*$NU110</f>
        <v>509.11533859403141</v>
      </c>
      <c r="CY110" s="146">
        <f t="shared" si="349"/>
        <v>505.4031273197923</v>
      </c>
      <c r="CZ110" s="199">
        <f>DA110+各项系数!$L$9*$NU110</f>
        <v>515.71747685693094</v>
      </c>
      <c r="DA110" s="199">
        <f>DB110*(1+$DD110+各项系数!$J$5+各项系数!$L$5)</f>
        <v>512.00526558269189</v>
      </c>
      <c r="DB110" s="199">
        <f t="shared" si="350"/>
        <v>501.96594664969791</v>
      </c>
      <c r="DC110" s="214">
        <f t="shared" si="498"/>
        <v>0</v>
      </c>
      <c r="DD110" s="214">
        <f t="shared" si="351"/>
        <v>0</v>
      </c>
      <c r="DE110" s="78" t="s">
        <v>498</v>
      </c>
      <c r="DF110" s="78" t="s">
        <v>513</v>
      </c>
      <c r="DG110" s="146">
        <f>DH110+各项系数!$M$9*$NQ110</f>
        <v>506.94778766725256</v>
      </c>
      <c r="DH110" s="146">
        <f>DI110*(1+$EA110+(VLOOKUP($AM110,$A$12:$B$323,2,0))+各项系数!$J$6+各项系数!$M$5)*(1+$E$2)+各项系数!$M$9*$NK110</f>
        <v>503.25878476364403</v>
      </c>
      <c r="DI110" s="199">
        <f>DJ110+各项系数!$L$9*$NQ110</f>
        <v>510.69014729746993</v>
      </c>
      <c r="DJ110" s="199">
        <f>DK110*(1+$EB110+各项系数!$J$5+各项系数!$L$5)</f>
        <v>507.00114439386141</v>
      </c>
      <c r="DK110" s="199">
        <f t="shared" si="352"/>
        <v>492.2341207707392</v>
      </c>
      <c r="DL110" s="146">
        <f>DM110+各项系数!$M$9*$NQ110</f>
        <v>511.46403492035881</v>
      </c>
      <c r="DM110" s="146">
        <f>DN110*(1+$EA110+(VLOOKUP($AM110,$A$12:$B$323,2,0))+各项系数!$J$6+各项系数!$M$5)*(1+$E$2)+各项系数!$M$9*$NK110</f>
        <v>507.77503201675029</v>
      </c>
      <c r="DN110" s="199">
        <f>DO110+各项系数!$L$9*$NQ110</f>
        <v>515.29856286186407</v>
      </c>
      <c r="DO110" s="199">
        <f>DP110*(1+$EB110+各项系数!$J$5+各项系数!$L$5)</f>
        <v>511.6095599582556</v>
      </c>
      <c r="DP110" s="199">
        <f t="shared" si="353"/>
        <v>496.70831063908309</v>
      </c>
      <c r="DQ110" s="146">
        <f>DR110+各项系数!$M$9*$NV110</f>
        <v>509.50594252196197</v>
      </c>
      <c r="DR110" s="146">
        <f t="shared" si="354"/>
        <v>505.79373124772286</v>
      </c>
      <c r="DS110" s="199">
        <f>DT110+各项系数!$L$9*$NV110</f>
        <v>516.11605229359475</v>
      </c>
      <c r="DT110" s="199">
        <f>DU110*(1+$EB110+各项系数!$J$5+各项系数!$L$5)</f>
        <v>512.4038410193557</v>
      </c>
      <c r="DU110" s="199">
        <f t="shared" si="355"/>
        <v>497.4794573003453</v>
      </c>
      <c r="DV110" s="146">
        <f>DW110+各项系数!$M$9*$NV110</f>
        <v>508.64067539272014</v>
      </c>
      <c r="DW110" s="146">
        <f t="shared" si="356"/>
        <v>504.92846411848103</v>
      </c>
      <c r="DX110" s="199">
        <f>DY110+各项系数!$L$9*$NV110</f>
        <v>515.23312665151127</v>
      </c>
      <c r="DY110" s="199">
        <f>DZ110*(1+$EB110+各项系数!$J$5+各项系数!$L$5)</f>
        <v>511.52091537727216</v>
      </c>
      <c r="DZ110" s="199">
        <f t="shared" si="357"/>
        <v>496.62224793909917</v>
      </c>
      <c r="EA110" s="214">
        <f t="shared" si="492"/>
        <v>0</v>
      </c>
      <c r="EB110" s="214">
        <f t="shared" si="358"/>
        <v>0.01</v>
      </c>
      <c r="EC110" s="235" t="str">
        <f t="shared" si="408"/>
        <v>3+1</v>
      </c>
      <c r="ED110" s="237" t="str">
        <f t="shared" si="494"/>
        <v>3*240</v>
      </c>
      <c r="EE110" s="78">
        <f t="shared" si="495"/>
        <v>240</v>
      </c>
      <c r="EF110" s="78" t="str">
        <f>LOOKUP(EH110,{1,7,10,14,19,24,30,37,48,61},{1,"1+6","2+8","4+10","1+6+12","2+8+14","4+10+16","1+6+12+18","3+9+15+21","1+6+12+18+24"})</f>
        <v>3+9+15+21</v>
      </c>
      <c r="EG110" s="106">
        <f t="shared" si="359"/>
        <v>3</v>
      </c>
      <c r="EH110" s="199">
        <f>VLOOKUP(EE110,各项系数!$B$87:$C$124,2,0)</f>
        <v>48</v>
      </c>
      <c r="EI110" s="106">
        <f>IF(EH110=0,0,VLOOKUP(EH110,各项系数!$D$142:$E$195,2,0))*1</f>
        <v>8.15</v>
      </c>
      <c r="EJ110" s="240">
        <f t="shared" si="409"/>
        <v>246.701228113631</v>
      </c>
      <c r="EK110" s="78" t="str">
        <f t="shared" ref="EK110:EK125" si="508">IF(COUNTIF($D110,"*+*")&gt;0,MID($D110,FIND("+",$D110)+1,LEN($D110)),0)</f>
        <v>1*120</v>
      </c>
      <c r="EL110" s="78" t="str">
        <f t="shared" si="360"/>
        <v>120</v>
      </c>
      <c r="EM110" s="78">
        <f t="shared" si="496"/>
        <v>120</v>
      </c>
      <c r="EN110" s="78" t="str">
        <f>IF(EP110=0,0,LOOKUP(EP110,{1,7,10,14,19,24,30,37,48,61},{1,"1+6","2+8","4+10","1+6+12","2+8+14","4+10+16","1+6+12+18","3+9+15+21","1+6+12+18+24"}))</f>
        <v>2+8+14</v>
      </c>
      <c r="EO110" s="78" t="str">
        <f t="shared" ref="EO110:EO125" si="509">IF(EK110=0,0,MID(EK110,1,1))</f>
        <v>1</v>
      </c>
      <c r="EP110" s="78">
        <f>IF(EM110=0,0,IF(EM110&lt;10,1,IF(AND(EM110&gt;=10,EM110&lt;=35),7,LOOKUP(EM110,{50,70,95,120,150,185,240,300},{10,14,19,24,30,37,48,61})*1)))</f>
        <v>24</v>
      </c>
      <c r="EQ110" s="78">
        <f>IF(EP110=0,0,VLOOKUP(EP110,各项系数!$D$142:$E$195,2,0))*1</f>
        <v>6</v>
      </c>
      <c r="ER110" s="78">
        <f t="shared" ref="ER110:ER125" si="510">$I110-$J110</f>
        <v>244.921136962963</v>
      </c>
      <c r="ES110" s="237">
        <f t="shared" si="497"/>
        <v>4</v>
      </c>
      <c r="ET110" s="78">
        <f>VLOOKUP(ES110,各项系数!$D$142:$E$195,2,0)*1</f>
        <v>2.42</v>
      </c>
      <c r="EU110" s="243">
        <f>((各项系数!$F$76/4*$EJ110^2*$EG110*$EH110*1*10^-7)*(1-$H110)*AA110)*(VLOOKUP($EY$9,各项系数!$D$4:$F$143,3,0))*各项系数!$J$4</f>
        <v>6.1799630774042109</v>
      </c>
      <c r="EV110" s="244">
        <f>EU110*(VLOOKUP($EY$9,各项系数!$D$4:$F$143,2,0))</f>
        <v>404.78758156997583</v>
      </c>
      <c r="EW110" s="252">
        <f>(IF($EO110=0,0,(各项系数!$F$76/4*$ER110^2*$EO110*$EP110*1*10^-7))*(1-$K110)*$AF110)*(VLOOKUP($EY$9,各项系数!$D$4:$F$143,3,0))*各项系数!$J$4</f>
        <v>1.013183115671781</v>
      </c>
      <c r="EX110" s="253">
        <f>EW110*(VLOOKUP($EY$9,各项系数!$D$4:$F$143,2,0))</f>
        <v>66.363494076501652</v>
      </c>
      <c r="EY110" s="189">
        <f>((各项系数!$F$76/4*$EJ110^2*$EG110*$EH110*1*10^-7)*(1-$H110)*AA110+IF($EO110=0,0,(各项系数!$F$76/4*$ER110^2*$EO110*$EP110*1*10^-7))*(1-$K110)*$AF110)*(VLOOKUP($EY$9,各项系数!$D$4:$F$143,3,0))*各项系数!$J$4</f>
        <v>7.1931461930759912</v>
      </c>
      <c r="EZ110" s="106">
        <v>1</v>
      </c>
      <c r="FA110" s="78">
        <f t="shared" si="445"/>
        <v>7.1931461930759912</v>
      </c>
      <c r="FB110" s="246">
        <f>FA110*(VLOOKUP($EY$9,各项系数!$D$4:$F$143,2,0))</f>
        <v>471.15107564647741</v>
      </c>
      <c r="FC110" s="257"/>
      <c r="FD110" s="237">
        <f>各项系数!$F$76/4*($MN110^2-MK110^2)*10^-2*(VLOOKUP(L110,各项系数!$D$1:$F$143,3,0))*10^-3*10^2*$EG110*各项系数!$J$4</f>
        <v>0.382397294970521</v>
      </c>
      <c r="FE110" s="264">
        <f>FD110*VLOOKUP(L110,各项系数!$D$1:$F$143,2,0)</f>
        <v>3.900452408699314</v>
      </c>
      <c r="FF110" s="106">
        <f>各项系数!$F$76/4*($MO110^2-ML110^2)*10^-2*(VLOOKUP(L110,各项系数!$D$1:$F$143,3,0))*10^-3*10^2*$EO110*各项系数!$J$4</f>
        <v>6.5586543751462958E-2</v>
      </c>
      <c r="FG110" s="264">
        <f>FF110*VLOOKUP(L110,各项系数!$D$1:$F$143,2,0)</f>
        <v>0.66898274626492216</v>
      </c>
      <c r="FH110" s="237">
        <f t="shared" si="410"/>
        <v>0.44798383872198394</v>
      </c>
      <c r="FI110" s="106">
        <v>1</v>
      </c>
      <c r="FJ110" s="78">
        <f t="shared" si="446"/>
        <v>0.44798383872198394</v>
      </c>
      <c r="FK110" s="264">
        <f>FJ110*VLOOKUP(L110,各项系数!$D$1:$F$143,2,0)</f>
        <v>4.5694351549642356</v>
      </c>
      <c r="FL110" s="237"/>
      <c r="FM110" s="106"/>
      <c r="FN110" s="78"/>
      <c r="FO110" s="264"/>
      <c r="FP110" s="289">
        <f t="shared" si="447"/>
        <v>0.44798383872198394</v>
      </c>
      <c r="FQ110" s="289">
        <f t="shared" si="448"/>
        <v>4.5694351549642356</v>
      </c>
      <c r="FR110" s="283">
        <f>各项系数!$F$76/4*($MQ110^2-$MN110^2*$EG110-$MO110^2*$EO110)*10^-2</f>
        <v>6.7528717441645494</v>
      </c>
      <c r="FS110" s="284">
        <f t="shared" si="411"/>
        <v>1</v>
      </c>
      <c r="FT110" s="285">
        <f t="shared" si="361"/>
        <v>6.7528717441645494</v>
      </c>
      <c r="FU110" s="309">
        <f>$FT110*(VLOOKUP($FT$9,各项系数!$D$1:$F$143,3,0))*10^-3*10^2*各项系数!$J$55</f>
        <v>0.80629288625324724</v>
      </c>
      <c r="FV110" s="310">
        <v>1</v>
      </c>
      <c r="FW110" s="311">
        <f t="shared" si="449"/>
        <v>0.80629288625324724</v>
      </c>
      <c r="FX110" s="290">
        <f>FW110*(VLOOKUP($FT$9,各项系数!$D$1:$F$143,2,0))</f>
        <v>2.4188786587597417</v>
      </c>
      <c r="FY110" s="309">
        <f>IF($BK110&lt;&gt;$FY$9,0,各项系数!$F$76/4*($MS110^2-$MQ110^2)*10^-2*(VLOOKUP($FY$9,各项系数!$D$1:$F$143,3,0))*10^-3*10^2)*各项系数!$J$4</f>
        <v>0</v>
      </c>
      <c r="FZ110" s="310">
        <v>1</v>
      </c>
      <c r="GA110" s="311">
        <f t="shared" si="450"/>
        <v>0</v>
      </c>
      <c r="GB110" s="290">
        <f>GA110*(VLOOKUP($FY$9,各项系数!$D$1:$F$143,2,0))</f>
        <v>0</v>
      </c>
      <c r="GC110" s="309">
        <f>IF($BK110&lt;&gt;$GC$9,0,各项系数!$F$76/4*($MS110^2-$MQ110^2)*10^-2*(VLOOKUP($GC$9,各项系数!$D$1:$F$143,3,0))*10^-3*10^2)*各项系数!$J$4</f>
        <v>1.4459015286935892E-2</v>
      </c>
      <c r="GD110" s="310">
        <v>1</v>
      </c>
      <c r="GE110" s="311">
        <f t="shared" si="451"/>
        <v>1.4459015286935892E-2</v>
      </c>
      <c r="GF110" s="290">
        <f>GE110*(VLOOKUP($GC$9,各项系数!$D$1:$F$143,2,0))</f>
        <v>0.18652129720147301</v>
      </c>
      <c r="GG110" s="309">
        <f>IF($BK110&lt;&gt;$GG$9,0,各项系数!$F$76/4*($MS110^2-$MQ110^2)*10^-2*(VLOOKUP($GG$9,各项系数!$D$1:$F$143,3,0))*10^-3*10^2)*各项系数!$J$4</f>
        <v>0</v>
      </c>
      <c r="GH110" s="310">
        <v>1</v>
      </c>
      <c r="GI110" s="311">
        <f t="shared" si="452"/>
        <v>0</v>
      </c>
      <c r="GJ110" s="290">
        <f>GI110*(VLOOKUP($GG$9,各项系数!$D$1:$F$143,2,0))</f>
        <v>0</v>
      </c>
      <c r="GK110" s="309">
        <f>IF($BK110&lt;&gt;$GK$9,0,各项系数!$F$76/4*($MS110^2-$MQ110^2)*10^-2*(VLOOKUP($GK$9,各项系数!$D$1:$F$143,3,0))*10^-3*10^2)*各项系数!$J$4</f>
        <v>0</v>
      </c>
      <c r="GL110" s="310">
        <v>1</v>
      </c>
      <c r="GM110" s="311">
        <f t="shared" si="453"/>
        <v>0</v>
      </c>
      <c r="GN110" s="290">
        <f>GM110*(VLOOKUP($GK$9,各项系数!$D$1:$F$143,2,0))</f>
        <v>0</v>
      </c>
      <c r="GO110" s="311">
        <f t="shared" si="454"/>
        <v>1.4459015286935892E-2</v>
      </c>
      <c r="GP110" s="311">
        <f t="shared" si="455"/>
        <v>0.18652129720147301</v>
      </c>
      <c r="GQ110" s="317">
        <f>各项系数!$F$76/4*($MU110^2-$MS110^2)*10^-2*(VLOOKUP($S110,各项系数!$D$1:$F$143,3,0))*10^-3*10^2*各项系数!$J$4</f>
        <v>0.98875776888375522</v>
      </c>
      <c r="GR110" s="310">
        <v>1</v>
      </c>
      <c r="GS110" s="311">
        <f t="shared" si="456"/>
        <v>0.98875776888375522</v>
      </c>
      <c r="GT110" s="311">
        <f t="shared" si="457"/>
        <v>0</v>
      </c>
      <c r="GU110" s="311">
        <f>ROUND($GS110*(VLOOKUP($S110,各项系数!$D$1:$F$143,2,0))+$E$3*GS110,GT110)</f>
        <v>6</v>
      </c>
      <c r="GV110" s="315">
        <f>各项系数!$F$76/4*($MT110^2-$MS110^2)*10^-2*(VLOOKUP($GV$9,各项系数!$D$1:$F$143,3,0))*10^-3*10^2*各项系数!$J$4*PI()/4*R110</f>
        <v>7.4398552075199104E-2</v>
      </c>
      <c r="GW110" s="310">
        <v>1</v>
      </c>
      <c r="GX110" s="311">
        <f t="shared" si="458"/>
        <v>7.4398552075199104E-2</v>
      </c>
      <c r="GY110" s="311">
        <f>$GX110*(VLOOKUP($GV$9,各项系数!$D$1:$F$143,2,0))</f>
        <v>5.0219022650759397</v>
      </c>
      <c r="GZ110" s="317">
        <f>各项系数!$F$76/4*($MV110^2-$MS110^2)*10^-2*(VLOOKUP($GZ$9,各项系数!$D$1:$F$143,3,0))*10^-3*10^2*各项系数!$J$4</f>
        <v>0.73716510214295994</v>
      </c>
      <c r="HA110" s="310">
        <v>1</v>
      </c>
      <c r="HB110" s="311">
        <f t="shared" si="412"/>
        <v>0.73716510214295994</v>
      </c>
      <c r="HC110" s="311">
        <f>HB110*(VLOOKUP($GZ$9,各项系数!$D$1:$F$143,2,0))</f>
        <v>12.531806736430319</v>
      </c>
      <c r="HD110" s="317">
        <f>各项系数!$F$76/4*($MW110^2-$MT110^2)*10^-2*(VLOOKUP($HD$9,各项系数!$D$1:$F$143,3,0))*10^-3*10^2*各项系数!$J$4</f>
        <v>0.73926819736260874</v>
      </c>
      <c r="HE110" s="310">
        <v>1</v>
      </c>
      <c r="HF110" s="311">
        <f t="shared" si="413"/>
        <v>0.73926819736260874</v>
      </c>
      <c r="HG110" s="311">
        <f>HF110*(VLOOKUP($HD$9,各项系数!$D$1:$F$143,2,0))</f>
        <v>12.567559355164349</v>
      </c>
      <c r="HH110" s="317">
        <f>各项系数!$F$76/4*($MV110^2-$MS110^2)*10^-2*(VLOOKUP($HH$9,各项系数!$D$1:$F$143,3,0))*10^-3*10^2*各项系数!$J$4</f>
        <v>0.73716510214295994</v>
      </c>
      <c r="HI110" s="311">
        <v>1</v>
      </c>
      <c r="HJ110" s="311">
        <f t="shared" si="414"/>
        <v>0.73716510214295994</v>
      </c>
      <c r="HK110" s="311">
        <f>HJ110*(VLOOKUP($HH$9,各项系数!$D$1:$F$143,2,0))</f>
        <v>12.531806736430319</v>
      </c>
      <c r="HL110" s="317">
        <f>各项系数!$F$76/4*($MW110^2-$MT110^2)*10^-2*(VLOOKUP($HL$9,各项系数!$D$1:$F$143,3,0))*10^-3*10^2*各项系数!$J$4</f>
        <v>0.73926819736260874</v>
      </c>
      <c r="HM110" s="311">
        <v>1</v>
      </c>
      <c r="HN110" s="311">
        <f t="shared" si="362"/>
        <v>0.73926819736260874</v>
      </c>
      <c r="HO110" s="311">
        <f>HN110*(VLOOKUP($HL$9,各项系数!$D$1:$F$143,2,0))</f>
        <v>12.567559355164349</v>
      </c>
      <c r="HP110" s="317">
        <f>各项系数!$F$76/4*($MV110^2-$MS110^2)*10^-2*(VLOOKUP(AN110,各项系数!$D$1:$F$143,3,0))*10^-3*10^2*各项系数!$J$4</f>
        <v>0.74733289665527669</v>
      </c>
      <c r="HQ110" s="310">
        <v>1</v>
      </c>
      <c r="HR110" s="311">
        <f t="shared" si="459"/>
        <v>0.74733289665527669</v>
      </c>
      <c r="HS110" s="311">
        <f>HR110*(VLOOKUP(AN110,各项系数!$D$1:$F$143,2,0))</f>
        <v>7.4733289665527671</v>
      </c>
      <c r="HT110" s="317">
        <f>各项系数!$F$76/4*($MW110^2-$MT110^2)*10^-2*(VLOOKUP(AN110,各项系数!$D$1:$F$143,3,0))*10^-3*10^2*各项系数!$J$4</f>
        <v>0.74946500008485162</v>
      </c>
      <c r="HU110" s="310">
        <v>1</v>
      </c>
      <c r="HV110" s="311">
        <f t="shared" si="460"/>
        <v>0.74946500008485162</v>
      </c>
      <c r="HW110" s="311">
        <f>HV110*(VLOOKUP(AN110,各项系数!$D$1:$F$143,2,0))</f>
        <v>7.494650000848516</v>
      </c>
      <c r="HX110" s="317">
        <f>各项系数!$F$76/4*($MV110^2-$MS110^2)*10^-2*(VLOOKUP($HX$9,各项系数!$D$1:$F$143,3,0))*10^-3*10^2*各项系数!$J$4</f>
        <v>0.74733289665527669</v>
      </c>
      <c r="HY110" s="311">
        <v>1</v>
      </c>
      <c r="HZ110" s="311">
        <f t="shared" si="461"/>
        <v>0.74733289665527669</v>
      </c>
      <c r="IA110" s="311">
        <f>HZ110*(VLOOKUP($HX$9,各项系数!$D$1:$F$143,2,0))</f>
        <v>8.2206618632080435</v>
      </c>
      <c r="IB110" s="317">
        <f>各项系数!$F$76/4*($MW110^2-$MT110^2)*10^-2*(VLOOKUP($IB$9,各项系数!$D$1:$F$143,3,0))*10^-3*10^2*各项系数!$J$4</f>
        <v>0.74946500008485162</v>
      </c>
      <c r="IC110" s="311">
        <v>1</v>
      </c>
      <c r="ID110" s="311">
        <f t="shared" si="462"/>
        <v>0.74946500008485162</v>
      </c>
      <c r="IE110" s="311">
        <f>ID110*(VLOOKUP($IB$9,各项系数!$D$1:$F$143,2,0))</f>
        <v>8.2441150009333679</v>
      </c>
      <c r="IF110" s="309"/>
      <c r="IG110" s="317">
        <f t="shared" si="415"/>
        <v>0.10720588307377331</v>
      </c>
      <c r="IH110" s="310">
        <v>1</v>
      </c>
      <c r="II110" s="311">
        <f t="shared" si="463"/>
        <v>0.10720588307377331</v>
      </c>
      <c r="IJ110" s="311">
        <f>II110*(VLOOKUP($IG$8,各项系数!$D$1:$F$143,2,0))</f>
        <v>2.6801470768443325</v>
      </c>
      <c r="IK110" s="317">
        <f>(各项系数!$F$76/4*($MX110^2-$MK110^2)*$EG110)*10^-2*(VLOOKUP($IG$8,各项系数!$D$1:$F$143,3,0))*10^-3*10^2*各项系数!$J$4</f>
        <v>8.6112817366700858E-2</v>
      </c>
      <c r="IL110" s="310">
        <f>IK110*(VLOOKUP($IG$8,各项系数!$D$1:$F$143,2,0))</f>
        <v>2.1528204341675217</v>
      </c>
      <c r="IM110" s="311">
        <f>(各项系数!$F$76/4*(($MM110+3*$X110)^2-MM110^2)*$EO110)*10^-2*(VLOOKUP($IG$8,各项系数!$D$1:$F$143,3,0))*10^-3*10^2*各项系数!$J$4</f>
        <v>2.109306570707245E-2</v>
      </c>
      <c r="IN110" s="310">
        <f>IM110*(VLOOKUP($IG$8,各项系数!$D$1:$F$143,2,0))</f>
        <v>0.52732664267681129</v>
      </c>
      <c r="IO110" s="317">
        <f>各项系数!$F$76/4*($MZ110^2-$MX110^2)*10^-2*(VLOOKUP(L110,各项系数!$D$1:$F$143,3,0))*10^-3*10^2*$ES110*各项系数!$J$4</f>
        <v>0.52389203045085919</v>
      </c>
      <c r="IP110" s="310">
        <v>1</v>
      </c>
      <c r="IQ110" s="311">
        <f t="shared" si="464"/>
        <v>0.52389203045085919</v>
      </c>
      <c r="IR110" s="290">
        <f>IQ110*(VLOOKUP(L110,各项系数!$D$1:$F$143,2,0))</f>
        <v>5.3436987105987637</v>
      </c>
      <c r="IS110" s="317">
        <f>IF($L110&lt;&gt;$IS$9,0,各项系数!$F$76/4*($MZ110^2-$MX110^2)*10^-2*各项系数!$F$12*10^-3*10^2)*$ES110*各项系数!$J$4</f>
        <v>0</v>
      </c>
      <c r="IT110" s="310">
        <v>1</v>
      </c>
      <c r="IU110" s="311">
        <f t="shared" si="465"/>
        <v>0</v>
      </c>
      <c r="IV110" s="290">
        <f>IU110*各项系数!$E$12</f>
        <v>0</v>
      </c>
      <c r="IW110" s="309">
        <f t="shared" si="466"/>
        <v>0.52389203045085919</v>
      </c>
      <c r="IX110" s="309">
        <f t="shared" si="467"/>
        <v>5.3436987105987637</v>
      </c>
      <c r="IY110" s="339">
        <f>各项系数!$F$76/4*($NB110^2-$MZ110^2*$EG110-$NA110^2*$EO110)*10^-2</f>
        <v>7.375945128789656</v>
      </c>
      <c r="IZ110" s="284">
        <f t="shared" si="487"/>
        <v>1</v>
      </c>
      <c r="JA110" s="285">
        <f t="shared" si="363"/>
        <v>7.375945128789656</v>
      </c>
      <c r="JB110" s="289">
        <f>IF($DE110&lt;&gt;$JB$9,0,$JA110*各项系数!$F$32*10^-3*10^2)*各项系数!$J$4</f>
        <v>0</v>
      </c>
      <c r="JC110" s="106">
        <v>1</v>
      </c>
      <c r="JD110" s="78">
        <f t="shared" si="468"/>
        <v>0</v>
      </c>
      <c r="JE110" s="264">
        <f>JD110*各项系数!$E$32</f>
        <v>0</v>
      </c>
      <c r="JF110" s="282">
        <f>IF($DE110&lt;&gt;$JF$9,0,$JA110*VLOOKUP($JF$9,各项系数!$D$4:$F$540,2,0)*10^-3*10^2)*各项系数!$J$4</f>
        <v>3.6695327015728538</v>
      </c>
      <c r="JG110" s="102">
        <v>1</v>
      </c>
      <c r="JH110" s="189">
        <f t="shared" si="364"/>
        <v>3.6695327015728538</v>
      </c>
      <c r="JI110" s="262">
        <f>JH110*VLOOKUP($JF$9,各项系数!$D$4:$F$540,3,0)</f>
        <v>4.4034392418874244</v>
      </c>
      <c r="JJ110" s="289">
        <f t="shared" si="469"/>
        <v>3.6695327015728538</v>
      </c>
      <c r="JK110" s="78">
        <f t="shared" si="470"/>
        <v>4.4034392418874244</v>
      </c>
      <c r="JL110" s="289">
        <f>IF($DF110&lt;&gt;$JL$9,0,各项系数!$F$76/4*($NE110^2-$NC110^2)*10^-2*各项系数!$F$39*10^-3*10^2)*各项系数!$J$4</f>
        <v>6.2098787375963445E-3</v>
      </c>
      <c r="JM110" s="106">
        <v>1</v>
      </c>
      <c r="JN110" s="78">
        <f t="shared" si="471"/>
        <v>6.2098787375963445E-3</v>
      </c>
      <c r="JO110" s="264">
        <f>JN110*各项系数!$E$39</f>
        <v>0.12419757475192689</v>
      </c>
      <c r="JP110" s="289">
        <f>IF($DF110&lt;&gt;$JP$9,0,各项系数!$F$76/4*($NE110^2-$NC110^2)*10^-2*各项系数!$F$36*10^-3*10^2)*各项系数!$J$4</f>
        <v>0</v>
      </c>
      <c r="JQ110" s="106">
        <v>1</v>
      </c>
      <c r="JR110" s="78">
        <f t="shared" si="472"/>
        <v>0</v>
      </c>
      <c r="JS110" s="264">
        <f>JR110*各项系数!$E$36</f>
        <v>0</v>
      </c>
      <c r="JT110" s="289">
        <f>IF($DF110&lt;&gt;$JT$9,0,各项系数!$F$76/4*($NE110^2-$NC110^2)*10^-2*各项系数!$F$40*10^-3*10^2)*各项系数!$J$4</f>
        <v>0</v>
      </c>
      <c r="JU110" s="106">
        <v>1</v>
      </c>
      <c r="JV110" s="78">
        <f t="shared" si="473"/>
        <v>0</v>
      </c>
      <c r="JW110" s="264">
        <f>JV110*各项系数!$E$40</f>
        <v>0</v>
      </c>
      <c r="JX110" s="289">
        <f>IF($DF110&lt;&gt;$JX$9,0,各项系数!$F$76/4*($NE110^2-$NC110^2)*10^-2*各项系数!$F$38*10^-3*10^2)*各项系数!$J$4</f>
        <v>0</v>
      </c>
      <c r="JY110" s="106">
        <v>1</v>
      </c>
      <c r="JZ110" s="78">
        <f t="shared" si="474"/>
        <v>0</v>
      </c>
      <c r="KA110" s="264">
        <f>JZ110*各项系数!$E$38</f>
        <v>0</v>
      </c>
      <c r="KB110" s="289">
        <f>IF($DF110&lt;&gt;$KB$9,0,各项系数!$F$76/4*($NE110^2-$NC110^2)*10^-2*各项系数!$F$41*10^-3*10^2)*各项系数!$J$4</f>
        <v>0</v>
      </c>
      <c r="KC110" s="106">
        <v>1</v>
      </c>
      <c r="KD110" s="78">
        <f t="shared" si="475"/>
        <v>0</v>
      </c>
      <c r="KE110" s="264">
        <f>KD110*各项系数!$E$41</f>
        <v>0</v>
      </c>
      <c r="KF110" s="78">
        <f t="shared" si="476"/>
        <v>6.2098787375963445E-3</v>
      </c>
      <c r="KG110" s="78">
        <f t="shared" si="477"/>
        <v>0.12419757475192689</v>
      </c>
      <c r="KH110" s="237">
        <f>各项系数!$F$76/4*($NG110^2-$NE110^2)*10^-2*各项系数!$F$44*10^-3*10^2*各项系数!$J$4*0.75*$U110</f>
        <v>1.5414640908899799</v>
      </c>
      <c r="KI110" s="106">
        <v>1</v>
      </c>
      <c r="KJ110" s="78">
        <f t="shared" si="478"/>
        <v>1.5414640908899799</v>
      </c>
      <c r="KK110" s="78">
        <f>ROUND(KJ110*各项系数!$E$43,GT110)</f>
        <v>9</v>
      </c>
      <c r="KL110" s="235">
        <f>各项系数!$F$76/4*($NF110^2-$NE110^2)*10^-2*各项系数!$F$46*10^-3*10^2*各项系数!$J$4*PI()/4*R110</f>
        <v>7.736123543527107E-2</v>
      </c>
      <c r="KM110" s="106">
        <v>1</v>
      </c>
      <c r="KN110" s="78">
        <f t="shared" si="479"/>
        <v>7.736123543527107E-2</v>
      </c>
      <c r="KO110" s="78">
        <f>KN110*各项系数!$E$46</f>
        <v>5.2218833918807972</v>
      </c>
      <c r="KP110" s="237">
        <f>各项系数!$F$76/4*($NH110^2-$NE110^2)*10^-2*(VLOOKUP($KP$9,各项系数!$D$1:$F$143,3,0))*10^-3*10^2*各项系数!$J$4</f>
        <v>0.76504425814842625</v>
      </c>
      <c r="KQ110" s="106">
        <v>1</v>
      </c>
      <c r="KR110" s="78">
        <f t="shared" si="416"/>
        <v>0.76504425814842625</v>
      </c>
      <c r="KS110" s="78">
        <f>KR110*(VLOOKUP($KP$9,各项系数!$D$1:$F$143,2,0))</f>
        <v>13.005752388523247</v>
      </c>
      <c r="KT110" s="237">
        <f>各项系数!$F$76/4*($NI110^2-$NF110^2)*10^-2*(VLOOKUP($KT$9,各项系数!$D$1:$F$143,3,0))*10^-3*10^2*各项系数!$J$4</f>
        <v>0.76714735336807494</v>
      </c>
      <c r="KU110" s="106">
        <v>1</v>
      </c>
      <c r="KV110" s="78">
        <f t="shared" si="417"/>
        <v>0.76714735336807494</v>
      </c>
      <c r="KW110" s="78">
        <f>KV110*(VLOOKUP($KT$9,各项系数!$D$1:$F$143,2,0))</f>
        <v>13.041505007257275</v>
      </c>
      <c r="KX110" s="78">
        <f>各项系数!$F$76/4*($NH110^2-$NE110^2)*10^-2*(VLOOKUP($KX$9,各项系数!$D$1:$F$143,3,0))*10^-3*10^2*各项系数!$J$4</f>
        <v>0.76504425814842625</v>
      </c>
      <c r="KY110" s="355">
        <v>1</v>
      </c>
      <c r="KZ110" s="78">
        <f t="shared" si="418"/>
        <v>0.76504425814842625</v>
      </c>
      <c r="LA110" s="78">
        <f>KZ110*(VLOOKUP($KX$9,各项系数!$D$1:$F$143,2,0))</f>
        <v>13.005752388523247</v>
      </c>
      <c r="LB110" s="78">
        <f>各项系数!$F$76/4*($NI110^2-$NF110^2)*10^-2*(VLOOKUP($LB$9,各项系数!$D$1:$F$143,3,0))*10^-3*10^2*各项系数!$J$4</f>
        <v>0.76714735336807494</v>
      </c>
      <c r="LC110" s="355">
        <v>1</v>
      </c>
      <c r="LD110" s="78">
        <f t="shared" si="419"/>
        <v>0.76714735336807494</v>
      </c>
      <c r="LE110" s="78">
        <f>LD110*(VLOOKUP($LB$9,各项系数!$D$1:$F$143,2,0))</f>
        <v>13.041505007257275</v>
      </c>
      <c r="LF110" s="237">
        <f>各项系数!$F$76/4*($NH110^2-$NE110^2)*10^-2*(VLOOKUP(AN110,各项系数!$D$1:$F$143,3,0))*10^-3*10^2*各项系数!$J$4</f>
        <v>0.77559659274357695</v>
      </c>
      <c r="LG110" s="106">
        <v>1</v>
      </c>
      <c r="LH110" s="78">
        <f t="shared" si="480"/>
        <v>0.77559659274357695</v>
      </c>
      <c r="LI110" s="78">
        <f>LH110*(VLOOKUP(AN110,各项系数!$D$1:$F$143,2,0))</f>
        <v>7.7559659274357697</v>
      </c>
      <c r="LJ110" s="237">
        <f>各项系数!$F$76/4*($NI110^2-$NF110^2)*10^-2*(VLOOKUP(AN110,各项系数!$D$1:$F$143,3,0))*10^-3*10^2*各项系数!$J$4</f>
        <v>0.77772869617315177</v>
      </c>
      <c r="LK110" s="106">
        <v>1</v>
      </c>
      <c r="LL110" s="78">
        <f t="shared" si="481"/>
        <v>0.77772869617315177</v>
      </c>
      <c r="LM110" s="78">
        <f>LL110*(VLOOKUP(AN110,各项系数!$D$1:$F$143,2,0))</f>
        <v>7.7772869617315177</v>
      </c>
      <c r="LN110" s="78">
        <f>各项系数!$F$76/4*($NH110^2-$NE110^2)*10^-2*(VLOOKUP($LN$9,各项系数!$D$1:$F$143,3,0))*10^-3*10^2*各项系数!$J$4</f>
        <v>0.77559659274357695</v>
      </c>
      <c r="LO110" s="355">
        <v>1</v>
      </c>
      <c r="LP110" s="78">
        <f t="shared" si="482"/>
        <v>0.77559659274357695</v>
      </c>
      <c r="LQ110" s="78">
        <f>LP110*(VLOOKUP($LN$9,各项系数!$D$1:$F$143,2,0))</f>
        <v>8.5315625201793459</v>
      </c>
      <c r="LR110" s="78">
        <f>各项系数!$F$76/4*($NI110^2-$NF110^2)*10^-2*(VLOOKUP($LR$9,各项系数!$D$1:$F$143,3,0))*10^-3*10^2*各项系数!$J$4</f>
        <v>0.77772869617315177</v>
      </c>
      <c r="LS110" s="355">
        <v>1</v>
      </c>
      <c r="LT110" s="78">
        <f t="shared" si="483"/>
        <v>0.77772869617315177</v>
      </c>
      <c r="LU110" s="78">
        <f>LT110*(VLOOKUP($LR$9,各项系数!$D$1:$F$143,2,0))</f>
        <v>8.5550156579046686</v>
      </c>
      <c r="LV110" s="367">
        <f t="shared" si="420"/>
        <v>952.50875464000001</v>
      </c>
      <c r="LW110" s="367">
        <f t="shared" si="421"/>
        <v>688.32730221999998</v>
      </c>
      <c r="LX110" s="367">
        <f t="shared" si="422"/>
        <v>29.604147359911845</v>
      </c>
      <c r="LY110" s="367">
        <f t="shared" si="423"/>
        <v>264.18145242000003</v>
      </c>
      <c r="LZ110" s="374">
        <f t="shared" si="365"/>
        <v>1</v>
      </c>
      <c r="MA110" s="375">
        <f t="shared" si="366"/>
        <v>952.50875464000001</v>
      </c>
      <c r="MB110" s="367">
        <f t="shared" si="424"/>
        <v>20.106150079999999</v>
      </c>
      <c r="MC110" s="367">
        <f t="shared" si="425"/>
        <v>169.60744652</v>
      </c>
      <c r="MD110" s="367">
        <f t="shared" si="426"/>
        <v>113.07163104999999</v>
      </c>
      <c r="ME110" s="367">
        <f t="shared" si="427"/>
        <v>11.998636257532116</v>
      </c>
      <c r="MF110" s="367">
        <f t="shared" si="428"/>
        <v>56.535815470000003</v>
      </c>
      <c r="MG110" s="379">
        <f t="shared" si="429"/>
        <v>1</v>
      </c>
      <c r="MH110" s="375">
        <f t="shared" si="367"/>
        <v>169.60744652</v>
      </c>
      <c r="MI110" s="367">
        <f t="shared" si="430"/>
        <v>14.695268217722949</v>
      </c>
      <c r="MJ110" s="78">
        <f t="shared" si="368"/>
        <v>20.106150079999999</v>
      </c>
      <c r="MK110" s="78">
        <f t="shared" si="431"/>
        <v>20.106150079999999</v>
      </c>
      <c r="ML110" s="78">
        <f t="shared" si="484"/>
        <v>14.69526821777778</v>
      </c>
      <c r="MM110" s="78">
        <f t="shared" si="369"/>
        <v>14.695268217722949</v>
      </c>
      <c r="MN110" s="78">
        <f t="shared" si="370"/>
        <v>23.506150079999998</v>
      </c>
      <c r="MO110" s="189">
        <f t="shared" si="432"/>
        <v>17.09526821772295</v>
      </c>
      <c r="MP110" s="78">
        <f t="shared" si="433"/>
        <v>53.006299669999997</v>
      </c>
      <c r="MQ110" s="78">
        <f t="shared" si="485"/>
        <v>53.006299669999997</v>
      </c>
      <c r="MR110" s="246">
        <f t="shared" si="434"/>
        <v>53.006299669999997</v>
      </c>
      <c r="MS110" s="380">
        <f t="shared" si="371"/>
        <v>53.182299669999999</v>
      </c>
      <c r="MT110" s="382">
        <f t="shared" si="372"/>
        <v>53.342299669999996</v>
      </c>
      <c r="MU110" s="382">
        <f t="shared" si="373"/>
        <v>54.682299669999999</v>
      </c>
      <c r="MV110" s="382">
        <f t="shared" si="374"/>
        <v>58.982299669999996</v>
      </c>
      <c r="MW110" s="382">
        <f t="shared" si="375"/>
        <v>59.142299669999993</v>
      </c>
      <c r="MX110" s="246">
        <f t="shared" si="376"/>
        <v>20.70615008</v>
      </c>
      <c r="MY110" s="246">
        <f t="shared" si="377"/>
        <v>15.295268217722949</v>
      </c>
      <c r="MZ110" s="78">
        <f t="shared" si="378"/>
        <v>24.106150079999999</v>
      </c>
      <c r="NA110" s="78">
        <f t="shared" si="379"/>
        <v>18.695268217722948</v>
      </c>
      <c r="NB110" s="78">
        <f t="shared" si="435"/>
        <v>55.063299669999999</v>
      </c>
      <c r="NC110" s="246">
        <f t="shared" si="486"/>
        <v>55.063299669999999</v>
      </c>
      <c r="ND110" s="246">
        <f t="shared" si="436"/>
        <v>55.063299669999999</v>
      </c>
      <c r="NE110" s="386">
        <f t="shared" si="437"/>
        <v>55.303299670000001</v>
      </c>
      <c r="NF110" s="382">
        <f t="shared" si="380"/>
        <v>55.463299669999998</v>
      </c>
      <c r="NG110" s="150">
        <f t="shared" si="381"/>
        <v>56.803299670000001</v>
      </c>
      <c r="NH110" s="246">
        <f t="shared" si="382"/>
        <v>61.103299669999998</v>
      </c>
      <c r="NI110" s="382">
        <f t="shared" si="383"/>
        <v>61.263299669999995</v>
      </c>
      <c r="NK110" s="390">
        <f t="shared" si="384"/>
        <v>9.2748013737448982</v>
      </c>
      <c r="NL110" s="390">
        <f t="shared" si="385"/>
        <v>486.46822247022055</v>
      </c>
      <c r="NM110" s="390">
        <f t="shared" si="386"/>
        <v>9.2748013737448982</v>
      </c>
      <c r="NN110" s="390">
        <f t="shared" si="387"/>
        <v>487.21555536687583</v>
      </c>
      <c r="NO110" s="390">
        <f t="shared" si="388"/>
        <v>12.296676345361725</v>
      </c>
      <c r="NP110" s="390">
        <f t="shared" si="389"/>
        <v>491.98585082067245</v>
      </c>
      <c r="NQ110" s="390">
        <f t="shared" si="390"/>
        <v>12.296676345361725</v>
      </c>
      <c r="NR110" s="390">
        <f t="shared" si="391"/>
        <v>492.76144741341602</v>
      </c>
      <c r="NS110" s="390">
        <f t="shared" si="392"/>
        <v>9.3491999258200966</v>
      </c>
      <c r="NT110" s="390">
        <f t="shared" si="393"/>
        <v>9.3491999258200966</v>
      </c>
      <c r="NU110" s="390">
        <f t="shared" si="394"/>
        <v>12.374037580796996</v>
      </c>
      <c r="NV110" s="390">
        <f t="shared" si="395"/>
        <v>12.374037580796996</v>
      </c>
      <c r="NW110" s="9">
        <f t="shared" si="396"/>
        <v>10.263559142628653</v>
      </c>
      <c r="NX110" s="9">
        <f>各项系数!$M$9*NK110</f>
        <v>2.7824404121234694</v>
      </c>
      <c r="NY110" s="9">
        <f t="shared" si="397"/>
        <v>9.3491999258200984</v>
      </c>
    </row>
    <row r="111" spans="1:389" s="9" customFormat="1" ht="15" hidden="1" customHeight="1">
      <c r="A111" s="65"/>
      <c r="B111" s="66"/>
      <c r="C111" s="67"/>
      <c r="D111" s="58" t="s">
        <v>361</v>
      </c>
      <c r="E111" s="399">
        <f t="shared" si="503"/>
        <v>64.280734559999999</v>
      </c>
      <c r="F111" s="68">
        <f>$F$31</f>
        <v>245.118138379664</v>
      </c>
      <c r="G111" s="58"/>
      <c r="H111" s="16"/>
      <c r="I111" s="145">
        <f>$F$28</f>
        <v>243.33587022849699</v>
      </c>
      <c r="J111" s="62"/>
      <c r="K111" s="16"/>
      <c r="L111" s="107" t="s">
        <v>467</v>
      </c>
      <c r="M111" s="98">
        <f t="shared" si="339"/>
        <v>1.8</v>
      </c>
      <c r="N111" s="98">
        <f t="shared" si="501"/>
        <v>1.4</v>
      </c>
      <c r="O111" s="58">
        <f t="shared" si="502"/>
        <v>0.08</v>
      </c>
      <c r="P111" s="99">
        <v>0.1</v>
      </c>
      <c r="Q111" s="136">
        <f t="shared" si="499"/>
        <v>0.1</v>
      </c>
      <c r="R111" s="151">
        <v>0.8</v>
      </c>
      <c r="S111" s="144" t="str">
        <f>各项系数!$D$43</f>
        <v>钢带</v>
      </c>
      <c r="T111" s="62">
        <v>0.5</v>
      </c>
      <c r="U111" s="62">
        <v>2</v>
      </c>
      <c r="V111" s="143"/>
      <c r="W111" s="145">
        <v>3.2</v>
      </c>
      <c r="X111" s="139">
        <f t="shared" si="500"/>
        <v>0.2</v>
      </c>
      <c r="Y111" s="139"/>
      <c r="Z111" s="169"/>
      <c r="AA111" s="170">
        <f>$AA$31</f>
        <v>1.02</v>
      </c>
      <c r="AB111" s="153">
        <f>PI()*EJ111*EJ111/4*EH111*(1-H111)*AA111*各项系数!$F$5*各项系数!$J$4*10^-7</f>
        <v>2.5971416022939482</v>
      </c>
      <c r="AC111" s="170">
        <f t="shared" si="504"/>
        <v>245.118138379664</v>
      </c>
      <c r="AD111" s="153">
        <f t="shared" si="341"/>
        <v>293.60996233065771</v>
      </c>
      <c r="AE111" s="153">
        <f>POWER(4*EU111/PI()/EG111/10^-7/EH111/(1-H111)/各项系数!$F$5/各项系数!$J$4,0.5)</f>
        <v>247.5571849047536</v>
      </c>
      <c r="AF111" s="16">
        <f>$AA$28</f>
        <v>1.0149999999999999</v>
      </c>
      <c r="AG111" s="16">
        <f>IF(EM111=0,0,PI()*ER111*ER111/4*EP111*(1-K111)*(1+AF111)*各项系数!$F$5*各项系数!$J$4*10^-7)</f>
        <v>2.4866994287650264</v>
      </c>
      <c r="AH111" s="16">
        <f t="shared" si="505"/>
        <v>243.33587022849699</v>
      </c>
      <c r="AI111" s="69">
        <f t="shared" si="398"/>
        <v>141.60853982537648</v>
      </c>
      <c r="AJ111" s="69">
        <f>IF(OR(EP111="",EP111=0),0,POWER(4*EW111/PI()/EO111/10^-7/EP111/(1-K111)/各项系数!$F$5/各项系数!$J$4,0.5))</f>
        <v>245.15409628631096</v>
      </c>
      <c r="AK111" s="16">
        <f t="shared" si="342"/>
        <v>9.0440302263342041</v>
      </c>
      <c r="AL111" s="16">
        <f t="shared" si="506"/>
        <v>628.7051290397518</v>
      </c>
      <c r="AM111" s="106">
        <f t="shared" si="507"/>
        <v>300</v>
      </c>
      <c r="AN111" s="107" t="s">
        <v>486</v>
      </c>
      <c r="AO111" s="146">
        <f>AP111+各项系数!$M$9*$NK111</f>
        <v>616.37757748995273</v>
      </c>
      <c r="AP111" s="146">
        <f>AQ111*(1+$BI111+(VLOOKUP($AM111,$A$12:$B$323,2,0))+各项系数!$J$6+各项系数!$M$5)*(1+$E$2)</f>
        <v>612.92238050614469</v>
      </c>
      <c r="AQ111" s="199">
        <f>AR111+各项系数!$L$9*$NK111</f>
        <v>625.43100051647423</v>
      </c>
      <c r="AR111" s="199">
        <f>AS111*(1+$BJ111+各项系数!$J$5+各项系数!$L$5)</f>
        <v>621.97580353266619</v>
      </c>
      <c r="AS111" s="199">
        <f t="shared" si="399"/>
        <v>609.78019954182957</v>
      </c>
      <c r="AT111" s="146">
        <f>AU111+各项系数!$M$9*$NM111</f>
        <v>622.45439943232054</v>
      </c>
      <c r="AU111" s="146">
        <f>AV111*(1+$BI111+(VLOOKUP($AM111,$A$12:$B$323,2,0))+各项系数!$J$6+各项系数!$M$5)*(1+$E$2)</f>
        <v>618.99920244851251</v>
      </c>
      <c r="AV111" s="199">
        <f>AW111+各项系数!$L$9*$NM111</f>
        <v>631.63183923317604</v>
      </c>
      <c r="AW111" s="199">
        <f>AX111*(1+$BJ111+各项系数!$J$5+各项系数!$L$5)</f>
        <v>628.176642249368</v>
      </c>
      <c r="AX111" s="199">
        <f t="shared" si="400"/>
        <v>615.85945318565484</v>
      </c>
      <c r="AY111" s="146">
        <f>AZ111+各项系数!$M$9*$NS111</f>
        <v>621.9118999490496</v>
      </c>
      <c r="AZ111" s="146">
        <f>BA111*(1+$BI111+(VLOOKUP($AM111,$A$12:$B$214,2,0))+各项系数!$J$6+各项系数!$M$5)*(1+$E$2)</f>
        <v>618.43241452057134</v>
      </c>
      <c r="BA111" s="199">
        <f>BB111+各项系数!$L$9*$NS111</f>
        <v>631.05348420466464</v>
      </c>
      <c r="BB111" s="199">
        <f>BC111*(1+$BJ111+各项系数!$J$5+各项系数!$L$5)</f>
        <v>627.57399877618639</v>
      </c>
      <c r="BC111" s="199">
        <f t="shared" si="401"/>
        <v>615.26862625116314</v>
      </c>
      <c r="BD111" s="146">
        <f>BE111+各项系数!$M$9*$NS111</f>
        <v>628.00464002858098</v>
      </c>
      <c r="BE111" s="146">
        <f>BF111*(1+$BI111+(VLOOKUP($AM111,$A$12:$B$214,2,0))+各项系数!$J$6+各项系数!$M$5)*(1+$E$2)</f>
        <v>624.52515460010272</v>
      </c>
      <c r="BF111" s="199">
        <f>BG111+各项系数!$L$9*$NS111</f>
        <v>637.27056591847213</v>
      </c>
      <c r="BG111" s="199">
        <f>BH111*(1+$BJ111+各项系数!$J$5+各项系数!$L$5)</f>
        <v>633.79108048999387</v>
      </c>
      <c r="BH111" s="199">
        <f t="shared" si="402"/>
        <v>621.36380440195478</v>
      </c>
      <c r="BI111" s="214"/>
      <c r="BJ111" s="215"/>
      <c r="BK111" s="78" t="s">
        <v>514</v>
      </c>
      <c r="BL111" s="146">
        <f>BM111+各项系数!$M$9*$NM111</f>
        <v>623.26000696136953</v>
      </c>
      <c r="BM111" s="146">
        <f>BN111*(1+$CF111+(VLOOKUP($AM111,$A$12:$B$323,2,0))+各项系数!$J$6+各项系数!$M$5)*(1+$E$2)</f>
        <v>619.80480997756149</v>
      </c>
      <c r="BN111" s="199">
        <f>BO111+各项系数!$L$9*$NM111</f>
        <v>632.45388773220566</v>
      </c>
      <c r="BO111" s="199">
        <f>BP111*(1+$CG111+各项系数!$J$5+各项系数!$L$5)</f>
        <v>628.99869074839762</v>
      </c>
      <c r="BP111" s="199">
        <f t="shared" si="403"/>
        <v>610.67834053242484</v>
      </c>
      <c r="BQ111" s="146">
        <f>BR111+各项系数!$M$9*$NM111</f>
        <v>628.48982207353993</v>
      </c>
      <c r="BR111" s="146">
        <f>BS111*(1+$CF111+(VLOOKUP($AM111,$A$12:$B$323,2,0))+各项系数!$J$6+各项系数!$M$5)*(1+$E$2)</f>
        <v>625.03462508973189</v>
      </c>
      <c r="BS111" s="199">
        <f>BT111+各项系数!$L$9*$NM111</f>
        <v>637.7904337650325</v>
      </c>
      <c r="BT111" s="199">
        <f>BU111*(1+$CG111+各项系数!$J$5+各项系数!$L$5)</f>
        <v>634.33523678122447</v>
      </c>
      <c r="BU111" s="199">
        <f t="shared" si="404"/>
        <v>615.85945318565484</v>
      </c>
      <c r="BV111" s="146">
        <f>BW111+各项系数!$M$9*$NT111</f>
        <v>625.44869319831344</v>
      </c>
      <c r="BW111" s="146">
        <f>BX111*(1+$CF111+(VLOOKUP($AM111,$A$12:$B$214,2,0))+各项系数!$J$6+各项系数!$M$5)*(1+$E$2)</f>
        <v>621.96920776983518</v>
      </c>
      <c r="BX111" s="199">
        <f>BY111+各项系数!$L$9*$NT$12</f>
        <v>634.66245690799508</v>
      </c>
      <c r="BY111" s="199">
        <f>BZ111*(1+$CG111+各项系数!$J$5+各项系数!$L$5)</f>
        <v>634.65419350484012</v>
      </c>
      <c r="BZ111" s="199">
        <f t="shared" si="343"/>
        <v>616.16911990761173</v>
      </c>
      <c r="CA111" s="146">
        <f>CB111+各项系数!$M$9*$NT111</f>
        <v>630.69220772690335</v>
      </c>
      <c r="CB111" s="146">
        <f>CC111*(1+$CF111+(VLOOKUP($AM111,$A$12:$B$214,2,0))+各项系数!$J$6+各项系数!$M$5)*(1+$E$2)</f>
        <v>627.21272229842509</v>
      </c>
      <c r="CC111" s="199">
        <f>CD111+各项系数!$L$9*$NT$12</f>
        <v>640.01298193716843</v>
      </c>
      <c r="CD111" s="199">
        <f>CE111*(1+$CG111+各项系数!$J$5+各项系数!$L$5)</f>
        <v>640.00471853401348</v>
      </c>
      <c r="CE111" s="199">
        <f t="shared" si="405"/>
        <v>621.36380440195478</v>
      </c>
      <c r="CF111" s="214">
        <f t="shared" si="406"/>
        <v>0</v>
      </c>
      <c r="CG111" s="214">
        <f t="shared" si="344"/>
        <v>0.01</v>
      </c>
      <c r="CH111" s="106"/>
      <c r="CI111" s="146">
        <f>CJ111+各项系数!$M$9*$NO111</f>
        <v>628.151258535024</v>
      </c>
      <c r="CJ111" s="146">
        <f>CK111*(1+$DC111+(VLOOKUP($AM111,$A$12:$B$323,2,0))+各项系数!$J$6+各项系数!$M$5)*(1+$E$2)+各项系数!$M$9*$NK111</f>
        <v>623.64939588257459</v>
      </c>
      <c r="CK111" s="199">
        <f>CL111+各项系数!$L$9*$NO111</f>
        <v>632.85122336608833</v>
      </c>
      <c r="CL111" s="199">
        <f>CM111*(1+$DD111+各项系数!$J$5+各项系数!$L$5)</f>
        <v>628.34936071363904</v>
      </c>
      <c r="CM111" s="199">
        <f t="shared" si="345"/>
        <v>616.02878501337159</v>
      </c>
      <c r="CN111" s="146">
        <f>CO111+各项系数!$M$9*$NO111</f>
        <v>633.93411487901903</v>
      </c>
      <c r="CO111" s="146">
        <f>CP111*(1+$DC111+(VLOOKUP($AM111,$A$12:$B$323,2,0))+各项系数!$J$6+各项系数!$M$5)*(1+$E$2)+各项系数!$M$9*$NK111</f>
        <v>629.43225222656963</v>
      </c>
      <c r="CP111" s="199">
        <f>CQ111+各项系数!$L$9*$NO111</f>
        <v>638.75209718649148</v>
      </c>
      <c r="CQ111" s="199">
        <f>CR111*(1+$DD111+各项系数!$J$5+各项系数!$L$5)</f>
        <v>634.25023453404208</v>
      </c>
      <c r="CR111" s="199">
        <f t="shared" si="346"/>
        <v>621.81395542553139</v>
      </c>
      <c r="CS111" s="146">
        <f>CT111+各项系数!$M$9*$NU111</f>
        <v>630.42054051033176</v>
      </c>
      <c r="CT111" s="146">
        <f t="shared" si="347"/>
        <v>625.89355131325181</v>
      </c>
      <c r="CU111" s="199">
        <f>CV111+各项系数!$L$9*$NU111</f>
        <v>638.66688909515494</v>
      </c>
      <c r="CV111" s="199">
        <f>CW111*(1+$DD111+各项系数!$J$5+各项系数!$L$5)</f>
        <v>634.13989989807499</v>
      </c>
      <c r="CW111" s="199">
        <f t="shared" si="348"/>
        <v>621.70578421379901</v>
      </c>
      <c r="CX111" s="146">
        <f>CY111+各项系数!$M$9*$NU111</f>
        <v>636.71225730440813</v>
      </c>
      <c r="CY111" s="146">
        <f t="shared" si="349"/>
        <v>632.18526810732817</v>
      </c>
      <c r="CZ111" s="199">
        <f>DA111+各项系数!$L$9*$NU111</f>
        <v>645.08700827278381</v>
      </c>
      <c r="DA111" s="199">
        <f>DB111*(1+$DD111+各项系数!$J$5+各项系数!$L$5)</f>
        <v>640.56001907570385</v>
      </c>
      <c r="DB111" s="199">
        <f t="shared" si="350"/>
        <v>628.00001870167046</v>
      </c>
      <c r="DC111" s="214">
        <f t="shared" si="498"/>
        <v>0</v>
      </c>
      <c r="DD111" s="214">
        <f t="shared" si="351"/>
        <v>0</v>
      </c>
      <c r="DE111" s="78" t="s">
        <v>498</v>
      </c>
      <c r="DF111" s="78" t="s">
        <v>513</v>
      </c>
      <c r="DG111" s="146">
        <f>DH111+各项系数!$M$9*$NQ111</f>
        <v>635.12460890546618</v>
      </c>
      <c r="DH111" s="146">
        <f>DI111*(1+$EA111+(VLOOKUP($AM111,$A$12:$B$323,2,0))+各项系数!$J$6+各项系数!$M$5)*(1+$E$2)+各项系数!$M$9*$NK111</f>
        <v>630.62274625301677</v>
      </c>
      <c r="DI111" s="199">
        <f>DJ111+各项系数!$L$9*$NQ111</f>
        <v>639.96688700939671</v>
      </c>
      <c r="DJ111" s="199">
        <f>DK111*(1+$EB111+各项系数!$J$5+各项系数!$L$5)</f>
        <v>635.46502435694742</v>
      </c>
      <c r="DK111" s="199">
        <f t="shared" si="352"/>
        <v>616.95633432713339</v>
      </c>
      <c r="DL111" s="146">
        <f>DM111+各项系数!$M$9*$NQ111</f>
        <v>640.52566672288049</v>
      </c>
      <c r="DM111" s="146">
        <f>DN111*(1+$EA111+(VLOOKUP($AM111,$A$12:$B$323,2,0))+各项系数!$J$6+各项系数!$M$5)*(1+$E$2)+各项系数!$M$9*$NK111</f>
        <v>636.02380407043108</v>
      </c>
      <c r="DN111" s="199">
        <f>DO111+各项系数!$L$9*$NQ111</f>
        <v>645.47817049655418</v>
      </c>
      <c r="DO111" s="199">
        <f>DP111*(1+$EB111+各项系数!$J$5+各项系数!$L$5)</f>
        <v>640.97630784410489</v>
      </c>
      <c r="DP111" s="199">
        <f t="shared" si="353"/>
        <v>622.30709499427655</v>
      </c>
      <c r="DQ111" s="146">
        <f>DR111+各项系数!$M$9*$NV111</f>
        <v>637.45190025385057</v>
      </c>
      <c r="DR111" s="146">
        <f t="shared" si="354"/>
        <v>632.92491105677061</v>
      </c>
      <c r="DS111" s="199">
        <f>DT111+各项系数!$L$9*$NV111</f>
        <v>645.84174597629658</v>
      </c>
      <c r="DT111" s="199">
        <f>DU111*(1+$EB111+各项系数!$J$5+各项系数!$L$5)</f>
        <v>641.31475677921662</v>
      </c>
      <c r="DU111" s="199">
        <f t="shared" si="355"/>
        <v>622.63568619341413</v>
      </c>
      <c r="DV111" s="146">
        <f>DW111+各项系数!$M$9*$NV111</f>
        <v>636.63176041327335</v>
      </c>
      <c r="DW111" s="146">
        <f t="shared" si="356"/>
        <v>632.1047712161934</v>
      </c>
      <c r="DX111" s="199">
        <f>DY111+各项系数!$L$9*$NV111</f>
        <v>645.0048685879525</v>
      </c>
      <c r="DY111" s="199">
        <f>DZ111*(1+$EB111+各项系数!$J$5+各项系数!$L$5)</f>
        <v>640.47787939087254</v>
      </c>
      <c r="DZ111" s="199">
        <f t="shared" si="357"/>
        <v>621.82318387463351</v>
      </c>
      <c r="EA111" s="214">
        <f t="shared" ref="EA111:EA123" si="511">BI111+$EA$2</f>
        <v>0</v>
      </c>
      <c r="EB111" s="214">
        <f t="shared" si="358"/>
        <v>0.01</v>
      </c>
      <c r="EC111" s="235" t="str">
        <f t="shared" si="408"/>
        <v>3+1</v>
      </c>
      <c r="ED111" s="237" t="str">
        <f t="shared" si="494"/>
        <v>3*300</v>
      </c>
      <c r="EE111" s="78">
        <f t="shared" si="495"/>
        <v>300</v>
      </c>
      <c r="EF111" s="78" t="str">
        <f>LOOKUP(EH111,{1,7,10,14,19,24,30,37,48,61},{1,"1+6","2+8","4+10","1+6+12","2+8+14","4+10+16","1+6+12+18","3+9+15+21","1+6+12+18+24"})</f>
        <v>1+6+12+18+24</v>
      </c>
      <c r="EG111" s="106">
        <f t="shared" si="359"/>
        <v>3</v>
      </c>
      <c r="EH111" s="199">
        <f>VLOOKUP(EE111,各项系数!$B$87:$C$124,2,0)</f>
        <v>61</v>
      </c>
      <c r="EI111" s="106">
        <f>IF(EH111=0,0,VLOOKUP(EH111,各项系数!$D$142:$E$195,2,0))*1</f>
        <v>9</v>
      </c>
      <c r="EJ111" s="240">
        <f t="shared" si="409"/>
        <v>245.118138379664</v>
      </c>
      <c r="EK111" s="78" t="str">
        <f t="shared" si="508"/>
        <v>1*150</v>
      </c>
      <c r="EL111" s="78" t="str">
        <f t="shared" si="360"/>
        <v>150</v>
      </c>
      <c r="EM111" s="78">
        <f t="shared" si="496"/>
        <v>150</v>
      </c>
      <c r="EN111" s="78" t="str">
        <f>IF(EP111=0,0,LOOKUP(EP111,{1,7,10,14,19,24,30,37,48,61},{1,"1+6","2+8","4+10","1+6+12","2+8+14","4+10+16","1+6+12+18","3+9+15+21","1+6+12+18+24"}))</f>
        <v>4+10+16</v>
      </c>
      <c r="EO111" s="78" t="str">
        <f t="shared" si="509"/>
        <v>1</v>
      </c>
      <c r="EP111" s="78">
        <f>IF(EM111=0,0,IF(EM111&lt;10,1,IF(AND(EM111&gt;=10,EM111&lt;=35),7,LOOKUP(EM111,{50,70,95,120,150,185,240,300},{10,14,19,24,30,37,48,61})*1)))</f>
        <v>30</v>
      </c>
      <c r="EQ111" s="78">
        <f>IF(EP111=0,0,VLOOKUP(EP111,各项系数!$D$142:$E$195,2,0))*1</f>
        <v>6.41</v>
      </c>
      <c r="ER111" s="78">
        <f t="shared" si="510"/>
        <v>243.33587022849699</v>
      </c>
      <c r="ES111" s="237">
        <f t="shared" si="497"/>
        <v>4</v>
      </c>
      <c r="ET111" s="78">
        <f>VLOOKUP(ES111,各项系数!$D$142:$E$195,2,0)*1</f>
        <v>2.42</v>
      </c>
      <c r="EU111" s="243">
        <f>((各项系数!$F$76/4*$EJ111^2*$EG111*$EH111*1*10^-7)*(1-$H111)*AA111)*(VLOOKUP($EY$9,各项系数!$D$4:$F$143,3,0))*各项系数!$J$4</f>
        <v>7.7914248068818459</v>
      </c>
      <c r="EV111" s="244">
        <f>EU111*(VLOOKUP($EY$9,各项系数!$D$4:$F$143,2,0))</f>
        <v>510.3383248507609</v>
      </c>
      <c r="EW111" s="252">
        <f>(IF($EO111=0,0,(各项系数!$F$76/4*$ER111^2*$EO111*$EP111*1*10^-7))*(1-$K111)*$AF111)*(VLOOKUP($EY$9,各项系数!$D$4:$F$143,3,0))*各项系数!$J$4</f>
        <v>1.2526054194523586</v>
      </c>
      <c r="EX111" s="253">
        <f>EW111*(VLOOKUP($EY$9,各项系数!$D$4:$F$143,2,0))</f>
        <v>82.045654974129491</v>
      </c>
      <c r="EY111" s="189">
        <f>((各项系数!$F$76/4*$EJ111^2*$EG111*$EH111*1*10^-7)*(1-$H111)*AA111+IF($EO111=0,0,(各项系数!$F$76/4*$ER111^2*$EO111*$EP111*1*10^-7))*(1-$K111)*$AF111)*(VLOOKUP($EY$9,各项系数!$D$4:$F$143,3,0))*各项系数!$J$4</f>
        <v>9.0440302263342041</v>
      </c>
      <c r="EZ111" s="106">
        <v>1</v>
      </c>
      <c r="FA111" s="78">
        <f t="shared" si="445"/>
        <v>9.0440302263342041</v>
      </c>
      <c r="FB111" s="246">
        <f>FA111*(VLOOKUP($EY$9,各项系数!$D$4:$F$143,2,0))</f>
        <v>592.38397982489039</v>
      </c>
      <c r="FC111" s="257"/>
      <c r="FD111" s="237">
        <f>各项系数!$F$76/4*($MN111^2-MK111^2)*10^-2*(VLOOKUP(L111,各项系数!$D$1:$F$143,3,0))*10^-3*10^2*$EG111*各项系数!$J$4</f>
        <v>0.4430383783634661</v>
      </c>
      <c r="FE111" s="264">
        <f>FD111*VLOOKUP(L111,各项系数!$D$1:$F$143,2,0)</f>
        <v>4.5189914593073537</v>
      </c>
      <c r="FF111" s="106">
        <f>各项系数!$F$76/4*($MO111^2-ML111^2)*10^-2*(VLOOKUP(L111,各项系数!$D$1:$F$143,3,0))*10^-3*10^2*$EO111*各项系数!$J$4</f>
        <v>8.1825211659407343E-2</v>
      </c>
      <c r="FG111" s="264">
        <f>FF111*VLOOKUP(L111,各项系数!$D$1:$F$143,2,0)</f>
        <v>0.83461715892595489</v>
      </c>
      <c r="FH111" s="237">
        <f t="shared" si="410"/>
        <v>0.52486359002287342</v>
      </c>
      <c r="FI111" s="106">
        <v>1</v>
      </c>
      <c r="FJ111" s="78">
        <f t="shared" si="446"/>
        <v>0.52486359002287342</v>
      </c>
      <c r="FK111" s="264">
        <f>FJ111*VLOOKUP(L111,各项系数!$D$1:$F$143,2,0)</f>
        <v>5.3536086182333085</v>
      </c>
      <c r="FL111" s="237"/>
      <c r="FM111" s="106"/>
      <c r="FN111" s="78"/>
      <c r="FO111" s="264"/>
      <c r="FP111" s="289">
        <f t="shared" si="447"/>
        <v>0.52486359002287342</v>
      </c>
      <c r="FQ111" s="289">
        <f t="shared" si="448"/>
        <v>5.3536086182333085</v>
      </c>
      <c r="FR111" s="283">
        <f>各项系数!$F$76/4*($MQ111^2-$MN111^2*$EG111-$MO111^2*$EO111)*10^-2</f>
        <v>7.9792691326153919</v>
      </c>
      <c r="FS111" s="284">
        <f t="shared" si="411"/>
        <v>1</v>
      </c>
      <c r="FT111" s="285">
        <f t="shared" si="361"/>
        <v>7.9792691326153919</v>
      </c>
      <c r="FU111" s="309">
        <f>$FT111*(VLOOKUP($FT$9,各项系数!$D$1:$F$143,3,0))*10^-3*10^2*各项系数!$J$55</f>
        <v>0.95272473443427774</v>
      </c>
      <c r="FV111" s="310">
        <v>1</v>
      </c>
      <c r="FW111" s="311">
        <f t="shared" si="449"/>
        <v>0.95272473443427774</v>
      </c>
      <c r="FX111" s="290">
        <f>FW111*(VLOOKUP($FT$9,各项系数!$D$1:$F$143,2,0))</f>
        <v>2.8581742033028332</v>
      </c>
      <c r="FY111" s="309">
        <f>IF($BK111&lt;&gt;$FY$9,0,各项系数!$F$76/4*($MS111^2-$MQ111^2)*10^-2*(VLOOKUP($FY$9,各项系数!$D$1:$F$143,3,0))*10^-3*10^2)*各项系数!$J$4</f>
        <v>0</v>
      </c>
      <c r="FZ111" s="310">
        <v>1</v>
      </c>
      <c r="GA111" s="311">
        <f t="shared" si="450"/>
        <v>0</v>
      </c>
      <c r="GB111" s="290">
        <f>GA111*(VLOOKUP($FY$9,各项系数!$D$1:$F$143,2,0))</f>
        <v>0</v>
      </c>
      <c r="GC111" s="309">
        <f>IF($BK111&lt;&gt;$GC$9,0,各项系数!$F$76/4*($MS111^2-$MQ111^2)*10^-2*(VLOOKUP($GC$9,各项系数!$D$1:$F$143,3,0))*10^-3*10^2)*各项系数!$J$4</f>
        <v>1.5738526313946691E-2</v>
      </c>
      <c r="GD111" s="310">
        <v>1</v>
      </c>
      <c r="GE111" s="311">
        <f t="shared" si="451"/>
        <v>1.5738526313946691E-2</v>
      </c>
      <c r="GF111" s="290">
        <f>GE111*(VLOOKUP($GC$9,各项系数!$D$1:$F$143,2,0))</f>
        <v>0.20302698944991232</v>
      </c>
      <c r="GG111" s="309">
        <f>IF($BK111&lt;&gt;$GG$9,0,各项系数!$F$76/4*($MS111^2-$MQ111^2)*10^-2*(VLOOKUP($GG$9,各项系数!$D$1:$F$143,3,0))*10^-3*10^2)*各项系数!$J$4</f>
        <v>0</v>
      </c>
      <c r="GH111" s="310">
        <v>1</v>
      </c>
      <c r="GI111" s="311">
        <f t="shared" si="452"/>
        <v>0</v>
      </c>
      <c r="GJ111" s="290">
        <f>GI111*(VLOOKUP($GG$9,各项系数!$D$1:$F$143,2,0))</f>
        <v>0</v>
      </c>
      <c r="GK111" s="309">
        <f>IF($BK111&lt;&gt;$GK$9,0,各项系数!$F$76/4*($MS111^2-$MQ111^2)*10^-2*(VLOOKUP($GK$9,各项系数!$D$1:$F$143,3,0))*10^-3*10^2)*各项系数!$J$4</f>
        <v>0</v>
      </c>
      <c r="GL111" s="310">
        <v>1</v>
      </c>
      <c r="GM111" s="311">
        <f t="shared" si="453"/>
        <v>0</v>
      </c>
      <c r="GN111" s="290">
        <f>GM111*(VLOOKUP($GK$9,各项系数!$D$1:$F$143,2,0))</f>
        <v>0</v>
      </c>
      <c r="GO111" s="311">
        <f t="shared" si="454"/>
        <v>1.5738526313946691E-2</v>
      </c>
      <c r="GP111" s="311">
        <f t="shared" si="455"/>
        <v>0.20302698944991232</v>
      </c>
      <c r="GQ111" s="317">
        <f>各项系数!$F$76/4*($MU111^2-$MS111^2)*10^-2*(VLOOKUP($S111,各项系数!$D$1:$F$143,3,0))*10^-3*10^2*各项系数!$J$4</f>
        <v>1.074895649662204</v>
      </c>
      <c r="GR111" s="310">
        <v>1</v>
      </c>
      <c r="GS111" s="311">
        <f t="shared" si="456"/>
        <v>1.074895649662204</v>
      </c>
      <c r="GT111" s="311">
        <f t="shared" si="457"/>
        <v>0</v>
      </c>
      <c r="GU111" s="311">
        <f>ROUND($GS111*(VLOOKUP($S111,各项系数!$D$1:$F$143,2,0))+$E$3*GS111,GT111)</f>
        <v>6</v>
      </c>
      <c r="GV111" s="315">
        <f>各项系数!$F$76/4*($MT111^2-$MS111^2)*10^-2*(VLOOKUP($GV$9,各项系数!$D$1:$F$143,3,0))*10^-3*10^2*各项系数!$J$4*PI()/4*R111</f>
        <v>8.096148223407984E-2</v>
      </c>
      <c r="GW111" s="310">
        <v>1</v>
      </c>
      <c r="GX111" s="311">
        <f t="shared" si="458"/>
        <v>8.096148223407984E-2</v>
      </c>
      <c r="GY111" s="311">
        <f>$GX111*(VLOOKUP($GV$9,各项系数!$D$1:$F$143,2,0))</f>
        <v>5.4649000508003889</v>
      </c>
      <c r="GZ111" s="317">
        <f>各项系数!$F$76/4*($MV111^2-$MS111^2)*10^-2*(VLOOKUP($GZ$9,各项系数!$D$1:$F$143,3,0))*10^-3*10^2*各项系数!$J$4</f>
        <v>0.885921385281084</v>
      </c>
      <c r="HA111" s="310">
        <v>1</v>
      </c>
      <c r="HB111" s="311">
        <f t="shared" si="412"/>
        <v>0.885921385281084</v>
      </c>
      <c r="HC111" s="311">
        <f>HB111*(VLOOKUP($GZ$9,各项系数!$D$1:$F$143,2,0))</f>
        <v>15.060663549778427</v>
      </c>
      <c r="HD111" s="317">
        <f>各项系数!$F$76/4*($MW111^2-$MT111^2)*10^-2*(VLOOKUP($HD$9,各项系数!$D$1:$F$143,3,0))*10^-3*10^2*各项系数!$J$4</f>
        <v>0.88824204207517832</v>
      </c>
      <c r="HE111" s="310">
        <v>1</v>
      </c>
      <c r="HF111" s="311">
        <f t="shared" si="413"/>
        <v>0.88824204207517832</v>
      </c>
      <c r="HG111" s="311">
        <f>HF111*(VLOOKUP($HD$9,各项系数!$D$1:$F$143,2,0))</f>
        <v>15.100114715278032</v>
      </c>
      <c r="HH111" s="317">
        <f>各项系数!$F$76/4*($MV111^2-$MS111^2)*10^-2*(VLOOKUP($HH$9,各项系数!$D$1:$F$143,3,0))*10^-3*10^2*各项系数!$J$4</f>
        <v>0.885921385281084</v>
      </c>
      <c r="HI111" s="311">
        <v>1</v>
      </c>
      <c r="HJ111" s="311">
        <f t="shared" si="414"/>
        <v>0.885921385281084</v>
      </c>
      <c r="HK111" s="311">
        <f>HJ111*(VLOOKUP($HH$9,各项系数!$D$1:$F$143,2,0))</f>
        <v>15.060663549778427</v>
      </c>
      <c r="HL111" s="317">
        <f>各项系数!$F$76/4*($MW111^2-$MT111^2)*10^-2*(VLOOKUP($HL$9,各项系数!$D$1:$F$143,3,0))*10^-3*10^2*各项系数!$J$4</f>
        <v>0.88824204207517832</v>
      </c>
      <c r="HM111" s="311">
        <v>1</v>
      </c>
      <c r="HN111" s="311">
        <f t="shared" si="362"/>
        <v>0.88824204207517832</v>
      </c>
      <c r="HO111" s="311">
        <f>HN111*(VLOOKUP($HL$9,各项系数!$D$1:$F$143,2,0))</f>
        <v>15.100114715278032</v>
      </c>
      <c r="HP111" s="317">
        <f>各项系数!$F$76/4*($MV111^2-$MS111^2)*10^-2*(VLOOKUP(AN111,各项系数!$D$1:$F$143,3,0))*10^-3*10^2*各项系数!$J$4</f>
        <v>0.89814099059530594</v>
      </c>
      <c r="HQ111" s="310">
        <v>1</v>
      </c>
      <c r="HR111" s="311">
        <f t="shared" si="459"/>
        <v>0.89814099059530594</v>
      </c>
      <c r="HS111" s="311">
        <f>HR111*(VLOOKUP(AN111,各项系数!$D$1:$F$143,2,0))</f>
        <v>8.9814099059530594</v>
      </c>
      <c r="HT111" s="317">
        <f>各项系数!$F$76/4*($MW111^2-$MT111^2)*10^-2*(VLOOKUP(AN111,各项系数!$D$1:$F$143,3,0))*10^-3*10^2*各项系数!$J$4</f>
        <v>0.90049365644862922</v>
      </c>
      <c r="HU111" s="310">
        <v>1</v>
      </c>
      <c r="HV111" s="311">
        <f t="shared" si="460"/>
        <v>0.90049365644862922</v>
      </c>
      <c r="HW111" s="311">
        <f>HV111*(VLOOKUP(AN111,各项系数!$D$1:$F$143,2,0))</f>
        <v>9.0049365644862931</v>
      </c>
      <c r="HX111" s="317">
        <f>各项系数!$F$76/4*($MV111^2-$MS111^2)*10^-2*(VLOOKUP($HX$9,各项系数!$D$1:$F$143,3,0))*10^-3*10^2*各项系数!$J$4</f>
        <v>0.89814099059530594</v>
      </c>
      <c r="HY111" s="311">
        <v>1</v>
      </c>
      <c r="HZ111" s="311">
        <f t="shared" si="461"/>
        <v>0.89814099059530594</v>
      </c>
      <c r="IA111" s="311">
        <f>HZ111*(VLOOKUP($HX$9,各项系数!$D$1:$F$143,2,0))</f>
        <v>9.8795508965483663</v>
      </c>
      <c r="IB111" s="317">
        <f>各项系数!$F$76/4*($MW111^2-$MT111^2)*10^-2*(VLOOKUP($IB$9,各项系数!$D$1:$F$143,3,0))*10^-3*10^2*各项系数!$J$4</f>
        <v>0.90049365644862922</v>
      </c>
      <c r="IC111" s="311">
        <v>1</v>
      </c>
      <c r="ID111" s="311">
        <f t="shared" si="462"/>
        <v>0.90049365644862922</v>
      </c>
      <c r="IE111" s="311">
        <f>ID111*(VLOOKUP($IB$9,各项系数!$D$1:$F$143,2,0))</f>
        <v>9.905430220934921</v>
      </c>
      <c r="IF111" s="309"/>
      <c r="IG111" s="317">
        <f t="shared" si="415"/>
        <v>0.11672327556191178</v>
      </c>
      <c r="IH111" s="310">
        <v>1</v>
      </c>
      <c r="II111" s="311">
        <f t="shared" si="463"/>
        <v>0.11672327556191178</v>
      </c>
      <c r="IJ111" s="311">
        <f>II111*(VLOOKUP($IG$8,各项系数!$D$1:$F$143,2,0))</f>
        <v>2.9180818890477944</v>
      </c>
      <c r="IK111" s="317">
        <f>(各项系数!$F$76/4*($MX111^2-$MK111^2)*$EG111)*10^-2*(VLOOKUP($IG$8,各项系数!$D$1:$F$143,3,0))*10^-3*10^2*各项系数!$J$4</f>
        <v>9.4360624039249594E-2</v>
      </c>
      <c r="IL111" s="310">
        <f>IK111*(VLOOKUP($IG$8,各项系数!$D$1:$F$143,2,0))</f>
        <v>2.3590156009812397</v>
      </c>
      <c r="IM111" s="311">
        <f>(各项系数!$F$76/4*(($MM111+3*$X111)^2-MM111^2)*$EO111)*10^-2*(VLOOKUP($IG$8,各项系数!$D$1:$F$143,3,0))*10^-3*10^2*各项系数!$J$4</f>
        <v>2.2362651522662192E-2</v>
      </c>
      <c r="IN111" s="310">
        <f>IM111*(VLOOKUP($IG$8,各项系数!$D$1:$F$143,2,0))</f>
        <v>0.55906628806655478</v>
      </c>
      <c r="IO111" s="317">
        <f>各项系数!$F$76/4*($MZ111^2-$MX111^2)*10^-2*(VLOOKUP(L111,各项系数!$D$1:$F$143,3,0))*10^-3*10^2*$ES111*各项系数!$J$4</f>
        <v>0.60557204186636426</v>
      </c>
      <c r="IP111" s="310">
        <v>1</v>
      </c>
      <c r="IQ111" s="311">
        <f t="shared" si="464"/>
        <v>0.60557204186636426</v>
      </c>
      <c r="IR111" s="290">
        <f>IQ111*(VLOOKUP(L111,各项系数!$D$1:$F$143,2,0))</f>
        <v>6.1768348270369149</v>
      </c>
      <c r="IS111" s="317">
        <f>IF($L111&lt;&gt;$IS$9,0,各项系数!$F$76/4*($MZ111^2-$MX111^2)*10^-2*各项系数!$F$12*10^-3*10^2)*$ES111*各项系数!$J$4</f>
        <v>0</v>
      </c>
      <c r="IT111" s="310">
        <v>1</v>
      </c>
      <c r="IU111" s="311">
        <f t="shared" si="465"/>
        <v>0</v>
      </c>
      <c r="IV111" s="290">
        <f>IU111*各项系数!$E$12</f>
        <v>0</v>
      </c>
      <c r="IW111" s="309">
        <f t="shared" si="466"/>
        <v>0.60557204186636426</v>
      </c>
      <c r="IX111" s="309">
        <f t="shared" si="467"/>
        <v>6.1768348270369149</v>
      </c>
      <c r="IY111" s="339">
        <f>各项系数!$F$76/4*($NB111^2-$MZ111^2*$EG111-$NA111^2*$EO111)*10^-2</f>
        <v>8.609540394979021</v>
      </c>
      <c r="IZ111" s="284">
        <f t="shared" si="487"/>
        <v>1</v>
      </c>
      <c r="JA111" s="285">
        <f t="shared" si="363"/>
        <v>8.609540394979021</v>
      </c>
      <c r="JB111" s="289">
        <f>IF($DE111&lt;&gt;$JB$9,0,$JA111*各项系数!$F$32*10^-3*10^2)*各项系数!$J$4</f>
        <v>0</v>
      </c>
      <c r="JC111" s="106">
        <v>1</v>
      </c>
      <c r="JD111" s="78">
        <f t="shared" si="468"/>
        <v>0</v>
      </c>
      <c r="JE111" s="264">
        <f>JD111*各项系数!$E$32</f>
        <v>0</v>
      </c>
      <c r="JF111" s="282">
        <f>IF($DE111&lt;&gt;$JF$9,0,$JA111*VLOOKUP($JF$9,各项系数!$D$4:$F$540,2,0)*10^-3*10^2)*各项系数!$J$4</f>
        <v>4.2832463465020627</v>
      </c>
      <c r="JG111" s="102">
        <v>1</v>
      </c>
      <c r="JH111" s="189">
        <f t="shared" si="364"/>
        <v>4.2832463465020627</v>
      </c>
      <c r="JI111" s="262">
        <f>JH111*VLOOKUP($JF$9,各项系数!$D$4:$F$540,3,0)</f>
        <v>5.1398956158024749</v>
      </c>
      <c r="JJ111" s="289">
        <f t="shared" si="469"/>
        <v>4.2832463465020627</v>
      </c>
      <c r="JK111" s="78">
        <f t="shared" si="470"/>
        <v>5.1398956158024749</v>
      </c>
      <c r="JL111" s="289">
        <f>IF($DF111&lt;&gt;$JL$9,0,各项系数!$F$76/4*($NE111^2-$NC111^2)*10^-2*各项系数!$F$39*10^-3*10^2)*各项系数!$J$4</f>
        <v>6.7249859487657094E-3</v>
      </c>
      <c r="JM111" s="106">
        <v>1</v>
      </c>
      <c r="JN111" s="78">
        <f t="shared" si="471"/>
        <v>6.7249859487657094E-3</v>
      </c>
      <c r="JO111" s="264">
        <f>JN111*各项系数!$E$39</f>
        <v>0.13449971897531418</v>
      </c>
      <c r="JP111" s="289">
        <f>IF($DF111&lt;&gt;$JP$9,0,各项系数!$F$76/4*($NE111^2-$NC111^2)*10^-2*各项系数!$F$36*10^-3*10^2)*各项系数!$J$4</f>
        <v>0</v>
      </c>
      <c r="JQ111" s="106">
        <v>1</v>
      </c>
      <c r="JR111" s="78">
        <f t="shared" si="472"/>
        <v>0</v>
      </c>
      <c r="JS111" s="264">
        <f>JR111*各项系数!$E$36</f>
        <v>0</v>
      </c>
      <c r="JT111" s="289">
        <f>IF($DF111&lt;&gt;$JT$9,0,各项系数!$F$76/4*($NE111^2-$NC111^2)*10^-2*各项系数!$F$40*10^-3*10^2)*各项系数!$J$4</f>
        <v>0</v>
      </c>
      <c r="JU111" s="106">
        <v>1</v>
      </c>
      <c r="JV111" s="78">
        <f t="shared" si="473"/>
        <v>0</v>
      </c>
      <c r="JW111" s="264">
        <f>JV111*各项系数!$E$40</f>
        <v>0</v>
      </c>
      <c r="JX111" s="289">
        <f>IF($DF111&lt;&gt;$JX$9,0,各项系数!$F$76/4*($NE111^2-$NC111^2)*10^-2*各项系数!$F$38*10^-3*10^2)*各项系数!$J$4</f>
        <v>0</v>
      </c>
      <c r="JY111" s="106">
        <v>1</v>
      </c>
      <c r="JZ111" s="78">
        <f t="shared" si="474"/>
        <v>0</v>
      </c>
      <c r="KA111" s="264">
        <f>JZ111*各项系数!$E$38</f>
        <v>0</v>
      </c>
      <c r="KB111" s="289">
        <f>IF($DF111&lt;&gt;$KB$9,0,各项系数!$F$76/4*($NE111^2-$NC111^2)*10^-2*各项系数!$F$41*10^-3*10^2)*各项系数!$J$4</f>
        <v>0</v>
      </c>
      <c r="KC111" s="106">
        <v>1</v>
      </c>
      <c r="KD111" s="78">
        <f t="shared" si="475"/>
        <v>0</v>
      </c>
      <c r="KE111" s="264">
        <f>KD111*各项系数!$E$41</f>
        <v>0</v>
      </c>
      <c r="KF111" s="78">
        <f t="shared" si="476"/>
        <v>6.7249859487657094E-3</v>
      </c>
      <c r="KG111" s="78">
        <f t="shared" si="477"/>
        <v>0.13449971897531418</v>
      </c>
      <c r="KH111" s="237">
        <f>各项系数!$F$76/4*($NG111^2-$NE111^2)*10^-2*各项系数!$F$44*10^-3*10^2*各项系数!$J$4*0.75*$U111</f>
        <v>1.6673434156195195</v>
      </c>
      <c r="KI111" s="106">
        <v>1</v>
      </c>
      <c r="KJ111" s="78">
        <f t="shared" si="478"/>
        <v>1.6673434156195195</v>
      </c>
      <c r="KK111" s="78">
        <f>ROUND(KJ111*各项系数!$E$43,GT111)</f>
        <v>10</v>
      </c>
      <c r="KL111" s="235">
        <f>各项系数!$F$76/4*($NF111^2-$NE111^2)*10^-2*各项系数!$F$46*10^-3*10^2*各项系数!$J$4*PI()/4*R111</f>
        <v>8.3755148768803078E-2</v>
      </c>
      <c r="KM111" s="106">
        <v>1</v>
      </c>
      <c r="KN111" s="78">
        <f t="shared" si="479"/>
        <v>8.3755148768803078E-2</v>
      </c>
      <c r="KO111" s="78">
        <f>KN111*各项系数!$E$46</f>
        <v>5.6534725418942076</v>
      </c>
      <c r="KP111" s="237">
        <f>各项系数!$F$76/4*($NH111^2-$NE111^2)*10^-2*(VLOOKUP($KP$9,各项系数!$D$1:$F$143,3,0))*10^-3*10^2*各项系数!$J$4</f>
        <v>0.91492959520727057</v>
      </c>
      <c r="KQ111" s="106">
        <v>1</v>
      </c>
      <c r="KR111" s="78">
        <f t="shared" si="416"/>
        <v>0.91492959520727057</v>
      </c>
      <c r="KS111" s="78">
        <f>KR111*(VLOOKUP($KP$9,各项系数!$D$1:$F$143,2,0))</f>
        <v>15.5538031185236</v>
      </c>
      <c r="KT111" s="237">
        <f>各项系数!$F$76/4*($NI111^2-$NF111^2)*10^-2*(VLOOKUP($KT$9,各项系数!$D$1:$F$143,3,0))*10^-3*10^2*各项系数!$J$4</f>
        <v>0.91725025200136512</v>
      </c>
      <c r="KU111" s="106">
        <v>1</v>
      </c>
      <c r="KV111" s="78">
        <f t="shared" si="417"/>
        <v>0.91725025200136512</v>
      </c>
      <c r="KW111" s="78">
        <f>KV111*(VLOOKUP($KT$9,各项系数!$D$1:$F$143,2,0))</f>
        <v>15.593254284023207</v>
      </c>
      <c r="KX111" s="78">
        <f>各项系数!$F$76/4*($NH111^2-$NE111^2)*10^-2*(VLOOKUP($KX$9,各项系数!$D$1:$F$143,3,0))*10^-3*10^2*各项系数!$J$4</f>
        <v>0.91492959520727057</v>
      </c>
      <c r="KY111" s="355">
        <v>1</v>
      </c>
      <c r="KZ111" s="78">
        <f t="shared" si="418"/>
        <v>0.91492959520727057</v>
      </c>
      <c r="LA111" s="78">
        <f>KZ111*(VLOOKUP($KX$9,各项系数!$D$1:$F$143,2,0))</f>
        <v>15.5538031185236</v>
      </c>
      <c r="LB111" s="78">
        <f>各项系数!$F$76/4*($NI111^2-$NF111^2)*10^-2*(VLOOKUP($LB$9,各项系数!$D$1:$F$143,3,0))*10^-3*10^2*各项系数!$J$4</f>
        <v>0.91725025200136512</v>
      </c>
      <c r="LC111" s="355">
        <v>1</v>
      </c>
      <c r="LD111" s="78">
        <f t="shared" si="419"/>
        <v>0.91725025200136512</v>
      </c>
      <c r="LE111" s="78">
        <f>LD111*(VLOOKUP($LB$9,各项系数!$D$1:$F$143,2,0))</f>
        <v>15.593254284023207</v>
      </c>
      <c r="LF111" s="237">
        <f>各项系数!$F$76/4*($NH111^2-$NE111^2)*10^-2*(VLOOKUP(AN111,各项系数!$D$1:$F$143,3,0))*10^-3*10^2*各项系数!$J$4</f>
        <v>0.92754931376185357</v>
      </c>
      <c r="LG111" s="106">
        <v>1</v>
      </c>
      <c r="LH111" s="78">
        <f t="shared" si="480"/>
        <v>0.92754931376185357</v>
      </c>
      <c r="LI111" s="78">
        <f>LH111*(VLOOKUP(AN111,各项系数!$D$1:$F$143,2,0))</f>
        <v>9.2754931376185361</v>
      </c>
      <c r="LJ111" s="237">
        <f>各项系数!$F$76/4*($NI111^2-$NF111^2)*10^-2*(VLOOKUP(AN111,各项系数!$D$1:$F$143,3,0))*10^-3*10^2*各项系数!$J$4</f>
        <v>0.92990197961517707</v>
      </c>
      <c r="LK111" s="106">
        <v>1</v>
      </c>
      <c r="LL111" s="78">
        <f t="shared" si="481"/>
        <v>0.92990197961517707</v>
      </c>
      <c r="LM111" s="78">
        <f>LL111*(VLOOKUP(AN111,各项系数!$D$1:$F$143,2,0))</f>
        <v>9.2990197961517715</v>
      </c>
      <c r="LN111" s="78">
        <f>各项系数!$F$76/4*($NH111^2-$NE111^2)*10^-2*(VLOOKUP($LN$9,各项系数!$D$1:$F$143,3,0))*10^-3*10^2*各项系数!$J$4</f>
        <v>0.92754931376185357</v>
      </c>
      <c r="LO111" s="355">
        <v>1</v>
      </c>
      <c r="LP111" s="78">
        <f t="shared" si="482"/>
        <v>0.92754931376185357</v>
      </c>
      <c r="LQ111" s="78">
        <f>LP111*(VLOOKUP($LN$9,各项系数!$D$1:$F$143,2,0))</f>
        <v>10.203042451380389</v>
      </c>
      <c r="LR111" s="78">
        <f>各项系数!$F$76/4*($NI111^2-$NF111^2)*10^-2*(VLOOKUP($LR$9,各项系数!$D$1:$F$143,3,0))*10^-3*10^2*各项系数!$J$4</f>
        <v>0.92990197961517707</v>
      </c>
      <c r="LS111" s="355">
        <v>1</v>
      </c>
      <c r="LT111" s="78">
        <f t="shared" si="483"/>
        <v>0.92990197961517707</v>
      </c>
      <c r="LU111" s="78">
        <f>LT111*(VLOOKUP($LR$9,各项系数!$D$1:$F$143,2,0))</f>
        <v>10.228921775766947</v>
      </c>
      <c r="LV111" s="367">
        <f t="shared" si="420"/>
        <v>1146.69271336</v>
      </c>
      <c r="LW111" s="367">
        <f t="shared" si="421"/>
        <v>863.55871005999995</v>
      </c>
      <c r="LX111" s="367">
        <f t="shared" si="422"/>
        <v>33.158967095627069</v>
      </c>
      <c r="LY111" s="367">
        <f t="shared" si="423"/>
        <v>283.13400330000002</v>
      </c>
      <c r="LZ111" s="374">
        <f t="shared" si="365"/>
        <v>1</v>
      </c>
      <c r="MA111" s="375">
        <f t="shared" si="366"/>
        <v>1146.69271336</v>
      </c>
      <c r="MB111" s="367">
        <f t="shared" si="424"/>
        <v>22.060632420000001</v>
      </c>
      <c r="MC111" s="367">
        <f t="shared" si="425"/>
        <v>191.08130854999999</v>
      </c>
      <c r="MD111" s="367">
        <f t="shared" si="426"/>
        <v>139.51580251999999</v>
      </c>
      <c r="ME111" s="367">
        <f t="shared" si="427"/>
        <v>13.328054504837743</v>
      </c>
      <c r="MF111" s="367">
        <f t="shared" si="428"/>
        <v>51.565506029999995</v>
      </c>
      <c r="MG111" s="379">
        <f t="shared" si="429"/>
        <v>1</v>
      </c>
      <c r="MH111" s="375">
        <f t="shared" si="367"/>
        <v>191.08130854999999</v>
      </c>
      <c r="MI111" s="367">
        <f t="shared" si="430"/>
        <v>15.597829281845636</v>
      </c>
      <c r="MJ111" s="78">
        <f t="shared" si="368"/>
        <v>22.060632420000001</v>
      </c>
      <c r="MK111" s="78">
        <f t="shared" si="431"/>
        <v>22.060632420000001</v>
      </c>
      <c r="ML111" s="78">
        <f t="shared" si="484"/>
        <v>15.597829281646657</v>
      </c>
      <c r="MM111" s="78">
        <f t="shared" si="369"/>
        <v>15.597829281845636</v>
      </c>
      <c r="MN111" s="78">
        <f t="shared" si="370"/>
        <v>25.660632420000002</v>
      </c>
      <c r="MO111" s="189">
        <f t="shared" si="432"/>
        <v>18.397829281845635</v>
      </c>
      <c r="MP111" s="78">
        <f t="shared" si="433"/>
        <v>57.704734559999999</v>
      </c>
      <c r="MQ111" s="78">
        <f t="shared" si="485"/>
        <v>57.704734559999999</v>
      </c>
      <c r="MR111" s="246">
        <f t="shared" si="434"/>
        <v>57.704734559999999</v>
      </c>
      <c r="MS111" s="380">
        <f t="shared" si="371"/>
        <v>57.88073456</v>
      </c>
      <c r="MT111" s="382">
        <f t="shared" si="372"/>
        <v>58.040734559999997</v>
      </c>
      <c r="MU111" s="382">
        <f t="shared" si="373"/>
        <v>59.38073456</v>
      </c>
      <c r="MV111" s="382">
        <f t="shared" si="374"/>
        <v>64.280734559999999</v>
      </c>
      <c r="MW111" s="382">
        <f t="shared" si="375"/>
        <v>64.440734559999996</v>
      </c>
      <c r="MX111" s="246">
        <f t="shared" si="376"/>
        <v>22.660632420000002</v>
      </c>
      <c r="MY111" s="246">
        <f t="shared" si="377"/>
        <v>16.197829281845635</v>
      </c>
      <c r="MZ111" s="78">
        <f t="shared" si="378"/>
        <v>26.260632420000004</v>
      </c>
      <c r="NA111" s="78">
        <f t="shared" si="379"/>
        <v>19.797829281845637</v>
      </c>
      <c r="NB111" s="78">
        <f t="shared" si="435"/>
        <v>59.640734559999999</v>
      </c>
      <c r="NC111" s="246">
        <f t="shared" si="486"/>
        <v>59.640734559999999</v>
      </c>
      <c r="ND111" s="246">
        <f t="shared" si="436"/>
        <v>59.640734559999999</v>
      </c>
      <c r="NE111" s="386">
        <f t="shared" si="437"/>
        <v>59.88073456</v>
      </c>
      <c r="NF111" s="382">
        <f t="shared" si="380"/>
        <v>60.040734559999997</v>
      </c>
      <c r="NG111" s="150">
        <f t="shared" si="381"/>
        <v>61.38073456</v>
      </c>
      <c r="NH111" s="246">
        <f t="shared" si="382"/>
        <v>66.280734559999999</v>
      </c>
      <c r="NI111" s="382">
        <f t="shared" si="383"/>
        <v>66.440734559999996</v>
      </c>
      <c r="NK111" s="390">
        <f t="shared" si="384"/>
        <v>11.517323279360015</v>
      </c>
      <c r="NL111" s="390">
        <f t="shared" si="385"/>
        <v>610.61481670075557</v>
      </c>
      <c r="NM111" s="390">
        <f t="shared" si="386"/>
        <v>11.517323279360015</v>
      </c>
      <c r="NN111" s="390">
        <f t="shared" si="387"/>
        <v>611.51295769135083</v>
      </c>
      <c r="NO111" s="390">
        <f t="shared" si="388"/>
        <v>15.006208841497823</v>
      </c>
      <c r="NP111" s="390">
        <f t="shared" si="389"/>
        <v>616.58785130143792</v>
      </c>
      <c r="NQ111" s="390">
        <f t="shared" si="390"/>
        <v>15.006208841497823</v>
      </c>
      <c r="NR111" s="390">
        <f t="shared" si="391"/>
        <v>617.51540061519995</v>
      </c>
      <c r="NS111" s="390">
        <f t="shared" si="392"/>
        <v>11.598284761594096</v>
      </c>
      <c r="NT111" s="390">
        <f t="shared" si="393"/>
        <v>11.598284761594096</v>
      </c>
      <c r="NU111" s="390">
        <f t="shared" si="394"/>
        <v>15.089963990266627</v>
      </c>
      <c r="NV111" s="390">
        <f t="shared" si="395"/>
        <v>15.089963990266627</v>
      </c>
      <c r="NW111" s="9">
        <f t="shared" si="396"/>
        <v>12.59221892902222</v>
      </c>
      <c r="NX111" s="9">
        <f>各项系数!$M$9*NK111</f>
        <v>3.4551969838080043</v>
      </c>
      <c r="NY111" s="9">
        <f t="shared" si="397"/>
        <v>11.598284761594094</v>
      </c>
    </row>
    <row r="112" spans="1:389" s="9" customFormat="1" ht="15" hidden="1" customHeight="1">
      <c r="A112" s="65"/>
      <c r="B112" s="66"/>
      <c r="C112" s="67"/>
      <c r="D112" s="198" t="s">
        <v>368</v>
      </c>
      <c r="E112" s="399">
        <f t="shared" si="503"/>
        <v>72.029451350000002</v>
      </c>
      <c r="F112" s="68">
        <f>$F$32</f>
        <v>277.18119106381198</v>
      </c>
      <c r="G112" s="58"/>
      <c r="H112" s="16"/>
      <c r="I112" s="145">
        <f>$F$29</f>
        <v>245.09808262108001</v>
      </c>
      <c r="J112" s="62"/>
      <c r="K112" s="16"/>
      <c r="L112" s="107" t="s">
        <v>467</v>
      </c>
      <c r="M112" s="98">
        <f t="shared" si="339"/>
        <v>2</v>
      </c>
      <c r="N112" s="98">
        <f t="shared" si="501"/>
        <v>1.6</v>
      </c>
      <c r="O112" s="58">
        <f t="shared" si="502"/>
        <v>0.08</v>
      </c>
      <c r="P112" s="99">
        <v>0.1</v>
      </c>
      <c r="Q112" s="136">
        <f t="shared" si="499"/>
        <v>0.1</v>
      </c>
      <c r="R112" s="151">
        <v>0.8</v>
      </c>
      <c r="S112" s="144" t="str">
        <f>各项系数!$D$43</f>
        <v>钢带</v>
      </c>
      <c r="T112" s="62">
        <v>0.5</v>
      </c>
      <c r="U112" s="62">
        <v>2</v>
      </c>
      <c r="V112" s="143"/>
      <c r="W112" s="145">
        <v>3.5</v>
      </c>
      <c r="X112" s="139">
        <f t="shared" si="500"/>
        <v>0.2</v>
      </c>
      <c r="Y112" s="139"/>
      <c r="Z112" s="169"/>
      <c r="AA112" s="170">
        <f>$AA$32</f>
        <v>1.02</v>
      </c>
      <c r="AB112" s="153">
        <f>PI()*EJ112*EJ112/4*EH112*(1-H112)*AA112*各项系数!$F$5*各项系数!$J$4*10^-7</f>
        <v>3.3210257510184449</v>
      </c>
      <c r="AC112" s="170">
        <f t="shared" si="504"/>
        <v>277.18119106381198</v>
      </c>
      <c r="AD112" s="153">
        <f t="shared" si="341"/>
        <v>375.44593055473609</v>
      </c>
      <c r="AE112" s="153">
        <f>POWER(4*EU112/PI()/EG112/10^-7/EH112/(1-H112)/各项系数!$F$5/各项系数!$J$4,0.5)</f>
        <v>279.93928079700521</v>
      </c>
      <c r="AF112" s="16">
        <f>$AA$29</f>
        <v>1.0149999999999999</v>
      </c>
      <c r="AG112" s="16">
        <f>IF(EM112=0,0,PI()*ER112*ER112/4*EP112*(1-K112)*(1+AF112)*各项系数!$F$5*各项系数!$J$4*10^-7)</f>
        <v>3.1115108896757202</v>
      </c>
      <c r="AH112" s="16">
        <f t="shared" si="505"/>
        <v>245.09808262108001</v>
      </c>
      <c r="AI112" s="69">
        <f t="shared" si="398"/>
        <v>177.18929302065297</v>
      </c>
      <c r="AJ112" s="69">
        <f>IF(OR(EP112="",EP112=0),0,POWER(4*EW112/PI()/EO112/10^-7/EP112/(1-K112)/各项系数!$F$5/各项系数!$J$4,0.5))</f>
        <v>246.92947607788284</v>
      </c>
      <c r="AK112" s="16">
        <f t="shared" si="342"/>
        <v>11.530414003934171</v>
      </c>
      <c r="AL112" s="16">
        <f t="shared" si="506"/>
        <v>800.88145639823392</v>
      </c>
      <c r="AM112" s="106">
        <f t="shared" si="507"/>
        <v>400</v>
      </c>
      <c r="AN112" s="107" t="s">
        <v>486</v>
      </c>
      <c r="AO112" s="146">
        <f>AP112+各项系数!$M$9*$NK112</f>
        <v>785.17789842964112</v>
      </c>
      <c r="AP112" s="146">
        <f>AQ112*(1+$BI112+(VLOOKUP($AM112,$A$12:$B$323,2,0))+各项系数!$J$6+各项系数!$M$5)*(1+$E$2)</f>
        <v>780.79462316661545</v>
      </c>
      <c r="AQ112" s="199">
        <f>AR112+各项系数!$L$9*$NK112</f>
        <v>796.72920731287297</v>
      </c>
      <c r="AR112" s="199">
        <f>AS112*(1+$BJ112+各项系数!$J$5+各项系数!$L$5)</f>
        <v>792.34593204984731</v>
      </c>
      <c r="AS112" s="199">
        <f t="shared" si="399"/>
        <v>776.80973730377184</v>
      </c>
      <c r="AT112" s="146">
        <f>AU112+各项系数!$M$9*$NM112</f>
        <v>792.63495745732052</v>
      </c>
      <c r="AU112" s="146">
        <f>AV112*(1+$BI112+(VLOOKUP($AM112,$A$12:$B$323,2,0))+各项系数!$J$6+各项系数!$M$5)*(1+$E$2)</f>
        <v>788.25168219429486</v>
      </c>
      <c r="AV112" s="199">
        <f>AW112+各项系数!$L$9*$NM112</f>
        <v>804.33845121866818</v>
      </c>
      <c r="AW112" s="199">
        <f>AX112*(1+$BJ112+各项系数!$J$5+各项系数!$L$5)</f>
        <v>799.95517595564252</v>
      </c>
      <c r="AX112" s="199">
        <f t="shared" si="400"/>
        <v>784.26978034866909</v>
      </c>
      <c r="AY112" s="146">
        <f>AZ112+各项系数!$M$9*$NS112</f>
        <v>791.39411311293202</v>
      </c>
      <c r="AZ112" s="146">
        <f>BA112*(1+$BI112+(VLOOKUP($AM112,$A$12:$B$214,2,0))+各项系数!$J$6+各项系数!$M$5)*(1+$E$2)</f>
        <v>786.98355373560685</v>
      </c>
      <c r="BA112" s="199">
        <f>BB112+各项系数!$L$9*$NS112</f>
        <v>803.04444258735396</v>
      </c>
      <c r="BB112" s="199">
        <f>BC112*(1+$BJ112+各项系数!$J$5+各项系数!$L$5)</f>
        <v>798.63388321002878</v>
      </c>
      <c r="BC112" s="199">
        <f t="shared" si="401"/>
        <v>782.97439530394979</v>
      </c>
      <c r="BD112" s="146">
        <f>BE112+各项系数!$M$9*$NS112</f>
        <v>798.86858260313397</v>
      </c>
      <c r="BE112" s="146">
        <f>BF112*(1+$BI112+(VLOOKUP($AM112,$A$12:$B$214,2,0))+各项系数!$J$6+各项系数!$M$5)*(1+$E$2)</f>
        <v>794.4580232258088</v>
      </c>
      <c r="BF112" s="199">
        <f>BG112+各项系数!$L$9*$NS112</f>
        <v>810.67145227123353</v>
      </c>
      <c r="BG112" s="199">
        <f>BH112*(1+$BJ112+各项系数!$J$5+各项系数!$L$5)</f>
        <v>806.26089289390836</v>
      </c>
      <c r="BH112" s="199">
        <f t="shared" si="402"/>
        <v>790.4518557783415</v>
      </c>
      <c r="BI112" s="214"/>
      <c r="BJ112" s="215"/>
      <c r="BK112" s="78" t="s">
        <v>514</v>
      </c>
      <c r="BL112" s="146">
        <f>BM112+各项系数!$M$9*$NM112</f>
        <v>793.90313095580029</v>
      </c>
      <c r="BM112" s="146">
        <f>BN112*(1+$CF112+(VLOOKUP($AM112,$A$12:$B$323,2,0))+各项系数!$J$6+各项系数!$M$5)*(1+$E$2)</f>
        <v>789.51985569277463</v>
      </c>
      <c r="BN112" s="199">
        <f>BO112+各项系数!$L$9*$NM112</f>
        <v>805.63250580895374</v>
      </c>
      <c r="BO112" s="199">
        <f>BP112*(1+$CG112+各项系数!$J$5+各项系数!$L$5)</f>
        <v>801.24923054592807</v>
      </c>
      <c r="BP112" s="199">
        <f t="shared" si="403"/>
        <v>777.91187431643505</v>
      </c>
      <c r="BQ112" s="146">
        <f>BR112+各项系数!$M$9*$NM112</f>
        <v>800.32080130473742</v>
      </c>
      <c r="BR112" s="146">
        <f>BS112*(1+$CF112+(VLOOKUP($AM112,$A$12:$B$323,2,0))+各项系数!$J$6+各项系数!$M$5)*(1+$E$2)</f>
        <v>795.93752604171175</v>
      </c>
      <c r="BS112" s="199">
        <f>BT112+各项系数!$L$9*$NM112</f>
        <v>812.18114902215484</v>
      </c>
      <c r="BT112" s="199">
        <f>BU112*(1+$CG112+各项系数!$J$5+各项系数!$L$5)</f>
        <v>807.79787375912917</v>
      </c>
      <c r="BU112" s="199">
        <f t="shared" si="404"/>
        <v>784.26978034866909</v>
      </c>
      <c r="BV112" s="146">
        <f>BW112+各项系数!$M$9*$NT112</f>
        <v>795.86810664942902</v>
      </c>
      <c r="BW112" s="146">
        <f>BX112*(1+$CF112+(VLOOKUP($AM112,$A$12:$B$214,2,0))+各项系数!$J$6+各项系数!$M$5)*(1+$E$2)</f>
        <v>791.45754727210385</v>
      </c>
      <c r="BX112" s="199">
        <f>BY112+各项系数!$L$9*$NT$12</f>
        <v>807.60974211439168</v>
      </c>
      <c r="BY112" s="199">
        <f>BZ112*(1+$CG112+各项系数!$J$5+各项系数!$L$5)</f>
        <v>807.60147871123672</v>
      </c>
      <c r="BZ112" s="199">
        <f t="shared" si="343"/>
        <v>784.07910554489001</v>
      </c>
      <c r="CA112" s="146">
        <f>CB112+各项系数!$M$9*$NT112</f>
        <v>802.30076073507496</v>
      </c>
      <c r="CB112" s="146">
        <f>CC112*(1+$CF112+(VLOOKUP($AM112,$A$12:$B$214,2,0))+各项系数!$J$6+各项系数!$M$5)*(1+$E$2)</f>
        <v>797.89020135774979</v>
      </c>
      <c r="CC112" s="199">
        <f>CD112+各项系数!$L$9*$NT$12</f>
        <v>814.17367485484669</v>
      </c>
      <c r="CD112" s="199">
        <f>CE112*(1+$CG112+各项系数!$J$5+各项系数!$L$5)</f>
        <v>814.16541145169174</v>
      </c>
      <c r="CE112" s="199">
        <f t="shared" si="405"/>
        <v>790.4518557783415</v>
      </c>
      <c r="CF112" s="214">
        <f t="shared" si="406"/>
        <v>0</v>
      </c>
      <c r="CG112" s="214">
        <f t="shared" si="344"/>
        <v>0.01</v>
      </c>
      <c r="CH112" s="106"/>
      <c r="CI112" s="146">
        <f>CJ112+各项系数!$M$9*$NO112</f>
        <v>799.47450032378106</v>
      </c>
      <c r="CJ112" s="146">
        <f>CK112*(1+$DC112+(VLOOKUP($AM112,$A$12:$B$323,2,0))+各项系数!$J$6+各项系数!$M$5)*(1+$E$2)+各项系数!$M$9*$NK112</f>
        <v>793.79462576553487</v>
      </c>
      <c r="CK112" s="199">
        <f>CL112+各项系数!$L$9*$NO112</f>
        <v>805.52178622705026</v>
      </c>
      <c r="CL112" s="199">
        <f>CM112*(1+$DD112+各项系数!$J$5+各项系数!$L$5)</f>
        <v>799.84191166880407</v>
      </c>
      <c r="CM112" s="199">
        <f t="shared" si="345"/>
        <v>784.15873693020001</v>
      </c>
      <c r="CN112" s="146">
        <f>CO112+各项系数!$M$9*$NO112</f>
        <v>806.61003447823998</v>
      </c>
      <c r="CO112" s="146">
        <f>CP112*(1+$DC112+(VLOOKUP($AM112,$A$12:$B$323,2,0))+各项系数!$J$6+各项系数!$M$5)*(1+$E$2)+各项系数!$M$9*$NK112</f>
        <v>800.9301599199938</v>
      </c>
      <c r="CP112" s="199">
        <f>CQ112+各项系数!$L$9*$NO112</f>
        <v>812.80294352751855</v>
      </c>
      <c r="CQ112" s="199">
        <f>CR112*(1+$DD112+各项系数!$J$5+各项系数!$L$5)</f>
        <v>807.12306896927237</v>
      </c>
      <c r="CR112" s="199">
        <f t="shared" si="346"/>
        <v>791.2971264404631</v>
      </c>
      <c r="CS112" s="146">
        <f>CT112+各项系数!$M$9*$NU112</f>
        <v>801.49759624406568</v>
      </c>
      <c r="CT112" s="146">
        <f t="shared" si="347"/>
        <v>795.78959947155954</v>
      </c>
      <c r="CU112" s="199">
        <f>CV112+各项系数!$L$9*$NU112</f>
        <v>812.03020354240766</v>
      </c>
      <c r="CV112" s="199">
        <f>CW112*(1+$DD112+各项系数!$J$5+各项系数!$L$5)</f>
        <v>806.32220676990153</v>
      </c>
      <c r="CW112" s="199">
        <f t="shared" si="348"/>
        <v>790.51196742147204</v>
      </c>
      <c r="CX112" s="146">
        <f>CY112+各项系数!$M$9*$NU112</f>
        <v>809.18969651580096</v>
      </c>
      <c r="CY112" s="146">
        <f t="shared" si="349"/>
        <v>803.48169974329483</v>
      </c>
      <c r="CZ112" s="199">
        <f>DA112+各项系数!$L$9*$NU112</f>
        <v>819.87928545234172</v>
      </c>
      <c r="DA112" s="199">
        <f>DB112*(1+$DD112+各项系数!$J$5+各项系数!$L$5)</f>
        <v>814.17128867983558</v>
      </c>
      <c r="DB112" s="199">
        <f t="shared" si="350"/>
        <v>798.20714576454463</v>
      </c>
      <c r="DC112" s="214">
        <f t="shared" si="498"/>
        <v>0</v>
      </c>
      <c r="DD112" s="214">
        <f t="shared" si="351"/>
        <v>0</v>
      </c>
      <c r="DE112" s="78" t="s">
        <v>498</v>
      </c>
      <c r="DF112" s="78" t="s">
        <v>513</v>
      </c>
      <c r="DG112" s="146">
        <f>DH112+各项系数!$M$9*$NQ112</f>
        <v>808.30422075406511</v>
      </c>
      <c r="DH112" s="146">
        <f>DI112*(1+$EA112+(VLOOKUP($AM112,$A$12:$B$323,2,0))+各项系数!$J$6+各项系数!$M$5)*(1+$E$2)+各项系数!$M$9*$NK112</f>
        <v>802.62434619581893</v>
      </c>
      <c r="DI112" s="199">
        <f>DJ112+各项系数!$L$9*$NQ112</f>
        <v>814.53170503346257</v>
      </c>
      <c r="DJ112" s="199">
        <f>DK112*(1+$EB112+各项系数!$J$5+各项系数!$L$5)</f>
        <v>808.85183047521639</v>
      </c>
      <c r="DK112" s="199">
        <f t="shared" si="352"/>
        <v>785.29303929632658</v>
      </c>
      <c r="DL112" s="146">
        <f>DM112+各项系数!$M$9*$NQ112</f>
        <v>814.90918781186269</v>
      </c>
      <c r="DM112" s="146">
        <f>DN112*(1+$EA112+(VLOOKUP($AM112,$A$12:$B$323,2,0))+各项系数!$J$6+各项系数!$M$5)*(1+$E$2)+各项系数!$M$9*$NK112</f>
        <v>809.22931325361651</v>
      </c>
      <c r="DN112" s="199">
        <f>DO112+各项系数!$L$9*$NQ112</f>
        <v>821.27146733733764</v>
      </c>
      <c r="DO112" s="199">
        <f>DP112*(1+$EB112+各项系数!$J$5+各项系数!$L$5)</f>
        <v>815.59159277909146</v>
      </c>
      <c r="DP112" s="199">
        <f t="shared" si="353"/>
        <v>791.83649784377815</v>
      </c>
      <c r="DQ112" s="146">
        <f>DR112+各项系数!$M$9*$NV112</f>
        <v>810.39217574978704</v>
      </c>
      <c r="DR112" s="146">
        <f t="shared" si="354"/>
        <v>804.68417897728091</v>
      </c>
      <c r="DS112" s="199">
        <f>DT112+各项系数!$L$9*$NV112</f>
        <v>821.1063050788581</v>
      </c>
      <c r="DT112" s="199">
        <f>DU112*(1+$EB112+各项系数!$J$5+各项系数!$L$5)</f>
        <v>815.39830830635196</v>
      </c>
      <c r="DU112" s="199">
        <f t="shared" si="355"/>
        <v>791.64884301587563</v>
      </c>
      <c r="DV112" s="146">
        <f>DW112+各项系数!$M$9*$NV112</f>
        <v>809.21054802049514</v>
      </c>
      <c r="DW112" s="146">
        <f t="shared" si="356"/>
        <v>803.502551247989</v>
      </c>
      <c r="DX112" s="199">
        <f>DY112+各项系数!$L$9*$NV112</f>
        <v>819.90056249794793</v>
      </c>
      <c r="DY112" s="199">
        <f>DZ112*(1+$EB112+各项系数!$J$5+各项系数!$L$5)</f>
        <v>814.1925657254418</v>
      </c>
      <c r="DZ112" s="199">
        <f t="shared" si="357"/>
        <v>790.47821915091436</v>
      </c>
      <c r="EA112" s="214">
        <f t="shared" si="511"/>
        <v>0</v>
      </c>
      <c r="EB112" s="214">
        <f t="shared" si="358"/>
        <v>0.01</v>
      </c>
      <c r="EC112" s="235" t="str">
        <f t="shared" si="408"/>
        <v>3+1</v>
      </c>
      <c r="ED112" s="237" t="str">
        <f t="shared" si="494"/>
        <v>3*400</v>
      </c>
      <c r="EE112" s="78">
        <f t="shared" si="495"/>
        <v>400</v>
      </c>
      <c r="EF112" s="78" t="str">
        <f>LOOKUP(EH112,{1,7,10,14,19,24,30,37,48,61},{1,"1+6","2+8","4+10","1+6+12","2+8+14","4+10+16","1+6+12+18","3+9+15+21","1+6+12+18+24"})</f>
        <v>1+6+12+18+24</v>
      </c>
      <c r="EG112" s="106">
        <f t="shared" si="359"/>
        <v>3</v>
      </c>
      <c r="EH112" s="199">
        <f>VLOOKUP(EE112,各项系数!$B$87:$C$124,2,0)</f>
        <v>61</v>
      </c>
      <c r="EI112" s="106">
        <f>IF(EH112=0,0,VLOOKUP(EH112,各项系数!$D$142:$E$195,2,0))*1</f>
        <v>9</v>
      </c>
      <c r="EJ112" s="240">
        <f t="shared" si="409"/>
        <v>277.18119106381198</v>
      </c>
      <c r="EK112" s="78" t="str">
        <f t="shared" si="508"/>
        <v>1*185</v>
      </c>
      <c r="EL112" s="78" t="str">
        <f t="shared" si="360"/>
        <v>185</v>
      </c>
      <c r="EM112" s="78">
        <f t="shared" si="496"/>
        <v>185</v>
      </c>
      <c r="EN112" s="78" t="str">
        <f>IF(EP112=0,0,LOOKUP(EP112,{1,7,10,14,19,24,30,37,48,61},{1,"1+6","2+8","4+10","1+6+12","2+8+14","4+10+16","1+6+12+18","3+9+15+21","1+6+12+18+24"}))</f>
        <v>1+6+12+18</v>
      </c>
      <c r="EO112" s="78" t="str">
        <f t="shared" si="509"/>
        <v>1</v>
      </c>
      <c r="EP112" s="78">
        <f>IF(EM112=0,0,IF(EM112&lt;10,1,IF(AND(EM112&gt;=10,EM112&lt;=35),7,LOOKUP(EM112,{50,70,95,120,150,185,240,300},{10,14,19,24,30,37,48,61})*1)))</f>
        <v>37</v>
      </c>
      <c r="EQ112" s="78">
        <f>IF(EP112=0,0,VLOOKUP(EP112,各项系数!$D$142:$E$195,2,0))*1</f>
        <v>7</v>
      </c>
      <c r="ER112" s="78">
        <f t="shared" si="510"/>
        <v>245.09808262108001</v>
      </c>
      <c r="ES112" s="237">
        <f t="shared" si="497"/>
        <v>4</v>
      </c>
      <c r="ET112" s="78">
        <f>VLOOKUP(ES112,各项系数!$D$142:$E$195,2,0)*1</f>
        <v>2.42</v>
      </c>
      <c r="EU112" s="243">
        <f>((各项系数!$F$76/4*$EJ112^2*$EG112*$EH112*1*10^-7)*(1-$H112)*AA112)*(VLOOKUP($EY$9,各项系数!$D$4:$F$143,3,0))*各项系数!$J$4</f>
        <v>9.9630772530553333</v>
      </c>
      <c r="EV112" s="244">
        <f>EU112*(VLOOKUP($EY$9,各项系数!$D$4:$F$143,2,0))</f>
        <v>652.58156007512434</v>
      </c>
      <c r="EW112" s="252">
        <f>(IF($EO112=0,0,(各项系数!$F$76/4*$ER112^2*$EO112*$EP112*1*10^-7))*(1-$K112)*$AF112)*(VLOOKUP($EY$9,各项系数!$D$4:$F$143,3,0))*各项系数!$J$4</f>
        <v>1.5673367508788367</v>
      </c>
      <c r="EX112" s="253">
        <f>EW112*(VLOOKUP($EY$9,各项系数!$D$4:$F$143,2,0))</f>
        <v>102.66055718256381</v>
      </c>
      <c r="EY112" s="189">
        <f>((各项系数!$F$76/4*$EJ112^2*$EG112*$EH112*1*10^-7)*(1-$H112)*AA112+IF($EO112=0,0,(各项系数!$F$76/4*$ER112^2*$EO112*$EP112*1*10^-7))*(1-$K112)*$AF112)*(VLOOKUP($EY$9,各项系数!$D$4:$F$143,3,0))*各项系数!$J$4</f>
        <v>11.530414003934171</v>
      </c>
      <c r="EZ112" s="106">
        <v>1</v>
      </c>
      <c r="FA112" s="78">
        <f t="shared" si="445"/>
        <v>11.530414003934171</v>
      </c>
      <c r="FB112" s="246">
        <f>FA112*(VLOOKUP($EY$9,各项系数!$D$4:$F$143,2,0))</f>
        <v>755.24211725768816</v>
      </c>
      <c r="FC112" s="257"/>
      <c r="FD112" s="237">
        <f>各项系数!$F$76/4*($MN112^2-MK112^2)*10^-2*(VLOOKUP(L112,各项系数!$D$1:$F$143,3,0))*10^-3*10^2*$EG112*各项系数!$J$4</f>
        <v>0.55592492409914096</v>
      </c>
      <c r="FE112" s="264">
        <f>FD112*VLOOKUP(L112,各项系数!$D$1:$F$143,2,0)</f>
        <v>5.6704342258112375</v>
      </c>
      <c r="FF112" s="106">
        <f>各项系数!$F$76/4*($MO112^2-ML112^2)*10^-2*(VLOOKUP(L112,各项系数!$D$1:$F$143,3,0))*10^-3*10^2*$EO112*各项系数!$J$4</f>
        <v>0.10319196728566483</v>
      </c>
      <c r="FG112" s="264">
        <f>FF112*VLOOKUP(L112,各项系数!$D$1:$F$143,2,0)</f>
        <v>1.0525580663137812</v>
      </c>
      <c r="FH112" s="237">
        <f t="shared" si="410"/>
        <v>0.65911689138480578</v>
      </c>
      <c r="FI112" s="106">
        <v>1</v>
      </c>
      <c r="FJ112" s="78">
        <f t="shared" si="446"/>
        <v>0.65911689138480578</v>
      </c>
      <c r="FK112" s="264">
        <f>FJ112*VLOOKUP(L112,各项系数!$D$1:$F$143,2,0)</f>
        <v>6.7229922921250189</v>
      </c>
      <c r="FL112" s="237"/>
      <c r="FM112" s="106"/>
      <c r="FN112" s="78"/>
      <c r="FO112" s="264"/>
      <c r="FP112" s="289">
        <f t="shared" si="447"/>
        <v>0.65911689138480578</v>
      </c>
      <c r="FQ112" s="289">
        <f t="shared" si="448"/>
        <v>6.7229922921250189</v>
      </c>
      <c r="FR112" s="283">
        <f>各项系数!$F$76/4*($MQ112^2-$MN112^2*$EG112-$MO112^2*$EO112)*10^-2</f>
        <v>10.036619369422889</v>
      </c>
      <c r="FS112" s="284">
        <f t="shared" si="411"/>
        <v>1</v>
      </c>
      <c r="FT112" s="285">
        <f t="shared" si="361"/>
        <v>10.036619369422889</v>
      </c>
      <c r="FU112" s="309">
        <f>$FT112*(VLOOKUP($FT$9,各项系数!$D$1:$F$143,3,0))*10^-3*10^2*各项系数!$J$55</f>
        <v>1.198372352709093</v>
      </c>
      <c r="FV112" s="310">
        <v>1</v>
      </c>
      <c r="FW112" s="311">
        <f t="shared" si="449"/>
        <v>1.198372352709093</v>
      </c>
      <c r="FX112" s="290">
        <f>FW112*(VLOOKUP($FT$9,各项系数!$D$1:$F$143,2,0))</f>
        <v>3.5951170581272791</v>
      </c>
      <c r="FY112" s="309">
        <f>IF($BK112&lt;&gt;$FY$9,0,各项系数!$F$76/4*($MS112^2-$MQ112^2)*10^-2*(VLOOKUP($FY$9,各项系数!$D$1:$F$143,3,0))*10^-3*10^2)*各项系数!$J$4</f>
        <v>0</v>
      </c>
      <c r="FZ112" s="310">
        <v>1</v>
      </c>
      <c r="GA112" s="311">
        <f t="shared" si="450"/>
        <v>0</v>
      </c>
      <c r="GB112" s="290">
        <f>GA112*(VLOOKUP($FY$9,各项系数!$D$1:$F$143,2,0))</f>
        <v>0</v>
      </c>
      <c r="GC112" s="309">
        <f>IF($BK112&lt;&gt;$GC$9,0,各项系数!$F$76/4*($MS112^2-$MQ112^2)*10^-2*(VLOOKUP($GC$9,各项系数!$D$1:$F$143,3,0))*10^-3*10^2)*各项系数!$J$4</f>
        <v>1.7685315441801172E-2</v>
      </c>
      <c r="GD112" s="310">
        <v>1</v>
      </c>
      <c r="GE112" s="311">
        <f t="shared" si="451"/>
        <v>1.7685315441801172E-2</v>
      </c>
      <c r="GF112" s="290">
        <f>GE112*(VLOOKUP($GC$9,各项系数!$D$1:$F$143,2,0))</f>
        <v>0.22814056919923512</v>
      </c>
      <c r="GG112" s="309">
        <f>IF($BK112&lt;&gt;$GG$9,0,各项系数!$F$76/4*($MS112^2-$MQ112^2)*10^-2*(VLOOKUP($GG$9,各项系数!$D$1:$F$143,3,0))*10^-3*10^2)*各项系数!$J$4</f>
        <v>0</v>
      </c>
      <c r="GH112" s="310">
        <v>1</v>
      </c>
      <c r="GI112" s="311">
        <f t="shared" si="452"/>
        <v>0</v>
      </c>
      <c r="GJ112" s="290">
        <f>GI112*(VLOOKUP($GG$9,各项系数!$D$1:$F$143,2,0))</f>
        <v>0</v>
      </c>
      <c r="GK112" s="309">
        <f>IF($BK112&lt;&gt;$GK$9,0,各项系数!$F$76/4*($MS112^2-$MQ112^2)*10^-2*(VLOOKUP($GK$9,各项系数!$D$1:$F$143,3,0))*10^-3*10^2)*各项系数!$J$4</f>
        <v>0</v>
      </c>
      <c r="GL112" s="310">
        <v>1</v>
      </c>
      <c r="GM112" s="311">
        <f t="shared" si="453"/>
        <v>0</v>
      </c>
      <c r="GN112" s="290">
        <f>GM112*(VLOOKUP($GK$9,各项系数!$D$1:$F$143,2,0))</f>
        <v>0</v>
      </c>
      <c r="GO112" s="311">
        <f t="shared" si="454"/>
        <v>1.7685315441801172E-2</v>
      </c>
      <c r="GP112" s="311">
        <f t="shared" si="455"/>
        <v>0.22814056919923512</v>
      </c>
      <c r="GQ112" s="317">
        <f>各项系数!$F$76/4*($MU112^2-$MS112^2)*10^-2*(VLOOKUP($S112,各项系数!$D$1:$F$143,3,0))*10^-3*10^2*各项系数!$J$4</f>
        <v>1.2059553171881934</v>
      </c>
      <c r="GR112" s="310">
        <v>1</v>
      </c>
      <c r="GS112" s="311">
        <f t="shared" si="456"/>
        <v>1.2059553171881934</v>
      </c>
      <c r="GT112" s="311">
        <f t="shared" si="457"/>
        <v>0</v>
      </c>
      <c r="GU112" s="311">
        <f>ROUND($GS112*(VLOOKUP($S112,各项系数!$D$1:$F$143,2,0))+$E$3*GS112,GT112)</f>
        <v>7</v>
      </c>
      <c r="GV112" s="315">
        <f>各项系数!$F$76/4*($MT112^2-$MS112^2)*10^-2*(VLOOKUP($GV$9,各项系数!$D$1:$F$143,3,0))*10^-3*10^2*各项系数!$J$4*PI()/4*R112</f>
        <v>9.094704766529163E-2</v>
      </c>
      <c r="GW112" s="310">
        <v>1</v>
      </c>
      <c r="GX112" s="311">
        <f t="shared" si="458"/>
        <v>9.094704766529163E-2</v>
      </c>
      <c r="GY112" s="311">
        <f>$GX112*(VLOOKUP($GV$9,各项系数!$D$1:$F$143,2,0))</f>
        <v>6.1389257174071847</v>
      </c>
      <c r="GZ112" s="317">
        <f>各项系数!$F$76/4*($MV112^2-$MS112^2)*10^-2*(VLOOKUP($GZ$9,各项系数!$D$1:$F$143,3,0))*10^-3*10^2*各项系数!$J$4</f>
        <v>1.0871419512664364</v>
      </c>
      <c r="HA112" s="310">
        <v>1</v>
      </c>
      <c r="HB112" s="311">
        <f t="shared" si="412"/>
        <v>1.0871419512664364</v>
      </c>
      <c r="HC112" s="311">
        <f>HB112*(VLOOKUP($GZ$9,各项系数!$D$1:$F$143,2,0))</f>
        <v>18.481413171529418</v>
      </c>
      <c r="HD112" s="317">
        <f>各项系数!$F$76/4*($MW112^2-$MT112^2)*10^-2*(VLOOKUP($HD$9,各项系数!$D$1:$F$143,3,0))*10^-3*10^2*各项系数!$J$4</f>
        <v>1.0896801696349785</v>
      </c>
      <c r="HE112" s="310">
        <v>1</v>
      </c>
      <c r="HF112" s="311">
        <f t="shared" si="413"/>
        <v>1.0896801696349785</v>
      </c>
      <c r="HG112" s="311">
        <f>HF112*(VLOOKUP($HD$9,各项系数!$D$1:$F$143,2,0))</f>
        <v>18.524562883794633</v>
      </c>
      <c r="HH112" s="317">
        <f>各项系数!$F$76/4*($MV112^2-$MS112^2)*10^-2*(VLOOKUP($HH$9,各项系数!$D$1:$F$143,3,0))*10^-3*10^2*各项系数!$J$4</f>
        <v>1.0871419512664364</v>
      </c>
      <c r="HI112" s="311">
        <v>1</v>
      </c>
      <c r="HJ112" s="311">
        <f t="shared" si="414"/>
        <v>1.0871419512664364</v>
      </c>
      <c r="HK112" s="311">
        <f>HJ112*(VLOOKUP($HH$9,各项系数!$D$1:$F$143,2,0))</f>
        <v>18.481413171529418</v>
      </c>
      <c r="HL112" s="317">
        <f>各项系数!$F$76/4*($MW112^2-$MT112^2)*10^-2*(VLOOKUP($HL$9,各项系数!$D$1:$F$143,3,0))*10^-3*10^2*各项系数!$J$4</f>
        <v>1.0896801696349785</v>
      </c>
      <c r="HM112" s="311">
        <v>1</v>
      </c>
      <c r="HN112" s="311">
        <f t="shared" si="362"/>
        <v>1.0896801696349785</v>
      </c>
      <c r="HO112" s="311">
        <f>HN112*(VLOOKUP($HL$9,各项系数!$D$1:$F$143,2,0))</f>
        <v>18.524562883794633</v>
      </c>
      <c r="HP112" s="317">
        <f>各项系数!$F$76/4*($MV112^2-$MS112^2)*10^-2*(VLOOKUP(AN112,各项系数!$D$1:$F$143,3,0))*10^-3*10^2*各项系数!$J$4</f>
        <v>1.1021370126632151</v>
      </c>
      <c r="HQ112" s="310">
        <v>1</v>
      </c>
      <c r="HR112" s="311">
        <f t="shared" si="459"/>
        <v>1.1021370126632151</v>
      </c>
      <c r="HS112" s="311">
        <f>HR112*(VLOOKUP(AN112,各项系数!$D$1:$F$143,2,0))</f>
        <v>11.021370126632151</v>
      </c>
      <c r="HT112" s="317">
        <f>各项系数!$F$76/4*($MW112^2-$MT112^2)*10^-2*(VLOOKUP(AN112,各项系数!$D$1:$F$143,3,0))*10^-3*10^2*各项系数!$J$4</f>
        <v>1.1047102409402885</v>
      </c>
      <c r="HU112" s="310">
        <v>1</v>
      </c>
      <c r="HV112" s="311">
        <f t="shared" si="460"/>
        <v>1.1047102409402885</v>
      </c>
      <c r="HW112" s="311">
        <f>HV112*(VLOOKUP(AN112,各项系数!$D$1:$F$143,2,0))</f>
        <v>11.047102409402886</v>
      </c>
      <c r="HX112" s="317">
        <f>各项系数!$F$76/4*($MV112^2-$MS112^2)*10^-2*(VLOOKUP($HX$9,各项系数!$D$1:$F$143,3,0))*10^-3*10^2*各项系数!$J$4</f>
        <v>1.1021370126632151</v>
      </c>
      <c r="HY112" s="311">
        <v>1</v>
      </c>
      <c r="HZ112" s="311">
        <f t="shared" si="461"/>
        <v>1.1021370126632151</v>
      </c>
      <c r="IA112" s="311">
        <f>HZ112*(VLOOKUP($HX$9,各项系数!$D$1:$F$143,2,0))</f>
        <v>12.123507139295366</v>
      </c>
      <c r="IB112" s="317">
        <f>各项系数!$F$76/4*($MW112^2-$MT112^2)*10^-2*(VLOOKUP($IB$9,各项系数!$D$1:$F$143,3,0))*10^-3*10^2*各项系数!$J$4</f>
        <v>1.1047102409402885</v>
      </c>
      <c r="IC112" s="311">
        <v>1</v>
      </c>
      <c r="ID112" s="311">
        <f t="shared" si="462"/>
        <v>1.1047102409402885</v>
      </c>
      <c r="IE112" s="311">
        <f>ID112*(VLOOKUP($IB$9,各项系数!$D$1:$F$143,2,0))</f>
        <v>12.151812650343173</v>
      </c>
      <c r="IF112" s="309"/>
      <c r="IG112" s="317">
        <f t="shared" si="415"/>
        <v>0.13109367820104617</v>
      </c>
      <c r="IH112" s="310">
        <v>1</v>
      </c>
      <c r="II112" s="311">
        <f t="shared" si="463"/>
        <v>0.13109367820104617</v>
      </c>
      <c r="IJ112" s="311">
        <f>II112*(VLOOKUP($IG$8,各项系数!$D$1:$F$143,2,0))</f>
        <v>3.2773419550261544</v>
      </c>
      <c r="IK112" s="317">
        <f>(各项系数!$F$76/4*($MX112^2-$MK112^2)*$EG112)*10^-2*(VLOOKUP($IG$8,各项系数!$D$1:$F$143,3,0))*10^-3*10^2*各项系数!$J$4</f>
        <v>0.10653801092871769</v>
      </c>
      <c r="IL112" s="310">
        <f>IK112*(VLOOKUP($IG$8,各项系数!$D$1:$F$143,2,0))</f>
        <v>2.6634502732179421</v>
      </c>
      <c r="IM112" s="311">
        <f>(各项系数!$F$76/4*(($MM112+3*$X112)^2-MM112^2)*$EO112)*10^-2*(VLOOKUP($IG$8,各项系数!$D$1:$F$143,3,0))*10^-3*10^2*各项系数!$J$4</f>
        <v>2.4555667272328472E-2</v>
      </c>
      <c r="IN112" s="310">
        <f>IM112*(VLOOKUP($IG$8,各项系数!$D$1:$F$143,2,0))</f>
        <v>0.61389168180821185</v>
      </c>
      <c r="IO112" s="317">
        <f>各项系数!$F$76/4*($MZ112^2-$MX112^2)*10^-2*(VLOOKUP(L112,各项系数!$D$1:$F$143,3,0))*10^-3*10^2*$ES112*各项系数!$J$4</f>
        <v>0.75773790329708701</v>
      </c>
      <c r="IP112" s="310">
        <v>1</v>
      </c>
      <c r="IQ112" s="311">
        <f t="shared" si="464"/>
        <v>0.75773790329708701</v>
      </c>
      <c r="IR112" s="290">
        <f>IQ112*(VLOOKUP(L112,各项系数!$D$1:$F$143,2,0))</f>
        <v>7.7289266136302865</v>
      </c>
      <c r="IS112" s="317">
        <f>IF($L112&lt;&gt;$IS$9,0,各项系数!$F$76/4*($MZ112^2-$MX112^2)*10^-2*各项系数!$F$12*10^-3*10^2)*$ES112*各项系数!$J$4</f>
        <v>0</v>
      </c>
      <c r="IT112" s="310">
        <v>1</v>
      </c>
      <c r="IU112" s="311">
        <f t="shared" si="465"/>
        <v>0</v>
      </c>
      <c r="IV112" s="290">
        <f>IU112*各项系数!$E$12</f>
        <v>0</v>
      </c>
      <c r="IW112" s="309">
        <f t="shared" si="466"/>
        <v>0.75773790329708701</v>
      </c>
      <c r="IX112" s="309">
        <f t="shared" si="467"/>
        <v>7.7289266136302865</v>
      </c>
      <c r="IY112" s="339">
        <f>各项系数!$F$76/4*($NB112^2-$MZ112^2*$EG112-$NA112^2*$EO112)*10^-2</f>
        <v>10.748305791068502</v>
      </c>
      <c r="IZ112" s="284">
        <f t="shared" si="487"/>
        <v>1</v>
      </c>
      <c r="JA112" s="285">
        <f t="shared" si="363"/>
        <v>10.748305791068502</v>
      </c>
      <c r="JB112" s="289">
        <f>IF($DE112&lt;&gt;$JB$9,0,$JA112*各项系数!$F$32*10^-3*10^2)*各项系数!$J$4</f>
        <v>0</v>
      </c>
      <c r="JC112" s="106">
        <v>1</v>
      </c>
      <c r="JD112" s="78">
        <f t="shared" si="468"/>
        <v>0</v>
      </c>
      <c r="JE112" s="264">
        <f>JD112*各项系数!$E$32</f>
        <v>0</v>
      </c>
      <c r="JF112" s="282">
        <f>IF($DE112&lt;&gt;$JF$9,0,$JA112*VLOOKUP($JF$9,各项系数!$D$4:$F$540,2,0)*10^-3*10^2)*各项系数!$J$4</f>
        <v>5.3472821310565797</v>
      </c>
      <c r="JG112" s="102">
        <v>1</v>
      </c>
      <c r="JH112" s="189">
        <f t="shared" si="364"/>
        <v>5.3472821310565797</v>
      </c>
      <c r="JI112" s="262">
        <f>JH112*VLOOKUP($JF$9,各项系数!$D$4:$F$540,3,0)</f>
        <v>6.4167385572678954</v>
      </c>
      <c r="JJ112" s="289">
        <f t="shared" si="469"/>
        <v>5.3472821310565797</v>
      </c>
      <c r="JK112" s="78">
        <f t="shared" si="470"/>
        <v>6.4167385572678954</v>
      </c>
      <c r="JL112" s="289">
        <f>IF($DF112&lt;&gt;$JL$9,0,各项系数!$F$76/4*($NE112^2-$NC112^2)*10^-2*各项系数!$F$39*10^-3*10^2)*各项系数!$J$4</f>
        <v>7.5294442660605509E-3</v>
      </c>
      <c r="JM112" s="106">
        <v>1</v>
      </c>
      <c r="JN112" s="78">
        <f t="shared" si="471"/>
        <v>7.5294442660605509E-3</v>
      </c>
      <c r="JO112" s="264">
        <f>JN112*各项系数!$E$39</f>
        <v>0.15058888532121101</v>
      </c>
      <c r="JP112" s="289">
        <f>IF($DF112&lt;&gt;$JP$9,0,各项系数!$F$76/4*($NE112^2-$NC112^2)*10^-2*各项系数!$F$36*10^-3*10^2)*各项系数!$J$4</f>
        <v>0</v>
      </c>
      <c r="JQ112" s="106">
        <v>1</v>
      </c>
      <c r="JR112" s="78">
        <f t="shared" si="472"/>
        <v>0</v>
      </c>
      <c r="JS112" s="264">
        <f>JR112*各项系数!$E$36</f>
        <v>0</v>
      </c>
      <c r="JT112" s="289">
        <f>IF($DF112&lt;&gt;$JT$9,0,各项系数!$F$76/4*($NE112^2-$NC112^2)*10^-2*各项系数!$F$40*10^-3*10^2)*各项系数!$J$4</f>
        <v>0</v>
      </c>
      <c r="JU112" s="106">
        <v>1</v>
      </c>
      <c r="JV112" s="78">
        <f t="shared" si="473"/>
        <v>0</v>
      </c>
      <c r="JW112" s="264">
        <f>JV112*各项系数!$E$40</f>
        <v>0</v>
      </c>
      <c r="JX112" s="289">
        <f>IF($DF112&lt;&gt;$JX$9,0,各项系数!$F$76/4*($NE112^2-$NC112^2)*10^-2*各项系数!$F$38*10^-3*10^2)*各项系数!$J$4</f>
        <v>0</v>
      </c>
      <c r="JY112" s="106">
        <v>1</v>
      </c>
      <c r="JZ112" s="78">
        <f t="shared" si="474"/>
        <v>0</v>
      </c>
      <c r="KA112" s="264">
        <f>JZ112*各项系数!$E$38</f>
        <v>0</v>
      </c>
      <c r="KB112" s="289">
        <f>IF($DF112&lt;&gt;$KB$9,0,各项系数!$F$76/4*($NE112^2-$NC112^2)*10^-2*各项系数!$F$41*10^-3*10^2)*各项系数!$J$4</f>
        <v>0</v>
      </c>
      <c r="KC112" s="106">
        <v>1</v>
      </c>
      <c r="KD112" s="78">
        <f t="shared" si="475"/>
        <v>0</v>
      </c>
      <c r="KE112" s="264">
        <f>KD112*各项系数!$E$41</f>
        <v>0</v>
      </c>
      <c r="KF112" s="78">
        <f t="shared" si="476"/>
        <v>7.5294442660605509E-3</v>
      </c>
      <c r="KG112" s="78">
        <f t="shared" si="477"/>
        <v>0.15058888532121101</v>
      </c>
      <c r="KH112" s="237">
        <f>各项系数!$F$76/4*($NG112^2-$NE112^2)*10^-2*各项系数!$F$44*10^-3*10^2*各项系数!$J$4*0.75*$U112</f>
        <v>1.863932916908503</v>
      </c>
      <c r="KI112" s="106">
        <v>1</v>
      </c>
      <c r="KJ112" s="78">
        <f t="shared" si="478"/>
        <v>1.863932916908503</v>
      </c>
      <c r="KK112" s="78">
        <f>ROUND(KJ112*各项系数!$E$43,GT112)</f>
        <v>11</v>
      </c>
      <c r="KL112" s="235">
        <f>各项系数!$F$76/4*($NF112^2-$NE112^2)*10^-2*各项系数!$F$46*10^-3*10^2*各项系数!$J$4*PI()/4*R112</f>
        <v>9.3740714200018838E-2</v>
      </c>
      <c r="KM112" s="106">
        <v>1</v>
      </c>
      <c r="KN112" s="78">
        <f t="shared" si="479"/>
        <v>9.3740714200018838E-2</v>
      </c>
      <c r="KO112" s="78">
        <f>KN112*各项系数!$E$46</f>
        <v>6.3274982085012716</v>
      </c>
      <c r="KP112" s="237">
        <f>各项系数!$F$76/4*($NH112^2-$NE112^2)*10^-2*(VLOOKUP($KP$9,各项系数!$D$1:$F$143,3,0))*10^-3*10^2*各项系数!$J$4</f>
        <v>1.1188696808732042</v>
      </c>
      <c r="KQ112" s="106">
        <v>1</v>
      </c>
      <c r="KR112" s="78">
        <f t="shared" si="416"/>
        <v>1.1188696808732042</v>
      </c>
      <c r="KS112" s="78">
        <f>KR112*(VLOOKUP($KP$9,各项系数!$D$1:$F$143,2,0))</f>
        <v>19.02078457484447</v>
      </c>
      <c r="KT112" s="237">
        <f>各项系数!$F$76/4*($NI112^2-$NF112^2)*10^-2*(VLOOKUP($KT$9,各项系数!$D$1:$F$143,3,0))*10^-3*10^2*各项系数!$J$4</f>
        <v>1.1214078992417442</v>
      </c>
      <c r="KU112" s="106">
        <v>1</v>
      </c>
      <c r="KV112" s="78">
        <f t="shared" si="417"/>
        <v>1.1214078992417442</v>
      </c>
      <c r="KW112" s="78">
        <f>KV112*(VLOOKUP($KT$9,各项系数!$D$1:$F$143,2,0))</f>
        <v>19.063934287109653</v>
      </c>
      <c r="KX112" s="78">
        <f>各项系数!$F$76/4*($NH112^2-$NE112^2)*10^-2*(VLOOKUP($KX$9,各项系数!$D$1:$F$143,3,0))*10^-3*10^2*各项系数!$J$4</f>
        <v>1.1188696808732042</v>
      </c>
      <c r="KY112" s="355">
        <v>1</v>
      </c>
      <c r="KZ112" s="78">
        <f t="shared" si="418"/>
        <v>1.1188696808732042</v>
      </c>
      <c r="LA112" s="78">
        <f>KZ112*(VLOOKUP($KX$9,各项系数!$D$1:$F$143,2,0))</f>
        <v>19.02078457484447</v>
      </c>
      <c r="LB112" s="78">
        <f>各项系数!$F$76/4*($NI112^2-$NF112^2)*10^-2*(VLOOKUP($LB$9,各项系数!$D$1:$F$143,3,0))*10^-3*10^2*各项系数!$J$4</f>
        <v>1.1214078992417442</v>
      </c>
      <c r="LC112" s="355">
        <v>1</v>
      </c>
      <c r="LD112" s="78">
        <f t="shared" si="419"/>
        <v>1.1214078992417442</v>
      </c>
      <c r="LE112" s="78">
        <f>LD112*(VLOOKUP($LB$9,各项系数!$D$1:$F$143,2,0))</f>
        <v>19.063934287109653</v>
      </c>
      <c r="LF112" s="237">
        <f>各项系数!$F$76/4*($NH112^2-$NE112^2)*10^-2*(VLOOKUP(AN112,各项系数!$D$1:$F$143,3,0))*10^-3*10^2*各项系数!$J$4</f>
        <v>1.1343023661266276</v>
      </c>
      <c r="LG112" s="106">
        <v>1</v>
      </c>
      <c r="LH112" s="78">
        <f t="shared" si="480"/>
        <v>1.1343023661266276</v>
      </c>
      <c r="LI112" s="78">
        <f>LH112*(VLOOKUP(AN112,各项系数!$D$1:$F$143,2,0))</f>
        <v>11.343023661266276</v>
      </c>
      <c r="LJ112" s="237">
        <f>各项系数!$F$76/4*($NI112^2-$NF112^2)*10^-2*(VLOOKUP(AN112,各项系数!$D$1:$F$143,3,0))*10^-3*10^2*各项系数!$J$4</f>
        <v>1.1368755944036992</v>
      </c>
      <c r="LK112" s="106">
        <v>1</v>
      </c>
      <c r="LL112" s="78">
        <f t="shared" si="481"/>
        <v>1.1368755944036992</v>
      </c>
      <c r="LM112" s="78">
        <f>LL112*(VLOOKUP(AN112,各项系数!$D$1:$F$143,2,0))</f>
        <v>11.368755944036993</v>
      </c>
      <c r="LN112" s="78">
        <f>各项系数!$F$76/4*($NH112^2-$NE112^2)*10^-2*(VLOOKUP($LN$9,各项系数!$D$1:$F$143,3,0))*10^-3*10^2*各项系数!$J$4</f>
        <v>1.1343023661266276</v>
      </c>
      <c r="LO112" s="355">
        <v>1</v>
      </c>
      <c r="LP112" s="78">
        <f t="shared" si="482"/>
        <v>1.1343023661266276</v>
      </c>
      <c r="LQ112" s="78">
        <f>LP112*(VLOOKUP($LN$9,各项系数!$D$1:$F$143,2,0))</f>
        <v>12.477326027392904</v>
      </c>
      <c r="LR112" s="78">
        <f>各项系数!$F$76/4*($NI112^2-$NF112^2)*10^-2*(VLOOKUP($LR$9,各项系数!$D$1:$F$143,3,0))*10^-3*10^2*各项系数!$J$4</f>
        <v>1.1368755944036992</v>
      </c>
      <c r="LS112" s="355">
        <v>1</v>
      </c>
      <c r="LT112" s="78">
        <f t="shared" si="483"/>
        <v>1.1368755944036992</v>
      </c>
      <c r="LU112" s="78">
        <f>LT112*(VLOOKUP($LR$9,各项系数!$D$1:$F$143,2,0))</f>
        <v>12.505631538440692</v>
      </c>
      <c r="LV112" s="367">
        <f t="shared" si="420"/>
        <v>1466.30281393</v>
      </c>
      <c r="LW112" s="367">
        <f t="shared" si="421"/>
        <v>1104.25273642</v>
      </c>
      <c r="LX112" s="367">
        <f t="shared" si="422"/>
        <v>37.496376510163735</v>
      </c>
      <c r="LY112" s="367">
        <f t="shared" si="423"/>
        <v>362.05007750999994</v>
      </c>
      <c r="LZ112" s="374">
        <f t="shared" si="365"/>
        <v>1</v>
      </c>
      <c r="MA112" s="375">
        <f t="shared" si="366"/>
        <v>1466.30281393</v>
      </c>
      <c r="MB112" s="367">
        <f t="shared" si="424"/>
        <v>24.946307189999999</v>
      </c>
      <c r="MC112" s="367">
        <f t="shared" si="425"/>
        <v>231.18826676</v>
      </c>
      <c r="MD112" s="367">
        <f t="shared" si="426"/>
        <v>174.57073258</v>
      </c>
      <c r="ME112" s="367">
        <f t="shared" si="427"/>
        <v>14.908734355210807</v>
      </c>
      <c r="MF112" s="367">
        <f t="shared" si="428"/>
        <v>56.617534180000007</v>
      </c>
      <c r="MG112" s="379">
        <f t="shared" si="429"/>
        <v>1</v>
      </c>
      <c r="MH112" s="375">
        <f t="shared" si="367"/>
        <v>231.18826676</v>
      </c>
      <c r="MI112" s="367">
        <f t="shared" si="430"/>
        <v>17.156865783633492</v>
      </c>
      <c r="MJ112" s="78">
        <f t="shared" si="368"/>
        <v>24.946307189999999</v>
      </c>
      <c r="MK112" s="78">
        <f t="shared" si="431"/>
        <v>24.946307189999999</v>
      </c>
      <c r="ML112" s="78">
        <f t="shared" si="484"/>
        <v>17.156865783475602</v>
      </c>
      <c r="MM112" s="78">
        <f t="shared" si="369"/>
        <v>17.156865783633492</v>
      </c>
      <c r="MN112" s="78">
        <f t="shared" si="370"/>
        <v>28.946307189999999</v>
      </c>
      <c r="MO112" s="189">
        <f t="shared" si="432"/>
        <v>20.356865783633491</v>
      </c>
      <c r="MP112" s="78">
        <f t="shared" si="433"/>
        <v>64.85345135</v>
      </c>
      <c r="MQ112" s="78">
        <f t="shared" si="485"/>
        <v>64.85345135</v>
      </c>
      <c r="MR112" s="246">
        <f t="shared" si="434"/>
        <v>64.85345135</v>
      </c>
      <c r="MS112" s="380">
        <f t="shared" si="371"/>
        <v>65.029451350000002</v>
      </c>
      <c r="MT112" s="382">
        <f t="shared" si="372"/>
        <v>65.189451349999999</v>
      </c>
      <c r="MU112" s="382">
        <f t="shared" si="373"/>
        <v>66.529451350000002</v>
      </c>
      <c r="MV112" s="382">
        <f t="shared" si="374"/>
        <v>72.029451350000002</v>
      </c>
      <c r="MW112" s="382">
        <f t="shared" si="375"/>
        <v>72.189451349999999</v>
      </c>
      <c r="MX112" s="246">
        <f t="shared" si="376"/>
        <v>25.54630719</v>
      </c>
      <c r="MY112" s="246">
        <f t="shared" si="377"/>
        <v>17.756865783633494</v>
      </c>
      <c r="MZ112" s="78">
        <f t="shared" si="378"/>
        <v>29.54630719</v>
      </c>
      <c r="NA112" s="78">
        <f t="shared" si="379"/>
        <v>21.756865783633494</v>
      </c>
      <c r="NB112" s="78">
        <f t="shared" si="435"/>
        <v>66.789451349999993</v>
      </c>
      <c r="NC112" s="246">
        <f t="shared" si="486"/>
        <v>66.789451349999993</v>
      </c>
      <c r="ND112" s="246">
        <f t="shared" si="436"/>
        <v>66.789451349999993</v>
      </c>
      <c r="NE112" s="386">
        <f t="shared" si="437"/>
        <v>67.029451349999988</v>
      </c>
      <c r="NF112" s="382">
        <f t="shared" si="380"/>
        <v>67.189451349999985</v>
      </c>
      <c r="NG112" s="150">
        <f t="shared" si="381"/>
        <v>68.529451349999988</v>
      </c>
      <c r="NH112" s="246">
        <f t="shared" si="382"/>
        <v>74.029451349999988</v>
      </c>
      <c r="NI112" s="382">
        <f t="shared" si="383"/>
        <v>74.189451349999985</v>
      </c>
      <c r="NK112" s="390">
        <f t="shared" si="384"/>
        <v>14.610917543418751</v>
      </c>
      <c r="NL112" s="390">
        <f t="shared" si="385"/>
        <v>777.86229537008558</v>
      </c>
      <c r="NM112" s="390">
        <f t="shared" si="386"/>
        <v>14.610917543418751</v>
      </c>
      <c r="NN112" s="390">
        <f t="shared" si="387"/>
        <v>778.96443238274878</v>
      </c>
      <c r="NO112" s="390">
        <f t="shared" si="388"/>
        <v>18.9329151941539</v>
      </c>
      <c r="NP112" s="390">
        <f t="shared" si="389"/>
        <v>784.77262861200825</v>
      </c>
      <c r="NQ112" s="390">
        <f t="shared" si="390"/>
        <v>18.9329151941539</v>
      </c>
      <c r="NR112" s="390">
        <f t="shared" si="391"/>
        <v>785.90693097813482</v>
      </c>
      <c r="NS112" s="390">
        <f t="shared" si="392"/>
        <v>14.701864591084043</v>
      </c>
      <c r="NT112" s="390">
        <f t="shared" si="393"/>
        <v>14.701864591084043</v>
      </c>
      <c r="NU112" s="390">
        <f t="shared" si="394"/>
        <v>19.02665590835392</v>
      </c>
      <c r="NV112" s="390">
        <f t="shared" si="395"/>
        <v>19.02665590835392</v>
      </c>
      <c r="NW112" s="9">
        <f t="shared" si="396"/>
        <v>15.816872860606944</v>
      </c>
      <c r="NX112" s="9">
        <f>各项系数!$M$9*NK112</f>
        <v>4.3832752630256246</v>
      </c>
      <c r="NY112" s="9">
        <f t="shared" si="397"/>
        <v>14.701864591084043</v>
      </c>
    </row>
    <row r="113" spans="1:389" s="9" customFormat="1" ht="15" hidden="1" customHeight="1">
      <c r="A113" s="65"/>
      <c r="B113" s="66"/>
      <c r="C113" s="67"/>
      <c r="D113" s="198" t="s">
        <v>931</v>
      </c>
      <c r="E113" s="399">
        <f t="shared" si="503"/>
        <v>81.091952720000009</v>
      </c>
      <c r="F113" s="68">
        <f>$F$33</f>
        <v>314.10304232929502</v>
      </c>
      <c r="G113" s="58"/>
      <c r="H113" s="16"/>
      <c r="I113" s="145">
        <f>$F$30</f>
        <v>246.701228113631</v>
      </c>
      <c r="J113" s="62"/>
      <c r="K113" s="16"/>
      <c r="L113" s="107" t="s">
        <v>467</v>
      </c>
      <c r="M113" s="98">
        <f t="shared" si="339"/>
        <v>2.2000000000000002</v>
      </c>
      <c r="N113" s="98">
        <f t="shared" si="501"/>
        <v>1.7</v>
      </c>
      <c r="O113" s="58">
        <f t="shared" si="502"/>
        <v>0.08</v>
      </c>
      <c r="P113" s="99">
        <v>0.1</v>
      </c>
      <c r="Q113" s="136">
        <f t="shared" si="499"/>
        <v>0.1</v>
      </c>
      <c r="R113" s="151">
        <v>0.8</v>
      </c>
      <c r="S113" s="144" t="str">
        <f>各项系数!$D$43</f>
        <v>钢带</v>
      </c>
      <c r="T113" s="62">
        <v>0.5</v>
      </c>
      <c r="U113" s="62">
        <v>2</v>
      </c>
      <c r="V113" s="143"/>
      <c r="W113" s="145">
        <v>3.7</v>
      </c>
      <c r="X113" s="139">
        <f t="shared" si="500"/>
        <v>0.2</v>
      </c>
      <c r="Y113" s="139"/>
      <c r="Z113" s="169"/>
      <c r="AA113" s="170">
        <f>$AA$33</f>
        <v>1.02</v>
      </c>
      <c r="AB113" s="153">
        <f>PI()*EJ113*EJ113/4*EH113*(1-H113)*AA113*各项系数!$F$5*各项系数!$J$4*10^-7</f>
        <v>4.2647051993952481</v>
      </c>
      <c r="AC113" s="170">
        <f t="shared" si="504"/>
        <v>314.10304232929502</v>
      </c>
      <c r="AD113" s="153">
        <f t="shared" si="341"/>
        <v>482.13002011127043</v>
      </c>
      <c r="AE113" s="153">
        <f>POWER(4*EU113/PI()/EG113/10^-7/EH113/(1-H113)/各项系数!$F$5/各项系数!$J$4,0.5)</f>
        <v>317.22852271592683</v>
      </c>
      <c r="AF113" s="16">
        <f>$AA$30</f>
        <v>1.0149999999999999</v>
      </c>
      <c r="AG113" s="16">
        <f>IF(EM113=0,0,PI()*ER113*ER113/4*EP113*(1-K113)*(1+AF113)*各项系数!$F$5*各项系数!$J$4*10^-7)</f>
        <v>4.0895322170671538</v>
      </c>
      <c r="AH113" s="16">
        <f t="shared" si="505"/>
        <v>246.701228113631</v>
      </c>
      <c r="AI113" s="69">
        <f t="shared" si="398"/>
        <v>232.88407080035392</v>
      </c>
      <c r="AJ113" s="69">
        <f>IF(OR(EP113="",EP113=0),0,POWER(4*EW113/PI()/EO113/10^-7/EP113/(1-K113)/各项系数!$F$5/各项系数!$J$4,0.5))</f>
        <v>248.54460040818714</v>
      </c>
      <c r="AK113" s="16">
        <f t="shared" si="342"/>
        <v>14.854103290653812</v>
      </c>
      <c r="AL113" s="16">
        <f t="shared" si="506"/>
        <v>1030.2554811358741</v>
      </c>
      <c r="AM113" s="106">
        <f t="shared" si="507"/>
        <v>500</v>
      </c>
      <c r="AN113" s="107" t="s">
        <v>486</v>
      </c>
      <c r="AO113" s="146">
        <f>AP113+各项系数!$M$9*$NK113</f>
        <v>1010.0543932704649</v>
      </c>
      <c r="AP113" s="146">
        <f>AQ113*(1+$BI113+(VLOOKUP($AM113,$A$12:$B$323,2,0))+各项系数!$J$6+各项系数!$M$5)*(1+$E$2)</f>
        <v>1004.4492377117351</v>
      </c>
      <c r="AQ113" s="199">
        <f>AR113+各项系数!$L$9*$NK113</f>
        <v>1024.9482017466685</v>
      </c>
      <c r="AR113" s="199">
        <f>AS113*(1+$BJ113+各项系数!$J$5+各项系数!$L$5)</f>
        <v>1019.3430461879387</v>
      </c>
      <c r="AS113" s="199">
        <f t="shared" si="399"/>
        <v>999.35592763523402</v>
      </c>
      <c r="AT113" s="146">
        <f>AU113+各项系数!$M$9*$NM113</f>
        <v>1018.9570537380299</v>
      </c>
      <c r="AU113" s="146">
        <f>AV113*(1+$BI113+(VLOOKUP($AM113,$A$12:$B$323,2,0))+各项系数!$J$6+各项系数!$M$5)*(1+$E$2)</f>
        <v>1013.3518981793002</v>
      </c>
      <c r="AV113" s="199">
        <f>AW113+各项系数!$L$9*$NM113</f>
        <v>1034.0325491625513</v>
      </c>
      <c r="AW113" s="199">
        <f>AX113*(1+$BJ113+各项系数!$J$5+各项系数!$L$5)</f>
        <v>1028.4273936038217</v>
      </c>
      <c r="AX113" s="199">
        <f t="shared" si="400"/>
        <v>1008.2621505919819</v>
      </c>
      <c r="AY113" s="146">
        <f>AZ113+各项系数!$M$9*$NS113</f>
        <v>1017.0956932527121</v>
      </c>
      <c r="AZ113" s="146">
        <f>BA113*(1+$BI113+(VLOOKUP($AM113,$A$12:$B$214,2,0))+各项系数!$J$6+各项系数!$M$5)*(1+$E$2)</f>
        <v>1011.4596235586552</v>
      </c>
      <c r="BA113" s="199">
        <f>BB113+各项系数!$L$9*$NS113</f>
        <v>1032.1016566925052</v>
      </c>
      <c r="BB113" s="199">
        <f>BC113*(1+$BJ113+各项系数!$J$5+各项系数!$L$5)</f>
        <v>1026.4655869984483</v>
      </c>
      <c r="BC113" s="199">
        <f t="shared" si="401"/>
        <v>1006.3388107827924</v>
      </c>
      <c r="BD113" s="146">
        <f>BE113+各项系数!$M$9*$NS113</f>
        <v>1026.0167590663727</v>
      </c>
      <c r="BE113" s="146">
        <f>BF113*(1+$BI113+(VLOOKUP($AM113,$A$12:$B$214,2,0))+各项系数!$J$6+各项系数!$M$5)*(1+$E$2)</f>
        <v>1020.3806893723157</v>
      </c>
      <c r="BF113" s="199">
        <f>BG113+各项系数!$L$9*$NS113</f>
        <v>1041.2047850737915</v>
      </c>
      <c r="BG113" s="199">
        <f>BH113*(1+$BJ113+各项系数!$J$5+各项系数!$L$5)</f>
        <v>1035.5687153797346</v>
      </c>
      <c r="BH113" s="199">
        <f t="shared" si="402"/>
        <v>1015.2634464507202</v>
      </c>
      <c r="BI113" s="214"/>
      <c r="BJ113" s="215"/>
      <c r="BK113" s="78" t="s">
        <v>514</v>
      </c>
      <c r="BL113" s="146">
        <f>BM113+各项系数!$M$9*$NM113</f>
        <v>1021.1762435658364</v>
      </c>
      <c r="BM113" s="146">
        <f>BN113*(1+$CF113+(VLOOKUP($AM113,$A$12:$B$323,2,0))+各项系数!$J$6+各项系数!$M$5)*(1+$E$2)</f>
        <v>1015.5710880071067</v>
      </c>
      <c r="BN113" s="199">
        <f>BO113+各项系数!$L$9*$NM113</f>
        <v>1036.2970285786803</v>
      </c>
      <c r="BO113" s="199">
        <f>BP113*(1+$CG113+各项系数!$J$5+各项系数!$L$5)</f>
        <v>1030.6918730199507</v>
      </c>
      <c r="BP113" s="199">
        <f t="shared" si="403"/>
        <v>1000.6717213785928</v>
      </c>
      <c r="BQ113" s="146">
        <f>BR113+各项系数!$M$9*$NM113</f>
        <v>1028.8380228138315</v>
      </c>
      <c r="BR113" s="146">
        <f>BS113*(1+$CF113+(VLOOKUP($AM113,$A$12:$B$323,2,0))+各项系数!$J$6+各项系数!$M$5)*(1+$E$2)</f>
        <v>1023.2328672551017</v>
      </c>
      <c r="BS113" s="199">
        <f>BT113+各项系数!$L$9*$NM113</f>
        <v>1044.1151706684711</v>
      </c>
      <c r="BT113" s="199">
        <f>BU113*(1+$CG113+各项系数!$J$5+各项系数!$L$5)</f>
        <v>1038.5100151097415</v>
      </c>
      <c r="BU113" s="199">
        <f t="shared" si="404"/>
        <v>1008.2621505919819</v>
      </c>
      <c r="BV113" s="146">
        <f>BW113+各项系数!$M$9*$NT113</f>
        <v>1022.7734714782758</v>
      </c>
      <c r="BW113" s="146">
        <f>BX113*(1+$CF113+(VLOOKUP($AM113,$A$12:$B$214,2,0))+各项系数!$J$6+各项系数!$M$5)*(1+$E$2)</f>
        <v>1017.1374017842189</v>
      </c>
      <c r="BX113" s="199">
        <f>BY113+各项系数!$L$9*$NT$12</f>
        <v>1037.8953079430805</v>
      </c>
      <c r="BY113" s="199">
        <f>BZ113*(1+$CG113+各项系数!$J$5+各项系数!$L$5)</f>
        <v>1037.8870445399255</v>
      </c>
      <c r="BZ113" s="199">
        <f t="shared" si="343"/>
        <v>1007.6573247960441</v>
      </c>
      <c r="CA113" s="146">
        <f>CB113+各项系数!$M$9*$NT113</f>
        <v>1030.4510906765058</v>
      </c>
      <c r="CB113" s="146">
        <f>CC113*(1+$CF113+(VLOOKUP($AM113,$A$12:$B$214,2,0))+各项系数!$J$6+各项系数!$M$5)*(1+$E$2)</f>
        <v>1024.8150209824489</v>
      </c>
      <c r="CC113" s="199">
        <f>CD113+各项系数!$L$9*$NT$12</f>
        <v>1045.7296132473969</v>
      </c>
      <c r="CD113" s="199">
        <f>CE113*(1+$CG113+各项系数!$J$5+各项系数!$L$5)</f>
        <v>1045.7213498442418</v>
      </c>
      <c r="CE113" s="199">
        <f t="shared" si="405"/>
        <v>1015.2634464507202</v>
      </c>
      <c r="CF113" s="214">
        <f t="shared" si="406"/>
        <v>0</v>
      </c>
      <c r="CG113" s="214">
        <f t="shared" si="344"/>
        <v>0.01</v>
      </c>
      <c r="CH113" s="106"/>
      <c r="CI113" s="146">
        <f>CJ113+各项系数!$M$9*$NO113</f>
        <v>1027.7910173812575</v>
      </c>
      <c r="CJ113" s="146">
        <f>CK113*(1+$DC113+(VLOOKUP($AM113,$A$12:$B$323,2,0))+各项系数!$J$6+各项系数!$M$5)*(1+$E$2)+各项系数!$M$9*$NK113</f>
        <v>1020.5276757980224</v>
      </c>
      <c r="CK113" s="199">
        <f>CL113+各项系数!$L$9*$NO113</f>
        <v>1035.6352247339721</v>
      </c>
      <c r="CL113" s="199">
        <f>CM113*(1+$DD113+各项系数!$J$5+各项系数!$L$5)</f>
        <v>1028.3718831507372</v>
      </c>
      <c r="CM113" s="199">
        <f t="shared" si="345"/>
        <v>1008.207728579154</v>
      </c>
      <c r="CN113" s="146">
        <f>CO113+各项系数!$M$9*$NO113</f>
        <v>1036.3332163134553</v>
      </c>
      <c r="CO113" s="146">
        <f>CP113*(1+$DC113+(VLOOKUP($AM113,$A$12:$B$323,2,0))+各项系数!$J$6+各项系数!$M$5)*(1+$E$2)+各项系数!$M$9*$NK113</f>
        <v>1029.0698747302204</v>
      </c>
      <c r="CP113" s="199">
        <f>CQ113+各项系数!$L$9*$NO113</f>
        <v>1044.3517542566231</v>
      </c>
      <c r="CQ113" s="199">
        <f>CR113*(1+$DD113+各项系数!$J$5+各项系数!$L$5)</f>
        <v>1037.0884126733881</v>
      </c>
      <c r="CR113" s="199">
        <f t="shared" si="346"/>
        <v>1016.7533457582236</v>
      </c>
      <c r="CS113" s="146">
        <f>CT113+各项系数!$M$9*$NU113</f>
        <v>1029.4288227730447</v>
      </c>
      <c r="CT113" s="146">
        <f t="shared" si="347"/>
        <v>1022.1336782494744</v>
      </c>
      <c r="CU113" s="199">
        <f>CV113+各项系数!$L$9*$NU113</f>
        <v>1042.9935492341576</v>
      </c>
      <c r="CV113" s="199">
        <f>CW113*(1+$DD113+各项系数!$J$5+各项系数!$L$5)</f>
        <v>1035.6984047105875</v>
      </c>
      <c r="CW113" s="199">
        <f t="shared" si="348"/>
        <v>1015.3905928535171</v>
      </c>
      <c r="CX113" s="146">
        <f>CY113+各项系数!$M$9*$NU113</f>
        <v>1038.5938744558821</v>
      </c>
      <c r="CY113" s="146">
        <f t="shared" si="349"/>
        <v>1031.298729932312</v>
      </c>
      <c r="CZ113" s="199">
        <f>DA113+各项系数!$L$9*$NU113</f>
        <v>1052.3456427880735</v>
      </c>
      <c r="DA113" s="199">
        <f>DB113*(1+$DD113+各项系数!$J$5+各项系数!$L$5)</f>
        <v>1045.0504982645034</v>
      </c>
      <c r="DB113" s="199">
        <f t="shared" si="350"/>
        <v>1024.559312024023</v>
      </c>
      <c r="DC113" s="214">
        <f t="shared" si="498"/>
        <v>0</v>
      </c>
      <c r="DD113" s="214">
        <f t="shared" si="351"/>
        <v>0</v>
      </c>
      <c r="DE113" s="78" t="s">
        <v>498</v>
      </c>
      <c r="DF113" s="78" t="s">
        <v>513</v>
      </c>
      <c r="DG113" s="146">
        <f>DH113+各项系数!$M$9*$NQ113</f>
        <v>1039.0360148730779</v>
      </c>
      <c r="DH113" s="146">
        <f>DI113*(1+$EA113+(VLOOKUP($AM113,$A$12:$B$323,2,0))+各项系数!$J$6+各项系数!$M$5)*(1+$E$2)+各项系数!$M$9*$NK113</f>
        <v>1031.7726732898429</v>
      </c>
      <c r="DI113" s="199">
        <f>DJ113+各项系数!$L$9*$NQ113</f>
        <v>1047.1097119705239</v>
      </c>
      <c r="DJ113" s="199">
        <f>DK113*(1+$EB113+各项系数!$J$5+各项系数!$L$5)</f>
        <v>1039.846370387289</v>
      </c>
      <c r="DK113" s="199">
        <f t="shared" si="352"/>
        <v>1009.5595829002806</v>
      </c>
      <c r="DL113" s="146">
        <f>DM113+各项系数!$M$9*$NQ113</f>
        <v>1046.9077724613767</v>
      </c>
      <c r="DM113" s="146">
        <f>DN113*(1+$EA113+(VLOOKUP($AM113,$A$12:$B$323,2,0))+各项系数!$J$6+各项系数!$M$5)*(1+$E$2)+各项系数!$M$9*$NK113</f>
        <v>1039.6444308781417</v>
      </c>
      <c r="DN113" s="199">
        <f>DO113+各项系数!$L$9*$NQ113</f>
        <v>1055.1421176728695</v>
      </c>
      <c r="DO113" s="199">
        <f>DP113*(1+$EB113+各项系数!$J$5+各项系数!$L$5)</f>
        <v>1047.8787760896346</v>
      </c>
      <c r="DP113" s="199">
        <f t="shared" si="353"/>
        <v>1017.3580350384801</v>
      </c>
      <c r="DQ113" s="146">
        <f>DR113+各项系数!$M$9*$NV113</f>
        <v>1040.7469581751839</v>
      </c>
      <c r="DR113" s="146">
        <f t="shared" si="354"/>
        <v>1033.4518136516137</v>
      </c>
      <c r="DS113" s="199">
        <f>DT113+各项系数!$L$9*$NV113</f>
        <v>1054.5426669914427</v>
      </c>
      <c r="DT113" s="199">
        <f>DU113*(1+$EB113+各项系数!$J$5+各项系数!$L$5)</f>
        <v>1047.2475224678726</v>
      </c>
      <c r="DU113" s="199">
        <f t="shared" si="355"/>
        <v>1016.7451674445365</v>
      </c>
      <c r="DV113" s="146">
        <f>DW113+各项系数!$M$9*$NV113</f>
        <v>1038.9552794629953</v>
      </c>
      <c r="DW113" s="146">
        <f t="shared" si="356"/>
        <v>1031.6601349394252</v>
      </c>
      <c r="DX113" s="199">
        <f>DY113+各项系数!$L$9*$NV113</f>
        <v>1052.7144234075768</v>
      </c>
      <c r="DY113" s="199">
        <f>DZ113*(1+$EB113+各项系数!$J$5+各项系数!$L$5)</f>
        <v>1045.4192788840066</v>
      </c>
      <c r="DZ113" s="199">
        <f t="shared" si="357"/>
        <v>1014.9701736737928</v>
      </c>
      <c r="EA113" s="214">
        <f t="shared" si="511"/>
        <v>0</v>
      </c>
      <c r="EB113" s="214">
        <f t="shared" si="358"/>
        <v>0.01</v>
      </c>
      <c r="EC113" s="235" t="str">
        <f t="shared" si="408"/>
        <v>3+1</v>
      </c>
      <c r="ED113" s="237" t="str">
        <f t="shared" si="494"/>
        <v>3*500</v>
      </c>
      <c r="EE113" s="78">
        <f t="shared" si="495"/>
        <v>500</v>
      </c>
      <c r="EF113" s="78" t="str">
        <f>LOOKUP(EH113,{1,7,10,14,19,24,30,37,48,61},{1,"1+6","2+8","4+10","1+6+12","2+8+14","4+10+16","1+6+12+18","3+9+15+21","1+6+12+18+24"})</f>
        <v>1+6+12+18+24</v>
      </c>
      <c r="EG113" s="106">
        <f t="shared" si="359"/>
        <v>3</v>
      </c>
      <c r="EH113" s="199">
        <f>VLOOKUP(EE113,各项系数!$B$87:$C$124,2,0)</f>
        <v>61</v>
      </c>
      <c r="EI113" s="106">
        <f>IF(EH113=0,0,VLOOKUP(EH113,各项系数!$D$142:$E$195,2,0))*1</f>
        <v>9</v>
      </c>
      <c r="EJ113" s="240">
        <f t="shared" si="409"/>
        <v>314.10304232929502</v>
      </c>
      <c r="EK113" s="78" t="str">
        <f t="shared" si="508"/>
        <v>1*240</v>
      </c>
      <c r="EL113" s="78" t="str">
        <f t="shared" si="360"/>
        <v>240</v>
      </c>
      <c r="EM113" s="78">
        <f t="shared" si="496"/>
        <v>240</v>
      </c>
      <c r="EN113" s="78" t="str">
        <f>IF(EP113=0,0,LOOKUP(EP113,{1,7,10,14,19,24,30,37,48,61},{1,"1+6","2+8","4+10","1+6+12","2+8+14","4+10+16","1+6+12+18","3+9+15+21","1+6+12+18+24"}))</f>
        <v>3+9+15+21</v>
      </c>
      <c r="EO113" s="78" t="str">
        <f t="shared" si="509"/>
        <v>1</v>
      </c>
      <c r="EP113" s="78">
        <f>IF(EM113=0,0,IF(EM113&lt;10,1,IF(AND(EM113&gt;=10,EM113&lt;=35),7,LOOKUP(EM113,{50,70,95,120,150,185,240,300},{10,14,19,24,30,37,48,61})*1)))</f>
        <v>48</v>
      </c>
      <c r="EQ113" s="78">
        <f>IF(EP113=0,0,VLOOKUP(EP113,各项系数!$D$142:$E$195,2,0))*1</f>
        <v>8.15</v>
      </c>
      <c r="ER113" s="78">
        <f t="shared" si="510"/>
        <v>246.701228113631</v>
      </c>
      <c r="ES113" s="237">
        <f t="shared" si="497"/>
        <v>4</v>
      </c>
      <c r="ET113" s="78">
        <f>VLOOKUP(ES113,各项系数!$D$142:$E$195,2,0)*1</f>
        <v>2.42</v>
      </c>
      <c r="EU113" s="243">
        <f>((各项系数!$F$76/4*$EJ113^2*$EG113*$EH113*1*10^-7)*(1-$H113)*AA113)*(VLOOKUP($EY$9,各项系数!$D$4:$F$143,3,0))*各项系数!$J$4</f>
        <v>12.794115598185742</v>
      </c>
      <c r="EV113" s="244">
        <f>EU113*(VLOOKUP($EY$9,各项系数!$D$4:$F$143,2,0))</f>
        <v>838.0145716811661</v>
      </c>
      <c r="EW113" s="252">
        <f>(IF($EO113=0,0,(各项系数!$F$76/4*$ER113^2*$EO113*$EP113*1*10^-7))*(1-$K113)*$AF113)*(VLOOKUP($EY$9,各项系数!$D$4:$F$143,3,0))*各项系数!$J$4</f>
        <v>2.05998769246807</v>
      </c>
      <c r="EX113" s="253">
        <f>EW113*(VLOOKUP($EY$9,各项系数!$D$4:$F$143,2,0))</f>
        <v>134.92919385665857</v>
      </c>
      <c r="EY113" s="189">
        <f>((各项系数!$F$76/4*$EJ113^2*$EG113*$EH113*1*10^-7)*(1-$H113)*AA113+IF($EO113=0,0,(各项系数!$F$76/4*$ER113^2*$EO113*$EP113*1*10^-7))*(1-$K113)*$AF113)*(VLOOKUP($EY$9,各项系数!$D$4:$F$143,3,0))*各项系数!$J$4</f>
        <v>14.854103290653812</v>
      </c>
      <c r="EZ113" s="106">
        <v>1</v>
      </c>
      <c r="FA113" s="78">
        <f t="shared" si="445"/>
        <v>14.854103290653812</v>
      </c>
      <c r="FB113" s="246">
        <f>FA113*(VLOOKUP($EY$9,各项系数!$D$4:$F$143,2,0))</f>
        <v>972.94376553782467</v>
      </c>
      <c r="FC113" s="257"/>
      <c r="FD113" s="237">
        <f>各项系数!$F$76/4*($MN113^2-MK113^2)*10^-2*(VLOOKUP(L113,各项系数!$D$1:$F$143,3,0))*10^-3*10^2*$EG113*各项系数!$J$4</f>
        <v>0.69146734851176006</v>
      </c>
      <c r="FE113" s="264">
        <f>FD113*VLOOKUP(L113,各项系数!$D$1:$F$143,2,0)</f>
        <v>7.0529669548199525</v>
      </c>
      <c r="FF113" s="106">
        <f>各项系数!$F$76/4*($MO113^2-ML113^2)*10^-2*(VLOOKUP(L113,各项系数!$D$1:$F$143,3,0))*10^-3*10^2*$EO113*各项系数!$J$4</f>
        <v>0.12746576505583809</v>
      </c>
      <c r="FG113" s="264">
        <f>FF113*VLOOKUP(L113,各项系数!$D$1:$F$143,2,0)</f>
        <v>1.3001508035695484</v>
      </c>
      <c r="FH113" s="237">
        <f t="shared" si="410"/>
        <v>0.81893311356759813</v>
      </c>
      <c r="FI113" s="106">
        <v>1</v>
      </c>
      <c r="FJ113" s="78">
        <f t="shared" si="446"/>
        <v>0.81893311356759813</v>
      </c>
      <c r="FK113" s="264">
        <f>FJ113*VLOOKUP(L113,各项系数!$D$1:$F$143,2,0)</f>
        <v>8.3531177583894998</v>
      </c>
      <c r="FL113" s="237"/>
      <c r="FM113" s="106"/>
      <c r="FN113" s="78"/>
      <c r="FO113" s="264"/>
      <c r="FP113" s="289">
        <f t="shared" si="447"/>
        <v>0.81893311356759813</v>
      </c>
      <c r="FQ113" s="289">
        <f t="shared" si="448"/>
        <v>8.3531177583894998</v>
      </c>
      <c r="FR113" s="283">
        <f>各项系数!$F$76/4*($MQ113^2-$MN113^2*$EG113-$MO113^2*$EO113)*10^-2</f>
        <v>12.960733674212413</v>
      </c>
      <c r="FS113" s="284">
        <f t="shared" si="411"/>
        <v>1</v>
      </c>
      <c r="FT113" s="285">
        <f t="shared" si="361"/>
        <v>12.960733674212413</v>
      </c>
      <c r="FU113" s="309">
        <f>$FT113*(VLOOKUP($FT$9,各项系数!$D$1:$F$143,3,0))*10^-3*10^2*各项系数!$J$55</f>
        <v>1.5475116007009622</v>
      </c>
      <c r="FV113" s="310">
        <v>1</v>
      </c>
      <c r="FW113" s="311">
        <f t="shared" si="449"/>
        <v>1.5475116007009622</v>
      </c>
      <c r="FX113" s="290">
        <f>FW113*(VLOOKUP($FT$9,各项系数!$D$1:$F$143,2,0))</f>
        <v>4.6425348021028867</v>
      </c>
      <c r="FY113" s="309">
        <f>IF($BK113&lt;&gt;$FY$9,0,各项系数!$F$76/4*($MS113^2-$MQ113^2)*10^-2*(VLOOKUP($FY$9,各项系数!$D$1:$F$143,3,0))*10^-3*10^2)*各项系数!$J$4</f>
        <v>0</v>
      </c>
      <c r="FZ113" s="310">
        <v>1</v>
      </c>
      <c r="GA113" s="311">
        <f t="shared" si="450"/>
        <v>0</v>
      </c>
      <c r="GB113" s="290">
        <f>GA113*(VLOOKUP($FY$9,各项系数!$D$1:$F$143,2,0))</f>
        <v>0</v>
      </c>
      <c r="GC113" s="309">
        <f>IF($BK113&lt;&gt;$GC$9,0,各项系数!$F$76/4*($MS113^2-$MQ113^2)*10^-2*(VLOOKUP($GC$9,各项系数!$D$1:$F$143,3,0))*10^-3*10^2)*各项系数!$J$4</f>
        <v>2.0044349095326527E-2</v>
      </c>
      <c r="GD113" s="310">
        <v>1</v>
      </c>
      <c r="GE113" s="311">
        <f t="shared" si="451"/>
        <v>2.0044349095326527E-2</v>
      </c>
      <c r="GF113" s="290">
        <f>GE113*(VLOOKUP($GC$9,各项系数!$D$1:$F$143,2,0))</f>
        <v>0.2585721033297122</v>
      </c>
      <c r="GG113" s="309">
        <f>IF($BK113&lt;&gt;$GG$9,0,各项系数!$F$76/4*($MS113^2-$MQ113^2)*10^-2*(VLOOKUP($GG$9,各项系数!$D$1:$F$143,3,0))*10^-3*10^2)*各项系数!$J$4</f>
        <v>0</v>
      </c>
      <c r="GH113" s="310">
        <v>1</v>
      </c>
      <c r="GI113" s="311">
        <f t="shared" si="452"/>
        <v>0</v>
      </c>
      <c r="GJ113" s="290">
        <f>GI113*(VLOOKUP($GG$9,各项系数!$D$1:$F$143,2,0))</f>
        <v>0</v>
      </c>
      <c r="GK113" s="309">
        <f>IF($BK113&lt;&gt;$GK$9,0,各项系数!$F$76/4*($MS113^2-$MQ113^2)*10^-2*(VLOOKUP($GK$9,各项系数!$D$1:$F$143,3,0))*10^-3*10^2)*各项系数!$J$4</f>
        <v>0</v>
      </c>
      <c r="GL113" s="310">
        <v>1</v>
      </c>
      <c r="GM113" s="311">
        <f t="shared" si="453"/>
        <v>0</v>
      </c>
      <c r="GN113" s="290">
        <f>GM113*(VLOOKUP($GK$9,各项系数!$D$1:$F$143,2,0))</f>
        <v>0</v>
      </c>
      <c r="GO113" s="311">
        <f t="shared" si="454"/>
        <v>2.0044349095326527E-2</v>
      </c>
      <c r="GP113" s="311">
        <f t="shared" si="455"/>
        <v>0.2585721033297122</v>
      </c>
      <c r="GQ113" s="317">
        <f>各项系数!$F$76/4*($MU113^2-$MS113^2)*10^-2*(VLOOKUP($S113,各项系数!$D$1:$F$143,3,0))*10^-3*10^2*各项系数!$J$4</f>
        <v>1.3647676723067752</v>
      </c>
      <c r="GR113" s="310">
        <v>1</v>
      </c>
      <c r="GS113" s="311">
        <f t="shared" si="456"/>
        <v>1.3647676723067752</v>
      </c>
      <c r="GT113" s="311">
        <f t="shared" si="457"/>
        <v>0</v>
      </c>
      <c r="GU113" s="311">
        <f>ROUND($GS113*(VLOOKUP($S113,各项系数!$D$1:$F$143,2,0))+$E$3*GS113,GT113)</f>
        <v>8</v>
      </c>
      <c r="GV113" s="315">
        <f>各项系数!$F$76/4*($MT113^2-$MS113^2)*10^-2*(VLOOKUP($GV$9,各项系数!$D$1:$F$143,3,0))*10^-3*10^2*各项系数!$J$4*PI()/4*R113</f>
        <v>0.10304711775747105</v>
      </c>
      <c r="GW113" s="310">
        <v>1</v>
      </c>
      <c r="GX113" s="311">
        <f t="shared" si="458"/>
        <v>0.10304711775747105</v>
      </c>
      <c r="GY113" s="311">
        <f>$GX113*(VLOOKUP($GV$9,各项系数!$D$1:$F$143,2,0))</f>
        <v>6.9556804486292956</v>
      </c>
      <c r="GZ113" s="317">
        <f>各项系数!$F$76/4*($MV113^2-$MS113^2)*10^-2*(VLOOKUP($GZ$9,各项系数!$D$1:$F$143,3,0))*10^-3*10^2*各项系数!$J$4</f>
        <v>1.2978917876667713</v>
      </c>
      <c r="HA113" s="310">
        <v>1</v>
      </c>
      <c r="HB113" s="311">
        <f t="shared" si="412"/>
        <v>1.2978917876667713</v>
      </c>
      <c r="HC113" s="311">
        <f>HB113*(VLOOKUP($GZ$9,各项系数!$D$1:$F$143,2,0))</f>
        <v>22.064160390335111</v>
      </c>
      <c r="HD113" s="317">
        <f>各项系数!$F$76/4*($MW113^2-$MT113^2)*10^-2*(VLOOKUP($HD$9,各项系数!$D$1:$F$143,3,0))*10^-3*10^2*各项系数!$J$4</f>
        <v>1.3005750470849424</v>
      </c>
      <c r="HE113" s="310">
        <v>1</v>
      </c>
      <c r="HF113" s="311">
        <f t="shared" si="413"/>
        <v>1.3005750470849424</v>
      </c>
      <c r="HG113" s="311">
        <f>HF113*(VLOOKUP($HD$9,各项系数!$D$1:$F$143,2,0))</f>
        <v>22.109775800444019</v>
      </c>
      <c r="HH113" s="317">
        <f>各项系数!$F$76/4*($MV113^2-$MS113^2)*10^-2*(VLOOKUP($HH$9,各项系数!$D$1:$F$143,3,0))*10^-3*10^2*各项系数!$J$4</f>
        <v>1.2978917876667713</v>
      </c>
      <c r="HI113" s="311">
        <v>1</v>
      </c>
      <c r="HJ113" s="311">
        <f t="shared" si="414"/>
        <v>1.2978917876667713</v>
      </c>
      <c r="HK113" s="311">
        <f>HJ113*(VLOOKUP($HH$9,各项系数!$D$1:$F$143,2,0))</f>
        <v>22.064160390335111</v>
      </c>
      <c r="HL113" s="317">
        <f>各项系数!$F$76/4*($MW113^2-$MT113^2)*10^-2*(VLOOKUP($HL$9,各项系数!$D$1:$F$143,3,0))*10^-3*10^2*各项系数!$J$4</f>
        <v>1.3005750470849424</v>
      </c>
      <c r="HM113" s="311">
        <v>1</v>
      </c>
      <c r="HN113" s="311">
        <f t="shared" si="362"/>
        <v>1.3005750470849424</v>
      </c>
      <c r="HO113" s="311">
        <f>HN113*(VLOOKUP($HL$9,各项系数!$D$1:$F$143,2,0))</f>
        <v>22.109775800444019</v>
      </c>
      <c r="HP113" s="317">
        <f>各项系数!$F$76/4*($MV113^2-$MS113^2)*10^-2*(VLOOKUP(AN113,各项系数!$D$1:$F$143,3,0))*10^-3*10^2*各项系数!$J$4</f>
        <v>1.3157937433587266</v>
      </c>
      <c r="HQ113" s="310">
        <v>1</v>
      </c>
      <c r="HR113" s="311">
        <f t="shared" si="459"/>
        <v>1.3157937433587266</v>
      </c>
      <c r="HS113" s="311">
        <f>HR113*(VLOOKUP(AN113,各项系数!$D$1:$F$143,2,0))</f>
        <v>13.157937433587266</v>
      </c>
      <c r="HT113" s="317">
        <f>各项系数!$F$76/4*($MW113^2-$MT113^2)*10^-2*(VLOOKUP(AN113,各项系数!$D$1:$F$143,3,0))*10^-3*10^2*各项系数!$J$4</f>
        <v>1.3185140132516318</v>
      </c>
      <c r="HU113" s="310">
        <v>1</v>
      </c>
      <c r="HV113" s="311">
        <f t="shared" si="460"/>
        <v>1.3185140132516318</v>
      </c>
      <c r="HW113" s="311">
        <f>HV113*(VLOOKUP(AN113,各项系数!$D$1:$F$143,2,0))</f>
        <v>13.185140132516317</v>
      </c>
      <c r="HX113" s="317">
        <f>各项系数!$F$76/4*($MV113^2-$MS113^2)*10^-2*(VLOOKUP($HX$9,各项系数!$D$1:$F$143,3,0))*10^-3*10^2*各项系数!$J$4</f>
        <v>1.3157937433587266</v>
      </c>
      <c r="HY113" s="311">
        <v>1</v>
      </c>
      <c r="HZ113" s="311">
        <f t="shared" si="461"/>
        <v>1.3157937433587266</v>
      </c>
      <c r="IA113" s="311">
        <f>HZ113*(VLOOKUP($HX$9,各项系数!$D$1:$F$143,2,0))</f>
        <v>14.473731176945993</v>
      </c>
      <c r="IB113" s="317">
        <f>各项系数!$F$76/4*($MW113^2-$MT113^2)*10^-2*(VLOOKUP($IB$9,各项系数!$D$1:$F$143,3,0))*10^-3*10^2*各项系数!$J$4</f>
        <v>1.3185140132516318</v>
      </c>
      <c r="IC113" s="311">
        <v>1</v>
      </c>
      <c r="ID113" s="311">
        <f t="shared" si="462"/>
        <v>1.3185140132516318</v>
      </c>
      <c r="IE113" s="311">
        <f>ID113*(VLOOKUP($IB$9,各项系数!$D$1:$F$143,2,0))</f>
        <v>14.50365414576795</v>
      </c>
      <c r="IF113" s="309"/>
      <c r="IG113" s="317">
        <f t="shared" si="415"/>
        <v>0.14926501742679724</v>
      </c>
      <c r="IH113" s="310">
        <v>1</v>
      </c>
      <c r="II113" s="311">
        <f t="shared" si="463"/>
        <v>0.14926501742679724</v>
      </c>
      <c r="IJ113" s="311">
        <f>II113*(VLOOKUP($IG$8,各项系数!$D$1:$F$143,2,0))</f>
        <v>3.731625435669931</v>
      </c>
      <c r="IK113" s="317">
        <f>(各项系数!$F$76/4*($MX113^2-$MK113^2)*$EG113)*10^-2*(VLOOKUP($IG$8,各项系数!$D$1:$F$143,3,0))*10^-3*10^2*各项系数!$J$4</f>
        <v>0.12056074495539579</v>
      </c>
      <c r="IL113" s="310">
        <f>IK113*(VLOOKUP($IG$8,各项系数!$D$1:$F$143,2,0))</f>
        <v>3.0140186238848945</v>
      </c>
      <c r="IM113" s="311">
        <f>(各项系数!$F$76/4*(($MM113+3*$X113)^2-MM113^2)*$EO113)*10^-2*(VLOOKUP($IG$8,各项系数!$D$1:$F$143,3,0))*10^-3*10^2*各项系数!$J$4</f>
        <v>2.8704272471401442E-2</v>
      </c>
      <c r="IN113" s="310">
        <f>IM113*(VLOOKUP($IG$8,各项系数!$D$1:$F$143,2,0))</f>
        <v>0.71760681178503605</v>
      </c>
      <c r="IO113" s="317">
        <f>各项系数!$F$76/4*($MZ113^2-$MX113^2)*10^-2*(VLOOKUP(L113,各项系数!$D$1:$F$143,3,0))*10^-3*10^2*$ES113*各项系数!$J$4</f>
        <v>0.94011160296373664</v>
      </c>
      <c r="IP113" s="310">
        <v>1</v>
      </c>
      <c r="IQ113" s="311">
        <f t="shared" si="464"/>
        <v>0.94011160296373664</v>
      </c>
      <c r="IR113" s="290">
        <f>IQ113*(VLOOKUP(L113,各项系数!$D$1:$F$143,2,0))</f>
        <v>9.5891383502301135</v>
      </c>
      <c r="IS113" s="317">
        <f>IF($L113&lt;&gt;$IS$9,0,各项系数!$F$76/4*($MZ113^2-$MX113^2)*10^-2*各项系数!$F$12*10^-3*10^2)*$ES113*各项系数!$J$4</f>
        <v>0</v>
      </c>
      <c r="IT113" s="310">
        <v>1</v>
      </c>
      <c r="IU113" s="311">
        <f t="shared" si="465"/>
        <v>0</v>
      </c>
      <c r="IV113" s="290">
        <f>IU113*各项系数!$E$12</f>
        <v>0</v>
      </c>
      <c r="IW113" s="309">
        <f t="shared" si="466"/>
        <v>0.94011160296373664</v>
      </c>
      <c r="IX113" s="309">
        <f t="shared" si="467"/>
        <v>9.5891383502301135</v>
      </c>
      <c r="IY113" s="339">
        <f>各项系数!$F$76/4*($NB113^2-$MZ113^2*$EG113-$NA113^2*$EO113)*10^-2</f>
        <v>13.826295956233592</v>
      </c>
      <c r="IZ113" s="284">
        <f t="shared" si="487"/>
        <v>1</v>
      </c>
      <c r="JA113" s="285">
        <f t="shared" si="363"/>
        <v>13.826295956233592</v>
      </c>
      <c r="JB113" s="289">
        <f>IF($DE113&lt;&gt;$JB$9,0,$JA113*各项系数!$F$32*10^-3*10^2)*各项系数!$J$4</f>
        <v>0</v>
      </c>
      <c r="JC113" s="106">
        <v>1</v>
      </c>
      <c r="JD113" s="78">
        <f t="shared" si="468"/>
        <v>0</v>
      </c>
      <c r="JE113" s="264">
        <f>JD113*各项系数!$E$32</f>
        <v>0</v>
      </c>
      <c r="JF113" s="282">
        <f>IF($DE113&lt;&gt;$JF$9,0,$JA113*VLOOKUP($JF$9,各项系数!$D$4:$F$540,2,0)*10^-3*10^2)*各项系数!$J$4</f>
        <v>6.8785822382262118</v>
      </c>
      <c r="JG113" s="102">
        <v>1</v>
      </c>
      <c r="JH113" s="189">
        <f t="shared" si="364"/>
        <v>6.8785822382262118</v>
      </c>
      <c r="JI113" s="262">
        <f>JH113*VLOOKUP($JF$9,各项系数!$D$4:$F$540,3,0)</f>
        <v>8.2542986858714542</v>
      </c>
      <c r="JJ113" s="289">
        <f t="shared" si="469"/>
        <v>6.8785822382262118</v>
      </c>
      <c r="JK113" s="78">
        <f t="shared" si="470"/>
        <v>8.2542986858714542</v>
      </c>
      <c r="JL113" s="289">
        <f>IF($DF113&lt;&gt;$JL$9,0,各项系数!$F$76/4*($NE113^2-$NC113^2)*10^-2*各项系数!$F$39*10^-3*10^2)*各项系数!$J$4</f>
        <v>8.5178679146171617E-3</v>
      </c>
      <c r="JM113" s="106">
        <v>1</v>
      </c>
      <c r="JN113" s="78">
        <f t="shared" si="471"/>
        <v>8.5178679146171617E-3</v>
      </c>
      <c r="JO113" s="264">
        <f>JN113*各项系数!$E$39</f>
        <v>0.17035735829234322</v>
      </c>
      <c r="JP113" s="289">
        <f>IF($DF113&lt;&gt;$JP$9,0,各项系数!$F$76/4*($NE113^2-$NC113^2)*10^-2*各项系数!$F$36*10^-3*10^2)*各项系数!$J$4</f>
        <v>0</v>
      </c>
      <c r="JQ113" s="106">
        <v>1</v>
      </c>
      <c r="JR113" s="78">
        <f t="shared" si="472"/>
        <v>0</v>
      </c>
      <c r="JS113" s="264">
        <f>JR113*各项系数!$E$36</f>
        <v>0</v>
      </c>
      <c r="JT113" s="289">
        <f>IF($DF113&lt;&gt;$JT$9,0,各项系数!$F$76/4*($NE113^2-$NC113^2)*10^-2*各项系数!$F$40*10^-3*10^2)*各项系数!$J$4</f>
        <v>0</v>
      </c>
      <c r="JU113" s="106">
        <v>1</v>
      </c>
      <c r="JV113" s="78">
        <f t="shared" si="473"/>
        <v>0</v>
      </c>
      <c r="JW113" s="264">
        <f>JV113*各项系数!$E$40</f>
        <v>0</v>
      </c>
      <c r="JX113" s="289">
        <f>IF($DF113&lt;&gt;$JX$9,0,各项系数!$F$76/4*($NE113^2-$NC113^2)*10^-2*各项系数!$F$38*10^-3*10^2)*各项系数!$J$4</f>
        <v>0</v>
      </c>
      <c r="JY113" s="106">
        <v>1</v>
      </c>
      <c r="JZ113" s="78">
        <f t="shared" si="474"/>
        <v>0</v>
      </c>
      <c r="KA113" s="264">
        <f>JZ113*各项系数!$E$38</f>
        <v>0</v>
      </c>
      <c r="KB113" s="289">
        <f>IF($DF113&lt;&gt;$KB$9,0,各项系数!$F$76/4*($NE113^2-$NC113^2)*10^-2*各项系数!$F$41*10^-3*10^2)*各项系数!$J$4</f>
        <v>0</v>
      </c>
      <c r="KC113" s="106">
        <v>1</v>
      </c>
      <c r="KD113" s="78">
        <f t="shared" si="475"/>
        <v>0</v>
      </c>
      <c r="KE113" s="264">
        <f>KD113*各项系数!$E$41</f>
        <v>0</v>
      </c>
      <c r="KF113" s="78">
        <f t="shared" si="476"/>
        <v>8.5178679146171617E-3</v>
      </c>
      <c r="KG113" s="78">
        <f t="shared" si="477"/>
        <v>0.17035735829234322</v>
      </c>
      <c r="KH113" s="237">
        <f>各项系数!$F$76/4*($NG113^2-$NE113^2)*10^-2*各项系数!$F$44*10^-3*10^2*各项系数!$J$4*0.75*$U113</f>
        <v>2.1054789460245065</v>
      </c>
      <c r="KI113" s="106">
        <v>1</v>
      </c>
      <c r="KJ113" s="78">
        <f t="shared" si="478"/>
        <v>2.1054789460245065</v>
      </c>
      <c r="KK113" s="78">
        <f>ROUND(KJ113*各项系数!$E$43,GT113)</f>
        <v>12</v>
      </c>
      <c r="KL113" s="235">
        <f>各项系数!$F$76/4*($NF113^2-$NE113^2)*10^-2*各项系数!$F$46*10^-3*10^2*各项系数!$J$4*PI()/4*R113</f>
        <v>0.10600980111753902</v>
      </c>
      <c r="KM113" s="106">
        <v>1</v>
      </c>
      <c r="KN113" s="78">
        <f t="shared" si="479"/>
        <v>0.10600980111753902</v>
      </c>
      <c r="KO113" s="78">
        <f>KN113*各项系数!$E$46</f>
        <v>7.1556615754338839</v>
      </c>
      <c r="KP113" s="237">
        <f>各项系数!$F$76/4*($NH113^2-$NE113^2)*10^-2*(VLOOKUP($KP$9,各项系数!$D$1:$F$143,3,0))*10^-3*10^2*各项系数!$J$4</f>
        <v>1.3334617453289164</v>
      </c>
      <c r="KQ113" s="106">
        <v>1</v>
      </c>
      <c r="KR113" s="78">
        <f t="shared" si="416"/>
        <v>1.3334617453289164</v>
      </c>
      <c r="KS113" s="78">
        <f>KR113*(VLOOKUP($KP$9,各项系数!$D$1:$F$143,2,0))</f>
        <v>22.668849670591577</v>
      </c>
      <c r="KT113" s="237">
        <f>各项系数!$F$76/4*($NI113^2-$NF113^2)*10^-2*(VLOOKUP($KT$9,各项系数!$D$1:$F$143,3,0))*10^-3*10^2*各项系数!$J$4</f>
        <v>1.3361450047470893</v>
      </c>
      <c r="KU113" s="106">
        <v>1</v>
      </c>
      <c r="KV113" s="78">
        <f t="shared" si="417"/>
        <v>1.3361450047470893</v>
      </c>
      <c r="KW113" s="78">
        <f>KV113*(VLOOKUP($KT$9,各项系数!$D$1:$F$143,2,0))</f>
        <v>22.714465080700517</v>
      </c>
      <c r="KX113" s="78">
        <f>各项系数!$F$76/4*($NH113^2-$NE113^2)*10^-2*(VLOOKUP($KX$9,各项系数!$D$1:$F$143,3,0))*10^-3*10^2*各项系数!$J$4</f>
        <v>1.3334617453289164</v>
      </c>
      <c r="KY113" s="355">
        <v>1</v>
      </c>
      <c r="KZ113" s="78">
        <f t="shared" si="418"/>
        <v>1.3334617453289164</v>
      </c>
      <c r="LA113" s="78">
        <f>KZ113*(VLOOKUP($KX$9,各项系数!$D$1:$F$143,2,0))</f>
        <v>22.668849670591577</v>
      </c>
      <c r="LB113" s="78">
        <f>各项系数!$F$76/4*($NI113^2-$NF113^2)*10^-2*(VLOOKUP($LB$9,各项系数!$D$1:$F$143,3,0))*10^-3*10^2*各项系数!$J$4</f>
        <v>1.3361450047470893</v>
      </c>
      <c r="LC113" s="355">
        <v>1</v>
      </c>
      <c r="LD113" s="78">
        <f t="shared" si="419"/>
        <v>1.3361450047470893</v>
      </c>
      <c r="LE113" s="78">
        <f>LD113*(VLOOKUP($LB$9,各项系数!$D$1:$F$143,2,0))</f>
        <v>22.714465080700517</v>
      </c>
      <c r="LF113" s="237">
        <f>各项系数!$F$76/4*($NH113^2-$NE113^2)*10^-2*(VLOOKUP(AN113,各项系数!$D$1:$F$143,3,0))*10^-3*10^2*各项系数!$J$4</f>
        <v>1.3518543211265566</v>
      </c>
      <c r="LG113" s="106">
        <v>1</v>
      </c>
      <c r="LH113" s="78">
        <f t="shared" si="480"/>
        <v>1.3518543211265566</v>
      </c>
      <c r="LI113" s="78">
        <f>LH113*(VLOOKUP(AN113,各项系数!$D$1:$F$143,2,0))</f>
        <v>13.518543211265566</v>
      </c>
      <c r="LJ113" s="237">
        <f>各项系数!$F$76/4*($NI113^2-$NF113^2)*10^-2*(VLOOKUP(AN113,各项系数!$D$1:$F$143,3,0))*10^-3*10^2*各项系数!$J$4</f>
        <v>1.3545745910194629</v>
      </c>
      <c r="LK113" s="106">
        <v>1</v>
      </c>
      <c r="LL113" s="78">
        <f t="shared" si="481"/>
        <v>1.3545745910194629</v>
      </c>
      <c r="LM113" s="78">
        <f>LL113*(VLOOKUP(AN113,各项系数!$D$1:$F$143,2,0))</f>
        <v>13.545745910194629</v>
      </c>
      <c r="LN113" s="78">
        <f>各项系数!$F$76/4*($NH113^2-$NE113^2)*10^-2*(VLOOKUP($LN$9,各项系数!$D$1:$F$143,3,0))*10^-3*10^2*各项系数!$J$4</f>
        <v>1.3518543211265566</v>
      </c>
      <c r="LO113" s="355">
        <v>1</v>
      </c>
      <c r="LP113" s="78">
        <f t="shared" si="482"/>
        <v>1.3518543211265566</v>
      </c>
      <c r="LQ113" s="78">
        <f>LP113*(VLOOKUP($LN$9,各项系数!$D$1:$F$143,2,0))</f>
        <v>14.870397532392122</v>
      </c>
      <c r="LR113" s="78">
        <f>各项系数!$F$76/4*($NI113^2-$NF113^2)*10^-2*(VLOOKUP($LR$9,各项系数!$D$1:$F$143,3,0))*10^-3*10^2*各项系数!$J$4</f>
        <v>1.3545745910194629</v>
      </c>
      <c r="LS113" s="355">
        <v>1</v>
      </c>
      <c r="LT113" s="78">
        <f t="shared" si="483"/>
        <v>1.3545745910194629</v>
      </c>
      <c r="LU113" s="78">
        <f>LT113*(VLOOKUP($LR$9,各项系数!$D$1:$F$143,2,0))</f>
        <v>14.900320501214091</v>
      </c>
      <c r="LV113" s="367">
        <f t="shared" si="420"/>
        <v>1882.9571623500001</v>
      </c>
      <c r="LW113" s="367">
        <f t="shared" si="421"/>
        <v>1418.0294679399999</v>
      </c>
      <c r="LX113" s="367">
        <f t="shared" si="422"/>
        <v>42.491071934948529</v>
      </c>
      <c r="LY113" s="367">
        <f t="shared" si="423"/>
        <v>464.92769441000019</v>
      </c>
      <c r="LZ113" s="374">
        <f t="shared" si="365"/>
        <v>1</v>
      </c>
      <c r="MA113" s="375">
        <f t="shared" si="366"/>
        <v>1882.9571623500001</v>
      </c>
      <c r="MB113" s="367">
        <f t="shared" si="424"/>
        <v>28.269273779999999</v>
      </c>
      <c r="MC113" s="367">
        <f t="shared" si="425"/>
        <v>317.50291857000002</v>
      </c>
      <c r="MD113" s="367">
        <f t="shared" si="426"/>
        <v>229.44243406999999</v>
      </c>
      <c r="ME113" s="367">
        <f t="shared" si="427"/>
        <v>17.091962447250296</v>
      </c>
      <c r="MF113" s="367">
        <f t="shared" si="428"/>
        <v>88.06048450000003</v>
      </c>
      <c r="MG113" s="379">
        <f t="shared" si="429"/>
        <v>1</v>
      </c>
      <c r="MH113" s="375">
        <f t="shared" si="367"/>
        <v>317.50291857000002</v>
      </c>
      <c r="MI113" s="367">
        <f t="shared" si="430"/>
        <v>20.106150091256961</v>
      </c>
      <c r="MJ113" s="78">
        <f t="shared" si="368"/>
        <v>28.269273779999999</v>
      </c>
      <c r="MK113" s="78">
        <f t="shared" si="431"/>
        <v>28.269273779999999</v>
      </c>
      <c r="ML113" s="78">
        <f t="shared" si="484"/>
        <v>20.106150091260925</v>
      </c>
      <c r="MM113" s="78">
        <f t="shared" si="369"/>
        <v>20.106150091256961</v>
      </c>
      <c r="MN113" s="78">
        <f t="shared" si="370"/>
        <v>32.669273779999997</v>
      </c>
      <c r="MO113" s="189">
        <f t="shared" si="432"/>
        <v>23.506150091256959</v>
      </c>
      <c r="MP113" s="78">
        <f t="shared" si="433"/>
        <v>73.515952720000001</v>
      </c>
      <c r="MQ113" s="78">
        <f t="shared" si="485"/>
        <v>73.515952720000001</v>
      </c>
      <c r="MR113" s="246">
        <f t="shared" si="434"/>
        <v>73.515952720000001</v>
      </c>
      <c r="MS113" s="380">
        <f t="shared" si="371"/>
        <v>73.691952720000003</v>
      </c>
      <c r="MT113" s="382">
        <f t="shared" si="372"/>
        <v>73.85195272</v>
      </c>
      <c r="MU113" s="382">
        <f t="shared" si="373"/>
        <v>75.191952720000003</v>
      </c>
      <c r="MV113" s="382">
        <f t="shared" si="374"/>
        <v>81.091952720000009</v>
      </c>
      <c r="MW113" s="382">
        <f t="shared" si="375"/>
        <v>81.251952720000006</v>
      </c>
      <c r="MX113" s="246">
        <f t="shared" si="376"/>
        <v>28.86927378</v>
      </c>
      <c r="MY113" s="246">
        <f t="shared" si="377"/>
        <v>20.706150091256962</v>
      </c>
      <c r="MZ113" s="78">
        <f t="shared" si="378"/>
        <v>33.269273779999999</v>
      </c>
      <c r="NA113" s="78">
        <f t="shared" si="379"/>
        <v>25.106150091256964</v>
      </c>
      <c r="NB113" s="78">
        <f t="shared" si="435"/>
        <v>75.572952720000004</v>
      </c>
      <c r="NC113" s="246">
        <f t="shared" si="486"/>
        <v>75.572952720000004</v>
      </c>
      <c r="ND113" s="246">
        <f t="shared" si="436"/>
        <v>75.572952720000004</v>
      </c>
      <c r="NE113" s="386">
        <f t="shared" si="437"/>
        <v>75.812952719999998</v>
      </c>
      <c r="NF113" s="382">
        <f t="shared" si="380"/>
        <v>75.972952719999995</v>
      </c>
      <c r="NG113" s="150">
        <f t="shared" si="381"/>
        <v>77.312952719999998</v>
      </c>
      <c r="NH113" s="246">
        <f t="shared" si="382"/>
        <v>83.212952720000004</v>
      </c>
      <c r="NI113" s="382">
        <f t="shared" si="383"/>
        <v>83.372952720000001</v>
      </c>
      <c r="NK113" s="390">
        <f t="shared" si="384"/>
        <v>18.683851862432263</v>
      </c>
      <c r="NL113" s="390">
        <f t="shared" si="385"/>
        <v>1000.6560784388035</v>
      </c>
      <c r="NM113" s="390">
        <f t="shared" si="386"/>
        <v>18.683851862432263</v>
      </c>
      <c r="NN113" s="390">
        <f t="shared" si="387"/>
        <v>1001.9718721821623</v>
      </c>
      <c r="NO113" s="390">
        <f t="shared" si="388"/>
        <v>24.211138610783134</v>
      </c>
      <c r="NP113" s="390">
        <f t="shared" si="389"/>
        <v>1008.9253353909392</v>
      </c>
      <c r="NQ113" s="390">
        <f t="shared" si="390"/>
        <v>24.211138610783134</v>
      </c>
      <c r="NR113" s="390">
        <f t="shared" si="391"/>
        <v>1010.2771897120656</v>
      </c>
      <c r="NS113" s="390">
        <f t="shared" si="392"/>
        <v>18.786898980189733</v>
      </c>
      <c r="NT113" s="390">
        <f t="shared" si="393"/>
        <v>18.786898980189733</v>
      </c>
      <c r="NU113" s="390">
        <f t="shared" si="394"/>
        <v>24.317148411900675</v>
      </c>
      <c r="NV113" s="390">
        <f t="shared" si="395"/>
        <v>24.317148411900675</v>
      </c>
      <c r="NW113" s="9">
        <f t="shared" si="396"/>
        <v>20.048619534739039</v>
      </c>
      <c r="NX113" s="9">
        <f>各项系数!$M$9*NK113</f>
        <v>5.6051555587296784</v>
      </c>
      <c r="NY113" s="9">
        <f t="shared" si="397"/>
        <v>18.786898980189736</v>
      </c>
    </row>
    <row r="114" spans="1:389" s="9" customFormat="1" ht="15" hidden="1" customHeight="1">
      <c r="A114" s="65"/>
      <c r="B114" s="66"/>
      <c r="C114" s="67"/>
      <c r="D114" s="198" t="s">
        <v>932</v>
      </c>
      <c r="E114" s="399">
        <f t="shared" si="503"/>
        <v>90.562379759999999</v>
      </c>
      <c r="F114" s="68">
        <f>$F$34</f>
        <v>357.20659441456399</v>
      </c>
      <c r="G114" s="58"/>
      <c r="H114" s="16"/>
      <c r="I114" s="145">
        <f>$F$31</f>
        <v>245.118138379664</v>
      </c>
      <c r="J114" s="62"/>
      <c r="K114" s="16"/>
      <c r="L114" s="107" t="s">
        <v>467</v>
      </c>
      <c r="M114" s="98">
        <f t="shared" si="339"/>
        <v>2.4</v>
      </c>
      <c r="N114" s="98">
        <f t="shared" si="501"/>
        <v>1.8</v>
      </c>
      <c r="O114" s="58">
        <f t="shared" si="502"/>
        <v>0.08</v>
      </c>
      <c r="P114" s="99">
        <v>0.1</v>
      </c>
      <c r="Q114" s="136">
        <f t="shared" ref="Q114:Q123" si="512">$Q$12</f>
        <v>0.1</v>
      </c>
      <c r="R114" s="151">
        <v>0.8</v>
      </c>
      <c r="S114" s="144" t="str">
        <f>各项系数!$D$43</f>
        <v>钢带</v>
      </c>
      <c r="T114" s="62">
        <v>0.5</v>
      </c>
      <c r="U114" s="62">
        <v>2</v>
      </c>
      <c r="V114" s="143"/>
      <c r="W114" s="145">
        <v>3.9</v>
      </c>
      <c r="X114" s="139">
        <f t="shared" ref="X114:X123" si="513">$X$12</f>
        <v>0.2</v>
      </c>
      <c r="Y114" s="139"/>
      <c r="Z114" s="169"/>
      <c r="AA114" s="170">
        <f>$AA$34</f>
        <v>1.03</v>
      </c>
      <c r="AB114" s="153">
        <f>PI()*EJ114*EJ114/4*EH114*(1-H114)*AA114*各项系数!$F$5*各项系数!$J$4*10^-7</f>
        <v>5.5695578399086223</v>
      </c>
      <c r="AC114" s="170">
        <f t="shared" si="504"/>
        <v>357.20659441456399</v>
      </c>
      <c r="AD114" s="153">
        <f t="shared" si="341"/>
        <v>629.64517072523745</v>
      </c>
      <c r="AE114" s="153">
        <f>POWER(4*EU114/PI()/EG114/10^-7/EH114/(1-H114)/各项系数!$F$5/各项系数!$J$4,0.5)</f>
        <v>362.52509930492863</v>
      </c>
      <c r="AF114" s="16">
        <f>$AA$31</f>
        <v>1.02</v>
      </c>
      <c r="AG114" s="16">
        <f>IF(EM114=0,0,PI()*ER114*ER114/4*EP114*(1-K114)*(1+AF114)*各项系数!$F$5*各项系数!$J$4*10^-7)</f>
        <v>5.143358859444878</v>
      </c>
      <c r="AH114" s="16">
        <f t="shared" si="505"/>
        <v>245.118138379664</v>
      </c>
      <c r="AI114" s="69">
        <f t="shared" si="398"/>
        <v>293.60996233065771</v>
      </c>
      <c r="AJ114" s="69">
        <f>IF(OR(EP114="",EP114=0),0,POWER(4*EW114/PI()/EO114/10^-7/EP114/(1-K114)/各项系数!$F$5/各项系数!$J$4,0.5))</f>
        <v>247.5571849047536</v>
      </c>
      <c r="AK114" s="16">
        <f t="shared" si="342"/>
        <v>19.305815122019812</v>
      </c>
      <c r="AL114" s="16">
        <f t="shared" si="506"/>
        <v>1336.3178201698931</v>
      </c>
      <c r="AM114" s="106">
        <f t="shared" si="507"/>
        <v>630</v>
      </c>
      <c r="AN114" s="107" t="s">
        <v>486</v>
      </c>
      <c r="AO114" s="146">
        <f>AP114+各项系数!$M$9*$NK114</f>
        <v>1310.1155099704833</v>
      </c>
      <c r="AP114" s="146">
        <f>AQ114*(1+$BI114+(VLOOKUP($AM114,$A$12:$B$323,2,0))+各项系数!$J$6+各项系数!$M$5)*(1+$E$2)</f>
        <v>1302.9245398337505</v>
      </c>
      <c r="AQ114" s="199">
        <f>AR114+各项系数!$L$9*$NK114</f>
        <v>1329.5148365650516</v>
      </c>
      <c r="AR114" s="199">
        <f>AS114*(1+$BJ114+各项系数!$J$5+各项系数!$L$5)</f>
        <v>1322.3238664283188</v>
      </c>
      <c r="AS114" s="199">
        <f t="shared" si="399"/>
        <v>1296.3959474787439</v>
      </c>
      <c r="AT114" s="146">
        <f>AU114+各项系数!$M$9*$NM114</f>
        <v>1320.6234479137972</v>
      </c>
      <c r="AU114" s="146">
        <f>AV114*(1+$BI114+(VLOOKUP($AM114,$A$12:$B$323,2,0))+各项系数!$J$6+各项系数!$M$5)*(1+$E$2)</f>
        <v>1313.4324777770644</v>
      </c>
      <c r="AV114" s="199">
        <f>AW114+各项系数!$L$9*$NM114</f>
        <v>1340.2372222214942</v>
      </c>
      <c r="AW114" s="199">
        <f>AX114*(1+$BJ114+各项系数!$J$5+各项系数!$L$5)</f>
        <v>1333.0462520847614</v>
      </c>
      <c r="AX114" s="199">
        <f t="shared" si="400"/>
        <v>1306.9080902791777</v>
      </c>
      <c r="AY114" s="146">
        <f>AZ114+各项系数!$M$9*$NS114</f>
        <v>1318.0206801105244</v>
      </c>
      <c r="AZ114" s="146">
        <f>BA114*(1+$BI114+(VLOOKUP($AM114,$A$12:$B$214,2,0))+各项系数!$J$6+各项系数!$M$5)*(1+$E$2)</f>
        <v>1310.7949948761925</v>
      </c>
      <c r="BA114" s="199">
        <f>BB114+各项系数!$L$9*$NS114</f>
        <v>1337.5459131389719</v>
      </c>
      <c r="BB114" s="199">
        <f>BC114*(1+$BJ114+各项系数!$J$5+各项系数!$L$5)</f>
        <v>1330.32022790464</v>
      </c>
      <c r="BC114" s="199">
        <f t="shared" si="401"/>
        <v>1304.2355175535686</v>
      </c>
      <c r="BD114" s="146">
        <f>BE114+各项系数!$M$9*$NS114</f>
        <v>1328.5480182835063</v>
      </c>
      <c r="BE114" s="146">
        <f>BF114*(1+$BI114+(VLOOKUP($AM114,$A$12:$B$214,2,0))+各项系数!$J$6+各项系数!$M$5)*(1+$E$2)</f>
        <v>1321.3223330491744</v>
      </c>
      <c r="BF114" s="199">
        <f>BG114+各项系数!$L$9*$NS114</f>
        <v>1348.2880949481371</v>
      </c>
      <c r="BG114" s="199">
        <f>BH114*(1+$BJ114+各项系数!$J$5+各项系数!$L$5)</f>
        <v>1341.0624097138052</v>
      </c>
      <c r="BH114" s="199">
        <f t="shared" si="402"/>
        <v>1314.7670683468677</v>
      </c>
      <c r="BI114" s="214"/>
      <c r="BJ114" s="215"/>
      <c r="BK114" s="78" t="s">
        <v>514</v>
      </c>
      <c r="BL114" s="146">
        <f>BM114+各项系数!$M$9*$NM114</f>
        <v>1324.3878391709363</v>
      </c>
      <c r="BM114" s="146">
        <f>BN114*(1+$CF114+(VLOOKUP($AM114,$A$12:$B$323,2,0))+各项系数!$J$6+各项系数!$M$5)*(1+$E$2)</f>
        <v>1317.1968690342035</v>
      </c>
      <c r="BN114" s="199">
        <f>BO114+各项系数!$L$9*$NM114</f>
        <v>1344.0784377900036</v>
      </c>
      <c r="BO114" s="199">
        <f>BP114*(1+$CG114+各项系数!$J$5+各项系数!$L$5)</f>
        <v>1336.8874676532707</v>
      </c>
      <c r="BP114" s="199">
        <f t="shared" si="403"/>
        <v>1297.9489977216219</v>
      </c>
      <c r="BQ114" s="146">
        <f>BR114+各项系数!$M$9*$NM114</f>
        <v>1333.4311471985332</v>
      </c>
      <c r="BR114" s="146">
        <f>BS114*(1+$CF114+(VLOOKUP($AM114,$A$12:$B$323,2,0))+各项系数!$J$6+各项系数!$M$5)*(1+$E$2)</f>
        <v>1326.2401770618003</v>
      </c>
      <c r="BS114" s="199">
        <f>BT114+各项系数!$L$9*$NM114</f>
        <v>1353.3063031242859</v>
      </c>
      <c r="BT114" s="199">
        <f>BU114*(1+$CG114+各项系数!$J$5+各项系数!$L$5)</f>
        <v>1346.1153329875531</v>
      </c>
      <c r="BU114" s="199">
        <f t="shared" si="404"/>
        <v>1306.9080902791777</v>
      </c>
      <c r="BV114" s="146">
        <f>BW114+各项系数!$M$9*$NT114</f>
        <v>1325.2996579673941</v>
      </c>
      <c r="BW114" s="146">
        <f>BX114*(1+$CF114+(VLOOKUP($AM114,$A$12:$B$214,2,0))+各项系数!$J$6+各项系数!$M$5)*(1+$E$2)</f>
        <v>1318.0739727330622</v>
      </c>
      <c r="BX114" s="199">
        <f>BY114+各项系数!$L$9*$NT$12</f>
        <v>1344.9734415643493</v>
      </c>
      <c r="BY114" s="199">
        <f>BZ114*(1+$CG114+各项系数!$J$5+各项系数!$L$5)</f>
        <v>1344.9651781611942</v>
      </c>
      <c r="BZ114" s="199">
        <f t="shared" si="343"/>
        <v>1305.7914351079555</v>
      </c>
      <c r="CA114" s="146">
        <f>CB114+各项系数!$M$9*$NT114</f>
        <v>1334.3596621587521</v>
      </c>
      <c r="CB114" s="146">
        <f>CC114*(1+$CF114+(VLOOKUP($AM114,$A$12:$B$214,2,0))+各项系数!$J$6+各项系数!$M$5)*(1+$E$2)</f>
        <v>1327.1339769244203</v>
      </c>
      <c r="CC114" s="199">
        <f>CD114+各项系数!$L$9*$NT$12</f>
        <v>1354.2183438004288</v>
      </c>
      <c r="CD114" s="199">
        <f>CE114*(1+$CG114+各项系数!$J$5+各项系数!$L$5)</f>
        <v>1354.2100803972737</v>
      </c>
      <c r="CE114" s="199">
        <f t="shared" si="405"/>
        <v>1314.7670683468677</v>
      </c>
      <c r="CF114" s="214">
        <f t="shared" si="406"/>
        <v>0</v>
      </c>
      <c r="CG114" s="214">
        <f t="shared" si="344"/>
        <v>0.01</v>
      </c>
      <c r="CH114" s="106"/>
      <c r="CI114" s="146">
        <f>CJ114+各项系数!$M$9*$NO114</f>
        <v>1332.0240808218805</v>
      </c>
      <c r="CJ114" s="146">
        <f>CK114*(1+$DC114+(VLOOKUP($AM114,$A$12:$B$323,2,0))+各项系数!$J$6+各项系数!$M$5)*(1+$E$2)+各项系数!$M$9*$NK114</f>
        <v>1322.7631923749605</v>
      </c>
      <c r="CK114" s="199">
        <f>CL114+各项系数!$L$9*$NO114</f>
        <v>1342.420634936967</v>
      </c>
      <c r="CL114" s="199">
        <f>CM114*(1+$DD114+各项系数!$J$5+各项系数!$L$5)</f>
        <v>1333.1597464900469</v>
      </c>
      <c r="CM114" s="199">
        <f t="shared" si="345"/>
        <v>1307.0193593039676</v>
      </c>
      <c r="CN114" s="146">
        <f>CO114+各项系数!$M$9*$NO114</f>
        <v>1342.1303974528423</v>
      </c>
      <c r="CO114" s="146">
        <f>CP114*(1+$DC114+(VLOOKUP($AM114,$A$12:$B$323,2,0))+各项系数!$J$6+各项系数!$M$5)*(1+$E$2)+各项系数!$M$9*$NK114</f>
        <v>1332.8695090059223</v>
      </c>
      <c r="CP114" s="199">
        <f>CQ114+各项系数!$L$9*$NO114</f>
        <v>1352.7332029277443</v>
      </c>
      <c r="CQ114" s="199">
        <f>CR114*(1+$DD114+各项系数!$J$5+各项系数!$L$5)</f>
        <v>1343.4723144808243</v>
      </c>
      <c r="CR114" s="199">
        <f t="shared" si="346"/>
        <v>1317.1297200792394</v>
      </c>
      <c r="CS114" s="146">
        <f>CT114+各项系数!$M$9*$NU114</f>
        <v>1332.9514462617094</v>
      </c>
      <c r="CT114" s="146">
        <f t="shared" si="347"/>
        <v>1323.6549032071348</v>
      </c>
      <c r="CU114" s="199">
        <f>CV114+各项系数!$L$9*$NU114</f>
        <v>1350.6682685787091</v>
      </c>
      <c r="CV114" s="199">
        <f>CW114*(1+$DD114+各项系数!$J$5+各项系数!$L$5)</f>
        <v>1341.3717255241345</v>
      </c>
      <c r="CW114" s="199">
        <f t="shared" si="348"/>
        <v>1315.0703191413083</v>
      </c>
      <c r="CX114" s="146">
        <f>CY114+各项系数!$M$9*$NU114</f>
        <v>1343.7506301529158</v>
      </c>
      <c r="CY114" s="146">
        <f t="shared" si="349"/>
        <v>1334.4540870983412</v>
      </c>
      <c r="CZ114" s="199">
        <f>DA114+各项系数!$L$9*$NU114</f>
        <v>1361.6878439778993</v>
      </c>
      <c r="DA114" s="199">
        <f>DB114*(1+$DD114+各项系数!$J$5+各项系数!$L$5)</f>
        <v>1352.3913009233247</v>
      </c>
      <c r="DB114" s="199">
        <f t="shared" si="350"/>
        <v>1325.8738244346321</v>
      </c>
      <c r="DC114" s="214">
        <f t="shared" si="498"/>
        <v>0</v>
      </c>
      <c r="DD114" s="214">
        <f t="shared" si="351"/>
        <v>0</v>
      </c>
      <c r="DE114" s="78" t="s">
        <v>498</v>
      </c>
      <c r="DF114" s="78" t="s">
        <v>513</v>
      </c>
      <c r="DG114" s="146">
        <f>DH114+各项系数!$M$9*$NQ114</f>
        <v>1346.4410753358404</v>
      </c>
      <c r="DH114" s="146">
        <f>DI114*(1+$EA114+(VLOOKUP($AM114,$A$12:$B$323,2,0))+各项系数!$J$6+各项系数!$M$5)*(1+$E$2)+各项系数!$M$9*$NK114</f>
        <v>1337.1801868889204</v>
      </c>
      <c r="DI114" s="199">
        <f>DJ114+各项系数!$L$9*$NQ114</f>
        <v>1357.1318538287628</v>
      </c>
      <c r="DJ114" s="199">
        <f>DK114*(1+$EB114+各项系数!$J$5+各项系数!$L$5)</f>
        <v>1347.8709653818428</v>
      </c>
      <c r="DK114" s="199">
        <f t="shared" si="352"/>
        <v>1308.6125877493619</v>
      </c>
      <c r="DL114" s="146">
        <f>DM114+各项系数!$M$9*$NQ114</f>
        <v>1355.7183383581421</v>
      </c>
      <c r="DM114" s="146">
        <f>DN114*(1+$EA114+(VLOOKUP($AM114,$A$12:$B$323,2,0))+各项系数!$J$6+各项系数!$M$5)*(1+$E$2)+各项系数!$M$9*$NK114</f>
        <v>1346.4574499112221</v>
      </c>
      <c r="DN114" s="199">
        <f>DO114+各项系数!$L$9*$NQ114</f>
        <v>1366.5984487494788</v>
      </c>
      <c r="DO114" s="199">
        <f>DP114*(1+$EB114+各项系数!$J$5+各项系数!$L$5)</f>
        <v>1357.3375603025588</v>
      </c>
      <c r="DP114" s="199">
        <f t="shared" si="353"/>
        <v>1317.8034566044259</v>
      </c>
      <c r="DQ114" s="146">
        <f>DR114+各项系数!$M$9*$NV114</f>
        <v>1347.4502344463126</v>
      </c>
      <c r="DR114" s="146">
        <f t="shared" si="354"/>
        <v>1338.153691391738</v>
      </c>
      <c r="DS114" s="199">
        <f>DT114+各项系数!$L$9*$NV114</f>
        <v>1365.4629503997326</v>
      </c>
      <c r="DT114" s="199">
        <f>DU114*(1+$EB114+各项系数!$J$5+各项系数!$L$5)</f>
        <v>1356.1664073451579</v>
      </c>
      <c r="DU114" s="199">
        <f t="shared" si="355"/>
        <v>1316.6664148982115</v>
      </c>
      <c r="DV114" s="146">
        <f>DW114+各项系数!$M$9*$NV114</f>
        <v>1344.7985846625254</v>
      </c>
      <c r="DW114" s="146">
        <f t="shared" si="356"/>
        <v>1335.5020416079508</v>
      </c>
      <c r="DX114" s="199">
        <f>DY114+各项系数!$L$9*$NV114</f>
        <v>1362.7571853142356</v>
      </c>
      <c r="DY114" s="199">
        <f>DZ114*(1+$EB114+各项系数!$J$5+各项系数!$L$5)</f>
        <v>1353.460642259661</v>
      </c>
      <c r="DZ114" s="199">
        <f t="shared" si="357"/>
        <v>1314.0394585045251</v>
      </c>
      <c r="EA114" s="214">
        <f t="shared" si="511"/>
        <v>0</v>
      </c>
      <c r="EB114" s="214">
        <f t="shared" si="358"/>
        <v>0.01</v>
      </c>
      <c r="EC114" s="235" t="str">
        <f t="shared" si="408"/>
        <v>3+1</v>
      </c>
      <c r="ED114" s="237" t="str">
        <f t="shared" si="494"/>
        <v>3*630</v>
      </c>
      <c r="EE114" s="78">
        <f t="shared" si="495"/>
        <v>630</v>
      </c>
      <c r="EF114" s="78" t="str">
        <f>LOOKUP(EH114,{1,7,10,14,19,24,30,37,48,61},{1,"1+6","2+8","4+10","1+6+12","2+8+14","4+10+16","1+6+12+18","3+9+15+21","1+6+12+18+24"})</f>
        <v>1+6+12+18+24</v>
      </c>
      <c r="EG114" s="106">
        <f t="shared" si="359"/>
        <v>3</v>
      </c>
      <c r="EH114" s="199">
        <f>VLOOKUP(EE114,各项系数!$B$87:$C$124,2,0)</f>
        <v>61</v>
      </c>
      <c r="EI114" s="106">
        <f>IF(EH114=0,0,VLOOKUP(EH114,各项系数!$D$142:$E$195,2,0))*1</f>
        <v>9</v>
      </c>
      <c r="EJ114" s="240">
        <f t="shared" si="409"/>
        <v>357.20659441456399</v>
      </c>
      <c r="EK114" s="78" t="str">
        <f t="shared" si="508"/>
        <v>1*300</v>
      </c>
      <c r="EL114" s="78" t="str">
        <f t="shared" si="360"/>
        <v>300</v>
      </c>
      <c r="EM114" s="78">
        <f t="shared" si="496"/>
        <v>300</v>
      </c>
      <c r="EN114" s="78" t="str">
        <f>IF(EP114=0,0,LOOKUP(EP114,{1,7,10,14,19,24,30,37,48,61},{1,"1+6","2+8","4+10","1+6+12","2+8+14","4+10+16","1+6+12+18","3+9+15+21","1+6+12+18+24"}))</f>
        <v>1+6+12+18+24</v>
      </c>
      <c r="EO114" s="78" t="str">
        <f t="shared" si="509"/>
        <v>1</v>
      </c>
      <c r="EP114" s="78">
        <f>IF(EM114=0,0,IF(EM114&lt;10,1,IF(AND(EM114&gt;=10,EM114&lt;=35),7,LOOKUP(EM114,{50,70,95,120,150,185,240,300},{10,14,19,24,30,37,48,61})*1)))</f>
        <v>61</v>
      </c>
      <c r="EQ114" s="78">
        <f>IF(EP114=0,0,VLOOKUP(EP114,各项系数!$D$142:$E$195,2,0))*1</f>
        <v>9</v>
      </c>
      <c r="ER114" s="78">
        <f t="shared" si="510"/>
        <v>245.118138379664</v>
      </c>
      <c r="ES114" s="237">
        <f t="shared" si="497"/>
        <v>4</v>
      </c>
      <c r="ET114" s="78">
        <f>VLOOKUP(ES114,各项系数!$D$142:$E$195,2,0)*1</f>
        <v>2.42</v>
      </c>
      <c r="EU114" s="243">
        <f>((各项系数!$F$76/4*$EJ114^2*$EG114*$EH114*1*10^-7)*(1-$H114)*AA114)*(VLOOKUP($EY$9,各项系数!$D$4:$F$143,3,0))*各项系数!$J$4</f>
        <v>16.708673519725867</v>
      </c>
      <c r="EV114" s="244">
        <f>EU114*(VLOOKUP($EY$9,各项系数!$D$4:$F$143,2,0))</f>
        <v>1094.4181155420442</v>
      </c>
      <c r="EW114" s="252">
        <f>(IF($EO114=0,0,(各项系数!$F$76/4*$ER114^2*$EO114*$EP114*1*10^-7))*(1-$K114)*$AF114)*(VLOOKUP($EY$9,各项系数!$D$4:$F$143,3,0))*各项系数!$J$4</f>
        <v>2.5971416022939482</v>
      </c>
      <c r="EX114" s="253">
        <f>EW114*(VLOOKUP($EY$9,各项系数!$D$4:$F$143,2,0))</f>
        <v>170.11277495025359</v>
      </c>
      <c r="EY114" s="189">
        <f>((各项系数!$F$76/4*$EJ114^2*$EG114*$EH114*1*10^-7)*(1-$H114)*AA114+IF($EO114=0,0,(各项系数!$F$76/4*$ER114^2*$EO114*$EP114*1*10^-7))*(1-$K114)*$AF114)*(VLOOKUP($EY$9,各项系数!$D$4:$F$143,3,0))*各项系数!$J$4</f>
        <v>19.305815122019812</v>
      </c>
      <c r="EZ114" s="106">
        <v>1</v>
      </c>
      <c r="FA114" s="78">
        <f t="shared" si="445"/>
        <v>19.305815122019812</v>
      </c>
      <c r="FB114" s="246">
        <f>FA114*(VLOOKUP($EY$9,各项系数!$D$4:$F$143,2,0))</f>
        <v>1264.5308904922977</v>
      </c>
      <c r="FC114" s="257"/>
      <c r="FD114" s="237">
        <f>各项系数!$F$76/4*($MN114^2-MK114^2)*10^-2*(VLOOKUP(L114,各项系数!$D$1:$F$143,3,0))*10^-3*10^2*$EG114*各项系数!$J$4</f>
        <v>0.8553197614006377</v>
      </c>
      <c r="FE114" s="264">
        <f>FD114*VLOOKUP(L114,各项系数!$D$1:$F$143,2,0)</f>
        <v>8.7242615662865042</v>
      </c>
      <c r="FF114" s="106">
        <f>各项系数!$F$76/4*($MO114^2-ML114^2)*10^-2*(VLOOKUP(L114,各项系数!$D$1:$F$143,3,0))*10^-3*10^2*$EO114*各项系数!$J$4</f>
        <v>0.14767945966878815</v>
      </c>
      <c r="FG114" s="264">
        <f>FF114*VLOOKUP(L114,各项系数!$D$1:$F$143,2,0)</f>
        <v>1.5063304886216391</v>
      </c>
      <c r="FH114" s="237">
        <f t="shared" si="410"/>
        <v>1.0029992210694259</v>
      </c>
      <c r="FI114" s="106">
        <v>1</v>
      </c>
      <c r="FJ114" s="78">
        <f t="shared" si="446"/>
        <v>1.0029992210694259</v>
      </c>
      <c r="FK114" s="264">
        <f>FJ114*VLOOKUP(L114,各项系数!$D$1:$F$143,2,0)</f>
        <v>10.230592054908143</v>
      </c>
      <c r="FL114" s="237"/>
      <c r="FM114" s="106"/>
      <c r="FN114" s="78"/>
      <c r="FO114" s="264"/>
      <c r="FP114" s="289">
        <f t="shared" si="447"/>
        <v>1.0029992210694259</v>
      </c>
      <c r="FQ114" s="289">
        <f t="shared" si="448"/>
        <v>10.230592054908143</v>
      </c>
      <c r="FR114" s="283">
        <f>各项系数!$F$76/4*($MQ114^2-$MN114^2*$EG114-$MO114^2*$EO114)*10^-2</f>
        <v>16.229831978117176</v>
      </c>
      <c r="FS114" s="284">
        <f t="shared" si="411"/>
        <v>1</v>
      </c>
      <c r="FT114" s="285">
        <f t="shared" si="361"/>
        <v>16.229831978117176</v>
      </c>
      <c r="FU114" s="309">
        <f>$FT114*(VLOOKUP($FT$9,各项系数!$D$1:$F$143,3,0))*10^-3*10^2*各项系数!$J$55</f>
        <v>1.9378419381871905</v>
      </c>
      <c r="FV114" s="310">
        <v>1</v>
      </c>
      <c r="FW114" s="311">
        <f t="shared" si="449"/>
        <v>1.9378419381871905</v>
      </c>
      <c r="FX114" s="290">
        <f>FW114*(VLOOKUP($FT$9,各项系数!$D$1:$F$143,2,0))</f>
        <v>5.8135258145615714</v>
      </c>
      <c r="FY114" s="309">
        <f>IF($BK114&lt;&gt;$FY$9,0,各项系数!$F$76/4*($MS114^2-$MQ114^2)*10^-2*(VLOOKUP($FY$9,各项系数!$D$1:$F$143,3,0))*10^-3*10^2)*各项系数!$J$4</f>
        <v>0</v>
      </c>
      <c r="FZ114" s="310">
        <v>1</v>
      </c>
      <c r="GA114" s="311">
        <f t="shared" si="450"/>
        <v>0</v>
      </c>
      <c r="GB114" s="290">
        <f>GA114*(VLOOKUP($FY$9,各项系数!$D$1:$F$143,2,0))</f>
        <v>0</v>
      </c>
      <c r="GC114" s="309">
        <f>IF($BK114&lt;&gt;$GC$9,0,各项系数!$F$76/4*($MS114^2-$MQ114^2)*10^-2*(VLOOKUP($GC$9,各项系数!$D$1:$F$143,3,0))*10^-3*10^2)*各项系数!$J$4</f>
        <v>2.2514471953063601E-2</v>
      </c>
      <c r="GD114" s="310">
        <v>1</v>
      </c>
      <c r="GE114" s="311">
        <f t="shared" si="451"/>
        <v>2.2514471953063601E-2</v>
      </c>
      <c r="GF114" s="290">
        <f>GE114*(VLOOKUP($GC$9,各项系数!$D$1:$F$143,2,0))</f>
        <v>0.29043668819452045</v>
      </c>
      <c r="GG114" s="309">
        <f>IF($BK114&lt;&gt;$GG$9,0,各项系数!$F$76/4*($MS114^2-$MQ114^2)*10^-2*(VLOOKUP($GG$9,各项系数!$D$1:$F$143,3,0))*10^-3*10^2)*各项系数!$J$4</f>
        <v>0</v>
      </c>
      <c r="GH114" s="310">
        <v>1</v>
      </c>
      <c r="GI114" s="311">
        <f t="shared" si="452"/>
        <v>0</v>
      </c>
      <c r="GJ114" s="290">
        <f>GI114*(VLOOKUP($GG$9,各项系数!$D$1:$F$143,2,0))</f>
        <v>0</v>
      </c>
      <c r="GK114" s="309">
        <f>IF($BK114&lt;&gt;$GK$9,0,各项系数!$F$76/4*($MS114^2-$MQ114^2)*10^-2*(VLOOKUP($GK$9,各项系数!$D$1:$F$143,3,0))*10^-3*10^2)*各项系数!$J$4</f>
        <v>0</v>
      </c>
      <c r="GL114" s="310">
        <v>1</v>
      </c>
      <c r="GM114" s="311">
        <f t="shared" si="453"/>
        <v>0</v>
      </c>
      <c r="GN114" s="290">
        <f>GM114*(VLOOKUP($GK$9,各项系数!$D$1:$F$143,2,0))</f>
        <v>0</v>
      </c>
      <c r="GO114" s="311">
        <f t="shared" si="454"/>
        <v>2.2514471953063601E-2</v>
      </c>
      <c r="GP114" s="311">
        <f t="shared" si="455"/>
        <v>0.29043668819452045</v>
      </c>
      <c r="GQ114" s="317">
        <f>各项系数!$F$76/4*($MU114^2-$MS114^2)*10^-2*(VLOOKUP($S114,各项系数!$D$1:$F$143,3,0))*10^-3*10^2*各项系数!$J$4</f>
        <v>1.5310586567033087</v>
      </c>
      <c r="GR114" s="310">
        <v>1</v>
      </c>
      <c r="GS114" s="311">
        <f t="shared" si="456"/>
        <v>1.5310586567033087</v>
      </c>
      <c r="GT114" s="311">
        <f t="shared" si="457"/>
        <v>0</v>
      </c>
      <c r="GU114" s="311">
        <f>ROUND($GS114*(VLOOKUP($S114,各项系数!$D$1:$F$143,2,0))+$E$3*GS114,GT114)</f>
        <v>9</v>
      </c>
      <c r="GV114" s="315">
        <f>各项系数!$F$76/4*($MT114^2-$MS114^2)*10^-2*(VLOOKUP($GV$9,各项系数!$D$1:$F$143,3,0))*10^-3*10^2*各项系数!$J$4*PI()/4*R114</f>
        <v>0.11571699199611037</v>
      </c>
      <c r="GW114" s="310">
        <v>1</v>
      </c>
      <c r="GX114" s="311">
        <f t="shared" si="458"/>
        <v>0.11571699199611037</v>
      </c>
      <c r="GY114" s="311">
        <f>$GX114*(VLOOKUP($GV$9,各项系数!$D$1:$F$143,2,0))</f>
        <v>7.81089695973745</v>
      </c>
      <c r="GZ114" s="317">
        <f>各项系数!$F$76/4*($MV114^2-$MS114^2)*10^-2*(VLOOKUP($GZ$9,各项系数!$D$1:$F$143,3,0))*10^-3*10^2*各项系数!$J$4</f>
        <v>1.5319203076009176</v>
      </c>
      <c r="HA114" s="310">
        <v>1</v>
      </c>
      <c r="HB114" s="311">
        <f t="shared" si="412"/>
        <v>1.5319203076009176</v>
      </c>
      <c r="HC114" s="311">
        <f>HB114*(VLOOKUP($GZ$9,各项系数!$D$1:$F$143,2,0))</f>
        <v>26.042645229215598</v>
      </c>
      <c r="HD114" s="317">
        <f>各项系数!$F$76/4*($MW114^2-$MT114^2)*10^-2*(VLOOKUP($HD$9,各项系数!$D$1:$F$143,3,0))*10^-3*10^2*各项系数!$J$4</f>
        <v>1.5347486080687212</v>
      </c>
      <c r="HE114" s="310">
        <v>1</v>
      </c>
      <c r="HF114" s="311">
        <f t="shared" si="413"/>
        <v>1.5347486080687212</v>
      </c>
      <c r="HG114" s="311">
        <f>HF114*(VLOOKUP($HD$9,各项系数!$D$1:$F$143,2,0))</f>
        <v>26.09072633716826</v>
      </c>
      <c r="HH114" s="317">
        <f>各项系数!$F$76/4*($MV114^2-$MS114^2)*10^-2*(VLOOKUP($HH$9,各项系数!$D$1:$F$143,3,0))*10^-3*10^2*各项系数!$J$4</f>
        <v>1.5319203076009176</v>
      </c>
      <c r="HI114" s="311">
        <v>1</v>
      </c>
      <c r="HJ114" s="311">
        <f t="shared" si="414"/>
        <v>1.5319203076009176</v>
      </c>
      <c r="HK114" s="311">
        <f>HJ114*(VLOOKUP($HH$9,各项系数!$D$1:$F$143,2,0))</f>
        <v>26.042645229215598</v>
      </c>
      <c r="HL114" s="317">
        <f>各项系数!$F$76/4*($MW114^2-$MT114^2)*10^-2*(VLOOKUP($HL$9,各项系数!$D$1:$F$143,3,0))*10^-3*10^2*各项系数!$J$4</f>
        <v>1.5347486080687212</v>
      </c>
      <c r="HM114" s="311">
        <v>1</v>
      </c>
      <c r="HN114" s="311">
        <f t="shared" si="362"/>
        <v>1.5347486080687212</v>
      </c>
      <c r="HO114" s="311">
        <f>HN114*(VLOOKUP($HL$9,各项系数!$D$1:$F$143,2,0))</f>
        <v>26.09072633716826</v>
      </c>
      <c r="HP114" s="317">
        <f>各项系数!$F$76/4*($MV114^2-$MS114^2)*10^-2*(VLOOKUP(AN114,各项系数!$D$1:$F$143,3,0))*10^-3*10^2*各项系数!$J$4</f>
        <v>1.5530502428781716</v>
      </c>
      <c r="HQ114" s="310">
        <v>1</v>
      </c>
      <c r="HR114" s="311">
        <f t="shared" si="459"/>
        <v>1.5530502428781716</v>
      </c>
      <c r="HS114" s="311">
        <f>HR114*(VLOOKUP(AN114,各项系数!$D$1:$F$143,2,0))</f>
        <v>15.530502428781716</v>
      </c>
      <c r="HT114" s="317">
        <f>各项系数!$F$76/4*($MW114^2-$MT114^2)*10^-2*(VLOOKUP(AN114,各项系数!$D$1:$F$143,3,0))*10^-3*10^2*各项系数!$J$4</f>
        <v>1.5559175543869104</v>
      </c>
      <c r="HU114" s="310">
        <v>1</v>
      </c>
      <c r="HV114" s="311">
        <f t="shared" si="460"/>
        <v>1.5559175543869104</v>
      </c>
      <c r="HW114" s="311">
        <f>HV114*(VLOOKUP(AN114,各项系数!$D$1:$F$143,2,0))</f>
        <v>15.559175543869104</v>
      </c>
      <c r="HX114" s="317">
        <f>各项系数!$F$76/4*($MV114^2-$MS114^2)*10^-2*(VLOOKUP($HX$9,各项系数!$D$1:$F$143,3,0))*10^-3*10^2*各项系数!$J$4</f>
        <v>1.5530502428781716</v>
      </c>
      <c r="HY114" s="311">
        <v>1</v>
      </c>
      <c r="HZ114" s="311">
        <f t="shared" si="461"/>
        <v>1.5530502428781716</v>
      </c>
      <c r="IA114" s="311">
        <f>HZ114*(VLOOKUP($HX$9,各项系数!$D$1:$F$143,2,0))</f>
        <v>17.083552671659888</v>
      </c>
      <c r="IB114" s="317">
        <f>各项系数!$F$76/4*($MW114^2-$MT114^2)*10^-2*(VLOOKUP($IB$9,各项系数!$D$1:$F$143,3,0))*10^-3*10^2*各项系数!$J$4</f>
        <v>1.5559175543869104</v>
      </c>
      <c r="IC114" s="311">
        <v>1</v>
      </c>
      <c r="ID114" s="311">
        <f t="shared" si="462"/>
        <v>1.5559175543869104</v>
      </c>
      <c r="IE114" s="311">
        <f>ID114*(VLOOKUP($IB$9,各项系数!$D$1:$F$143,2,0))</f>
        <v>17.115093098256015</v>
      </c>
      <c r="IF114" s="309"/>
      <c r="IG114" s="317">
        <f t="shared" si="415"/>
        <v>0.16838479944534543</v>
      </c>
      <c r="IH114" s="310">
        <v>1</v>
      </c>
      <c r="II114" s="311">
        <f t="shared" si="463"/>
        <v>0.16838479944534543</v>
      </c>
      <c r="IJ114" s="311">
        <f>II114*(VLOOKUP($IG$8,各项系数!$D$1:$F$143,2,0))</f>
        <v>4.2096199861336361</v>
      </c>
      <c r="IK114" s="317">
        <f>(各项系数!$F$76/4*($MX114^2-$MK114^2)*$EG114)*10^-2*(VLOOKUP($IG$8,各项系数!$D$1:$F$143,3,0))*10^-3*10^2*各项系数!$J$4</f>
        <v>0.1369312580507743</v>
      </c>
      <c r="IL114" s="310">
        <f>IK114*(VLOOKUP($IG$8,各项系数!$D$1:$F$143,2,0))</f>
        <v>3.4232814512693577</v>
      </c>
      <c r="IM114" s="311">
        <f>(各项系数!$F$76/4*(($MM114+3*$X114)^2-MM114^2)*$EO114)*10^-2*(VLOOKUP($IG$8,各项系数!$D$1:$F$143,3,0))*10^-3*10^2*各项系数!$J$4</f>
        <v>3.145354139457112E-2</v>
      </c>
      <c r="IN114" s="310">
        <f>IM114*(VLOOKUP($IG$8,各项系数!$D$1:$F$143,2,0))</f>
        <v>0.78633853486427796</v>
      </c>
      <c r="IO114" s="317">
        <f>各项系数!$F$76/4*($MZ114^2-$MX114^2)*10^-2*(VLOOKUP(L114,各项系数!$D$1:$F$143,3,0))*10^-3*10^2*$ES114*各项系数!$J$4</f>
        <v>1.1602319539320618</v>
      </c>
      <c r="IP114" s="310">
        <v>1</v>
      </c>
      <c r="IQ114" s="311">
        <f t="shared" si="464"/>
        <v>1.1602319539320618</v>
      </c>
      <c r="IR114" s="290">
        <f>IQ114*(VLOOKUP(L114,各项系数!$D$1:$F$143,2,0))</f>
        <v>11.83436593010703</v>
      </c>
      <c r="IS114" s="317">
        <f>IF($L114&lt;&gt;$IS$9,0,各项系数!$F$76/4*($MZ114^2-$MX114^2)*10^-2*各项系数!$F$12*10^-3*10^2)*$ES114*各项系数!$J$4</f>
        <v>0</v>
      </c>
      <c r="IT114" s="310">
        <v>1</v>
      </c>
      <c r="IU114" s="311">
        <f t="shared" si="465"/>
        <v>0</v>
      </c>
      <c r="IV114" s="290">
        <f>IU114*各项系数!$E$12</f>
        <v>0</v>
      </c>
      <c r="IW114" s="309">
        <f t="shared" si="466"/>
        <v>1.1602319539320618</v>
      </c>
      <c r="IX114" s="309">
        <f t="shared" si="467"/>
        <v>11.83436593010703</v>
      </c>
      <c r="IY114" s="339">
        <f>各项系数!$F$76/4*($NB114^2-$MZ114^2*$EG114-$NA114^2*$EO114)*10^-2</f>
        <v>17.288366026172934</v>
      </c>
      <c r="IZ114" s="284">
        <f t="shared" si="487"/>
        <v>1</v>
      </c>
      <c r="JA114" s="285">
        <f t="shared" si="363"/>
        <v>17.288366026172934</v>
      </c>
      <c r="JB114" s="289">
        <f>IF($DE114&lt;&gt;$JB$9,0,$JA114*各项系数!$F$32*10^-3*10^2)*各项系数!$J$4</f>
        <v>0</v>
      </c>
      <c r="JC114" s="106">
        <v>1</v>
      </c>
      <c r="JD114" s="78">
        <f t="shared" si="468"/>
        <v>0</v>
      </c>
      <c r="JE114" s="264">
        <f>JD114*各项系数!$E$32</f>
        <v>0</v>
      </c>
      <c r="JF114" s="282">
        <f>IF($DE114&lt;&gt;$JF$9,0,$JA114*VLOOKUP($JF$9,各项系数!$D$4:$F$540,2,0)*10^-3*10^2)*各项系数!$J$4</f>
        <v>8.600962098021034</v>
      </c>
      <c r="JG114" s="102">
        <v>1</v>
      </c>
      <c r="JH114" s="189">
        <f t="shared" si="364"/>
        <v>8.600962098021034</v>
      </c>
      <c r="JI114" s="262">
        <f>JH114*VLOOKUP($JF$9,各项系数!$D$4:$F$540,3,0)</f>
        <v>10.32115451762524</v>
      </c>
      <c r="JJ114" s="289">
        <f t="shared" si="469"/>
        <v>8.600962098021034</v>
      </c>
      <c r="JK114" s="78">
        <f t="shared" si="470"/>
        <v>10.32115451762524</v>
      </c>
      <c r="JL114" s="289">
        <f>IF($DF114&lt;&gt;$JL$9,0,各项系数!$F$76/4*($NE114^2-$NC114^2)*10^-2*各项系数!$F$39*10^-3*10^2)*各项系数!$J$4</f>
        <v>9.5521961930126794E-3</v>
      </c>
      <c r="JM114" s="106">
        <v>1</v>
      </c>
      <c r="JN114" s="78">
        <f t="shared" si="471"/>
        <v>9.5521961930126794E-3</v>
      </c>
      <c r="JO114" s="264">
        <f>JN114*各项系数!$E$39</f>
        <v>0.19104392386025359</v>
      </c>
      <c r="JP114" s="289">
        <f>IF($DF114&lt;&gt;$JP$9,0,各项系数!$F$76/4*($NE114^2-$NC114^2)*10^-2*各项系数!$F$36*10^-3*10^2)*各项系数!$J$4</f>
        <v>0</v>
      </c>
      <c r="JQ114" s="106">
        <v>1</v>
      </c>
      <c r="JR114" s="78">
        <f t="shared" si="472"/>
        <v>0</v>
      </c>
      <c r="JS114" s="264">
        <f>JR114*各项系数!$E$36</f>
        <v>0</v>
      </c>
      <c r="JT114" s="289">
        <f>IF($DF114&lt;&gt;$JT$9,0,各项系数!$F$76/4*($NE114^2-$NC114^2)*10^-2*各项系数!$F$40*10^-3*10^2)*各项系数!$J$4</f>
        <v>0</v>
      </c>
      <c r="JU114" s="106">
        <v>1</v>
      </c>
      <c r="JV114" s="78">
        <f t="shared" si="473"/>
        <v>0</v>
      </c>
      <c r="JW114" s="264">
        <f>JV114*各项系数!$E$40</f>
        <v>0</v>
      </c>
      <c r="JX114" s="289">
        <f>IF($DF114&lt;&gt;$JX$9,0,各项系数!$F$76/4*($NE114^2-$NC114^2)*10^-2*各项系数!$F$38*10^-3*10^2)*各项系数!$J$4</f>
        <v>0</v>
      </c>
      <c r="JY114" s="106">
        <v>1</v>
      </c>
      <c r="JZ114" s="78">
        <f t="shared" si="474"/>
        <v>0</v>
      </c>
      <c r="KA114" s="264">
        <f>JZ114*各项系数!$E$38</f>
        <v>0</v>
      </c>
      <c r="KB114" s="289">
        <f>IF($DF114&lt;&gt;$KB$9,0,各项系数!$F$76/4*($NE114^2-$NC114^2)*10^-2*各项系数!$F$41*10^-3*10^2)*各项系数!$J$4</f>
        <v>0</v>
      </c>
      <c r="KC114" s="106">
        <v>1</v>
      </c>
      <c r="KD114" s="78">
        <f t="shared" si="475"/>
        <v>0</v>
      </c>
      <c r="KE114" s="264">
        <f>KD114*各项系数!$E$41</f>
        <v>0</v>
      </c>
      <c r="KF114" s="78">
        <f t="shared" si="476"/>
        <v>9.5521961930126794E-3</v>
      </c>
      <c r="KG114" s="78">
        <f t="shared" si="477"/>
        <v>0.19104392386025359</v>
      </c>
      <c r="KH114" s="237">
        <f>各项系数!$F$76/4*($NG114^2-$NE114^2)*10^-2*各项系数!$F$44*10^-3*10^2*各项系数!$J$4*0.75*$U114</f>
        <v>2.3582429190574525</v>
      </c>
      <c r="KI114" s="106">
        <v>1</v>
      </c>
      <c r="KJ114" s="78">
        <f t="shared" si="478"/>
        <v>2.3582429190574525</v>
      </c>
      <c r="KK114" s="78">
        <f>ROUND(KJ114*各项系数!$E$43,GT114)</f>
        <v>14</v>
      </c>
      <c r="KL114" s="235">
        <f>各项系数!$F$76/4*($NF114^2-$NE114^2)*10^-2*各项系数!$F$46*10^-3*10^2*各项系数!$J$4*PI()/4*R114</f>
        <v>0.11884869218153503</v>
      </c>
      <c r="KM114" s="106">
        <v>1</v>
      </c>
      <c r="KN114" s="78">
        <f t="shared" si="479"/>
        <v>0.11884869218153503</v>
      </c>
      <c r="KO114" s="78">
        <f>KN114*各项系数!$E$46</f>
        <v>8.0222867222536145</v>
      </c>
      <c r="KP114" s="237">
        <f>各项系数!$F$76/4*($NH114^2-$NE114^2)*10^-2*(VLOOKUP($KP$9,各项系数!$D$1:$F$143,3,0))*10^-3*10^2*各项系数!$J$4</f>
        <v>1.5715518679060108</v>
      </c>
      <c r="KQ114" s="106">
        <v>1</v>
      </c>
      <c r="KR114" s="78">
        <f t="shared" si="416"/>
        <v>1.5715518679060108</v>
      </c>
      <c r="KS114" s="78">
        <f>KR114*(VLOOKUP($KP$9,各项系数!$D$1:$F$143,2,0))</f>
        <v>26.716381754402182</v>
      </c>
      <c r="KT114" s="237">
        <f>各项系数!$F$76/4*($NI114^2-$NF114^2)*10^-2*(VLOOKUP($KT$9,各项系数!$D$1:$F$143,3,0))*10^-3*10^2*各项系数!$J$4</f>
        <v>1.5743801683738143</v>
      </c>
      <c r="KU114" s="106">
        <v>1</v>
      </c>
      <c r="KV114" s="78">
        <f t="shared" si="417"/>
        <v>1.5743801683738143</v>
      </c>
      <c r="KW114" s="78">
        <f>KV114*(VLOOKUP($KT$9,各项系数!$D$1:$F$143,2,0))</f>
        <v>26.764462862354844</v>
      </c>
      <c r="KX114" s="78">
        <f>各项系数!$F$76/4*($NH114^2-$NE114^2)*10^-2*(VLOOKUP($KX$9,各项系数!$D$1:$F$143,3,0))*10^-3*10^2*各项系数!$J$4</f>
        <v>1.5715518679060108</v>
      </c>
      <c r="KY114" s="355">
        <v>1</v>
      </c>
      <c r="KZ114" s="78">
        <f t="shared" si="418"/>
        <v>1.5715518679060108</v>
      </c>
      <c r="LA114" s="78">
        <f>KZ114*(VLOOKUP($KX$9,各项系数!$D$1:$F$143,2,0))</f>
        <v>26.716381754402182</v>
      </c>
      <c r="LB114" s="78">
        <f>各项系数!$F$76/4*($NI114^2-$NF114^2)*10^-2*(VLOOKUP($LB$9,各项系数!$D$1:$F$143,3,0))*10^-3*10^2*各项系数!$J$4</f>
        <v>1.5743801683738143</v>
      </c>
      <c r="LC114" s="355">
        <v>1</v>
      </c>
      <c r="LD114" s="78">
        <f t="shared" si="419"/>
        <v>1.5743801683738143</v>
      </c>
      <c r="LE114" s="78">
        <f>LD114*(VLOOKUP($LB$9,各项系数!$D$1:$F$143,2,0))</f>
        <v>26.764462862354844</v>
      </c>
      <c r="LF114" s="237">
        <f>各项系数!$F$76/4*($NH114^2-$NE114^2)*10^-2*(VLOOKUP(AN114,各项系数!$D$1:$F$143,3,0))*10^-3*10^2*各项系数!$J$4</f>
        <v>1.5932284453943697</v>
      </c>
      <c r="LG114" s="106">
        <v>1</v>
      </c>
      <c r="LH114" s="78">
        <f t="shared" si="480"/>
        <v>1.5932284453943697</v>
      </c>
      <c r="LI114" s="78">
        <f>LH114*(VLOOKUP(AN114,各项系数!$D$1:$F$143,2,0))</f>
        <v>15.932284453943698</v>
      </c>
      <c r="LJ114" s="237">
        <f>各项系数!$F$76/4*($NI114^2-$NF114^2)*10^-2*(VLOOKUP(AN114,各项系数!$D$1:$F$143,3,0))*10^-3*10^2*各项系数!$J$4</f>
        <v>1.5960957569031082</v>
      </c>
      <c r="LK114" s="106">
        <v>1</v>
      </c>
      <c r="LL114" s="78">
        <f t="shared" si="481"/>
        <v>1.5960957569031082</v>
      </c>
      <c r="LM114" s="78">
        <f>LL114*(VLOOKUP(AN114,各项系数!$D$1:$F$143,2,0))</f>
        <v>15.960957569031082</v>
      </c>
      <c r="LN114" s="78">
        <f>各项系数!$F$76/4*($NH114^2-$NE114^2)*10^-2*(VLOOKUP($LN$9,各项系数!$D$1:$F$143,3,0))*10^-3*10^2*各项系数!$J$4</f>
        <v>1.5932284453943697</v>
      </c>
      <c r="LO114" s="355">
        <v>1</v>
      </c>
      <c r="LP114" s="78">
        <f t="shared" si="482"/>
        <v>1.5932284453943697</v>
      </c>
      <c r="LQ114" s="78">
        <f>LP114*(VLOOKUP($LN$9,各项系数!$D$1:$F$143,2,0))</f>
        <v>17.525512899338068</v>
      </c>
      <c r="LR114" s="78">
        <f>各项系数!$F$76/4*($NI114^2-$NF114^2)*10^-2*(VLOOKUP($LR$9,各项系数!$D$1:$F$143,3,0))*10^-3*10^2*各项系数!$J$4</f>
        <v>1.5960957569031082</v>
      </c>
      <c r="LS114" s="355">
        <v>1</v>
      </c>
      <c r="LT114" s="78">
        <f t="shared" si="483"/>
        <v>1.5960957569031082</v>
      </c>
      <c r="LU114" s="78">
        <f>LT114*(VLOOKUP($LR$9,各项系数!$D$1:$F$143,2,0))</f>
        <v>17.557053325934191</v>
      </c>
      <c r="LV114" s="367">
        <f t="shared" si="420"/>
        <v>2435.2025486399998</v>
      </c>
      <c r="LW114" s="367">
        <f t="shared" si="421"/>
        <v>1833.91796873</v>
      </c>
      <c r="LX114" s="367">
        <f t="shared" si="422"/>
        <v>48.322012371044934</v>
      </c>
      <c r="LY114" s="367">
        <f t="shared" si="423"/>
        <v>601.28457990999982</v>
      </c>
      <c r="LZ114" s="374">
        <f t="shared" si="365"/>
        <v>1</v>
      </c>
      <c r="MA114" s="375">
        <f t="shared" si="366"/>
        <v>2435.2025486399998</v>
      </c>
      <c r="MB114" s="367">
        <f t="shared" si="424"/>
        <v>32.148593460000001</v>
      </c>
      <c r="MC114" s="367">
        <f t="shared" si="425"/>
        <v>382.23090564</v>
      </c>
      <c r="MD114" s="367">
        <f t="shared" si="426"/>
        <v>287.85290335000002</v>
      </c>
      <c r="ME114" s="367">
        <f t="shared" si="427"/>
        <v>19.144338578599388</v>
      </c>
      <c r="MF114" s="367">
        <f t="shared" si="428"/>
        <v>94.378002289999984</v>
      </c>
      <c r="MG114" s="379">
        <f t="shared" si="429"/>
        <v>1</v>
      </c>
      <c r="MH114" s="375">
        <f t="shared" si="367"/>
        <v>382.23090564</v>
      </c>
      <c r="MI114" s="367">
        <f t="shared" si="430"/>
        <v>22.060632454233549</v>
      </c>
      <c r="MJ114" s="78">
        <f t="shared" si="368"/>
        <v>32.148593460000001</v>
      </c>
      <c r="MK114" s="78">
        <f t="shared" si="431"/>
        <v>32.148593460000001</v>
      </c>
      <c r="ML114" s="78">
        <f t="shared" si="484"/>
        <v>22.06063245416976</v>
      </c>
      <c r="MM114" s="78">
        <f t="shared" si="369"/>
        <v>22.060632454233549</v>
      </c>
      <c r="MN114" s="78">
        <f t="shared" si="370"/>
        <v>36.948593459999998</v>
      </c>
      <c r="MO114" s="189">
        <f t="shared" si="432"/>
        <v>25.66063245423355</v>
      </c>
      <c r="MP114" s="78">
        <f t="shared" si="433"/>
        <v>82.58637976</v>
      </c>
      <c r="MQ114" s="78">
        <f t="shared" si="485"/>
        <v>82.58637976</v>
      </c>
      <c r="MR114" s="246">
        <f t="shared" si="434"/>
        <v>82.58637976</v>
      </c>
      <c r="MS114" s="380">
        <f t="shared" si="371"/>
        <v>82.762379760000002</v>
      </c>
      <c r="MT114" s="382">
        <f t="shared" si="372"/>
        <v>82.922379759999998</v>
      </c>
      <c r="MU114" s="382">
        <f t="shared" si="373"/>
        <v>84.262379760000002</v>
      </c>
      <c r="MV114" s="382">
        <f t="shared" si="374"/>
        <v>90.562379759999999</v>
      </c>
      <c r="MW114" s="382">
        <f t="shared" si="375"/>
        <v>90.722379759999995</v>
      </c>
      <c r="MX114" s="246">
        <f t="shared" si="376"/>
        <v>32.748593460000002</v>
      </c>
      <c r="MY114" s="246">
        <f t="shared" si="377"/>
        <v>22.66063245423355</v>
      </c>
      <c r="MZ114" s="78">
        <f t="shared" si="378"/>
        <v>37.548593459999999</v>
      </c>
      <c r="NA114" s="78">
        <f t="shared" si="379"/>
        <v>27.460632454233551</v>
      </c>
      <c r="NB114" s="78">
        <f t="shared" si="435"/>
        <v>84.764379759999997</v>
      </c>
      <c r="NC114" s="246">
        <f t="shared" si="486"/>
        <v>84.764379759999997</v>
      </c>
      <c r="ND114" s="246">
        <f t="shared" si="436"/>
        <v>84.764379759999997</v>
      </c>
      <c r="NE114" s="386">
        <f t="shared" si="437"/>
        <v>85.004379759999992</v>
      </c>
      <c r="NF114" s="382">
        <f t="shared" si="380"/>
        <v>85.164379759999989</v>
      </c>
      <c r="NG114" s="150">
        <f t="shared" si="381"/>
        <v>86.504379759999992</v>
      </c>
      <c r="NH114" s="246">
        <f t="shared" si="382"/>
        <v>92.804379759999989</v>
      </c>
      <c r="NI114" s="382">
        <f t="shared" si="383"/>
        <v>92.964379759999986</v>
      </c>
      <c r="NK114" s="390">
        <f t="shared" si="384"/>
        <v>23.969900455776454</v>
      </c>
      <c r="NL114" s="390">
        <f t="shared" si="385"/>
        <v>1297.9022779673655</v>
      </c>
      <c r="NM114" s="390">
        <f t="shared" si="386"/>
        <v>23.969900455776454</v>
      </c>
      <c r="NN114" s="390">
        <f t="shared" si="387"/>
        <v>1299.4553282102436</v>
      </c>
      <c r="NO114" s="390">
        <f t="shared" si="388"/>
        <v>30.869628156400204</v>
      </c>
      <c r="NP114" s="390">
        <f t="shared" si="389"/>
        <v>1307.8056978388317</v>
      </c>
      <c r="NQ114" s="390">
        <f t="shared" si="390"/>
        <v>30.869628156400204</v>
      </c>
      <c r="NR114" s="390">
        <f t="shared" si="391"/>
        <v>1309.398926284226</v>
      </c>
      <c r="NS114" s="390">
        <f t="shared" si="392"/>
        <v>24.085617447772563</v>
      </c>
      <c r="NT114" s="390">
        <f t="shared" si="393"/>
        <v>24.085617447772563</v>
      </c>
      <c r="NU114" s="390">
        <f t="shared" si="394"/>
        <v>30.988476848581737</v>
      </c>
      <c r="NV114" s="390">
        <f t="shared" si="395"/>
        <v>30.988476848581737</v>
      </c>
      <c r="NW114" s="9">
        <f t="shared" si="396"/>
        <v>25.500959112479762</v>
      </c>
      <c r="NX114" s="9">
        <f>各项系数!$M$9*NK114</f>
        <v>7.1909701367329362</v>
      </c>
      <c r="NY114" s="9">
        <f t="shared" si="397"/>
        <v>24.085617447772563</v>
      </c>
    </row>
    <row r="115" spans="1:389" s="9" customFormat="1" ht="15" hidden="1" customHeight="1">
      <c r="A115" s="65"/>
      <c r="B115" s="66"/>
      <c r="C115" s="67"/>
      <c r="D115" s="198" t="s">
        <v>933</v>
      </c>
      <c r="E115" s="399">
        <f t="shared" si="503"/>
        <v>101.35566304000001</v>
      </c>
      <c r="F115" s="68">
        <f>$F$35</f>
        <v>404.21883750578098</v>
      </c>
      <c r="G115" s="58"/>
      <c r="H115" s="16"/>
      <c r="I115" s="145">
        <f>$F$32</f>
        <v>277.18119106381198</v>
      </c>
      <c r="J115" s="62"/>
      <c r="K115" s="16"/>
      <c r="L115" s="107" t="s">
        <v>467</v>
      </c>
      <c r="M115" s="98">
        <f t="shared" si="339"/>
        <v>2.6</v>
      </c>
      <c r="N115" s="98">
        <f t="shared" si="501"/>
        <v>2</v>
      </c>
      <c r="O115" s="58">
        <f t="shared" si="502"/>
        <v>0.08</v>
      </c>
      <c r="P115" s="99">
        <v>0.1</v>
      </c>
      <c r="Q115" s="136">
        <f t="shared" si="512"/>
        <v>0.1</v>
      </c>
      <c r="R115" s="151">
        <v>0.8</v>
      </c>
      <c r="S115" s="144" t="str">
        <f>各项系数!$D$43</f>
        <v>钢带</v>
      </c>
      <c r="T115" s="62">
        <v>0.5</v>
      </c>
      <c r="U115" s="62">
        <v>2</v>
      </c>
      <c r="V115" s="143"/>
      <c r="W115" s="145">
        <v>4.0999999999999996</v>
      </c>
      <c r="X115" s="139">
        <f t="shared" si="513"/>
        <v>0.2</v>
      </c>
      <c r="Y115" s="139"/>
      <c r="Z115" s="169"/>
      <c r="AA115" s="170">
        <f>$AA$35</f>
        <v>1.03</v>
      </c>
      <c r="AB115" s="153">
        <f>PI()*EJ115*EJ115/4*EH115*(1-H115)*AA115*各项系数!$F$5*各项系数!$J$4*10^-7</f>
        <v>7.1320582293852581</v>
      </c>
      <c r="AC115" s="170">
        <f t="shared" si="504"/>
        <v>404.21883750578098</v>
      </c>
      <c r="AD115" s="153">
        <f t="shared" si="341"/>
        <v>806.28770730878864</v>
      </c>
      <c r="AE115" s="153">
        <f>POWER(4*EU115/PI()/EG115/10^-7/EH115/(1-H115)/各项系数!$F$5/各项系数!$J$4,0.5)</f>
        <v>410.23731504138027</v>
      </c>
      <c r="AF115" s="16">
        <f>$AA$31</f>
        <v>1.02</v>
      </c>
      <c r="AG115" s="16">
        <f>IF(EM115=0,0,PI()*ER115*ER115/4*EP115*(1-K115)*(1+AF115)*各项系数!$F$5*各项系数!$J$4*10^-7)</f>
        <v>6.5769333500561356</v>
      </c>
      <c r="AH115" s="16">
        <f t="shared" si="505"/>
        <v>277.18119106381198</v>
      </c>
      <c r="AI115" s="69">
        <f t="shared" si="398"/>
        <v>375.44593055473609</v>
      </c>
      <c r="AJ115" s="69">
        <f>IF(OR(EP115="",EP115=0),0,POWER(4*EW115/PI()/EO115/10^-7/EP115/(1-K115)/各项系数!$F$5/各项系数!$J$4,0.5))</f>
        <v>279.93928079700521</v>
      </c>
      <c r="AK115" s="16">
        <f t="shared" si="342"/>
        <v>24.717200439174217</v>
      </c>
      <c r="AL115" s="16">
        <f t="shared" si="506"/>
        <v>1708.4756329826298</v>
      </c>
      <c r="AM115" s="106">
        <f t="shared" si="507"/>
        <v>800</v>
      </c>
      <c r="AN115" s="107" t="s">
        <v>486</v>
      </c>
      <c r="AO115" s="146">
        <f>AP115+各项系数!$M$9*$NK115</f>
        <v>1674.9761107672841</v>
      </c>
      <c r="AP115" s="146">
        <f>AQ115*(1+$BI115+(VLOOKUP($AM115,$A$12:$B$323,2,0))+各项系数!$J$6+各项系数!$M$5)*(1+$E$2)</f>
        <v>1665.8415650557079</v>
      </c>
      <c r="AQ115" s="199">
        <f>AR115+各项系数!$L$9*$NK115</f>
        <v>1699.8383316894979</v>
      </c>
      <c r="AR115" s="199">
        <f>AS115*(1+$BJ115+各项系数!$J$5+各项系数!$L$5)</f>
        <v>1690.7037859779216</v>
      </c>
      <c r="AS115" s="199">
        <f t="shared" si="399"/>
        <v>1657.5527313509035</v>
      </c>
      <c r="AT115" s="146">
        <f>AU115+各项系数!$M$9*$NM115</f>
        <v>1687.3732373986256</v>
      </c>
      <c r="AU115" s="146">
        <f>AV115*(1+$BI115+(VLOOKUP($AM115,$A$12:$B$323,2,0))+各项系数!$J$6+各项系数!$M$5)*(1+$E$2)</f>
        <v>1678.2386916870494</v>
      </c>
      <c r="AV115" s="199">
        <f>AW115+各项系数!$L$9*$NM115</f>
        <v>1712.4884609051524</v>
      </c>
      <c r="AW115" s="199">
        <f>AX115*(1+$BJ115+各项系数!$J$5+各项系数!$L$5)</f>
        <v>1703.3539151935761</v>
      </c>
      <c r="AX115" s="199">
        <f t="shared" si="400"/>
        <v>1669.9548188172314</v>
      </c>
      <c r="AY115" s="146">
        <f>AZ115+各项系数!$M$9*$NS115</f>
        <v>1683.8709259214313</v>
      </c>
      <c r="AZ115" s="146">
        <f>BA115*(1+$BI115+(VLOOKUP($AM115,$A$12:$B$214,2,0))+各项系数!$J$6+各项系数!$M$5)*(1+$E$2)</f>
        <v>1674.6973098071035</v>
      </c>
      <c r="BA115" s="199">
        <f>BB115+各项系数!$L$9*$NS115</f>
        <v>1708.8748059256159</v>
      </c>
      <c r="BB115" s="199">
        <f>BC115*(1+$BJ115+各项系数!$J$5+各项系数!$L$5)</f>
        <v>1699.701189811288</v>
      </c>
      <c r="BC115" s="199">
        <f t="shared" si="401"/>
        <v>1666.3737155012627</v>
      </c>
      <c r="BD115" s="146">
        <f>BE115+各项系数!$M$9*$NS115</f>
        <v>1696.2884476660136</v>
      </c>
      <c r="BE115" s="146">
        <f>BF115*(1+$BI115+(VLOOKUP($AM115,$A$12:$B$214,2,0))+各项系数!$J$6+各项系数!$M$5)*(1+$E$2)</f>
        <v>1687.1148315516857</v>
      </c>
      <c r="BF115" s="199">
        <f>BG115+各项系数!$L$9*$NS115</f>
        <v>1721.5457464813119</v>
      </c>
      <c r="BG115" s="199">
        <f>BH115*(1+$BJ115+各项系数!$J$5+各项系数!$L$5)</f>
        <v>1712.372130366984</v>
      </c>
      <c r="BH115" s="199">
        <f t="shared" si="402"/>
        <v>1678.7962062421411</v>
      </c>
      <c r="BI115" s="214"/>
      <c r="BJ115" s="215"/>
      <c r="BK115" s="78" t="s">
        <v>514</v>
      </c>
      <c r="BL115" s="146">
        <f>BM115+各项系数!$M$9*$NM115</f>
        <v>1693.0696190541323</v>
      </c>
      <c r="BM115" s="146">
        <f>BN115*(1+$CF115+(VLOOKUP($AM115,$A$12:$B$323,2,0))+各项系数!$J$6+各项系数!$M$5)*(1+$E$2)</f>
        <v>1683.9350733425561</v>
      </c>
      <c r="BN115" s="199">
        <f>BO115+各项系数!$L$9*$NM115</f>
        <v>1718.3010952475063</v>
      </c>
      <c r="BO115" s="199">
        <f>BP115*(1+$CG115+各项系数!$J$5+各项系数!$L$5)</f>
        <v>1709.16654953593</v>
      </c>
      <c r="BP115" s="199">
        <f t="shared" si="403"/>
        <v>1659.3849995494465</v>
      </c>
      <c r="BQ115" s="146">
        <f>BR115+各项系数!$M$9*$NM115</f>
        <v>1703.7387946230344</v>
      </c>
      <c r="BR115" s="146">
        <f>BS115*(1+$CF115+(VLOOKUP($AM115,$A$12:$B$323,2,0))+各项系数!$J$6+各项系数!$M$5)*(1+$E$2)</f>
        <v>1694.6042489114582</v>
      </c>
      <c r="BS115" s="199">
        <f>BT115+各项系数!$L$9*$NM115</f>
        <v>1729.1880090933246</v>
      </c>
      <c r="BT115" s="199">
        <f>BU115*(1+$CG115+各项系数!$J$5+各项系数!$L$5)</f>
        <v>1720.0534633817483</v>
      </c>
      <c r="BU115" s="199">
        <f t="shared" si="404"/>
        <v>1669.9548188172314</v>
      </c>
      <c r="BV115" s="146">
        <f>BW115+各项系数!$M$9*$NT115</f>
        <v>1693.0718768840475</v>
      </c>
      <c r="BW115" s="146">
        <f>BX115*(1+$CF115+(VLOOKUP($AM115,$A$12:$B$214,2,0))+各项系数!$J$6+各项系数!$M$5)*(1+$E$2)</f>
        <v>1683.8982607697196</v>
      </c>
      <c r="BX115" s="199">
        <f>BY115+各项系数!$L$9*$NT$12</f>
        <v>1718.2635313976732</v>
      </c>
      <c r="BY115" s="199">
        <f>BZ115*(1+$CG115+各项系数!$J$5+各项系数!$L$5)</f>
        <v>1718.2552679945181</v>
      </c>
      <c r="BZ115" s="199">
        <f t="shared" si="343"/>
        <v>1668.2089980529302</v>
      </c>
      <c r="CA115" s="146">
        <f>CB115+各项系数!$M$9*$NT115</f>
        <v>1703.7586048302371</v>
      </c>
      <c r="CB115" s="146">
        <f>CC115*(1+$CF115+(VLOOKUP($AM115,$A$12:$B$214,2,0))+各项系数!$J$6+各项系数!$M$5)*(1+$E$2)</f>
        <v>1694.5849887159093</v>
      </c>
      <c r="CC115" s="199">
        <f>CD115+各项系数!$L$9*$NT$12</f>
        <v>1729.1683558325606</v>
      </c>
      <c r="CD115" s="199">
        <f>CE115*(1+$CG115+各项系数!$J$5+各项系数!$L$5)</f>
        <v>1729.1600924294055</v>
      </c>
      <c r="CE115" s="199">
        <f t="shared" si="405"/>
        <v>1678.7962062421411</v>
      </c>
      <c r="CF115" s="214">
        <f t="shared" si="406"/>
        <v>0</v>
      </c>
      <c r="CG115" s="214">
        <f t="shared" si="344"/>
        <v>0.01</v>
      </c>
      <c r="CH115" s="106"/>
      <c r="CI115" s="146">
        <f>CJ115+各项系数!$M$9*$NO115</f>
        <v>1701.8066448825568</v>
      </c>
      <c r="CJ115" s="146">
        <f>CK115*(1+$DC115+(VLOOKUP($AM115,$A$12:$B$323,2,0))+各项系数!$J$6+各项系数!$M$5)*(1+$E$2)+各项系数!$M$9*$NK115</f>
        <v>1690.0838921453067</v>
      </c>
      <c r="CK115" s="199">
        <f>CL115+各项系数!$L$9*$NO115</f>
        <v>1715.2544351364595</v>
      </c>
      <c r="CL115" s="199">
        <f>CM115*(1+$DD115+各项系数!$J$5+各项系数!$L$5)</f>
        <v>1703.5316823992093</v>
      </c>
      <c r="CM115" s="199">
        <f t="shared" si="345"/>
        <v>1670.1291003913816</v>
      </c>
      <c r="CN115" s="146">
        <f>CO115+各项系数!$M$9*$NO115</f>
        <v>1713.7815542368103</v>
      </c>
      <c r="CO115" s="146">
        <f>CP115*(1+$DC115+(VLOOKUP($AM115,$A$12:$B$323,2,0))+各项系数!$J$6+各项系数!$M$5)*(1+$E$2)+各项系数!$M$9*$NK115</f>
        <v>1702.0588014995601</v>
      </c>
      <c r="CP115" s="199">
        <f>CQ115+各项系数!$L$9*$NO115</f>
        <v>1727.4737303959018</v>
      </c>
      <c r="CQ115" s="199">
        <f>CR115*(1+$DD115+各项系数!$J$5+各项系数!$L$5)</f>
        <v>1715.7509776586517</v>
      </c>
      <c r="CR115" s="199">
        <f t="shared" si="346"/>
        <v>1682.108801626129</v>
      </c>
      <c r="CS115" s="146">
        <f>CT115+各项系数!$M$9*$NU115</f>
        <v>1701.7800797616494</v>
      </c>
      <c r="CT115" s="146">
        <f t="shared" si="347"/>
        <v>1690.0173171115919</v>
      </c>
      <c r="CU115" s="199">
        <f>CV115+各项系数!$L$9*$NU115</f>
        <v>1724.5074664403999</v>
      </c>
      <c r="CV115" s="199">
        <f>CW115*(1+$DD115+各项系数!$J$5+各项系数!$L$5)</f>
        <v>1712.7447037903423</v>
      </c>
      <c r="CW115" s="199">
        <f t="shared" si="348"/>
        <v>1679.1614743042571</v>
      </c>
      <c r="CX115" s="146">
        <f>CY115+各项系数!$M$9*$NU115</f>
        <v>1714.4833880305189</v>
      </c>
      <c r="CY115" s="146">
        <f t="shared" si="349"/>
        <v>1702.7206253804613</v>
      </c>
      <c r="CZ115" s="199">
        <f>DA115+各项系数!$L$9*$NU115</f>
        <v>1737.4700258984299</v>
      </c>
      <c r="DA115" s="199">
        <f>DB115*(1+$DD115+各项系数!$J$5+各项系数!$L$5)</f>
        <v>1725.7072632483723</v>
      </c>
      <c r="DB115" s="199">
        <f t="shared" si="350"/>
        <v>1691.8698659297768</v>
      </c>
      <c r="DC115" s="214">
        <f t="shared" si="498"/>
        <v>0</v>
      </c>
      <c r="DD115" s="214">
        <f t="shared" si="351"/>
        <v>0</v>
      </c>
      <c r="DE115" s="78" t="s">
        <v>498</v>
      </c>
      <c r="DF115" s="78" t="s">
        <v>513</v>
      </c>
      <c r="DG115" s="146">
        <f>DH115+各项系数!$M$9*$NQ115</f>
        <v>1720.0660372522173</v>
      </c>
      <c r="DH115" s="146">
        <f>DI115*(1+$EA115+(VLOOKUP($AM115,$A$12:$B$323,2,0))+各项系数!$J$6+各项系数!$M$5)*(1+$E$2)+各项系数!$M$9*$NK115</f>
        <v>1708.3432845149671</v>
      </c>
      <c r="DI115" s="199">
        <f>DJ115+各项系数!$L$9*$NQ115</f>
        <v>1733.8864681667253</v>
      </c>
      <c r="DJ115" s="199">
        <f>DK115*(1+$EB115+各项系数!$J$5+各项系数!$L$5)</f>
        <v>1722.1637154294751</v>
      </c>
      <c r="DK115" s="199">
        <f t="shared" si="352"/>
        <v>1672.0036072130827</v>
      </c>
      <c r="DL115" s="146">
        <f>DM115+各项系数!$M$9*$NQ115</f>
        <v>1730.9811655078604</v>
      </c>
      <c r="DM115" s="146">
        <f>DN115*(1+$EA115+(VLOOKUP($AM115,$A$12:$B$323,2,0))+各项系数!$J$6+各项系数!$M$5)*(1+$E$2)+各项系数!$M$9*$NK115</f>
        <v>1719.2584127706102</v>
      </c>
      <c r="DN115" s="199">
        <f>DO115+各项系数!$L$9*$NQ115</f>
        <v>1745.0243541418715</v>
      </c>
      <c r="DO115" s="199">
        <f>DP115*(1+$EB115+各项系数!$J$5+各项系数!$L$5)</f>
        <v>1733.3016014046214</v>
      </c>
      <c r="DP115" s="199">
        <f t="shared" si="353"/>
        <v>1682.8170887423507</v>
      </c>
      <c r="DQ115" s="146">
        <f>DR115+各项系数!$M$9*$NV115</f>
        <v>1720.1310320836999</v>
      </c>
      <c r="DR115" s="146">
        <f t="shared" si="354"/>
        <v>1708.3682694336424</v>
      </c>
      <c r="DS115" s="199">
        <f>DT115+各项系数!$L$9*$NV115</f>
        <v>1743.2329279935127</v>
      </c>
      <c r="DT115" s="199">
        <f>DU115*(1+$EB115+各项系数!$J$5+各项系数!$L$5)</f>
        <v>1731.4701653434552</v>
      </c>
      <c r="DU115" s="199">
        <f t="shared" si="355"/>
        <v>1681.0389954790826</v>
      </c>
      <c r="DV115" s="146">
        <f>DW115+各项系数!$M$9*$NV115</f>
        <v>1716.4911847357105</v>
      </c>
      <c r="DW115" s="146">
        <f t="shared" si="356"/>
        <v>1704.7284220856529</v>
      </c>
      <c r="DX115" s="199">
        <f>DY115+各项系数!$L$9*$NV115</f>
        <v>1739.5187980465846</v>
      </c>
      <c r="DY115" s="199">
        <f>DZ115*(1+$EB115+各项系数!$J$5+各项系数!$L$5)</f>
        <v>1727.7560353965271</v>
      </c>
      <c r="DZ115" s="199">
        <f t="shared" si="357"/>
        <v>1677.4330440742981</v>
      </c>
      <c r="EA115" s="214">
        <f t="shared" si="511"/>
        <v>0</v>
      </c>
      <c r="EB115" s="214">
        <f t="shared" si="358"/>
        <v>0.01</v>
      </c>
      <c r="EC115" s="235" t="str">
        <f t="shared" si="408"/>
        <v>3+1</v>
      </c>
      <c r="ED115" s="237" t="str">
        <f t="shared" si="494"/>
        <v>3*800</v>
      </c>
      <c r="EE115" s="78">
        <f t="shared" si="495"/>
        <v>800</v>
      </c>
      <c r="EF115" s="78" t="str">
        <f>LOOKUP(EH115,{1,7,10,14,19,24,30,37,48,61},{1,"1+6","2+8","4+10","1+6+12","2+8+14","4+10+16","1+6+12+18","3+9+15+21","1+6+12+18+24"})</f>
        <v>1+6+12+18+24</v>
      </c>
      <c r="EG115" s="106">
        <f t="shared" si="359"/>
        <v>3</v>
      </c>
      <c r="EH115" s="199">
        <f>VLOOKUP(EE115,各项系数!$B$87:$C$124,2,0)</f>
        <v>61</v>
      </c>
      <c r="EI115" s="106">
        <f>IF(EH115=0,0,VLOOKUP(EH115,各项系数!$D$142:$E$195,2,0))*1</f>
        <v>9</v>
      </c>
      <c r="EJ115" s="240">
        <f t="shared" si="409"/>
        <v>404.21883750578098</v>
      </c>
      <c r="EK115" s="78" t="str">
        <f t="shared" si="508"/>
        <v>1*400</v>
      </c>
      <c r="EL115" s="78" t="str">
        <f t="shared" si="360"/>
        <v>400</v>
      </c>
      <c r="EM115" s="78">
        <f t="shared" si="496"/>
        <v>400</v>
      </c>
      <c r="EN115" s="78" t="str">
        <f>IF(EP115=0,0,LOOKUP(EP115,{1,7,10,14,19,24,30,37,48,61},{1,"1+6","2+8","4+10","1+6+12","2+8+14","4+10+16","1+6+12+18","3+9+15+21","1+6+12+18+24"}))</f>
        <v>1+6+12+18+24</v>
      </c>
      <c r="EO115" s="78" t="str">
        <f t="shared" si="509"/>
        <v>1</v>
      </c>
      <c r="EP115" s="78">
        <f>IF(EM115=0,0,IF(EM115&lt;10,1,IF(AND(EM115&gt;=10,EM115&lt;=35),7,LOOKUP(EM115,{50,70,95,120,150,185,240,300},{10,14,19,24,30,37,48,61})*1)))</f>
        <v>61</v>
      </c>
      <c r="EQ115" s="78">
        <f>IF(EP115=0,0,VLOOKUP(EP115,各项系数!$D$142:$E$195,2,0))*1</f>
        <v>9</v>
      </c>
      <c r="ER115" s="78">
        <f t="shared" si="510"/>
        <v>277.18119106381198</v>
      </c>
      <c r="ES115" s="237">
        <f t="shared" si="497"/>
        <v>4</v>
      </c>
      <c r="ET115" s="78">
        <f>VLOOKUP(ES115,各项系数!$D$142:$E$195,2,0)*1</f>
        <v>2.42</v>
      </c>
      <c r="EU115" s="243">
        <f>((各项系数!$F$76/4*$EJ115^2*$EG115*$EH115*1*10^-7)*(1-$H115)*AA115)*(VLOOKUP($EY$9,各项系数!$D$4:$F$143,3,0))*各项系数!$J$4</f>
        <v>21.396174688155771</v>
      </c>
      <c r="EV115" s="244">
        <f>EU115*(VLOOKUP($EY$9,各项系数!$D$4:$F$143,2,0))</f>
        <v>1401.449442074203</v>
      </c>
      <c r="EW115" s="252">
        <f>(IF($EO115=0,0,(各项系数!$F$76/4*$ER115^2*$EO115*$EP115*1*10^-7))*(1-$K115)*$AF115)*(VLOOKUP($EY$9,各项系数!$D$4:$F$143,3,0))*各项系数!$J$4</f>
        <v>3.3210257510184444</v>
      </c>
      <c r="EX115" s="253">
        <f>EW115*(VLOOKUP($EY$9,各项系数!$D$4:$F$143,2,0))</f>
        <v>217.52718669170812</v>
      </c>
      <c r="EY115" s="189">
        <f>((各项系数!$F$76/4*$EJ115^2*$EG115*$EH115*1*10^-7)*(1-$H115)*AA115+IF($EO115=0,0,(各项系数!$F$76/4*$ER115^2*$EO115*$EP115*1*10^-7))*(1-$K115)*$AF115)*(VLOOKUP($EY$9,各项系数!$D$4:$F$143,3,0))*各项系数!$J$4</f>
        <v>24.717200439174217</v>
      </c>
      <c r="EZ115" s="106">
        <v>1</v>
      </c>
      <c r="FA115" s="78">
        <f t="shared" si="445"/>
        <v>24.717200439174217</v>
      </c>
      <c r="FB115" s="246">
        <f>FA115*(VLOOKUP($EY$9,各项系数!$D$4:$F$143,2,0))</f>
        <v>1618.9766287659113</v>
      </c>
      <c r="FC115" s="257"/>
      <c r="FD115" s="237">
        <f>各项系数!$F$76/4*($MN115^2-MK115^2)*10^-2*(VLOOKUP(L115,各项系数!$D$1:$F$143,3,0))*10^-3*10^2*$EG115*各项系数!$J$4</f>
        <v>1.0454389643994291</v>
      </c>
      <c r="FE115" s="264">
        <f>FD115*VLOOKUP(L115,各项系数!$D$1:$F$143,2,0)</f>
        <v>10.663477436874176</v>
      </c>
      <c r="FF115" s="106">
        <f>各项系数!$F$76/4*($MO115^2-ML115^2)*10^-2*(VLOOKUP(L115,各项系数!$D$1:$F$143,3,0))*10^-3*10^2*$EO115*各项系数!$J$4</f>
        <v>0.18530830807412957</v>
      </c>
      <c r="FG115" s="264">
        <f>FF115*VLOOKUP(L115,各项系数!$D$1:$F$143,2,0)</f>
        <v>1.8901447423561215</v>
      </c>
      <c r="FH115" s="237">
        <f t="shared" si="410"/>
        <v>1.2307472724735586</v>
      </c>
      <c r="FI115" s="106">
        <v>1</v>
      </c>
      <c r="FJ115" s="78">
        <f t="shared" si="446"/>
        <v>1.2307472724735586</v>
      </c>
      <c r="FK115" s="264">
        <f>FJ115*VLOOKUP(L115,各项系数!$D$1:$F$143,2,0)</f>
        <v>12.553622179230297</v>
      </c>
      <c r="FL115" s="237"/>
      <c r="FM115" s="106"/>
      <c r="FN115" s="78"/>
      <c r="FO115" s="264"/>
      <c r="FP115" s="289">
        <f t="shared" si="447"/>
        <v>1.2307472724735586</v>
      </c>
      <c r="FQ115" s="289">
        <f t="shared" si="448"/>
        <v>12.553622179230297</v>
      </c>
      <c r="FR115" s="283">
        <f>各项系数!$F$76/4*($MQ115^2-$MN115^2*$EG115-$MO115^2*$EO115)*10^-2</f>
        <v>20.58305395820059</v>
      </c>
      <c r="FS115" s="284">
        <f t="shared" si="411"/>
        <v>1</v>
      </c>
      <c r="FT115" s="285">
        <f t="shared" si="361"/>
        <v>20.58305395820059</v>
      </c>
      <c r="FU115" s="309">
        <f>$FT115*(VLOOKUP($FT$9,各项系数!$D$1:$F$143,3,0))*10^-3*10^2*各项系数!$J$55</f>
        <v>2.4576166426091501</v>
      </c>
      <c r="FV115" s="310">
        <v>1</v>
      </c>
      <c r="FW115" s="311">
        <f t="shared" si="449"/>
        <v>2.4576166426091501</v>
      </c>
      <c r="FX115" s="290">
        <f>FW115*(VLOOKUP($FT$9,各项系数!$D$1:$F$143,2,0))</f>
        <v>7.3728499278274509</v>
      </c>
      <c r="FY115" s="309">
        <f>IF($BK115&lt;&gt;$FY$9,0,各项系数!$F$76/4*($MS115^2-$MQ115^2)*10^-2*(VLOOKUP($FY$9,各项系数!$D$1:$F$143,3,0))*10^-3*10^2)*各项系数!$J$4</f>
        <v>0</v>
      </c>
      <c r="FZ115" s="310">
        <v>1</v>
      </c>
      <c r="GA115" s="311">
        <f t="shared" si="450"/>
        <v>0</v>
      </c>
      <c r="GB115" s="290">
        <f>GA115*(VLOOKUP($FY$9,各项系数!$D$1:$F$143,2,0))</f>
        <v>0</v>
      </c>
      <c r="GC115" s="309">
        <f>IF($BK115&lt;&gt;$GC$9,0,各项系数!$F$76/4*($MS115^2-$MQ115^2)*10^-2*(VLOOKUP($GC$9,各项系数!$D$1:$F$143,3,0))*10^-3*10^2)*各项系数!$J$4</f>
        <v>2.5344844380254559E-2</v>
      </c>
      <c r="GD115" s="310">
        <v>1</v>
      </c>
      <c r="GE115" s="311">
        <f t="shared" si="451"/>
        <v>2.5344844380254559E-2</v>
      </c>
      <c r="GF115" s="290">
        <f>GE115*(VLOOKUP($GC$9,各项系数!$D$1:$F$143,2,0))</f>
        <v>0.32694849250528379</v>
      </c>
      <c r="GG115" s="309">
        <f>IF($BK115&lt;&gt;$GG$9,0,各项系数!$F$76/4*($MS115^2-$MQ115^2)*10^-2*(VLOOKUP($GG$9,各项系数!$D$1:$F$143,3,0))*10^-3*10^2)*各项系数!$J$4</f>
        <v>0</v>
      </c>
      <c r="GH115" s="310">
        <v>1</v>
      </c>
      <c r="GI115" s="311">
        <f t="shared" si="452"/>
        <v>0</v>
      </c>
      <c r="GJ115" s="290">
        <f>GI115*(VLOOKUP($GG$9,各项系数!$D$1:$F$143,2,0))</f>
        <v>0</v>
      </c>
      <c r="GK115" s="309">
        <f>IF($BK115&lt;&gt;$GK$9,0,各项系数!$F$76/4*($MS115^2-$MQ115^2)*10^-2*(VLOOKUP($GK$9,各项系数!$D$1:$F$143,3,0))*10^-3*10^2)*各项系数!$J$4</f>
        <v>0</v>
      </c>
      <c r="GL115" s="310">
        <v>1</v>
      </c>
      <c r="GM115" s="311">
        <f t="shared" si="453"/>
        <v>0</v>
      </c>
      <c r="GN115" s="290">
        <f>GM115*(VLOOKUP($GK$9,各项系数!$D$1:$F$143,2,0))</f>
        <v>0</v>
      </c>
      <c r="GO115" s="311">
        <f t="shared" si="454"/>
        <v>2.5344844380254559E-2</v>
      </c>
      <c r="GP115" s="311">
        <f t="shared" si="455"/>
        <v>0.32694849250528379</v>
      </c>
      <c r="GQ115" s="317">
        <f>各项系数!$F$76/4*($MU115^2-$MS115^2)*10^-2*(VLOOKUP($S115,各项系数!$D$1:$F$143,3,0))*10^-3*10^2*各项系数!$J$4</f>
        <v>1.7216019795393225</v>
      </c>
      <c r="GR115" s="310">
        <v>1</v>
      </c>
      <c r="GS115" s="311">
        <f t="shared" si="456"/>
        <v>1.7216019795393225</v>
      </c>
      <c r="GT115" s="311">
        <f t="shared" si="457"/>
        <v>0</v>
      </c>
      <c r="GU115" s="311">
        <f>ROUND($GS115*(VLOOKUP($S115,各项系数!$D$1:$F$143,2,0))+$E$3*GS115,GT115)</f>
        <v>10</v>
      </c>
      <c r="GV115" s="315">
        <f>各项系数!$F$76/4*($MT115^2-$MS115^2)*10^-2*(VLOOKUP($GV$9,各项系数!$D$1:$F$143,3,0))*10^-3*10^2*各项系数!$J$4*PI()/4*R115</f>
        <v>0.13023467583871792</v>
      </c>
      <c r="GW115" s="310">
        <v>1</v>
      </c>
      <c r="GX115" s="311">
        <f t="shared" si="458"/>
        <v>0.13023467583871792</v>
      </c>
      <c r="GY115" s="311">
        <f>$GX115*(VLOOKUP($GV$9,各项系数!$D$1:$F$143,2,0))</f>
        <v>8.7908406191134603</v>
      </c>
      <c r="GZ115" s="317">
        <f>各项系数!$F$76/4*($MV115^2-$MS115^2)*10^-2*(VLOOKUP($GZ$9,各项系数!$D$1:$F$143,3,0))*10^-3*10^2*各项系数!$J$4</f>
        <v>1.807339379515106</v>
      </c>
      <c r="HA115" s="310">
        <v>1</v>
      </c>
      <c r="HB115" s="311">
        <f t="shared" si="412"/>
        <v>1.807339379515106</v>
      </c>
      <c r="HC115" s="311">
        <f>HB115*(VLOOKUP($GZ$9,各项系数!$D$1:$F$143,2,0))</f>
        <v>30.724769451756803</v>
      </c>
      <c r="HD115" s="317">
        <f>各项系数!$F$76/4*($MW115^2-$MT115^2)*10^-2*(VLOOKUP($HD$9,各项系数!$D$1:$F$143,3,0))*10^-3*10^2*各项系数!$J$4</f>
        <v>1.8103127210325405</v>
      </c>
      <c r="HE115" s="310">
        <v>1</v>
      </c>
      <c r="HF115" s="311">
        <f t="shared" si="413"/>
        <v>1.8103127210325405</v>
      </c>
      <c r="HG115" s="311">
        <f>HF115*(VLOOKUP($HD$9,各项系数!$D$1:$F$143,2,0))</f>
        <v>30.77531625755319</v>
      </c>
      <c r="HH115" s="317">
        <f>各项系数!$F$76/4*($MV115^2-$MS115^2)*10^-2*(VLOOKUP($HH$9,各项系数!$D$1:$F$143,3,0))*10^-3*10^2*各项系数!$J$4</f>
        <v>1.807339379515106</v>
      </c>
      <c r="HI115" s="311">
        <v>1</v>
      </c>
      <c r="HJ115" s="311">
        <f t="shared" si="414"/>
        <v>1.807339379515106</v>
      </c>
      <c r="HK115" s="311">
        <f>HJ115*(VLOOKUP($HH$9,各项系数!$D$1:$F$143,2,0))</f>
        <v>30.724769451756803</v>
      </c>
      <c r="HL115" s="317">
        <f>各项系数!$F$76/4*($MW115^2-$MT115^2)*10^-2*(VLOOKUP($HL$9,各项系数!$D$1:$F$143,3,0))*10^-3*10^2*各项系数!$J$4</f>
        <v>1.8103127210325405</v>
      </c>
      <c r="HM115" s="311">
        <v>1</v>
      </c>
      <c r="HN115" s="311">
        <f t="shared" si="362"/>
        <v>1.8103127210325405</v>
      </c>
      <c r="HO115" s="311">
        <f>HN115*(VLOOKUP($HL$9,各项系数!$D$1:$F$143,2,0))</f>
        <v>30.77531625755319</v>
      </c>
      <c r="HP115" s="317">
        <f>各项系数!$F$76/4*($MV115^2-$MS115^2)*10^-2*(VLOOKUP(AN115,各项系数!$D$1:$F$143,3,0))*10^-3*10^2*各项系数!$J$4</f>
        <v>1.8322681985429008</v>
      </c>
      <c r="HQ115" s="310">
        <v>1</v>
      </c>
      <c r="HR115" s="311">
        <f t="shared" si="459"/>
        <v>1.8322681985429008</v>
      </c>
      <c r="HS115" s="311">
        <f>HR115*(VLOOKUP(AN115,各项系数!$D$1:$F$143,2,0))</f>
        <v>18.322681985429007</v>
      </c>
      <c r="HT115" s="317">
        <f>各项系数!$F$76/4*($MW115^2-$MT115^2)*10^-2*(VLOOKUP(AN115,各项系数!$D$1:$F$143,3,0))*10^-3*10^2*各项系数!$J$4</f>
        <v>1.835282551667472</v>
      </c>
      <c r="HU115" s="310">
        <v>1</v>
      </c>
      <c r="HV115" s="311">
        <f t="shared" si="460"/>
        <v>1.835282551667472</v>
      </c>
      <c r="HW115" s="311">
        <f>HV115*(VLOOKUP(AN115,各项系数!$D$1:$F$143,2,0))</f>
        <v>18.35282551667472</v>
      </c>
      <c r="HX115" s="317">
        <f>各项系数!$F$76/4*($MV115^2-$MS115^2)*10^-2*(VLOOKUP($HX$9,各项系数!$D$1:$F$143,3,0))*10^-3*10^2*各项系数!$J$4</f>
        <v>1.8322681985429008</v>
      </c>
      <c r="HY115" s="311">
        <v>1</v>
      </c>
      <c r="HZ115" s="311">
        <f t="shared" si="461"/>
        <v>1.8322681985429008</v>
      </c>
      <c r="IA115" s="311">
        <f>HZ115*(VLOOKUP($HX$9,各项系数!$D$1:$F$143,2,0))</f>
        <v>20.154950183971909</v>
      </c>
      <c r="IB115" s="317">
        <f>各项系数!$F$76/4*($MW115^2-$MT115^2)*10^-2*(VLOOKUP($IB$9,各项系数!$D$1:$F$143,3,0))*10^-3*10^2*各项系数!$J$4</f>
        <v>1.835282551667472</v>
      </c>
      <c r="IC115" s="311">
        <v>1</v>
      </c>
      <c r="ID115" s="311">
        <f t="shared" si="462"/>
        <v>1.835282551667472</v>
      </c>
      <c r="IE115" s="311">
        <f>ID115*(VLOOKUP($IB$9,各项系数!$D$1:$F$143,2,0))</f>
        <v>20.188108068342192</v>
      </c>
      <c r="IF115" s="309"/>
      <c r="IG115" s="317">
        <f t="shared" si="415"/>
        <v>0.19029894310240922</v>
      </c>
      <c r="IH115" s="310">
        <v>1</v>
      </c>
      <c r="II115" s="311">
        <f t="shared" si="463"/>
        <v>0.19029894310240922</v>
      </c>
      <c r="IJ115" s="311">
        <f>II115*(VLOOKUP($IG$8,各项系数!$D$1:$F$143,2,0))</f>
        <v>4.7574735775602308</v>
      </c>
      <c r="IK115" s="317">
        <f>(各项系数!$F$76/4*($MX115^2-$MK115^2)*$EG115)*10^-2*(VLOOKUP($IG$8,各项系数!$D$1:$F$143,3,0))*10^-3*10^2*各项系数!$J$4</f>
        <v>0.15478627278471324</v>
      </c>
      <c r="IL115" s="310">
        <f>IK115*(VLOOKUP($IG$8,各项系数!$D$1:$F$143,2,0))</f>
        <v>3.8696568196178309</v>
      </c>
      <c r="IM115" s="311">
        <f>(各项系数!$F$76/4*(($MM115+3*$X115)^2-MM115^2)*$EO115)*10^-2*(VLOOKUP($IG$8,各项系数!$D$1:$F$143,3,0))*10^-3*10^2*各项系数!$J$4</f>
        <v>3.551267031769597E-2</v>
      </c>
      <c r="IN115" s="310">
        <f>IM115*(VLOOKUP($IG$8,各项系数!$D$1:$F$143,2,0))</f>
        <v>0.88781675794239923</v>
      </c>
      <c r="IO115" s="317">
        <f>各项系数!$F$76/4*($MZ115^2-$MX115^2)*10^-2*(VLOOKUP(L115,各项系数!$D$1:$F$143,3,0))*10^-3*10^2*$ES115*各项系数!$J$4</f>
        <v>1.4153746917136074</v>
      </c>
      <c r="IP115" s="310">
        <v>1</v>
      </c>
      <c r="IQ115" s="311">
        <f t="shared" si="464"/>
        <v>1.4153746917136074</v>
      </c>
      <c r="IR115" s="290">
        <f>IQ115*(VLOOKUP(L115,各项系数!$D$1:$F$143,2,0))</f>
        <v>14.436821855478795</v>
      </c>
      <c r="IS115" s="317">
        <f>IF($L115&lt;&gt;$IS$9,0,各项系数!$F$76/4*($MZ115^2-$MX115^2)*10^-2*各项系数!$F$12*10^-3*10^2)*$ES115*各项系数!$J$4</f>
        <v>0</v>
      </c>
      <c r="IT115" s="310">
        <v>1</v>
      </c>
      <c r="IU115" s="311">
        <f t="shared" si="465"/>
        <v>0</v>
      </c>
      <c r="IV115" s="290">
        <f>IU115*各项系数!$E$12</f>
        <v>0</v>
      </c>
      <c r="IW115" s="309">
        <f t="shared" si="466"/>
        <v>1.4153746917136074</v>
      </c>
      <c r="IX115" s="309">
        <f t="shared" si="467"/>
        <v>14.436821855478795</v>
      </c>
      <c r="IY115" s="339">
        <f>各项系数!$F$76/4*($NB115^2-$MZ115^2*$EG115-$NA115^2*$EO115)*10^-2</f>
        <v>21.773320844051774</v>
      </c>
      <c r="IZ115" s="284">
        <f t="shared" si="487"/>
        <v>1</v>
      </c>
      <c r="JA115" s="285">
        <f t="shared" si="363"/>
        <v>21.773320844051774</v>
      </c>
      <c r="JB115" s="289">
        <f>IF($DE115&lt;&gt;$JB$9,0,$JA115*各项系数!$F$32*10^-3*10^2)*各项系数!$J$4</f>
        <v>0</v>
      </c>
      <c r="JC115" s="106">
        <v>1</v>
      </c>
      <c r="JD115" s="78">
        <f t="shared" si="468"/>
        <v>0</v>
      </c>
      <c r="JE115" s="264">
        <f>JD115*各项系数!$E$32</f>
        <v>0</v>
      </c>
      <c r="JF115" s="282">
        <f>IF($DE115&lt;&gt;$JF$9,0,$JA115*VLOOKUP($JF$9,各项系数!$D$4:$F$540,2,0)*10^-3*10^2)*各项系数!$J$4</f>
        <v>10.832227119915757</v>
      </c>
      <c r="JG115" s="102">
        <v>1</v>
      </c>
      <c r="JH115" s="189">
        <f t="shared" si="364"/>
        <v>10.832227119915757</v>
      </c>
      <c r="JI115" s="262">
        <f>JH115*VLOOKUP($JF$9,各项系数!$D$4:$F$540,3,0)</f>
        <v>12.998672543898907</v>
      </c>
      <c r="JJ115" s="289">
        <f t="shared" si="469"/>
        <v>10.832227119915757</v>
      </c>
      <c r="JK115" s="78">
        <f t="shared" si="470"/>
        <v>12.998672543898907</v>
      </c>
      <c r="JL115" s="289">
        <f>IF($DF115&lt;&gt;$JL$9,0,各项系数!$F$76/4*($NE115^2-$NC115^2)*10^-2*各项系数!$F$39*10^-3*10^2)*各项系数!$J$4</f>
        <v>1.0721771576149289E-2</v>
      </c>
      <c r="JM115" s="106">
        <v>1</v>
      </c>
      <c r="JN115" s="78">
        <f t="shared" si="471"/>
        <v>1.0721771576149289E-2</v>
      </c>
      <c r="JO115" s="264">
        <f>JN115*各项系数!$E$39</f>
        <v>0.21443543152298578</v>
      </c>
      <c r="JP115" s="289">
        <f>IF($DF115&lt;&gt;$JP$9,0,各项系数!$F$76/4*($NE115^2-$NC115^2)*10^-2*各项系数!$F$36*10^-3*10^2)*各项系数!$J$4</f>
        <v>0</v>
      </c>
      <c r="JQ115" s="106">
        <v>1</v>
      </c>
      <c r="JR115" s="78">
        <f t="shared" si="472"/>
        <v>0</v>
      </c>
      <c r="JS115" s="264">
        <f>JR115*各项系数!$E$36</f>
        <v>0</v>
      </c>
      <c r="JT115" s="289">
        <f>IF($DF115&lt;&gt;$JT$9,0,各项系数!$F$76/4*($NE115^2-$NC115^2)*10^-2*各项系数!$F$40*10^-3*10^2)*各项系数!$J$4</f>
        <v>0</v>
      </c>
      <c r="JU115" s="106">
        <v>1</v>
      </c>
      <c r="JV115" s="78">
        <f t="shared" si="473"/>
        <v>0</v>
      </c>
      <c r="JW115" s="264">
        <f>JV115*各项系数!$E$40</f>
        <v>0</v>
      </c>
      <c r="JX115" s="289">
        <f>IF($DF115&lt;&gt;$JX$9,0,各项系数!$F$76/4*($NE115^2-$NC115^2)*10^-2*各项系数!$F$38*10^-3*10^2)*各项系数!$J$4</f>
        <v>0</v>
      </c>
      <c r="JY115" s="106">
        <v>1</v>
      </c>
      <c r="JZ115" s="78">
        <f t="shared" si="474"/>
        <v>0</v>
      </c>
      <c r="KA115" s="264">
        <f>JZ115*各项系数!$E$38</f>
        <v>0</v>
      </c>
      <c r="KB115" s="289">
        <f>IF($DF115&lt;&gt;$KB$9,0,各项系数!$F$76/4*($NE115^2-$NC115^2)*10^-2*各项系数!$F$41*10^-3*10^2)*各项系数!$J$4</f>
        <v>0</v>
      </c>
      <c r="KC115" s="106">
        <v>1</v>
      </c>
      <c r="KD115" s="78">
        <f t="shared" si="475"/>
        <v>0</v>
      </c>
      <c r="KE115" s="264">
        <f>KD115*各项系数!$E$41</f>
        <v>0</v>
      </c>
      <c r="KF115" s="78">
        <f t="shared" si="476"/>
        <v>1.0721771576149289E-2</v>
      </c>
      <c r="KG115" s="78">
        <f t="shared" si="477"/>
        <v>0.21443543152298578</v>
      </c>
      <c r="KH115" s="237">
        <f>各项系数!$F$76/4*($NG115^2-$NE115^2)*10^-2*各项系数!$F$44*10^-3*10^2*各项系数!$J$4*0.75*$U115</f>
        <v>2.6440579033114906</v>
      </c>
      <c r="KI115" s="106">
        <v>1</v>
      </c>
      <c r="KJ115" s="78">
        <f t="shared" si="478"/>
        <v>2.6440579033114906</v>
      </c>
      <c r="KK115" s="78">
        <f>ROUND(KJ115*各项系数!$E$43,GT115)</f>
        <v>15</v>
      </c>
      <c r="KL115" s="235">
        <f>各项系数!$F$76/4*($NF115^2-$NE115^2)*10^-2*各项系数!$F$46*10^-3*10^2*各项系数!$J$4*PI()/4*R115</f>
        <v>0.13336637602414256</v>
      </c>
      <c r="KM115" s="106">
        <v>1</v>
      </c>
      <c r="KN115" s="78">
        <f t="shared" si="479"/>
        <v>0.13336637602414256</v>
      </c>
      <c r="KO115" s="78">
        <f>KN115*各项系数!$E$46</f>
        <v>9.002230381629623</v>
      </c>
      <c r="KP115" s="237">
        <f>各项系数!$F$76/4*($NH115^2-$NE115^2)*10^-2*(VLOOKUP($KP$9,各项系数!$D$1:$F$143,3,0))*10^-3*10^2*各项系数!$J$4</f>
        <v>1.8490033275281521</v>
      </c>
      <c r="KQ115" s="106">
        <v>1</v>
      </c>
      <c r="KR115" s="78">
        <f t="shared" si="416"/>
        <v>1.8490033275281521</v>
      </c>
      <c r="KS115" s="78">
        <f>KR115*(VLOOKUP($KP$9,各项系数!$D$1:$F$143,2,0))</f>
        <v>31.433056567978586</v>
      </c>
      <c r="KT115" s="237">
        <f>各项系数!$F$76/4*($NI115^2-$NF115^2)*10^-2*(VLOOKUP($KT$9,各项系数!$D$1:$F$143,3,0))*10^-3*10^2*各项系数!$J$4</f>
        <v>1.8519766690455857</v>
      </c>
      <c r="KU115" s="106">
        <v>1</v>
      </c>
      <c r="KV115" s="78">
        <f t="shared" si="417"/>
        <v>1.8519766690455857</v>
      </c>
      <c r="KW115" s="78">
        <f>KV115*(VLOOKUP($KT$9,各项系数!$D$1:$F$143,2,0))</f>
        <v>31.483603373774955</v>
      </c>
      <c r="KX115" s="78">
        <f>各项系数!$F$76/4*($NH115^2-$NE115^2)*10^-2*(VLOOKUP($KX$9,各项系数!$D$1:$F$143,3,0))*10^-3*10^2*各项系数!$J$4</f>
        <v>1.8490033275281521</v>
      </c>
      <c r="KY115" s="355">
        <v>1</v>
      </c>
      <c r="KZ115" s="78">
        <f t="shared" si="418"/>
        <v>1.8490033275281521</v>
      </c>
      <c r="LA115" s="78">
        <f>KZ115*(VLOOKUP($KX$9,各项系数!$D$1:$F$143,2,0))</f>
        <v>31.433056567978586</v>
      </c>
      <c r="LB115" s="78">
        <f>各项系数!$F$76/4*($NI115^2-$NF115^2)*10^-2*(VLOOKUP($LB$9,各项系数!$D$1:$F$143,3,0))*10^-3*10^2*各项系数!$J$4</f>
        <v>1.8519766690455857</v>
      </c>
      <c r="LC115" s="355">
        <v>1</v>
      </c>
      <c r="LD115" s="78">
        <f t="shared" si="419"/>
        <v>1.8519766690455857</v>
      </c>
      <c r="LE115" s="78">
        <f>LD115*(VLOOKUP($LB$9,各项系数!$D$1:$F$143,2,0))</f>
        <v>31.483603373774955</v>
      </c>
      <c r="LF115" s="237">
        <f>各项系数!$F$76/4*($NH115^2-$NE115^2)*10^-2*(VLOOKUP(AN115,各项系数!$D$1:$F$143,3,0))*10^-3*10^2*各项系数!$J$4</f>
        <v>1.8745068217009542</v>
      </c>
      <c r="LG115" s="106">
        <v>1</v>
      </c>
      <c r="LH115" s="78">
        <f t="shared" si="480"/>
        <v>1.8745068217009542</v>
      </c>
      <c r="LI115" s="78">
        <f>LH115*(VLOOKUP(AN115,各项系数!$D$1:$F$143,2,0))</f>
        <v>18.745068217009543</v>
      </c>
      <c r="LJ115" s="237">
        <f>各项系数!$F$76/4*($NI115^2-$NF115^2)*10^-2*(VLOOKUP(AN115,各项系数!$D$1:$F$143,3,0))*10^-3*10^2*各项系数!$J$4</f>
        <v>1.8775211748255249</v>
      </c>
      <c r="LK115" s="106">
        <v>1</v>
      </c>
      <c r="LL115" s="78">
        <f t="shared" si="481"/>
        <v>1.8775211748255249</v>
      </c>
      <c r="LM115" s="78">
        <f>LL115*(VLOOKUP(AN115,各项系数!$D$1:$F$143,2,0))</f>
        <v>18.775211748255249</v>
      </c>
      <c r="LN115" s="78">
        <f>各项系数!$F$76/4*($NH115^2-$NE115^2)*10^-2*(VLOOKUP($LN$9,各项系数!$D$1:$F$143,3,0))*10^-3*10^2*各项系数!$J$4</f>
        <v>1.8745068217009542</v>
      </c>
      <c r="LO115" s="355">
        <v>1</v>
      </c>
      <c r="LP115" s="78">
        <f t="shared" si="482"/>
        <v>1.8745068217009542</v>
      </c>
      <c r="LQ115" s="78">
        <f>LP115*(VLOOKUP($LN$9,各项系数!$D$1:$F$143,2,0))</f>
        <v>20.619575038710497</v>
      </c>
      <c r="LR115" s="78">
        <f>各项系数!$F$76/4*($NI115^2-$NF115^2)*10^-2*(VLOOKUP($LR$9,各项系数!$D$1:$F$143,3,0))*10^-3*10^2*各项系数!$J$4</f>
        <v>1.8775211748255249</v>
      </c>
      <c r="LS115" s="355">
        <v>1</v>
      </c>
      <c r="LT115" s="78">
        <f t="shared" si="483"/>
        <v>1.8775211748255249</v>
      </c>
      <c r="LU115" s="78">
        <f>LT115*(VLOOKUP($LR$9,各项系数!$D$1:$F$143,2,0))</f>
        <v>20.652732923080773</v>
      </c>
      <c r="LV115" s="367">
        <f t="shared" si="420"/>
        <v>3118.3815590499999</v>
      </c>
      <c r="LW115" s="367">
        <f t="shared" si="421"/>
        <v>2348.4108037300002</v>
      </c>
      <c r="LX115" s="367">
        <f t="shared" si="422"/>
        <v>54.68171086014339</v>
      </c>
      <c r="LY115" s="367">
        <f t="shared" si="423"/>
        <v>769.97075531999963</v>
      </c>
      <c r="LZ115" s="374">
        <f t="shared" si="365"/>
        <v>1</v>
      </c>
      <c r="MA115" s="375">
        <f t="shared" si="366"/>
        <v>3118.3815590499999</v>
      </c>
      <c r="MB115" s="367">
        <f t="shared" si="424"/>
        <v>36.379695419999997</v>
      </c>
      <c r="MC115" s="367">
        <f t="shared" si="425"/>
        <v>488.76760487000001</v>
      </c>
      <c r="MD115" s="367">
        <f t="shared" si="426"/>
        <v>368.08424546999998</v>
      </c>
      <c r="ME115" s="367">
        <f t="shared" si="427"/>
        <v>21.648543071680567</v>
      </c>
      <c r="MF115" s="367">
        <f t="shared" si="428"/>
        <v>120.68335940000003</v>
      </c>
      <c r="MG115" s="379">
        <f t="shared" si="429"/>
        <v>1</v>
      </c>
      <c r="MH115" s="375">
        <f t="shared" si="367"/>
        <v>488.76760487000001</v>
      </c>
      <c r="MI115" s="367">
        <f t="shared" si="430"/>
        <v>24.946307195774985</v>
      </c>
      <c r="MJ115" s="78">
        <f t="shared" si="368"/>
        <v>36.379695419999997</v>
      </c>
      <c r="MK115" s="78">
        <f t="shared" si="431"/>
        <v>36.379695419999997</v>
      </c>
      <c r="ML115" s="78">
        <f t="shared" si="484"/>
        <v>24.946307195743081</v>
      </c>
      <c r="MM115" s="78">
        <f t="shared" si="369"/>
        <v>24.946307195774985</v>
      </c>
      <c r="MN115" s="78">
        <f t="shared" si="370"/>
        <v>41.57969542</v>
      </c>
      <c r="MO115" s="189">
        <f t="shared" si="432"/>
        <v>28.946307195774985</v>
      </c>
      <c r="MP115" s="78">
        <f t="shared" si="433"/>
        <v>92.979663040000005</v>
      </c>
      <c r="MQ115" s="78">
        <f t="shared" si="485"/>
        <v>92.979663040000005</v>
      </c>
      <c r="MR115" s="246">
        <f t="shared" si="434"/>
        <v>92.979663040000005</v>
      </c>
      <c r="MS115" s="380">
        <f t="shared" si="371"/>
        <v>93.155663040000007</v>
      </c>
      <c r="MT115" s="382">
        <f t="shared" si="372"/>
        <v>93.315663040000004</v>
      </c>
      <c r="MU115" s="382">
        <f t="shared" si="373"/>
        <v>94.655663040000007</v>
      </c>
      <c r="MV115" s="382">
        <f t="shared" si="374"/>
        <v>101.35566304000001</v>
      </c>
      <c r="MW115" s="382">
        <f t="shared" si="375"/>
        <v>101.51566304000001</v>
      </c>
      <c r="MX115" s="246">
        <f t="shared" si="376"/>
        <v>36.979695419999999</v>
      </c>
      <c r="MY115" s="246">
        <f t="shared" si="377"/>
        <v>25.546307195774986</v>
      </c>
      <c r="MZ115" s="78">
        <f t="shared" si="378"/>
        <v>42.179695420000002</v>
      </c>
      <c r="NA115" s="78">
        <f t="shared" si="379"/>
        <v>30.746307195774985</v>
      </c>
      <c r="NB115" s="78">
        <f t="shared" si="435"/>
        <v>95.157663040000003</v>
      </c>
      <c r="NC115" s="246">
        <f t="shared" si="486"/>
        <v>95.157663040000003</v>
      </c>
      <c r="ND115" s="246">
        <f t="shared" si="436"/>
        <v>95.157663040000003</v>
      </c>
      <c r="NE115" s="386">
        <f t="shared" si="437"/>
        <v>95.397663039999998</v>
      </c>
      <c r="NF115" s="382">
        <f t="shared" si="380"/>
        <v>95.557663039999994</v>
      </c>
      <c r="NG115" s="150">
        <f t="shared" si="381"/>
        <v>96.897663039999998</v>
      </c>
      <c r="NH115" s="246">
        <f t="shared" si="382"/>
        <v>103.59766304</v>
      </c>
      <c r="NI115" s="382">
        <f t="shared" si="383"/>
        <v>103.75766304</v>
      </c>
      <c r="NK115" s="390">
        <f t="shared" si="384"/>
        <v>30.44848570525421</v>
      </c>
      <c r="NL115" s="390">
        <f t="shared" si="385"/>
        <v>1659.4428760932597</v>
      </c>
      <c r="NM115" s="390">
        <f t="shared" si="386"/>
        <v>30.44848570525421</v>
      </c>
      <c r="NN115" s="390">
        <f t="shared" si="387"/>
        <v>1661.2751442918027</v>
      </c>
      <c r="NO115" s="390">
        <f t="shared" si="388"/>
        <v>39.075842457500791</v>
      </c>
      <c r="NP115" s="390">
        <f t="shared" si="389"/>
        <v>1671.0169171493242</v>
      </c>
      <c r="NQ115" s="390">
        <f t="shared" si="390"/>
        <v>39.075842457500791</v>
      </c>
      <c r="NR115" s="390">
        <f t="shared" si="391"/>
        <v>1672.891423971025</v>
      </c>
      <c r="NS115" s="390">
        <f t="shared" si="392"/>
        <v>30.578720381092928</v>
      </c>
      <c r="NT115" s="390">
        <f t="shared" si="393"/>
        <v>30.578720381092928</v>
      </c>
      <c r="NU115" s="390">
        <f t="shared" si="394"/>
        <v>39.209208833524933</v>
      </c>
      <c r="NV115" s="390">
        <f t="shared" si="395"/>
        <v>39.209208833524933</v>
      </c>
      <c r="NW115" s="9">
        <f t="shared" si="396"/>
        <v>32.170087684793536</v>
      </c>
      <c r="NX115" s="9">
        <f>各项系数!$M$9*NK115</f>
        <v>9.1345457115762621</v>
      </c>
      <c r="NY115" s="9">
        <f t="shared" si="397"/>
        <v>30.578720381092928</v>
      </c>
    </row>
    <row r="116" spans="1:389" s="9" customFormat="1" ht="15" hidden="1" customHeight="1">
      <c r="A116" s="65"/>
      <c r="B116" s="66"/>
      <c r="C116" s="67"/>
      <c r="D116" s="58" t="s">
        <v>325</v>
      </c>
      <c r="E116" s="399">
        <f t="shared" si="503"/>
        <v>16.817123930000001</v>
      </c>
      <c r="F116" s="68">
        <f>$F$20</f>
        <v>131.13029499843299</v>
      </c>
      <c r="G116" s="58"/>
      <c r="H116" s="16"/>
      <c r="I116" s="145">
        <f>$F$203</f>
        <v>267.425148012862</v>
      </c>
      <c r="J116" s="62"/>
      <c r="K116" s="16"/>
      <c r="L116" s="107" t="s">
        <v>467</v>
      </c>
      <c r="M116" s="98">
        <f t="shared" si="339"/>
        <v>0.7</v>
      </c>
      <c r="N116" s="98">
        <f t="shared" si="501"/>
        <v>0.7</v>
      </c>
      <c r="O116" s="58">
        <f t="shared" si="502"/>
        <v>0.08</v>
      </c>
      <c r="P116" s="99">
        <v>0.1</v>
      </c>
      <c r="Q116" s="136">
        <f t="shared" si="512"/>
        <v>0.1</v>
      </c>
      <c r="R116" s="151">
        <v>0.8</v>
      </c>
      <c r="S116" s="144" t="str">
        <f>各项系数!$D$43</f>
        <v>钢带</v>
      </c>
      <c r="T116" s="62">
        <v>0.2</v>
      </c>
      <c r="U116" s="62">
        <v>2</v>
      </c>
      <c r="V116" s="143"/>
      <c r="W116" s="145">
        <v>1.8</v>
      </c>
      <c r="X116" s="139">
        <f t="shared" si="513"/>
        <v>0.2</v>
      </c>
      <c r="Y116" s="139"/>
      <c r="Z116" s="169"/>
      <c r="AA116" s="170">
        <f>$AA$20</f>
        <v>1.0109999999999999</v>
      </c>
      <c r="AB116" s="153">
        <f>PI()*EJ116*EJ116/4*EH116*(1-H116)*AA116*各项系数!$F$5*各项系数!$J$4*10^-7</f>
        <v>8.4541508952717087E-2</v>
      </c>
      <c r="AC116" s="170">
        <f t="shared" si="504"/>
        <v>131.13029499843299</v>
      </c>
      <c r="AD116" s="153">
        <f t="shared" si="341"/>
        <v>9.5575186339704263</v>
      </c>
      <c r="AE116" s="153">
        <f>POWER(4*EU116/PI()/EG116/10^-7/EH116/(1-H116)/各项系数!$F$5/各项系数!$J$4,0.5)</f>
        <v>131.84953910919143</v>
      </c>
      <c r="AF116" s="16">
        <f>$AA$203</f>
        <v>1</v>
      </c>
      <c r="AG116" s="16">
        <f>IF(EM116=0,0,PI()*ER116*ER116/4*EP116*(1-K116)*(1+AF116)*各项系数!$F$5*各项系数!$J$4*10^-7)</f>
        <v>9.9368608542059311E-2</v>
      </c>
      <c r="AH116" s="16">
        <f t="shared" si="505"/>
        <v>267.425148012862</v>
      </c>
      <c r="AI116" s="69">
        <f t="shared" si="398"/>
        <v>5.6168699821977874</v>
      </c>
      <c r="AJ116" s="69">
        <f>IF(OR(EP116="",EP116=0),0,POWER(4*EW116/PI()/EO116/10^-7/EP116/(1-K116)/各项系数!$F$5/各项系数!$J$4,0.5))</f>
        <v>267.42514801286194</v>
      </c>
      <c r="AK116" s="16">
        <f t="shared" si="342"/>
        <v>0.35299313540021066</v>
      </c>
      <c r="AL116" s="16">
        <f t="shared" si="506"/>
        <v>25.912691713471382</v>
      </c>
      <c r="AM116" s="106">
        <f t="shared" si="507"/>
        <v>10</v>
      </c>
      <c r="AN116" s="107" t="s">
        <v>486</v>
      </c>
      <c r="AO116" s="146">
        <f>AP116+各项系数!$M$9*$NK116</f>
        <v>25.404599719089589</v>
      </c>
      <c r="AP116" s="146">
        <f>AQ116*(1+$BI116+(VLOOKUP($AM116,$A$12:$B$323,2,0))+各项系数!$J$6+各项系数!$M$5)*(1+$E$2)</f>
        <v>25.226088561603799</v>
      </c>
      <c r="AQ116" s="199">
        <f>AR116+各项系数!$L$9*$NK116</f>
        <v>25.740906695514081</v>
      </c>
      <c r="AR116" s="199">
        <f>AS116*(1+$BJ116+各项系数!$J$5+各项系数!$L$5)</f>
        <v>25.562395538028291</v>
      </c>
      <c r="AS116" s="199">
        <f t="shared" si="399"/>
        <v>25.061172096106166</v>
      </c>
      <c r="AT116" s="146">
        <f>AU116+各项系数!$M$9*$NM116</f>
        <v>26.244991026387709</v>
      </c>
      <c r="AU116" s="146">
        <f>AV116*(1+$BI116+(VLOOKUP($AM116,$A$12:$B$323,2,0))+各项系数!$J$6+各项系数!$M$5)*(1+$E$2)</f>
        <v>26.066479868901919</v>
      </c>
      <c r="AV116" s="199">
        <f>AW116+各项系数!$L$9*$NM116</f>
        <v>26.598448845818286</v>
      </c>
      <c r="AW116" s="199">
        <f>AX116*(1+$BJ116+各项系数!$J$5+各项系数!$L$5)</f>
        <v>26.419937688332496</v>
      </c>
      <c r="AX116" s="199">
        <f t="shared" si="400"/>
        <v>25.901899694443625</v>
      </c>
      <c r="AY116" s="146">
        <f>AZ116+各项系数!$M$9*$NS116</f>
        <v>26.682095444439607</v>
      </c>
      <c r="AZ116" s="146">
        <f>BA116*(1+$BI116+(VLOOKUP($AM116,$A$12:$B$214,2,0))+各项系数!$J$6+各项系数!$M$5)*(1+$E$2)</f>
        <v>26.498012127434123</v>
      </c>
      <c r="BA116" s="199">
        <f>BB116+各项系数!$L$9*$NS116</f>
        <v>27.038787885136859</v>
      </c>
      <c r="BB116" s="199">
        <f>BC116*(1+$BJ116+各项系数!$J$5+各项系数!$L$5)</f>
        <v>26.854704568131375</v>
      </c>
      <c r="BC116" s="199">
        <f t="shared" si="401"/>
        <v>26.328141733462132</v>
      </c>
      <c r="BD116" s="146">
        <f>BE116+各项系数!$M$9*$NS116</f>
        <v>27.531440703892248</v>
      </c>
      <c r="BE116" s="146">
        <f>BF116*(1+$BI116+(VLOOKUP($AM116,$A$12:$B$214,2,0))+各项系数!$J$6+各项系数!$M$5)*(1+$E$2)</f>
        <v>27.347357386886763</v>
      </c>
      <c r="BF116" s="199">
        <f>BG116+各项系数!$L$9*$NS116</f>
        <v>27.905466721313026</v>
      </c>
      <c r="BG116" s="199">
        <f>BH116*(1+$BJ116+各项系数!$J$5+各项系数!$L$5)</f>
        <v>27.721383404307542</v>
      </c>
      <c r="BH116" s="199">
        <f t="shared" si="402"/>
        <v>27.177826866968179</v>
      </c>
      <c r="BI116" s="214"/>
      <c r="BJ116" s="215"/>
      <c r="BK116" s="78" t="s">
        <v>514</v>
      </c>
      <c r="BL116" s="146">
        <f>BM116+各项系数!$M$9*$NM116</f>
        <v>25.775574757742973</v>
      </c>
      <c r="BM116" s="146">
        <f>BN116*(1+$CF116+(VLOOKUP($AM116,$A$12:$B$323,2,0))+各项系数!$J$6+各项系数!$M$5)*(1+$E$2)</f>
        <v>25.597063600257183</v>
      </c>
      <c r="BN116" s="199">
        <f>BO116+各项系数!$L$9*$NM116</f>
        <v>26.119452653323656</v>
      </c>
      <c r="BO116" s="199">
        <f>BP116*(1+$CG116+各项系数!$J$5+各项系数!$L$5)</f>
        <v>25.940941495837865</v>
      </c>
      <c r="BP116" s="199">
        <f t="shared" si="403"/>
        <v>25.185380093046472</v>
      </c>
      <c r="BQ116" s="146">
        <f>BR116+各项系数!$M$9*$NM116</f>
        <v>26.498829643393258</v>
      </c>
      <c r="BR116" s="146">
        <f>BS116*(1+$CF116+(VLOOKUP($AM116,$A$12:$B$323,2,0))+各项系数!$J$6+各项系数!$M$5)*(1+$E$2)</f>
        <v>26.320318485907467</v>
      </c>
      <c r="BS116" s="199">
        <f>BT116+各项系数!$L$9*$NM116</f>
        <v>26.857467842762723</v>
      </c>
      <c r="BT116" s="199">
        <f>BU116*(1+$CG116+各项系数!$J$5+各项系数!$L$5)</f>
        <v>26.678956685276933</v>
      </c>
      <c r="BU116" s="199">
        <f t="shared" si="404"/>
        <v>25.901899694443625</v>
      </c>
      <c r="BV116" s="146">
        <f>BW116+各项系数!$M$9*$NT116</f>
        <v>26.894519084228779</v>
      </c>
      <c r="BW116" s="146">
        <f>BX116*(1+$CF116+(VLOOKUP($AM116,$A$12:$B$214,2,0))+各项系数!$J$6+各项系数!$M$5)*(1+$E$2)</f>
        <v>26.710435767223295</v>
      </c>
      <c r="BX116" s="199">
        <f>BY116+各项系数!$L$9*$NT$12</f>
        <v>27.25554670124826</v>
      </c>
      <c r="BY116" s="199">
        <f>BZ116*(1+$CG116+各项系数!$J$5+各项系数!$L$5)</f>
        <v>27.247283298093286</v>
      </c>
      <c r="BZ116" s="199">
        <f t="shared" si="343"/>
        <v>26.453673104944937</v>
      </c>
      <c r="CA116" s="146">
        <f>CB116+各项系数!$M$9*$NT116</f>
        <v>27.625479891615036</v>
      </c>
      <c r="CB116" s="146">
        <f>CC116*(1+$CF116+(VLOOKUP($AM116,$A$12:$B$214,2,0))+各项系数!$J$6+各项系数!$M$5)*(1+$E$2)</f>
        <v>27.441396574609552</v>
      </c>
      <c r="CC116" s="199">
        <f>CD116+各项系数!$L$9*$NT$12</f>
        <v>28.001425076132197</v>
      </c>
      <c r="CD116" s="199">
        <f>CE116*(1+$CG116+各项系数!$J$5+各项系数!$L$5)</f>
        <v>27.993161672977223</v>
      </c>
      <c r="CE116" s="199">
        <f t="shared" si="405"/>
        <v>27.177826866968179</v>
      </c>
      <c r="CF116" s="214">
        <f t="shared" si="406"/>
        <v>0</v>
      </c>
      <c r="CG116" s="214">
        <f t="shared" si="344"/>
        <v>0.01</v>
      </c>
      <c r="CH116" s="106"/>
      <c r="CI116" s="146">
        <f>CJ116+各项系数!$M$9*$NO116</f>
        <v>26.812727970577722</v>
      </c>
      <c r="CJ116" s="146">
        <f>CK116*(1+$DC116+(VLOOKUP($AM116,$A$12:$B$323,2,0))+各项系数!$J$6+各项系数!$M$5)*(1+$E$2)+各项系数!$M$9*$NK116</f>
        <v>26.558695803918354</v>
      </c>
      <c r="CK116" s="199">
        <f>CL116+各项系数!$L$9*$NO116</f>
        <v>26.918555761665882</v>
      </c>
      <c r="CL116" s="199">
        <f>CM116*(1+$DD116+各项系数!$J$5+各项系数!$L$5)</f>
        <v>26.664523595006514</v>
      </c>
      <c r="CM116" s="199">
        <f t="shared" si="345"/>
        <v>26.141689799025993</v>
      </c>
      <c r="CN116" s="146">
        <f>CO116+各项系数!$M$9*$NO116</f>
        <v>27.513889821346524</v>
      </c>
      <c r="CO116" s="146">
        <f>CP116*(1+$DC116+(VLOOKUP($AM116,$A$12:$B$323,2,0))+各项系数!$J$6+各项系数!$M$5)*(1+$E$2)+各项系数!$M$9*$NK116</f>
        <v>27.259857654687156</v>
      </c>
      <c r="CP116" s="199">
        <f>CQ116+各项系数!$L$9*$NO116</f>
        <v>27.634027037960578</v>
      </c>
      <c r="CQ116" s="199">
        <f>CR116*(1+$DD116+各项系数!$J$5+各项系数!$L$5)</f>
        <v>27.379994871301211</v>
      </c>
      <c r="CR116" s="199">
        <f t="shared" si="346"/>
        <v>26.843132226765892</v>
      </c>
      <c r="CS116" s="146">
        <f>CT116+各项系数!$M$9*$NU116</f>
        <v>28.07182431145786</v>
      </c>
      <c r="CT116" s="146">
        <f t="shared" si="347"/>
        <v>27.81151430511213</v>
      </c>
      <c r="CU116" s="199">
        <f>CV116+各项系数!$L$9*$NU116</f>
        <v>28.379096229706256</v>
      </c>
      <c r="CV116" s="199">
        <f>CW116*(1+$DD116+各项系数!$J$5+各项系数!$L$5)</f>
        <v>28.118786223360527</v>
      </c>
      <c r="CW116" s="199">
        <f t="shared" si="348"/>
        <v>27.567437473882869</v>
      </c>
      <c r="CX116" s="146">
        <f>CY116+各项系数!$M$9*$NU116</f>
        <v>29.015409917336818</v>
      </c>
      <c r="CY116" s="146">
        <f t="shared" si="349"/>
        <v>28.755099910991088</v>
      </c>
      <c r="CZ116" s="199">
        <f>DA116+各项系数!$L$9*$NU116</f>
        <v>29.341938684684784</v>
      </c>
      <c r="DA116" s="199">
        <f>DB116*(1+$DD116+各项系数!$J$5+各项系数!$L$5)</f>
        <v>29.081628678339055</v>
      </c>
      <c r="DB116" s="199">
        <f t="shared" si="350"/>
        <v>28.511400665038288</v>
      </c>
      <c r="DC116" s="214">
        <f t="shared" si="498"/>
        <v>0</v>
      </c>
      <c r="DD116" s="214">
        <f t="shared" si="351"/>
        <v>0</v>
      </c>
      <c r="DE116" s="78" t="s">
        <v>498</v>
      </c>
      <c r="DF116" s="78" t="s">
        <v>513</v>
      </c>
      <c r="DG116" s="146">
        <f>DH116+各项系数!$M$9*$NQ116</f>
        <v>27.208351527839842</v>
      </c>
      <c r="DH116" s="146">
        <f>DI116*(1+$EA116+(VLOOKUP($AM116,$A$12:$B$323,2,0))+各项系数!$J$6+各项系数!$M$5)*(1+$E$2)+各项系数!$M$9*$NK116</f>
        <v>26.954319361180474</v>
      </c>
      <c r="DI116" s="199">
        <f>DJ116+各项系数!$L$9*$NQ116</f>
        <v>27.32225326907621</v>
      </c>
      <c r="DJ116" s="199">
        <f>DK116*(1+$EB116+各项系数!$J$5+各项系数!$L$5)</f>
        <v>27.068221102416842</v>
      </c>
      <c r="DK116" s="199">
        <f t="shared" si="352"/>
        <v>26.27982631302606</v>
      </c>
      <c r="DL116" s="146">
        <f>DM116+各项系数!$M$9*$NQ116</f>
        <v>28.012711239761284</v>
      </c>
      <c r="DM116" s="146">
        <f>DN116*(1+$EA116+(VLOOKUP($AM116,$A$12:$B$323,2,0))+各项系数!$J$6+各项系数!$M$5)*(1+$E$2)+各项系数!$M$9*$NK116</f>
        <v>27.758679073101916</v>
      </c>
      <c r="DN116" s="199">
        <f>DO116+各项系数!$L$9*$NQ116</f>
        <v>28.143028485322578</v>
      </c>
      <c r="DO116" s="199">
        <f>DP116*(1+$EB116+各项系数!$J$5+各项系数!$L$5)</f>
        <v>27.88899631866321</v>
      </c>
      <c r="DP116" s="199">
        <f t="shared" si="353"/>
        <v>27.076695455012825</v>
      </c>
      <c r="DQ116" s="146">
        <f>DR116+各项系数!$M$9*$NV116</f>
        <v>28.48275601019677</v>
      </c>
      <c r="DR116" s="146">
        <f t="shared" si="354"/>
        <v>28.22244600385104</v>
      </c>
      <c r="DS116" s="199">
        <f>DT116+各项系数!$L$9*$NV116</f>
        <v>28.798414289643919</v>
      </c>
      <c r="DT116" s="199">
        <f>DU116*(1+$EB116+各项系数!$J$5+各项系数!$L$5)</f>
        <v>28.538104283298189</v>
      </c>
      <c r="DU116" s="199">
        <f t="shared" si="355"/>
        <v>27.706897362425426</v>
      </c>
      <c r="DV116" s="146">
        <f>DW116+各项系数!$M$9*$NV116</f>
        <v>28.646301739293463</v>
      </c>
      <c r="DW116" s="146">
        <f t="shared" si="356"/>
        <v>28.385991732947733</v>
      </c>
      <c r="DX116" s="199">
        <f>DY116+各项系数!$L$9*$NV116</f>
        <v>28.96529768668136</v>
      </c>
      <c r="DY116" s="199">
        <f>DZ116*(1+$EB116+各项系数!$J$5+各项系数!$L$5)</f>
        <v>28.704987680335631</v>
      </c>
      <c r="DZ116" s="199">
        <f t="shared" si="357"/>
        <v>27.868920077995757</v>
      </c>
      <c r="EA116" s="214">
        <f t="shared" si="511"/>
        <v>0</v>
      </c>
      <c r="EB116" s="214">
        <f t="shared" si="358"/>
        <v>0.01</v>
      </c>
      <c r="EC116" s="235" t="str">
        <f t="shared" si="408"/>
        <v>3+2</v>
      </c>
      <c r="ED116" s="237" t="str">
        <f t="shared" si="494"/>
        <v>3*10</v>
      </c>
      <c r="EE116" s="78">
        <f t="shared" si="495"/>
        <v>10</v>
      </c>
      <c r="EF116" s="78" t="str">
        <f>LOOKUP(EH116,{1,7,10,14,19,24,30,37,48,61},{1,"1+6","2+8","4+10","1+6+12","2+8+14","4+10+16","1+6+12+18","3+9+15+21","1+6+12+18+24"})</f>
        <v>1+6</v>
      </c>
      <c r="EG116" s="106">
        <f t="shared" si="359"/>
        <v>3</v>
      </c>
      <c r="EH116" s="199">
        <f>VLOOKUP(EE116,各项系数!$B$87:$C$124,2,0)</f>
        <v>7</v>
      </c>
      <c r="EI116" s="106">
        <f>IF(EH116=0,0,VLOOKUP(EH116,各项系数!$D$142:$E$195,2,0))*1</f>
        <v>3</v>
      </c>
      <c r="EJ116" s="240">
        <f t="shared" si="409"/>
        <v>131.13029499843299</v>
      </c>
      <c r="EK116" s="78" t="str">
        <f t="shared" si="508"/>
        <v>2*6</v>
      </c>
      <c r="EL116" s="78" t="str">
        <f t="shared" si="360"/>
        <v>6</v>
      </c>
      <c r="EM116" s="78">
        <f t="shared" si="496"/>
        <v>6</v>
      </c>
      <c r="EN116" s="78">
        <f>IF(EP116=0,0,LOOKUP(EP116,{1,7,10,14,19,24,30,37,48,61},{1,"1+6","2+8","4+10","1+6+12","2+8+14","4+10+16","1+6+12+18","3+9+15+21","1+6+12+18+24"}))</f>
        <v>1</v>
      </c>
      <c r="EO116" s="78" t="str">
        <f t="shared" si="509"/>
        <v>2</v>
      </c>
      <c r="EP116" s="78">
        <f>IF(EM116=0,0,IF(EM116&lt;10,1,IF(AND(EM116&gt;=10,EM116&lt;=35),7,LOOKUP(EM116,{50,70,95,120,150,185,240,300},{10,14,19,24,30,37,48,61})*1)))</f>
        <v>1</v>
      </c>
      <c r="EQ116" s="78">
        <f>IF(EP116=0,0,VLOOKUP(EP116,各项系数!$D$142:$E$195,2,0))*1</f>
        <v>1</v>
      </c>
      <c r="ER116" s="78">
        <f t="shared" si="510"/>
        <v>267.425148012862</v>
      </c>
      <c r="ES116" s="237">
        <f t="shared" si="497"/>
        <v>5</v>
      </c>
      <c r="ET116" s="78">
        <f>VLOOKUP(ES116,各项系数!$D$142:$E$195,2,0)*1</f>
        <v>2.7</v>
      </c>
      <c r="EU116" s="243">
        <f>((各项系数!$F$76/4*$EJ116^2*$EG116*$EH116*1*10^-7)*(1-$H116)*AA116)*(VLOOKUP($EY$9,各项系数!$D$4:$F$143,3,0))*各项系数!$J$4</f>
        <v>0.25362452685815129</v>
      </c>
      <c r="EV116" s="244">
        <f>EU116*(VLOOKUP($EY$9,各项系数!$D$4:$F$143,2,0))</f>
        <v>16.61240650920891</v>
      </c>
      <c r="EW116" s="252">
        <f>(IF($EO116=0,0,(各项系数!$F$76/4*$ER116^2*$EO116*$EP116*1*10^-7))*(1-$K116)*$AF116)*(VLOOKUP($EY$9,各项系数!$D$4:$F$143,3,0))*各项系数!$J$4</f>
        <v>9.9368608542059297E-2</v>
      </c>
      <c r="EX116" s="253">
        <f>EW116*(VLOOKUP($EY$9,各项系数!$D$4:$F$143,2,0))</f>
        <v>6.5086438595048843</v>
      </c>
      <c r="EY116" s="189">
        <f>((各项系数!$F$76/4*$EJ116^2*$EG116*$EH116*1*10^-7)*(1-$H116)*AA116+IF($EO116=0,0,(各项系数!$F$76/4*$ER116^2*$EO116*$EP116*1*10^-7))*(1-$K116)*$AF116)*(VLOOKUP($EY$9,各项系数!$D$4:$F$143,3,0))*各项系数!$J$4</f>
        <v>0.35299313540021066</v>
      </c>
      <c r="EZ116" s="106">
        <v>1</v>
      </c>
      <c r="FA116" s="78">
        <f t="shared" si="445"/>
        <v>0.35299313540021066</v>
      </c>
      <c r="FB116" s="246">
        <f>FA116*(VLOOKUP($EY$9,各项系数!$D$4:$F$143,2,0))</f>
        <v>23.121050368713799</v>
      </c>
      <c r="FC116" s="257"/>
      <c r="FD116" s="237">
        <f>各项系数!$F$76/4*($MN116^2-MK116^2)*10^-2*(VLOOKUP(L116,各项系数!$D$1:$F$143,3,0))*10^-3*10^2*$EG116*各项系数!$J$4</f>
        <v>3.3460499527598012E-2</v>
      </c>
      <c r="FE116" s="264">
        <f>FD116*VLOOKUP(L116,各项系数!$D$1:$F$143,2,0)</f>
        <v>0.3412970951814997</v>
      </c>
      <c r="FF116" s="106">
        <f>各项系数!$F$76/4*($MO116^2-ML116^2)*10^-2*(VLOOKUP(L116,各项系数!$D$1:$F$143,3,0))*10^-3*10^2*$EO116*各项系数!$J$4</f>
        <v>1.6243182398936452E-2</v>
      </c>
      <c r="FG116" s="264">
        <f>FF116*VLOOKUP(L116,各项系数!$D$1:$F$143,2,0)</f>
        <v>0.1656804604691518</v>
      </c>
      <c r="FH116" s="237">
        <f t="shared" si="410"/>
        <v>4.970368192653446E-2</v>
      </c>
      <c r="FI116" s="106">
        <v>1</v>
      </c>
      <c r="FJ116" s="78">
        <f t="shared" si="446"/>
        <v>4.970368192653446E-2</v>
      </c>
      <c r="FK116" s="264">
        <f>FJ116*VLOOKUP(L116,各项系数!$D$1:$F$143,2,0)</f>
        <v>0.5069775556506515</v>
      </c>
      <c r="FL116" s="237"/>
      <c r="FM116" s="106"/>
      <c r="FN116" s="78"/>
      <c r="FO116" s="264"/>
      <c r="FP116" s="289">
        <f t="shared" si="447"/>
        <v>4.970368192653446E-2</v>
      </c>
      <c r="FQ116" s="289">
        <f t="shared" si="448"/>
        <v>0.5069775556506515</v>
      </c>
      <c r="FR116" s="283">
        <f>各项系数!$F$76/4*($MQ116^2-$MN116^2*$EG116-$MO116^2*$EO116)*10^-2</f>
        <v>0.40463801546374356</v>
      </c>
      <c r="FS116" s="284">
        <f t="shared" si="411"/>
        <v>1</v>
      </c>
      <c r="FT116" s="285">
        <f t="shared" si="361"/>
        <v>0.40463801546374356</v>
      </c>
      <c r="FU116" s="309">
        <f>$FT116*(VLOOKUP($FT$9,各项系数!$D$1:$F$143,3,0))*10^-3*10^2*各项系数!$J$55</f>
        <v>4.8313779046370985E-2</v>
      </c>
      <c r="FV116" s="310">
        <v>1</v>
      </c>
      <c r="FW116" s="311">
        <f t="shared" si="449"/>
        <v>4.8313779046370985E-2</v>
      </c>
      <c r="FX116" s="290">
        <f>FW116*(VLOOKUP($FT$9,各项系数!$D$1:$F$143,2,0))</f>
        <v>0.14494133713911295</v>
      </c>
      <c r="FY116" s="309">
        <f>IF($BK116&lt;&gt;$FY$9,0,各项系数!$F$76/4*($MS116^2-$MQ116^2)*10^-2*(VLOOKUP($FY$9,各项系数!$D$1:$F$143,3,0))*10^-3*10^2)*各项系数!$J$4</f>
        <v>0</v>
      </c>
      <c r="FZ116" s="310">
        <v>1</v>
      </c>
      <c r="GA116" s="311">
        <f t="shared" si="450"/>
        <v>0</v>
      </c>
      <c r="GB116" s="290">
        <f>GA116*(VLOOKUP($FY$9,各项系数!$D$1:$F$143,2,0))</f>
        <v>0</v>
      </c>
      <c r="GC116" s="309">
        <f>IF($BK116&lt;&gt;$GC$9,0,各项系数!$F$76/4*($MS116^2-$MQ116^2)*10^-2*(VLOOKUP($GC$9,各项系数!$D$1:$F$143,3,0))*10^-3*10^2)*各项系数!$J$4</f>
        <v>3.5754159069397071E-3</v>
      </c>
      <c r="GD116" s="310">
        <v>1</v>
      </c>
      <c r="GE116" s="311">
        <f t="shared" si="451"/>
        <v>3.5754159069397071E-3</v>
      </c>
      <c r="GF116" s="290">
        <f>GE116*(VLOOKUP($GC$9,各项系数!$D$1:$F$143,2,0))</f>
        <v>4.6122865199522224E-2</v>
      </c>
      <c r="GG116" s="309">
        <f>IF($BK116&lt;&gt;$GG$9,0,各项系数!$F$76/4*($MS116^2-$MQ116^2)*10^-2*(VLOOKUP($GG$9,各项系数!$D$1:$F$143,3,0))*10^-3*10^2)*各项系数!$J$4</f>
        <v>0</v>
      </c>
      <c r="GH116" s="310">
        <v>1</v>
      </c>
      <c r="GI116" s="311">
        <f t="shared" si="452"/>
        <v>0</v>
      </c>
      <c r="GJ116" s="290">
        <f>GI116*(VLOOKUP($GG$9,各项系数!$D$1:$F$143,2,0))</f>
        <v>0</v>
      </c>
      <c r="GK116" s="309">
        <f>IF($BK116&lt;&gt;$GK$9,0,各项系数!$F$76/4*($MS116^2-$MQ116^2)*10^-2*(VLOOKUP($GK$9,各项系数!$D$1:$F$143,3,0))*10^-3*10^2)*各项系数!$J$4</f>
        <v>0</v>
      </c>
      <c r="GL116" s="310">
        <v>1</v>
      </c>
      <c r="GM116" s="311">
        <f t="shared" si="453"/>
        <v>0</v>
      </c>
      <c r="GN116" s="290">
        <f>GM116*(VLOOKUP($GK$9,各项系数!$D$1:$F$143,2,0))</f>
        <v>0</v>
      </c>
      <c r="GO116" s="311">
        <f t="shared" si="454"/>
        <v>3.5754159069397071E-3</v>
      </c>
      <c r="GP116" s="311">
        <f t="shared" si="455"/>
        <v>4.6122865199522224E-2</v>
      </c>
      <c r="GQ116" s="317">
        <f>各项系数!$F$76/4*($MU116^2-$MS116^2)*10^-2*(VLOOKUP($S116,各项系数!$D$1:$F$143,3,0))*10^-3*10^2*各项系数!$J$4</f>
        <v>9.9125469379429704E-2</v>
      </c>
      <c r="GR116" s="310">
        <v>1</v>
      </c>
      <c r="GS116" s="311">
        <f t="shared" si="456"/>
        <v>9.9125469379429704E-2</v>
      </c>
      <c r="GT116" s="311">
        <f t="shared" si="457"/>
        <v>0</v>
      </c>
      <c r="GU116" s="311">
        <f>ROUND($GS116*(VLOOKUP($S116,各项系数!$D$1:$F$143,2,0))+$E$3*GS116,GT116)</f>
        <v>1</v>
      </c>
      <c r="GV116" s="315">
        <f>各项系数!$F$76/4*($MT116^2-$MS116^2)*10^-2*(VLOOKUP($GV$9,各项系数!$D$1:$F$143,3,0))*10^-3*10^2*各项系数!$J$4*PI()/4*R116</f>
        <v>1.8573865065644748E-2</v>
      </c>
      <c r="GW116" s="310">
        <v>1</v>
      </c>
      <c r="GX116" s="311">
        <f t="shared" si="458"/>
        <v>1.8573865065644748E-2</v>
      </c>
      <c r="GY116" s="311">
        <f>$GX116*(VLOOKUP($GV$9,各项系数!$D$1:$F$143,2,0))</f>
        <v>1.2537358919310204</v>
      </c>
      <c r="GZ116" s="317">
        <f>各项系数!$F$76/4*($MV116^2-$MS116^2)*10^-2*(VLOOKUP($GZ$9,各项系数!$D$1:$F$143,3,0))*10^-3*10^2*各项系数!$J$4</f>
        <v>0.12251809222003192</v>
      </c>
      <c r="HA116" s="310">
        <v>1</v>
      </c>
      <c r="HB116" s="311">
        <f t="shared" si="412"/>
        <v>0.12251809222003192</v>
      </c>
      <c r="HC116" s="311">
        <f>HB116*(VLOOKUP($GZ$9,各项系数!$D$1:$F$143,2,0))</f>
        <v>2.0828075677405424</v>
      </c>
      <c r="HD116" s="317">
        <f>各项系数!$F$76/4*($MW116^2-$MT116^2)*10^-2*(VLOOKUP($HD$9,各项系数!$D$1:$F$143,3,0))*10^-3*10^2*各项系数!$J$4</f>
        <v>0.12382346166671024</v>
      </c>
      <c r="HE116" s="310">
        <v>1</v>
      </c>
      <c r="HF116" s="311">
        <f t="shared" si="413"/>
        <v>0.12382346166671024</v>
      </c>
      <c r="HG116" s="311">
        <f>HF116*(VLOOKUP($HD$9,各项系数!$D$1:$F$143,2,0))</f>
        <v>2.1049988483340742</v>
      </c>
      <c r="HH116" s="317">
        <f>各项系数!$F$76/4*($MV116^2-$MS116^2)*10^-2*(VLOOKUP($HH$9,各项系数!$D$1:$F$143,3,0))*10^-3*10^2*各项系数!$J$4</f>
        <v>0.12251809222003192</v>
      </c>
      <c r="HI116" s="311">
        <v>1</v>
      </c>
      <c r="HJ116" s="311">
        <f t="shared" si="414"/>
        <v>0.12251809222003192</v>
      </c>
      <c r="HK116" s="311">
        <f>HJ116*(VLOOKUP($HH$9,各项系数!$D$1:$F$143,2,0))</f>
        <v>2.0828075677405424</v>
      </c>
      <c r="HL116" s="317">
        <f>各项系数!$F$76/4*($MW116^2-$MT116^2)*10^-2*(VLOOKUP($HL$9,各项系数!$D$1:$F$143,3,0))*10^-3*10^2*各项系数!$J$4</f>
        <v>0.12382346166671024</v>
      </c>
      <c r="HM116" s="311">
        <v>1</v>
      </c>
      <c r="HN116" s="311">
        <f t="shared" si="362"/>
        <v>0.12382346166671024</v>
      </c>
      <c r="HO116" s="311">
        <f>HN116*(VLOOKUP($HL$9,各项系数!$D$1:$F$143,2,0))</f>
        <v>2.1049988483340742</v>
      </c>
      <c r="HP116" s="317">
        <f>各项系数!$F$76/4*($MV116^2-$MS116^2)*10^-2*(VLOOKUP(AN116,各项系数!$D$1:$F$143,3,0))*10^-3*10^2*各项系数!$J$4</f>
        <v>0.12420799694030821</v>
      </c>
      <c r="HQ116" s="310">
        <v>1</v>
      </c>
      <c r="HR116" s="311">
        <f t="shared" si="459"/>
        <v>0.12420799694030821</v>
      </c>
      <c r="HS116" s="311">
        <f>HR116*(VLOOKUP(AN116,各项系数!$D$1:$F$143,2,0))</f>
        <v>1.2420799694030822</v>
      </c>
      <c r="HT116" s="317">
        <f>各项系数!$F$76/4*($MW116^2-$MT116^2)*10^-2*(VLOOKUP(AN116,各项系数!$D$1:$F$143,3,0))*10^-3*10^2*各项系数!$J$4</f>
        <v>0.1255313714828028</v>
      </c>
      <c r="HU116" s="310">
        <v>1</v>
      </c>
      <c r="HV116" s="311">
        <f t="shared" si="460"/>
        <v>0.1255313714828028</v>
      </c>
      <c r="HW116" s="311">
        <f>HV116*(VLOOKUP(AN116,各项系数!$D$1:$F$143,2,0))</f>
        <v>1.255313714828028</v>
      </c>
      <c r="HX116" s="317">
        <f>各项系数!$F$76/4*($MV116^2-$MS116^2)*10^-2*(VLOOKUP($HX$9,各项系数!$D$1:$F$143,3,0))*10^-3*10^2*各项系数!$J$4</f>
        <v>0.12420799694030821</v>
      </c>
      <c r="HY116" s="311">
        <v>1</v>
      </c>
      <c r="HZ116" s="311">
        <f t="shared" si="461"/>
        <v>0.12420799694030821</v>
      </c>
      <c r="IA116" s="311">
        <f>HZ116*(VLOOKUP($HX$9,各项系数!$D$1:$F$143,2,0))</f>
        <v>1.3662879663433902</v>
      </c>
      <c r="IB116" s="317">
        <f>各项系数!$F$76/4*($MW116^2-$MT116^2)*10^-2*(VLOOKUP($IB$9,各项系数!$D$1:$F$143,3,0))*10^-3*10^2*各项系数!$J$4</f>
        <v>0.1255313714828028</v>
      </c>
      <c r="IC116" s="311">
        <v>1</v>
      </c>
      <c r="ID116" s="311">
        <f t="shared" si="462"/>
        <v>0.1255313714828028</v>
      </c>
      <c r="IE116" s="311">
        <f>ID116*(VLOOKUP($IB$9,各项系数!$D$1:$F$143,2,0))</f>
        <v>1.3808450863108308</v>
      </c>
      <c r="IF116" s="309"/>
      <c r="IG116" s="317">
        <f t="shared" si="415"/>
        <v>2.6234310102223882E-2</v>
      </c>
      <c r="IH116" s="310">
        <v>1</v>
      </c>
      <c r="II116" s="311">
        <f t="shared" si="463"/>
        <v>2.6234310102223882E-2</v>
      </c>
      <c r="IJ116" s="311">
        <f>II116*(VLOOKUP($IG$8,各项系数!$D$1:$F$143,2,0))</f>
        <v>0.65585775255559708</v>
      </c>
      <c r="IK116" s="317">
        <f>(各项系数!$F$76/4*($MX116^2-$MK116^2)*$EG116)*10^-2*(VLOOKUP($IG$8,各项系数!$D$1:$F$143,3,0))*10^-3*10^2*各项系数!$J$4</f>
        <v>1.7866859653484762E-2</v>
      </c>
      <c r="IL116" s="310">
        <f>IK116*(VLOOKUP($IG$8,各项系数!$D$1:$F$143,2,0))</f>
        <v>0.44667149133711903</v>
      </c>
      <c r="IM116" s="311">
        <f>(各项系数!$F$76/4*(($MM116+3*$X116)^2-MM116^2)*$EO116)*10^-2*(VLOOKUP($IG$8,各项系数!$D$1:$F$143,3,0))*10^-3*10^2*各项系数!$J$4</f>
        <v>8.3674504487391207E-3</v>
      </c>
      <c r="IN116" s="310">
        <f>IM116*(VLOOKUP($IG$8,各项系数!$D$1:$F$143,2,0))</f>
        <v>0.20918626121847803</v>
      </c>
      <c r="IO116" s="317">
        <f>各项系数!$F$76/4*($MZ116^2-$MX116^2)*10^-2*(VLOOKUP(L116,各项系数!$D$1:$F$143,3,0))*10^-3*10^2*$ES116*各项系数!$J$4</f>
        <v>6.2988292847306823E-2</v>
      </c>
      <c r="IP116" s="310">
        <v>1</v>
      </c>
      <c r="IQ116" s="311">
        <f t="shared" si="464"/>
        <v>6.2988292847306823E-2</v>
      </c>
      <c r="IR116" s="290">
        <f>IQ116*(VLOOKUP(L116,各项系数!$D$1:$F$143,2,0))</f>
        <v>0.64248058704252953</v>
      </c>
      <c r="IS116" s="317">
        <f>IF($L116&lt;&gt;$IS$9,0,各项系数!$F$76/4*($MZ116^2-$MX116^2)*10^-2*各项系数!$F$12*10^-3*10^2)*$ES116*各项系数!$J$4</f>
        <v>0</v>
      </c>
      <c r="IT116" s="310">
        <v>1</v>
      </c>
      <c r="IU116" s="311">
        <f t="shared" si="465"/>
        <v>0</v>
      </c>
      <c r="IV116" s="290">
        <f>IU116*各项系数!$E$12</f>
        <v>0</v>
      </c>
      <c r="IW116" s="309">
        <f t="shared" si="466"/>
        <v>6.2988292847306823E-2</v>
      </c>
      <c r="IX116" s="309">
        <f t="shared" si="467"/>
        <v>0.64248058704252953</v>
      </c>
      <c r="IY116" s="339">
        <f>各项系数!$F$76/4*($NB116^2-$MZ116^2*$EG116-$NA116^2*$EO116)*10^-2</f>
        <v>0.51535847007450042</v>
      </c>
      <c r="IZ116" s="284">
        <f t="shared" si="487"/>
        <v>1</v>
      </c>
      <c r="JA116" s="285">
        <f t="shared" si="363"/>
        <v>0.51535847007450042</v>
      </c>
      <c r="JB116" s="289">
        <f>IF($DE116&lt;&gt;$JB$9,0,$JA116*各项系数!$F$32*10^-3*10^2)*各项系数!$J$4</f>
        <v>0</v>
      </c>
      <c r="JC116" s="106">
        <v>1</v>
      </c>
      <c r="JD116" s="78">
        <f t="shared" si="468"/>
        <v>0</v>
      </c>
      <c r="JE116" s="264">
        <f>JD116*各项系数!$E$32</f>
        <v>0</v>
      </c>
      <c r="JF116" s="282">
        <f>IF($DE116&lt;&gt;$JF$9,0,$JA116*VLOOKUP($JF$9,各项系数!$D$4:$F$540,2,0)*10^-3*10^2)*各项系数!$J$4</f>
        <v>0.25639083886206393</v>
      </c>
      <c r="JG116" s="102">
        <v>1</v>
      </c>
      <c r="JH116" s="189">
        <f t="shared" si="364"/>
        <v>0.25639083886206393</v>
      </c>
      <c r="JI116" s="262">
        <f>JH116*VLOOKUP($JF$9,各项系数!$D$4:$F$540,3,0)</f>
        <v>0.30766900663447672</v>
      </c>
      <c r="JJ116" s="289">
        <f t="shared" si="469"/>
        <v>0.25639083886206393</v>
      </c>
      <c r="JK116" s="78">
        <f t="shared" si="470"/>
        <v>0.30766900663447672</v>
      </c>
      <c r="JL116" s="289">
        <f>IF($DF116&lt;&gt;$JL$9,0,各项系数!$F$76/4*($NE116^2-$NC116^2)*10^-2*各项系数!$F$39*10^-3*10^2)*各项系数!$J$4</f>
        <v>1.6633472039473318E-3</v>
      </c>
      <c r="JM116" s="106">
        <v>1</v>
      </c>
      <c r="JN116" s="78">
        <f t="shared" si="471"/>
        <v>1.6633472039473318E-3</v>
      </c>
      <c r="JO116" s="264">
        <f>JN116*各项系数!$E$39</f>
        <v>3.3266944078946634E-2</v>
      </c>
      <c r="JP116" s="289">
        <f>IF($DF116&lt;&gt;$JP$9,0,各项系数!$F$76/4*($NE116^2-$NC116^2)*10^-2*各项系数!$F$36*10^-3*10^2)*各项系数!$J$4</f>
        <v>0</v>
      </c>
      <c r="JQ116" s="106">
        <v>1</v>
      </c>
      <c r="JR116" s="78">
        <f t="shared" si="472"/>
        <v>0</v>
      </c>
      <c r="JS116" s="264">
        <f>JR116*各项系数!$E$36</f>
        <v>0</v>
      </c>
      <c r="JT116" s="289">
        <f>IF($DF116&lt;&gt;$JT$9,0,各项系数!$F$76/4*($NE116^2-$NC116^2)*10^-2*各项系数!$F$40*10^-3*10^2)*各项系数!$J$4</f>
        <v>0</v>
      </c>
      <c r="JU116" s="106">
        <v>1</v>
      </c>
      <c r="JV116" s="78">
        <f t="shared" si="473"/>
        <v>0</v>
      </c>
      <c r="JW116" s="264">
        <f>JV116*各项系数!$E$40</f>
        <v>0</v>
      </c>
      <c r="JX116" s="289">
        <f>IF($DF116&lt;&gt;$JX$9,0,各项系数!$F$76/4*($NE116^2-$NC116^2)*10^-2*各项系数!$F$38*10^-3*10^2)*各项系数!$J$4</f>
        <v>0</v>
      </c>
      <c r="JY116" s="106">
        <v>1</v>
      </c>
      <c r="JZ116" s="78">
        <f t="shared" si="474"/>
        <v>0</v>
      </c>
      <c r="KA116" s="264">
        <f>JZ116*各项系数!$E$38</f>
        <v>0</v>
      </c>
      <c r="KB116" s="289">
        <f>IF($DF116&lt;&gt;$KB$9,0,各项系数!$F$76/4*($NE116^2-$NC116^2)*10^-2*各项系数!$F$41*10^-3*10^2)*各项系数!$J$4</f>
        <v>0</v>
      </c>
      <c r="KC116" s="106">
        <v>1</v>
      </c>
      <c r="KD116" s="78">
        <f t="shared" si="475"/>
        <v>0</v>
      </c>
      <c r="KE116" s="264">
        <f>KD116*各项系数!$E$41</f>
        <v>0</v>
      </c>
      <c r="KF116" s="78">
        <f t="shared" si="476"/>
        <v>1.6633472039473318E-3</v>
      </c>
      <c r="KG116" s="78">
        <f t="shared" si="477"/>
        <v>3.3266944078946634E-2</v>
      </c>
      <c r="KH116" s="237">
        <f>各项系数!$F$76/4*($NG116^2-$NE116^2)*10^-2*各项系数!$F$44*10^-3*10^2*各项系数!$J$4*0.75*$U116</f>
        <v>0.16721218424045287</v>
      </c>
      <c r="KI116" s="106">
        <v>1</v>
      </c>
      <c r="KJ116" s="78">
        <f t="shared" si="478"/>
        <v>0.16721218424045287</v>
      </c>
      <c r="KK116" s="78">
        <f>ROUND(KJ116*各项系数!$E$43,GT116)</f>
        <v>1</v>
      </c>
      <c r="KL116" s="235">
        <f>各项系数!$F$76/4*($NF116^2-$NE116^2)*10^-2*各项系数!$F$46*10^-3*10^2*各项系数!$J$4*PI()/4*R116</f>
        <v>2.09261322878804E-2</v>
      </c>
      <c r="KM116" s="106">
        <v>1</v>
      </c>
      <c r="KN116" s="78">
        <f t="shared" si="479"/>
        <v>2.09261322878804E-2</v>
      </c>
      <c r="KO116" s="78">
        <f>KN116*各项系数!$E$46</f>
        <v>1.4125139294319271</v>
      </c>
      <c r="KP116" s="237">
        <f>各项系数!$F$76/4*($NH116^2-$NE116^2)*10^-2*(VLOOKUP($KP$9,各项系数!$D$1:$F$143,3,0))*10^-3*10^2*各项系数!$J$4</f>
        <v>0.13625710564632207</v>
      </c>
      <c r="KQ116" s="106">
        <v>1</v>
      </c>
      <c r="KR116" s="78">
        <f t="shared" si="416"/>
        <v>0.13625710564632207</v>
      </c>
      <c r="KS116" s="78">
        <f>KR116*(VLOOKUP($KP$9,各项系数!$D$1:$F$143,2,0))</f>
        <v>2.3163707959874751</v>
      </c>
      <c r="KT116" s="237">
        <f>各项系数!$F$76/4*($NI116^2-$NF116^2)*10^-2*(VLOOKUP($KT$9,各项系数!$D$1:$F$143,3,0))*10^-3*10^2*各项系数!$J$4</f>
        <v>0.13756247509300046</v>
      </c>
      <c r="KU116" s="106">
        <v>1</v>
      </c>
      <c r="KV116" s="78">
        <f t="shared" si="417"/>
        <v>0.13756247509300046</v>
      </c>
      <c r="KW116" s="78">
        <f>KV116*(VLOOKUP($KT$9,各项系数!$D$1:$F$143,2,0))</f>
        <v>2.3385620765810078</v>
      </c>
      <c r="KX116" s="78">
        <f>各项系数!$F$76/4*($NH116^2-$NE116^2)*10^-2*(VLOOKUP($KX$9,各项系数!$D$1:$F$143,3,0))*10^-3*10^2*各项系数!$J$4</f>
        <v>0.13625710564632207</v>
      </c>
      <c r="KY116" s="355">
        <v>1</v>
      </c>
      <c r="KZ116" s="78">
        <f t="shared" si="418"/>
        <v>0.13625710564632207</v>
      </c>
      <c r="LA116" s="78">
        <f>KZ116*(VLOOKUP($KX$9,各项系数!$D$1:$F$143,2,0))</f>
        <v>2.3163707959874751</v>
      </c>
      <c r="LB116" s="78">
        <f>各项系数!$F$76/4*($NI116^2-$NF116^2)*10^-2*(VLOOKUP($LB$9,各项系数!$D$1:$F$143,3,0))*10^-3*10^2*各项系数!$J$4</f>
        <v>0.13756247509300046</v>
      </c>
      <c r="LC116" s="355">
        <v>1</v>
      </c>
      <c r="LD116" s="78">
        <f t="shared" si="419"/>
        <v>0.13756247509300046</v>
      </c>
      <c r="LE116" s="78">
        <f>LD116*(VLOOKUP($LB$9,各项系数!$D$1:$F$143,2,0))</f>
        <v>2.3385620765810078</v>
      </c>
      <c r="LF116" s="237">
        <f>各项系数!$F$76/4*($NH116^2-$NE116^2)*10^-2*(VLOOKUP(AN116,各项系数!$D$1:$F$143,3,0))*10^-3*10^2*各项系数!$J$4</f>
        <v>0.13813651400006441</v>
      </c>
      <c r="LG116" s="106">
        <v>1</v>
      </c>
      <c r="LH116" s="78">
        <f t="shared" si="480"/>
        <v>0.13813651400006441</v>
      </c>
      <c r="LI116" s="78">
        <f>LH116*(VLOOKUP(AN116,各项系数!$D$1:$F$143,2,0))</f>
        <v>1.3813651400006441</v>
      </c>
      <c r="LJ116" s="237">
        <f>各项系数!$F$76/4*($NI116^2-$NF116^2)*10^-2*(VLOOKUP(AN116,各项系数!$D$1:$F$143,3,0))*10^-3*10^2*各项系数!$J$4</f>
        <v>0.13945988854255909</v>
      </c>
      <c r="LK116" s="106">
        <v>1</v>
      </c>
      <c r="LL116" s="78">
        <f t="shared" si="481"/>
        <v>0.13945988854255909</v>
      </c>
      <c r="LM116" s="78">
        <f>LL116*(VLOOKUP(AN116,各项系数!$D$1:$F$143,2,0))</f>
        <v>1.3945988854255909</v>
      </c>
      <c r="LN116" s="78">
        <f>各项系数!$F$76/4*($NH116^2-$NE116^2)*10^-2*(VLOOKUP($LN$9,各项系数!$D$1:$F$143,3,0))*10^-3*10^2*各项系数!$J$4</f>
        <v>0.13813651400006441</v>
      </c>
      <c r="LO116" s="355">
        <v>1</v>
      </c>
      <c r="LP116" s="78">
        <f t="shared" si="482"/>
        <v>0.13813651400006441</v>
      </c>
      <c r="LQ116" s="78">
        <f>LP116*(VLOOKUP($LN$9,各项系数!$D$1:$F$143,2,0))</f>
        <v>1.5195016540007085</v>
      </c>
      <c r="LR116" s="78">
        <f>各项系数!$F$76/4*($NI116^2-$NF116^2)*10^-2*(VLOOKUP($LR$9,各项系数!$D$1:$F$143,3,0))*10^-3*10^2*各项系数!$J$4</f>
        <v>0.13945988854255909</v>
      </c>
      <c r="LS116" s="355">
        <v>1</v>
      </c>
      <c r="LT116" s="78">
        <f t="shared" si="483"/>
        <v>0.13945988854255909</v>
      </c>
      <c r="LU116" s="78">
        <f>LT116*(VLOOKUP($LR$9,各项系数!$D$1:$F$143,2,0))</f>
        <v>1.5340587739681499</v>
      </c>
      <c r="LV116" s="367">
        <f t="shared" si="420"/>
        <v>36.463614970000002</v>
      </c>
      <c r="LW116" s="367">
        <f t="shared" si="421"/>
        <v>28.36058942</v>
      </c>
      <c r="LX116" s="367">
        <f t="shared" si="422"/>
        <v>6.0091450275011393</v>
      </c>
      <c r="LY116" s="367">
        <f t="shared" si="423"/>
        <v>8.1030255500000017</v>
      </c>
      <c r="LZ116" s="374">
        <f t="shared" si="365"/>
        <v>1</v>
      </c>
      <c r="MA116" s="375">
        <f t="shared" si="366"/>
        <v>36.463614970000002</v>
      </c>
      <c r="MB116" s="367">
        <f t="shared" si="424"/>
        <v>3.9339088499999999</v>
      </c>
      <c r="MC116" s="367">
        <f t="shared" si="425"/>
        <v>11.233739959999999</v>
      </c>
      <c r="MD116" s="367">
        <f t="shared" si="426"/>
        <v>11.233739959999999</v>
      </c>
      <c r="ME116" s="367">
        <f t="shared" si="427"/>
        <v>3.781962711654308</v>
      </c>
      <c r="MF116" s="367">
        <f t="shared" si="428"/>
        <v>0</v>
      </c>
      <c r="MG116" s="379">
        <f t="shared" si="429"/>
        <v>1</v>
      </c>
      <c r="MH116" s="375">
        <f t="shared" si="367"/>
        <v>11.233739959999999</v>
      </c>
      <c r="MI116" s="367">
        <f t="shared" si="430"/>
        <v>2.6742514796054246</v>
      </c>
      <c r="MJ116" s="78">
        <f t="shared" si="368"/>
        <v>3.9339088499999999</v>
      </c>
      <c r="MK116" s="78">
        <f t="shared" si="431"/>
        <v>3.9339088499999999</v>
      </c>
      <c r="ML116" s="78">
        <f t="shared" si="484"/>
        <v>2.6742514801286199</v>
      </c>
      <c r="MM116" s="78">
        <f t="shared" si="369"/>
        <v>2.6742514796054246</v>
      </c>
      <c r="MN116" s="78">
        <f t="shared" si="370"/>
        <v>5.3339088500000003</v>
      </c>
      <c r="MO116" s="189">
        <f t="shared" si="432"/>
        <v>4.0742514796054241</v>
      </c>
      <c r="MP116" s="78">
        <f t="shared" si="433"/>
        <v>13.041123929999999</v>
      </c>
      <c r="MQ116" s="78">
        <f t="shared" si="485"/>
        <v>13.041123929999999</v>
      </c>
      <c r="MR116" s="246">
        <f t="shared" si="434"/>
        <v>13.041123929999999</v>
      </c>
      <c r="MS116" s="380">
        <f t="shared" si="371"/>
        <v>13.21712393</v>
      </c>
      <c r="MT116" s="382">
        <f t="shared" si="372"/>
        <v>13.37712393</v>
      </c>
      <c r="MU116" s="382">
        <f t="shared" si="373"/>
        <v>13.817123929999999</v>
      </c>
      <c r="MV116" s="382">
        <f t="shared" si="374"/>
        <v>16.817123930000001</v>
      </c>
      <c r="MW116" s="382">
        <f t="shared" si="375"/>
        <v>16.977123930000001</v>
      </c>
      <c r="MX116" s="246">
        <f t="shared" si="376"/>
        <v>4.5339088499999995</v>
      </c>
      <c r="MY116" s="246">
        <f t="shared" si="377"/>
        <v>3.2742514796054247</v>
      </c>
      <c r="MZ116" s="78">
        <f t="shared" si="378"/>
        <v>5.9339088499999999</v>
      </c>
      <c r="NA116" s="78">
        <f t="shared" si="379"/>
        <v>4.6742514796054246</v>
      </c>
      <c r="NB116" s="78">
        <f t="shared" si="435"/>
        <v>14.66112393</v>
      </c>
      <c r="NC116" s="246">
        <f t="shared" si="486"/>
        <v>14.66112393</v>
      </c>
      <c r="ND116" s="246">
        <f t="shared" si="436"/>
        <v>14.66112393</v>
      </c>
      <c r="NE116" s="386">
        <f t="shared" si="437"/>
        <v>14.901123930000001</v>
      </c>
      <c r="NF116" s="382">
        <f t="shared" si="380"/>
        <v>15.061123930000001</v>
      </c>
      <c r="NG116" s="150">
        <f t="shared" si="381"/>
        <v>15.50112393</v>
      </c>
      <c r="NH116" s="246">
        <f t="shared" si="382"/>
        <v>18.501123930000002</v>
      </c>
      <c r="NI116" s="382">
        <f t="shared" si="383"/>
        <v>18.661123930000002</v>
      </c>
      <c r="NK116" s="390">
        <f t="shared" si="384"/>
        <v>0.59503719161930047</v>
      </c>
      <c r="NL116" s="390">
        <f t="shared" si="385"/>
        <v>25.226852556575317</v>
      </c>
      <c r="NM116" s="390">
        <f t="shared" si="386"/>
        <v>0.59503719161930047</v>
      </c>
      <c r="NN116" s="390">
        <f t="shared" si="387"/>
        <v>25.351060553515623</v>
      </c>
      <c r="NO116" s="390">
        <f t="shared" si="388"/>
        <v>0.84677388886455618</v>
      </c>
      <c r="NP116" s="390">
        <f t="shared" si="389"/>
        <v>26.35087606024447</v>
      </c>
      <c r="NQ116" s="390">
        <f t="shared" si="390"/>
        <v>0.84677388886455618</v>
      </c>
      <c r="NR116" s="390">
        <f t="shared" si="391"/>
        <v>26.489012574244537</v>
      </c>
      <c r="NS116" s="390">
        <f t="shared" si="392"/>
        <v>0.6136110566849452</v>
      </c>
      <c r="NT116" s="390">
        <f t="shared" si="393"/>
        <v>0.6136110566849452</v>
      </c>
      <c r="NU116" s="390">
        <f t="shared" si="394"/>
        <v>0.86770002115243661</v>
      </c>
      <c r="NV116" s="390">
        <f t="shared" si="395"/>
        <v>0.86770002115243661</v>
      </c>
      <c r="NW116" s="9">
        <f t="shared" si="396"/>
        <v>0.69416266099873014</v>
      </c>
      <c r="NX116" s="9">
        <f>各项系数!$M$9*NK116</f>
        <v>0.17851115748579013</v>
      </c>
      <c r="NY116" s="9">
        <f t="shared" si="397"/>
        <v>0.6136110566849452</v>
      </c>
    </row>
    <row r="117" spans="1:389" ht="15" hidden="1" customHeight="1">
      <c r="A117" s="65"/>
      <c r="B117" s="66"/>
      <c r="C117" s="67"/>
      <c r="D117" s="53" t="s">
        <v>381</v>
      </c>
      <c r="E117" s="399">
        <f t="shared" si="503"/>
        <v>19.843878910000001</v>
      </c>
      <c r="F117" s="68">
        <f>$F$21</f>
        <v>165.41681820668899</v>
      </c>
      <c r="G117" s="58"/>
      <c r="H117" s="16"/>
      <c r="I117" s="145">
        <f>$F$20</f>
        <v>131.13029499843299</v>
      </c>
      <c r="J117" s="62"/>
      <c r="K117" s="16"/>
      <c r="L117" s="97" t="s">
        <v>467</v>
      </c>
      <c r="M117" s="98">
        <f t="shared" si="339"/>
        <v>0.7</v>
      </c>
      <c r="N117" s="98">
        <f t="shared" si="501"/>
        <v>0.7</v>
      </c>
      <c r="O117" s="58">
        <f t="shared" si="502"/>
        <v>0.08</v>
      </c>
      <c r="P117" s="99">
        <v>0.1</v>
      </c>
      <c r="Q117" s="136">
        <f t="shared" si="512"/>
        <v>0.1</v>
      </c>
      <c r="R117" s="151">
        <v>0.8</v>
      </c>
      <c r="S117" s="144" t="str">
        <f>各项系数!$D$43</f>
        <v>钢带</v>
      </c>
      <c r="T117" s="62">
        <v>0.2</v>
      </c>
      <c r="U117" s="62">
        <v>2</v>
      </c>
      <c r="V117" s="143"/>
      <c r="W117" s="145">
        <v>1.8</v>
      </c>
      <c r="X117" s="139">
        <f t="shared" si="513"/>
        <v>0.2</v>
      </c>
      <c r="Y117" s="139"/>
      <c r="Z117" s="169"/>
      <c r="AA117" s="170">
        <f>$AA$21</f>
        <v>1.0109999999999999</v>
      </c>
      <c r="AB117" s="153">
        <f>PI()*EJ117*EJ117/4*EH117*(1-H117)*AA117*各项系数!$F$5*各项系数!$J$4*10^-7</f>
        <v>0.13453127076823812</v>
      </c>
      <c r="AC117" s="170">
        <f t="shared" si="504"/>
        <v>165.41681820668899</v>
      </c>
      <c r="AD117" s="153">
        <f t="shared" si="341"/>
        <v>15.208920956666137</v>
      </c>
      <c r="AE117" s="153">
        <f>POWER(4*EU117/PI()/EG117/10^-7/EH117/(1-H117)/各项系数!$F$5/各项系数!$J$4,0.5)</f>
        <v>166.32412244418026</v>
      </c>
      <c r="AF117" s="16">
        <f>$AA$20</f>
        <v>1.0109999999999999</v>
      </c>
      <c r="AG117" s="16">
        <f>IF(EM117=0,0,PI()*ER117*ER117/4*EP117*(1-K117)*(1+AF117)*各项系数!$F$5*各项系数!$J$4*10^-7)</f>
        <v>0.16816317952909404</v>
      </c>
      <c r="AH117" s="16">
        <f t="shared" si="505"/>
        <v>131.13029499843299</v>
      </c>
      <c r="AI117" s="69">
        <f t="shared" si="398"/>
        <v>9.5575186339704263</v>
      </c>
      <c r="AJ117" s="69">
        <f>IF(OR(EP117="",EP117=0),0,POWER(4*EW117/PI()/EO117/10^-7/EP117/(1-K117)/各项系数!$F$5/各项系数!$J$4,0.5))</f>
        <v>131.84953910919143</v>
      </c>
      <c r="AK117" s="16">
        <f t="shared" si="342"/>
        <v>0.57267683021014848</v>
      </c>
      <c r="AL117" s="16">
        <f t="shared" si="506"/>
        <v>41.2481962168347</v>
      </c>
      <c r="AM117" s="188">
        <f t="shared" si="507"/>
        <v>16</v>
      </c>
      <c r="AN117" s="97" t="s">
        <v>486</v>
      </c>
      <c r="AO117" s="196">
        <f>AP117+各项系数!$M$9*$NK117</f>
        <v>40.439408055720293</v>
      </c>
      <c r="AP117" s="196">
        <f>AQ117*(1+$BI117+(VLOOKUP($AM117,$A$12:$B$323,2,0))+各项系数!$J$6+各项系数!$M$5)*(1+$E$2)</f>
        <v>40.173402926274733</v>
      </c>
      <c r="AQ117" s="197">
        <f>AR117+各项系数!$L$9*$NK117</f>
        <v>40.993268292117072</v>
      </c>
      <c r="AR117" s="197">
        <f>AS117*(1+$BJ117+各项系数!$J$5+各项系数!$L$5)</f>
        <v>40.727263162671512</v>
      </c>
      <c r="AS117" s="197">
        <f t="shared" si="399"/>
        <v>39.928689375168148</v>
      </c>
      <c r="AT117" s="196">
        <f>AU117+各项系数!$M$9*$NM117</f>
        <v>41.44918323348324</v>
      </c>
      <c r="AU117" s="196">
        <f>AV117*(1+$BI117+(VLOOKUP($AM117,$A$12:$B$323,2,0))+各项系数!$J$6+各项系数!$M$5)*(1+$E$2)</f>
        <v>41.18317810403768</v>
      </c>
      <c r="AV117" s="197">
        <f>AW117+各项系数!$L$9*$NM117</f>
        <v>42.023651126569064</v>
      </c>
      <c r="AW117" s="197">
        <f>AX117*(1+$BJ117+各项系数!$J$5+各项系数!$L$5)</f>
        <v>41.757645997123504</v>
      </c>
      <c r="AX117" s="197">
        <f t="shared" si="400"/>
        <v>40.938868624630885</v>
      </c>
      <c r="AY117" s="196">
        <f>AZ117+各项系数!$M$9*$NS117</f>
        <v>42.004682347776118</v>
      </c>
      <c r="AZ117" s="196">
        <f>BA117*(1+$BI117+(VLOOKUP($AM117,$A$12:$B$214,2,0))+各项系数!$J$6+各项系数!$M$5)*(1+$E$2)</f>
        <v>41.7318366971964</v>
      </c>
      <c r="BA117" s="197">
        <f>BB117+各项系数!$L$9*$NS117</f>
        <v>42.583506833873876</v>
      </c>
      <c r="BB117" s="197">
        <f>BC117*(1+$BJ117+各项系数!$J$5+各项系数!$L$5)</f>
        <v>42.310661183294158</v>
      </c>
      <c r="BC117" s="199">
        <f t="shared" si="401"/>
        <v>41.481040375778583</v>
      </c>
      <c r="BD117" s="196">
        <f>BE117+各项系数!$M$9*$NS117</f>
        <v>43.023411477693571</v>
      </c>
      <c r="BE117" s="196">
        <f>BF117*(1+$BI117+(VLOOKUP($AM117,$A$12:$B$214,2,0))+各项系数!$J$6+各项系数!$M$5)*(1+$E$2)</f>
        <v>42.750565827113853</v>
      </c>
      <c r="BF117" s="197">
        <f>BG117+各项系数!$L$9*$NS117</f>
        <v>43.623026354197812</v>
      </c>
      <c r="BG117" s="197">
        <f>BH117*(1+$BJ117+各项系数!$J$5+各项系数!$L$5)</f>
        <v>43.350180703618094</v>
      </c>
      <c r="BH117" s="199">
        <f t="shared" si="402"/>
        <v>42.500177160409898</v>
      </c>
      <c r="BI117" s="213"/>
      <c r="BJ117" s="208"/>
      <c r="BK117" s="53" t="s">
        <v>514</v>
      </c>
      <c r="BL117" s="196">
        <f>BM117+各项系数!$M$9*$NM117</f>
        <v>40.981354654167717</v>
      </c>
      <c r="BM117" s="196">
        <f>BN117*(1+$CF117+(VLOOKUP($AM117,$A$12:$B$323,2,0))+各项系数!$J$6+各项系数!$M$5)*(1+$E$2)</f>
        <v>40.715349524722157</v>
      </c>
      <c r="BN117" s="197">
        <f>BO117+各项系数!$L$9*$NM117</f>
        <v>41.546275025226691</v>
      </c>
      <c r="BO117" s="197">
        <f>BP117*(1+$CG117+各项系数!$J$5+各项系数!$L$5)</f>
        <v>41.280269895781132</v>
      </c>
      <c r="BP117" s="197">
        <f t="shared" si="403"/>
        <v>40.077931937651584</v>
      </c>
      <c r="BQ117" s="196">
        <f>BR117+各项系数!$M$9*$NM117</f>
        <v>41.850384146004622</v>
      </c>
      <c r="BR117" s="196">
        <f>BS117*(1+$CF117+(VLOOKUP($AM117,$A$12:$B$323,2,0))+各项系数!$J$6+各项系数!$M$5)*(1+$E$2)</f>
        <v>41.584379016559062</v>
      </c>
      <c r="BS117" s="197">
        <f>BT117+各项系数!$L$9*$NM117</f>
        <v>42.433039812815373</v>
      </c>
      <c r="BT117" s="197">
        <f>BU117*(1+$CG117+各项系数!$J$5+各项系数!$L$5)</f>
        <v>42.167034683369813</v>
      </c>
      <c r="BU117" s="197">
        <f t="shared" si="404"/>
        <v>40.938868624630885</v>
      </c>
      <c r="BV117" s="196">
        <f>BW117+各项系数!$M$9*$NT117</f>
        <v>42.303887197816465</v>
      </c>
      <c r="BW117" s="196">
        <f>BX117*(1+$CF117+(VLOOKUP($AM117,$A$12:$B$214,2,0))+各项系数!$J$6+各项系数!$M$5)*(1+$E$2)</f>
        <v>42.031041547236747</v>
      </c>
      <c r="BX117" s="197">
        <f>BY117+各项系数!$L$9*$NT$12</f>
        <v>42.888817905343622</v>
      </c>
      <c r="BY117" s="197">
        <f>BZ117*(1+$CG117+各项系数!$J$5+各项系数!$L$5)</f>
        <v>42.880554502188652</v>
      </c>
      <c r="BZ117" s="199">
        <f t="shared" si="343"/>
        <v>41.631606312804514</v>
      </c>
      <c r="CA117" s="196">
        <f>CB117+各项系数!$M$9*$NT117</f>
        <v>43.180622611389339</v>
      </c>
      <c r="CB117" s="196">
        <f>CC117*(1+$CF117+(VLOOKUP($AM117,$A$12:$B$214,2,0))+各项系数!$J$6+各项系数!$M$5)*(1+$E$2)</f>
        <v>42.90777696080962</v>
      </c>
      <c r="CC117" s="197">
        <f>CD117+各项系数!$L$9*$NT$12</f>
        <v>43.783445878377165</v>
      </c>
      <c r="CD117" s="197">
        <f>CE117*(1+$CG117+各项系数!$J$5+各项系数!$L$5)</f>
        <v>43.775182475222195</v>
      </c>
      <c r="CE117" s="199">
        <f t="shared" si="405"/>
        <v>42.500177160409898</v>
      </c>
      <c r="CF117" s="213">
        <f t="shared" ref="CF117:CF161" si="514">BI117+$CF$2</f>
        <v>0</v>
      </c>
      <c r="CG117" s="213">
        <f t="shared" si="344"/>
        <v>0.01</v>
      </c>
      <c r="CH117" s="102"/>
      <c r="CI117" s="196">
        <f>CJ117+各项系数!$M$9*$NO117</f>
        <v>42.243744012833908</v>
      </c>
      <c r="CJ117" s="196">
        <f>CK117*(1+$DC117+(VLOOKUP($AM117,$A$12:$B$323,2,0))+各项系数!$J$6+各项系数!$M$5)*(1+$E$2)+各项系数!$M$9*$NK117</f>
        <v>41.872254613922181</v>
      </c>
      <c r="CK117" s="197">
        <f>CL117+各项系数!$L$9*$NO117</f>
        <v>42.455356616812878</v>
      </c>
      <c r="CL117" s="197">
        <f>CM117*(1+$DD117+各项系数!$J$5+各项系数!$L$5)</f>
        <v>42.083867217901151</v>
      </c>
      <c r="CM117" s="197">
        <f t="shared" si="345"/>
        <v>41.258693350883483</v>
      </c>
      <c r="CN117" s="196">
        <f>CO117+各项系数!$M$9*$NO117</f>
        <v>43.11428973406754</v>
      </c>
      <c r="CO117" s="196">
        <f>CP117*(1+$DC117+(VLOOKUP($AM117,$A$12:$B$323,2,0))+各项系数!$J$6+各项系数!$M$5)*(1+$E$2)+各项系数!$M$9*$NK117</f>
        <v>42.742800335155813</v>
      </c>
      <c r="CP117" s="197">
        <f>CQ117+各项系数!$L$9*$NO117</f>
        <v>43.343668577255364</v>
      </c>
      <c r="CQ117" s="197">
        <f>CR117*(1+$DD117+各项系数!$J$5+各项系数!$L$5)</f>
        <v>42.972179178343637</v>
      </c>
      <c r="CR117" s="197">
        <f t="shared" si="346"/>
        <v>42.129587429748661</v>
      </c>
      <c r="CS117" s="196">
        <f>CT117+各项系数!$M$9*$NU117</f>
        <v>43.703124948460086</v>
      </c>
      <c r="CT117" s="196">
        <f t="shared" si="347"/>
        <v>43.324089348247526</v>
      </c>
      <c r="CU117" s="197">
        <f>CV117+各项系数!$L$9*$NU117</f>
        <v>44.208254436987275</v>
      </c>
      <c r="CV117" s="197">
        <f>CW117*(1+$DD117+各项系数!$J$5+各项系数!$L$5)</f>
        <v>43.829218836774714</v>
      </c>
      <c r="CW117" s="199">
        <f t="shared" si="348"/>
        <v>42.969822388994814</v>
      </c>
      <c r="CX117" s="196">
        <f>CY117+各项系数!$M$9*$NU117</f>
        <v>44.816094424803865</v>
      </c>
      <c r="CY117" s="196">
        <f t="shared" si="349"/>
        <v>44.437058824591304</v>
      </c>
      <c r="CZ117" s="197">
        <f>DA117+各项系数!$L$9*$NU117</f>
        <v>45.343937576113575</v>
      </c>
      <c r="DA117" s="197">
        <f>DB117*(1+$DD117+各项系数!$J$5+各项系数!$L$5)</f>
        <v>44.964901975901014</v>
      </c>
      <c r="DB117" s="199">
        <f t="shared" si="350"/>
        <v>44.083237231275504</v>
      </c>
      <c r="DC117" s="213">
        <f t="shared" si="498"/>
        <v>0</v>
      </c>
      <c r="DD117" s="213">
        <f t="shared" si="351"/>
        <v>0</v>
      </c>
      <c r="DE117" s="53" t="s">
        <v>498</v>
      </c>
      <c r="DF117" s="53" t="s">
        <v>513</v>
      </c>
      <c r="DG117" s="196">
        <f>DH117+各项系数!$M$9*$NQ117</f>
        <v>42.812784095363476</v>
      </c>
      <c r="DH117" s="196">
        <f>DI117*(1+$EA117+(VLOOKUP($AM117,$A$12:$B$323,2,0))+各项系数!$J$6+各项系数!$M$5)*(1+$E$2)+各项系数!$M$9*$NK117</f>
        <v>42.441294696451749</v>
      </c>
      <c r="DI117" s="197">
        <f>DJ117+各项系数!$L$9*$NQ117</f>
        <v>43.036009762251211</v>
      </c>
      <c r="DJ117" s="197">
        <f>DK117*(1+$EB117+各项系数!$J$5+各项系数!$L$5)</f>
        <v>42.664520363339484</v>
      </c>
      <c r="DK117" s="197">
        <f t="shared" si="352"/>
        <v>41.42186443042668</v>
      </c>
      <c r="DL117" s="196">
        <f>DM117+各项系数!$M$9*$NQ117</f>
        <v>43.762918413471532</v>
      </c>
      <c r="DM117" s="196">
        <f>DN117*(1+$EA117+(VLOOKUP($AM117,$A$12:$B$323,2,0))+各项系数!$J$6+各项系数!$M$5)*(1+$E$2)+各项系数!$M$9*$NK117</f>
        <v>43.391429014559805</v>
      </c>
      <c r="DN117" s="197">
        <f>DO117+各项系数!$L$9*$NQ117</f>
        <v>44.005534576647186</v>
      </c>
      <c r="DO117" s="197">
        <f>DP117*(1+$EB117+各项系数!$J$5+各项系数!$L$5)</f>
        <v>43.634045177735459</v>
      </c>
      <c r="DP117" s="197">
        <f t="shared" si="353"/>
        <v>42.36315065799559</v>
      </c>
      <c r="DQ117" s="196">
        <f>DR117+各项系数!$M$9*$NV117</f>
        <v>44.290269909826328</v>
      </c>
      <c r="DR117" s="196">
        <f t="shared" si="354"/>
        <v>43.911234309613768</v>
      </c>
      <c r="DS117" s="197">
        <f>DT117+各项系数!$L$9*$NV117</f>
        <v>44.80738194858548</v>
      </c>
      <c r="DT117" s="197">
        <f>DU117*(1+$EB117+各项系数!$J$5+各项系数!$L$5)</f>
        <v>44.428346348372919</v>
      </c>
      <c r="DU117" s="199">
        <f t="shared" si="355"/>
        <v>43.134316843080505</v>
      </c>
      <c r="DV117" s="196">
        <f>DW117+各项系数!$M$9*$NV117</f>
        <v>44.472139653624765</v>
      </c>
      <c r="DW117" s="196">
        <f t="shared" si="356"/>
        <v>44.093104053412205</v>
      </c>
      <c r="DX117" s="197">
        <f>DY117+各项系数!$L$9*$NV117</f>
        <v>44.992963319808375</v>
      </c>
      <c r="DY117" s="197">
        <f>DZ117*(1+$EB117+各项系数!$J$5+各项系数!$L$5)</f>
        <v>44.613927719595814</v>
      </c>
      <c r="DZ117" s="199">
        <f t="shared" si="357"/>
        <v>43.31449293164642</v>
      </c>
      <c r="EA117" s="213">
        <f t="shared" si="511"/>
        <v>0</v>
      </c>
      <c r="EB117" s="213">
        <f t="shared" si="358"/>
        <v>0.01</v>
      </c>
      <c r="EC117" s="235" t="str">
        <f t="shared" si="408"/>
        <v>3+2</v>
      </c>
      <c r="ED117" s="235" t="str">
        <f t="shared" si="494"/>
        <v>3*16</v>
      </c>
      <c r="EE117" s="189">
        <f t="shared" si="495"/>
        <v>16</v>
      </c>
      <c r="EF117" s="189" t="str">
        <f>LOOKUP(EH117,{1,7,10,14,19,24,30,37,48,61},{1,"1+6","2+8","4+10","1+6+12","2+8+14","4+10+16","1+6+12+18","3+9+15+21","1+6+12+18+24"})</f>
        <v>1+6</v>
      </c>
      <c r="EG117" s="188">
        <f t="shared" si="359"/>
        <v>3</v>
      </c>
      <c r="EH117" s="197">
        <f>VLOOKUP(EE117,各项系数!$B$87:$C$124,2,0)</f>
        <v>7</v>
      </c>
      <c r="EI117" s="188">
        <f>IF(EH117=0,0,VLOOKUP(EH117,各项系数!$D$142:$E$195,2,0))*1</f>
        <v>3</v>
      </c>
      <c r="EJ117" s="238">
        <f t="shared" si="409"/>
        <v>165.41681820668899</v>
      </c>
      <c r="EK117" s="189" t="str">
        <f t="shared" si="508"/>
        <v>2*10</v>
      </c>
      <c r="EL117" s="189" t="str">
        <f t="shared" si="360"/>
        <v>10</v>
      </c>
      <c r="EM117" s="189">
        <f t="shared" si="496"/>
        <v>10</v>
      </c>
      <c r="EN117" s="189" t="str">
        <f>IF(EP117=0,0,LOOKUP(EP117,{1,7,10,14,19,24,30,37,48,61},{1,"1+6","2+8","4+10","1+6+12","2+8+14","4+10+16","1+6+12+18","3+9+15+21","1+6+12+18+24"}))</f>
        <v>1+6</v>
      </c>
      <c r="EO117" s="189" t="str">
        <f t="shared" si="509"/>
        <v>2</v>
      </c>
      <c r="EP117" s="189">
        <f>IF(EM117=0,0,IF(EM117&lt;10,1,IF(AND(EM117&gt;=10,EM117&lt;=35),7,LOOKUP(EM117,{50,70,95,120,150,185,240,300},{10,14,19,24,30,37,48,61})*1)))</f>
        <v>7</v>
      </c>
      <c r="EQ117" s="189">
        <f>IF(EP117=0,0,VLOOKUP(EP117,各项系数!$D$142:$E$195,2,0))*1</f>
        <v>3</v>
      </c>
      <c r="ER117" s="189">
        <f t="shared" si="510"/>
        <v>131.13029499843299</v>
      </c>
      <c r="ES117" s="235">
        <f t="shared" si="497"/>
        <v>5</v>
      </c>
      <c r="ET117" s="189">
        <f>VLOOKUP(ES117,各项系数!$D$142:$E$195,2,0)*1</f>
        <v>2.7</v>
      </c>
      <c r="EU117" s="243">
        <f>((各项系数!$F$76/4*$EJ117^2*$EG117*$EH117*1*10^-7)*(1-$H117)*AA117)*(VLOOKUP($EY$9,各项系数!$D$4:$F$143,3,0))*各项系数!$J$4</f>
        <v>0.40359381230471436</v>
      </c>
      <c r="EV117" s="244">
        <f>EU117*(VLOOKUP($EY$9,各项系数!$D$4:$F$143,2,0))</f>
        <v>26.435394705958792</v>
      </c>
      <c r="EW117" s="252">
        <f>(IF($EO117=0,0,(各项系数!$F$76/4*$ER117^2*$EO117*$EP117*1*10^-7))*(1-$K117)*$AF117)*(VLOOKUP($EY$9,各项系数!$D$4:$F$143,3,0))*各项系数!$J$4</f>
        <v>0.16908301790543415</v>
      </c>
      <c r="EX117" s="253">
        <f>EW117*(VLOOKUP($EY$9,各项系数!$D$4:$F$143,2,0))</f>
        <v>11.074937672805937</v>
      </c>
      <c r="EY117" s="189">
        <f>((各项系数!$F$76/4*$EJ117^2*$EG117*$EH117*1*10^-7)*(1-$H117)*AA117+IF($EO117=0,0,(各项系数!$F$76/4*$ER117^2*$EO117*$EP117*1*10^-7))*(1-$K117)*$AF117)*(VLOOKUP($EY$9,各项系数!$D$4:$F$143,3,0))*各项系数!$J$4</f>
        <v>0.57267683021014848</v>
      </c>
      <c r="EZ117" s="102">
        <v>1</v>
      </c>
      <c r="FA117" s="189">
        <f t="shared" ref="FA117:FA157" si="515">EZ117*EY117</f>
        <v>0.57267683021014848</v>
      </c>
      <c r="FB117" s="254">
        <f>FA117*(VLOOKUP($EY$9,各项系数!$D$4:$F$143,2,0))</f>
        <v>37.510332378764723</v>
      </c>
      <c r="FC117" s="255"/>
      <c r="FD117" s="235">
        <f>各项系数!$F$76/4*($MN117^2-MK117^2)*10^-2*(VLOOKUP(L117,各项系数!$D$1:$F$143,3,0))*10^-3*10^2*$EG117*各项系数!$J$4</f>
        <v>4.0887776738571677E-2</v>
      </c>
      <c r="FE117" s="262">
        <f>FD117*VLOOKUP(L117,各项系数!$D$1:$F$143,2,0)</f>
        <v>0.4170553227334311</v>
      </c>
      <c r="FF117" s="188">
        <f>各项系数!$F$76/4*($MO117^2-ML117^2)*10^-2*(VLOOKUP(L117,各项系数!$D$1:$F$143,3,0))*10^-3*10^2*$EO117*各项系数!$J$4</f>
        <v>2.230699967850883E-2</v>
      </c>
      <c r="FG117" s="262">
        <f>FF117*VLOOKUP(L117,各项系数!$D$1:$F$143,2,0)</f>
        <v>0.22753139672079006</v>
      </c>
      <c r="FH117" s="235">
        <f t="shared" si="410"/>
        <v>6.3194776417080503E-2</v>
      </c>
      <c r="FI117" s="102">
        <v>1</v>
      </c>
      <c r="FJ117" s="189">
        <f t="shared" ref="FJ117:FJ157" si="516">FI117*FH117</f>
        <v>6.3194776417080503E-2</v>
      </c>
      <c r="FK117" s="262">
        <f>FJ117*VLOOKUP(L117,各项系数!$D$1:$F$143,2,0)</f>
        <v>0.64458671945422108</v>
      </c>
      <c r="FL117" s="235"/>
      <c r="FM117" s="102"/>
      <c r="FN117" s="189"/>
      <c r="FO117" s="262"/>
      <c r="FP117" s="282">
        <f t="shared" ref="FP117:FP157" si="517">FJ117</f>
        <v>6.3194776417080503E-2</v>
      </c>
      <c r="FQ117" s="282">
        <f t="shared" ref="FQ117:FQ157" si="518">FK117</f>
        <v>0.64458671945422108</v>
      </c>
      <c r="FR117" s="283">
        <f>各项系数!$F$76/4*($MQ117^2-$MN117^2*$EG117-$MO117^2*$EO117)*10^-2</f>
        <v>0.62699256946670157</v>
      </c>
      <c r="FS117" s="284">
        <f t="shared" si="411"/>
        <v>1</v>
      </c>
      <c r="FT117" s="285">
        <f t="shared" si="361"/>
        <v>0.62699256946670157</v>
      </c>
      <c r="FU117" s="302">
        <f>$FT117*(VLOOKUP($FT$9,各项系数!$D$1:$F$143,3,0))*10^-3*10^2*各项系数!$J$55</f>
        <v>7.486291279432418E-2</v>
      </c>
      <c r="FV117" s="303">
        <v>1</v>
      </c>
      <c r="FW117" s="304">
        <f t="shared" ref="FW117:FW157" si="519">FV117*FU117</f>
        <v>7.486291279432418E-2</v>
      </c>
      <c r="FX117" s="285">
        <f>FW117*(VLOOKUP($FT$9,各项系数!$D$1:$F$143,2,0))</f>
        <v>0.22458873838297255</v>
      </c>
      <c r="FY117" s="302">
        <f>IF($BK117&lt;&gt;$FY$9,0,各项系数!$F$76/4*($MS117^2-$MQ117^2)*10^-2*(VLOOKUP($FY$9,各项系数!$D$1:$F$143,3,0))*10^-3*10^2)*各项系数!$J$4</f>
        <v>0</v>
      </c>
      <c r="FZ117" s="303">
        <v>1</v>
      </c>
      <c r="GA117" s="304">
        <f t="shared" ref="GA117:GA157" si="520">FZ117*FY117</f>
        <v>0</v>
      </c>
      <c r="GB117" s="285">
        <f>GA117*(VLOOKUP($FY$9,各项系数!$D$1:$F$143,2,0))</f>
        <v>0</v>
      </c>
      <c r="GC117" s="302">
        <f>IF($BK117&lt;&gt;$GC$9,0,各项系数!$F$76/4*($MS117^2-$MQ117^2)*10^-2*(VLOOKUP($GC$9,各项系数!$D$1:$F$143,3,0))*10^-3*10^2)*各项系数!$J$4</f>
        <v>4.3996832350263956E-3</v>
      </c>
      <c r="GD117" s="303">
        <v>1</v>
      </c>
      <c r="GE117" s="304">
        <f t="shared" ref="GE117:GE157" si="521">GD117*GC117</f>
        <v>4.3996832350263956E-3</v>
      </c>
      <c r="GF117" s="285">
        <f>GE117*(VLOOKUP($GC$9,各项系数!$D$1:$F$143,2,0))</f>
        <v>5.6755913731840503E-2</v>
      </c>
      <c r="GG117" s="302">
        <f>IF($BK117&lt;&gt;$GG$9,0,各项系数!$F$76/4*($MS117^2-$MQ117^2)*10^-2*(VLOOKUP($GG$9,各项系数!$D$1:$F$143,3,0))*10^-3*10^2)*各项系数!$J$4</f>
        <v>0</v>
      </c>
      <c r="GH117" s="303">
        <v>1</v>
      </c>
      <c r="GI117" s="304">
        <f t="shared" ref="GI117:GI157" si="522">GH117*GG117</f>
        <v>0</v>
      </c>
      <c r="GJ117" s="285">
        <f>GI117*(VLOOKUP($GG$9,各项系数!$D$1:$F$143,2,0))</f>
        <v>0</v>
      </c>
      <c r="GK117" s="302">
        <f>IF($BK117&lt;&gt;$GK$9,0,各项系数!$F$76/4*($MS117^2-$MQ117^2)*10^-2*(VLOOKUP($GK$9,各项系数!$D$1:$F$143,3,0))*10^-3*10^2)*各项系数!$J$4</f>
        <v>0</v>
      </c>
      <c r="GL117" s="303">
        <v>1</v>
      </c>
      <c r="GM117" s="304">
        <f t="shared" ref="GM117:GM157" si="523">GL117*GK117</f>
        <v>0</v>
      </c>
      <c r="GN117" s="285">
        <f>GM117*(VLOOKUP($GK$9,各项系数!$D$1:$F$143,2,0))</f>
        <v>0</v>
      </c>
      <c r="GO117" s="304">
        <f t="shared" ref="GO117:GO157" si="524">GM117+GI117+GE117+GA117</f>
        <v>4.3996832350263956E-3</v>
      </c>
      <c r="GP117" s="304">
        <f t="shared" ref="GP117:GP157" si="525">GN117+GJ117+GF117+GB117</f>
        <v>5.6755913731840503E-2</v>
      </c>
      <c r="GQ117" s="315">
        <f>各项系数!$F$76/4*($MU117^2-$MS117^2)*10^-2*(VLOOKUP($S117,各项系数!$D$1:$F$143,3,0))*10^-3*10^2*各项系数!$J$4</f>
        <v>0.12132164880655991</v>
      </c>
      <c r="GR117" s="303">
        <v>1</v>
      </c>
      <c r="GS117" s="304">
        <f t="shared" ref="GS117:GS157" si="526">$GR117*$GQ117</f>
        <v>0.12132164880655991</v>
      </c>
      <c r="GT117" s="304">
        <f t="shared" si="457"/>
        <v>0</v>
      </c>
      <c r="GU117" s="304">
        <f>ROUND($GS117*(VLOOKUP($S117,各项系数!$D$1:$F$143,2,0))+$E$3*GS117,GT117)</f>
        <v>1</v>
      </c>
      <c r="GV117" s="315">
        <f>各项系数!$F$76/4*($MT117^2-$MS117^2)*10^-2*(VLOOKUP($GV$9,各项系数!$D$1:$F$143,3,0))*10^-3*10^2*各项系数!$J$4*PI()/4*R117</f>
        <v>2.2801737113859074E-2</v>
      </c>
      <c r="GW117" s="303">
        <v>1</v>
      </c>
      <c r="GX117" s="304">
        <f t="shared" ref="GX117:GX157" si="527">$GW117*$GV117</f>
        <v>2.2801737113859074E-2</v>
      </c>
      <c r="GY117" s="304">
        <f>$GX117*(VLOOKUP($GV$9,各项系数!$D$1:$F$143,2,0))</f>
        <v>1.5391172551854875</v>
      </c>
      <c r="GZ117" s="315">
        <f>各项系数!$F$76/4*($MV117^2-$MS117^2)*10^-2*(VLOOKUP($GZ$9,各项系数!$D$1:$F$143,3,0))*10^-3*10^2*各项系数!$J$4</f>
        <v>0.14721205142924257</v>
      </c>
      <c r="HA117" s="303">
        <v>1</v>
      </c>
      <c r="HB117" s="304">
        <f t="shared" si="412"/>
        <v>0.14721205142924257</v>
      </c>
      <c r="HC117" s="304">
        <f>HB117*(VLOOKUP($GZ$9,各项系数!$D$1:$F$143,2,0))</f>
        <v>2.5026048742971239</v>
      </c>
      <c r="HD117" s="315">
        <f>各项系数!$F$76/4*($MW117^2-$MT117^2)*10^-2*(VLOOKUP($HD$9,各项系数!$D$1:$F$143,3,0))*10^-3*10^2*各项系数!$J$4</f>
        <v>0.14851742087592087</v>
      </c>
      <c r="HE117" s="303">
        <v>1</v>
      </c>
      <c r="HF117" s="304">
        <f t="shared" si="413"/>
        <v>0.14851742087592087</v>
      </c>
      <c r="HG117" s="304">
        <f>HF117*(VLOOKUP($HD$9,各项系数!$D$1:$F$143,2,0))</f>
        <v>2.5247961548906548</v>
      </c>
      <c r="HH117" s="315">
        <f>各项系数!$F$76/4*($MV117^2-$MS117^2)*10^-2*(VLOOKUP($HH$9,各项系数!$D$1:$F$143,3,0))*10^-3*10^2*各项系数!$J$4</f>
        <v>0.14721205142924257</v>
      </c>
      <c r="HI117" s="322">
        <v>1</v>
      </c>
      <c r="HJ117" s="304">
        <f t="shared" si="414"/>
        <v>0.14721205142924257</v>
      </c>
      <c r="HK117" s="304">
        <f>HJ117*(VLOOKUP($HH$9,各项系数!$D$1:$F$143,2,0))</f>
        <v>2.5026048742971239</v>
      </c>
      <c r="HL117" s="315">
        <f>各项系数!$F$76/4*($MW117^2-$MT117^2)*10^-2*(VLOOKUP($HL$9,各项系数!$D$1:$F$143,3,0))*10^-3*10^2*各项系数!$J$4</f>
        <v>0.14851742087592087</v>
      </c>
      <c r="HM117" s="322">
        <v>1</v>
      </c>
      <c r="HN117" s="304">
        <f t="shared" si="362"/>
        <v>0.14851742087592087</v>
      </c>
      <c r="HO117" s="304">
        <f>HN117*(VLOOKUP($HL$9,各项系数!$D$1:$F$143,2,0))</f>
        <v>2.5247961548906548</v>
      </c>
      <c r="HP117" s="315">
        <f>各项系数!$F$76/4*($MV117^2-$MS117^2)*10^-2*(VLOOKUP(AN117,各项系数!$D$1:$F$143,3,0))*10^-3*10^2*各项系数!$J$4</f>
        <v>0.14924256248343901</v>
      </c>
      <c r="HQ117" s="303">
        <v>1</v>
      </c>
      <c r="HR117" s="304">
        <f t="shared" ref="HR117:HR157" si="528">HQ117*HP117</f>
        <v>0.14924256248343901</v>
      </c>
      <c r="HS117" s="304">
        <f>HR117*(VLOOKUP(AN117,各项系数!$D$1:$F$143,2,0))</f>
        <v>1.4924256248343901</v>
      </c>
      <c r="HT117" s="315">
        <f>各项系数!$F$76/4*($MW117^2-$MT117^2)*10^-2*(VLOOKUP(AN117,各项系数!$D$1:$F$143,3,0))*10^-3*10^2*各项系数!$J$4</f>
        <v>0.1505659370259336</v>
      </c>
      <c r="HU117" s="303">
        <v>1</v>
      </c>
      <c r="HV117" s="304">
        <f t="shared" ref="HV117:HV157" si="529">HU117*HT117</f>
        <v>0.1505659370259336</v>
      </c>
      <c r="HW117" s="304">
        <f>HV117*(VLOOKUP(AN117,各项系数!$D$1:$F$143,2,0))</f>
        <v>1.5056593702593359</v>
      </c>
      <c r="HX117" s="315">
        <f>各项系数!$F$76/4*($MV117^2-$MS117^2)*10^-2*(VLOOKUP($HX$9,各项系数!$D$1:$F$143,3,0))*10^-3*10^2*各项系数!$J$4</f>
        <v>0.14924256248343901</v>
      </c>
      <c r="HY117" s="322">
        <v>1</v>
      </c>
      <c r="HZ117" s="304">
        <f t="shared" ref="HZ117:HZ157" si="530">HY117*HX117</f>
        <v>0.14924256248343901</v>
      </c>
      <c r="IA117" s="304">
        <f>HZ117*(VLOOKUP($HX$9,各项系数!$D$1:$F$143,2,0))</f>
        <v>1.6416681873178292</v>
      </c>
      <c r="IB117" s="315">
        <f>各项系数!$F$76/4*($MW117^2-$MT117^2)*10^-2*(VLOOKUP($IB$9,各项系数!$D$1:$F$143,3,0))*10^-3*10^2*各项系数!$J$4</f>
        <v>0.1505659370259336</v>
      </c>
      <c r="IC117" s="322">
        <v>1</v>
      </c>
      <c r="ID117" s="304">
        <f t="shared" ref="ID117:ID157" si="531">IC117*IB117</f>
        <v>0.1505659370259336</v>
      </c>
      <c r="IE117" s="304">
        <f>ID117*(VLOOKUP($IB$9,各项系数!$D$1:$F$143,2,0))</f>
        <v>1.6562253072852695</v>
      </c>
      <c r="IF117" s="328"/>
      <c r="IG117" s="315">
        <f t="shared" si="415"/>
        <v>3.4118715973239136E-2</v>
      </c>
      <c r="IH117" s="303">
        <v>1</v>
      </c>
      <c r="II117" s="304">
        <f t="shared" ref="II117:II157" si="532">IH117*IG117</f>
        <v>3.4118715973239136E-2</v>
      </c>
      <c r="IJ117" s="304">
        <f>II117*(VLOOKUP($IG$8,各项系数!$D$1:$F$143,2,0))</f>
        <v>0.85296789933097839</v>
      </c>
      <c r="IK117" s="315">
        <f>(各项系数!$F$76/4*($MX117^2-$MK117^2)*$EG117)*10^-2*(VLOOKUP($IG$8,各项系数!$D$1:$F$143,3,0))*10^-3*10^2*各项系数!$J$4</f>
        <v>2.2207476205352534E-2</v>
      </c>
      <c r="IL117" s="303">
        <f>IK117*(VLOOKUP($IG$8,各项系数!$D$1:$F$143,2,0))</f>
        <v>0.5551869051338133</v>
      </c>
      <c r="IM117" s="304">
        <f>(各项系数!$F$76/4*(($MM117+3*$X117)^2-MM117^2)*$EO117)*10^-2*(VLOOKUP($IG$8,各项系数!$D$1:$F$143,3,0))*10^-3*10^2*各项系数!$J$4</f>
        <v>1.1911239767886599E-2</v>
      </c>
      <c r="IN117" s="303">
        <f>IM117*(VLOOKUP($IG$8,各项系数!$D$1:$F$143,2,0))</f>
        <v>0.29778099419716497</v>
      </c>
      <c r="IO117" s="315">
        <f>各项系数!$F$76/4*($MZ117^2-$MX117^2)*10^-2*(VLOOKUP(L117,各项系数!$D$1:$F$143,3,0))*10^-3*10^2*$ES117*各项系数!$J$4</f>
        <v>7.5367088198929677E-2</v>
      </c>
      <c r="IP117" s="303">
        <v>1</v>
      </c>
      <c r="IQ117" s="304">
        <f t="shared" ref="IQ117:IQ157" si="533">IP117*IO117</f>
        <v>7.5367088198929677E-2</v>
      </c>
      <c r="IR117" s="285">
        <f>IQ117*(VLOOKUP(L117,各项系数!$D$1:$F$143,2,0))</f>
        <v>0.76874429962908264</v>
      </c>
      <c r="IS117" s="315">
        <f>IF($L117&lt;&gt;$IS$9,0,各项系数!$F$76/4*($MZ117^2-$MX117^2)*10^-2*各项系数!$F$12*10^-3*10^2)*$ES117*各项系数!$J$4</f>
        <v>0</v>
      </c>
      <c r="IT117" s="303">
        <v>1</v>
      </c>
      <c r="IU117" s="304">
        <f t="shared" ref="IU117:IU157" si="534">IT117*IS117</f>
        <v>0</v>
      </c>
      <c r="IV117" s="285">
        <f>IU117*各项系数!$E$12</f>
        <v>0</v>
      </c>
      <c r="IW117" s="302">
        <f t="shared" ref="IW117:IW157" si="535">IQ117</f>
        <v>7.5367088198929677E-2</v>
      </c>
      <c r="IX117" s="302">
        <f t="shared" ref="IX117:IX157" si="536">IR117</f>
        <v>0.76874429962908264</v>
      </c>
      <c r="IY117" s="339">
        <f>各项系数!$F$76/4*($NB117^2-$MZ117^2*$EG117-$NA117^2*$EO117)*10^-2</f>
        <v>0.76190771686666769</v>
      </c>
      <c r="IZ117" s="284">
        <f t="shared" si="487"/>
        <v>1</v>
      </c>
      <c r="JA117" s="285">
        <f t="shared" si="363"/>
        <v>0.76190771686666769</v>
      </c>
      <c r="JB117" s="282">
        <f>IF($DE117&lt;&gt;$JB$9,0,$JA117*各项系数!$F$32*10^-3*10^2)*各项系数!$J$4</f>
        <v>0</v>
      </c>
      <c r="JC117" s="102">
        <v>1</v>
      </c>
      <c r="JD117" s="189">
        <f t="shared" ref="JD117:JD157" si="537">JC117*JB117</f>
        <v>0</v>
      </c>
      <c r="JE117" s="262">
        <f>JD117*各项系数!$E$32</f>
        <v>0</v>
      </c>
      <c r="JF117" s="282">
        <f>IF($DE117&lt;&gt;$JF$9,0,$JA117*VLOOKUP($JF$9,各项系数!$D$4:$F$540,2,0)*10^-3*10^2)*各项系数!$J$4</f>
        <v>0.37904908914116719</v>
      </c>
      <c r="JG117" s="102">
        <v>1</v>
      </c>
      <c r="JH117" s="189">
        <f t="shared" si="364"/>
        <v>0.37904908914116719</v>
      </c>
      <c r="JI117" s="262">
        <f>JH117*VLOOKUP($JF$9,各项系数!$D$4:$F$540,3,0)</f>
        <v>0.45485890696940062</v>
      </c>
      <c r="JJ117" s="282">
        <f t="shared" ref="JJ117:JJ157" si="538">JH117+JD117</f>
        <v>0.37904908914116719</v>
      </c>
      <c r="JK117" s="189">
        <f t="shared" ref="JK117:JK157" si="539">JI117+JE117</f>
        <v>0.45485890696940062</v>
      </c>
      <c r="JL117" s="282">
        <f>IF($DF117&lt;&gt;$JL$9,0,各项系数!$F$76/4*($NE117^2-$NC117^2)*10^-2*各项系数!$F$39*10^-3*10^2)*各项系数!$J$4</f>
        <v>2.0039535378674599E-3</v>
      </c>
      <c r="JM117" s="102">
        <v>1</v>
      </c>
      <c r="JN117" s="189">
        <f t="shared" ref="JN117:JN157" si="540">JM117*JL117</f>
        <v>2.0039535378674599E-3</v>
      </c>
      <c r="JO117" s="262">
        <f>JN117*各项系数!$E$39</f>
        <v>4.0079070757349199E-2</v>
      </c>
      <c r="JP117" s="282">
        <f>IF($DF117&lt;&gt;$JP$9,0,各项系数!$F$76/4*($NE117^2-$NC117^2)*10^-2*各项系数!$F$36*10^-3*10^2)*各项系数!$J$4</f>
        <v>0</v>
      </c>
      <c r="JQ117" s="102">
        <v>1</v>
      </c>
      <c r="JR117" s="189">
        <f t="shared" ref="JR117:JR157" si="541">JQ117*JP117</f>
        <v>0</v>
      </c>
      <c r="JS117" s="262">
        <f>JR117*各项系数!$E$36</f>
        <v>0</v>
      </c>
      <c r="JT117" s="282">
        <f>IF($DF117&lt;&gt;$JT$9,0,各项系数!$F$76/4*($NE117^2-$NC117^2)*10^-2*各项系数!$F$40*10^-3*10^2)*各项系数!$J$4</f>
        <v>0</v>
      </c>
      <c r="JU117" s="102">
        <v>1</v>
      </c>
      <c r="JV117" s="189">
        <f t="shared" ref="JV117:JV157" si="542">JU117*JT117</f>
        <v>0</v>
      </c>
      <c r="JW117" s="262">
        <f>JV117*各项系数!$E$40</f>
        <v>0</v>
      </c>
      <c r="JX117" s="282">
        <f>IF($DF117&lt;&gt;$JX$9,0,各项系数!$F$76/4*($NE117^2-$NC117^2)*10^-2*各项系数!$F$38*10^-3*10^2)*各项系数!$J$4</f>
        <v>0</v>
      </c>
      <c r="JY117" s="102">
        <v>1</v>
      </c>
      <c r="JZ117" s="189">
        <f t="shared" ref="JZ117:JZ157" si="543">JY117*JX117</f>
        <v>0</v>
      </c>
      <c r="KA117" s="262">
        <f>JZ117*各项系数!$E$38</f>
        <v>0</v>
      </c>
      <c r="KB117" s="282">
        <f>IF($DF117&lt;&gt;$KB$9,0,各项系数!$F$76/4*($NE117^2-$NC117^2)*10^-2*各项系数!$F$41*10^-3*10^2)*各项系数!$J$4</f>
        <v>0</v>
      </c>
      <c r="KC117" s="102">
        <v>1</v>
      </c>
      <c r="KD117" s="189">
        <f t="shared" ref="KD117:KD157" si="544">KC117*KB117</f>
        <v>0</v>
      </c>
      <c r="KE117" s="262">
        <f>KD117*各项系数!$E$41</f>
        <v>0</v>
      </c>
      <c r="KF117" s="189">
        <f t="shared" ref="KF117:KF157" si="545">KD117+JZ117+JV117+JR117+JN117</f>
        <v>2.0039535378674599E-3</v>
      </c>
      <c r="KG117" s="189">
        <f t="shared" ref="KG117:KG157" si="546">KE117+KA117+JW117+JS117+JO117</f>
        <v>4.0079070757349199E-2</v>
      </c>
      <c r="KH117" s="235">
        <f>各项系数!$F$76/4*($NG117^2-$NE117^2)*10^-2*各项系数!$F$44*10^-3*10^2*各项系数!$J$4*0.75*$U117</f>
        <v>0.20050645338114792</v>
      </c>
      <c r="KI117" s="102">
        <v>1</v>
      </c>
      <c r="KJ117" s="189">
        <f t="shared" ref="KJ117:KJ157" si="547">KI117*KH117</f>
        <v>0.20050645338114792</v>
      </c>
      <c r="KK117" s="189">
        <f>ROUND(KJ117*各项系数!$E$43,GT117)</f>
        <v>1</v>
      </c>
      <c r="KL117" s="235">
        <f>各项系数!$F$76/4*($NF117^2-$NE117^2)*10^-2*各项系数!$F$46*10^-3*10^2*各项系数!$J$4*PI()/4*R117</f>
        <v>2.5154004336094601E-2</v>
      </c>
      <c r="KM117" s="102">
        <v>1</v>
      </c>
      <c r="KN117" s="189">
        <f t="shared" ref="KN117:KN157" si="548">$KL117*$KM117</f>
        <v>2.5154004336094601E-2</v>
      </c>
      <c r="KO117" s="189">
        <f>KN117*各项系数!$E$46</f>
        <v>1.6978952926863855</v>
      </c>
      <c r="KP117" s="235">
        <f>各项系数!$F$76/4*($NH117^2-$NE117^2)*10^-2*(VLOOKUP($KP$9,各项系数!$D$1:$F$143,3,0))*10^-3*10^2*各项系数!$J$4</f>
        <v>0.16095106485553268</v>
      </c>
      <c r="KQ117" s="102">
        <v>1</v>
      </c>
      <c r="KR117" s="189">
        <f t="shared" si="416"/>
        <v>0.16095106485553268</v>
      </c>
      <c r="KS117" s="189">
        <f>KR117*(VLOOKUP($KP$9,各项系数!$D$1:$F$143,2,0))</f>
        <v>2.7361681025440556</v>
      </c>
      <c r="KT117" s="235">
        <f>各项系数!$F$76/4*($NI117^2-$NF117^2)*10^-2*(VLOOKUP($KT$9,各项系数!$D$1:$F$143,3,0))*10^-3*10^2*各项系数!$J$4</f>
        <v>0.16225643430221104</v>
      </c>
      <c r="KU117" s="102">
        <v>1</v>
      </c>
      <c r="KV117" s="189">
        <f t="shared" si="417"/>
        <v>0.16225643430221104</v>
      </c>
      <c r="KW117" s="189">
        <f>KV117*(VLOOKUP($KT$9,各项系数!$D$1:$F$143,2,0))</f>
        <v>2.7583593831375879</v>
      </c>
      <c r="KX117" s="189">
        <f>各项系数!$F$76/4*($NH117^2-$NE117^2)*10^-2*(VLOOKUP($KX$9,各项系数!$D$1:$F$143,3,0))*10^-3*10^2*各项系数!$J$4</f>
        <v>0.16095106485553268</v>
      </c>
      <c r="KY117" s="353">
        <v>1</v>
      </c>
      <c r="KZ117" s="189">
        <f t="shared" si="418"/>
        <v>0.16095106485553268</v>
      </c>
      <c r="LA117" s="189">
        <f>KZ117*(VLOOKUP($KX$9,各项系数!$D$1:$F$143,2,0))</f>
        <v>2.7361681025440556</v>
      </c>
      <c r="LB117" s="189">
        <f>各项系数!$F$76/4*($NI117^2-$NF117^2)*10^-2*(VLOOKUP($LB$9,各项系数!$D$1:$F$143,3,0))*10^-3*10^2*各项系数!$J$4</f>
        <v>0.16225643430221104</v>
      </c>
      <c r="LC117" s="353">
        <v>1</v>
      </c>
      <c r="LD117" s="189">
        <f t="shared" si="419"/>
        <v>0.16225643430221104</v>
      </c>
      <c r="LE117" s="189">
        <f>LD117*(VLOOKUP($LB$9,各项系数!$D$1:$F$143,2,0))</f>
        <v>2.7583593831375879</v>
      </c>
      <c r="LF117" s="235">
        <f>各项系数!$F$76/4*($NH117^2-$NE117^2)*10^-2*(VLOOKUP(AN117,各项系数!$D$1:$F$143,3,0))*10^-3*10^2*各项系数!$J$4</f>
        <v>0.16317107954319518</v>
      </c>
      <c r="LG117" s="102">
        <v>1</v>
      </c>
      <c r="LH117" s="189">
        <f t="shared" ref="LH117:LH157" si="549">LG117*LF117</f>
        <v>0.16317107954319518</v>
      </c>
      <c r="LI117" s="189">
        <f>LH117*(VLOOKUP(AN117,各项系数!$D$1:$F$143,2,0))</f>
        <v>1.6317107954319519</v>
      </c>
      <c r="LJ117" s="235">
        <f>各项系数!$F$76/4*($NI117^2-$NF117^2)*10^-2*(VLOOKUP(AN117,各项系数!$D$1:$F$143,3,0))*10^-3*10^2*各项系数!$J$4</f>
        <v>0.16449445408568986</v>
      </c>
      <c r="LK117" s="102">
        <v>1</v>
      </c>
      <c r="LL117" s="189">
        <f t="shared" ref="LL117:LL157" si="550">LK117*LJ117</f>
        <v>0.16449445408568986</v>
      </c>
      <c r="LM117" s="189">
        <f>LL117*(VLOOKUP(AN117,各项系数!$D$1:$F$143,2,0))</f>
        <v>1.6449445408568986</v>
      </c>
      <c r="LN117" s="189">
        <f>各项系数!$F$76/4*($NH117^2-$NE117^2)*10^-2*(VLOOKUP($LN$9,各项系数!$D$1:$F$143,3,0))*10^-3*10^2*各项系数!$J$4</f>
        <v>0.16317107954319518</v>
      </c>
      <c r="LO117" s="353">
        <v>1</v>
      </c>
      <c r="LP117" s="189">
        <f t="shared" ref="LP117:LP157" si="551">LO117*LN117</f>
        <v>0.16317107954319518</v>
      </c>
      <c r="LQ117" s="189">
        <f>LP117*(VLOOKUP($LN$9,各项系数!$D$1:$F$143,2,0))</f>
        <v>1.794881874975147</v>
      </c>
      <c r="LR117" s="189">
        <f>各项系数!$F$76/4*($NI117^2-$NF117^2)*10^-2*(VLOOKUP($LR$9,各项系数!$D$1:$F$143,3,0))*10^-3*10^2*各项系数!$J$4</f>
        <v>0.16449445408568986</v>
      </c>
      <c r="LS117" s="353">
        <v>1</v>
      </c>
      <c r="LT117" s="189">
        <f t="shared" ref="LT117:LT157" si="552">LS117*LR117</f>
        <v>0.16449445408568986</v>
      </c>
      <c r="LU117" s="189">
        <f>LT117*(VLOOKUP($LR$9,各项系数!$D$1:$F$143,2,0))</f>
        <v>1.8094389949425884</v>
      </c>
      <c r="LV117" s="227">
        <f t="shared" si="420"/>
        <v>58.024708889999999</v>
      </c>
      <c r="LW117" s="227">
        <f t="shared" si="421"/>
        <v>45.130329140000001</v>
      </c>
      <c r="LX117" s="227">
        <f t="shared" si="422"/>
        <v>7.5803508974164018</v>
      </c>
      <c r="LY117" s="227">
        <f t="shared" si="423"/>
        <v>12.894379749999999</v>
      </c>
      <c r="LZ117" s="374">
        <f t="shared" si="365"/>
        <v>1</v>
      </c>
      <c r="MA117" s="375">
        <f t="shared" si="366"/>
        <v>58.024708889999999</v>
      </c>
      <c r="MB117" s="375">
        <f t="shared" si="424"/>
        <v>4.9625045400000003</v>
      </c>
      <c r="MC117" s="227">
        <f t="shared" si="425"/>
        <v>24.309076640000001</v>
      </c>
      <c r="MD117" s="227">
        <f t="shared" si="426"/>
        <v>18.907059610000001</v>
      </c>
      <c r="ME117" s="227">
        <f t="shared" si="427"/>
        <v>4.9064463688210207</v>
      </c>
      <c r="MF117" s="227">
        <f t="shared" si="428"/>
        <v>5.4020170299999997</v>
      </c>
      <c r="MG117" s="374">
        <f t="shared" si="429"/>
        <v>1</v>
      </c>
      <c r="MH117" s="375">
        <f t="shared" si="367"/>
        <v>24.309076640000001</v>
      </c>
      <c r="MI117" s="375">
        <f t="shared" si="430"/>
        <v>3.9339088496078416</v>
      </c>
      <c r="MJ117" s="189">
        <f t="shared" si="368"/>
        <v>4.9625045400000003</v>
      </c>
      <c r="MK117" s="189">
        <f t="shared" si="431"/>
        <v>4.9625045400000003</v>
      </c>
      <c r="ML117" s="189">
        <f t="shared" ref="ML117:ML157" si="553">$ER117*$EQ117*10^-2</f>
        <v>3.9339088499529895</v>
      </c>
      <c r="MM117" s="189">
        <f t="shared" si="369"/>
        <v>3.9339088496078416</v>
      </c>
      <c r="MN117" s="189">
        <f t="shared" si="370"/>
        <v>6.3625045399999998</v>
      </c>
      <c r="MO117" s="189">
        <f t="shared" si="432"/>
        <v>5.3339088496078411</v>
      </c>
      <c r="MP117" s="189">
        <f t="shared" si="433"/>
        <v>16.067878910000001</v>
      </c>
      <c r="MQ117" s="189">
        <f t="shared" ref="MQ117:MQ157" si="554">MP117</f>
        <v>16.067878910000001</v>
      </c>
      <c r="MR117" s="246">
        <f t="shared" si="434"/>
        <v>16.067878910000001</v>
      </c>
      <c r="MS117" s="380">
        <f t="shared" si="371"/>
        <v>16.243878909999999</v>
      </c>
      <c r="MT117" s="380">
        <f t="shared" si="372"/>
        <v>16.40387891</v>
      </c>
      <c r="MU117" s="380">
        <f t="shared" si="373"/>
        <v>16.843878910000001</v>
      </c>
      <c r="MV117" s="380">
        <f t="shared" si="374"/>
        <v>19.843878910000001</v>
      </c>
      <c r="MW117" s="380">
        <f t="shared" si="375"/>
        <v>20.003878910000001</v>
      </c>
      <c r="MX117" s="254">
        <f t="shared" si="376"/>
        <v>5.5625045400000008</v>
      </c>
      <c r="MY117" s="254">
        <f t="shared" si="377"/>
        <v>4.5339088496078421</v>
      </c>
      <c r="MZ117" s="189">
        <f t="shared" si="378"/>
        <v>6.9625045400000012</v>
      </c>
      <c r="NA117" s="189">
        <f t="shared" si="379"/>
        <v>5.9339088496078425</v>
      </c>
      <c r="NB117" s="189">
        <f t="shared" si="435"/>
        <v>17.687878909999998</v>
      </c>
      <c r="NC117" s="254">
        <f t="shared" ref="NC117:NC157" si="555">NB117</f>
        <v>17.687878909999998</v>
      </c>
      <c r="ND117" s="246">
        <f t="shared" si="436"/>
        <v>17.687878909999998</v>
      </c>
      <c r="NE117" s="386">
        <f t="shared" si="437"/>
        <v>17.927878909999997</v>
      </c>
      <c r="NF117" s="380">
        <f t="shared" si="380"/>
        <v>18.087878909999997</v>
      </c>
      <c r="NG117" s="387">
        <f t="shared" si="381"/>
        <v>18.527878909999998</v>
      </c>
      <c r="NH117" s="254">
        <f t="shared" si="382"/>
        <v>21.527878909999998</v>
      </c>
      <c r="NI117" s="380">
        <f t="shared" si="383"/>
        <v>21.687878909999998</v>
      </c>
      <c r="NK117" s="388">
        <f t="shared" si="384"/>
        <v>0.8866837648185274</v>
      </c>
      <c r="NL117" s="388">
        <f t="shared" si="385"/>
        <v>40.15622077188894</v>
      </c>
      <c r="NM117" s="388">
        <f t="shared" si="386"/>
        <v>0.8866837648185274</v>
      </c>
      <c r="NN117" s="388">
        <f t="shared" si="387"/>
        <v>40.305463334372376</v>
      </c>
      <c r="NO117" s="388">
        <f t="shared" si="388"/>
        <v>1.2382979963724337</v>
      </c>
      <c r="NP117" s="388">
        <f t="shared" si="389"/>
        <v>41.556474345080652</v>
      </c>
      <c r="NQ117" s="388">
        <f t="shared" si="390"/>
        <v>1.2382979963724337</v>
      </c>
      <c r="NR117" s="388">
        <f t="shared" si="391"/>
        <v>41.719645424623842</v>
      </c>
      <c r="NS117" s="388">
        <f t="shared" si="392"/>
        <v>0.90948550193238642</v>
      </c>
      <c r="NT117" s="388">
        <f t="shared" si="393"/>
        <v>0.90948550193238642</v>
      </c>
      <c r="NU117" s="388">
        <f t="shared" si="394"/>
        <v>1.2634520007085281</v>
      </c>
      <c r="NV117" s="388">
        <f t="shared" si="395"/>
        <v>1.2634520007085281</v>
      </c>
      <c r="NW117">
        <f t="shared" si="396"/>
        <v>1.0080054136250873</v>
      </c>
      <c r="NX117">
        <f>各项系数!$M$9*NK117</f>
        <v>0.26600512944555821</v>
      </c>
      <c r="NY117">
        <f t="shared" si="397"/>
        <v>0.90948550193238642</v>
      </c>
    </row>
    <row r="118" spans="1:389" ht="15" hidden="1" customHeight="1">
      <c r="A118" s="65"/>
      <c r="B118" s="66"/>
      <c r="C118" s="67"/>
      <c r="D118" s="53" t="s">
        <v>386</v>
      </c>
      <c r="E118" s="399">
        <f t="shared" si="503"/>
        <v>23.674587259999999</v>
      </c>
      <c r="F118" s="68">
        <f>$F$22</f>
        <v>208.046961644752</v>
      </c>
      <c r="G118" s="58"/>
      <c r="H118" s="16"/>
      <c r="I118" s="145">
        <f>$F$21</f>
        <v>165.41681820668899</v>
      </c>
      <c r="J118" s="62"/>
      <c r="K118" s="16"/>
      <c r="L118" s="97" t="s">
        <v>467</v>
      </c>
      <c r="M118" s="98">
        <f t="shared" si="339"/>
        <v>0.9</v>
      </c>
      <c r="N118" s="98">
        <f t="shared" si="501"/>
        <v>0.7</v>
      </c>
      <c r="O118" s="58">
        <f t="shared" ref="O118:O127" si="556">$O$36</f>
        <v>0.08</v>
      </c>
      <c r="P118" s="99">
        <v>0.1</v>
      </c>
      <c r="Q118" s="136">
        <f t="shared" si="512"/>
        <v>0.1</v>
      </c>
      <c r="R118" s="151">
        <v>0.8</v>
      </c>
      <c r="S118" s="144" t="str">
        <f>各项系数!$D$43</f>
        <v>钢带</v>
      </c>
      <c r="T118" s="62">
        <v>0.2</v>
      </c>
      <c r="U118" s="62">
        <v>2</v>
      </c>
      <c r="V118" s="143"/>
      <c r="W118" s="145">
        <v>1.8</v>
      </c>
      <c r="X118" s="139">
        <f t="shared" si="513"/>
        <v>0.2</v>
      </c>
      <c r="Y118" s="139"/>
      <c r="Z118" s="169"/>
      <c r="AA118" s="170">
        <f>$AA$22</f>
        <v>1.0109999999999999</v>
      </c>
      <c r="AB118" s="153">
        <f>PI()*EJ118*EJ118/4*EH118*(1-H118)*AA118*各项系数!$F$5*各项系数!$J$4*10^-7</f>
        <v>0.21280737466777744</v>
      </c>
      <c r="AC118" s="170">
        <f t="shared" si="504"/>
        <v>208.046961644752</v>
      </c>
      <c r="AD118" s="153">
        <f t="shared" si="341"/>
        <v>24.058128060751155</v>
      </c>
      <c r="AE118" s="153">
        <f>POWER(4*EU118/PI()/EG118/10^-7/EH118/(1-H118)/各项系数!$F$5/各项系数!$J$4,0.5)</f>
        <v>209.18809041233357</v>
      </c>
      <c r="AF118" s="16">
        <f>$AA$21</f>
        <v>1.0109999999999999</v>
      </c>
      <c r="AG118" s="16">
        <f>IF(EM118=0,0,PI()*ER118*ER118/4*EP118*(1-K118)*(1+AF118)*各项系数!$F$5*各项系数!$J$4*10^-7)</f>
        <v>0.2675987987289089</v>
      </c>
      <c r="AH118" s="16">
        <f t="shared" si="505"/>
        <v>165.41681820668899</v>
      </c>
      <c r="AI118" s="69">
        <f t="shared" si="398"/>
        <v>15.208920956666134</v>
      </c>
      <c r="AJ118" s="69">
        <f>IF(OR(EP118="",EP118=0),0,POWER(4*EW118/PI()/EO118/10^-7/EP118/(1-K118)/各项系数!$F$5/各项系数!$J$4,0.5))</f>
        <v>166.32412244418023</v>
      </c>
      <c r="AK118" s="16">
        <f t="shared" si="342"/>
        <v>0.90748466553980867</v>
      </c>
      <c r="AL118" s="16">
        <f t="shared" si="506"/>
        <v>64.645860542507492</v>
      </c>
      <c r="AM118" s="188">
        <f t="shared" si="507"/>
        <v>25</v>
      </c>
      <c r="AN118" s="97" t="s">
        <v>486</v>
      </c>
      <c r="AO118" s="196">
        <f>AP118+各项系数!$M$9*$NK118</f>
        <v>63.378294649517144</v>
      </c>
      <c r="AP118" s="196">
        <f>AQ118*(1+$BI118+(VLOOKUP($AM118,$A$12:$B$323,2,0))+各项系数!$J$6+各项系数!$M$5)*(1+$E$2)</f>
        <v>62.979852929700954</v>
      </c>
      <c r="AQ118" s="197">
        <f>AR118+各项系数!$L$9*$NK118</f>
        <v>64.265156050715262</v>
      </c>
      <c r="AR118" s="197">
        <f>AS118*(1+$BJ118+各项系数!$J$5+各项系数!$L$5)</f>
        <v>63.866714330899072</v>
      </c>
      <c r="AS118" s="197">
        <f t="shared" si="399"/>
        <v>62.614425814606932</v>
      </c>
      <c r="AT118" s="196">
        <f>AU118+各项系数!$M$9*$NM118</f>
        <v>64.602444697803946</v>
      </c>
      <c r="AU118" s="196">
        <f>AV118*(1+$BI118+(VLOOKUP($AM118,$A$12:$B$323,2,0))+各项系数!$J$6+各项系数!$M$5)*(1+$E$2)</f>
        <v>64.204002977987756</v>
      </c>
      <c r="AV118" s="197">
        <f>AW118+各项系数!$L$9*$NM118</f>
        <v>65.514288753048731</v>
      </c>
      <c r="AW118" s="197">
        <f>AX118*(1+$BJ118+各项系数!$J$5+各项系数!$L$5)</f>
        <v>65.115847033232541</v>
      </c>
      <c r="AX118" s="197">
        <f t="shared" si="400"/>
        <v>63.83906571885543</v>
      </c>
      <c r="AY118" s="196">
        <f>AZ118+各项系数!$M$9*$NS118</f>
        <v>65.307785987787582</v>
      </c>
      <c r="AZ118" s="196">
        <f>BA118*(1+$BI118+(VLOOKUP($AM118,$A$12:$B$214,2,0))+各项系数!$J$6+各项系数!$M$5)*(1+$E$2)</f>
        <v>64.900898488578974</v>
      </c>
      <c r="BA118" s="197">
        <f>BB118+各项系数!$L$9*$NS118</f>
        <v>66.225406620998953</v>
      </c>
      <c r="BB118" s="197">
        <f>BC118*(1+$BJ118+各项系数!$J$5+各项系数!$L$5)</f>
        <v>65.818519121790345</v>
      </c>
      <c r="BC118" s="199">
        <f t="shared" si="401"/>
        <v>64.527959923323863</v>
      </c>
      <c r="BD118" s="196">
        <f>BE118+各项系数!$M$9*$NS118</f>
        <v>66.540889988228898</v>
      </c>
      <c r="BE118" s="196">
        <f>BF118*(1+$BI118+(VLOOKUP($AM118,$A$12:$B$214,2,0))+各项系数!$J$6+各项系数!$M$5)*(1+$E$2)</f>
        <v>66.13400248902029</v>
      </c>
      <c r="BF118" s="197">
        <f>BG118+各项系数!$L$9*$NS118</f>
        <v>67.483676009204373</v>
      </c>
      <c r="BG118" s="197">
        <f>BH118*(1+$BJ118+各项系数!$J$5+各项系数!$L$5)</f>
        <v>67.076788509995765</v>
      </c>
      <c r="BH118" s="199">
        <f t="shared" si="402"/>
        <v>65.761557362740945</v>
      </c>
      <c r="BI118" s="213"/>
      <c r="BJ118" s="208"/>
      <c r="BK118" s="53" t="s">
        <v>514</v>
      </c>
      <c r="BL118" s="196">
        <f>BM118+各项系数!$M$9*$NM118</f>
        <v>64.174543432896485</v>
      </c>
      <c r="BM118" s="196">
        <f>BN118*(1+$CF118+(VLOOKUP($AM118,$A$12:$B$323,2,0))+各项系数!$J$6+各项系数!$M$5)*(1+$E$2)</f>
        <v>63.776101713080294</v>
      </c>
      <c r="BN118" s="197">
        <f>BO118+各项系数!$L$9*$NM118</f>
        <v>65.07765480926561</v>
      </c>
      <c r="BO118" s="197">
        <f>BP118*(1+$CG118+各项系数!$J$5+各项系数!$L$5)</f>
        <v>64.679213089449419</v>
      </c>
      <c r="BP118" s="197">
        <f t="shared" si="403"/>
        <v>62.795352514028565</v>
      </c>
      <c r="BQ118" s="196">
        <f>BR118+各项系数!$M$9*$NM118</f>
        <v>65.228067541848731</v>
      </c>
      <c r="BR118" s="196">
        <f>BS118*(1+$CF118+(VLOOKUP($AM118,$A$12:$B$323,2,0))+各项系数!$J$6+各项系数!$M$5)*(1+$E$2)</f>
        <v>64.82962582203254</v>
      </c>
      <c r="BS118" s="197">
        <f>BT118+各项系数!$L$9*$NM118</f>
        <v>66.152679410237283</v>
      </c>
      <c r="BT118" s="197">
        <f>BU118*(1+$CG118+各项系数!$J$5+各项系数!$L$5)</f>
        <v>65.754237690421093</v>
      </c>
      <c r="BU118" s="197">
        <f t="shared" si="404"/>
        <v>63.83906571885543</v>
      </c>
      <c r="BV118" s="196">
        <f>BW118+各项系数!$M$9*$NT118</f>
        <v>65.733471605562983</v>
      </c>
      <c r="BW118" s="196">
        <f>BX118*(1+$CF118+(VLOOKUP($AM118,$A$12:$B$214,2,0))+各项系数!$J$6+各项系数!$M$5)*(1+$E$2)</f>
        <v>65.326584106354375</v>
      </c>
      <c r="BX118" s="197">
        <f>BY118+各项系数!$L$9*$NT$12</f>
        <v>66.659779700361611</v>
      </c>
      <c r="BY118" s="197">
        <f>BZ118*(1+$CG118+各项系数!$J$5+各项系数!$L$5)</f>
        <v>66.651516297206641</v>
      </c>
      <c r="BZ118" s="199">
        <f t="shared" si="343"/>
        <v>64.710209997288004</v>
      </c>
      <c r="CA118" s="196">
        <f>CB118+各项系数!$M$9*$NT118</f>
        <v>66.79470163625119</v>
      </c>
      <c r="CB118" s="196">
        <f>CC118*(1+$CF118+(VLOOKUP($AM118,$A$12:$B$214,2,0))+各项系数!$J$6+各项系数!$M$5)*(1+$E$2)</f>
        <v>66.387814137042582</v>
      </c>
      <c r="CC118" s="197">
        <f>CD118+各项系数!$L$9*$NT$12</f>
        <v>67.742667486778146</v>
      </c>
      <c r="CD118" s="197">
        <f>CE118*(1+$CG118+各项系数!$J$5+各项系数!$L$5)</f>
        <v>67.734404083623176</v>
      </c>
      <c r="CE118" s="199">
        <f t="shared" si="405"/>
        <v>65.761557362740945</v>
      </c>
      <c r="CF118" s="213">
        <f t="shared" si="514"/>
        <v>0</v>
      </c>
      <c r="CG118" s="213">
        <f t="shared" si="344"/>
        <v>0.01</v>
      </c>
      <c r="CH118" s="102"/>
      <c r="CI118" s="196">
        <f>CJ118+各项系数!$M$9*$NO118</f>
        <v>65.939632370457772</v>
      </c>
      <c r="CJ118" s="196">
        <f>CK118*(1+$DC118+(VLOOKUP($AM118,$A$12:$B$323,2,0))+各项系数!$J$6+各项系数!$M$5)*(1+$E$2)+各项系数!$M$9*$NK118</f>
        <v>65.378893865821496</v>
      </c>
      <c r="CK118" s="197">
        <f>CL118+各项系数!$L$9*$NO118</f>
        <v>66.3065838224544</v>
      </c>
      <c r="CL118" s="197">
        <f>CM118*(1+$DD118+各项系数!$J$5+各项系数!$L$5)</f>
        <v>65.745845317818123</v>
      </c>
      <c r="CM118" s="197">
        <f t="shared" si="345"/>
        <v>64.456711095900118</v>
      </c>
      <c r="CN118" s="196">
        <f>CO118+各项系数!$M$9*$NO118</f>
        <v>66.988836142012957</v>
      </c>
      <c r="CO118" s="196">
        <f>CP118*(1+$DC118+(VLOOKUP($AM118,$A$12:$B$323,2,0))+各项系数!$J$6+各项系数!$M$5)*(1+$E$2)+各项系数!$M$9*$NK118</f>
        <v>66.42809763737668</v>
      </c>
      <c r="CP118" s="197">
        <f>CQ118+各项系数!$L$9*$NO118</f>
        <v>67.377199915878052</v>
      </c>
      <c r="CQ118" s="197">
        <f>CR118*(1+$DD118+各项系数!$J$5+各项系数!$L$5)</f>
        <v>66.816461411241775</v>
      </c>
      <c r="CR118" s="197">
        <f t="shared" si="346"/>
        <v>65.506334716903694</v>
      </c>
      <c r="CS118" s="196">
        <f>CT118+各项系数!$M$9*$NU118</f>
        <v>67.671867565932018</v>
      </c>
      <c r="CT118" s="196">
        <f t="shared" si="347"/>
        <v>67.101796572145204</v>
      </c>
      <c r="CU118" s="197">
        <f>CV118+各项系数!$L$9*$NU118</f>
        <v>68.471220991984907</v>
      </c>
      <c r="CV118" s="197">
        <f>CW118*(1+$DD118+各项系数!$J$5+各项系数!$L$5)</f>
        <v>67.901149998198093</v>
      </c>
      <c r="CW118" s="199">
        <f t="shared" si="348"/>
        <v>66.569754900194212</v>
      </c>
      <c r="CX118" s="196">
        <f>CY118+各项系数!$M$9*$NU118</f>
        <v>69.023387583616838</v>
      </c>
      <c r="CY118" s="196">
        <f t="shared" si="349"/>
        <v>68.453316589830024</v>
      </c>
      <c r="CZ118" s="197">
        <f>DA118+各项系数!$L$9*$NU118</f>
        <v>69.850323050846967</v>
      </c>
      <c r="DA118" s="197">
        <f>DB118*(1+$DD118+各项系数!$J$5+各项系数!$L$5)</f>
        <v>69.280252057060153</v>
      </c>
      <c r="DB118" s="199">
        <f t="shared" si="350"/>
        <v>67.921815742215841</v>
      </c>
      <c r="DC118" s="213">
        <f t="shared" si="498"/>
        <v>0</v>
      </c>
      <c r="DD118" s="213">
        <f t="shared" si="351"/>
        <v>0</v>
      </c>
      <c r="DE118" s="53" t="s">
        <v>498</v>
      </c>
      <c r="DF118" s="53" t="s">
        <v>513</v>
      </c>
      <c r="DG118" s="196">
        <f>DH118+各项系数!$M$9*$NQ118</f>
        <v>66.77160169322454</v>
      </c>
      <c r="DH118" s="196">
        <f>DI118*(1+$EA118+(VLOOKUP($AM118,$A$12:$B$323,2,0))+各项系数!$J$6+各项系数!$M$5)*(1+$E$2)+各项系数!$M$9*$NK118</f>
        <v>66.210863188588263</v>
      </c>
      <c r="DI118" s="197">
        <f>DJ118+各项系数!$L$9*$NQ118</f>
        <v>67.155532110991913</v>
      </c>
      <c r="DJ118" s="197">
        <f>DK118*(1+$EB118+各项系数!$J$5+各项系数!$L$5)</f>
        <v>66.594793606355637</v>
      </c>
      <c r="DK118" s="197">
        <f t="shared" si="352"/>
        <v>64.655139423646247</v>
      </c>
      <c r="DL118" s="196">
        <f>DM118+各项系数!$M$9*$NQ118</f>
        <v>67.927036617135059</v>
      </c>
      <c r="DM118" s="196">
        <f>DN118*(1+$EA118+(VLOOKUP($AM118,$A$12:$B$323,2,0))+各项系数!$J$6+各项系数!$M$5)*(1+$E$2)+各项系数!$M$9*$NK118</f>
        <v>67.366298112498782</v>
      </c>
      <c r="DN118" s="197">
        <f>DO118+各项系数!$L$9*$NQ118</f>
        <v>68.334547339472039</v>
      </c>
      <c r="DO118" s="197">
        <f>DP118*(1+$EB118+各项系数!$J$5+各项系数!$L$5)</f>
        <v>67.773808834835762</v>
      </c>
      <c r="DP118" s="197">
        <f t="shared" si="353"/>
        <v>65.799814402753171</v>
      </c>
      <c r="DQ118" s="196">
        <f>DR118+各项系数!$M$9*$NV118</f>
        <v>68.525880532244059</v>
      </c>
      <c r="DR118" s="196">
        <f t="shared" si="354"/>
        <v>67.955809538457245</v>
      </c>
      <c r="DS118" s="197">
        <f>DT118+各项系数!$L$9*$NV118</f>
        <v>69.342662794344136</v>
      </c>
      <c r="DT118" s="197">
        <f>DU118*(1+$EB118+各项系数!$J$5+各项系数!$L$5)</f>
        <v>68.772591800557322</v>
      </c>
      <c r="DU118" s="199">
        <f t="shared" si="355"/>
        <v>66.769506602482835</v>
      </c>
      <c r="DV118" s="196">
        <f>DW118+各项系数!$M$9*$NV118</f>
        <v>68.455741545212135</v>
      </c>
      <c r="DW118" s="196">
        <f t="shared" si="356"/>
        <v>67.885670551425321</v>
      </c>
      <c r="DX118" s="197">
        <f>DY118+各项系数!$L$9*$NV118</f>
        <v>69.27109239941359</v>
      </c>
      <c r="DY118" s="197">
        <f>DZ118*(1+$EB118+各项系数!$J$5+各项系数!$L$5)</f>
        <v>68.701021405626776</v>
      </c>
      <c r="DZ118" s="199">
        <f t="shared" si="357"/>
        <v>66.700020782161914</v>
      </c>
      <c r="EA118" s="213">
        <f t="shared" si="511"/>
        <v>0</v>
      </c>
      <c r="EB118" s="213">
        <f t="shared" si="358"/>
        <v>0.01</v>
      </c>
      <c r="EC118" s="235" t="str">
        <f t="shared" si="408"/>
        <v>3+2</v>
      </c>
      <c r="ED118" s="235" t="str">
        <f t="shared" si="494"/>
        <v>3*25</v>
      </c>
      <c r="EE118" s="189">
        <f t="shared" si="495"/>
        <v>25</v>
      </c>
      <c r="EF118" s="189" t="str">
        <f>LOOKUP(EH118,{1,7,10,14,19,24,30,37,48,61},{1,"1+6","2+8","4+10","1+6+12","2+8+14","4+10+16","1+6+12+18","3+9+15+21","1+6+12+18+24"})</f>
        <v>1+6</v>
      </c>
      <c r="EG118" s="188">
        <f t="shared" si="359"/>
        <v>3</v>
      </c>
      <c r="EH118" s="197">
        <f>VLOOKUP(EE118,各项系数!$B$87:$C$124,2,0)</f>
        <v>7</v>
      </c>
      <c r="EI118" s="188">
        <f>IF(EH118=0,0,VLOOKUP(EH118,各项系数!$D$142:$E$195,2,0))*1</f>
        <v>3</v>
      </c>
      <c r="EJ118" s="238">
        <f t="shared" si="409"/>
        <v>208.046961644752</v>
      </c>
      <c r="EK118" s="189" t="str">
        <f t="shared" si="508"/>
        <v>2*16</v>
      </c>
      <c r="EL118" s="189" t="str">
        <f t="shared" si="360"/>
        <v>16</v>
      </c>
      <c r="EM118" s="189">
        <f t="shared" si="496"/>
        <v>16</v>
      </c>
      <c r="EN118" s="189" t="str">
        <f>IF(EP118=0,0,LOOKUP(EP118,{1,7,10,14,19,24,30,37,48,61},{1,"1+6","2+8","4+10","1+6+12","2+8+14","4+10+16","1+6+12+18","3+9+15+21","1+6+12+18+24"}))</f>
        <v>1+6</v>
      </c>
      <c r="EO118" s="189" t="str">
        <f t="shared" si="509"/>
        <v>2</v>
      </c>
      <c r="EP118" s="189">
        <f>IF(EM118=0,0,IF(EM118&lt;10,1,IF(AND(EM118&gt;=10,EM118&lt;=35),7,LOOKUP(EM118,{50,70,95,120,150,185,240,300},{10,14,19,24,30,37,48,61})*1)))</f>
        <v>7</v>
      </c>
      <c r="EQ118" s="189">
        <f>IF(EP118=0,0,VLOOKUP(EP118,各项系数!$D$142:$E$195,2,0))*1</f>
        <v>3</v>
      </c>
      <c r="ER118" s="189">
        <f t="shared" si="510"/>
        <v>165.41681820668899</v>
      </c>
      <c r="ES118" s="235">
        <f t="shared" si="497"/>
        <v>5</v>
      </c>
      <c r="ET118" s="189">
        <f>VLOOKUP(ES118,各项系数!$D$142:$E$195,2,0)*1</f>
        <v>2.7</v>
      </c>
      <c r="EU118" s="243">
        <f>((各项系数!$F$76/4*$EJ118^2*$EG118*$EH118*1*10^-7)*(1-$H118)*AA118)*(VLOOKUP($EY$9,各项系数!$D$4:$F$143,3,0))*各项系数!$J$4</f>
        <v>0.63842212400333231</v>
      </c>
      <c r="EV118" s="244">
        <f>EU118*(VLOOKUP($EY$9,各项系数!$D$4:$F$143,2,0))</f>
        <v>41.816649122218266</v>
      </c>
      <c r="EW118" s="252">
        <f>(IF($EO118=0,0,(各项系数!$F$76/4*$ER118^2*$EO118*$EP118*1*10^-7))*(1-$K118)*$AF118)*(VLOOKUP($EY$9,各项系数!$D$4:$F$143,3,0))*各项系数!$J$4</f>
        <v>0.26906254153647624</v>
      </c>
      <c r="EX118" s="253">
        <f>EW118*(VLOOKUP($EY$9,各项系数!$D$4:$F$143,2,0))</f>
        <v>17.623596470639193</v>
      </c>
      <c r="EY118" s="189">
        <f>((各项系数!$F$76/4*$EJ118^2*$EG118*$EH118*1*10^-7)*(1-$H118)*AA118+IF($EO118=0,0,(各项系数!$F$76/4*$ER118^2*$EO118*$EP118*1*10^-7))*(1-$K118)*$AF118)*(VLOOKUP($EY$9,各项系数!$D$4:$F$143,3,0))*各项系数!$J$4</f>
        <v>0.90748466553980867</v>
      </c>
      <c r="EZ118" s="102">
        <v>1</v>
      </c>
      <c r="FA118" s="189">
        <f t="shared" si="515"/>
        <v>0.90748466553980867</v>
      </c>
      <c r="FB118" s="254">
        <f>FA118*(VLOOKUP($EY$9,各项系数!$D$4:$F$143,2,0))</f>
        <v>59.440245592857465</v>
      </c>
      <c r="FC118" s="255"/>
      <c r="FD118" s="235">
        <f>各项系数!$F$76/4*($MN118^2-MK118^2)*10^-2*(VLOOKUP(L118,各项系数!$D$1:$F$143,3,0))*10^-3*10^2*$EG118*各项系数!$J$4</f>
        <v>6.6299965249724258E-2</v>
      </c>
      <c r="FE118" s="262">
        <f>FD118*VLOOKUP(L118,各项系数!$D$1:$F$143,2,0)</f>
        <v>0.67625964554718743</v>
      </c>
      <c r="FF118" s="188">
        <f>各项系数!$F$76/4*($MO118^2-ML118^2)*10^-2*(VLOOKUP(L118,各项系数!$D$1:$F$143,3,0))*10^-3*10^2*$EO118*各项系数!$J$4</f>
        <v>2.7258517861656877E-2</v>
      </c>
      <c r="FG118" s="262">
        <f>FF118*VLOOKUP(L118,各项系数!$D$1:$F$143,2,0)</f>
        <v>0.2780368821889001</v>
      </c>
      <c r="FH118" s="235">
        <f t="shared" si="410"/>
        <v>9.3558483111381138E-2</v>
      </c>
      <c r="FI118" s="102">
        <v>1</v>
      </c>
      <c r="FJ118" s="189">
        <f t="shared" si="516"/>
        <v>9.3558483111381138E-2</v>
      </c>
      <c r="FK118" s="262">
        <f>FJ118*VLOOKUP(L118,各项系数!$D$1:$F$143,2,0)</f>
        <v>0.95429652773608753</v>
      </c>
      <c r="FL118" s="235"/>
      <c r="FM118" s="102"/>
      <c r="FN118" s="189"/>
      <c r="FO118" s="262"/>
      <c r="FP118" s="282">
        <f t="shared" si="517"/>
        <v>9.3558483111381138E-2</v>
      </c>
      <c r="FQ118" s="282">
        <f t="shared" si="518"/>
        <v>0.95429652773608753</v>
      </c>
      <c r="FR118" s="283">
        <f>各项系数!$F$76/4*($MQ118^2-$MN118^2*$EG118-$MO118^2*$EO118)*10^-2</f>
        <v>0.9503166774482017</v>
      </c>
      <c r="FS118" s="284">
        <f t="shared" si="411"/>
        <v>1</v>
      </c>
      <c r="FT118" s="285">
        <f t="shared" si="361"/>
        <v>0.9503166774482017</v>
      </c>
      <c r="FU118" s="302">
        <f>$FT118*(VLOOKUP($FT$9,各项系数!$D$1:$F$143,3,0))*10^-3*10^2*各项系数!$J$55</f>
        <v>0.11346781128731528</v>
      </c>
      <c r="FV118" s="303">
        <v>1</v>
      </c>
      <c r="FW118" s="304">
        <f t="shared" si="519"/>
        <v>0.11346781128731528</v>
      </c>
      <c r="FX118" s="285">
        <f>FW118*(VLOOKUP($FT$9,各项系数!$D$1:$F$143,2,0))</f>
        <v>0.34040343386194583</v>
      </c>
      <c r="FY118" s="302">
        <f>IF($BK118&lt;&gt;$FY$9,0,各项系数!$F$76/4*($MS118^2-$MQ118^2)*10^-2*(VLOOKUP($FY$9,各项系数!$D$1:$F$143,3,0))*10^-3*10^2)*各项系数!$J$4</f>
        <v>0</v>
      </c>
      <c r="FZ118" s="303">
        <v>1</v>
      </c>
      <c r="GA118" s="304">
        <f t="shared" si="520"/>
        <v>0</v>
      </c>
      <c r="GB118" s="285">
        <f>GA118*(VLOOKUP($FY$9,各项系数!$D$1:$F$143,2,0))</f>
        <v>0</v>
      </c>
      <c r="GC118" s="302">
        <f>IF($BK118&lt;&gt;$GC$9,0,各项系数!$F$76/4*($MS118^2-$MQ118^2)*10^-2*(VLOOKUP($GC$9,各项系数!$D$1:$F$143,3,0))*10^-3*10^2)*各项系数!$J$4</f>
        <v>5.4428888321752583E-3</v>
      </c>
      <c r="GD118" s="303">
        <v>1</v>
      </c>
      <c r="GE118" s="304">
        <f t="shared" si="521"/>
        <v>5.4428888321752583E-3</v>
      </c>
      <c r="GF118" s="285">
        <f>GE118*(VLOOKUP($GC$9,各项系数!$D$1:$F$143,2,0))</f>
        <v>7.0213265935060831E-2</v>
      </c>
      <c r="GG118" s="302">
        <f>IF($BK118&lt;&gt;$GG$9,0,各项系数!$F$76/4*($MS118^2-$MQ118^2)*10^-2*(VLOOKUP($GG$9,各项系数!$D$1:$F$143,3,0))*10^-3*10^2)*各项系数!$J$4</f>
        <v>0</v>
      </c>
      <c r="GH118" s="303">
        <v>1</v>
      </c>
      <c r="GI118" s="304">
        <f t="shared" si="522"/>
        <v>0</v>
      </c>
      <c r="GJ118" s="285">
        <f>GI118*(VLOOKUP($GG$9,各项系数!$D$1:$F$143,2,0))</f>
        <v>0</v>
      </c>
      <c r="GK118" s="302">
        <f>IF($BK118&lt;&gt;$GK$9,0,各项系数!$F$76/4*($MS118^2-$MQ118^2)*10^-2*(VLOOKUP($GK$9,各项系数!$D$1:$F$143,3,0))*10^-3*10^2)*各项系数!$J$4</f>
        <v>0</v>
      </c>
      <c r="GL118" s="303">
        <v>1</v>
      </c>
      <c r="GM118" s="304">
        <f t="shared" si="523"/>
        <v>0</v>
      </c>
      <c r="GN118" s="285">
        <f>GM118*(VLOOKUP($GK$9,各项系数!$D$1:$F$143,2,0))</f>
        <v>0</v>
      </c>
      <c r="GO118" s="304">
        <f t="shared" si="524"/>
        <v>5.4428888321752583E-3</v>
      </c>
      <c r="GP118" s="304">
        <f t="shared" si="525"/>
        <v>7.0213265935060831E-2</v>
      </c>
      <c r="GQ118" s="315">
        <f>各项系数!$F$76/4*($MU118^2-$MS118^2)*10^-2*(VLOOKUP($S118,各项系数!$D$1:$F$143,3,0))*10^-3*10^2*各项系数!$J$4</f>
        <v>0.14941347996945165</v>
      </c>
      <c r="GR118" s="303">
        <v>1</v>
      </c>
      <c r="GS118" s="304">
        <f t="shared" si="526"/>
        <v>0.14941347996945165</v>
      </c>
      <c r="GT118" s="304">
        <f t="shared" si="457"/>
        <v>0</v>
      </c>
      <c r="GU118" s="304">
        <f>ROUND($GS118*(VLOOKUP($S118,各项系数!$D$1:$F$143,2,0))+$E$3*GS118,GT118)</f>
        <v>1</v>
      </c>
      <c r="GV118" s="315">
        <f>各项系数!$F$76/4*($MT118^2-$MS118^2)*10^-2*(VLOOKUP($GV$9,各项系数!$D$1:$F$143,3,0))*10^-3*10^2*各项系数!$J$4*PI()/4*R118</f>
        <v>2.8152597974696155E-2</v>
      </c>
      <c r="GW118" s="303">
        <v>1</v>
      </c>
      <c r="GX118" s="304">
        <f t="shared" si="527"/>
        <v>2.8152597974696155E-2</v>
      </c>
      <c r="GY118" s="304">
        <f>$GX118*(VLOOKUP($GV$9,各项系数!$D$1:$F$143,2,0))</f>
        <v>1.9003003632919904</v>
      </c>
      <c r="GZ118" s="315">
        <f>各项系数!$F$76/4*($MV118^2-$MS118^2)*10^-2*(VLOOKUP($GZ$9,各项系数!$D$1:$F$143,3,0))*10^-3*10^2*各项系数!$J$4</f>
        <v>0.17846511167440399</v>
      </c>
      <c r="HA118" s="303">
        <v>1</v>
      </c>
      <c r="HB118" s="304">
        <f t="shared" si="412"/>
        <v>0.17846511167440399</v>
      </c>
      <c r="HC118" s="304">
        <f>HB118*(VLOOKUP($GZ$9,各项系数!$D$1:$F$143,2,0))</f>
        <v>3.0339068984648678</v>
      </c>
      <c r="HD118" s="315">
        <f>各项系数!$F$76/4*($MW118^2-$MT118^2)*10^-2*(VLOOKUP($HD$9,各项系数!$D$1:$F$143,3,0))*10^-3*10^2*各项系数!$J$4</f>
        <v>0.17977048112108232</v>
      </c>
      <c r="HE118" s="303">
        <v>1</v>
      </c>
      <c r="HF118" s="304">
        <f t="shared" si="413"/>
        <v>0.17977048112108232</v>
      </c>
      <c r="HG118" s="304">
        <f>HF118*(VLOOKUP($HD$9,各项系数!$D$1:$F$143,2,0))</f>
        <v>3.0560981790583996</v>
      </c>
      <c r="HH118" s="315">
        <f>各项系数!$F$76/4*($MV118^2-$MS118^2)*10^-2*(VLOOKUP($HH$9,各项系数!$D$1:$F$143,3,0))*10^-3*10^2*各项系数!$J$4</f>
        <v>0.17846511167440399</v>
      </c>
      <c r="HI118" s="322">
        <v>1</v>
      </c>
      <c r="HJ118" s="304">
        <f t="shared" si="414"/>
        <v>0.17846511167440399</v>
      </c>
      <c r="HK118" s="304">
        <f>HJ118*(VLOOKUP($HH$9,各项系数!$D$1:$F$143,2,0))</f>
        <v>3.0339068984648678</v>
      </c>
      <c r="HL118" s="315">
        <f>各项系数!$F$76/4*($MW118^2-$MT118^2)*10^-2*(VLOOKUP($HL$9,各项系数!$D$1:$F$143,3,0))*10^-3*10^2*各项系数!$J$4</f>
        <v>0.17977048112108232</v>
      </c>
      <c r="HM118" s="322">
        <v>1</v>
      </c>
      <c r="HN118" s="304">
        <f t="shared" si="362"/>
        <v>0.17977048112108232</v>
      </c>
      <c r="HO118" s="304">
        <f>HN118*(VLOOKUP($HL$9,各项系数!$D$1:$F$143,2,0))</f>
        <v>3.0560981790583996</v>
      </c>
      <c r="HP118" s="315">
        <f>各项系数!$F$76/4*($MV118^2-$MS118^2)*10^-2*(VLOOKUP(AN118,各项系数!$D$1:$F$143,3,0))*10^-3*10^2*各项系数!$J$4</f>
        <v>0.18092669942163714</v>
      </c>
      <c r="HQ118" s="303">
        <v>1</v>
      </c>
      <c r="HR118" s="304">
        <f t="shared" si="528"/>
        <v>0.18092669942163714</v>
      </c>
      <c r="HS118" s="304">
        <f>HR118*(VLOOKUP(AN118,各项系数!$D$1:$F$143,2,0))</f>
        <v>1.8092669942163715</v>
      </c>
      <c r="HT118" s="315">
        <f>各项系数!$F$76/4*($MW118^2-$MT118^2)*10^-2*(VLOOKUP(AN118,各项系数!$D$1:$F$143,3,0))*10^-3*10^2*各项系数!$J$4</f>
        <v>0.18225007396413173</v>
      </c>
      <c r="HU118" s="303">
        <v>1</v>
      </c>
      <c r="HV118" s="304">
        <f t="shared" si="529"/>
        <v>0.18225007396413173</v>
      </c>
      <c r="HW118" s="304">
        <f>HV118*(VLOOKUP(AN118,各项系数!$D$1:$F$143,2,0))</f>
        <v>1.8225007396413173</v>
      </c>
      <c r="HX118" s="315">
        <f>各项系数!$F$76/4*($MV118^2-$MS118^2)*10^-2*(VLOOKUP($HX$9,各项系数!$D$1:$F$143,3,0))*10^-3*10^2*各项系数!$J$4</f>
        <v>0.18092669942163714</v>
      </c>
      <c r="HY118" s="322">
        <v>1</v>
      </c>
      <c r="HZ118" s="304">
        <f t="shared" si="530"/>
        <v>0.18092669942163714</v>
      </c>
      <c r="IA118" s="304">
        <f>HZ118*(VLOOKUP($HX$9,各项系数!$D$1:$F$143,2,0))</f>
        <v>1.9901936936380085</v>
      </c>
      <c r="IB118" s="315">
        <f>各项系数!$F$76/4*($MW118^2-$MT118^2)*10^-2*(VLOOKUP($IB$9,各项系数!$D$1:$F$143,3,0))*10^-3*10^2*各项系数!$J$4</f>
        <v>0.18225007396413173</v>
      </c>
      <c r="IC118" s="322">
        <v>1</v>
      </c>
      <c r="ID118" s="304">
        <f t="shared" si="531"/>
        <v>0.18225007396413173</v>
      </c>
      <c r="IE118" s="304">
        <f>ID118*(VLOOKUP($IB$9,各项系数!$D$1:$F$143,2,0))</f>
        <v>2.0047508136054493</v>
      </c>
      <c r="IF118" s="328"/>
      <c r="IG118" s="315">
        <f t="shared" si="415"/>
        <v>4.2409365396752587E-2</v>
      </c>
      <c r="IH118" s="303">
        <v>1</v>
      </c>
      <c r="II118" s="304">
        <f t="shared" si="532"/>
        <v>4.2409365396752587E-2</v>
      </c>
      <c r="IJ118" s="304">
        <f>II118*(VLOOKUP($IG$8,各项系数!$D$1:$F$143,2,0))</f>
        <v>1.0602341349188147</v>
      </c>
      <c r="IK118" s="315">
        <f>(各项系数!$F$76/4*($MX118^2-$MK118^2)*$EG118)*10^-2*(VLOOKUP($IG$8,各项系数!$D$1:$F$143,3,0))*10^-3*10^2*各项系数!$J$4</f>
        <v>2.7604381241623014E-2</v>
      </c>
      <c r="IL118" s="303">
        <f>IK118*(VLOOKUP($IG$8,各项系数!$D$1:$F$143,2,0))</f>
        <v>0.69010953104057537</v>
      </c>
      <c r="IM118" s="304">
        <f>(各项系数!$F$76/4*(($MM118+3*$X118)^2-MM118^2)*$EO118)*10^-2*(VLOOKUP($IG$8,各项系数!$D$1:$F$143,3,0))*10^-3*10^2*各项系数!$J$4</f>
        <v>1.4804984155129574E-2</v>
      </c>
      <c r="IN118" s="303">
        <f>IM118*(VLOOKUP($IG$8,各项系数!$D$1:$F$143,2,0))</f>
        <v>0.37012460387823937</v>
      </c>
      <c r="IO118" s="315">
        <f>各项系数!$F$76/4*($MZ118^2-$MX118^2)*10^-2*(VLOOKUP(L118,各项系数!$D$1:$F$143,3,0))*10^-3*10^2*$ES118*各项系数!$J$4</f>
        <v>0.11978381961312969</v>
      </c>
      <c r="IP118" s="303">
        <v>1</v>
      </c>
      <c r="IQ118" s="304">
        <f t="shared" si="533"/>
        <v>0.11978381961312969</v>
      </c>
      <c r="IR118" s="285">
        <f>IQ118*(VLOOKUP(L118,各项系数!$D$1:$F$143,2,0))</f>
        <v>1.2217949600539226</v>
      </c>
      <c r="IS118" s="315">
        <f>IF($L118&lt;&gt;$IS$9,0,各项系数!$F$76/4*($MZ118^2-$MX118^2)*10^-2*各项系数!$F$12*10^-3*10^2)*$ES118*各项系数!$J$4</f>
        <v>0</v>
      </c>
      <c r="IT118" s="303">
        <v>1</v>
      </c>
      <c r="IU118" s="304">
        <f t="shared" si="534"/>
        <v>0</v>
      </c>
      <c r="IV118" s="285">
        <f>IU118*各项系数!$E$12</f>
        <v>0</v>
      </c>
      <c r="IW118" s="302">
        <f t="shared" si="535"/>
        <v>0.11978381961312969</v>
      </c>
      <c r="IX118" s="302">
        <f t="shared" si="536"/>
        <v>1.2217949600539226</v>
      </c>
      <c r="IY118" s="339">
        <f>各项系数!$F$76/4*($NB118^2-$MZ118^2*$EG118-$NA118^2*$EO118)*10^-2</f>
        <v>1.1733337534614159</v>
      </c>
      <c r="IZ118" s="284">
        <f t="shared" si="487"/>
        <v>1</v>
      </c>
      <c r="JA118" s="285">
        <f t="shared" si="363"/>
        <v>1.1733337534614159</v>
      </c>
      <c r="JB118" s="282">
        <f>IF($DE118&lt;&gt;$JB$9,0,$JA118*各项系数!$F$32*10^-3*10^2)*各项系数!$J$4</f>
        <v>0</v>
      </c>
      <c r="JC118" s="102">
        <v>1</v>
      </c>
      <c r="JD118" s="189">
        <f t="shared" si="537"/>
        <v>0</v>
      </c>
      <c r="JE118" s="262">
        <f>JD118*各项系数!$E$32</f>
        <v>0</v>
      </c>
      <c r="JF118" s="282">
        <f>IF($DE118&lt;&gt;$JF$9,0,$JA118*VLOOKUP($JF$9,各项系数!$D$4:$F$540,2,0)*10^-3*10^2)*各项系数!$J$4</f>
        <v>0.58373354234705443</v>
      </c>
      <c r="JG118" s="102">
        <v>1</v>
      </c>
      <c r="JH118" s="189">
        <f t="shared" si="364"/>
        <v>0.58373354234705443</v>
      </c>
      <c r="JI118" s="262">
        <f>JH118*VLOOKUP($JF$9,各项系数!$D$4:$F$540,3,0)</f>
        <v>0.70048025081646526</v>
      </c>
      <c r="JJ118" s="282">
        <f t="shared" si="538"/>
        <v>0.58373354234705443</v>
      </c>
      <c r="JK118" s="189">
        <f t="shared" si="539"/>
        <v>0.70048025081646526</v>
      </c>
      <c r="JL118" s="282">
        <f>IF($DF118&lt;&gt;$JL$9,0,各项系数!$F$76/4*($NE118^2-$NC118^2)*10^-2*各项系数!$F$39*10^-3*10^2)*各项系数!$J$4</f>
        <v>2.4836439896080546E-3</v>
      </c>
      <c r="JM118" s="102">
        <v>1</v>
      </c>
      <c r="JN118" s="189">
        <f t="shared" si="540"/>
        <v>2.4836439896080546E-3</v>
      </c>
      <c r="JO118" s="262">
        <f>JN118*各项系数!$E$39</f>
        <v>4.967287979216109E-2</v>
      </c>
      <c r="JP118" s="282">
        <f>IF($DF118&lt;&gt;$JP$9,0,各项系数!$F$76/4*($NE118^2-$NC118^2)*10^-2*各项系数!$F$36*10^-3*10^2)*各项系数!$J$4</f>
        <v>0</v>
      </c>
      <c r="JQ118" s="102">
        <v>1</v>
      </c>
      <c r="JR118" s="189">
        <f t="shared" si="541"/>
        <v>0</v>
      </c>
      <c r="JS118" s="262">
        <f>JR118*各项系数!$E$36</f>
        <v>0</v>
      </c>
      <c r="JT118" s="282">
        <f>IF($DF118&lt;&gt;$JT$9,0,各项系数!$F$76/4*($NE118^2-$NC118^2)*10^-2*各项系数!$F$40*10^-3*10^2)*各项系数!$J$4</f>
        <v>0</v>
      </c>
      <c r="JU118" s="102">
        <v>1</v>
      </c>
      <c r="JV118" s="189">
        <f t="shared" si="542"/>
        <v>0</v>
      </c>
      <c r="JW118" s="262">
        <f>JV118*各项系数!$E$40</f>
        <v>0</v>
      </c>
      <c r="JX118" s="282">
        <f>IF($DF118&lt;&gt;$JX$9,0,各项系数!$F$76/4*($NE118^2-$NC118^2)*10^-2*各项系数!$F$38*10^-3*10^2)*各项系数!$J$4</f>
        <v>0</v>
      </c>
      <c r="JY118" s="102">
        <v>1</v>
      </c>
      <c r="JZ118" s="189">
        <f t="shared" si="543"/>
        <v>0</v>
      </c>
      <c r="KA118" s="262">
        <f>JZ118*各项系数!$E$38</f>
        <v>0</v>
      </c>
      <c r="KB118" s="282">
        <f>IF($DF118&lt;&gt;$KB$9,0,各项系数!$F$76/4*($NE118^2-$NC118^2)*10^-2*各项系数!$F$41*10^-3*10^2)*各项系数!$J$4</f>
        <v>0</v>
      </c>
      <c r="KC118" s="102">
        <v>1</v>
      </c>
      <c r="KD118" s="189">
        <f t="shared" si="544"/>
        <v>0</v>
      </c>
      <c r="KE118" s="262">
        <f>KD118*各项系数!$E$41</f>
        <v>0</v>
      </c>
      <c r="KF118" s="189">
        <f t="shared" si="545"/>
        <v>2.4836439896080546E-3</v>
      </c>
      <c r="KG118" s="189">
        <f t="shared" si="546"/>
        <v>4.967287979216109E-2</v>
      </c>
      <c r="KH118" s="235">
        <f>各项系数!$F$76/4*($NG118^2-$NE118^2)*10^-2*各项系数!$F$44*10^-3*10^2*各项系数!$J$4*0.75*$U118</f>
        <v>0.24739619503879073</v>
      </c>
      <c r="KI118" s="102">
        <v>1</v>
      </c>
      <c r="KJ118" s="189">
        <f t="shared" si="547"/>
        <v>0.24739619503879073</v>
      </c>
      <c r="KK118" s="189">
        <f>ROUND(KJ118*各项系数!$E$43,GT118)</f>
        <v>1</v>
      </c>
      <c r="KL118" s="235">
        <f>各项系数!$F$76/4*($NF118^2-$NE118^2)*10^-2*各项系数!$F$46*10^-3*10^2*各项系数!$J$4*PI()/4*R118</f>
        <v>3.1108297168431578E-2</v>
      </c>
      <c r="KM118" s="102">
        <v>1</v>
      </c>
      <c r="KN118" s="189">
        <f t="shared" si="548"/>
        <v>3.1108297168431578E-2</v>
      </c>
      <c r="KO118" s="189">
        <f>KN118*各项系数!$E$46</f>
        <v>2.0998100588691315</v>
      </c>
      <c r="KP118" s="235">
        <f>各项系数!$F$76/4*($NH118^2-$NE118^2)*10^-2*(VLOOKUP($KP$9,各项系数!$D$1:$F$143,3,0))*10^-3*10^2*各项系数!$J$4</f>
        <v>0.19572862260672577</v>
      </c>
      <c r="KQ118" s="102">
        <v>1</v>
      </c>
      <c r="KR118" s="189">
        <f t="shared" si="416"/>
        <v>0.19572862260672577</v>
      </c>
      <c r="KS118" s="189">
        <f>KR118*(VLOOKUP($KP$9,各项系数!$D$1:$F$143,2,0))</f>
        <v>3.327386584314338</v>
      </c>
      <c r="KT118" s="235">
        <f>各项系数!$F$76/4*($NI118^2-$NF118^2)*10^-2*(VLOOKUP($KT$9,各项系数!$D$1:$F$143,3,0))*10^-3*10^2*各项系数!$J$4</f>
        <v>0.19703399205340419</v>
      </c>
      <c r="KU118" s="102">
        <v>1</v>
      </c>
      <c r="KV118" s="189">
        <f t="shared" si="417"/>
        <v>0.19703399205340419</v>
      </c>
      <c r="KW118" s="189">
        <f>KV118*(VLOOKUP($KT$9,各项系数!$D$1:$F$143,2,0))</f>
        <v>3.3495778649078711</v>
      </c>
      <c r="KX118" s="189">
        <f>各项系数!$F$76/4*($NH118^2-$NE118^2)*10^-2*(VLOOKUP($KX$9,各项系数!$D$1:$F$143,3,0))*10^-3*10^2*各项系数!$J$4</f>
        <v>0.19572862260672577</v>
      </c>
      <c r="KY118" s="353">
        <v>1</v>
      </c>
      <c r="KZ118" s="189">
        <f t="shared" si="418"/>
        <v>0.19572862260672577</v>
      </c>
      <c r="LA118" s="189">
        <f>KZ118*(VLOOKUP($KX$9,各项系数!$D$1:$F$143,2,0))</f>
        <v>3.327386584314338</v>
      </c>
      <c r="LB118" s="189">
        <f>各项系数!$F$76/4*($NI118^2-$NF118^2)*10^-2*(VLOOKUP($LB$9,各项系数!$D$1:$F$143,3,0))*10^-3*10^2*各项系数!$J$4</f>
        <v>0.19703399205340419</v>
      </c>
      <c r="LC118" s="353">
        <v>1</v>
      </c>
      <c r="LD118" s="189">
        <f t="shared" si="419"/>
        <v>0.19703399205340419</v>
      </c>
      <c r="LE118" s="189">
        <f>LD118*(VLOOKUP($LB$9,各项系数!$D$1:$F$143,2,0))</f>
        <v>3.3495778649078711</v>
      </c>
      <c r="LF118" s="235">
        <f>各项系数!$F$76/4*($NH118^2-$NE118^2)*10^-2*(VLOOKUP(AN118,各项系数!$D$1:$F$143,3,0))*10^-3*10^2*各项系数!$J$4</f>
        <v>0.19842832774612887</v>
      </c>
      <c r="LG118" s="102">
        <v>1</v>
      </c>
      <c r="LH118" s="189">
        <f t="shared" si="549"/>
        <v>0.19842832774612887</v>
      </c>
      <c r="LI118" s="189">
        <f>LH118*(VLOOKUP(AN118,各项系数!$D$1:$F$143,2,0))</f>
        <v>1.9842832774612886</v>
      </c>
      <c r="LJ118" s="235">
        <f>各项系数!$F$76/4*($NI118^2-$NF118^2)*10^-2*(VLOOKUP(AN118,各项系数!$D$1:$F$143,3,0))*10^-3*10^2*各项系数!$J$4</f>
        <v>0.19975170228862357</v>
      </c>
      <c r="LK118" s="102">
        <v>1</v>
      </c>
      <c r="LL118" s="189">
        <f t="shared" si="550"/>
        <v>0.19975170228862357</v>
      </c>
      <c r="LM118" s="189">
        <f>LL118*(VLOOKUP(AN118,各项系数!$D$1:$F$143,2,0))</f>
        <v>1.9975170228862358</v>
      </c>
      <c r="LN118" s="189">
        <f>各项系数!$F$76/4*($NH118^2-$NE118^2)*10^-2*(VLOOKUP($LN$9,各项系数!$D$1:$F$143,3,0))*10^-3*10^2*各项系数!$J$4</f>
        <v>0.19842832774612887</v>
      </c>
      <c r="LO118" s="353">
        <v>1</v>
      </c>
      <c r="LP118" s="189">
        <f t="shared" si="551"/>
        <v>0.19842832774612887</v>
      </c>
      <c r="LQ118" s="189">
        <f>LP118*(VLOOKUP($LN$9,各项系数!$D$1:$F$143,2,0))</f>
        <v>2.1827116052074174</v>
      </c>
      <c r="LR118" s="189">
        <f>各项系数!$F$76/4*($NI118^2-$NF118^2)*10^-2*(VLOOKUP($LR$9,各项系数!$D$1:$F$143,3,0))*10^-3*10^2*各项系数!$J$4</f>
        <v>0.19975170228862357</v>
      </c>
      <c r="LS118" s="353">
        <v>1</v>
      </c>
      <c r="LT118" s="189">
        <f t="shared" si="552"/>
        <v>0.19975170228862357</v>
      </c>
      <c r="LU118" s="189">
        <f>LT118*(VLOOKUP($LR$9,各项系数!$D$1:$F$143,2,0))</f>
        <v>2.1972687251748595</v>
      </c>
      <c r="LV118" s="227">
        <f t="shared" si="420"/>
        <v>91.78599122</v>
      </c>
      <c r="LW118" s="227">
        <f t="shared" si="421"/>
        <v>71.389104279999998</v>
      </c>
      <c r="LX118" s="227">
        <f t="shared" si="422"/>
        <v>9.5339095145967399</v>
      </c>
      <c r="LY118" s="227">
        <f t="shared" si="423"/>
        <v>20.396886940000002</v>
      </c>
      <c r="LZ118" s="374">
        <f t="shared" si="365"/>
        <v>1</v>
      </c>
      <c r="MA118" s="375">
        <f t="shared" si="366"/>
        <v>91.78599122</v>
      </c>
      <c r="MB118" s="375">
        <f t="shared" si="424"/>
        <v>6.2414088599999999</v>
      </c>
      <c r="MC118" s="227">
        <f t="shared" si="425"/>
        <v>38.683139359999998</v>
      </c>
      <c r="MD118" s="227">
        <f t="shared" si="426"/>
        <v>30.08688609</v>
      </c>
      <c r="ME118" s="227">
        <f t="shared" si="427"/>
        <v>6.1893305896300532</v>
      </c>
      <c r="MF118" s="227">
        <f t="shared" si="428"/>
        <v>8.5962532699999983</v>
      </c>
      <c r="MG118" s="374">
        <f t="shared" si="429"/>
        <v>1</v>
      </c>
      <c r="MH118" s="375">
        <f t="shared" si="367"/>
        <v>38.683139359999998</v>
      </c>
      <c r="MI118" s="375">
        <f t="shared" si="430"/>
        <v>4.962504546479189</v>
      </c>
      <c r="MJ118" s="189">
        <f t="shared" si="368"/>
        <v>6.2414088599999999</v>
      </c>
      <c r="MK118" s="189">
        <f t="shared" si="431"/>
        <v>6.2414088599999999</v>
      </c>
      <c r="ML118" s="189">
        <f t="shared" si="553"/>
        <v>4.9625045462006696</v>
      </c>
      <c r="MM118" s="189">
        <f t="shared" si="369"/>
        <v>4.962504546479189</v>
      </c>
      <c r="MN118" s="189">
        <f t="shared" si="370"/>
        <v>8.0414088600000007</v>
      </c>
      <c r="MO118" s="189">
        <f t="shared" si="432"/>
        <v>6.3625045464791885</v>
      </c>
      <c r="MP118" s="189">
        <f t="shared" si="433"/>
        <v>19.898587259999999</v>
      </c>
      <c r="MQ118" s="189">
        <f t="shared" si="554"/>
        <v>19.898587259999999</v>
      </c>
      <c r="MR118" s="246">
        <f t="shared" si="434"/>
        <v>19.898587259999999</v>
      </c>
      <c r="MS118" s="380">
        <f t="shared" si="371"/>
        <v>20.074587259999998</v>
      </c>
      <c r="MT118" s="380">
        <f t="shared" si="372"/>
        <v>20.234587259999998</v>
      </c>
      <c r="MU118" s="380">
        <f t="shared" si="373"/>
        <v>20.674587259999999</v>
      </c>
      <c r="MV118" s="380">
        <f t="shared" si="374"/>
        <v>23.674587259999999</v>
      </c>
      <c r="MW118" s="380">
        <f t="shared" si="375"/>
        <v>23.834587259999999</v>
      </c>
      <c r="MX118" s="254">
        <f t="shared" si="376"/>
        <v>6.8414088599999996</v>
      </c>
      <c r="MY118" s="254">
        <f t="shared" si="377"/>
        <v>5.5625045464791896</v>
      </c>
      <c r="MZ118" s="189">
        <f t="shared" si="378"/>
        <v>8.6414088600000003</v>
      </c>
      <c r="NA118" s="189">
        <f t="shared" si="379"/>
        <v>7.3625045464791894</v>
      </c>
      <c r="NB118" s="189">
        <f t="shared" si="435"/>
        <v>21.950587259999999</v>
      </c>
      <c r="NC118" s="254">
        <f t="shared" si="555"/>
        <v>21.950587259999999</v>
      </c>
      <c r="ND118" s="246">
        <f t="shared" si="436"/>
        <v>21.950587259999999</v>
      </c>
      <c r="NE118" s="386">
        <f t="shared" si="437"/>
        <v>22.190587259999997</v>
      </c>
      <c r="NF118" s="380">
        <f t="shared" si="380"/>
        <v>22.350587259999998</v>
      </c>
      <c r="NG118" s="387">
        <f t="shared" si="381"/>
        <v>22.790587259999999</v>
      </c>
      <c r="NH118" s="254">
        <f t="shared" si="382"/>
        <v>25.790587259999999</v>
      </c>
      <c r="NI118" s="380">
        <f t="shared" si="383"/>
        <v>25.950587259999999</v>
      </c>
      <c r="NK118" s="388">
        <f t="shared" si="384"/>
        <v>1.3281390660539745</v>
      </c>
      <c r="NL118" s="388">
        <f t="shared" si="385"/>
        <v>62.892462696795832</v>
      </c>
      <c r="NM118" s="388">
        <f t="shared" si="386"/>
        <v>1.3281390660539745</v>
      </c>
      <c r="NN118" s="388">
        <f t="shared" si="387"/>
        <v>63.073389396217465</v>
      </c>
      <c r="NO118" s="388">
        <f t="shared" si="388"/>
        <v>1.8691283487876118</v>
      </c>
      <c r="NP118" s="388">
        <f t="shared" si="389"/>
        <v>64.826835699778357</v>
      </c>
      <c r="NQ118" s="388">
        <f t="shared" si="390"/>
        <v>1.8691283487876118</v>
      </c>
      <c r="NR118" s="388">
        <f t="shared" si="391"/>
        <v>65.025264027524486</v>
      </c>
      <c r="NS118" s="388">
        <f t="shared" si="392"/>
        <v>1.3562916640286706</v>
      </c>
      <c r="NT118" s="388">
        <f t="shared" si="393"/>
        <v>1.3562916640286706</v>
      </c>
      <c r="NU118" s="388">
        <f t="shared" si="394"/>
        <v>1.9002366459560434</v>
      </c>
      <c r="NV118" s="388">
        <f t="shared" si="395"/>
        <v>1.9002366459560434</v>
      </c>
      <c r="NW118">
        <f t="shared" si="396"/>
        <v>1.4775525460234262</v>
      </c>
      <c r="NX118">
        <f>各项系数!$M$9*NK118</f>
        <v>0.39844171981619231</v>
      </c>
      <c r="NY118">
        <f t="shared" si="397"/>
        <v>1.3562916640286704</v>
      </c>
    </row>
    <row r="119" spans="1:389" ht="15" hidden="1" customHeight="1">
      <c r="A119" s="65"/>
      <c r="B119" s="66"/>
      <c r="C119" s="67"/>
      <c r="D119" s="53" t="s">
        <v>391</v>
      </c>
      <c r="E119" s="399">
        <f t="shared" si="503"/>
        <v>25.673160660000001</v>
      </c>
      <c r="F119" s="68">
        <f>$F$23</f>
        <v>245.05464536042999</v>
      </c>
      <c r="G119" s="58"/>
      <c r="H119" s="16"/>
      <c r="I119" s="145">
        <f>$F$21</f>
        <v>165.41681820668899</v>
      </c>
      <c r="J119" s="62"/>
      <c r="K119" s="16"/>
      <c r="L119" s="97" t="s">
        <v>467</v>
      </c>
      <c r="M119" s="98">
        <f t="shared" si="339"/>
        <v>0.9</v>
      </c>
      <c r="N119" s="98">
        <f t="shared" si="501"/>
        <v>0.7</v>
      </c>
      <c r="O119" s="58">
        <f t="shared" si="556"/>
        <v>0.08</v>
      </c>
      <c r="P119" s="99">
        <v>0.1</v>
      </c>
      <c r="Q119" s="136">
        <f t="shared" si="512"/>
        <v>0.1</v>
      </c>
      <c r="R119" s="151">
        <v>0.8</v>
      </c>
      <c r="S119" s="144" t="str">
        <f>各项系数!$D$43</f>
        <v>钢带</v>
      </c>
      <c r="T119" s="62">
        <v>0.2</v>
      </c>
      <c r="U119" s="62">
        <v>2</v>
      </c>
      <c r="V119" s="143"/>
      <c r="W119" s="145">
        <v>1.9</v>
      </c>
      <c r="X119" s="139">
        <f t="shared" si="513"/>
        <v>0.2</v>
      </c>
      <c r="Y119" s="139"/>
      <c r="Z119" s="169"/>
      <c r="AA119" s="170">
        <f>$AA$23</f>
        <v>1.0109999999999999</v>
      </c>
      <c r="AB119" s="153">
        <f>PI()*EJ119*EJ119/4*EH119*(1-H119)*AA119*各项系数!$F$5*各项系数!$J$4*10^-7</f>
        <v>0.29524992630433911</v>
      </c>
      <c r="AC119" s="170">
        <f t="shared" si="504"/>
        <v>245.05464536042999</v>
      </c>
      <c r="AD119" s="153">
        <f t="shared" si="341"/>
        <v>33.378357061385572</v>
      </c>
      <c r="AE119" s="153">
        <f>POWER(4*EU119/PI()/EG119/10^-7/EH119/(1-H119)/各项系数!$F$5/各项系数!$J$4,0.5)</f>
        <v>246.39875970480472</v>
      </c>
      <c r="AF119" s="16">
        <f>$AA$21</f>
        <v>1.0109999999999999</v>
      </c>
      <c r="AG119" s="16">
        <f>IF(EM119=0,0,PI()*ER119*ER119/4*EP119*(1-K119)*(1+AF119)*各项系数!$F$5*各项系数!$J$4*10^-7)</f>
        <v>0.2675987987289089</v>
      </c>
      <c r="AH119" s="16">
        <f t="shared" si="505"/>
        <v>165.41681820668899</v>
      </c>
      <c r="AI119" s="69">
        <f t="shared" si="398"/>
        <v>15.208920956666134</v>
      </c>
      <c r="AJ119" s="69">
        <f>IF(OR(EP119="",EP119=0),0,POWER(4*EW119/PI()/EO119/10^-7/EP119/(1-K119)/各项系数!$F$5/各项系数!$J$4,0.5))</f>
        <v>166.32412244418023</v>
      </c>
      <c r="AK119" s="16">
        <f t="shared" si="342"/>
        <v>1.1548123204494936</v>
      </c>
      <c r="AL119" s="16">
        <f t="shared" si="506"/>
        <v>81.781167478713115</v>
      </c>
      <c r="AM119" s="188">
        <f t="shared" si="507"/>
        <v>35</v>
      </c>
      <c r="AN119" s="97" t="s">
        <v>486</v>
      </c>
      <c r="AO119" s="196">
        <f>AP119+各项系数!$M$9*$NK119</f>
        <v>80.177615175208942</v>
      </c>
      <c r="AP119" s="196">
        <f>AQ119*(1+$BI119+(VLOOKUP($AM119,$A$12:$B$323,2,0))+各项系数!$J$6+各项系数!$M$5)*(1+$E$2)</f>
        <v>79.688811050272122</v>
      </c>
      <c r="AQ119" s="197">
        <f>AR119+各项系数!$L$9*$NK119</f>
        <v>81.315113316604211</v>
      </c>
      <c r="AR119" s="197">
        <f>AS119*(1+$BJ119+各项系数!$J$5+各项系数!$L$5)</f>
        <v>80.826309191667391</v>
      </c>
      <c r="AS119" s="197">
        <f t="shared" si="399"/>
        <v>79.241479599673909</v>
      </c>
      <c r="AT119" s="196">
        <f>AU119+各项系数!$M$9*$NM119</f>
        <v>81.581924591568409</v>
      </c>
      <c r="AU119" s="196">
        <f>AV119*(1+$BI119+(VLOOKUP($AM119,$A$12:$B$323,2,0))+各项系数!$J$6+各项系数!$M$5)*(1+$E$2)</f>
        <v>81.093120466631589</v>
      </c>
      <c r="AV119" s="197">
        <f>AW119+各项系数!$L$9*$NM119</f>
        <v>82.748082108807751</v>
      </c>
      <c r="AW119" s="197">
        <f>AX119*(1+$BJ119+各项系数!$J$5+各项系数!$L$5)</f>
        <v>82.25927798387093</v>
      </c>
      <c r="AX119" s="197">
        <f t="shared" si="400"/>
        <v>80.646350964579341</v>
      </c>
      <c r="AY119" s="196">
        <f>AZ119+各项系数!$M$9*$NS119</f>
        <v>82.278846638860855</v>
      </c>
      <c r="AZ119" s="196">
        <f>BA119*(1+$BI119+(VLOOKUP($AM119,$A$12:$B$214,2,0))+各项系数!$J$6+各项系数!$M$5)*(1+$E$2)</f>
        <v>81.78084304238395</v>
      </c>
      <c r="BA119" s="197">
        <f>BB119+各项系数!$L$9*$NS119</f>
        <v>83.449839839167296</v>
      </c>
      <c r="BB119" s="197">
        <f>BC119*(1+$BJ119+各项系数!$J$5+各项系数!$L$5)</f>
        <v>82.951836242690391</v>
      </c>
      <c r="BC119" s="199">
        <f t="shared" si="401"/>
        <v>81.325329649696457</v>
      </c>
      <c r="BD119" s="196">
        <f>BE119+各项系数!$M$9*$NS119</f>
        <v>83.692607449161201</v>
      </c>
      <c r="BE119" s="196">
        <f>BF119*(1+$BI119+(VLOOKUP($AM119,$A$12:$B$214,2,0))+各项系数!$J$6+各项系数!$M$5)*(1+$E$2)</f>
        <v>83.194603852684295</v>
      </c>
      <c r="BF119" s="197">
        <f>BG119+各项系数!$L$9*$NS119</f>
        <v>84.89245291090235</v>
      </c>
      <c r="BG119" s="197">
        <f>BH119*(1+$BJ119+各项系数!$J$5+各项系数!$L$5)</f>
        <v>84.394449314425444</v>
      </c>
      <c r="BH119" s="199">
        <f t="shared" si="402"/>
        <v>82.739656190613175</v>
      </c>
      <c r="BI119" s="213"/>
      <c r="BJ119" s="208"/>
      <c r="BK119" s="53" t="s">
        <v>514</v>
      </c>
      <c r="BL119" s="196">
        <f>BM119+各项系数!$M$9*$NM119</f>
        <v>81.163686541509989</v>
      </c>
      <c r="BM119" s="196">
        <f>BN119*(1+$CF119+(VLOOKUP($AM119,$A$12:$B$323,2,0))+各项系数!$J$6+各项系数!$M$5)*(1+$E$2)</f>
        <v>80.674882416573169</v>
      </c>
      <c r="BN119" s="197">
        <f>BO119+各项系数!$L$9*$NM119</f>
        <v>82.321308588339974</v>
      </c>
      <c r="BO119" s="197">
        <f>BP119*(1+$CG119+各项系数!$J$5+各项系数!$L$5)</f>
        <v>81.832504463403154</v>
      </c>
      <c r="BP119" s="197">
        <f t="shared" si="403"/>
        <v>79.449033459614711</v>
      </c>
      <c r="BQ119" s="196">
        <f>BR119+各项系数!$M$9*$NM119</f>
        <v>82.372258831021298</v>
      </c>
      <c r="BR119" s="196">
        <f>BS119*(1+$CF119+(VLOOKUP($AM119,$A$12:$B$323,2,0))+各项系数!$J$6+各项系数!$M$5)*(1+$E$2)</f>
        <v>81.883454706084478</v>
      </c>
      <c r="BS119" s="197">
        <f>BT119+各项系数!$L$9*$NM119</f>
        <v>83.554545618453545</v>
      </c>
      <c r="BT119" s="197">
        <f>BU119*(1+$CG119+各项系数!$J$5+各项系数!$L$5)</f>
        <v>83.065741493516725</v>
      </c>
      <c r="BU119" s="197">
        <f t="shared" si="404"/>
        <v>80.646350964579341</v>
      </c>
      <c r="BV119" s="196">
        <f>BW119+各项系数!$M$9*$NT119</f>
        <v>82.806804372363331</v>
      </c>
      <c r="BW119" s="196">
        <f>BX119*(1+$CF119+(VLOOKUP($AM119,$A$12:$B$214,2,0))+各项系数!$J$6+各项系数!$M$5)*(1+$E$2)</f>
        <v>82.308800775886425</v>
      </c>
      <c r="BX119" s="197">
        <f>BY119+各项系数!$L$9*$NT$12</f>
        <v>83.988572220292269</v>
      </c>
      <c r="BY119" s="197">
        <f>BZ119*(1+$CG119+各项系数!$J$5+各项系数!$L$5)</f>
        <v>83.980308817137299</v>
      </c>
      <c r="BZ119" s="199">
        <f t="shared" si="343"/>
        <v>81.534280404987669</v>
      </c>
      <c r="CA119" s="196">
        <f>CB119+各项系数!$M$9*$NT119</f>
        <v>84.023510690373712</v>
      </c>
      <c r="CB119" s="196">
        <f>CC119*(1+$CF119+(VLOOKUP($AM119,$A$12:$B$214,2,0))+各项系数!$J$6+各项系数!$M$5)*(1+$E$2)</f>
        <v>83.525507093896806</v>
      </c>
      <c r="CC119" s="197">
        <f>CD119+各项系数!$L$9*$NT$12</f>
        <v>85.230109279486541</v>
      </c>
      <c r="CD119" s="197">
        <f>CE119*(1+$CG119+各项系数!$J$5+各项系数!$L$5)</f>
        <v>85.221845876331571</v>
      </c>
      <c r="CE119" s="199">
        <f t="shared" si="405"/>
        <v>82.739656190613175</v>
      </c>
      <c r="CF119" s="213">
        <f t="shared" si="514"/>
        <v>0</v>
      </c>
      <c r="CG119" s="213">
        <f t="shared" si="344"/>
        <v>0.01</v>
      </c>
      <c r="CH119" s="102"/>
      <c r="CI119" s="196">
        <f>CJ119+各项系数!$M$9*$NO119</f>
        <v>83.118750162705965</v>
      </c>
      <c r="CJ119" s="196">
        <f>CK119*(1+$DC119+(VLOOKUP($AM119,$A$12:$B$323,2,0))+各项系数!$J$6+各项系数!$M$5)*(1+$E$2)+各项系数!$M$9*$NK119</f>
        <v>82.444376096595121</v>
      </c>
      <c r="CK119" s="197">
        <f>CL119+各项系数!$L$9*$NO119</f>
        <v>83.628134664957457</v>
      </c>
      <c r="CL119" s="197">
        <f>CM119*(1+$DD119+各项系数!$J$5+各项系数!$L$5)</f>
        <v>82.953760598846614</v>
      </c>
      <c r="CM119" s="197">
        <f t="shared" si="345"/>
        <v>81.327216273379037</v>
      </c>
      <c r="CN119" s="196">
        <f>CO119+各项系数!$M$9*$NO119</f>
        <v>84.338394064737614</v>
      </c>
      <c r="CO119" s="196">
        <f>CP119*(1+$DC119+(VLOOKUP($AM119,$A$12:$B$323,2,0))+各项系数!$J$6+各项系数!$M$5)*(1+$E$2)+各项系数!$M$9*$NK119</f>
        <v>83.66401999862677</v>
      </c>
      <c r="CP119" s="197">
        <f>CQ119+各项系数!$L$9*$NO119</f>
        <v>84.872669258867305</v>
      </c>
      <c r="CQ119" s="197">
        <f>CR119*(1+$DD119+各项系数!$J$5+各项系数!$L$5)</f>
        <v>84.198295192756461</v>
      </c>
      <c r="CR119" s="197">
        <f t="shared" si="346"/>
        <v>82.547348228192604</v>
      </c>
      <c r="CS119" s="196">
        <f>CT119+各项系数!$M$9*$NU119</f>
        <v>84.932363078441014</v>
      </c>
      <c r="CT119" s="196">
        <f t="shared" si="347"/>
        <v>84.247902831031979</v>
      </c>
      <c r="CU119" s="197">
        <f>CV119+各项系数!$L$9*$NU119</f>
        <v>85.967247786767331</v>
      </c>
      <c r="CV119" s="197">
        <f>CW119*(1+$DD119+各项系数!$J$5+各项系数!$L$5)</f>
        <v>85.282787539358296</v>
      </c>
      <c r="CW119" s="199">
        <f t="shared" si="348"/>
        <v>83.610576018978719</v>
      </c>
      <c r="CX119" s="196">
        <f>CY119+各项系数!$M$9*$NU119</f>
        <v>86.47111857360953</v>
      </c>
      <c r="CY119" s="196">
        <f t="shared" si="349"/>
        <v>85.786658326200495</v>
      </c>
      <c r="CZ119" s="197">
        <f>DA119+各项系数!$L$9*$NU119</f>
        <v>87.537406455306623</v>
      </c>
      <c r="DA119" s="197">
        <f>DB119*(1+$DD119+各项系数!$J$5+各项系数!$L$5)</f>
        <v>86.852946207897588</v>
      </c>
      <c r="DB119" s="199">
        <f t="shared" si="350"/>
        <v>85.149947262644687</v>
      </c>
      <c r="DC119" s="213">
        <f t="shared" si="498"/>
        <v>0</v>
      </c>
      <c r="DD119" s="213">
        <f t="shared" si="351"/>
        <v>0</v>
      </c>
      <c r="DE119" s="53" t="s">
        <v>498</v>
      </c>
      <c r="DF119" s="53" t="s">
        <v>513</v>
      </c>
      <c r="DG119" s="196">
        <f>DH119+各项系数!$M$9*$NQ119</f>
        <v>84.143909344464006</v>
      </c>
      <c r="DH119" s="196">
        <f>DI119*(1+$EA119+(VLOOKUP($AM119,$A$12:$B$323,2,0))+各项系数!$J$6+各项系数!$M$5)*(1+$E$2)+各项系数!$M$9*$NK119</f>
        <v>83.469535278353163</v>
      </c>
      <c r="DI119" s="197">
        <f>DJ119+各项系数!$L$9*$NQ119</f>
        <v>84.674215462669736</v>
      </c>
      <c r="DJ119" s="197">
        <f>DK119*(1+$EB119+各项系数!$J$5+各项系数!$L$5)</f>
        <v>83.999841396558892</v>
      </c>
      <c r="DK119" s="197">
        <f t="shared" si="352"/>
        <v>81.553244074329015</v>
      </c>
      <c r="DL119" s="196">
        <f>DM119+各项系数!$M$9*$NQ119</f>
        <v>85.460054160875714</v>
      </c>
      <c r="DM119" s="196">
        <f>DN119*(1+$EA119+(VLOOKUP($AM119,$A$12:$B$323,2,0))+各项系数!$J$6+各项系数!$M$5)*(1+$E$2)+各项系数!$M$9*$NK119</f>
        <v>84.785680094764871</v>
      </c>
      <c r="DN119" s="197">
        <f>DO119+各项系数!$L$9*$NQ119</f>
        <v>86.017220377375565</v>
      </c>
      <c r="DO119" s="197">
        <f>DP119*(1+$EB119+各项系数!$J$5+各项系数!$L$5)</f>
        <v>85.342846311264722</v>
      </c>
      <c r="DP119" s="197">
        <f t="shared" si="353"/>
        <v>82.857132341033704</v>
      </c>
      <c r="DQ119" s="196">
        <f>DR119+各项系数!$M$9*$NV119</f>
        <v>85.981309211872642</v>
      </c>
      <c r="DR119" s="196">
        <f t="shared" si="354"/>
        <v>85.296848964463607</v>
      </c>
      <c r="DS119" s="197">
        <f>DT119+各项系数!$L$9*$NV119</f>
        <v>87.037600984146536</v>
      </c>
      <c r="DT119" s="197">
        <f>DU119*(1+$EB119+各项系数!$J$5+各项系数!$L$5)</f>
        <v>86.353140736737501</v>
      </c>
      <c r="DU119" s="199">
        <f t="shared" si="355"/>
        <v>83.838000715279122</v>
      </c>
      <c r="DV119" s="196">
        <f>DW119+各项系数!$M$9*$NV119</f>
        <v>85.8954379802381</v>
      </c>
      <c r="DW119" s="196">
        <f t="shared" si="356"/>
        <v>85.210977732829065</v>
      </c>
      <c r="DX119" s="197">
        <f>DY119+各项系数!$L$9*$NV119</f>
        <v>86.949977278397</v>
      </c>
      <c r="DY119" s="197">
        <f>DZ119*(1+$EB119+各项系数!$J$5+各项系数!$L$5)</f>
        <v>86.265517030987965</v>
      </c>
      <c r="DZ119" s="199">
        <f t="shared" si="357"/>
        <v>83.75292915629899</v>
      </c>
      <c r="EA119" s="213">
        <f t="shared" si="511"/>
        <v>0</v>
      </c>
      <c r="EB119" s="213">
        <f t="shared" si="358"/>
        <v>0.01</v>
      </c>
      <c r="EC119" s="235" t="str">
        <f t="shared" si="408"/>
        <v>3+2</v>
      </c>
      <c r="ED119" s="235" t="str">
        <f t="shared" si="494"/>
        <v>3*35</v>
      </c>
      <c r="EE119" s="189">
        <f t="shared" si="495"/>
        <v>35</v>
      </c>
      <c r="EF119" s="189" t="str">
        <f>LOOKUP(EH119,{1,7,10,14,19,24,30,37,48,61},{1,"1+6","2+8","4+10","1+6+12","2+8+14","4+10+16","1+6+12+18","3+9+15+21","1+6+12+18+24"})</f>
        <v>1+6</v>
      </c>
      <c r="EG119" s="188">
        <f t="shared" si="359"/>
        <v>3</v>
      </c>
      <c r="EH119" s="197">
        <f>VLOOKUP(EE119,各项系数!$B$87:$C$124,2,0)</f>
        <v>7</v>
      </c>
      <c r="EI119" s="188">
        <f>IF(EH119=0,0,VLOOKUP(EH119,各项系数!$D$142:$E$195,2,0))*1</f>
        <v>3</v>
      </c>
      <c r="EJ119" s="238">
        <f t="shared" si="409"/>
        <v>245.05464536042999</v>
      </c>
      <c r="EK119" s="189" t="str">
        <f t="shared" si="508"/>
        <v>2*16</v>
      </c>
      <c r="EL119" s="189" t="str">
        <f t="shared" si="360"/>
        <v>16</v>
      </c>
      <c r="EM119" s="189">
        <f t="shared" si="496"/>
        <v>16</v>
      </c>
      <c r="EN119" s="189" t="str">
        <f>IF(EP119=0,0,LOOKUP(EP119,{1,7,10,14,19,24,30,37,48,61},{1,"1+6","2+8","4+10","1+6+12","2+8+14","4+10+16","1+6+12+18","3+9+15+21","1+6+12+18+24"}))</f>
        <v>1+6</v>
      </c>
      <c r="EO119" s="189" t="str">
        <f t="shared" si="509"/>
        <v>2</v>
      </c>
      <c r="EP119" s="189">
        <f>IF(EM119=0,0,IF(EM119&lt;10,1,IF(AND(EM119&gt;=10,EM119&lt;=35),7,LOOKUP(EM119,{50,70,95,120,150,185,240,300},{10,14,19,24,30,37,48,61})*1)))</f>
        <v>7</v>
      </c>
      <c r="EQ119" s="189">
        <f>IF(EP119=0,0,VLOOKUP(EP119,各项系数!$D$142:$E$195,2,0))*1</f>
        <v>3</v>
      </c>
      <c r="ER119" s="189">
        <f t="shared" si="510"/>
        <v>165.41681820668899</v>
      </c>
      <c r="ES119" s="235">
        <f t="shared" si="497"/>
        <v>5</v>
      </c>
      <c r="ET119" s="189">
        <f>VLOOKUP(ES119,各项系数!$D$142:$E$195,2,0)*1</f>
        <v>2.7</v>
      </c>
      <c r="EU119" s="243">
        <f>((各项系数!$F$76/4*$EJ119^2*$EG119*$EH119*1*10^-7)*(1-$H119)*AA119)*(VLOOKUP($EY$9,各项系数!$D$4:$F$143,3,0))*各项系数!$J$4</f>
        <v>0.88574977891301732</v>
      </c>
      <c r="EV119" s="244">
        <f>EU119*(VLOOKUP($EY$9,各项系数!$D$4:$F$143,2,0))</f>
        <v>58.016610518802636</v>
      </c>
      <c r="EW119" s="252">
        <f>(IF($EO119=0,0,(各项系数!$F$76/4*$ER119^2*$EO119*$EP119*1*10^-7))*(1-$K119)*$AF119)*(VLOOKUP($EY$9,各项系数!$D$4:$F$143,3,0))*各项系数!$J$4</f>
        <v>0.26906254153647624</v>
      </c>
      <c r="EX119" s="253">
        <f>EW119*(VLOOKUP($EY$9,各项系数!$D$4:$F$143,2,0))</f>
        <v>17.623596470639193</v>
      </c>
      <c r="EY119" s="189">
        <f>((各项系数!$F$76/4*$EJ119^2*$EG119*$EH119*1*10^-7)*(1-$H119)*AA119+IF($EO119=0,0,(各项系数!$F$76/4*$ER119^2*$EO119*$EP119*1*10^-7))*(1-$K119)*$AF119)*(VLOOKUP($EY$9,各项系数!$D$4:$F$143,3,0))*各项系数!$J$4</f>
        <v>1.1548123204494936</v>
      </c>
      <c r="EZ119" s="102">
        <v>1</v>
      </c>
      <c r="FA119" s="189">
        <f t="shared" si="515"/>
        <v>1.1548123204494936</v>
      </c>
      <c r="FB119" s="254">
        <f>FA119*(VLOOKUP($EY$9,各项系数!$D$4:$F$143,2,0))</f>
        <v>75.640206989441822</v>
      </c>
      <c r="FC119" s="255"/>
      <c r="FD119" s="235">
        <f>各项系数!$F$76/4*($MN119^2-MK119^2)*10^-2*(VLOOKUP(L119,各项系数!$D$1:$F$143,3,0))*10^-3*10^2*$EG119*各项系数!$J$4</f>
        <v>7.6607209149240185E-2</v>
      </c>
      <c r="FE119" s="262">
        <f>FD119*VLOOKUP(L119,各项系数!$D$1:$F$143,2,0)</f>
        <v>0.78139353332224981</v>
      </c>
      <c r="FF119" s="188">
        <f>各项系数!$F$76/4*($MO119^2-ML119^2)*10^-2*(VLOOKUP(L119,各项系数!$D$1:$F$143,3,0))*10^-3*10^2*$EO119*各项系数!$J$4</f>
        <v>2.7258517861656877E-2</v>
      </c>
      <c r="FG119" s="262">
        <f>FF119*VLOOKUP(L119,各项系数!$D$1:$F$143,2,0)</f>
        <v>0.2780368821889001</v>
      </c>
      <c r="FH119" s="235">
        <f t="shared" si="410"/>
        <v>0.10386572701089707</v>
      </c>
      <c r="FI119" s="102">
        <v>1</v>
      </c>
      <c r="FJ119" s="189">
        <f t="shared" si="516"/>
        <v>0.10386572701089707</v>
      </c>
      <c r="FK119" s="262">
        <f>FJ119*VLOOKUP(L119,各项系数!$D$1:$F$143,2,0)</f>
        <v>1.05943041551115</v>
      </c>
      <c r="FL119" s="235"/>
      <c r="FM119" s="102"/>
      <c r="FN119" s="189"/>
      <c r="FO119" s="262"/>
      <c r="FP119" s="282">
        <f t="shared" si="517"/>
        <v>0.10386572701089707</v>
      </c>
      <c r="FQ119" s="282">
        <f t="shared" si="518"/>
        <v>1.05943041551115</v>
      </c>
      <c r="FR119" s="283">
        <f>各项系数!$F$76/4*($MQ119^2-$MN119^2*$EG119-$MO119^2*$EO119)*10^-2</f>
        <v>1.0881404421767924</v>
      </c>
      <c r="FS119" s="284">
        <f t="shared" si="411"/>
        <v>1</v>
      </c>
      <c r="FT119" s="285">
        <f t="shared" si="361"/>
        <v>1.0881404421767924</v>
      </c>
      <c r="FU119" s="302">
        <f>$FT119*(VLOOKUP($FT$9,各项系数!$D$1:$F$143,3,0))*10^-3*10^2*各项系数!$J$55</f>
        <v>0.12992396879590901</v>
      </c>
      <c r="FV119" s="303">
        <v>1</v>
      </c>
      <c r="FW119" s="304">
        <f t="shared" si="519"/>
        <v>0.12992396879590901</v>
      </c>
      <c r="FX119" s="285">
        <f>FW119*(VLOOKUP($FT$9,各项系数!$D$1:$F$143,2,0))</f>
        <v>0.38977190638772702</v>
      </c>
      <c r="FY119" s="302">
        <f>IF($BK119&lt;&gt;$FY$9,0,各项系数!$F$76/4*($MS119^2-$MQ119^2)*10^-2*(VLOOKUP($FY$9,各项系数!$D$1:$F$143,3,0))*10^-3*10^2)*各项系数!$J$4</f>
        <v>0</v>
      </c>
      <c r="FZ119" s="303">
        <v>1</v>
      </c>
      <c r="GA119" s="304">
        <f t="shared" si="520"/>
        <v>0</v>
      </c>
      <c r="GB119" s="285">
        <f>GA119*(VLOOKUP($FY$9,各项系数!$D$1:$F$143,2,0))</f>
        <v>0</v>
      </c>
      <c r="GC119" s="302">
        <f>IF($BK119&lt;&gt;$GC$9,0,各项系数!$F$76/4*($MS119^2-$MQ119^2)*10^-2*(VLOOKUP($GC$9,各项系数!$D$1:$F$143,3,0))*10^-3*10^2)*各项系数!$J$4</f>
        <v>5.9326890639686452E-3</v>
      </c>
      <c r="GD119" s="303">
        <v>1</v>
      </c>
      <c r="GE119" s="304">
        <f t="shared" si="521"/>
        <v>5.9326890639686452E-3</v>
      </c>
      <c r="GF119" s="285">
        <f>GE119*(VLOOKUP($GC$9,各项系数!$D$1:$F$143,2,0))</f>
        <v>7.6531688925195518E-2</v>
      </c>
      <c r="GG119" s="302">
        <f>IF($BK119&lt;&gt;$GG$9,0,各项系数!$F$76/4*($MS119^2-$MQ119^2)*10^-2*(VLOOKUP($GG$9,各项系数!$D$1:$F$143,3,0))*10^-3*10^2)*各项系数!$J$4</f>
        <v>0</v>
      </c>
      <c r="GH119" s="303">
        <v>1</v>
      </c>
      <c r="GI119" s="304">
        <f t="shared" si="522"/>
        <v>0</v>
      </c>
      <c r="GJ119" s="285">
        <f>GI119*(VLOOKUP($GG$9,各项系数!$D$1:$F$143,2,0))</f>
        <v>0</v>
      </c>
      <c r="GK119" s="302">
        <f>IF($BK119&lt;&gt;$GK$9,0,各项系数!$F$76/4*($MS119^2-$MQ119^2)*10^-2*(VLOOKUP($GK$9,各项系数!$D$1:$F$143,3,0))*10^-3*10^2)*各项系数!$J$4</f>
        <v>0</v>
      </c>
      <c r="GL119" s="303">
        <v>1</v>
      </c>
      <c r="GM119" s="304">
        <f t="shared" si="523"/>
        <v>0</v>
      </c>
      <c r="GN119" s="285">
        <f>GM119*(VLOOKUP($GK$9,各项系数!$D$1:$F$143,2,0))</f>
        <v>0</v>
      </c>
      <c r="GO119" s="304">
        <f t="shared" si="524"/>
        <v>5.9326890639686452E-3</v>
      </c>
      <c r="GP119" s="304">
        <f t="shared" si="525"/>
        <v>7.6531688925195518E-2</v>
      </c>
      <c r="GQ119" s="315">
        <f>各项系数!$F$76/4*($MU119^2-$MS119^2)*10^-2*(VLOOKUP($S119,各项系数!$D$1:$F$143,3,0))*10^-3*10^2*各项系数!$J$4</f>
        <v>0.1626030041176082</v>
      </c>
      <c r="GR119" s="303">
        <v>1</v>
      </c>
      <c r="GS119" s="304">
        <f t="shared" si="526"/>
        <v>0.1626030041176082</v>
      </c>
      <c r="GT119" s="304">
        <f t="shared" si="457"/>
        <v>0</v>
      </c>
      <c r="GU119" s="304">
        <f>ROUND($GS119*(VLOOKUP($S119,各项系数!$D$1:$F$143,2,0))+$E$3*GS119,GT119)</f>
        <v>1</v>
      </c>
      <c r="GV119" s="315">
        <f>各项系数!$F$76/4*($MT119^2-$MS119^2)*10^-2*(VLOOKUP($GV$9,各项系数!$D$1:$F$143,3,0))*10^-3*10^2*各项系数!$J$4*PI()/4*R119</f>
        <v>3.0664905133606524E-2</v>
      </c>
      <c r="GW119" s="303">
        <v>1</v>
      </c>
      <c r="GX119" s="304">
        <f t="shared" si="527"/>
        <v>3.0664905133606524E-2</v>
      </c>
      <c r="GY119" s="304">
        <f>$GX119*(VLOOKUP($GV$9,各项系数!$D$1:$F$143,2,0))</f>
        <v>2.0698810965184404</v>
      </c>
      <c r="GZ119" s="315">
        <f>各项系数!$F$76/4*($MV119^2-$MS119^2)*10^-2*(VLOOKUP($GZ$9,各项系数!$D$1:$F$143,3,0))*10^-3*10^2*各项系数!$J$4</f>
        <v>0.20472999790079116</v>
      </c>
      <c r="HA119" s="303">
        <v>1</v>
      </c>
      <c r="HB119" s="304">
        <f t="shared" si="412"/>
        <v>0.20472999790079116</v>
      </c>
      <c r="HC119" s="304">
        <f>HB119*(VLOOKUP($GZ$9,各项系数!$D$1:$F$143,2,0))</f>
        <v>3.4804099643134498</v>
      </c>
      <c r="HD119" s="315">
        <f>各项系数!$F$76/4*($MW119^2-$MT119^2)*10^-2*(VLOOKUP($HD$9,各项系数!$D$1:$F$143,3,0))*10^-3*10^2*各项系数!$J$4</f>
        <v>0.2061078878722849</v>
      </c>
      <c r="HE119" s="303">
        <v>1</v>
      </c>
      <c r="HF119" s="304">
        <f t="shared" si="413"/>
        <v>0.2061078878722849</v>
      </c>
      <c r="HG119" s="304">
        <f>HF119*(VLOOKUP($HD$9,各项系数!$D$1:$F$143,2,0))</f>
        <v>3.5038340938288433</v>
      </c>
      <c r="HH119" s="315">
        <f>各项系数!$F$76/4*($MV119^2-$MS119^2)*10^-2*(VLOOKUP($HH$9,各项系数!$D$1:$F$143,3,0))*10^-3*10^2*各项系数!$J$4</f>
        <v>0.20472999790079116</v>
      </c>
      <c r="HI119" s="322">
        <v>1</v>
      </c>
      <c r="HJ119" s="304">
        <f t="shared" si="414"/>
        <v>0.20472999790079116</v>
      </c>
      <c r="HK119" s="304">
        <f>HJ119*(VLOOKUP($HH$9,各项系数!$D$1:$F$143,2,0))</f>
        <v>3.4804099643134498</v>
      </c>
      <c r="HL119" s="315">
        <f>各项系数!$F$76/4*($MW119^2-$MT119^2)*10^-2*(VLOOKUP($HL$9,各项系数!$D$1:$F$143,3,0))*10^-3*10^2*各项系数!$J$4</f>
        <v>0.2061078878722849</v>
      </c>
      <c r="HM119" s="322">
        <v>1</v>
      </c>
      <c r="HN119" s="304">
        <f t="shared" si="362"/>
        <v>0.2061078878722849</v>
      </c>
      <c r="HO119" s="304">
        <f>HN119*(VLOOKUP($HL$9,各项系数!$D$1:$F$143,2,0))</f>
        <v>3.5038340938288433</v>
      </c>
      <c r="HP119" s="315">
        <f>各项系数!$F$76/4*($MV119^2-$MS119^2)*10^-2*(VLOOKUP(AN119,各项系数!$D$1:$F$143,3,0))*10^-3*10^2*各项系数!$J$4</f>
        <v>0.20755385994080208</v>
      </c>
      <c r="HQ119" s="303">
        <v>1</v>
      </c>
      <c r="HR119" s="304">
        <f t="shared" si="528"/>
        <v>0.20755385994080208</v>
      </c>
      <c r="HS119" s="304">
        <f>HR119*(VLOOKUP(AN119,各项系数!$D$1:$F$143,2,0))</f>
        <v>2.0755385994080209</v>
      </c>
      <c r="HT119" s="315">
        <f>各项系数!$F$76/4*($MW119^2-$MT119^2)*10^-2*(VLOOKUP(AN119,各项系数!$D$1:$F$143,3,0))*10^-3*10^2*各项系数!$J$4</f>
        <v>0.20895075529121299</v>
      </c>
      <c r="HU119" s="303">
        <v>1</v>
      </c>
      <c r="HV119" s="304">
        <f t="shared" si="529"/>
        <v>0.20895075529121299</v>
      </c>
      <c r="HW119" s="304">
        <f>HV119*(VLOOKUP(AN119,各项系数!$D$1:$F$143,2,0))</f>
        <v>2.0895075529121296</v>
      </c>
      <c r="HX119" s="315">
        <f>各项系数!$F$76/4*($MV119^2-$MS119^2)*10^-2*(VLOOKUP($HX$9,各项系数!$D$1:$F$143,3,0))*10^-3*10^2*各项系数!$J$4</f>
        <v>0.20755385994080208</v>
      </c>
      <c r="HY119" s="322">
        <v>1</v>
      </c>
      <c r="HZ119" s="304">
        <f t="shared" si="530"/>
        <v>0.20755385994080208</v>
      </c>
      <c r="IA119" s="304">
        <f>HZ119*(VLOOKUP($HX$9,各项系数!$D$1:$F$143,2,0))</f>
        <v>2.2830924593488229</v>
      </c>
      <c r="IB119" s="315">
        <f>各项系数!$F$76/4*($MW119^2-$MT119^2)*10^-2*(VLOOKUP($IB$9,各项系数!$D$1:$F$143,3,0))*10^-3*10^2*各项系数!$J$4</f>
        <v>0.20895075529121299</v>
      </c>
      <c r="IC119" s="322">
        <v>1</v>
      </c>
      <c r="ID119" s="304">
        <f t="shared" si="531"/>
        <v>0.20895075529121299</v>
      </c>
      <c r="IE119" s="304">
        <f>ID119*(VLOOKUP($IB$9,各项系数!$D$1:$F$143,2,0))</f>
        <v>2.298458308203343</v>
      </c>
      <c r="IF119" s="328"/>
      <c r="IG119" s="315">
        <f t="shared" si="415"/>
        <v>4.7094476260169015E-2</v>
      </c>
      <c r="IH119" s="303">
        <v>1</v>
      </c>
      <c r="II119" s="304">
        <f t="shared" si="532"/>
        <v>4.7094476260169015E-2</v>
      </c>
      <c r="IJ119" s="304">
        <f>II119*(VLOOKUP($IG$8,各项系数!$D$1:$F$143,2,0))</f>
        <v>1.1773619065042253</v>
      </c>
      <c r="IK119" s="315">
        <f>(各项系数!$F$76/4*($MX119^2-$MK119^2)*$EG119)*10^-2*(VLOOKUP($IG$8,各项系数!$D$1:$F$143,3,0))*10^-3*10^2*各项系数!$J$4</f>
        <v>3.2289492105039438E-2</v>
      </c>
      <c r="IL119" s="303">
        <f>IK119*(VLOOKUP($IG$8,各项系数!$D$1:$F$143,2,0))</f>
        <v>0.80723730262598592</v>
      </c>
      <c r="IM119" s="304">
        <f>(各项系数!$F$76/4*(($MM119+3*$X119)^2-MM119^2)*$EO119)*10^-2*(VLOOKUP($IG$8,各项系数!$D$1:$F$143,3,0))*10^-3*10^2*各项系数!$J$4</f>
        <v>1.4804984155129574E-2</v>
      </c>
      <c r="IN119" s="303">
        <f>IM119*(VLOOKUP($IG$8,各项系数!$D$1:$F$143,2,0))</f>
        <v>0.37012460387823937</v>
      </c>
      <c r="IO119" s="315">
        <f>各项系数!$F$76/4*($MZ119^2-$MX119^2)*10^-2*(VLOOKUP(L119,各项系数!$D$1:$F$143,3,0))*10^-3*10^2*$ES119*各项系数!$J$4</f>
        <v>0.1369625594456563</v>
      </c>
      <c r="IP119" s="303">
        <v>1</v>
      </c>
      <c r="IQ119" s="304">
        <f t="shared" si="533"/>
        <v>0.1369625594456563</v>
      </c>
      <c r="IR119" s="285">
        <f>IQ119*(VLOOKUP(L119,各项系数!$D$1:$F$143,2,0))</f>
        <v>1.3970181063456941</v>
      </c>
      <c r="IS119" s="315">
        <f>IF($L119&lt;&gt;$IS$9,0,各项系数!$F$76/4*($MZ119^2-$MX119^2)*10^-2*各项系数!$F$12*10^-3*10^2)*$ES119*各项系数!$J$4</f>
        <v>0</v>
      </c>
      <c r="IT119" s="303">
        <v>1</v>
      </c>
      <c r="IU119" s="304">
        <f t="shared" si="534"/>
        <v>0</v>
      </c>
      <c r="IV119" s="285">
        <f>IU119*各项系数!$E$12</f>
        <v>0</v>
      </c>
      <c r="IW119" s="302">
        <f t="shared" si="535"/>
        <v>0.1369625594456563</v>
      </c>
      <c r="IX119" s="302">
        <f t="shared" si="536"/>
        <v>1.3970181063456941</v>
      </c>
      <c r="IY119" s="339">
        <f>各项系数!$F$76/4*($NB119^2-$MZ119^2*$EG119-$NA119^2*$EO119)*10^-2</f>
        <v>1.3377394405281471</v>
      </c>
      <c r="IZ119" s="284">
        <f t="shared" si="487"/>
        <v>1</v>
      </c>
      <c r="JA119" s="285">
        <f t="shared" si="363"/>
        <v>1.3377394405281471</v>
      </c>
      <c r="JB119" s="282">
        <f>IF($DE119&lt;&gt;$JB$9,0,$JA119*各项系数!$F$32*10^-3*10^2)*各项系数!$J$4</f>
        <v>0</v>
      </c>
      <c r="JC119" s="102">
        <v>1</v>
      </c>
      <c r="JD119" s="189">
        <f t="shared" si="537"/>
        <v>0</v>
      </c>
      <c r="JE119" s="262">
        <f>JD119*各项系数!$E$32</f>
        <v>0</v>
      </c>
      <c r="JF119" s="282">
        <f>IF($DE119&lt;&gt;$JF$9,0,$JA119*VLOOKUP($JF$9,各项系数!$D$4:$F$540,2,0)*10^-3*10^2)*各项系数!$J$4</f>
        <v>0.66552537166275327</v>
      </c>
      <c r="JG119" s="102">
        <v>1</v>
      </c>
      <c r="JH119" s="189">
        <f t="shared" si="364"/>
        <v>0.66552537166275327</v>
      </c>
      <c r="JI119" s="262">
        <f>JH119*VLOOKUP($JF$9,各项系数!$D$4:$F$540,3,0)</f>
        <v>0.79863044599530386</v>
      </c>
      <c r="JJ119" s="282">
        <f t="shared" si="538"/>
        <v>0.66552537166275327</v>
      </c>
      <c r="JK119" s="189">
        <f t="shared" si="539"/>
        <v>0.79863044599530386</v>
      </c>
      <c r="JL119" s="282">
        <f>IF($DF119&lt;&gt;$JL$9,0,各项系数!$F$76/4*($NE119^2-$NC119^2)*10^-2*各项系数!$F$39*10^-3*10^2)*各项系数!$J$4</f>
        <v>2.6860407796053228E-3</v>
      </c>
      <c r="JM119" s="102">
        <v>1</v>
      </c>
      <c r="JN119" s="189">
        <f t="shared" si="540"/>
        <v>2.6860407796053228E-3</v>
      </c>
      <c r="JO119" s="262">
        <f>JN119*各项系数!$E$39</f>
        <v>5.3720815592106452E-2</v>
      </c>
      <c r="JP119" s="282">
        <f>IF($DF119&lt;&gt;$JP$9,0,各项系数!$F$76/4*($NE119^2-$NC119^2)*10^-2*各项系数!$F$36*10^-3*10^2)*各项系数!$J$4</f>
        <v>0</v>
      </c>
      <c r="JQ119" s="102">
        <v>1</v>
      </c>
      <c r="JR119" s="189">
        <f t="shared" si="541"/>
        <v>0</v>
      </c>
      <c r="JS119" s="262">
        <f>JR119*各项系数!$E$36</f>
        <v>0</v>
      </c>
      <c r="JT119" s="282">
        <f>IF($DF119&lt;&gt;$JT$9,0,各项系数!$F$76/4*($NE119^2-$NC119^2)*10^-2*各项系数!$F$40*10^-3*10^2)*各项系数!$J$4</f>
        <v>0</v>
      </c>
      <c r="JU119" s="102">
        <v>1</v>
      </c>
      <c r="JV119" s="189">
        <f t="shared" si="542"/>
        <v>0</v>
      </c>
      <c r="JW119" s="262">
        <f>JV119*各项系数!$E$40</f>
        <v>0</v>
      </c>
      <c r="JX119" s="282">
        <f>IF($DF119&lt;&gt;$JX$9,0,各项系数!$F$76/4*($NE119^2-$NC119^2)*10^-2*各项系数!$F$38*10^-3*10^2)*各项系数!$J$4</f>
        <v>0</v>
      </c>
      <c r="JY119" s="102">
        <v>1</v>
      </c>
      <c r="JZ119" s="189">
        <f t="shared" si="543"/>
        <v>0</v>
      </c>
      <c r="KA119" s="262">
        <f>JZ119*各项系数!$E$38</f>
        <v>0</v>
      </c>
      <c r="KB119" s="282">
        <f>IF($DF119&lt;&gt;$KB$9,0,各项系数!$F$76/4*($NE119^2-$NC119^2)*10^-2*各项系数!$F$41*10^-3*10^2)*各项系数!$J$4</f>
        <v>0</v>
      </c>
      <c r="KC119" s="102">
        <v>1</v>
      </c>
      <c r="KD119" s="189">
        <f t="shared" si="544"/>
        <v>0</v>
      </c>
      <c r="KE119" s="262">
        <f>KD119*各项系数!$E$41</f>
        <v>0</v>
      </c>
      <c r="KF119" s="189">
        <f t="shared" si="545"/>
        <v>2.6860407796053228E-3</v>
      </c>
      <c r="KG119" s="189">
        <f t="shared" si="546"/>
        <v>5.3720815592106452E-2</v>
      </c>
      <c r="KH119" s="235">
        <f>各项系数!$F$76/4*($NG119^2-$NE119^2)*10^-2*各项系数!$F$44*10^-3*10^2*各项系数!$J$4*0.75*$U119</f>
        <v>0.267180481261026</v>
      </c>
      <c r="KI119" s="102">
        <v>1</v>
      </c>
      <c r="KJ119" s="189">
        <f t="shared" si="547"/>
        <v>0.267180481261026</v>
      </c>
      <c r="KK119" s="189">
        <f>ROUND(KJ119*各项系数!$E$43,GT119)</f>
        <v>2</v>
      </c>
      <c r="KL119" s="235">
        <f>各项系数!$F$76/4*($NF119^2-$NE119^2)*10^-2*各项系数!$F$46*10^-3*10^2*各项系数!$J$4*PI()/4*R119</f>
        <v>3.3620604327341944E-2</v>
      </c>
      <c r="KM119" s="102">
        <v>1</v>
      </c>
      <c r="KN119" s="189">
        <f t="shared" si="548"/>
        <v>3.3620604327341944E-2</v>
      </c>
      <c r="KO119" s="189">
        <f>KN119*各项系数!$E$46</f>
        <v>2.2693907920955811</v>
      </c>
      <c r="KP119" s="235">
        <f>各项系数!$F$76/4*($NH119^2-$NE119^2)*10^-2*(VLOOKUP($KP$9,各项系数!$D$1:$F$143,3,0))*10^-3*10^2*各项系数!$J$4</f>
        <v>0.22295259277379748</v>
      </c>
      <c r="KQ119" s="102">
        <v>1</v>
      </c>
      <c r="KR119" s="189">
        <f t="shared" si="416"/>
        <v>0.22295259277379748</v>
      </c>
      <c r="KS119" s="189">
        <f>KR119*(VLOOKUP($KP$9,各项系数!$D$1:$F$143,2,0))</f>
        <v>3.790194077154557</v>
      </c>
      <c r="KT119" s="235">
        <f>各项系数!$F$76/4*($NI119^2-$NF119^2)*10^-2*(VLOOKUP($KT$9,各项系数!$D$1:$F$143,3,0))*10^-3*10^2*各项系数!$J$4</f>
        <v>0.22433048274529135</v>
      </c>
      <c r="KU119" s="102">
        <v>1</v>
      </c>
      <c r="KV119" s="189">
        <f t="shared" si="417"/>
        <v>0.22433048274529135</v>
      </c>
      <c r="KW119" s="189">
        <f>KV119*(VLOOKUP($KT$9,各项系数!$D$1:$F$143,2,0))</f>
        <v>3.8136182066699531</v>
      </c>
      <c r="KX119" s="189">
        <f>各项系数!$F$76/4*($NH119^2-$NE119^2)*10^-2*(VLOOKUP($KX$9,各项系数!$D$1:$F$143,3,0))*10^-3*10^2*各项系数!$J$4</f>
        <v>0.22295259277379748</v>
      </c>
      <c r="KY119" s="353">
        <v>1</v>
      </c>
      <c r="KZ119" s="189">
        <f t="shared" si="418"/>
        <v>0.22295259277379748</v>
      </c>
      <c r="LA119" s="189">
        <f>KZ119*(VLOOKUP($KX$9,各项系数!$D$1:$F$143,2,0))</f>
        <v>3.790194077154557</v>
      </c>
      <c r="LB119" s="189">
        <f>各项系数!$F$76/4*($NI119^2-$NF119^2)*10^-2*(VLOOKUP($LB$9,各项系数!$D$1:$F$143,3,0))*10^-3*10^2*各项系数!$J$4</f>
        <v>0.22433048274529135</v>
      </c>
      <c r="LC119" s="353">
        <v>1</v>
      </c>
      <c r="LD119" s="189">
        <f t="shared" si="419"/>
        <v>0.22433048274529135</v>
      </c>
      <c r="LE119" s="189">
        <f>LD119*(VLOOKUP($LB$9,各项系数!$D$1:$F$143,2,0))</f>
        <v>3.8136182066699531</v>
      </c>
      <c r="LF119" s="235">
        <f>各项系数!$F$76/4*($NH119^2-$NE119^2)*10^-2*(VLOOKUP(AN119,各项系数!$D$1:$F$143,3,0))*10^-3*10^2*各项系数!$J$4</f>
        <v>0.22602780094998778</v>
      </c>
      <c r="LG119" s="102">
        <v>1</v>
      </c>
      <c r="LH119" s="189">
        <f t="shared" si="549"/>
        <v>0.22602780094998778</v>
      </c>
      <c r="LI119" s="189">
        <f>LH119*(VLOOKUP(AN119,各项系数!$D$1:$F$143,2,0))</f>
        <v>2.2602780094998778</v>
      </c>
      <c r="LJ119" s="235">
        <f>各项系数!$F$76/4*($NI119^2-$NF119^2)*10^-2*(VLOOKUP(AN119,各项系数!$D$1:$F$143,3,0))*10^-3*10^2*各项系数!$J$4</f>
        <v>0.22742469630039883</v>
      </c>
      <c r="LK119" s="102">
        <v>1</v>
      </c>
      <c r="LL119" s="189">
        <f t="shared" si="550"/>
        <v>0.22742469630039883</v>
      </c>
      <c r="LM119" s="189">
        <f>LL119*(VLOOKUP(AN119,各项系数!$D$1:$F$143,2,0))</f>
        <v>2.2742469630039883</v>
      </c>
      <c r="LN119" s="189">
        <f>各项系数!$F$76/4*($NH119^2-$NE119^2)*10^-2*(VLOOKUP($LN$9,各项系数!$D$1:$F$143,3,0))*10^-3*10^2*各项系数!$J$4</f>
        <v>0.22602780094998778</v>
      </c>
      <c r="LO119" s="353">
        <v>1</v>
      </c>
      <c r="LP119" s="189">
        <f t="shared" si="551"/>
        <v>0.22602780094998778</v>
      </c>
      <c r="LQ119" s="189">
        <f>LP119*(VLOOKUP($LN$9,各项系数!$D$1:$F$143,2,0))</f>
        <v>2.4863058104498656</v>
      </c>
      <c r="LR119" s="189">
        <f>各项系数!$F$76/4*($NI119^2-$NF119^2)*10^-2*(VLOOKUP($LR$9,各项系数!$D$1:$F$143,3,0))*10^-3*10^2*各项系数!$J$4</f>
        <v>0.22742469630039883</v>
      </c>
      <c r="LS119" s="353">
        <v>1</v>
      </c>
      <c r="LT119" s="189">
        <f t="shared" si="552"/>
        <v>0.22742469630039883</v>
      </c>
      <c r="LU119" s="189">
        <f>LT119*(VLOOKUP($LR$9,各项系数!$D$1:$F$143,2,0))</f>
        <v>2.5016716593043871</v>
      </c>
      <c r="LV119" s="227">
        <f t="shared" si="420"/>
        <v>127.34430380000001</v>
      </c>
      <c r="LW119" s="227">
        <f t="shared" si="421"/>
        <v>99.045569619999995</v>
      </c>
      <c r="LX119" s="227">
        <f t="shared" si="422"/>
        <v>11.229814600918559</v>
      </c>
      <c r="LY119" s="227">
        <f t="shared" si="423"/>
        <v>28.298734180000011</v>
      </c>
      <c r="LZ119" s="374">
        <f t="shared" si="365"/>
        <v>1</v>
      </c>
      <c r="MA119" s="375">
        <f t="shared" si="366"/>
        <v>127.34430380000001</v>
      </c>
      <c r="MB119" s="375">
        <f t="shared" si="424"/>
        <v>7.3516393500000001</v>
      </c>
      <c r="MC119" s="227">
        <f t="shared" si="425"/>
        <v>38.683139359999998</v>
      </c>
      <c r="MD119" s="227">
        <f t="shared" si="426"/>
        <v>30.08688609</v>
      </c>
      <c r="ME119" s="227">
        <f t="shared" si="427"/>
        <v>6.1893305896300532</v>
      </c>
      <c r="MF119" s="227">
        <f t="shared" si="428"/>
        <v>8.5962532699999983</v>
      </c>
      <c r="MG119" s="374">
        <f t="shared" si="429"/>
        <v>1</v>
      </c>
      <c r="MH119" s="375">
        <f t="shared" si="367"/>
        <v>38.683139359999998</v>
      </c>
      <c r="MI119" s="375">
        <f t="shared" si="430"/>
        <v>4.962504546479189</v>
      </c>
      <c r="MJ119" s="189">
        <f t="shared" si="368"/>
        <v>7.3516393500000001</v>
      </c>
      <c r="MK119" s="189">
        <f t="shared" si="431"/>
        <v>7.3516393500000001</v>
      </c>
      <c r="ML119" s="189">
        <f t="shared" si="553"/>
        <v>4.9625045462006696</v>
      </c>
      <c r="MM119" s="189">
        <f t="shared" si="369"/>
        <v>4.962504546479189</v>
      </c>
      <c r="MN119" s="189">
        <f t="shared" si="370"/>
        <v>9.15163935</v>
      </c>
      <c r="MO119" s="189">
        <f t="shared" si="432"/>
        <v>6.3625045464791885</v>
      </c>
      <c r="MP119" s="189">
        <f t="shared" si="433"/>
        <v>21.697160660000002</v>
      </c>
      <c r="MQ119" s="189">
        <f t="shared" si="554"/>
        <v>21.697160660000002</v>
      </c>
      <c r="MR119" s="246">
        <f t="shared" si="434"/>
        <v>21.697160660000002</v>
      </c>
      <c r="MS119" s="380">
        <f t="shared" si="371"/>
        <v>21.87316066</v>
      </c>
      <c r="MT119" s="380">
        <f t="shared" si="372"/>
        <v>22.03316066</v>
      </c>
      <c r="MU119" s="380">
        <f t="shared" si="373"/>
        <v>22.473160660000001</v>
      </c>
      <c r="MV119" s="380">
        <f t="shared" si="374"/>
        <v>25.673160660000001</v>
      </c>
      <c r="MW119" s="380">
        <f t="shared" si="375"/>
        <v>25.833160660000001</v>
      </c>
      <c r="MX119" s="254">
        <f t="shared" si="376"/>
        <v>7.9516393500000007</v>
      </c>
      <c r="MY119" s="254">
        <f t="shared" si="377"/>
        <v>5.5625045464791896</v>
      </c>
      <c r="MZ119" s="189">
        <f t="shared" si="378"/>
        <v>9.7516393500000014</v>
      </c>
      <c r="NA119" s="189">
        <f t="shared" si="379"/>
        <v>7.3625045464791894</v>
      </c>
      <c r="NB119" s="189">
        <f t="shared" si="435"/>
        <v>23.749160660000001</v>
      </c>
      <c r="NC119" s="254">
        <f t="shared" si="555"/>
        <v>23.749160660000001</v>
      </c>
      <c r="ND119" s="246">
        <f t="shared" si="436"/>
        <v>23.749160660000001</v>
      </c>
      <c r="NE119" s="386">
        <f t="shared" si="437"/>
        <v>23.98916066</v>
      </c>
      <c r="NF119" s="380">
        <f t="shared" si="380"/>
        <v>24.14916066</v>
      </c>
      <c r="NG119" s="387">
        <f t="shared" si="381"/>
        <v>24.589160660000001</v>
      </c>
      <c r="NH119" s="254">
        <f t="shared" si="382"/>
        <v>27.78916066</v>
      </c>
      <c r="NI119" s="380">
        <f t="shared" si="383"/>
        <v>27.94916066</v>
      </c>
      <c r="NK119" s="388">
        <f t="shared" si="384"/>
        <v>1.6293470831227272</v>
      </c>
      <c r="NL119" s="388">
        <f t="shared" si="385"/>
        <v>79.519516481862809</v>
      </c>
      <c r="NM119" s="388">
        <f t="shared" si="386"/>
        <v>1.6293470831227272</v>
      </c>
      <c r="NN119" s="388">
        <f t="shared" si="387"/>
        <v>79.727070341803611</v>
      </c>
      <c r="NO119" s="388">
        <f t="shared" si="388"/>
        <v>2.2479135537027952</v>
      </c>
      <c r="NP119" s="388">
        <f t="shared" si="389"/>
        <v>81.697340877257261</v>
      </c>
      <c r="NQ119" s="388">
        <f t="shared" si="390"/>
        <v>2.2479135537027952</v>
      </c>
      <c r="NR119" s="388">
        <f t="shared" si="391"/>
        <v>81.923368678207254</v>
      </c>
      <c r="NS119" s="388">
        <f t="shared" si="392"/>
        <v>1.6600119882563338</v>
      </c>
      <c r="NT119" s="388">
        <f t="shared" si="393"/>
        <v>1.6600119882563338</v>
      </c>
      <c r="NU119" s="388">
        <f t="shared" si="394"/>
        <v>2.2815341580301371</v>
      </c>
      <c r="NV119" s="388">
        <f t="shared" si="395"/>
        <v>2.2815341580301371</v>
      </c>
      <c r="NW119">
        <f t="shared" si="396"/>
        <v>1.7919500872403353</v>
      </c>
      <c r="NX119">
        <f>各项系数!$M$9*NK119</f>
        <v>0.48880412493681813</v>
      </c>
      <c r="NY119">
        <f t="shared" si="397"/>
        <v>1.6600119882563338</v>
      </c>
    </row>
    <row r="120" spans="1:389" ht="15" hidden="1" customHeight="1">
      <c r="A120" s="65"/>
      <c r="B120" s="66"/>
      <c r="C120" s="67"/>
      <c r="D120" s="53" t="s">
        <v>396</v>
      </c>
      <c r="E120" s="399">
        <f t="shared" si="503"/>
        <v>31.560281439999997</v>
      </c>
      <c r="F120" s="68">
        <f>$F$24</f>
        <v>238.573455311777</v>
      </c>
      <c r="G120" s="58"/>
      <c r="H120" s="16"/>
      <c r="I120" s="145">
        <f>$F$22</f>
        <v>208.046961644752</v>
      </c>
      <c r="J120" s="62"/>
      <c r="K120" s="16"/>
      <c r="L120" s="97" t="s">
        <v>467</v>
      </c>
      <c r="M120" s="103">
        <f t="shared" si="339"/>
        <v>1</v>
      </c>
      <c r="N120" s="103">
        <f t="shared" si="501"/>
        <v>0.9</v>
      </c>
      <c r="O120" s="53">
        <f t="shared" si="556"/>
        <v>0.08</v>
      </c>
      <c r="P120" s="99">
        <v>0.1</v>
      </c>
      <c r="Q120" s="133">
        <f t="shared" si="512"/>
        <v>0.1</v>
      </c>
      <c r="R120" s="70">
        <v>0.8</v>
      </c>
      <c r="S120" s="142" t="str">
        <f>各项系数!$D$43</f>
        <v>钢带</v>
      </c>
      <c r="T120" s="102">
        <v>0.5</v>
      </c>
      <c r="U120" s="102">
        <v>2</v>
      </c>
      <c r="V120" s="140"/>
      <c r="W120" s="141">
        <v>2</v>
      </c>
      <c r="X120" s="135">
        <f t="shared" si="513"/>
        <v>0.2</v>
      </c>
      <c r="Y120" s="135"/>
      <c r="Z120" s="168"/>
      <c r="AA120" s="153">
        <f>$AA$24</f>
        <v>1.0109999999999999</v>
      </c>
      <c r="AB120" s="153">
        <f>PI()*EJ120*EJ120/4*EH120*(1-H120)*AA120*各项系数!$F$5*各项系数!$J$4*10^-7</f>
        <v>0.39976992605548828</v>
      </c>
      <c r="AC120" s="153">
        <f t="shared" si="504"/>
        <v>238.573455311777</v>
      </c>
      <c r="AD120" s="153">
        <f t="shared" si="341"/>
        <v>45.194467959085443</v>
      </c>
      <c r="AE120" s="153">
        <f>POWER(4*EU120/PI()/EG120/10^-7/EH120/(1-H120)/各项系数!$F$5/各项系数!$J$4,0.5)</f>
        <v>239.88202060340797</v>
      </c>
      <c r="AF120" s="69">
        <f>$AA$22</f>
        <v>1.0109999999999999</v>
      </c>
      <c r="AG120" s="69">
        <f>IF(EM120=0,0,PI()*ER120*ER120/4*EP120*(1-K120)*(1+AF120)*各项系数!$F$5*各项系数!$J$4*10^-7)</f>
        <v>0.42329933774174133</v>
      </c>
      <c r="AH120" s="69">
        <f t="shared" si="505"/>
        <v>208.046961644752</v>
      </c>
      <c r="AI120" s="69">
        <f t="shared" si="398"/>
        <v>24.058128060751155</v>
      </c>
      <c r="AJ120" s="69">
        <f>IF(OR(EP120="",EP120=0),0,POWER(4*EW120/PI()/EO120/10^-7/EP120/(1-K120)/各项系数!$F$5/各项系数!$J$4,0.5))</f>
        <v>209.18809041233357</v>
      </c>
      <c r="AK120" s="69">
        <f t="shared" si="342"/>
        <v>1.6249245275020197</v>
      </c>
      <c r="AL120" s="69">
        <f t="shared" si="506"/>
        <v>115.008800082405</v>
      </c>
      <c r="AM120" s="188">
        <f t="shared" si="507"/>
        <v>50</v>
      </c>
      <c r="AN120" s="97" t="s">
        <v>486</v>
      </c>
      <c r="AO120" s="196">
        <f>AP120+各项系数!$M$9*$NK120</f>
        <v>112.7537255709853</v>
      </c>
      <c r="AP120" s="196">
        <f>AQ120*(1+$BI120+(VLOOKUP($AM120,$A$12:$B$323,2,0))+各项系数!$J$6+各项系数!$M$5)*(1+$E$2)</f>
        <v>112.06122651715285</v>
      </c>
      <c r="AQ120" s="197">
        <f>AR120+各项系数!$L$9*$NK120</f>
        <v>114.34819032362536</v>
      </c>
      <c r="AR120" s="197">
        <f>AS120*(1+$BJ120+各项系数!$J$5+各项系数!$L$5)</f>
        <v>113.65569126979291</v>
      </c>
      <c r="AS120" s="197">
        <f t="shared" si="399"/>
        <v>111.42714830371854</v>
      </c>
      <c r="AT120" s="196">
        <f>AU120+各项系数!$M$9*$NM120</f>
        <v>114.59179047159552</v>
      </c>
      <c r="AU120" s="196">
        <f>AV120*(1+$BI120+(VLOOKUP($AM120,$A$12:$B$323,2,0))+各项系数!$J$6+各项系数!$M$5)*(1+$E$2)</f>
        <v>113.89929141776307</v>
      </c>
      <c r="AV120" s="197">
        <f>AW120+各项系数!$L$9*$NM120</f>
        <v>116.22376675281946</v>
      </c>
      <c r="AW120" s="197">
        <f>AX120*(1+$BJ120+各项系数!$J$5+各项系数!$L$5)</f>
        <v>115.53126769898701</v>
      </c>
      <c r="AX120" s="197">
        <f t="shared" si="400"/>
        <v>113.26594872449706</v>
      </c>
      <c r="AY120" s="196">
        <f>AZ120+各项系数!$M$9*$NS120</f>
        <v>115.39641343998795</v>
      </c>
      <c r="AZ120" s="196">
        <f>BA120*(1+$BI120+(VLOOKUP($AM120,$A$12:$B$214,2,0))+各项系数!$J$6+各项系数!$M$5)*(1+$E$2)</f>
        <v>114.69233172676512</v>
      </c>
      <c r="BA120" s="197">
        <f>BB120+各项系数!$L$9*$NS120</f>
        <v>117.03299155792359</v>
      </c>
      <c r="BB120" s="197">
        <f>BC120*(1+$BJ120+各项系数!$J$5+各项系数!$L$5)</f>
        <v>116.32890984470076</v>
      </c>
      <c r="BC120" s="199">
        <f t="shared" si="401"/>
        <v>114.047950828138</v>
      </c>
      <c r="BD120" s="196">
        <f>BE120+各项系数!$M$9*$NS120</f>
        <v>117.24442717632542</v>
      </c>
      <c r="BE120" s="196">
        <f>BF120*(1+$BI120+(VLOOKUP($AM120,$A$12:$B$214,2,0))+各项系数!$J$6+各项系数!$M$5)*(1+$E$2)</f>
        <v>116.54034546310258</v>
      </c>
      <c r="BF120" s="197">
        <f>BG120+各项系数!$L$9*$NS120</f>
        <v>118.91871986030876</v>
      </c>
      <c r="BG120" s="197">
        <f>BH120*(1+$BJ120+各项系数!$J$5+各项系数!$L$5)</f>
        <v>118.21463814708592</v>
      </c>
      <c r="BH120" s="199">
        <f t="shared" si="402"/>
        <v>115.89670406577051</v>
      </c>
      <c r="BI120" s="213"/>
      <c r="BJ120" s="208"/>
      <c r="BK120" s="53" t="s">
        <v>514</v>
      </c>
      <c r="BL120" s="196">
        <f>BM120+各项系数!$M$9*$NM120</f>
        <v>114.11992721860885</v>
      </c>
      <c r="BM120" s="196">
        <f>BN120*(1+$CF120+(VLOOKUP($AM120,$A$12:$B$323,2,0))+各项系数!$J$6+各项系数!$M$5)*(1+$E$2)</f>
        <v>113.4274281647764</v>
      </c>
      <c r="BN120" s="197">
        <f>BO120+各项系数!$L$9*$NM120</f>
        <v>115.74227363752695</v>
      </c>
      <c r="BO120" s="197">
        <f>BP120*(1+$CG120+各项系数!$J$5+各项系数!$L$5)</f>
        <v>115.0497745836945</v>
      </c>
      <c r="BP120" s="197">
        <f t="shared" si="403"/>
        <v>111.69881027543155</v>
      </c>
      <c r="BQ120" s="196">
        <f>BR120+各项系数!$M$9*$NM120</f>
        <v>115.70179676909558</v>
      </c>
      <c r="BR120" s="196">
        <f>BS120*(1+$CF120+(VLOOKUP($AM120,$A$12:$B$323,2,0))+各项系数!$J$6+各项系数!$M$5)*(1+$E$2)</f>
        <v>115.00929771526313</v>
      </c>
      <c r="BS120" s="197">
        <f>BT120+各项系数!$L$9*$NM120</f>
        <v>117.35642624006442</v>
      </c>
      <c r="BT120" s="197">
        <f>BU120*(1+$CG120+各项系数!$J$5+各项系数!$L$5)</f>
        <v>116.66392718623197</v>
      </c>
      <c r="BU120" s="197">
        <f t="shared" si="404"/>
        <v>113.26594872449706</v>
      </c>
      <c r="BV120" s="196">
        <f>BW120+各项系数!$M$9*$NT120</f>
        <v>116.10788124655451</v>
      </c>
      <c r="BW120" s="196">
        <f>BX120*(1+$CF120+(VLOOKUP($AM120,$A$12:$B$214,2,0))+各项系数!$J$6+各项系数!$M$5)*(1+$E$2)</f>
        <v>115.40379953333168</v>
      </c>
      <c r="BX120" s="197">
        <f>BY120+各项系数!$L$9*$NT$12</f>
        <v>117.75897911564458</v>
      </c>
      <c r="BY120" s="197">
        <f>BZ120*(1+$CG120+各项系数!$J$5+各项系数!$L$5)</f>
        <v>117.75071571248961</v>
      </c>
      <c r="BZ120" s="199">
        <f t="shared" si="343"/>
        <v>114.32108321600933</v>
      </c>
      <c r="CA120" s="196">
        <f>CB120+各项系数!$M$9*$NT120</f>
        <v>117.69831293230345</v>
      </c>
      <c r="CB120" s="196">
        <f>CC120*(1+$CF120+(VLOOKUP($AM120,$A$12:$B$214,2,0))+各项系数!$J$6+各项系数!$M$5)*(1+$E$2)</f>
        <v>116.99423121908062</v>
      </c>
      <c r="CC120" s="197">
        <f>CD120+各项系数!$L$9*$NT$12</f>
        <v>119.38186859089859</v>
      </c>
      <c r="CD120" s="197">
        <f>CE120*(1+$CG120+各项系数!$J$5+各项系数!$L$5)</f>
        <v>119.37360518774362</v>
      </c>
      <c r="CE120" s="199">
        <f t="shared" si="405"/>
        <v>115.89670406577051</v>
      </c>
      <c r="CF120" s="213">
        <f t="shared" si="514"/>
        <v>0</v>
      </c>
      <c r="CG120" s="213">
        <f t="shared" si="344"/>
        <v>0.01</v>
      </c>
      <c r="CH120" s="102"/>
      <c r="CI120" s="196">
        <f>CJ120+各项系数!$M$9*$NO120</f>
        <v>116.57689667886507</v>
      </c>
      <c r="CJ120" s="196">
        <f>CK120*(1+$DC120+(VLOOKUP($AM120,$A$12:$B$323,2,0))+各项系数!$J$6+各项系数!$M$5)*(1+$E$2)+各项系数!$M$9*$NK120</f>
        <v>115.62165080627047</v>
      </c>
      <c r="CK120" s="197">
        <f>CL120+各项系数!$L$9*$NO120</f>
        <v>117.27464464534492</v>
      </c>
      <c r="CL120" s="197">
        <f>CM120*(1+$DD120+各项系数!$J$5+各项系数!$L$5)</f>
        <v>116.31939877275032</v>
      </c>
      <c r="CM120" s="197">
        <f t="shared" si="345"/>
        <v>114.03862624779443</v>
      </c>
      <c r="CN120" s="196">
        <f>CO120+各项系数!$M$9*$NO120</f>
        <v>118.24041950544144</v>
      </c>
      <c r="CO120" s="196">
        <f>CP120*(1+$DC120+(VLOOKUP($AM120,$A$12:$B$323,2,0))+各项系数!$J$6+各项系数!$M$5)*(1+$E$2)+各项系数!$M$9*$NK120</f>
        <v>117.28517363284683</v>
      </c>
      <c r="CP120" s="197">
        <f>CQ120+各项系数!$L$9*$NO120</f>
        <v>118.97211691736162</v>
      </c>
      <c r="CQ120" s="197">
        <f>CR120*(1+$DD120+各项系数!$J$5+各项系数!$L$5)</f>
        <v>118.01687104476702</v>
      </c>
      <c r="CR120" s="197">
        <f t="shared" si="346"/>
        <v>115.70281474977158</v>
      </c>
      <c r="CS120" s="196">
        <f>CT120+各项系数!$M$9*$NU120</f>
        <v>118.70773416905321</v>
      </c>
      <c r="CT120" s="196">
        <f t="shared" si="347"/>
        <v>117.74010944210583</v>
      </c>
      <c r="CU120" s="197">
        <f>CV120+各项系数!$L$9*$NU120</f>
        <v>120.14296881847534</v>
      </c>
      <c r="CV120" s="197">
        <f>CW120*(1+$DD120+各项系数!$J$5+各项系数!$L$5)</f>
        <v>119.17534409152796</v>
      </c>
      <c r="CW120" s="199">
        <f t="shared" si="348"/>
        <v>116.83857263875291</v>
      </c>
      <c r="CX120" s="196">
        <f>CY120+各项系数!$M$9*$NU120</f>
        <v>120.6738903296517</v>
      </c>
      <c r="CY120" s="196">
        <f t="shared" si="349"/>
        <v>119.70626560270432</v>
      </c>
      <c r="CZ120" s="197">
        <f>DA120+各项系数!$L$9*$NU120</f>
        <v>122.14925061500441</v>
      </c>
      <c r="DA120" s="197">
        <f>DB120*(1+$DD120+各项系数!$J$5+各项系数!$L$5)</f>
        <v>121.18162588805703</v>
      </c>
      <c r="DB120" s="199">
        <f t="shared" si="350"/>
        <v>118.80551557652649</v>
      </c>
      <c r="DC120" s="213">
        <f t="shared" si="498"/>
        <v>0</v>
      </c>
      <c r="DD120" s="213">
        <f t="shared" si="351"/>
        <v>0</v>
      </c>
      <c r="DE120" s="53" t="s">
        <v>498</v>
      </c>
      <c r="DF120" s="53" t="s">
        <v>513</v>
      </c>
      <c r="DG120" s="196">
        <f>DH120+各项系数!$M$9*$NQ120</f>
        <v>117.98631613742437</v>
      </c>
      <c r="DH120" s="196">
        <f>DI120*(1+$EA120+(VLOOKUP($AM120,$A$12:$B$323,2,0))+各项系数!$J$6+各项系数!$M$5)*(1+$E$2)+各项系数!$M$9*$NK120</f>
        <v>117.03107026482976</v>
      </c>
      <c r="DI120" s="197">
        <f>DJ120+各项系数!$L$9*$NQ120</f>
        <v>118.7128277663238</v>
      </c>
      <c r="DJ120" s="197">
        <f>DK120*(1+$EB120+各项系数!$J$5+各项系数!$L$5)</f>
        <v>117.7575818937292</v>
      </c>
      <c r="DK120" s="197">
        <f t="shared" si="352"/>
        <v>114.32774941138757</v>
      </c>
      <c r="DL120" s="196">
        <f>DM120+各项系数!$M$9*$NQ120</f>
        <v>119.6698610441497</v>
      </c>
      <c r="DM120" s="196">
        <f>DN120*(1+$EA120+(VLOOKUP($AM120,$A$12:$B$323,2,0))+各项系数!$J$6+各项系数!$M$5)*(1+$E$2)+各项系数!$M$9*$NK120</f>
        <v>118.7146151715551</v>
      </c>
      <c r="DN120" s="197">
        <f>DO120+各项系数!$L$9*$NQ120</f>
        <v>120.43073073237005</v>
      </c>
      <c r="DO120" s="197">
        <f>DP120*(1+$EB120+各项系数!$J$5+各项系数!$L$5)</f>
        <v>119.47548485977545</v>
      </c>
      <c r="DP120" s="197">
        <f t="shared" si="353"/>
        <v>115.99561636871402</v>
      </c>
      <c r="DQ120" s="196">
        <f>DR120+各项系数!$M$9*$NV120</f>
        <v>120.14607734031414</v>
      </c>
      <c r="DR120" s="196">
        <f t="shared" si="354"/>
        <v>119.17845261336676</v>
      </c>
      <c r="DS120" s="197">
        <f>DT120+各项系数!$L$9*$NV120</f>
        <v>121.6106659320069</v>
      </c>
      <c r="DT120" s="197">
        <f>DU120*(1+$EB120+各项系数!$J$5+各项系数!$L$5)</f>
        <v>120.64304120505952</v>
      </c>
      <c r="DU120" s="199">
        <f t="shared" si="355"/>
        <v>117.12916621850438</v>
      </c>
      <c r="DV120" s="196">
        <f>DW120+各项系数!$M$9*$NV120</f>
        <v>119.86576692826876</v>
      </c>
      <c r="DW120" s="196">
        <f t="shared" si="356"/>
        <v>118.89814220132138</v>
      </c>
      <c r="DX120" s="197">
        <f>DY120+各项系数!$L$9*$NV120</f>
        <v>121.32463489930753</v>
      </c>
      <c r="DY120" s="197">
        <f>DZ120*(1+$EB120+各项系数!$J$5+各项系数!$L$5)</f>
        <v>120.35701017236015</v>
      </c>
      <c r="DZ120" s="199">
        <f t="shared" si="357"/>
        <v>116.85146618675742</v>
      </c>
      <c r="EA120" s="213">
        <f t="shared" si="511"/>
        <v>0</v>
      </c>
      <c r="EB120" s="213">
        <f t="shared" si="358"/>
        <v>0.01</v>
      </c>
      <c r="EC120" s="235" t="str">
        <f t="shared" si="408"/>
        <v>3+2</v>
      </c>
      <c r="ED120" s="235" t="str">
        <f t="shared" si="494"/>
        <v>3*50</v>
      </c>
      <c r="EE120" s="189">
        <f t="shared" si="495"/>
        <v>50</v>
      </c>
      <c r="EF120" s="189" t="str">
        <f>LOOKUP(EH120,{1,7,10,14,19,24,30,37,48,61},{1,"1+6","2+8","4+10","1+6+12","2+8+14","4+10+16","1+6+12+18","3+9+15+21","1+6+12+18+24"})</f>
        <v>2+8</v>
      </c>
      <c r="EG120" s="188">
        <f t="shared" si="359"/>
        <v>3</v>
      </c>
      <c r="EH120" s="197">
        <f>VLOOKUP(EE120,各项系数!$B$87:$C$124,2,0)</f>
        <v>10</v>
      </c>
      <c r="EI120" s="188">
        <f>IF(EH120=0,0,VLOOKUP(EH120,各项系数!$D$142:$E$195,2,0))*1</f>
        <v>4</v>
      </c>
      <c r="EJ120" s="238">
        <f t="shared" si="409"/>
        <v>238.573455311777</v>
      </c>
      <c r="EK120" s="189" t="str">
        <f t="shared" si="508"/>
        <v>2*25</v>
      </c>
      <c r="EL120" s="189" t="str">
        <f t="shared" si="360"/>
        <v>25</v>
      </c>
      <c r="EM120" s="189">
        <f t="shared" si="496"/>
        <v>25</v>
      </c>
      <c r="EN120" s="189" t="str">
        <f>IF(EP120=0,0,LOOKUP(EP120,{1,7,10,14,19,24,30,37,48,61},{1,"1+6","2+8","4+10","1+6+12","2+8+14","4+10+16","1+6+12+18","3+9+15+21","1+6+12+18+24"}))</f>
        <v>1+6</v>
      </c>
      <c r="EO120" s="189" t="str">
        <f t="shared" si="509"/>
        <v>2</v>
      </c>
      <c r="EP120" s="189">
        <f>IF(EM120=0,0,IF(EM120&lt;10,1,IF(AND(EM120&gt;=10,EM120&lt;=35),7,LOOKUP(EM120,{50,70,95,120,150,185,240,300},{10,14,19,24,30,37,48,61})*1)))</f>
        <v>7</v>
      </c>
      <c r="EQ120" s="189">
        <f>IF(EP120=0,0,VLOOKUP(EP120,各项系数!$D$142:$E$195,2,0))*1</f>
        <v>3</v>
      </c>
      <c r="ER120" s="189">
        <f t="shared" si="510"/>
        <v>208.046961644752</v>
      </c>
      <c r="ES120" s="235">
        <f t="shared" si="497"/>
        <v>5</v>
      </c>
      <c r="ET120" s="189">
        <f>VLOOKUP(ES120,各项系数!$D$142:$E$195,2,0)*1</f>
        <v>2.7</v>
      </c>
      <c r="EU120" s="243">
        <f>((各项系数!$F$76/4*$EJ120^2*$EG120*$EH120*1*10^-7)*(1-$H120)*AA120)*(VLOOKUP($EY$9,各项系数!$D$4:$F$143,3,0))*各项系数!$J$4</f>
        <v>1.1993097781664646</v>
      </c>
      <c r="EV120" s="244">
        <f>EU120*(VLOOKUP($EY$9,各项系数!$D$4:$F$143,2,0))</f>
        <v>78.554790469903423</v>
      </c>
      <c r="EW120" s="252">
        <f>(IF($EO120=0,0,(各项系数!$F$76/4*$ER120^2*$EO120*$EP120*1*10^-7))*(1-$K120)*$AF120)*(VLOOKUP($EY$9,各项系数!$D$4:$F$143,3,0))*各项系数!$J$4</f>
        <v>0.42561474933555488</v>
      </c>
      <c r="EX120" s="253">
        <f>EW120*(VLOOKUP($EY$9,各项系数!$D$4:$F$143,2,0))</f>
        <v>27.877766081478846</v>
      </c>
      <c r="EY120" s="189">
        <f>((各项系数!$F$76/4*$EJ120^2*$EG120*$EH120*1*10^-7)*(1-$H120)*AA120+IF($EO120=0,0,(各项系数!$F$76/4*$ER120^2*$EO120*$EP120*1*10^-7))*(1-$K120)*$AF120)*(VLOOKUP($EY$9,各项系数!$D$4:$F$143,3,0))*各项系数!$J$4</f>
        <v>1.6249245275020197</v>
      </c>
      <c r="EZ120" s="102">
        <v>1</v>
      </c>
      <c r="FA120" s="189">
        <f t="shared" si="515"/>
        <v>1.6249245275020197</v>
      </c>
      <c r="FB120" s="254">
        <f>FA120*(VLOOKUP($EY$9,各项系数!$D$4:$F$143,2,0))</f>
        <v>106.43255655138229</v>
      </c>
      <c r="FC120" s="255"/>
      <c r="FD120" s="235">
        <f>各项系数!$F$76/4*($MN120^2-MK120^2)*10^-2*(VLOOKUP(L120,各项系数!$D$1:$F$143,3,0))*10^-3*10^2*$EG120*各项系数!$J$4</f>
        <v>0.10875483006428488</v>
      </c>
      <c r="FE120" s="262">
        <f>FD120*VLOOKUP(L120,各项系数!$D$1:$F$143,2,0)</f>
        <v>1.1092992666557058</v>
      </c>
      <c r="FF120" s="188">
        <f>各项系数!$F$76/4*($MO120^2-ML120^2)*10^-2*(VLOOKUP(L120,各项系数!$D$1:$F$143,3,0))*10^-3*10^2*$EO120*各项系数!$J$4</f>
        <v>4.419997676174401E-2</v>
      </c>
      <c r="FG120" s="262">
        <f>FF120*VLOOKUP(L120,各项系数!$D$1:$F$143,2,0)</f>
        <v>0.45083976296978889</v>
      </c>
      <c r="FH120" s="235">
        <f t="shared" si="410"/>
        <v>0.15295480682602888</v>
      </c>
      <c r="FI120" s="102">
        <v>1</v>
      </c>
      <c r="FJ120" s="189">
        <f t="shared" si="516"/>
        <v>0.15295480682602888</v>
      </c>
      <c r="FK120" s="262">
        <f>FJ120*VLOOKUP(L120,各项系数!$D$1:$F$143,2,0)</f>
        <v>1.5601390296254944</v>
      </c>
      <c r="FL120" s="235"/>
      <c r="FM120" s="102"/>
      <c r="FN120" s="189"/>
      <c r="FO120" s="262"/>
      <c r="FP120" s="282">
        <f t="shared" si="517"/>
        <v>0.15295480682602888</v>
      </c>
      <c r="FQ120" s="282">
        <f t="shared" si="518"/>
        <v>1.5601390296254944</v>
      </c>
      <c r="FR120" s="283">
        <f>各项系数!$F$76/4*($MQ120^2-$MN120^2*$EG120-$MO120^2*$EO120)*10^-2</f>
        <v>1.7345682630818045</v>
      </c>
      <c r="FS120" s="284">
        <f t="shared" si="411"/>
        <v>1</v>
      </c>
      <c r="FT120" s="285">
        <f t="shared" si="361"/>
        <v>1.7345682630818045</v>
      </c>
      <c r="FU120" s="302">
        <f>$FT120*(VLOOKUP($FT$9,各项系数!$D$1:$F$143,3,0))*10^-3*10^2*各项系数!$J$55</f>
        <v>0.20710745061196745</v>
      </c>
      <c r="FV120" s="303">
        <v>1</v>
      </c>
      <c r="FW120" s="304">
        <f t="shared" si="519"/>
        <v>0.20710745061196745</v>
      </c>
      <c r="FX120" s="285">
        <f>FW120*(VLOOKUP($FT$9,各项系数!$D$1:$F$143,2,0))</f>
        <v>0.62132235183590234</v>
      </c>
      <c r="FY120" s="302">
        <f>IF($BK120&lt;&gt;$FY$9,0,各项系数!$F$76/4*($MS120^2-$MQ120^2)*10^-2*(VLOOKUP($FY$9,各项系数!$D$1:$F$143,3,0))*10^-3*10^2)*各项系数!$J$4</f>
        <v>0</v>
      </c>
      <c r="FZ120" s="303">
        <v>1</v>
      </c>
      <c r="GA120" s="304">
        <f t="shared" si="520"/>
        <v>0</v>
      </c>
      <c r="GB120" s="285">
        <f>GA120*(VLOOKUP($FY$9,各项系数!$D$1:$F$143,2,0))</f>
        <v>0</v>
      </c>
      <c r="GC120" s="302">
        <f>IF($BK120&lt;&gt;$GC$9,0,各项系数!$F$76/4*($MS120^2-$MQ120^2)*10^-2*(VLOOKUP($GC$9,各项系数!$D$1:$F$143,3,0))*10^-3*10^2)*各项系数!$J$4</f>
        <v>7.4814460267266193E-3</v>
      </c>
      <c r="GD120" s="303">
        <v>1</v>
      </c>
      <c r="GE120" s="304">
        <f t="shared" si="521"/>
        <v>7.4814460267266193E-3</v>
      </c>
      <c r="GF120" s="285">
        <f>GE120*(VLOOKUP($GC$9,各项系数!$D$1:$F$143,2,0))</f>
        <v>9.6510653744773398E-2</v>
      </c>
      <c r="GG120" s="302">
        <f>IF($BK120&lt;&gt;$GG$9,0,各项系数!$F$76/4*($MS120^2-$MQ120^2)*10^-2*(VLOOKUP($GG$9,各项系数!$D$1:$F$143,3,0))*10^-3*10^2)*各项系数!$J$4</f>
        <v>0</v>
      </c>
      <c r="GH120" s="303">
        <v>1</v>
      </c>
      <c r="GI120" s="304">
        <f t="shared" si="522"/>
        <v>0</v>
      </c>
      <c r="GJ120" s="285">
        <f>GI120*(VLOOKUP($GG$9,各项系数!$D$1:$F$143,2,0))</f>
        <v>0</v>
      </c>
      <c r="GK120" s="302">
        <f>IF($BK120&lt;&gt;$GK$9,0,各项系数!$F$76/4*($MS120^2-$MQ120^2)*10^-2*(VLOOKUP($GK$9,各项系数!$D$1:$F$143,3,0))*10^-3*10^2)*各项系数!$J$4</f>
        <v>0</v>
      </c>
      <c r="GL120" s="303">
        <v>1</v>
      </c>
      <c r="GM120" s="304">
        <f t="shared" si="523"/>
        <v>0</v>
      </c>
      <c r="GN120" s="285">
        <f>GM120*(VLOOKUP($GK$9,各项系数!$D$1:$F$143,2,0))</f>
        <v>0</v>
      </c>
      <c r="GO120" s="304">
        <f t="shared" si="524"/>
        <v>7.4814460267266193E-3</v>
      </c>
      <c r="GP120" s="304">
        <f t="shared" si="525"/>
        <v>9.6510653744773398E-2</v>
      </c>
      <c r="GQ120" s="315">
        <f>各项系数!$F$76/4*($MU120^2-$MS120^2)*10^-2*(VLOOKUP($S120,各项系数!$D$1:$F$143,3,0))*10^-3*10^2*各项系数!$J$4</f>
        <v>0.5190212708221722</v>
      </c>
      <c r="GR120" s="303">
        <v>1</v>
      </c>
      <c r="GS120" s="304">
        <f t="shared" si="526"/>
        <v>0.5190212708221722</v>
      </c>
      <c r="GT120" s="304">
        <f t="shared" si="457"/>
        <v>0</v>
      </c>
      <c r="GU120" s="304">
        <f>ROUND($GS120*(VLOOKUP($S120,各项系数!$D$1:$F$143,2,0))+$E$3*GS120,GT120)</f>
        <v>3</v>
      </c>
      <c r="GV120" s="315">
        <f>各项系数!$F$76/4*($MT120^2-$MS120^2)*10^-2*(VLOOKUP($GV$9,各项系数!$D$1:$F$143,3,0))*10^-3*10^2*各项系数!$J$4*PI()/4*R120</f>
        <v>3.8608864634610038E-2</v>
      </c>
      <c r="GW120" s="303">
        <v>1</v>
      </c>
      <c r="GX120" s="304">
        <f t="shared" si="527"/>
        <v>3.8608864634610038E-2</v>
      </c>
      <c r="GY120" s="304">
        <f>$GX120*(VLOOKUP($GV$9,各项系数!$D$1:$F$143,2,0))</f>
        <v>2.6060983628361774</v>
      </c>
      <c r="GZ120" s="315">
        <f>各项系数!$F$76/4*($MV120^2-$MS120^2)*10^-2*(VLOOKUP($GZ$9,各项系数!$D$1:$F$143,3,0))*10^-3*10^2*各项系数!$J$4</f>
        <v>0.26796589046521274</v>
      </c>
      <c r="HA120" s="303">
        <v>1</v>
      </c>
      <c r="HB120" s="304">
        <f t="shared" si="412"/>
        <v>0.26796589046521274</v>
      </c>
      <c r="HC120" s="304">
        <f>HB120*(VLOOKUP($GZ$9,各项系数!$D$1:$F$143,2,0))</f>
        <v>4.5554201379086168</v>
      </c>
      <c r="HD120" s="315">
        <f>各项系数!$F$76/4*($MW120^2-$MT120^2)*10^-2*(VLOOKUP($HD$9,各项系数!$D$1:$F$143,3,0))*10^-3*10^2*各项系数!$J$4</f>
        <v>0.26941630096152203</v>
      </c>
      <c r="HE120" s="303">
        <v>1</v>
      </c>
      <c r="HF120" s="304">
        <f t="shared" si="413"/>
        <v>0.26941630096152203</v>
      </c>
      <c r="HG120" s="304">
        <f>HF120*(VLOOKUP($HD$9,各项系数!$D$1:$F$143,2,0))</f>
        <v>4.5800771163458744</v>
      </c>
      <c r="HH120" s="315">
        <f>各项系数!$F$76/4*($MV120^2-$MS120^2)*10^-2*(VLOOKUP($HH$9,各项系数!$D$1:$F$143,3,0))*10^-3*10^2*各项系数!$J$4</f>
        <v>0.26796589046521274</v>
      </c>
      <c r="HI120" s="322">
        <v>1</v>
      </c>
      <c r="HJ120" s="304">
        <f t="shared" si="414"/>
        <v>0.26796589046521274</v>
      </c>
      <c r="HK120" s="304">
        <f>HJ120*(VLOOKUP($HH$9,各项系数!$D$1:$F$143,2,0))</f>
        <v>4.5554201379086168</v>
      </c>
      <c r="HL120" s="315">
        <f>各项系数!$F$76/4*($MW120^2-$MT120^2)*10^-2*(VLOOKUP($HL$9,各项系数!$D$1:$F$143,3,0))*10^-3*10^2*各项系数!$J$4</f>
        <v>0.26941630096152203</v>
      </c>
      <c r="HM120" s="322">
        <v>1</v>
      </c>
      <c r="HN120" s="304">
        <f t="shared" si="362"/>
        <v>0.26941630096152203</v>
      </c>
      <c r="HO120" s="304">
        <f>HN120*(VLOOKUP($HL$9,各项系数!$D$1:$F$143,2,0))</f>
        <v>4.5800771163458744</v>
      </c>
      <c r="HP120" s="315">
        <f>各项系数!$F$76/4*($MV120^2-$MS120^2)*10^-2*(VLOOKUP(AN120,各项系数!$D$1:$F$143,3,0))*10^-3*10^2*各项系数!$J$4</f>
        <v>0.27166197171300882</v>
      </c>
      <c r="HQ120" s="303">
        <v>1</v>
      </c>
      <c r="HR120" s="304">
        <f t="shared" si="528"/>
        <v>0.27166197171300882</v>
      </c>
      <c r="HS120" s="304">
        <f>HR120*(VLOOKUP(AN120,各项系数!$D$1:$F$143,2,0))</f>
        <v>2.7166197171300883</v>
      </c>
      <c r="HT120" s="315">
        <f>各项系数!$F$76/4*($MW120^2-$MT120^2)*10^-2*(VLOOKUP(AN120,各项系数!$D$1:$F$143,3,0))*10^-3*10^2*各项系数!$J$4</f>
        <v>0.27313238787133615</v>
      </c>
      <c r="HU120" s="303">
        <v>1</v>
      </c>
      <c r="HV120" s="304">
        <f t="shared" si="529"/>
        <v>0.27313238787133615</v>
      </c>
      <c r="HW120" s="304">
        <f>HV120*(VLOOKUP(AN120,各项系数!$D$1:$F$143,2,0))</f>
        <v>2.7313238787133614</v>
      </c>
      <c r="HX120" s="315">
        <f>各项系数!$F$76/4*($MV120^2-$MS120^2)*10^-2*(VLOOKUP($HX$9,各项系数!$D$1:$F$143,3,0))*10^-3*10^2*各项系数!$J$4</f>
        <v>0.27166197171300882</v>
      </c>
      <c r="HY120" s="322">
        <v>1</v>
      </c>
      <c r="HZ120" s="304">
        <f t="shared" si="530"/>
        <v>0.27166197171300882</v>
      </c>
      <c r="IA120" s="304">
        <f>HZ120*(VLOOKUP($HX$9,各项系数!$D$1:$F$143,2,0))</f>
        <v>2.988281688843097</v>
      </c>
      <c r="IB120" s="315">
        <f>各项系数!$F$76/4*($MW120^2-$MT120^2)*10^-2*(VLOOKUP($IB$9,各项系数!$D$1:$F$143,3,0))*10^-3*10^2*各项系数!$J$4</f>
        <v>0.27313238787133615</v>
      </c>
      <c r="IC120" s="322">
        <v>1</v>
      </c>
      <c r="ID120" s="304">
        <f t="shared" si="531"/>
        <v>0.27313238787133615</v>
      </c>
      <c r="IE120" s="304">
        <f>ID120*(VLOOKUP($IB$9,各项系数!$D$1:$F$143,2,0))</f>
        <v>3.0044562665846977</v>
      </c>
      <c r="IF120" s="328"/>
      <c r="IG120" s="315">
        <f t="shared" si="415"/>
        <v>5.9939572063883721E-2</v>
      </c>
      <c r="IH120" s="303">
        <v>1</v>
      </c>
      <c r="II120" s="304">
        <f t="shared" si="532"/>
        <v>5.9939572063883721E-2</v>
      </c>
      <c r="IJ120" s="304">
        <f>II120*(VLOOKUP($IG$8,各项系数!$D$1:$F$143,2,0))</f>
        <v>1.498489301597093</v>
      </c>
      <c r="IK120" s="315">
        <f>(各项系数!$F$76/4*($MX120^2-$MK120^2)*$EG120)*10^-2*(VLOOKUP($IG$8,各项系数!$D$1:$F$143,3,0))*10^-3*10^2*各项系数!$J$4</f>
        <v>4.1536651266671464E-2</v>
      </c>
      <c r="IL120" s="303">
        <f>IK120*(VLOOKUP($IG$8,各项系数!$D$1:$F$143,2,0))</f>
        <v>1.0384162816667866</v>
      </c>
      <c r="IM120" s="304">
        <f>(各项系数!$F$76/4*(($MM120+3*$X120)^2-MM120^2)*$EO120)*10^-2*(VLOOKUP($IG$8,各项系数!$D$1:$F$143,3,0))*10^-3*10^2*各项系数!$J$4</f>
        <v>1.8402920797212258E-2</v>
      </c>
      <c r="IN120" s="303">
        <f>IM120*(VLOOKUP($IG$8,各项系数!$D$1:$F$143,2,0))</f>
        <v>0.46007301993030647</v>
      </c>
      <c r="IO120" s="315">
        <f>各项系数!$F$76/4*($MZ120^2-$MX120^2)*10^-2*(VLOOKUP(L120,各项系数!$D$1:$F$143,3,0))*10^-3*10^2*$ES120*各项系数!$J$4</f>
        <v>0.19157346958520344</v>
      </c>
      <c r="IP120" s="303">
        <v>1</v>
      </c>
      <c r="IQ120" s="304">
        <f t="shared" si="533"/>
        <v>0.19157346958520344</v>
      </c>
      <c r="IR120" s="285">
        <f>IQ120*(VLOOKUP(L120,各项系数!$D$1:$F$143,2,0))</f>
        <v>1.9540493897690749</v>
      </c>
      <c r="IS120" s="315">
        <f>IF($L120&lt;&gt;$IS$9,0,各项系数!$F$76/4*($MZ120^2-$MX120^2)*10^-2*各项系数!$F$12*10^-3*10^2)*$ES120*各项系数!$J$4</f>
        <v>0</v>
      </c>
      <c r="IT120" s="303">
        <v>1</v>
      </c>
      <c r="IU120" s="304">
        <f t="shared" si="534"/>
        <v>0</v>
      </c>
      <c r="IV120" s="285">
        <f>IU120*各项系数!$E$12</f>
        <v>0</v>
      </c>
      <c r="IW120" s="302">
        <f t="shared" si="535"/>
        <v>0.19157346958520344</v>
      </c>
      <c r="IX120" s="302">
        <f t="shared" si="536"/>
        <v>1.9540493897690749</v>
      </c>
      <c r="IY120" s="339">
        <f>各项系数!$F$76/4*($NB120^2-$MZ120^2*$EG120-$NA120^2*$EO120)*10^-2</f>
        <v>2.003794048222999</v>
      </c>
      <c r="IZ120" s="284">
        <f t="shared" si="487"/>
        <v>1</v>
      </c>
      <c r="JA120" s="285">
        <f t="shared" si="363"/>
        <v>2.003794048222999</v>
      </c>
      <c r="JB120" s="282">
        <f>IF($DE120&lt;&gt;$JB$9,0,$JA120*各项系数!$F$32*10^-3*10^2)*各项系数!$J$4</f>
        <v>0</v>
      </c>
      <c r="JC120" s="102">
        <v>1</v>
      </c>
      <c r="JD120" s="189">
        <f t="shared" si="537"/>
        <v>0</v>
      </c>
      <c r="JE120" s="262">
        <f>JD120*各项系数!$E$32</f>
        <v>0</v>
      </c>
      <c r="JF120" s="282">
        <f>IF($DE120&lt;&gt;$JF$9,0,$JA120*VLOOKUP($JF$9,各项系数!$D$4:$F$540,2,0)*10^-3*10^2)*各项系数!$J$4</f>
        <v>0.99688753899094218</v>
      </c>
      <c r="JG120" s="102">
        <v>1</v>
      </c>
      <c r="JH120" s="189">
        <f t="shared" si="364"/>
        <v>0.99688753899094218</v>
      </c>
      <c r="JI120" s="262">
        <f>JH120*VLOOKUP($JF$9,各项系数!$D$4:$F$540,3,0)</f>
        <v>1.1962650467891305</v>
      </c>
      <c r="JJ120" s="282">
        <f t="shared" si="538"/>
        <v>0.99688753899094218</v>
      </c>
      <c r="JK120" s="189">
        <f t="shared" si="539"/>
        <v>1.1962650467891305</v>
      </c>
      <c r="JL120" s="282">
        <f>IF($DF120&lt;&gt;$JL$9,0,各项系数!$F$76/4*($NE120^2-$NC120^2)*10^-2*各项系数!$F$39*10^-3*10^2)*各项系数!$J$4</f>
        <v>3.3017161162690748E-3</v>
      </c>
      <c r="JM120" s="102">
        <v>1</v>
      </c>
      <c r="JN120" s="189">
        <f t="shared" si="540"/>
        <v>3.3017161162690748E-3</v>
      </c>
      <c r="JO120" s="262">
        <f>JN120*各项系数!$E$39</f>
        <v>6.6034322325381492E-2</v>
      </c>
      <c r="JP120" s="282">
        <f>IF($DF120&lt;&gt;$JP$9,0,各项系数!$F$76/4*($NE120^2-$NC120^2)*10^-2*各项系数!$F$36*10^-3*10^2)*各项系数!$J$4</f>
        <v>0</v>
      </c>
      <c r="JQ120" s="102">
        <v>1</v>
      </c>
      <c r="JR120" s="189">
        <f t="shared" si="541"/>
        <v>0</v>
      </c>
      <c r="JS120" s="262">
        <f>JR120*各项系数!$E$36</f>
        <v>0</v>
      </c>
      <c r="JT120" s="282">
        <f>IF($DF120&lt;&gt;$JT$9,0,各项系数!$F$76/4*($NE120^2-$NC120^2)*10^-2*各项系数!$F$40*10^-3*10^2)*各项系数!$J$4</f>
        <v>0</v>
      </c>
      <c r="JU120" s="102">
        <v>1</v>
      </c>
      <c r="JV120" s="189">
        <f t="shared" si="542"/>
        <v>0</v>
      </c>
      <c r="JW120" s="262">
        <f>JV120*各项系数!$E$40</f>
        <v>0</v>
      </c>
      <c r="JX120" s="282">
        <f>IF($DF120&lt;&gt;$JX$9,0,各项系数!$F$76/4*($NE120^2-$NC120^2)*10^-2*各项系数!$F$38*10^-3*10^2)*各项系数!$J$4</f>
        <v>0</v>
      </c>
      <c r="JY120" s="102">
        <v>1</v>
      </c>
      <c r="JZ120" s="189">
        <f t="shared" si="543"/>
        <v>0</v>
      </c>
      <c r="KA120" s="262">
        <f>JZ120*各项系数!$E$38</f>
        <v>0</v>
      </c>
      <c r="KB120" s="282">
        <f>IF($DF120&lt;&gt;$KB$9,0,各项系数!$F$76/4*($NE120^2-$NC120^2)*10^-2*各项系数!$F$41*10^-3*10^2)*各项系数!$J$4</f>
        <v>0</v>
      </c>
      <c r="KC120" s="102">
        <v>1</v>
      </c>
      <c r="KD120" s="189">
        <f t="shared" si="544"/>
        <v>0</v>
      </c>
      <c r="KE120" s="262">
        <f>KD120*各项系数!$E$41</f>
        <v>0</v>
      </c>
      <c r="KF120" s="189">
        <f t="shared" si="545"/>
        <v>3.3017161162690748E-3</v>
      </c>
      <c r="KG120" s="189">
        <f t="shared" si="546"/>
        <v>6.6034322325381492E-2</v>
      </c>
      <c r="KH120" s="235">
        <f>各项系数!$F$76/4*($NG120^2-$NE120^2)*10^-2*各项系数!$F$44*10^-3*10^2*各项系数!$J$4*0.75*$U120</f>
        <v>0.83078185030315987</v>
      </c>
      <c r="KI120" s="102">
        <v>1</v>
      </c>
      <c r="KJ120" s="189">
        <f t="shared" si="547"/>
        <v>0.83078185030315987</v>
      </c>
      <c r="KK120" s="189">
        <f>ROUND(KJ120*各项系数!$E$43,GT120)</f>
        <v>5</v>
      </c>
      <c r="KL120" s="235">
        <f>各项系数!$F$76/4*($NF120^2-$NE120^2)*10^-2*各项系数!$F$46*10^-3*10^2*各项系数!$J$4*PI()/4*R120</f>
        <v>4.1262847842595506E-2</v>
      </c>
      <c r="KM120" s="102">
        <v>1</v>
      </c>
      <c r="KN120" s="189">
        <f t="shared" si="548"/>
        <v>4.1262847842595506E-2</v>
      </c>
      <c r="KO120" s="189">
        <f>KN120*各项系数!$E$46</f>
        <v>2.7852422293751968</v>
      </c>
      <c r="KP120" s="235">
        <f>各项系数!$F$76/4*($NH120^2-$NE120^2)*10^-2*(VLOOKUP($KP$9,各项系数!$D$1:$F$143,3,0))*10^-3*10^2*各项系数!$J$4</f>
        <v>0.28518951510888629</v>
      </c>
      <c r="KQ120" s="102">
        <v>1</v>
      </c>
      <c r="KR120" s="189">
        <f t="shared" si="416"/>
        <v>0.28518951510888629</v>
      </c>
      <c r="KS120" s="189">
        <f>KR120*(VLOOKUP($KP$9,各项系数!$D$1:$F$143,2,0))</f>
        <v>4.8482217568510668</v>
      </c>
      <c r="KT120" s="235">
        <f>各项系数!$F$76/4*($NI120^2-$NF120^2)*10^-2*(VLOOKUP($KT$9,各项系数!$D$1:$F$143,3,0))*10^-3*10^2*各项系数!$J$4</f>
        <v>0.28663992560519558</v>
      </c>
      <c r="KU120" s="102">
        <v>1</v>
      </c>
      <c r="KV120" s="189">
        <f t="shared" si="417"/>
        <v>0.28663992560519558</v>
      </c>
      <c r="KW120" s="189">
        <f>KV120*(VLOOKUP($KT$9,各项系数!$D$1:$F$143,2,0))</f>
        <v>4.8728787352883245</v>
      </c>
      <c r="KX120" s="189">
        <f>各项系数!$F$76/4*($NH120^2-$NE120^2)*10^-2*(VLOOKUP($KX$9,各项系数!$D$1:$F$143,3,0))*10^-3*10^2*各项系数!$J$4</f>
        <v>0.28518951510888629</v>
      </c>
      <c r="KY120" s="353">
        <v>1</v>
      </c>
      <c r="KZ120" s="189">
        <f t="shared" si="418"/>
        <v>0.28518951510888629</v>
      </c>
      <c r="LA120" s="189">
        <f>KZ120*(VLOOKUP($KX$9,各项系数!$D$1:$F$143,2,0))</f>
        <v>4.8482217568510668</v>
      </c>
      <c r="LB120" s="189">
        <f>各项系数!$F$76/4*($NI120^2-$NF120^2)*10^-2*(VLOOKUP($LB$9,各项系数!$D$1:$F$143,3,0))*10^-3*10^2*各项系数!$J$4</f>
        <v>0.28663992560519558</v>
      </c>
      <c r="LC120" s="353">
        <v>1</v>
      </c>
      <c r="LD120" s="189">
        <f t="shared" si="419"/>
        <v>0.28663992560519558</v>
      </c>
      <c r="LE120" s="189">
        <f>LD120*(VLOOKUP($LB$9,各项系数!$D$1:$F$143,2,0))</f>
        <v>4.8728787352883245</v>
      </c>
      <c r="LF120" s="235">
        <f>各项系数!$F$76/4*($NH120^2-$NE120^2)*10^-2*(VLOOKUP(AN120,各项系数!$D$1:$F$143,3,0))*10^-3*10^2*各项系数!$J$4</f>
        <v>0.28912316359314677</v>
      </c>
      <c r="LG120" s="102">
        <v>1</v>
      </c>
      <c r="LH120" s="189">
        <f t="shared" si="549"/>
        <v>0.28912316359314677</v>
      </c>
      <c r="LI120" s="189">
        <f>LH120*(VLOOKUP(AN120,各项系数!$D$1:$F$143,2,0))</f>
        <v>2.8912316359314678</v>
      </c>
      <c r="LJ120" s="235">
        <f>各项系数!$F$76/4*($NI120^2-$NF120^2)*10^-2*(VLOOKUP(AN120,各项系数!$D$1:$F$143,3,0))*10^-3*10^2*各项系数!$J$4</f>
        <v>0.29059357975147415</v>
      </c>
      <c r="LK120" s="102">
        <v>1</v>
      </c>
      <c r="LL120" s="189">
        <f t="shared" si="550"/>
        <v>0.29059357975147415</v>
      </c>
      <c r="LM120" s="189">
        <f>LL120*(VLOOKUP(AN120,各项系数!$D$1:$F$143,2,0))</f>
        <v>2.9059357975147417</v>
      </c>
      <c r="LN120" s="189">
        <f>各项系数!$F$76/4*($NH120^2-$NE120^2)*10^-2*(VLOOKUP($LN$9,各项系数!$D$1:$F$143,3,0))*10^-3*10^2*各项系数!$J$4</f>
        <v>0.28912316359314677</v>
      </c>
      <c r="LO120" s="353">
        <v>1</v>
      </c>
      <c r="LP120" s="189">
        <f t="shared" si="551"/>
        <v>0.28912316359314677</v>
      </c>
      <c r="LQ120" s="189">
        <f>LP120*(VLOOKUP($LN$9,各项系数!$D$1:$F$143,2,0))</f>
        <v>3.1803547995246144</v>
      </c>
      <c r="LR120" s="189">
        <f>各项系数!$F$76/4*($NI120^2-$NF120^2)*10^-2*(VLOOKUP($LR$9,各项系数!$D$1:$F$143,3,0))*10^-3*10^2*各项系数!$J$4</f>
        <v>0.29059357975147415</v>
      </c>
      <c r="LS120" s="353">
        <v>1</v>
      </c>
      <c r="LT120" s="189">
        <f t="shared" si="552"/>
        <v>0.29059357975147415</v>
      </c>
      <c r="LU120" s="189">
        <f>LT120*(VLOOKUP($LR$9,各项系数!$D$1:$F$143,2,0))</f>
        <v>3.1965293772662156</v>
      </c>
      <c r="LV120" s="227">
        <f t="shared" si="420"/>
        <v>214.57314108</v>
      </c>
      <c r="LW120" s="227">
        <f t="shared" si="421"/>
        <v>134.10821318000001</v>
      </c>
      <c r="LX120" s="227">
        <f t="shared" si="422"/>
        <v>13.067206292645317</v>
      </c>
      <c r="LY120" s="227">
        <f t="shared" si="423"/>
        <v>80.464927899999992</v>
      </c>
      <c r="LZ120" s="374">
        <f t="shared" si="365"/>
        <v>1</v>
      </c>
      <c r="MA120" s="375">
        <f t="shared" si="366"/>
        <v>214.57314108</v>
      </c>
      <c r="MB120" s="375">
        <f t="shared" si="424"/>
        <v>9.5429382</v>
      </c>
      <c r="MC120" s="227">
        <f t="shared" si="425"/>
        <v>61.190660600000001</v>
      </c>
      <c r="MD120" s="227">
        <f t="shared" si="426"/>
        <v>47.592736189999997</v>
      </c>
      <c r="ME120" s="227">
        <f t="shared" si="427"/>
        <v>7.7844045218151594</v>
      </c>
      <c r="MF120" s="227">
        <f t="shared" si="428"/>
        <v>13.597924410000005</v>
      </c>
      <c r="MG120" s="374">
        <f t="shared" si="429"/>
        <v>1</v>
      </c>
      <c r="MH120" s="375">
        <f t="shared" si="367"/>
        <v>61.190660600000001</v>
      </c>
      <c r="MI120" s="375">
        <f t="shared" si="430"/>
        <v>6.2414088491456745</v>
      </c>
      <c r="MJ120" s="189">
        <f t="shared" si="368"/>
        <v>9.5429382</v>
      </c>
      <c r="MK120" s="189">
        <f t="shared" si="431"/>
        <v>9.5429382</v>
      </c>
      <c r="ML120" s="189">
        <f t="shared" si="553"/>
        <v>6.2414088493425606</v>
      </c>
      <c r="MM120" s="189">
        <f t="shared" si="369"/>
        <v>6.2414088491456745</v>
      </c>
      <c r="MN120" s="189">
        <f t="shared" si="370"/>
        <v>11.5429382</v>
      </c>
      <c r="MO120" s="189">
        <f t="shared" si="432"/>
        <v>8.0414088491456752</v>
      </c>
      <c r="MP120" s="189">
        <f t="shared" si="433"/>
        <v>27.384281439999999</v>
      </c>
      <c r="MQ120" s="189">
        <f t="shared" si="554"/>
        <v>27.384281439999999</v>
      </c>
      <c r="MR120" s="246">
        <f t="shared" si="434"/>
        <v>27.384281439999999</v>
      </c>
      <c r="MS120" s="380">
        <f t="shared" si="371"/>
        <v>27.560281439999997</v>
      </c>
      <c r="MT120" s="380">
        <f t="shared" si="372"/>
        <v>27.720281439999997</v>
      </c>
      <c r="MU120" s="380">
        <f t="shared" si="373"/>
        <v>29.060281439999997</v>
      </c>
      <c r="MV120" s="380">
        <f t="shared" si="374"/>
        <v>31.560281439999997</v>
      </c>
      <c r="MW120" s="380">
        <f t="shared" si="375"/>
        <v>31.720281439999997</v>
      </c>
      <c r="MX120" s="254">
        <f t="shared" si="376"/>
        <v>10.1429382</v>
      </c>
      <c r="MY120" s="254">
        <f t="shared" si="377"/>
        <v>6.8414088491456742</v>
      </c>
      <c r="MZ120" s="189">
        <f t="shared" si="378"/>
        <v>12.1429382</v>
      </c>
      <c r="NA120" s="189">
        <f t="shared" si="379"/>
        <v>8.8414088491456742</v>
      </c>
      <c r="NB120" s="189">
        <f t="shared" si="435"/>
        <v>29.220281440000001</v>
      </c>
      <c r="NC120" s="254">
        <f t="shared" si="555"/>
        <v>29.220281440000001</v>
      </c>
      <c r="ND120" s="246">
        <f t="shared" si="436"/>
        <v>29.220281440000001</v>
      </c>
      <c r="NE120" s="386">
        <f t="shared" si="437"/>
        <v>29.460281439999999</v>
      </c>
      <c r="NF120" s="380">
        <f t="shared" si="380"/>
        <v>29.620281439999999</v>
      </c>
      <c r="NG120" s="387">
        <f t="shared" si="381"/>
        <v>30.960281439999999</v>
      </c>
      <c r="NH120" s="254">
        <f t="shared" si="382"/>
        <v>33.460281440000003</v>
      </c>
      <c r="NI120" s="380">
        <f t="shared" si="383"/>
        <v>33.620281439999999</v>
      </c>
      <c r="NK120" s="388">
        <f t="shared" si="384"/>
        <v>2.3083301794414952</v>
      </c>
      <c r="NL120" s="388">
        <f t="shared" si="385"/>
        <v>111.87798806668833</v>
      </c>
      <c r="NM120" s="388">
        <f t="shared" si="386"/>
        <v>2.3083301794414952</v>
      </c>
      <c r="NN120" s="388">
        <f t="shared" si="387"/>
        <v>112.14965003840135</v>
      </c>
      <c r="NO120" s="388">
        <f t="shared" si="388"/>
        <v>3.1841529086486773</v>
      </c>
      <c r="NP120" s="388">
        <f t="shared" si="389"/>
        <v>114.49869926772475</v>
      </c>
      <c r="NQ120" s="388">
        <f t="shared" si="390"/>
        <v>3.1841529086486773</v>
      </c>
      <c r="NR120" s="388">
        <f t="shared" si="391"/>
        <v>114.78782243131788</v>
      </c>
      <c r="NS120" s="388">
        <f t="shared" si="392"/>
        <v>2.3469390440761053</v>
      </c>
      <c r="NT120" s="388">
        <f t="shared" si="393"/>
        <v>2.3469390440761053</v>
      </c>
      <c r="NU120" s="388">
        <f t="shared" si="394"/>
        <v>3.2254157564912727</v>
      </c>
      <c r="NV120" s="388">
        <f t="shared" si="395"/>
        <v>3.2254157564912727</v>
      </c>
      <c r="NW120">
        <f t="shared" si="396"/>
        <v>2.8273514502636674</v>
      </c>
      <c r="NX120">
        <f>各项系数!$M$9*NK120</f>
        <v>0.69249905383244859</v>
      </c>
      <c r="NY120">
        <f t="shared" si="397"/>
        <v>2.3469390440761053</v>
      </c>
    </row>
    <row r="121" spans="1:389" ht="15" hidden="1" customHeight="1">
      <c r="A121" s="69"/>
      <c r="B121" s="70"/>
      <c r="C121" s="71"/>
      <c r="D121" s="53" t="s">
        <v>401</v>
      </c>
      <c r="E121" s="399">
        <f t="shared" si="503"/>
        <v>35.133879119999996</v>
      </c>
      <c r="F121" s="68">
        <f>$F$25</f>
        <v>242.29596858910099</v>
      </c>
      <c r="G121" s="58"/>
      <c r="H121" s="16"/>
      <c r="I121" s="145">
        <f>$F$23</f>
        <v>245.05464536042999</v>
      </c>
      <c r="J121" s="62"/>
      <c r="K121" s="16"/>
      <c r="L121" s="97" t="s">
        <v>467</v>
      </c>
      <c r="M121" s="103">
        <f t="shared" si="339"/>
        <v>1.1000000000000001</v>
      </c>
      <c r="N121" s="103">
        <f t="shared" si="501"/>
        <v>0.9</v>
      </c>
      <c r="O121" s="53">
        <f t="shared" si="556"/>
        <v>0.08</v>
      </c>
      <c r="P121" s="99">
        <v>0.1</v>
      </c>
      <c r="Q121" s="133">
        <f t="shared" si="512"/>
        <v>0.1</v>
      </c>
      <c r="R121" s="70">
        <v>0.8</v>
      </c>
      <c r="S121" s="142" t="str">
        <f>各项系数!$D$43</f>
        <v>钢带</v>
      </c>
      <c r="T121" s="102">
        <v>0.5</v>
      </c>
      <c r="U121" s="102">
        <v>2</v>
      </c>
      <c r="V121" s="140"/>
      <c r="W121" s="141">
        <v>2.1</v>
      </c>
      <c r="X121" s="135">
        <f t="shared" si="513"/>
        <v>0.2</v>
      </c>
      <c r="Y121" s="135"/>
      <c r="Z121" s="168"/>
      <c r="AA121" s="153">
        <f>$AA$25</f>
        <v>1.0129999999999999</v>
      </c>
      <c r="AB121" s="153">
        <f>PI()*EJ121*EJ121/4*EH121*(1-H121)*AA121*各项系数!$F$5*各项系数!$J$4*10^-7</f>
        <v>0.57842170409620475</v>
      </c>
      <c r="AC121" s="153">
        <f t="shared" si="504"/>
        <v>242.29596858910099</v>
      </c>
      <c r="AD121" s="153">
        <f t="shared" si="341"/>
        <v>65.39126499722515</v>
      </c>
      <c r="AE121" s="153">
        <f>POWER(4*EU121/PI()/EG121/10^-7/EH121/(1-H121)/各项系数!$F$5/各项系数!$J$4,0.5)</f>
        <v>243.86580688497418</v>
      </c>
      <c r="AF121" s="69">
        <f>$AA$23</f>
        <v>1.0109999999999999</v>
      </c>
      <c r="AG121" s="69">
        <f>IF(EM121=0,0,PI()*ER121*ER121/4*EP121*(1-K121)*(1+AF121)*各项系数!$F$5*各项系数!$J$4*10^-7)</f>
        <v>0.58728743995848276</v>
      </c>
      <c r="AH121" s="69">
        <f t="shared" si="505"/>
        <v>245.05464536042999</v>
      </c>
      <c r="AI121" s="69">
        <f t="shared" si="398"/>
        <v>33.378357061385572</v>
      </c>
      <c r="AJ121" s="69">
        <f>IF(OR(EP121="",EP121=0),0,POWER(4*EW121/PI()/EO121/10^-7/EP121/(1-K121)/各项系数!$F$5/各项系数!$J$4,0.5))</f>
        <v>246.39875970480472</v>
      </c>
      <c r="AK121" s="69">
        <f t="shared" si="342"/>
        <v>2.3257649648972927</v>
      </c>
      <c r="AL121" s="69">
        <f t="shared" si="506"/>
        <v>163.31871892597027</v>
      </c>
      <c r="AM121" s="188">
        <f t="shared" si="507"/>
        <v>70</v>
      </c>
      <c r="AN121" s="97" t="s">
        <v>486</v>
      </c>
      <c r="AO121" s="196">
        <f>AP121+各项系数!$M$9*$NK121</f>
        <v>160.11639110389243</v>
      </c>
      <c r="AP121" s="196">
        <f>AQ121*(1+$BI121+(VLOOKUP($AM121,$A$12:$B$323,2,0))+各项系数!$J$6+各项系数!$M$5)*(1+$E$2)</f>
        <v>159.17085174217939</v>
      </c>
      <c r="AQ121" s="197">
        <f>AR121+各项系数!$L$9*$NK121</f>
        <v>162.41923647161164</v>
      </c>
      <c r="AR121" s="197">
        <f>AS121*(1+$BJ121+各项系数!$J$5+各项系数!$L$5)</f>
        <v>161.47369710989861</v>
      </c>
      <c r="AS121" s="197">
        <f t="shared" si="399"/>
        <v>158.3075461861751</v>
      </c>
      <c r="AT121" s="196">
        <f>AU121+各项系数!$M$9*$NM121</f>
        <v>162.27314778288252</v>
      </c>
      <c r="AU121" s="196">
        <f>AV121*(1+$BI121+(VLOOKUP($AM121,$A$12:$B$323,2,0))+各项系数!$J$6+各项系数!$M$5)*(1+$E$2)</f>
        <v>161.32760842116949</v>
      </c>
      <c r="AV121" s="197">
        <f>AW121+各项系数!$L$9*$NM121</f>
        <v>164.62000859303009</v>
      </c>
      <c r="AW121" s="197">
        <f>AX121*(1+$BJ121+各项系数!$J$5+各项系数!$L$5)</f>
        <v>163.67446923131706</v>
      </c>
      <c r="AX121" s="197">
        <f t="shared" si="400"/>
        <v>160.46516591305593</v>
      </c>
      <c r="AY121" s="196">
        <f>AZ121+各项系数!$M$9*$NS121</f>
        <v>163.08056965054135</v>
      </c>
      <c r="AZ121" s="196">
        <f>BA121*(1+$BI121+(VLOOKUP($AM121,$A$12:$B$214,2,0))+各项系数!$J$6+各项系数!$M$5)*(1+$E$2)</f>
        <v>162.12203392339691</v>
      </c>
      <c r="BA121" s="197">
        <f>BB121+各项系数!$L$9*$NS121</f>
        <v>165.4306468606091</v>
      </c>
      <c r="BB121" s="197">
        <f>BC121*(1+$BJ121+各项系数!$J$5+各项系数!$L$5)</f>
        <v>164.47211113346467</v>
      </c>
      <c r="BC121" s="199">
        <f t="shared" si="401"/>
        <v>161.24716777790653</v>
      </c>
      <c r="BD121" s="196">
        <f>BE121+各项系数!$M$9*$NS121</f>
        <v>165.24777260704502</v>
      </c>
      <c r="BE121" s="196">
        <f>BF121*(1+$BI121+(VLOOKUP($AM121,$A$12:$B$214,2,0))+各项系数!$J$6+各项系数!$M$5)*(1+$E$2)</f>
        <v>164.28923687990059</v>
      </c>
      <c r="BF121" s="197">
        <f>BG121+各项系数!$L$9*$NS121</f>
        <v>167.64207844887815</v>
      </c>
      <c r="BG121" s="197">
        <f>BH121*(1+$BJ121+各项系数!$J$5+各项系数!$L$5)</f>
        <v>166.68354272173372</v>
      </c>
      <c r="BH121" s="199">
        <f t="shared" si="402"/>
        <v>163.41523796248404</v>
      </c>
      <c r="BI121" s="213"/>
      <c r="BJ121" s="208"/>
      <c r="BK121" s="53" t="s">
        <v>514</v>
      </c>
      <c r="BL121" s="196">
        <f>BM121+各项系数!$M$9*$NM121</f>
        <v>161.98956535680853</v>
      </c>
      <c r="BM121" s="196">
        <f>BN121*(1+$CF121+(VLOOKUP($AM121,$A$12:$B$323,2,0))+各项系数!$J$6+各项系数!$M$5)*(1+$E$2)</f>
        <v>161.0440259950955</v>
      </c>
      <c r="BN121" s="197">
        <f>BO121+各项系数!$L$9*$NM121</f>
        <v>164.3306387705056</v>
      </c>
      <c r="BO121" s="197">
        <f>BP121*(1+$CG121+各项系数!$J$5+各项系数!$L$5)</f>
        <v>163.38509940879257</v>
      </c>
      <c r="BP121" s="197">
        <f t="shared" si="403"/>
        <v>158.62631010562384</v>
      </c>
      <c r="BQ121" s="196">
        <f>BR121+各项系数!$M$9*$NM121</f>
        <v>163.84570640883047</v>
      </c>
      <c r="BR121" s="196">
        <f>BS121*(1+$CF121+(VLOOKUP($AM121,$A$12:$B$323,2,0))+各项系数!$J$6+各项系数!$M$5)*(1+$E$2)</f>
        <v>162.90016704711744</v>
      </c>
      <c r="BS121" s="197">
        <f>BT121+各项系数!$L$9*$NM121</f>
        <v>166.22466025216065</v>
      </c>
      <c r="BT121" s="197">
        <f>BU121*(1+$CG121+各项系数!$J$5+各项系数!$L$5)</f>
        <v>165.27912089044762</v>
      </c>
      <c r="BU121" s="197">
        <f t="shared" si="404"/>
        <v>160.46516591305593</v>
      </c>
      <c r="BV121" s="196">
        <f>BW121+各项系数!$M$9*$NT121</f>
        <v>164.05284376752041</v>
      </c>
      <c r="BW121" s="196">
        <f>BX121*(1+$CF121+(VLOOKUP($AM121,$A$12:$B$214,2,0))+各项系数!$J$6+各项系数!$M$5)*(1+$E$2)</f>
        <v>163.09430804037598</v>
      </c>
      <c r="BX121" s="197">
        <f>BY121+各项系数!$L$9*$NT$12</f>
        <v>166.42276330650611</v>
      </c>
      <c r="BY121" s="197">
        <f>BZ121*(1+$CG121+各项系数!$J$5+各项系数!$L$5)</f>
        <v>166.41449990335113</v>
      </c>
      <c r="BZ121" s="199">
        <f t="shared" si="343"/>
        <v>161.56747563432148</v>
      </c>
      <c r="CA121" s="196">
        <f>CB121+各项系数!$M$9*$NT121</f>
        <v>165.91797506156772</v>
      </c>
      <c r="CB121" s="196">
        <f>CC121*(1+$CF121+(VLOOKUP($AM121,$A$12:$B$214,2,0))+各项系数!$J$6+各项系数!$M$5)*(1+$E$2)</f>
        <v>164.95943933442328</v>
      </c>
      <c r="CC121" s="197">
        <f>CD121+各项系数!$L$9*$NT$12</f>
        <v>168.32595850451355</v>
      </c>
      <c r="CD121" s="197">
        <f>CE121*(1+$CG121+各项系数!$J$5+各项系数!$L$5)</f>
        <v>168.31769510135857</v>
      </c>
      <c r="CE121" s="199">
        <f t="shared" si="405"/>
        <v>163.41523796248404</v>
      </c>
      <c r="CF121" s="213">
        <f t="shared" si="514"/>
        <v>0</v>
      </c>
      <c r="CG121" s="213">
        <f t="shared" si="344"/>
        <v>0.01</v>
      </c>
      <c r="CH121" s="102"/>
      <c r="CI121" s="196">
        <f>CJ121+各项系数!$M$9*$NO121</f>
        <v>164.82504392714003</v>
      </c>
      <c r="CJ121" s="196">
        <f>CK121*(1+$DC121+(VLOOKUP($AM121,$A$12:$B$323,2,0))+各项系数!$J$6+各项系数!$M$5)*(1+$E$2)+各项系数!$M$9*$NK121</f>
        <v>163.54660075096629</v>
      </c>
      <c r="CK121" s="197">
        <f>CL121+各项系数!$L$9*$NO121</f>
        <v>165.91945039719721</v>
      </c>
      <c r="CL121" s="197">
        <f>CM121*(1+$DD121+各项系数!$J$5+各项系数!$L$5)</f>
        <v>164.64100722102347</v>
      </c>
      <c r="CM121" s="197">
        <f t="shared" si="345"/>
        <v>161.41275217747398</v>
      </c>
      <c r="CN121" s="196">
        <f>CO121+各项系数!$M$9*$NO121</f>
        <v>166.77769661660986</v>
      </c>
      <c r="CO121" s="196">
        <f>CP121*(1+$DC121+(VLOOKUP($AM121,$A$12:$B$323,2,0))+各项系数!$J$6+各项系数!$M$5)*(1+$E$2)+各项系数!$M$9*$NK121</f>
        <v>165.49925344043612</v>
      </c>
      <c r="CP121" s="197">
        <f>CQ121+各项系数!$L$9*$NO121</f>
        <v>167.91195314155416</v>
      </c>
      <c r="CQ121" s="197">
        <f>CR121*(1+$DD121+各项系数!$J$5+各项系数!$L$5)</f>
        <v>166.63350996538043</v>
      </c>
      <c r="CR121" s="197">
        <f t="shared" si="346"/>
        <v>163.36618624056905</v>
      </c>
      <c r="CS121" s="196">
        <f>CT121+各项系数!$M$9*$NU121</f>
        <v>167.04486868909584</v>
      </c>
      <c r="CT121" s="196">
        <f t="shared" si="347"/>
        <v>165.75254243773256</v>
      </c>
      <c r="CU121" s="197">
        <f>CV121+各项系数!$L$9*$NU121</f>
        <v>169.1352473854414</v>
      </c>
      <c r="CV121" s="197">
        <f>CW121*(1+$DD121+各项系数!$J$5+各项系数!$L$5)</f>
        <v>167.84292113407813</v>
      </c>
      <c r="CW121" s="199">
        <f t="shared" si="348"/>
        <v>164.55188346478246</v>
      </c>
      <c r="CX121" s="196">
        <f>CY121+各项系数!$M$9*$NU121</f>
        <v>169.35022366571695</v>
      </c>
      <c r="CY121" s="196">
        <f t="shared" si="349"/>
        <v>168.05789741435368</v>
      </c>
      <c r="CZ121" s="197">
        <f>DA121+各项系数!$L$9*$NU121</f>
        <v>171.48765042280988</v>
      </c>
      <c r="DA121" s="197">
        <f>DB121*(1+$DD121+各项系数!$J$5+各项系数!$L$5)</f>
        <v>170.1953241714466</v>
      </c>
      <c r="DB121" s="199">
        <f t="shared" si="350"/>
        <v>166.85816095239863</v>
      </c>
      <c r="DC121" s="213">
        <f t="shared" si="498"/>
        <v>0</v>
      </c>
      <c r="DD121" s="213">
        <f t="shared" si="351"/>
        <v>0</v>
      </c>
      <c r="DE121" s="53" t="s">
        <v>498</v>
      </c>
      <c r="DF121" s="53" t="s">
        <v>513</v>
      </c>
      <c r="DG121" s="196">
        <f>DH121+各项系数!$M$9*$NQ121</f>
        <v>166.74925969967333</v>
      </c>
      <c r="DH121" s="196">
        <f>DI121*(1+$EA121+(VLOOKUP($AM121,$A$12:$B$323,2,0))+各项系数!$J$6+各项系数!$M$5)*(1+$E$2)+各项系数!$M$9*$NK121</f>
        <v>165.47081652349959</v>
      </c>
      <c r="DI121" s="197">
        <f>DJ121+各项系数!$L$9*$NQ121</f>
        <v>167.88293587937406</v>
      </c>
      <c r="DJ121" s="197">
        <f>DK121*(1+$EB121+各项系数!$J$5+各项系数!$L$5)</f>
        <v>166.60449270320032</v>
      </c>
      <c r="DK121" s="197">
        <f t="shared" si="352"/>
        <v>161.75193466330128</v>
      </c>
      <c r="DL121" s="196">
        <f>DM121+各项系数!$M$9*$NQ121</f>
        <v>168.72429670247999</v>
      </c>
      <c r="DM121" s="196">
        <f>DN121*(1+$EA121+(VLOOKUP($AM121,$A$12:$B$323,2,0))+各项系数!$J$6+各项系数!$M$5)*(1+$E$2)+各项系数!$M$9*$NK121</f>
        <v>167.44585352630625</v>
      </c>
      <c r="DN121" s="197">
        <f>DO121+各项系数!$L$9*$NQ121</f>
        <v>169.89827975978901</v>
      </c>
      <c r="DO121" s="197">
        <f>DP121*(1+$EB121+各项系数!$J$5+各项系数!$L$5)</f>
        <v>168.61983658361527</v>
      </c>
      <c r="DP121" s="197">
        <f t="shared" si="353"/>
        <v>163.70857920739346</v>
      </c>
      <c r="DQ121" s="196">
        <f>DR121+各项系数!$M$9*$NV121</f>
        <v>169.00140639821853</v>
      </c>
      <c r="DR121" s="196">
        <f t="shared" si="354"/>
        <v>167.70908014685526</v>
      </c>
      <c r="DS121" s="197">
        <f>DT121+各项系数!$L$9*$NV121</f>
        <v>171.13171443556658</v>
      </c>
      <c r="DT121" s="197">
        <f>DU121*(1+$EB121+各项系数!$J$5+各项系数!$L$5)</f>
        <v>169.8393881842033</v>
      </c>
      <c r="DU121" s="199">
        <f t="shared" si="355"/>
        <v>164.89260988757601</v>
      </c>
      <c r="DV121" s="196">
        <f>DW121+各项系数!$M$9*$NV121</f>
        <v>168.57388150519895</v>
      </c>
      <c r="DW121" s="196">
        <f t="shared" si="356"/>
        <v>167.28155525383568</v>
      </c>
      <c r="DX121" s="197">
        <f>DY121+各项系数!$L$9*$NV121</f>
        <v>170.6954645447303</v>
      </c>
      <c r="DY121" s="197">
        <f>DZ121*(1+$EB121+各项系数!$J$5+各项系数!$L$5)</f>
        <v>169.40313829336702</v>
      </c>
      <c r="DZ121" s="199">
        <f t="shared" si="357"/>
        <v>164.46906630423982</v>
      </c>
      <c r="EA121" s="213">
        <f t="shared" si="511"/>
        <v>0</v>
      </c>
      <c r="EB121" s="213">
        <f t="shared" si="358"/>
        <v>0.01</v>
      </c>
      <c r="EC121" s="235" t="str">
        <f t="shared" si="408"/>
        <v>3+2</v>
      </c>
      <c r="ED121" s="235" t="str">
        <f t="shared" si="494"/>
        <v>3*70</v>
      </c>
      <c r="EE121" s="189">
        <f t="shared" si="495"/>
        <v>70</v>
      </c>
      <c r="EF121" s="189" t="str">
        <f>LOOKUP(EH121,{1,7,10,14,19,24,30,37,48,61},{1,"1+6","2+8","4+10","1+6+12","2+8+14","4+10+16","1+6+12+18","3+9+15+21","1+6+12+18+24"})</f>
        <v>4+10</v>
      </c>
      <c r="EG121" s="188">
        <f t="shared" si="359"/>
        <v>3</v>
      </c>
      <c r="EH121" s="197">
        <f>VLOOKUP(EE121,各项系数!$B$87:$C$124,2,0)</f>
        <v>14</v>
      </c>
      <c r="EI121" s="188">
        <f>IF(EH121=0,0,VLOOKUP(EH121,各项系数!$D$142:$E$195,2,0))*1</f>
        <v>4.41</v>
      </c>
      <c r="EJ121" s="238">
        <f t="shared" si="409"/>
        <v>242.29596858910099</v>
      </c>
      <c r="EK121" s="189" t="str">
        <f t="shared" si="508"/>
        <v>2*35</v>
      </c>
      <c r="EL121" s="189" t="str">
        <f t="shared" si="360"/>
        <v>35</v>
      </c>
      <c r="EM121" s="189">
        <f t="shared" si="496"/>
        <v>35</v>
      </c>
      <c r="EN121" s="189" t="str">
        <f>IF(EP121=0,0,LOOKUP(EP121,{1,7,10,14,19,24,30,37,48,61},{1,"1+6","2+8","4+10","1+6+12","2+8+14","4+10+16","1+6+12+18","3+9+15+21","1+6+12+18+24"}))</f>
        <v>1+6</v>
      </c>
      <c r="EO121" s="189" t="str">
        <f t="shared" si="509"/>
        <v>2</v>
      </c>
      <c r="EP121" s="189">
        <f>IF(EM121=0,0,IF(EM121&lt;10,1,IF(AND(EM121&gt;=10,EM121&lt;=35),7,LOOKUP(EM121,{50,70,95,120,150,185,240,300},{10,14,19,24,30,37,48,61})*1)))</f>
        <v>7</v>
      </c>
      <c r="EQ121" s="189">
        <f>IF(EP121=0,0,VLOOKUP(EP121,各项系数!$D$142:$E$195,2,0))*1</f>
        <v>3</v>
      </c>
      <c r="ER121" s="189">
        <f t="shared" si="510"/>
        <v>245.05464536042999</v>
      </c>
      <c r="ES121" s="235">
        <f t="shared" si="497"/>
        <v>5</v>
      </c>
      <c r="ET121" s="189">
        <f>VLOOKUP(ES121,各项系数!$D$142:$E$195,2,0)*1</f>
        <v>2.7</v>
      </c>
      <c r="EU121" s="243">
        <f>((各项系数!$F$76/4*$EJ121^2*$EG121*$EH121*1*10^-7)*(1-$H121)*AA121)*(VLOOKUP($EY$9,各项系数!$D$4:$F$143,3,0))*各项系数!$J$4</f>
        <v>1.7352651122886145</v>
      </c>
      <c r="EV121" s="244">
        <f>EU121*(VLOOKUP($EY$9,各项系数!$D$4:$F$143,2,0))</f>
        <v>113.65986485490424</v>
      </c>
      <c r="EW121" s="252">
        <f>(IF($EO121=0,0,(各项系数!$F$76/4*$ER121^2*$EO121*$EP121*1*10^-7))*(1-$K121)*$AF121)*(VLOOKUP($EY$9,各项系数!$D$4:$F$143,3,0))*各项系数!$J$4</f>
        <v>0.59049985260867821</v>
      </c>
      <c r="EX121" s="253">
        <f>EW121*(VLOOKUP($EY$9,各项系数!$D$4:$F$143,2,0))</f>
        <v>38.677740345868422</v>
      </c>
      <c r="EY121" s="189">
        <f>((各项系数!$F$76/4*$EJ121^2*$EG121*$EH121*1*10^-7)*(1-$H121)*AA121+IF($EO121=0,0,(各项系数!$F$76/4*$ER121^2*$EO121*$EP121*1*10^-7))*(1-$K121)*$AF121)*(VLOOKUP($EY$9,各项系数!$D$4:$F$143,3,0))*各项系数!$J$4</f>
        <v>2.3257649648972927</v>
      </c>
      <c r="EZ121" s="102">
        <v>1</v>
      </c>
      <c r="FA121" s="189">
        <f t="shared" si="515"/>
        <v>2.3257649648972927</v>
      </c>
      <c r="FB121" s="254">
        <f>FA121*(VLOOKUP($EY$9,各项系数!$D$4:$F$143,2,0))</f>
        <v>152.33760520077266</v>
      </c>
      <c r="FC121" s="255"/>
      <c r="FD121" s="235">
        <f>各项系数!$F$76/4*($MN121^2-MK121^2)*10^-2*(VLOOKUP(L121,各项系数!$D$1:$F$143,3,0))*10^-3*10^2*$EG121*各项系数!$J$4</f>
        <v>0.13372680244793828</v>
      </c>
      <c r="FE121" s="262">
        <f>FD121*VLOOKUP(L121,各项系数!$D$1:$F$143,2,0)</f>
        <v>1.3640133849689704</v>
      </c>
      <c r="FF121" s="188">
        <f>各项系数!$F$76/4*($MO121^2-ML121^2)*10^-2*(VLOOKUP(L121,各项系数!$D$1:$F$143,3,0))*10^-3*10^2*$EO121*各项系数!$J$4</f>
        <v>5.1071472827138753E-2</v>
      </c>
      <c r="FG121" s="262">
        <f>FF121*VLOOKUP(L121,各项系数!$D$1:$F$143,2,0)</f>
        <v>0.52092902283681519</v>
      </c>
      <c r="FH121" s="235">
        <f t="shared" si="410"/>
        <v>0.18479827527507703</v>
      </c>
      <c r="FI121" s="102">
        <v>1</v>
      </c>
      <c r="FJ121" s="189">
        <f t="shared" si="516"/>
        <v>0.18479827527507703</v>
      </c>
      <c r="FK121" s="262">
        <f>FJ121*VLOOKUP(L121,各项系数!$D$1:$F$143,2,0)</f>
        <v>1.8849424078057855</v>
      </c>
      <c r="FL121" s="235"/>
      <c r="FM121" s="102"/>
      <c r="FN121" s="189"/>
      <c r="FO121" s="262"/>
      <c r="FP121" s="282">
        <f t="shared" si="517"/>
        <v>0.18479827527507703</v>
      </c>
      <c r="FQ121" s="282">
        <f t="shared" si="518"/>
        <v>1.8849424078057855</v>
      </c>
      <c r="FR121" s="283">
        <f>各项系数!$F$76/4*($MQ121^2-$MN121^2*$EG121-$MO121^2*$EO121)*10^-2</f>
        <v>2.2026722941036452</v>
      </c>
      <c r="FS121" s="284">
        <f t="shared" si="411"/>
        <v>1</v>
      </c>
      <c r="FT121" s="285">
        <f t="shared" si="361"/>
        <v>2.2026722941036452</v>
      </c>
      <c r="FU121" s="302">
        <f>$FT121*(VLOOKUP($FT$9,各项系数!$D$1:$F$143,3,0))*10^-3*10^2*各项系数!$J$55</f>
        <v>0.26299907191597521</v>
      </c>
      <c r="FV121" s="303">
        <v>1</v>
      </c>
      <c r="FW121" s="304">
        <f t="shared" si="519"/>
        <v>0.26299907191597521</v>
      </c>
      <c r="FX121" s="285">
        <f>FW121*(VLOOKUP($FT$9,各项系数!$D$1:$F$143,2,0))</f>
        <v>0.7889972157479257</v>
      </c>
      <c r="FY121" s="302">
        <f>IF($BK121&lt;&gt;$FY$9,0,各项系数!$F$76/4*($MS121^2-$MQ121^2)*10^-2*(VLOOKUP($FY$9,各项系数!$D$1:$F$143,3,0))*10^-3*10^2)*各项系数!$J$4</f>
        <v>0</v>
      </c>
      <c r="FZ121" s="303">
        <v>1</v>
      </c>
      <c r="GA121" s="304">
        <f t="shared" si="520"/>
        <v>0</v>
      </c>
      <c r="GB121" s="285">
        <f>GA121*(VLOOKUP($FY$9,各项系数!$D$1:$F$143,2,0))</f>
        <v>0</v>
      </c>
      <c r="GC121" s="302">
        <f>IF($BK121&lt;&gt;$GC$9,0,各项系数!$F$76/4*($MS121^2-$MQ121^2)*10^-2*(VLOOKUP($GC$9,各项系数!$D$1:$F$143,3,0))*10^-3*10^2)*各项系数!$J$4</f>
        <v>8.4001680125191987E-3</v>
      </c>
      <c r="GD121" s="303">
        <v>1</v>
      </c>
      <c r="GE121" s="304">
        <f t="shared" si="521"/>
        <v>8.4001680125191987E-3</v>
      </c>
      <c r="GF121" s="285">
        <f>GE121*(VLOOKUP($GC$9,各项系数!$D$1:$F$143,2,0))</f>
        <v>0.10836216736149766</v>
      </c>
      <c r="GG121" s="302">
        <f>IF($BK121&lt;&gt;$GG$9,0,各项系数!$F$76/4*($MS121^2-$MQ121^2)*10^-2*(VLOOKUP($GG$9,各项系数!$D$1:$F$143,3,0))*10^-3*10^2)*各项系数!$J$4</f>
        <v>0</v>
      </c>
      <c r="GH121" s="303">
        <v>1</v>
      </c>
      <c r="GI121" s="304">
        <f t="shared" si="522"/>
        <v>0</v>
      </c>
      <c r="GJ121" s="285">
        <f>GI121*(VLOOKUP($GG$9,各项系数!$D$1:$F$143,2,0))</f>
        <v>0</v>
      </c>
      <c r="GK121" s="302">
        <f>IF($BK121&lt;&gt;$GK$9,0,各项系数!$F$76/4*($MS121^2-$MQ121^2)*10^-2*(VLOOKUP($GK$9,各项系数!$D$1:$F$143,3,0))*10^-3*10^2)*各项系数!$J$4</f>
        <v>0</v>
      </c>
      <c r="GL121" s="303">
        <v>1</v>
      </c>
      <c r="GM121" s="304">
        <f t="shared" si="523"/>
        <v>0</v>
      </c>
      <c r="GN121" s="285">
        <f>GM121*(VLOOKUP($GK$9,各项系数!$D$1:$F$143,2,0))</f>
        <v>0</v>
      </c>
      <c r="GO121" s="304">
        <f t="shared" si="524"/>
        <v>8.4001680125191987E-3</v>
      </c>
      <c r="GP121" s="304">
        <f t="shared" si="525"/>
        <v>0.10836216736149766</v>
      </c>
      <c r="GQ121" s="315">
        <f>各项系数!$F$76/4*($MU121^2-$MS121^2)*10^-2*(VLOOKUP($S121,各项系数!$D$1:$F$143,3,0))*10^-3*10^2*各项系数!$J$4</f>
        <v>0.58087049541668279</v>
      </c>
      <c r="GR121" s="303">
        <v>1</v>
      </c>
      <c r="GS121" s="304">
        <f t="shared" si="526"/>
        <v>0.58087049541668279</v>
      </c>
      <c r="GT121" s="304">
        <f t="shared" si="457"/>
        <v>0</v>
      </c>
      <c r="GU121" s="304">
        <f>ROUND($GS121*(VLOOKUP($S121,各项系数!$D$1:$F$143,2,0))+$E$3*GS121,GT121)</f>
        <v>3</v>
      </c>
      <c r="GV121" s="315">
        <f>各项系数!$F$76/4*($MT121^2-$MS121^2)*10^-2*(VLOOKUP($GV$9,各项系数!$D$1:$F$143,3,0))*10^-3*10^2*各项系数!$J$4*PI()/4*R121</f>
        <v>4.3321218104725459E-2</v>
      </c>
      <c r="GW121" s="303">
        <v>1</v>
      </c>
      <c r="GX121" s="304">
        <f t="shared" si="527"/>
        <v>4.3321218104725459E-2</v>
      </c>
      <c r="GY121" s="304">
        <f>$GX121*(VLOOKUP($GV$9,各项系数!$D$1:$F$143,2,0))</f>
        <v>2.9241822220689686</v>
      </c>
      <c r="GZ121" s="315">
        <f>各项系数!$F$76/4*($MV121^2-$MS121^2)*10^-2*(VLOOKUP($GZ$9,各项系数!$D$1:$F$143,3,0))*10^-3*10^2*各项系数!$J$4</f>
        <v>0.31442699537459284</v>
      </c>
      <c r="HA121" s="303">
        <v>1</v>
      </c>
      <c r="HB121" s="304">
        <f t="shared" si="412"/>
        <v>0.31442699537459284</v>
      </c>
      <c r="HC121" s="304">
        <f>HB121*(VLOOKUP($GZ$9,各项系数!$D$1:$F$143,2,0))</f>
        <v>5.3452589213680781</v>
      </c>
      <c r="HD121" s="315">
        <f>各项系数!$F$76/4*($MW121^2-$MT121^2)*10^-2*(VLOOKUP($HD$9,各项系数!$D$1:$F$143,3,0))*10^-3*10^2*各项系数!$J$4</f>
        <v>0.31594992639571823</v>
      </c>
      <c r="HE121" s="303">
        <v>1</v>
      </c>
      <c r="HF121" s="304">
        <f t="shared" si="413"/>
        <v>0.31594992639571823</v>
      </c>
      <c r="HG121" s="304">
        <f>HF121*(VLOOKUP($HD$9,各项系数!$D$1:$F$143,2,0))</f>
        <v>5.3711487487272098</v>
      </c>
      <c r="HH121" s="315">
        <f>各项系数!$F$76/4*($MV121^2-$MS121^2)*10^-2*(VLOOKUP($HH$9,各项系数!$D$1:$F$143,3,0))*10^-3*10^2*各项系数!$J$4</f>
        <v>0.31442699537459284</v>
      </c>
      <c r="HI121" s="322">
        <v>1</v>
      </c>
      <c r="HJ121" s="304">
        <f t="shared" si="414"/>
        <v>0.31442699537459284</v>
      </c>
      <c r="HK121" s="304">
        <f>HJ121*(VLOOKUP($HH$9,各项系数!$D$1:$F$143,2,0))</f>
        <v>5.3452589213680781</v>
      </c>
      <c r="HL121" s="315">
        <f>各项系数!$F$76/4*($MW121^2-$MT121^2)*10^-2*(VLOOKUP($HL$9,各项系数!$D$1:$F$143,3,0))*10^-3*10^2*各项系数!$J$4</f>
        <v>0.31594992639571823</v>
      </c>
      <c r="HM121" s="322">
        <v>1</v>
      </c>
      <c r="HN121" s="304">
        <f t="shared" si="362"/>
        <v>0.31594992639571823</v>
      </c>
      <c r="HO121" s="304">
        <f>HN121*(VLOOKUP($HL$9,各项系数!$D$1:$F$143,2,0))</f>
        <v>5.3711487487272098</v>
      </c>
      <c r="HP121" s="315">
        <f>各项系数!$F$76/4*($MV121^2-$MS121^2)*10^-2*(VLOOKUP(AN121,各项系数!$D$1:$F$143,3,0))*10^-3*10^2*各项系数!$J$4</f>
        <v>0.31876391944872523</v>
      </c>
      <c r="HQ121" s="303">
        <v>1</v>
      </c>
      <c r="HR121" s="304">
        <f t="shared" si="528"/>
        <v>0.31876391944872523</v>
      </c>
      <c r="HS121" s="304">
        <f>HR121*(VLOOKUP(AN121,各项系数!$D$1:$F$143,2,0))</f>
        <v>3.1876391944872524</v>
      </c>
      <c r="HT121" s="315">
        <f>各项系数!$F$76/4*($MW121^2-$MT121^2)*10^-2*(VLOOKUP(AN121,各项系数!$D$1:$F$143,3,0))*10^-3*10^2*各项系数!$J$4</f>
        <v>0.32030785641496945</v>
      </c>
      <c r="HU121" s="303">
        <v>1</v>
      </c>
      <c r="HV121" s="304">
        <f t="shared" si="529"/>
        <v>0.32030785641496945</v>
      </c>
      <c r="HW121" s="304">
        <f>HV121*(VLOOKUP(AN121,各项系数!$D$1:$F$143,2,0))</f>
        <v>3.2030785641496946</v>
      </c>
      <c r="HX121" s="315">
        <f>各项系数!$F$76/4*($MV121^2-$MS121^2)*10^-2*(VLOOKUP($HX$9,各项系数!$D$1:$F$143,3,0))*10^-3*10^2*各项系数!$J$4</f>
        <v>0.31876391944872523</v>
      </c>
      <c r="HY121" s="322">
        <v>1</v>
      </c>
      <c r="HZ121" s="304">
        <f t="shared" si="530"/>
        <v>0.31876391944872523</v>
      </c>
      <c r="IA121" s="304">
        <f>HZ121*(VLOOKUP($HX$9,各项系数!$D$1:$F$143,2,0))</f>
        <v>3.5064031139359777</v>
      </c>
      <c r="IB121" s="315">
        <f>各项系数!$F$76/4*($MW121^2-$MT121^2)*10^-2*(VLOOKUP($IB$9,各项系数!$D$1:$F$143,3,0))*10^-3*10^2*各项系数!$J$4</f>
        <v>0.32030785641496945</v>
      </c>
      <c r="IC121" s="322">
        <v>1</v>
      </c>
      <c r="ID121" s="304">
        <f t="shared" si="531"/>
        <v>0.32030785641496945</v>
      </c>
      <c r="IE121" s="304">
        <f>ID121*(VLOOKUP($IB$9,各项系数!$D$1:$F$143,2,0))</f>
        <v>3.5233864205646639</v>
      </c>
      <c r="IF121" s="328"/>
      <c r="IG121" s="315">
        <f t="shared" si="415"/>
        <v>6.7883480982773817E-2</v>
      </c>
      <c r="IH121" s="303">
        <v>1</v>
      </c>
      <c r="II121" s="304">
        <f t="shared" si="532"/>
        <v>6.7883480982773817E-2</v>
      </c>
      <c r="IJ121" s="304">
        <f>II121*(VLOOKUP($IG$8,各项系数!$D$1:$F$143,2,0))</f>
        <v>1.6970870245693455</v>
      </c>
      <c r="IK121" s="315">
        <f>(各项系数!$F$76/4*($MX121^2-$MK121^2)*$EG121)*10^-2*(VLOOKUP($IG$8,各项系数!$D$1:$F$143,3,0))*10^-3*10^2*各项系数!$J$4</f>
        <v>4.635715288285918E-2</v>
      </c>
      <c r="IL121" s="303">
        <f>IK121*(VLOOKUP($IG$8,各项系数!$D$1:$F$143,2,0))</f>
        <v>1.1589288220714795</v>
      </c>
      <c r="IM121" s="304">
        <f>(各项系数!$F$76/4*(($MM121+3*$X121)^2-MM121^2)*$EO121)*10^-2*(VLOOKUP($IG$8,各项系数!$D$1:$F$143,3,0))*10^-3*10^2*各项系数!$J$4</f>
        <v>2.1526328099914633E-2</v>
      </c>
      <c r="IN121" s="303">
        <f>IM121*(VLOOKUP($IG$8,各项系数!$D$1:$F$143,2,0))</f>
        <v>0.53815820249786583</v>
      </c>
      <c r="IO121" s="315">
        <f>各项系数!$F$76/4*($MZ121^2-$MX121^2)*10^-2*(VLOOKUP(L121,各项系数!$D$1:$F$143,3,0))*10^-3*10^2*$ES121*各项系数!$J$4</f>
        <v>0.23422496550576558</v>
      </c>
      <c r="IP121" s="303">
        <v>1</v>
      </c>
      <c r="IQ121" s="304">
        <f t="shared" si="533"/>
        <v>0.23422496550576558</v>
      </c>
      <c r="IR121" s="285">
        <f>IQ121*(VLOOKUP(L121,各项系数!$D$1:$F$143,2,0))</f>
        <v>2.3890946481588089</v>
      </c>
      <c r="IS121" s="315">
        <f>IF($L121&lt;&gt;$IS$9,0,各项系数!$F$76/4*($MZ121^2-$MX121^2)*10^-2*各项系数!$F$12*10^-3*10^2)*$ES121*各项系数!$J$4</f>
        <v>0</v>
      </c>
      <c r="IT121" s="303">
        <v>1</v>
      </c>
      <c r="IU121" s="304">
        <f t="shared" si="534"/>
        <v>0</v>
      </c>
      <c r="IV121" s="285">
        <f>IU121*各项系数!$E$12</f>
        <v>0</v>
      </c>
      <c r="IW121" s="302">
        <f t="shared" si="535"/>
        <v>0.23422496550576558</v>
      </c>
      <c r="IX121" s="302">
        <f t="shared" si="536"/>
        <v>2.3890946481588089</v>
      </c>
      <c r="IY121" s="339">
        <f>各项系数!$F$76/4*($NB121^2-$MZ121^2*$EG121-$NA121^2*$EO121)*10^-2</f>
        <v>2.5511344088835686</v>
      </c>
      <c r="IZ121" s="284">
        <f t="shared" si="487"/>
        <v>1</v>
      </c>
      <c r="JA121" s="285">
        <f t="shared" si="363"/>
        <v>2.5511344088835686</v>
      </c>
      <c r="JB121" s="282">
        <f>IF($DE121&lt;&gt;$JB$9,0,$JA121*各项系数!$F$32*10^-3*10^2)*各项系数!$J$4</f>
        <v>0</v>
      </c>
      <c r="JC121" s="102">
        <v>1</v>
      </c>
      <c r="JD121" s="189">
        <f t="shared" si="537"/>
        <v>0</v>
      </c>
      <c r="JE121" s="262">
        <f>JD121*各项系数!$E$32</f>
        <v>0</v>
      </c>
      <c r="JF121" s="282">
        <f>IF($DE121&lt;&gt;$JF$9,0,$JA121*VLOOKUP($JF$9,各项系数!$D$4:$F$540,2,0)*10^-3*10^2)*各项系数!$J$4</f>
        <v>1.2691893684195754</v>
      </c>
      <c r="JG121" s="102">
        <v>1</v>
      </c>
      <c r="JH121" s="189">
        <f t="shared" si="364"/>
        <v>1.2691893684195754</v>
      </c>
      <c r="JI121" s="262">
        <f>JH121*VLOOKUP($JF$9,各项系数!$D$4:$F$540,3,0)</f>
        <v>1.5230272421034905</v>
      </c>
      <c r="JJ121" s="282">
        <f t="shared" si="538"/>
        <v>1.2691893684195754</v>
      </c>
      <c r="JK121" s="189">
        <f t="shared" si="539"/>
        <v>1.5230272421034905</v>
      </c>
      <c r="JL121" s="282">
        <f>IF($DF121&lt;&gt;$JL$9,0,各项系数!$F$76/4*($NE121^2-$NC121^2)*10^-2*各项系数!$F$39*10^-3*10^2)*各项系数!$J$4</f>
        <v>3.7056601798328833E-3</v>
      </c>
      <c r="JM121" s="102">
        <v>1</v>
      </c>
      <c r="JN121" s="189">
        <f t="shared" si="540"/>
        <v>3.7056601798328833E-3</v>
      </c>
      <c r="JO121" s="262">
        <f>JN121*各项系数!$E$39</f>
        <v>7.411320359665767E-2</v>
      </c>
      <c r="JP121" s="282">
        <f>IF($DF121&lt;&gt;$JP$9,0,各项系数!$F$76/4*($NE121^2-$NC121^2)*10^-2*各项系数!$F$36*10^-3*10^2)*各项系数!$J$4</f>
        <v>0</v>
      </c>
      <c r="JQ121" s="102">
        <v>1</v>
      </c>
      <c r="JR121" s="189">
        <f t="shared" si="541"/>
        <v>0</v>
      </c>
      <c r="JS121" s="262">
        <f>JR121*各项系数!$E$36</f>
        <v>0</v>
      </c>
      <c r="JT121" s="282">
        <f>IF($DF121&lt;&gt;$JT$9,0,各项系数!$F$76/4*($NE121^2-$NC121^2)*10^-2*各项系数!$F$40*10^-3*10^2)*各项系数!$J$4</f>
        <v>0</v>
      </c>
      <c r="JU121" s="102">
        <v>1</v>
      </c>
      <c r="JV121" s="189">
        <f t="shared" si="542"/>
        <v>0</v>
      </c>
      <c r="JW121" s="262">
        <f>JV121*各项系数!$E$40</f>
        <v>0</v>
      </c>
      <c r="JX121" s="282">
        <f>IF($DF121&lt;&gt;$JX$9,0,各项系数!$F$76/4*($NE121^2-$NC121^2)*10^-2*各项系数!$F$38*10^-3*10^2)*各项系数!$J$4</f>
        <v>0</v>
      </c>
      <c r="JY121" s="102">
        <v>1</v>
      </c>
      <c r="JZ121" s="189">
        <f t="shared" si="543"/>
        <v>0</v>
      </c>
      <c r="KA121" s="262">
        <f>JZ121*各项系数!$E$38</f>
        <v>0</v>
      </c>
      <c r="KB121" s="282">
        <f>IF($DF121&lt;&gt;$KB$9,0,各项系数!$F$76/4*($NE121^2-$NC121^2)*10^-2*各项系数!$F$41*10^-3*10^2)*各项系数!$J$4</f>
        <v>0</v>
      </c>
      <c r="KC121" s="102">
        <v>1</v>
      </c>
      <c r="KD121" s="189">
        <f t="shared" si="544"/>
        <v>0</v>
      </c>
      <c r="KE121" s="262">
        <f>KD121*各项系数!$E$41</f>
        <v>0</v>
      </c>
      <c r="KF121" s="189">
        <f t="shared" si="545"/>
        <v>3.7056601798328833E-3</v>
      </c>
      <c r="KG121" s="189">
        <f t="shared" si="546"/>
        <v>7.411320359665767E-2</v>
      </c>
      <c r="KH121" s="235">
        <f>各项系数!$F$76/4*($NG121^2-$NE121^2)*10^-2*各项系数!$F$44*10^-3*10^2*各项系数!$J$4*0.75*$U121</f>
        <v>0.92949568083655398</v>
      </c>
      <c r="KI121" s="102">
        <v>1</v>
      </c>
      <c r="KJ121" s="189">
        <f t="shared" si="547"/>
        <v>0.92949568083655398</v>
      </c>
      <c r="KK121" s="189">
        <f>ROUND(KJ121*各项系数!$E$43,GT121)</f>
        <v>5</v>
      </c>
      <c r="KL121" s="235">
        <f>各项系数!$F$76/4*($NF121^2-$NE121^2)*10^-2*各项系数!$F$46*10^-3*10^2*各项系数!$J$4*PI()/4*R121</f>
        <v>4.6276917298459896E-2</v>
      </c>
      <c r="KM121" s="102">
        <v>1</v>
      </c>
      <c r="KN121" s="189">
        <f t="shared" si="548"/>
        <v>4.6276917298459896E-2</v>
      </c>
      <c r="KO121" s="189">
        <f>KN121*各项系数!$E$46</f>
        <v>3.1236919176460431</v>
      </c>
      <c r="KP121" s="235">
        <f>各项系数!$F$76/4*($NH121^2-$NE121^2)*10^-2*(VLOOKUP($KP$9,各项系数!$D$1:$F$143,3,0))*10^-3*10^2*各项系数!$J$4</f>
        <v>0.33456775812896883</v>
      </c>
      <c r="KQ121" s="102">
        <v>1</v>
      </c>
      <c r="KR121" s="189">
        <f t="shared" si="416"/>
        <v>0.33456775812896883</v>
      </c>
      <c r="KS121" s="189">
        <f>KR121*(VLOOKUP($KP$9,各项系数!$D$1:$F$143,2,0))</f>
        <v>5.6876518881924705</v>
      </c>
      <c r="KT121" s="235">
        <f>各项系数!$F$76/4*($NI121^2-$NF121^2)*10^-2*(VLOOKUP($KT$9,各项系数!$D$1:$F$143,3,0))*10^-3*10^2*各项系数!$J$4</f>
        <v>0.33609068915009344</v>
      </c>
      <c r="KU121" s="102">
        <v>1</v>
      </c>
      <c r="KV121" s="189">
        <f t="shared" si="417"/>
        <v>0.33609068915009344</v>
      </c>
      <c r="KW121" s="189">
        <f>KV121*(VLOOKUP($KT$9,各项系数!$D$1:$F$143,2,0))</f>
        <v>5.7135417155515889</v>
      </c>
      <c r="KX121" s="189">
        <f>各项系数!$F$76/4*($NH121^2-$NE121^2)*10^-2*(VLOOKUP($KX$9,各项系数!$D$1:$F$143,3,0))*10^-3*10^2*各项系数!$J$4</f>
        <v>0.33456775812896883</v>
      </c>
      <c r="KY121" s="353">
        <v>1</v>
      </c>
      <c r="KZ121" s="189">
        <f t="shared" si="418"/>
        <v>0.33456775812896883</v>
      </c>
      <c r="LA121" s="189">
        <f>KZ121*(VLOOKUP($KX$9,各项系数!$D$1:$F$143,2,0))</f>
        <v>5.6876518881924705</v>
      </c>
      <c r="LB121" s="189">
        <f>各项系数!$F$76/4*($NI121^2-$NF121^2)*10^-2*(VLOOKUP($LB$9,各项系数!$D$1:$F$143,3,0))*10^-3*10^2*各项系数!$J$4</f>
        <v>0.33609068915009344</v>
      </c>
      <c r="LC121" s="353">
        <v>1</v>
      </c>
      <c r="LD121" s="189">
        <f t="shared" si="419"/>
        <v>0.33609068915009344</v>
      </c>
      <c r="LE121" s="189">
        <f>LD121*(VLOOKUP($LB$9,各项系数!$D$1:$F$143,2,0))</f>
        <v>5.7135417155515889</v>
      </c>
      <c r="LF121" s="235">
        <f>各项系数!$F$76/4*($NH121^2-$NE121^2)*10^-2*(VLOOKUP(AN121,各项系数!$D$1:$F$143,3,0))*10^-3*10^2*各项系数!$J$4</f>
        <v>0.33918248582729937</v>
      </c>
      <c r="LG121" s="102">
        <v>1</v>
      </c>
      <c r="LH121" s="189">
        <f t="shared" si="549"/>
        <v>0.33918248582729937</v>
      </c>
      <c r="LI121" s="189">
        <f>LH121*(VLOOKUP(AN121,各项系数!$D$1:$F$143,2,0))</f>
        <v>3.3918248582729937</v>
      </c>
      <c r="LJ121" s="235">
        <f>各项系数!$F$76/4*($NI121^2-$NF121^2)*10^-2*(VLOOKUP(AN121,各项系数!$D$1:$F$143,3,0))*10^-3*10^2*各项系数!$J$4</f>
        <v>0.34072642279354298</v>
      </c>
      <c r="LK121" s="102">
        <v>1</v>
      </c>
      <c r="LL121" s="189">
        <f t="shared" si="550"/>
        <v>0.34072642279354298</v>
      </c>
      <c r="LM121" s="189">
        <f>LL121*(VLOOKUP(AN121,各项系数!$D$1:$F$143,2,0))</f>
        <v>3.4072642279354297</v>
      </c>
      <c r="LN121" s="189">
        <f>各项系数!$F$76/4*($NH121^2-$NE121^2)*10^-2*(VLOOKUP($LN$9,各项系数!$D$1:$F$143,3,0))*10^-3*10^2*各项系数!$J$4</f>
        <v>0.33918248582729937</v>
      </c>
      <c r="LO121" s="353">
        <v>1</v>
      </c>
      <c r="LP121" s="189">
        <f t="shared" si="551"/>
        <v>0.33918248582729937</v>
      </c>
      <c r="LQ121" s="189">
        <f>LP121*(VLOOKUP($LN$9,各项系数!$D$1:$F$143,2,0))</f>
        <v>3.7310073441002931</v>
      </c>
      <c r="LR121" s="189">
        <f>各项系数!$F$76/4*($NI121^2-$NF121^2)*10^-2*(VLOOKUP($LR$9,各项系数!$D$1:$F$143,3,0))*10^-3*10^2*各项系数!$J$4</f>
        <v>0.34072642279354298</v>
      </c>
      <c r="LS121" s="353">
        <v>1</v>
      </c>
      <c r="LT121" s="189">
        <f t="shared" si="552"/>
        <v>0.34072642279354298</v>
      </c>
      <c r="LU121" s="189">
        <f>LT121*(VLOOKUP($LR$9,各项系数!$D$1:$F$143,2,0))</f>
        <v>3.7479906507289726</v>
      </c>
      <c r="LV121" s="227">
        <f t="shared" si="420"/>
        <v>269.01759929999997</v>
      </c>
      <c r="LW121" s="227">
        <f t="shared" si="421"/>
        <v>193.65626422</v>
      </c>
      <c r="LX121" s="227">
        <f t="shared" si="422"/>
        <v>15.702573473497431</v>
      </c>
      <c r="LY121" s="227">
        <f t="shared" si="423"/>
        <v>75.361335079999975</v>
      </c>
      <c r="LZ121" s="374">
        <f t="shared" si="365"/>
        <v>1</v>
      </c>
      <c r="MA121" s="375">
        <f t="shared" si="366"/>
        <v>269.01759929999997</v>
      </c>
      <c r="MB121" s="375">
        <f t="shared" si="424"/>
        <v>10.68525223</v>
      </c>
      <c r="MC121" s="227">
        <f t="shared" si="425"/>
        <v>84.896202779999996</v>
      </c>
      <c r="MD121" s="227">
        <f t="shared" si="426"/>
        <v>66.030379749999994</v>
      </c>
      <c r="ME121" s="227">
        <f t="shared" si="427"/>
        <v>9.1691052263336967</v>
      </c>
      <c r="MF121" s="227">
        <f t="shared" si="428"/>
        <v>18.865823030000001</v>
      </c>
      <c r="MG121" s="374">
        <f t="shared" si="429"/>
        <v>1</v>
      </c>
      <c r="MH121" s="375">
        <f t="shared" si="367"/>
        <v>84.896202779999996</v>
      </c>
      <c r="MI121" s="375">
        <f t="shared" si="430"/>
        <v>7.3516393606239703</v>
      </c>
      <c r="MJ121" s="189">
        <f t="shared" si="368"/>
        <v>10.68525223</v>
      </c>
      <c r="MK121" s="189">
        <f t="shared" si="431"/>
        <v>10.68525223</v>
      </c>
      <c r="ML121" s="189">
        <f t="shared" si="553"/>
        <v>7.3516393608129</v>
      </c>
      <c r="MM121" s="189">
        <f t="shared" si="369"/>
        <v>7.3516393606239703</v>
      </c>
      <c r="MN121" s="189">
        <f t="shared" si="370"/>
        <v>12.885252229999999</v>
      </c>
      <c r="MO121" s="189">
        <f t="shared" si="432"/>
        <v>9.151639360623971</v>
      </c>
      <c r="MP121" s="189">
        <f t="shared" si="433"/>
        <v>30.757879119999998</v>
      </c>
      <c r="MQ121" s="189">
        <f t="shared" si="554"/>
        <v>30.757879119999998</v>
      </c>
      <c r="MR121" s="246">
        <f t="shared" si="434"/>
        <v>30.757879119999998</v>
      </c>
      <c r="MS121" s="380">
        <f t="shared" si="371"/>
        <v>30.933879119999997</v>
      </c>
      <c r="MT121" s="380">
        <f t="shared" si="372"/>
        <v>31.093879119999997</v>
      </c>
      <c r="MU121" s="380">
        <f t="shared" si="373"/>
        <v>32.43387912</v>
      </c>
      <c r="MV121" s="380">
        <f t="shared" si="374"/>
        <v>35.133879119999996</v>
      </c>
      <c r="MW121" s="380">
        <f t="shared" si="375"/>
        <v>35.29387912</v>
      </c>
      <c r="MX121" s="254">
        <f t="shared" si="376"/>
        <v>11.285252229999999</v>
      </c>
      <c r="MY121" s="254">
        <f t="shared" si="377"/>
        <v>7.9516393606239699</v>
      </c>
      <c r="MZ121" s="189">
        <f t="shared" si="378"/>
        <v>13.48525223</v>
      </c>
      <c r="NA121" s="189">
        <f t="shared" si="379"/>
        <v>10.151639360623971</v>
      </c>
      <c r="NB121" s="189">
        <f t="shared" si="435"/>
        <v>32.809879119999998</v>
      </c>
      <c r="NC121" s="254">
        <f t="shared" si="555"/>
        <v>32.809879119999998</v>
      </c>
      <c r="ND121" s="246">
        <f t="shared" si="436"/>
        <v>32.809879119999998</v>
      </c>
      <c r="NE121" s="386">
        <f t="shared" si="437"/>
        <v>33.04987912</v>
      </c>
      <c r="NF121" s="380">
        <f t="shared" si="380"/>
        <v>33.209879119999997</v>
      </c>
      <c r="NG121" s="387">
        <f t="shared" si="381"/>
        <v>34.54987912</v>
      </c>
      <c r="NH121" s="254">
        <f t="shared" si="382"/>
        <v>37.249879120000003</v>
      </c>
      <c r="NI121" s="380">
        <f t="shared" si="383"/>
        <v>37.409879119999999</v>
      </c>
      <c r="NK121" s="388">
        <f t="shared" si="384"/>
        <v>3.1517978723767279</v>
      </c>
      <c r="NL121" s="388">
        <f t="shared" si="385"/>
        <v>158.82847520901191</v>
      </c>
      <c r="NM121" s="388">
        <f t="shared" si="386"/>
        <v>3.1517978723767279</v>
      </c>
      <c r="NN121" s="388">
        <f t="shared" si="387"/>
        <v>159.14723912846065</v>
      </c>
      <c r="NO121" s="388">
        <f t="shared" si="388"/>
        <v>4.2614772539124548</v>
      </c>
      <c r="NP121" s="388">
        <f t="shared" si="389"/>
        <v>161.95091037997182</v>
      </c>
      <c r="NQ121" s="388">
        <f t="shared" si="390"/>
        <v>4.2614772539124548</v>
      </c>
      <c r="NR121" s="388">
        <f t="shared" si="391"/>
        <v>162.29009286579915</v>
      </c>
      <c r="NS121" s="388">
        <f t="shared" si="392"/>
        <v>3.1951190904814535</v>
      </c>
      <c r="NT121" s="388">
        <f t="shared" si="393"/>
        <v>3.1951190904814535</v>
      </c>
      <c r="NU121" s="388">
        <f t="shared" si="394"/>
        <v>4.3077541712109149</v>
      </c>
      <c r="NV121" s="388">
        <f t="shared" si="395"/>
        <v>4.3077541712109149</v>
      </c>
      <c r="NW121">
        <f t="shared" si="396"/>
        <v>3.7326683677934107</v>
      </c>
      <c r="NX121">
        <f>各项系数!$M$9*NK121</f>
        <v>0.94553936171301833</v>
      </c>
      <c r="NY121">
        <f t="shared" si="397"/>
        <v>3.1951190904814535</v>
      </c>
    </row>
    <row r="122" spans="1:389" ht="15" hidden="1" customHeight="1">
      <c r="A122" s="69"/>
      <c r="B122" s="70"/>
      <c r="C122" s="71"/>
      <c r="D122" s="53" t="s">
        <v>406</v>
      </c>
      <c r="E122" s="399">
        <f t="shared" si="503"/>
        <v>40.658505890000001</v>
      </c>
      <c r="F122" s="68">
        <f>$F$26</f>
        <v>245.088056587712</v>
      </c>
      <c r="G122" s="58"/>
      <c r="H122" s="16"/>
      <c r="I122" s="145">
        <f>$F$24</f>
        <v>238.573455311777</v>
      </c>
      <c r="J122" s="62"/>
      <c r="K122" s="16"/>
      <c r="L122" s="97" t="s">
        <v>467</v>
      </c>
      <c r="M122" s="103">
        <f t="shared" si="339"/>
        <v>1.1000000000000001</v>
      </c>
      <c r="N122" s="103">
        <f t="shared" si="501"/>
        <v>1</v>
      </c>
      <c r="O122" s="53">
        <f t="shared" si="556"/>
        <v>0.08</v>
      </c>
      <c r="P122" s="99">
        <v>0.1</v>
      </c>
      <c r="Q122" s="133">
        <f t="shared" si="512"/>
        <v>0.1</v>
      </c>
      <c r="R122" s="70">
        <v>0.8</v>
      </c>
      <c r="S122" s="142" t="str">
        <f>各项系数!$D$43</f>
        <v>钢带</v>
      </c>
      <c r="T122" s="102">
        <v>0.5</v>
      </c>
      <c r="U122" s="102">
        <v>2</v>
      </c>
      <c r="V122" s="140"/>
      <c r="W122" s="141">
        <v>2.2999999999999998</v>
      </c>
      <c r="X122" s="135">
        <f t="shared" si="513"/>
        <v>0.2</v>
      </c>
      <c r="Y122" s="135"/>
      <c r="Z122" s="168"/>
      <c r="AA122" s="153">
        <f>$AA$26</f>
        <v>1.0129999999999999</v>
      </c>
      <c r="AB122" s="153">
        <f>PI()*EJ122*EJ122/4*EH122*(1-H122)*AA122*各项系数!$F$5*各项系数!$J$4*10^-7</f>
        <v>0.80319697770872212</v>
      </c>
      <c r="AC122" s="153">
        <f t="shared" si="504"/>
        <v>245.088056587712</v>
      </c>
      <c r="AD122" s="153">
        <f t="shared" si="341"/>
        <v>90.802378338116014</v>
      </c>
      <c r="AE122" s="153">
        <f>POWER(4*EU122/PI()/EG122/10^-7/EH122/(1-H122)/各项系数!$F$5/各项系数!$J$4,0.5)</f>
        <v>246.67598485301878</v>
      </c>
      <c r="AF122" s="69">
        <f>$AA$24</f>
        <v>1.0109999999999999</v>
      </c>
      <c r="AG122" s="69">
        <f>IF(EM122=0,0,PI()*ER122*ER122/4*EP122*(1-K122)*(1+AF122)*各项系数!$F$5*各项系数!$J$4*10^-7)</f>
        <v>0.7951902287809961</v>
      </c>
      <c r="AH122" s="69">
        <f t="shared" si="505"/>
        <v>238.573455311777</v>
      </c>
      <c r="AI122" s="69">
        <f t="shared" si="398"/>
        <v>45.194467959085458</v>
      </c>
      <c r="AJ122" s="69">
        <f>IF(OR(EP122="",EP122=0),0,POWER(4*EW122/PI()/EO122/10^-7/EP122/(1-K122)/各项系数!$F$5/各项系数!$J$4,0.5))</f>
        <v>239.88202060340802</v>
      </c>
      <c r="AK122" s="69">
        <f t="shared" si="342"/>
        <v>3.2091307852371425</v>
      </c>
      <c r="AL122" s="69">
        <f t="shared" si="506"/>
        <v>224.63899535263209</v>
      </c>
      <c r="AM122" s="188">
        <f t="shared" si="507"/>
        <v>95</v>
      </c>
      <c r="AN122" s="97" t="s">
        <v>486</v>
      </c>
      <c r="AO122" s="196">
        <f>AP122+各项系数!$M$9*$NK122</f>
        <v>220.23430916924715</v>
      </c>
      <c r="AP122" s="196">
        <f>AQ122*(1+$BI122+(VLOOKUP($AM122,$A$12:$B$323,2,0))+各项系数!$J$6+各项系数!$M$5)*(1+$E$2)</f>
        <v>218.94712645418144</v>
      </c>
      <c r="AQ122" s="197">
        <f>AR122+各项系数!$L$9*$NK122</f>
        <v>223.41543515732801</v>
      </c>
      <c r="AR122" s="197">
        <f>AS122*(1+$BJ122+各项系数!$J$5+各项系数!$L$5)</f>
        <v>222.12825244226229</v>
      </c>
      <c r="AS122" s="197">
        <f t="shared" si="399"/>
        <v>217.77279651202184</v>
      </c>
      <c r="AT122" s="196">
        <f>AU122+各项系数!$M$9*$NM122</f>
        <v>222.97722069998724</v>
      </c>
      <c r="AU122" s="196">
        <f>AV122*(1+$BI122+(VLOOKUP($AM122,$A$12:$B$323,2,0))+各项系数!$J$6+各项系数!$M$5)*(1+$E$2)</f>
        <v>221.69003798492153</v>
      </c>
      <c r="AV122" s="197">
        <f>AW122+各项系数!$L$9*$NM122</f>
        <v>226.21432447440972</v>
      </c>
      <c r="AW122" s="197">
        <f>AX122*(1+$BJ122+各项系数!$J$5+各项系数!$L$5)</f>
        <v>224.92714175934401</v>
      </c>
      <c r="AX122" s="197">
        <f t="shared" si="400"/>
        <v>220.51680564641569</v>
      </c>
      <c r="AY122" s="196">
        <f>AZ122+各项系数!$M$9*$NS122</f>
        <v>223.68719808913104</v>
      </c>
      <c r="AZ122" s="196">
        <f>BA122*(1+$BI122+(VLOOKUP($AM122,$A$12:$B$214,2,0))+各项系数!$J$6+各项系数!$M$5)*(1+$E$2)</f>
        <v>222.38487153388738</v>
      </c>
      <c r="BA122" s="197">
        <f>BB122+各项系数!$L$9*$NS122</f>
        <v>226.92333829988507</v>
      </c>
      <c r="BB122" s="197">
        <f>BC122*(1+$BJ122+各项系数!$J$5+各项系数!$L$5)</f>
        <v>225.62101174464141</v>
      </c>
      <c r="BC122" s="199">
        <f t="shared" si="401"/>
        <v>221.19707033788373</v>
      </c>
      <c r="BD122" s="196">
        <f>BE122+各项系数!$M$9*$NS122</f>
        <v>226.44155078095744</v>
      </c>
      <c r="BE122" s="196">
        <f>BF122*(1+$BI122+(VLOOKUP($AM122,$A$12:$B$214,2,0))+各项系数!$J$6+各项系数!$M$5)*(1+$E$2)</f>
        <v>225.13922422571378</v>
      </c>
      <c r="BF122" s="197">
        <f>BG122+各项系数!$L$9*$NS122</f>
        <v>229.73390227113651</v>
      </c>
      <c r="BG122" s="197">
        <f>BH122*(1+$BJ122+各项系数!$J$5+各项系数!$L$5)</f>
        <v>228.43157571589285</v>
      </c>
      <c r="BH122" s="199">
        <f t="shared" si="402"/>
        <v>223.95252521165966</v>
      </c>
      <c r="BI122" s="213"/>
      <c r="BJ122" s="208"/>
      <c r="BK122" s="53" t="s">
        <v>514</v>
      </c>
      <c r="BL122" s="196">
        <f>BM122+各项系数!$M$9*$NM122</f>
        <v>222.77768962489191</v>
      </c>
      <c r="BM122" s="196">
        <f>BN122*(1+$CF122+(VLOOKUP($AM122,$A$12:$B$323,2,0))+各项系数!$J$6+各项系数!$M$5)*(1+$E$2)</f>
        <v>221.49050690982619</v>
      </c>
      <c r="BN122" s="197">
        <f>BO122+各项系数!$L$9*$NM122</f>
        <v>226.01072133655734</v>
      </c>
      <c r="BO122" s="197">
        <f>BP122*(1+$CG122+各项系数!$J$5+各项系数!$L$5)</f>
        <v>224.72353862149163</v>
      </c>
      <c r="BP122" s="197">
        <f t="shared" si="403"/>
        <v>218.17819283639963</v>
      </c>
      <c r="BQ122" s="196">
        <f>BR122+各项系数!$M$9*$NM122</f>
        <v>225.1382853953221</v>
      </c>
      <c r="BR122" s="196">
        <f>BS122*(1+$CF122+(VLOOKUP($AM122,$A$12:$B$323,2,0))+各项系数!$J$6+各项系数!$M$5)*(1+$E$2)</f>
        <v>223.85110268025639</v>
      </c>
      <c r="BS122" s="197">
        <f>BT122+各项系数!$L$9*$NM122</f>
        <v>228.41949253087387</v>
      </c>
      <c r="BT122" s="197">
        <f>BU122*(1+$CG122+各项系数!$J$5+各项系数!$L$5)</f>
        <v>227.13230981580816</v>
      </c>
      <c r="BU122" s="197">
        <f t="shared" si="404"/>
        <v>220.51680564641569</v>
      </c>
      <c r="BV122" s="196">
        <f>BW122+各项系数!$M$9*$NT122</f>
        <v>224.99766141300307</v>
      </c>
      <c r="BW122" s="196">
        <f>BX122*(1+$CF122+(VLOOKUP($AM122,$A$12:$B$214,2,0))+各项系数!$J$6+各项系数!$M$5)*(1+$E$2)</f>
        <v>223.69533485775941</v>
      </c>
      <c r="BX122" s="197">
        <f>BY122+各项系数!$L$9*$NT$12</f>
        <v>228.2605457732239</v>
      </c>
      <c r="BY122" s="197">
        <f>BZ122*(1+$CG122+各项系数!$J$5+各项系数!$L$5)</f>
        <v>228.25228237006891</v>
      </c>
      <c r="BZ122" s="199">
        <f t="shared" si="343"/>
        <v>221.6041576408436</v>
      </c>
      <c r="CA122" s="196">
        <f>CB122+各项系数!$M$9*$NT122</f>
        <v>227.36810363898482</v>
      </c>
      <c r="CB122" s="196">
        <f>CC122*(1+$CF122+(VLOOKUP($AM122,$A$12:$B$214,2,0))+各项系数!$J$6+各项系数!$M$5)*(1+$E$2)</f>
        <v>226.06577708374115</v>
      </c>
      <c r="CC122" s="197">
        <f>CD122+各项系数!$L$9*$NT$12</f>
        <v>230.67936437116444</v>
      </c>
      <c r="CD122" s="197">
        <f>CE122*(1+$CG122+各项系数!$J$5+各项系数!$L$5)</f>
        <v>230.67110096800945</v>
      </c>
      <c r="CE122" s="199">
        <f t="shared" si="405"/>
        <v>223.95252521165966</v>
      </c>
      <c r="CF122" s="213">
        <f t="shared" si="514"/>
        <v>0</v>
      </c>
      <c r="CG122" s="213">
        <f t="shared" si="344"/>
        <v>0.01</v>
      </c>
      <c r="CH122" s="102"/>
      <c r="CI122" s="196">
        <f>CJ122+各项系数!$M$9*$NO122</f>
        <v>225.89867839678342</v>
      </c>
      <c r="CJ122" s="196">
        <f>CK122*(1+$DC122+(VLOOKUP($AM122,$A$12:$B$323,2,0))+各项系数!$J$6+各项系数!$M$5)*(1+$E$2)+各项系数!$M$9*$NK122</f>
        <v>224.18181499962606</v>
      </c>
      <c r="CK122" s="197">
        <f>CL122+各项系数!$L$9*$NO122</f>
        <v>227.44350233118402</v>
      </c>
      <c r="CL122" s="197">
        <f>CM122*(1+$DD122+各项系数!$J$5+各项系数!$L$5)</f>
        <v>225.72663893402665</v>
      </c>
      <c r="CM122" s="197">
        <f t="shared" si="345"/>
        <v>221.30062640590847</v>
      </c>
      <c r="CN122" s="196">
        <f>CO122+各项系数!$M$9*$NO122</f>
        <v>228.44086654238455</v>
      </c>
      <c r="CO122" s="196">
        <f>CP122*(1+$DC122+(VLOOKUP($AM122,$A$12:$B$323,2,0))+各项系数!$J$6+各项系数!$M$5)*(1+$E$2)+各项系数!$M$9*$NK122</f>
        <v>226.72400314522719</v>
      </c>
      <c r="CP122" s="197">
        <f>CQ122+各项系数!$L$9*$NO122</f>
        <v>230.0375718675117</v>
      </c>
      <c r="CQ122" s="197">
        <f>CR122*(1+$DD122+各项系数!$J$5+各项系数!$L$5)</f>
        <v>228.32070847035433</v>
      </c>
      <c r="CR122" s="197">
        <f t="shared" si="346"/>
        <v>223.84383183368072</v>
      </c>
      <c r="CS122" s="196">
        <f>CT122+各项系数!$M$9*$NU122</f>
        <v>228.24503327661964</v>
      </c>
      <c r="CT122" s="196">
        <f t="shared" si="347"/>
        <v>226.51222984432189</v>
      </c>
      <c r="CU122" s="197">
        <f>CV122+各项系数!$L$9*$NU122</f>
        <v>231.13492841257337</v>
      </c>
      <c r="CV122" s="197">
        <f>CW122*(1+$DD122+各项系数!$J$5+各项系数!$L$5)</f>
        <v>229.40212498027563</v>
      </c>
      <c r="CW122" s="199">
        <f t="shared" si="348"/>
        <v>224.90404409830944</v>
      </c>
      <c r="CX122" s="196">
        <f>CY122+各项系数!$M$9*$NU122</f>
        <v>231.13524975634624</v>
      </c>
      <c r="CY122" s="196">
        <f t="shared" si="349"/>
        <v>229.4024463240485</v>
      </c>
      <c r="CZ122" s="197">
        <f>DA122+各项系数!$L$9*$NU122</f>
        <v>234.0841289020903</v>
      </c>
      <c r="DA122" s="197">
        <f>DB122*(1+$DD122+各项系数!$J$5+各项系数!$L$5)</f>
        <v>232.35132546979256</v>
      </c>
      <c r="DB122" s="199">
        <f t="shared" si="350"/>
        <v>227.79541712724759</v>
      </c>
      <c r="DC122" s="213">
        <f t="shared" si="498"/>
        <v>0</v>
      </c>
      <c r="DD122" s="213">
        <f t="shared" si="351"/>
        <v>0</v>
      </c>
      <c r="DE122" s="53" t="s">
        <v>498</v>
      </c>
      <c r="DF122" s="53" t="s">
        <v>513</v>
      </c>
      <c r="DG122" s="196">
        <f>DH122+各项系数!$M$9*$NQ122</f>
        <v>228.49690071153461</v>
      </c>
      <c r="DH122" s="196">
        <f>DI122*(1+$EA122+(VLOOKUP($AM122,$A$12:$B$323,2,0))+各项系数!$J$6+各项系数!$M$5)*(1+$E$2)+各项系数!$M$9*$NK122</f>
        <v>226.78003731437724</v>
      </c>
      <c r="DI122" s="197">
        <f>DJ122+各项系数!$L$9*$NQ122</f>
        <v>230.09474959113422</v>
      </c>
      <c r="DJ122" s="197">
        <f>DK122*(1+$EB122+各项系数!$J$5+各项系数!$L$5)</f>
        <v>228.37788619397685</v>
      </c>
      <c r="DK122" s="197">
        <f t="shared" si="352"/>
        <v>221.72610310094839</v>
      </c>
      <c r="DL122" s="196">
        <f>DM122+各项系数!$M$9*$NQ122</f>
        <v>230.97442314163919</v>
      </c>
      <c r="DM122" s="196">
        <f>DN122*(1+$EA122+(VLOOKUP($AM122,$A$12:$B$323,2,0))+各项系数!$J$6+各项系数!$M$5)*(1+$E$2)+各项系数!$M$9*$NK122</f>
        <v>229.25755974448182</v>
      </c>
      <c r="DN122" s="197">
        <f>DO122+各项系数!$L$9*$NQ122</f>
        <v>232.62283370348584</v>
      </c>
      <c r="DO122" s="197">
        <f>DP122*(1+$EB122+各项系数!$J$5+各项系数!$L$5)</f>
        <v>230.90597030632847</v>
      </c>
      <c r="DP122" s="197">
        <f t="shared" si="353"/>
        <v>224.18055369546454</v>
      </c>
      <c r="DQ122" s="196">
        <f>DR122+各项系数!$M$9*$NV122</f>
        <v>230.88027595853714</v>
      </c>
      <c r="DR122" s="196">
        <f t="shared" si="354"/>
        <v>229.1474725262394</v>
      </c>
      <c r="DS122" s="197">
        <f>DT122+各项系数!$L$9*$NV122</f>
        <v>233.82395155738715</v>
      </c>
      <c r="DT122" s="197">
        <f>DU122*(1+$EB122+各项系数!$J$5+各项系数!$L$5)</f>
        <v>232.0911481250894</v>
      </c>
      <c r="DU122" s="199">
        <f t="shared" si="355"/>
        <v>225.33121177193146</v>
      </c>
      <c r="DV122" s="196">
        <f>DW122+各项系数!$M$9*$NV122</f>
        <v>230.65056089625025</v>
      </c>
      <c r="DW122" s="196">
        <f t="shared" si="356"/>
        <v>228.91775746395251</v>
      </c>
      <c r="DX122" s="197">
        <f>DY122+各项系数!$L$9*$NV122</f>
        <v>233.5895484326046</v>
      </c>
      <c r="DY122" s="197">
        <f>DZ122*(1+$EB122+各项系数!$J$5+各项系数!$L$5)</f>
        <v>231.85674500030686</v>
      </c>
      <c r="DZ122" s="199">
        <f t="shared" si="357"/>
        <v>225.103635922628</v>
      </c>
      <c r="EA122" s="213">
        <f t="shared" si="511"/>
        <v>0</v>
      </c>
      <c r="EB122" s="213">
        <f t="shared" si="358"/>
        <v>0.01</v>
      </c>
      <c r="EC122" s="235" t="str">
        <f t="shared" si="408"/>
        <v>3+2</v>
      </c>
      <c r="ED122" s="235" t="str">
        <f t="shared" si="494"/>
        <v>3*95</v>
      </c>
      <c r="EE122" s="189">
        <f t="shared" si="495"/>
        <v>95</v>
      </c>
      <c r="EF122" s="189" t="str">
        <f>LOOKUP(EH122,{1,7,10,14,19,24,30,37,48,61},{1,"1+6","2+8","4+10","1+6+12","2+8+14","4+10+16","1+6+12+18","3+9+15+21","1+6+12+18+24"})</f>
        <v>1+6+12</v>
      </c>
      <c r="EG122" s="188">
        <f t="shared" si="359"/>
        <v>3</v>
      </c>
      <c r="EH122" s="197">
        <f>VLOOKUP(EE122,各项系数!$B$87:$C$124,2,0)</f>
        <v>19</v>
      </c>
      <c r="EI122" s="188">
        <f>IF(EH122=0,0,VLOOKUP(EH122,各项系数!$D$142:$E$195,2,0))*1</f>
        <v>5</v>
      </c>
      <c r="EJ122" s="238">
        <f t="shared" si="409"/>
        <v>245.088056587712</v>
      </c>
      <c r="EK122" s="189" t="str">
        <f t="shared" si="508"/>
        <v>2*50</v>
      </c>
      <c r="EL122" s="189" t="str">
        <f t="shared" si="360"/>
        <v>50</v>
      </c>
      <c r="EM122" s="189">
        <f t="shared" si="496"/>
        <v>50</v>
      </c>
      <c r="EN122" s="189" t="str">
        <f>IF(EP122=0,0,LOOKUP(EP122,{1,7,10,14,19,24,30,37,48,61},{1,"1+6","2+8","4+10","1+6+12","2+8+14","4+10+16","1+6+12+18","3+9+15+21","1+6+12+18+24"}))</f>
        <v>2+8</v>
      </c>
      <c r="EO122" s="189" t="str">
        <f t="shared" si="509"/>
        <v>2</v>
      </c>
      <c r="EP122" s="189">
        <f>IF(EM122=0,0,IF(EM122&lt;10,1,IF(AND(EM122&gt;=10,EM122&lt;=35),7,LOOKUP(EM122,{50,70,95,120,150,185,240,300},{10,14,19,24,30,37,48,61})*1)))</f>
        <v>10</v>
      </c>
      <c r="EQ122" s="189">
        <f>IF(EP122=0,0,VLOOKUP(EP122,各项系数!$D$142:$E$195,2,0))*1</f>
        <v>4</v>
      </c>
      <c r="ER122" s="189">
        <f t="shared" si="510"/>
        <v>238.573455311777</v>
      </c>
      <c r="ES122" s="235">
        <f t="shared" si="497"/>
        <v>5</v>
      </c>
      <c r="ET122" s="189">
        <f>VLOOKUP(ES122,各项系数!$D$142:$E$195,2,0)*1</f>
        <v>2.7</v>
      </c>
      <c r="EU122" s="243">
        <f>((各项系数!$F$76/4*$EJ122^2*$EG122*$EH122*1*10^-7)*(1-$H122)*AA122)*(VLOOKUP($EY$9,各项系数!$D$4:$F$143,3,0))*各项系数!$J$4</f>
        <v>2.4095909331261662</v>
      </c>
      <c r="EV122" s="244">
        <f>EU122*(VLOOKUP($EY$9,各项系数!$D$4:$F$143,2,0))</f>
        <v>157.82820611976388</v>
      </c>
      <c r="EW122" s="252">
        <f>(IF($EO122=0,0,(各项系数!$F$76/4*$ER122^2*$EO122*$EP122*1*10^-7))*(1-$K122)*$AF122)*(VLOOKUP($EY$9,各项系数!$D$4:$F$143,3,0))*各项系数!$J$4</f>
        <v>0.79953985211097656</v>
      </c>
      <c r="EX122" s="253">
        <f>EW122*(VLOOKUP($EY$9,各项系数!$D$4:$F$143,2,0))</f>
        <v>52.369860313268966</v>
      </c>
      <c r="EY122" s="189">
        <f>((各项系数!$F$76/4*$EJ122^2*$EG122*$EH122*1*10^-7)*(1-$H122)*AA122+IF($EO122=0,0,(各项系数!$F$76/4*$ER122^2*$EO122*$EP122*1*10^-7))*(1-$K122)*$AF122)*(VLOOKUP($EY$9,各项系数!$D$4:$F$143,3,0))*各项系数!$J$4</f>
        <v>3.2091307852371425</v>
      </c>
      <c r="EZ122" s="102">
        <v>1</v>
      </c>
      <c r="FA122" s="189">
        <f t="shared" si="515"/>
        <v>3.2091307852371425</v>
      </c>
      <c r="FB122" s="254">
        <f>FA122*(VLOOKUP($EY$9,各项系数!$D$4:$F$143,2,0))</f>
        <v>210.19806643303284</v>
      </c>
      <c r="FC122" s="255"/>
      <c r="FD122" s="235">
        <f>各项系数!$F$76/4*($MN122^2-MK122^2)*10^-2*(VLOOKUP(L122,各项系数!$D$1:$F$143,3,0))*10^-3*10^2*$EG122*各项系数!$J$4</f>
        <v>0.15153189400445569</v>
      </c>
      <c r="FE122" s="262">
        <f>FD122*VLOOKUP(L122,各项系数!$D$1:$F$143,2,0)</f>
        <v>1.5456253188454478</v>
      </c>
      <c r="FF122" s="188">
        <f>各项系数!$F$76/4*($MO122^2-ML122^2)*10^-2*(VLOOKUP(L122,各项系数!$D$1:$F$143,3,0))*10^-3*10^2*$EO122*各项系数!$J$4</f>
        <v>7.250322013258273E-2</v>
      </c>
      <c r="FG122" s="262">
        <f>FF122*VLOOKUP(L122,各项系数!$D$1:$F$143,2,0)</f>
        <v>0.73953284535234376</v>
      </c>
      <c r="FH122" s="235">
        <f t="shared" si="410"/>
        <v>0.22403511413703842</v>
      </c>
      <c r="FI122" s="102">
        <v>1</v>
      </c>
      <c r="FJ122" s="189">
        <f t="shared" si="516"/>
        <v>0.22403511413703842</v>
      </c>
      <c r="FK122" s="262">
        <f>FJ122*VLOOKUP(L122,各项系数!$D$1:$F$143,2,0)</f>
        <v>2.2851581641977918</v>
      </c>
      <c r="FL122" s="235"/>
      <c r="FM122" s="102"/>
      <c r="FN122" s="189"/>
      <c r="FO122" s="262"/>
      <c r="FP122" s="282">
        <f t="shared" si="517"/>
        <v>0.22403511413703842</v>
      </c>
      <c r="FQ122" s="282">
        <f t="shared" si="518"/>
        <v>2.2851581641977918</v>
      </c>
      <c r="FR122" s="283">
        <f>各项系数!$F$76/4*($MQ122^2-$MN122^2*$EG122-$MO122^2*$EO122)*10^-2</f>
        <v>3.0967157764423034</v>
      </c>
      <c r="FS122" s="284">
        <f t="shared" si="411"/>
        <v>1</v>
      </c>
      <c r="FT122" s="285">
        <f t="shared" si="361"/>
        <v>3.0967157764423034</v>
      </c>
      <c r="FU122" s="302">
        <f>$FT122*(VLOOKUP($FT$9,各项系数!$D$1:$F$143,3,0))*10^-3*10^2*各项系数!$J$55</f>
        <v>0.36974786370721102</v>
      </c>
      <c r="FV122" s="303">
        <v>1</v>
      </c>
      <c r="FW122" s="304">
        <f t="shared" si="519"/>
        <v>0.36974786370721102</v>
      </c>
      <c r="FX122" s="285">
        <f>FW122*(VLOOKUP($FT$9,各项系数!$D$1:$F$143,2,0))</f>
        <v>1.1092435911216332</v>
      </c>
      <c r="FY122" s="302">
        <f>IF($BK122&lt;&gt;$FY$9,0,各项系数!$F$76/4*($MS122^2-$MQ122^2)*10^-2*(VLOOKUP($FY$9,各项系数!$D$1:$F$143,3,0))*10^-3*10^2)*各项系数!$J$4</f>
        <v>0</v>
      </c>
      <c r="FZ122" s="303">
        <v>1</v>
      </c>
      <c r="GA122" s="304">
        <f t="shared" si="520"/>
        <v>0</v>
      </c>
      <c r="GB122" s="285">
        <f>GA122*(VLOOKUP($FY$9,各项系数!$D$1:$F$143,2,0))</f>
        <v>0</v>
      </c>
      <c r="GC122" s="302">
        <f>IF($BK122&lt;&gt;$GC$9,0,各项系数!$F$76/4*($MS122^2-$MQ122^2)*10^-2*(VLOOKUP($GC$9,各项系数!$D$1:$F$143,3,0))*10^-3*10^2)*各项系数!$J$4</f>
        <v>9.7957426272672551E-3</v>
      </c>
      <c r="GD122" s="303">
        <v>1</v>
      </c>
      <c r="GE122" s="304">
        <f t="shared" si="521"/>
        <v>9.7957426272672551E-3</v>
      </c>
      <c r="GF122" s="285">
        <f>GE122*(VLOOKUP($GC$9,各项系数!$D$1:$F$143,2,0))</f>
        <v>0.12636507989174758</v>
      </c>
      <c r="GG122" s="302">
        <f>IF($BK122&lt;&gt;$GG$9,0,各项系数!$F$76/4*($MS122^2-$MQ122^2)*10^-2*(VLOOKUP($GG$9,各项系数!$D$1:$F$143,3,0))*10^-3*10^2)*各项系数!$J$4</f>
        <v>0</v>
      </c>
      <c r="GH122" s="303">
        <v>1</v>
      </c>
      <c r="GI122" s="304">
        <f t="shared" si="522"/>
        <v>0</v>
      </c>
      <c r="GJ122" s="285">
        <f>GI122*(VLOOKUP($GG$9,各项系数!$D$1:$F$143,2,0))</f>
        <v>0</v>
      </c>
      <c r="GK122" s="302">
        <f>IF($BK122&lt;&gt;$GK$9,0,各项系数!$F$76/4*($MS122^2-$MQ122^2)*10^-2*(VLOOKUP($GK$9,各项系数!$D$1:$F$143,3,0))*10^-3*10^2)*各项系数!$J$4</f>
        <v>0</v>
      </c>
      <c r="GL122" s="303">
        <v>1</v>
      </c>
      <c r="GM122" s="304">
        <f t="shared" si="523"/>
        <v>0</v>
      </c>
      <c r="GN122" s="285">
        <f>GM122*(VLOOKUP($GK$9,各项系数!$D$1:$F$143,2,0))</f>
        <v>0</v>
      </c>
      <c r="GO122" s="304">
        <f t="shared" si="524"/>
        <v>9.7957426272672551E-3</v>
      </c>
      <c r="GP122" s="304">
        <f t="shared" si="525"/>
        <v>0.12636507989174758</v>
      </c>
      <c r="GQ122" s="315">
        <f>各项系数!$F$76/4*($MU122^2-$MS122^2)*10^-2*(VLOOKUP($S122,各项系数!$D$1:$F$143,3,0))*10^-3*10^2*各项系数!$J$4</f>
        <v>0.67482188563128687</v>
      </c>
      <c r="GR122" s="303">
        <v>1</v>
      </c>
      <c r="GS122" s="304">
        <f t="shared" si="526"/>
        <v>0.67482188563128687</v>
      </c>
      <c r="GT122" s="304">
        <f t="shared" si="457"/>
        <v>0</v>
      </c>
      <c r="GU122" s="304">
        <f>ROUND($GS122*(VLOOKUP($S122,各项系数!$D$1:$F$143,2,0))+$E$3*GS122,GT122)</f>
        <v>4</v>
      </c>
      <c r="GV122" s="315">
        <f>各项系数!$F$76/4*($MT122^2-$MS122^2)*10^-2*(VLOOKUP($GV$9,各项系数!$D$1:$F$143,3,0))*10^-3*10^2*各项系数!$J$4*PI()/4*R122</f>
        <v>5.0479467259868405E-2</v>
      </c>
      <c r="GW122" s="303">
        <v>1</v>
      </c>
      <c r="GX122" s="304">
        <f t="shared" si="527"/>
        <v>5.0479467259868405E-2</v>
      </c>
      <c r="GY122" s="304">
        <f>$GX122*(VLOOKUP($GV$9,各项系数!$D$1:$F$143,2,0))</f>
        <v>3.4073640400411174</v>
      </c>
      <c r="GZ122" s="315">
        <f>各项系数!$F$76/4*($MV122^2-$MS122^2)*10^-2*(VLOOKUP($GZ$9,各项系数!$D$1:$F$143,3,0))*10^-3*10^2*各项系数!$J$4</f>
        <v>0.39988072812774655</v>
      </c>
      <c r="HA122" s="303">
        <v>1</v>
      </c>
      <c r="HB122" s="304">
        <f t="shared" si="412"/>
        <v>0.39988072812774655</v>
      </c>
      <c r="HC122" s="304">
        <f>HB122*(VLOOKUP($GZ$9,各项系数!$D$1:$F$143,2,0))</f>
        <v>6.797972378171691</v>
      </c>
      <c r="HD122" s="315">
        <f>各项系数!$F$76/4*($MW122^2-$MT122^2)*10^-2*(VLOOKUP($HD$9,各项系数!$D$1:$F$143,3,0))*10^-3*10^2*各项系数!$J$4</f>
        <v>0.4015487001985022</v>
      </c>
      <c r="HE122" s="303">
        <v>1</v>
      </c>
      <c r="HF122" s="304">
        <f t="shared" si="413"/>
        <v>0.4015487001985022</v>
      </c>
      <c r="HG122" s="304">
        <f>HF122*(VLOOKUP($HD$9,各项系数!$D$1:$F$143,2,0))</f>
        <v>6.826327903374537</v>
      </c>
      <c r="HH122" s="315">
        <f>各项系数!$F$76/4*($MV122^2-$MS122^2)*10^-2*(VLOOKUP($HH$9,各项系数!$D$1:$F$143,3,0))*10^-3*10^2*各项系数!$J$4</f>
        <v>0.39988072812774655</v>
      </c>
      <c r="HI122" s="322">
        <v>1</v>
      </c>
      <c r="HJ122" s="304">
        <f t="shared" si="414"/>
        <v>0.39988072812774655</v>
      </c>
      <c r="HK122" s="304">
        <f>HJ122*(VLOOKUP($HH$9,各项系数!$D$1:$F$143,2,0))</f>
        <v>6.797972378171691</v>
      </c>
      <c r="HL122" s="315">
        <f>各项系数!$F$76/4*($MW122^2-$MT122^2)*10^-2*(VLOOKUP($HL$9,各项系数!$D$1:$F$143,3,0))*10^-3*10^2*各项系数!$J$4</f>
        <v>0.4015487001985022</v>
      </c>
      <c r="HM122" s="322">
        <v>1</v>
      </c>
      <c r="HN122" s="304">
        <f t="shared" si="362"/>
        <v>0.4015487001985022</v>
      </c>
      <c r="HO122" s="304">
        <f>HN122*(VLOOKUP($HL$9,各项系数!$D$1:$F$143,2,0))</f>
        <v>6.826327903374537</v>
      </c>
      <c r="HP122" s="315">
        <f>各项系数!$F$76/4*($MV122^2-$MS122^2)*10^-2*(VLOOKUP(AN122,各项系数!$D$1:$F$143,3,0))*10^-3*10^2*各项系数!$J$4</f>
        <v>0.40539632437778439</v>
      </c>
      <c r="HQ122" s="303">
        <v>1</v>
      </c>
      <c r="HR122" s="304">
        <f t="shared" si="528"/>
        <v>0.40539632437778439</v>
      </c>
      <c r="HS122" s="304">
        <f>HR122*(VLOOKUP(AN122,各项系数!$D$1:$F$143,2,0))</f>
        <v>4.0539632437778437</v>
      </c>
      <c r="HT122" s="315">
        <f>各项系数!$F$76/4*($MW122^2-$MT122^2)*10^-2*(VLOOKUP(AN122,各项系数!$D$1:$F$143,3,0))*10^-3*10^2*各项系数!$J$4</f>
        <v>0.40708730295986084</v>
      </c>
      <c r="HU122" s="303">
        <v>1</v>
      </c>
      <c r="HV122" s="304">
        <f t="shared" si="529"/>
        <v>0.40708730295986084</v>
      </c>
      <c r="HW122" s="304">
        <f>HV122*(VLOOKUP(AN122,各项系数!$D$1:$F$143,2,0))</f>
        <v>4.0708730295986086</v>
      </c>
      <c r="HX122" s="315">
        <f>各项系数!$F$76/4*($MV122^2-$MS122^2)*10^-2*(VLOOKUP($HX$9,各项系数!$D$1:$F$143,3,0))*10^-3*10^2*各项系数!$J$4</f>
        <v>0.40539632437778439</v>
      </c>
      <c r="HY122" s="322">
        <v>1</v>
      </c>
      <c r="HZ122" s="304">
        <f t="shared" si="530"/>
        <v>0.40539632437778439</v>
      </c>
      <c r="IA122" s="304">
        <f>HZ122*(VLOOKUP($HX$9,各项系数!$D$1:$F$143,2,0))</f>
        <v>4.4593595681556284</v>
      </c>
      <c r="IB122" s="315">
        <f>各项系数!$F$76/4*($MW122^2-$MT122^2)*10^-2*(VLOOKUP($IB$9,各项系数!$D$1:$F$143,3,0))*10^-3*10^2*各项系数!$J$4</f>
        <v>0.40708730295986084</v>
      </c>
      <c r="IC122" s="322">
        <v>1</v>
      </c>
      <c r="ID122" s="304">
        <f t="shared" si="531"/>
        <v>0.40708730295986084</v>
      </c>
      <c r="IE122" s="304">
        <f>ID122*(VLOOKUP($IB$9,各项系数!$D$1:$F$143,2,0))</f>
        <v>4.4779603325584691</v>
      </c>
      <c r="IF122" s="328"/>
      <c r="IG122" s="315">
        <f t="shared" si="415"/>
        <v>8.0669982027493078E-2</v>
      </c>
      <c r="IH122" s="303">
        <v>1</v>
      </c>
      <c r="II122" s="304">
        <f t="shared" si="532"/>
        <v>8.0669982027493078E-2</v>
      </c>
      <c r="IJ122" s="304">
        <f>II122*(VLOOKUP($IG$8,各项系数!$D$1:$F$143,2,0))</f>
        <v>2.0167495506873268</v>
      </c>
      <c r="IK122" s="315">
        <f>(各项系数!$F$76/4*($MX122^2-$MK122^2)*$EG122)*10^-2*(VLOOKUP($IG$8,各项系数!$D$1:$F$143,3,0))*10^-3*10^2*各项系数!$J$4</f>
        <v>5.2978881147679666E-2</v>
      </c>
      <c r="IL122" s="303">
        <f>IK122*(VLOOKUP($IG$8,各项系数!$D$1:$F$143,2,0))</f>
        <v>1.3244720286919915</v>
      </c>
      <c r="IM122" s="304">
        <f>(各项系数!$F$76/4*(($MM122+3*$X122)^2-MM122^2)*$EO122)*10^-2*(VLOOKUP($IG$8,各项系数!$D$1:$F$143,3,0))*10^-3*10^2*各项系数!$J$4</f>
        <v>2.7691100879813409E-2</v>
      </c>
      <c r="IN122" s="303">
        <f>IM122*(VLOOKUP($IG$8,各项系数!$D$1:$F$143,2,0))</f>
        <v>0.69227752199533521</v>
      </c>
      <c r="IO122" s="315">
        <f>各项系数!$F$76/4*($MZ122^2-$MX122^2)*10^-2*(VLOOKUP(L122,各项系数!$D$1:$F$143,3,0))*10^-3*10^2*$ES122*各项系数!$J$4</f>
        <v>0.26390011809996089</v>
      </c>
      <c r="IP122" s="303">
        <v>1</v>
      </c>
      <c r="IQ122" s="304">
        <f t="shared" si="533"/>
        <v>0.26390011809996089</v>
      </c>
      <c r="IR122" s="285">
        <f>IQ122*(VLOOKUP(L122,各项系数!$D$1:$F$143,2,0))</f>
        <v>2.691781204619601</v>
      </c>
      <c r="IS122" s="315">
        <f>IF($L122&lt;&gt;$IS$9,0,各项系数!$F$76/4*($MZ122^2-$MX122^2)*10^-2*各项系数!$F$12*10^-3*10^2)*$ES122*各项系数!$J$4</f>
        <v>0</v>
      </c>
      <c r="IT122" s="303">
        <v>1</v>
      </c>
      <c r="IU122" s="304">
        <f t="shared" si="534"/>
        <v>0</v>
      </c>
      <c r="IV122" s="285">
        <f>IU122*各项系数!$E$12</f>
        <v>0</v>
      </c>
      <c r="IW122" s="302">
        <f t="shared" si="535"/>
        <v>0.26390011809996089</v>
      </c>
      <c r="IX122" s="302">
        <f t="shared" si="536"/>
        <v>2.691781204619601</v>
      </c>
      <c r="IY122" s="339">
        <f>各项系数!$F$76/4*($NB122^2-$MZ122^2*$EG122-$NA122^2*$EO122)*10^-2</f>
        <v>3.4407060748033538</v>
      </c>
      <c r="IZ122" s="284">
        <f t="shared" si="487"/>
        <v>1</v>
      </c>
      <c r="JA122" s="285">
        <f t="shared" si="363"/>
        <v>3.4407060748033538</v>
      </c>
      <c r="JB122" s="282">
        <f>IF($DE122&lt;&gt;$JB$9,0,$JA122*各项系数!$F$32*10^-3*10^2)*各项系数!$J$4</f>
        <v>0</v>
      </c>
      <c r="JC122" s="102">
        <v>1</v>
      </c>
      <c r="JD122" s="189">
        <f t="shared" si="537"/>
        <v>0</v>
      </c>
      <c r="JE122" s="262">
        <f>JD122*各项系数!$E$32</f>
        <v>0</v>
      </c>
      <c r="JF122" s="282">
        <f>IF($DE122&lt;&gt;$JF$9,0,$JA122*VLOOKUP($JF$9,各项系数!$D$4:$F$540,2,0)*10^-3*10^2)*各项系数!$J$4</f>
        <v>1.7117512722146684</v>
      </c>
      <c r="JG122" s="102">
        <v>1</v>
      </c>
      <c r="JH122" s="189">
        <f t="shared" si="364"/>
        <v>1.7117512722146684</v>
      </c>
      <c r="JI122" s="262">
        <f>JH122*VLOOKUP($JF$9,各项系数!$D$4:$F$540,3,0)</f>
        <v>2.0541015266576022</v>
      </c>
      <c r="JJ122" s="282">
        <f t="shared" si="538"/>
        <v>1.7117512722146684</v>
      </c>
      <c r="JK122" s="189">
        <f t="shared" si="539"/>
        <v>2.0541015266576022</v>
      </c>
      <c r="JL122" s="282">
        <f>IF($DF122&lt;&gt;$JL$9,0,各项系数!$F$76/4*($NE122^2-$NC122^2)*10^-2*各项系数!$F$39*10^-3*10^2)*各项系数!$J$4</f>
        <v>4.2580370255833793E-3</v>
      </c>
      <c r="JM122" s="102">
        <v>1</v>
      </c>
      <c r="JN122" s="189">
        <f t="shared" si="540"/>
        <v>4.2580370255833793E-3</v>
      </c>
      <c r="JO122" s="262">
        <f>JN122*各项系数!$E$39</f>
        <v>8.5160740511667582E-2</v>
      </c>
      <c r="JP122" s="282">
        <f>IF($DF122&lt;&gt;$JP$9,0,各项系数!$F$76/4*($NE122^2-$NC122^2)*10^-2*各项系数!$F$36*10^-3*10^2)*各项系数!$J$4</f>
        <v>0</v>
      </c>
      <c r="JQ122" s="102">
        <v>1</v>
      </c>
      <c r="JR122" s="189">
        <f t="shared" si="541"/>
        <v>0</v>
      </c>
      <c r="JS122" s="262">
        <f>JR122*各项系数!$E$36</f>
        <v>0</v>
      </c>
      <c r="JT122" s="282">
        <f>IF($DF122&lt;&gt;$JT$9,0,各项系数!$F$76/4*($NE122^2-$NC122^2)*10^-2*各项系数!$F$40*10^-3*10^2)*各项系数!$J$4</f>
        <v>0</v>
      </c>
      <c r="JU122" s="102">
        <v>1</v>
      </c>
      <c r="JV122" s="189">
        <f t="shared" si="542"/>
        <v>0</v>
      </c>
      <c r="JW122" s="262">
        <f>JV122*各项系数!$E$40</f>
        <v>0</v>
      </c>
      <c r="JX122" s="282">
        <f>IF($DF122&lt;&gt;$JX$9,0,各项系数!$F$76/4*($NE122^2-$NC122^2)*10^-2*各项系数!$F$38*10^-3*10^2)*各项系数!$J$4</f>
        <v>0</v>
      </c>
      <c r="JY122" s="102">
        <v>1</v>
      </c>
      <c r="JZ122" s="189">
        <f t="shared" si="543"/>
        <v>0</v>
      </c>
      <c r="KA122" s="262">
        <f>JZ122*各项系数!$E$38</f>
        <v>0</v>
      </c>
      <c r="KB122" s="282">
        <f>IF($DF122&lt;&gt;$KB$9,0,各项系数!$F$76/4*($NE122^2-$NC122^2)*10^-2*各项系数!$F$41*10^-3*10^2)*各项系数!$J$4</f>
        <v>0</v>
      </c>
      <c r="KC122" s="102">
        <v>1</v>
      </c>
      <c r="KD122" s="189">
        <f t="shared" si="544"/>
        <v>0</v>
      </c>
      <c r="KE122" s="262">
        <f>KD122*各项系数!$E$41</f>
        <v>0</v>
      </c>
      <c r="KF122" s="189">
        <f t="shared" si="545"/>
        <v>4.2580370255833793E-3</v>
      </c>
      <c r="KG122" s="189">
        <f t="shared" si="546"/>
        <v>8.5160740511667582E-2</v>
      </c>
      <c r="KH122" s="235">
        <f>各项系数!$F$76/4*($NG122^2-$NE122^2)*10^-2*各项系数!$F$44*10^-3*10^2*各项系数!$J$4*0.75*$U122</f>
        <v>1.0644827725168331</v>
      </c>
      <c r="KI122" s="102">
        <v>1</v>
      </c>
      <c r="KJ122" s="189">
        <f t="shared" si="547"/>
        <v>1.0644827725168331</v>
      </c>
      <c r="KK122" s="189">
        <f>ROUND(KJ122*各项系数!$E$43,GT122)</f>
        <v>6</v>
      </c>
      <c r="KL122" s="235">
        <f>各项系数!$F$76/4*($NF122^2-$NE122^2)*10^-2*各项系数!$F$46*10^-3*10^2*各项系数!$J$4*PI()/4*R122</f>
        <v>5.3133450467854872E-2</v>
      </c>
      <c r="KM122" s="102">
        <v>1</v>
      </c>
      <c r="KN122" s="189">
        <f t="shared" si="548"/>
        <v>5.3133450467854872E-2</v>
      </c>
      <c r="KO122" s="189">
        <f>KN122*各项系数!$E$46</f>
        <v>3.5865079065802039</v>
      </c>
      <c r="KP122" s="235">
        <f>各项系数!$F$76/4*($NH122^2-$NE122^2)*10^-2*(VLOOKUP($KP$9,各项系数!$D$1:$F$143,3,0))*10^-3*10^2*各项系数!$J$4</f>
        <v>0.41968789646797089</v>
      </c>
      <c r="KQ122" s="102">
        <v>1</v>
      </c>
      <c r="KR122" s="189">
        <f t="shared" si="416"/>
        <v>0.41968789646797089</v>
      </c>
      <c r="KS122" s="189">
        <f>KR122*(VLOOKUP($KP$9,各项系数!$D$1:$F$143,2,0))</f>
        <v>7.1346942399555049</v>
      </c>
      <c r="KT122" s="235">
        <f>各项系数!$F$76/4*($NI122^2-$NF122^2)*10^-2*(VLOOKUP($KT$9,各项系数!$D$1:$F$143,3,0))*10^-3*10^2*各项系数!$J$4</f>
        <v>0.42135586853872636</v>
      </c>
      <c r="KU122" s="102">
        <v>1</v>
      </c>
      <c r="KV122" s="189">
        <f t="shared" si="417"/>
        <v>0.42135586853872636</v>
      </c>
      <c r="KW122" s="189">
        <f>KV122*(VLOOKUP($KT$9,各项系数!$D$1:$F$143,2,0))</f>
        <v>7.1630497651583482</v>
      </c>
      <c r="KX122" s="189">
        <f>各项系数!$F$76/4*($NH122^2-$NE122^2)*10^-2*(VLOOKUP($KX$9,各项系数!$D$1:$F$143,3,0))*10^-3*10^2*各项系数!$J$4</f>
        <v>0.41968789646797089</v>
      </c>
      <c r="KY122" s="353">
        <v>1</v>
      </c>
      <c r="KZ122" s="189">
        <f t="shared" si="418"/>
        <v>0.41968789646797089</v>
      </c>
      <c r="LA122" s="189">
        <f>KZ122*(VLOOKUP($KX$9,各项系数!$D$1:$F$143,2,0))</f>
        <v>7.1346942399555049</v>
      </c>
      <c r="LB122" s="189">
        <f>各项系数!$F$76/4*($NI122^2-$NF122^2)*10^-2*(VLOOKUP($LB$9,各项系数!$D$1:$F$143,3,0))*10^-3*10^2*各项系数!$J$4</f>
        <v>0.42135586853872636</v>
      </c>
      <c r="LC122" s="353">
        <v>1</v>
      </c>
      <c r="LD122" s="189">
        <f t="shared" si="419"/>
        <v>0.42135586853872636</v>
      </c>
      <c r="LE122" s="189">
        <f>LD122*(VLOOKUP($LB$9,各项系数!$D$1:$F$143,2,0))</f>
        <v>7.1630497651583482</v>
      </c>
      <c r="LF122" s="235">
        <f>各项系数!$F$76/4*($NH122^2-$NE122^2)*10^-2*(VLOOKUP(AN122,各项系数!$D$1:$F$143,3,0))*10^-3*10^2*各项系数!$J$4</f>
        <v>0.42547669503994295</v>
      </c>
      <c r="LG122" s="102">
        <v>1</v>
      </c>
      <c r="LH122" s="189">
        <f t="shared" si="549"/>
        <v>0.42547669503994295</v>
      </c>
      <c r="LI122" s="189">
        <f>LH122*(VLOOKUP(AN122,各项系数!$D$1:$F$143,2,0))</f>
        <v>4.2547669503994294</v>
      </c>
      <c r="LJ122" s="235">
        <f>各项系数!$F$76/4*($NI122^2-$NF122^2)*10^-2*(VLOOKUP(AN122,各项系数!$D$1:$F$143,3,0))*10^-3*10^2*各项系数!$J$4</f>
        <v>0.42716767362201918</v>
      </c>
      <c r="LK122" s="102">
        <v>1</v>
      </c>
      <c r="LL122" s="189">
        <f t="shared" si="550"/>
        <v>0.42716767362201918</v>
      </c>
      <c r="LM122" s="189">
        <f>LL122*(VLOOKUP(AN122,各项系数!$D$1:$F$143,2,0))</f>
        <v>4.2716767362201917</v>
      </c>
      <c r="LN122" s="189">
        <f>各项系数!$F$76/4*($NH122^2-$NE122^2)*10^-2*(VLOOKUP($LN$9,各项系数!$D$1:$F$143,3,0))*10^-3*10^2*各项系数!$J$4</f>
        <v>0.42547669503994295</v>
      </c>
      <c r="LO122" s="353">
        <v>1</v>
      </c>
      <c r="LP122" s="189">
        <f t="shared" si="551"/>
        <v>0.42547669503994295</v>
      </c>
      <c r="LQ122" s="189">
        <f>LP122*(VLOOKUP($LN$9,各项系数!$D$1:$F$143,2,0))</f>
        <v>4.6802436454393721</v>
      </c>
      <c r="LR122" s="189">
        <f>各项系数!$F$76/4*($NI122^2-$NF122^2)*10^-2*(VLOOKUP($LR$9,各项系数!$D$1:$F$143,3,0))*10^-3*10^2*各项系数!$J$4</f>
        <v>0.42716767362201918</v>
      </c>
      <c r="LS122" s="353">
        <v>1</v>
      </c>
      <c r="LT122" s="189">
        <f t="shared" si="552"/>
        <v>0.42716767362201918</v>
      </c>
      <c r="LU122" s="189">
        <f>LT122*(VLOOKUP($LR$9,各项系数!$D$1:$F$143,2,0))</f>
        <v>4.6988444098422111</v>
      </c>
      <c r="LV122" s="227">
        <f t="shared" si="420"/>
        <v>353.83064365000001</v>
      </c>
      <c r="LW122" s="227">
        <f t="shared" si="421"/>
        <v>268.91128916999998</v>
      </c>
      <c r="LX122" s="227">
        <f t="shared" si="422"/>
        <v>18.503742524066759</v>
      </c>
      <c r="LY122" s="227">
        <f t="shared" si="423"/>
        <v>84.919354480000038</v>
      </c>
      <c r="LZ122" s="374">
        <f t="shared" si="365"/>
        <v>1</v>
      </c>
      <c r="MA122" s="375">
        <f t="shared" si="366"/>
        <v>353.83064365000001</v>
      </c>
      <c r="MB122" s="375">
        <f t="shared" si="424"/>
        <v>12.25440285</v>
      </c>
      <c r="MC122" s="227">
        <f t="shared" si="425"/>
        <v>143.04876110000001</v>
      </c>
      <c r="MD122" s="227">
        <f t="shared" si="426"/>
        <v>89.405475449999997</v>
      </c>
      <c r="ME122" s="227">
        <f t="shared" si="427"/>
        <v>10.669329260023273</v>
      </c>
      <c r="MF122" s="227">
        <f t="shared" si="428"/>
        <v>53.64328565000001</v>
      </c>
      <c r="MG122" s="374">
        <f t="shared" si="429"/>
        <v>1</v>
      </c>
      <c r="MH122" s="375">
        <f t="shared" si="367"/>
        <v>143.04876110000001</v>
      </c>
      <c r="MI122" s="375">
        <f t="shared" si="430"/>
        <v>9.5429382125709346</v>
      </c>
      <c r="MJ122" s="189">
        <f t="shared" si="368"/>
        <v>12.25440285</v>
      </c>
      <c r="MK122" s="189">
        <f t="shared" si="431"/>
        <v>12.25440285</v>
      </c>
      <c r="ML122" s="189">
        <f t="shared" si="553"/>
        <v>9.5429382124710802</v>
      </c>
      <c r="MM122" s="189">
        <f t="shared" si="369"/>
        <v>9.5429382125709346</v>
      </c>
      <c r="MN122" s="189">
        <f t="shared" si="370"/>
        <v>14.454402850000001</v>
      </c>
      <c r="MO122" s="189">
        <f t="shared" si="432"/>
        <v>11.542938212570935</v>
      </c>
      <c r="MP122" s="189">
        <f t="shared" si="433"/>
        <v>35.882505889999997</v>
      </c>
      <c r="MQ122" s="189">
        <f t="shared" si="554"/>
        <v>35.882505889999997</v>
      </c>
      <c r="MR122" s="246">
        <f t="shared" si="434"/>
        <v>35.882505889999997</v>
      </c>
      <c r="MS122" s="380">
        <f t="shared" si="371"/>
        <v>36.058505889999999</v>
      </c>
      <c r="MT122" s="380">
        <f t="shared" si="372"/>
        <v>36.218505889999996</v>
      </c>
      <c r="MU122" s="380">
        <f t="shared" si="373"/>
        <v>37.558505889999999</v>
      </c>
      <c r="MV122" s="380">
        <f t="shared" si="374"/>
        <v>40.658505890000001</v>
      </c>
      <c r="MW122" s="380">
        <f t="shared" si="375"/>
        <v>40.818505889999997</v>
      </c>
      <c r="MX122" s="254">
        <f t="shared" si="376"/>
        <v>12.85440285</v>
      </c>
      <c r="MY122" s="254">
        <f t="shared" si="377"/>
        <v>10.142938212570934</v>
      </c>
      <c r="MZ122" s="189">
        <f t="shared" si="378"/>
        <v>15.054402849999999</v>
      </c>
      <c r="NA122" s="189">
        <f t="shared" si="379"/>
        <v>12.342938212570935</v>
      </c>
      <c r="NB122" s="189">
        <f t="shared" si="435"/>
        <v>37.718505890000003</v>
      </c>
      <c r="NC122" s="254">
        <f t="shared" si="555"/>
        <v>37.718505890000003</v>
      </c>
      <c r="ND122" s="246">
        <f t="shared" si="436"/>
        <v>37.718505890000003</v>
      </c>
      <c r="NE122" s="386">
        <f t="shared" si="437"/>
        <v>37.958505890000005</v>
      </c>
      <c r="NF122" s="380">
        <f t="shared" si="380"/>
        <v>38.118505890000002</v>
      </c>
      <c r="NG122" s="387">
        <f t="shared" si="381"/>
        <v>39.458505890000005</v>
      </c>
      <c r="NH122" s="254">
        <f t="shared" si="382"/>
        <v>42.558505890000006</v>
      </c>
      <c r="NI122" s="380">
        <f t="shared" si="383"/>
        <v>42.718505890000003</v>
      </c>
      <c r="NK122" s="388">
        <f t="shared" si="384"/>
        <v>4.2906090502190262</v>
      </c>
      <c r="NL122" s="388">
        <f t="shared" si="385"/>
        <v>218.5123293573742</v>
      </c>
      <c r="NM122" s="388">
        <f t="shared" si="386"/>
        <v>4.2906090502190262</v>
      </c>
      <c r="NN122" s="388">
        <f t="shared" si="387"/>
        <v>218.91772568175199</v>
      </c>
      <c r="NO122" s="388">
        <f t="shared" si="388"/>
        <v>5.722877990524605</v>
      </c>
      <c r="NP122" s="388">
        <f t="shared" si="389"/>
        <v>221.9929039279038</v>
      </c>
      <c r="NQ122" s="388">
        <f t="shared" si="390"/>
        <v>5.722877990524605</v>
      </c>
      <c r="NR122" s="388">
        <f t="shared" si="391"/>
        <v>222.41838062294372</v>
      </c>
      <c r="NS122" s="388">
        <f t="shared" si="392"/>
        <v>4.3410885174788945</v>
      </c>
      <c r="NT122" s="388">
        <f t="shared" si="393"/>
        <v>4.3410885174788945</v>
      </c>
      <c r="NU122" s="388">
        <f t="shared" si="394"/>
        <v>5.7760114409924599</v>
      </c>
      <c r="NV122" s="388">
        <f t="shared" si="395"/>
        <v>5.7760114409924599</v>
      </c>
      <c r="NW122">
        <f t="shared" si="396"/>
        <v>4.9654309358503133</v>
      </c>
      <c r="NX122">
        <f>各项系数!$M$9*NK122</f>
        <v>1.2871827150657078</v>
      </c>
      <c r="NY122">
        <f t="shared" si="397"/>
        <v>4.3410885174788945</v>
      </c>
    </row>
    <row r="123" spans="1:389" ht="15" hidden="1" customHeight="1">
      <c r="A123" s="69"/>
      <c r="B123" s="70"/>
      <c r="C123" s="71"/>
      <c r="D123" s="53" t="s">
        <v>410</v>
      </c>
      <c r="E123" s="399">
        <f t="shared" si="503"/>
        <v>46.586406910000001</v>
      </c>
      <c r="F123" s="68">
        <f>$F$27</f>
        <v>244.921136962963</v>
      </c>
      <c r="G123" s="58"/>
      <c r="H123" s="16"/>
      <c r="I123" s="145">
        <f>$F$25</f>
        <v>242.29596858910099</v>
      </c>
      <c r="J123" s="62"/>
      <c r="K123" s="16"/>
      <c r="L123" s="97" t="s">
        <v>467</v>
      </c>
      <c r="M123" s="103">
        <f t="shared" si="339"/>
        <v>1.2</v>
      </c>
      <c r="N123" s="103">
        <f t="shared" si="501"/>
        <v>1.1000000000000001</v>
      </c>
      <c r="O123" s="53">
        <f t="shared" si="556"/>
        <v>0.08</v>
      </c>
      <c r="P123" s="99">
        <v>0.1</v>
      </c>
      <c r="Q123" s="133">
        <f t="shared" si="512"/>
        <v>0.1</v>
      </c>
      <c r="R123" s="70">
        <v>0.8</v>
      </c>
      <c r="S123" s="142" t="str">
        <f>各项系数!$D$43</f>
        <v>钢带</v>
      </c>
      <c r="T123" s="102">
        <v>0.5</v>
      </c>
      <c r="U123" s="102">
        <v>2</v>
      </c>
      <c r="V123" s="140"/>
      <c r="W123" s="141">
        <v>2.4</v>
      </c>
      <c r="X123" s="135">
        <f t="shared" si="513"/>
        <v>0.2</v>
      </c>
      <c r="Y123" s="135"/>
      <c r="Z123" s="168"/>
      <c r="AA123" s="153">
        <f>$AA$27</f>
        <v>1.0129999999999999</v>
      </c>
      <c r="AB123" s="153">
        <f>PI()*EJ123*EJ123/4*EH123*(1-H123)*AA123*各项系数!$F$5*各项系数!$J$4*10^-7</f>
        <v>1.013183115671781</v>
      </c>
      <c r="AC123" s="153">
        <f t="shared" si="504"/>
        <v>244.921136962963</v>
      </c>
      <c r="AD123" s="153">
        <f t="shared" si="341"/>
        <v>114.54156221736136</v>
      </c>
      <c r="AE123" s="153">
        <f>POWER(4*EU123/PI()/EG123/10^-7/EH123/(1-H123)/各项系数!$F$5/各项系数!$J$4,0.5)</f>
        <v>246.50798375415033</v>
      </c>
      <c r="AF123" s="69">
        <f>$AA$25</f>
        <v>1.0129999999999999</v>
      </c>
      <c r="AG123" s="69">
        <f>IF(EM123=0,0,PI()*ER123*ER123/4*EP123*(1-K123)*(1+AF123)*各项系数!$F$5*各项系数!$J$4*10^-7)</f>
        <v>1.1494204248229618</v>
      </c>
      <c r="AH123" s="69">
        <f t="shared" si="505"/>
        <v>242.29596858910099</v>
      </c>
      <c r="AI123" s="69">
        <f t="shared" si="398"/>
        <v>65.39126499722515</v>
      </c>
      <c r="AJ123" s="69">
        <f>IF(OR(EP123="",EP123=0),0,POWER(4*EW123/PI()/EO123/10^-7/EP123/(1-K123)/各项系数!$F$5/各项系数!$J$4,0.5))</f>
        <v>243.86580688497418</v>
      </c>
      <c r="AK123" s="69">
        <f t="shared" si="342"/>
        <v>4.1963927552077518</v>
      </c>
      <c r="AL123" s="69">
        <f t="shared" si="506"/>
        <v>293.20795059986506</v>
      </c>
      <c r="AM123" s="188">
        <f t="shared" si="507"/>
        <v>120</v>
      </c>
      <c r="AN123" s="97" t="s">
        <v>486</v>
      </c>
      <c r="AO123" s="196">
        <f>AP123+各项系数!$M$9*$NK123</f>
        <v>287.45877509790694</v>
      </c>
      <c r="AP123" s="196">
        <f>AQ123*(1+$BI123+(VLOOKUP($AM123,$A$12:$B$323,2,0))+各项系数!$J$6+各项系数!$M$5)*(1+$E$2)</f>
        <v>285.79071503507811</v>
      </c>
      <c r="AQ123" s="197">
        <f>AR123+各项系数!$L$9*$NK123</f>
        <v>291.62317860722254</v>
      </c>
      <c r="AR123" s="197">
        <f>AS123*(1+$BJ123+各项系数!$J$5+各项系数!$L$5)</f>
        <v>289.95511854439371</v>
      </c>
      <c r="AS123" s="197">
        <f t="shared" si="399"/>
        <v>284.26972406313109</v>
      </c>
      <c r="AT123" s="196">
        <f>AU123+各项系数!$M$9*$NM123</f>
        <v>290.75579987584223</v>
      </c>
      <c r="AU123" s="196">
        <f>AV123*(1+$BI123+(VLOOKUP($AM123,$A$12:$B$323,2,0))+各项系数!$J$6+各项系数!$M$5)*(1+$E$2)</f>
        <v>289.0877398130134</v>
      </c>
      <c r="AV123" s="197">
        <f>AW123+各项系数!$L$9*$NM123</f>
        <v>294.98748960511574</v>
      </c>
      <c r="AW123" s="197">
        <f>AX123*(1+$BJ123+各项系数!$J$5+各项系数!$L$5)</f>
        <v>293.31942954228691</v>
      </c>
      <c r="AX123" s="197">
        <f t="shared" si="400"/>
        <v>287.56806817871268</v>
      </c>
      <c r="AY123" s="196">
        <f>AZ123+各项系数!$M$9*$NS123</f>
        <v>291.45699773699573</v>
      </c>
      <c r="AZ123" s="196">
        <f>BA123*(1+$BI123+(VLOOKUP($AM123,$A$12:$B$214,2,0))+各项系数!$J$6+各项系数!$M$5)*(1+$E$2)</f>
        <v>289.77139355717986</v>
      </c>
      <c r="BA123" s="197">
        <f>BB123+各项系数!$L$9*$NS123</f>
        <v>295.68509546651006</v>
      </c>
      <c r="BB123" s="197">
        <f>BC123*(1+$BJ123+各项系数!$J$5+各项系数!$L$5)</f>
        <v>293.99949128669419</v>
      </c>
      <c r="BC123" s="199">
        <f t="shared" si="401"/>
        <v>288.23479537911197</v>
      </c>
      <c r="BD123" s="196">
        <f>BE123+各项系数!$M$9*$NS123</f>
        <v>294.76596111780384</v>
      </c>
      <c r="BE123" s="196">
        <f>BF123*(1+$BI123+(VLOOKUP($AM123,$A$12:$B$214,2,0))+各项系数!$J$6+各项系数!$M$5)*(1+$E$2)</f>
        <v>293.08035693798797</v>
      </c>
      <c r="BF123" s="197">
        <f>BG123+各项系数!$L$9*$NS123</f>
        <v>299.06158871223261</v>
      </c>
      <c r="BG123" s="197">
        <f>BH123*(1+$BJ123+各项系数!$J$5+各项系数!$L$5)</f>
        <v>297.37598453241674</v>
      </c>
      <c r="BH123" s="199">
        <f t="shared" si="402"/>
        <v>291.54508287491836</v>
      </c>
      <c r="BI123" s="213"/>
      <c r="BJ123" s="208"/>
      <c r="BK123" s="53" t="s">
        <v>514</v>
      </c>
      <c r="BL123" s="196">
        <f>BM123+各项系数!$M$9*$NM123</f>
        <v>290.73649199863956</v>
      </c>
      <c r="BM123" s="196">
        <f>BN123*(1+$CF123+(VLOOKUP($AM123,$A$12:$B$323,2,0))+各项系数!$J$6+各项系数!$M$5)*(1+$E$2)</f>
        <v>289.06843193581074</v>
      </c>
      <c r="BN123" s="197">
        <f>BO123+各项系数!$L$9*$NM123</f>
        <v>294.9677876896028</v>
      </c>
      <c r="BO123" s="197">
        <f>BP123*(1+$CG123+各项系数!$J$5+各项系数!$L$5)</f>
        <v>293.29972762677397</v>
      </c>
      <c r="BP123" s="197">
        <f t="shared" si="403"/>
        <v>284.7570171133728</v>
      </c>
      <c r="BQ123" s="196">
        <f>BR123+各项系数!$M$9*$NM123</f>
        <v>293.5739669439937</v>
      </c>
      <c r="BR123" s="196">
        <f>BS123*(1+$CF123+(VLOOKUP($AM123,$A$12:$B$323,2,0))+各项系数!$J$6+各项系数!$M$5)*(1+$E$2)</f>
        <v>291.90590688116487</v>
      </c>
      <c r="BS123" s="197">
        <f>BT123+各项系数!$L$9*$NM123</f>
        <v>297.86317028690291</v>
      </c>
      <c r="BT123" s="197">
        <f>BU123*(1+$CG123+各项系数!$J$5+各项系数!$L$5)</f>
        <v>296.19511022407409</v>
      </c>
      <c r="BU123" s="197">
        <f t="shared" si="404"/>
        <v>287.56806817871268</v>
      </c>
      <c r="BV123" s="196">
        <f>BW123+各项系数!$M$9*$NT123</f>
        <v>293.13155946118161</v>
      </c>
      <c r="BW123" s="196">
        <f>BX123*(1+$CF123+(VLOOKUP($AM123,$A$12:$B$214,2,0))+各项系数!$J$6+各项系数!$M$5)*(1+$E$2)</f>
        <v>291.44595528136574</v>
      </c>
      <c r="BX123" s="197">
        <f>BY123+各项系数!$L$9*$NT$12</f>
        <v>297.39383191976094</v>
      </c>
      <c r="BY123" s="197">
        <f>BZ123*(1+$CG123+各项系数!$J$5+各项系数!$L$5)</f>
        <v>297.38556851660599</v>
      </c>
      <c r="BZ123" s="199">
        <f t="shared" si="343"/>
        <v>288.72385292874367</v>
      </c>
      <c r="CA123" s="196">
        <f>CB123+各项系数!$M$9*$NT123</f>
        <v>295.97930896885032</v>
      </c>
      <c r="CB123" s="196">
        <f>CC123*(1+$CF123+(VLOOKUP($AM123,$A$12:$B$214,2,0))+各项系数!$J$6+各项系数!$M$5)*(1+$E$2)</f>
        <v>294.29370478903445</v>
      </c>
      <c r="CC123" s="197">
        <f>CD123+各项系数!$L$9*$NT$12</f>
        <v>300.29969876432085</v>
      </c>
      <c r="CD123" s="197">
        <f>CE123*(1+$CG123+各项系数!$J$5+各项系数!$L$5)</f>
        <v>300.2914353611659</v>
      </c>
      <c r="CE123" s="199">
        <f t="shared" si="405"/>
        <v>291.54508287491836</v>
      </c>
      <c r="CF123" s="213">
        <f t="shared" si="514"/>
        <v>0</v>
      </c>
      <c r="CG123" s="213">
        <f t="shared" si="344"/>
        <v>0.01</v>
      </c>
      <c r="CH123" s="102"/>
      <c r="CI123" s="196">
        <f>CJ123+各项系数!$M$9*$NO123</f>
        <v>294.51774060636711</v>
      </c>
      <c r="CJ123" s="196">
        <f>CK123*(1+$DC123+(VLOOKUP($AM123,$A$12:$B$323,2,0))+各项系数!$J$6+各项系数!$M$5)*(1+$E$2)+各项系数!$M$9*$NK123</f>
        <v>292.29282111406656</v>
      </c>
      <c r="CK123" s="197">
        <f>CL123+各项系数!$L$9*$NO123</f>
        <v>296.55587862371198</v>
      </c>
      <c r="CL123" s="197">
        <f>CM123*(1+$DD123+各项系数!$J$5+各项系数!$L$5)</f>
        <v>294.33095913141142</v>
      </c>
      <c r="CM123" s="197">
        <f t="shared" si="345"/>
        <v>288.5597638543249</v>
      </c>
      <c r="CN123" s="196">
        <f>CO123+各项系数!$M$9*$NO123</f>
        <v>297.60531489546179</v>
      </c>
      <c r="CO123" s="196">
        <f>CP123*(1+$DC123+(VLOOKUP($AM123,$A$12:$B$323,2,0))+各项系数!$J$6+各项系数!$M$5)*(1+$E$2)+各项系数!$M$9*$NK123</f>
        <v>295.38039540316123</v>
      </c>
      <c r="CP123" s="197">
        <f>CQ123+各项系数!$L$9*$NO123</f>
        <v>299.70646463299227</v>
      </c>
      <c r="CQ123" s="197">
        <f>CR123*(1+$DD123+各项系数!$J$5+各项系数!$L$5)</f>
        <v>297.48154514069171</v>
      </c>
      <c r="CR123" s="197">
        <f t="shared" si="346"/>
        <v>291.64857366734481</v>
      </c>
      <c r="CS123" s="196">
        <f>CT123+各项系数!$M$9*$NU123</f>
        <v>297.02855185764497</v>
      </c>
      <c r="CT123" s="196">
        <f t="shared" si="347"/>
        <v>294.78529205339498</v>
      </c>
      <c r="CU123" s="197">
        <f>CV123+各项系数!$L$9*$NU123</f>
        <v>300.80131842183164</v>
      </c>
      <c r="CV123" s="197">
        <f>CW123*(1+$DD123+各项系数!$J$5+各项系数!$L$5)</f>
        <v>298.55805861758165</v>
      </c>
      <c r="CW123" s="199">
        <f t="shared" si="348"/>
        <v>292.70397903684477</v>
      </c>
      <c r="CX123" s="196">
        <f>CY123+各项系数!$M$9*$NU123</f>
        <v>300.47928614756626</v>
      </c>
      <c r="CY123" s="196">
        <f t="shared" si="349"/>
        <v>298.23602634331627</v>
      </c>
      <c r="CZ123" s="197">
        <f>DA123+各项系数!$L$9*$NU123</f>
        <v>304.32247586052682</v>
      </c>
      <c r="DA123" s="197">
        <f>DB123*(1+$DD123+各项系数!$J$5+各项系数!$L$5)</f>
        <v>302.07921605627683</v>
      </c>
      <c r="DB123" s="199">
        <f t="shared" si="350"/>
        <v>296.15609417282042</v>
      </c>
      <c r="DC123" s="213">
        <f t="shared" si="498"/>
        <v>0</v>
      </c>
      <c r="DD123" s="213">
        <f t="shared" si="351"/>
        <v>0</v>
      </c>
      <c r="DE123" s="53" t="s">
        <v>498</v>
      </c>
      <c r="DF123" s="53" t="s">
        <v>513</v>
      </c>
      <c r="DG123" s="196">
        <f>DH123+各项系数!$M$9*$NQ123</f>
        <v>297.85865028955402</v>
      </c>
      <c r="DH123" s="196">
        <f>DI123*(1+$EA123+(VLOOKUP($AM123,$A$12:$B$323,2,0))+各项系数!$J$6+各项系数!$M$5)*(1+$E$2)+各项系数!$M$9*$NK123</f>
        <v>295.63373079725346</v>
      </c>
      <c r="DI123" s="197">
        <f>DJ123+各项系数!$L$9*$NQ123</f>
        <v>299.964970137168</v>
      </c>
      <c r="DJ123" s="197">
        <f>DK123*(1+$EB123+各项系数!$J$5+各项系数!$L$5)</f>
        <v>297.74005064486744</v>
      </c>
      <c r="DK123" s="197">
        <f t="shared" si="352"/>
        <v>289.06801033482276</v>
      </c>
      <c r="DL123" s="196">
        <f>DM123+各项系数!$M$9*$NQ123</f>
        <v>300.81813566239435</v>
      </c>
      <c r="DM123" s="196">
        <f>DN123*(1+$EA123+(VLOOKUP($AM123,$A$12:$B$323,2,0))+各项系数!$J$6+各项系数!$M$5)*(1+$E$2)+各项系数!$M$9*$NK123</f>
        <v>298.5932161700938</v>
      </c>
      <c r="DN123" s="197">
        <f>DO123+各项系数!$L$9*$NQ123</f>
        <v>302.98485317067855</v>
      </c>
      <c r="DO123" s="197">
        <f>DP123*(1+$EB123+各项系数!$J$5+各项系数!$L$5)</f>
        <v>300.75993367837799</v>
      </c>
      <c r="DP123" s="197">
        <f t="shared" si="353"/>
        <v>291.99993561007574</v>
      </c>
      <c r="DQ123" s="196">
        <f>DR123+各项系数!$M$9*$NV123</f>
        <v>300.41185593530491</v>
      </c>
      <c r="DR123" s="196">
        <f t="shared" si="354"/>
        <v>298.16859613105493</v>
      </c>
      <c r="DS123" s="197">
        <f>DT123+各项系数!$L$9*$NV123</f>
        <v>304.2536695214846</v>
      </c>
      <c r="DT123" s="197">
        <f>DU123*(1+$EB123+各项系数!$J$5+各项系数!$L$5)</f>
        <v>302.01040971723461</v>
      </c>
      <c r="DU123" s="199">
        <f t="shared" si="355"/>
        <v>293.21399001673262</v>
      </c>
      <c r="DV123" s="196">
        <f>DW123+各项系数!$M$9*$NV123</f>
        <v>299.87781236419096</v>
      </c>
      <c r="DW123" s="196">
        <f t="shared" si="356"/>
        <v>297.63455255994097</v>
      </c>
      <c r="DX123" s="197">
        <f>DY123+各项系数!$L$9*$NV123</f>
        <v>303.70872710198057</v>
      </c>
      <c r="DY123" s="197">
        <f>DZ123*(1+$EB123+各项系数!$J$5+各项系数!$L$5)</f>
        <v>301.46546729773058</v>
      </c>
      <c r="DZ123" s="199">
        <f t="shared" si="357"/>
        <v>292.68491970653452</v>
      </c>
      <c r="EA123" s="213">
        <f t="shared" si="511"/>
        <v>0</v>
      </c>
      <c r="EB123" s="213">
        <f t="shared" si="358"/>
        <v>0.01</v>
      </c>
      <c r="EC123" s="235" t="str">
        <f t="shared" si="408"/>
        <v>3+2</v>
      </c>
      <c r="ED123" s="235" t="str">
        <f t="shared" si="494"/>
        <v>3*120</v>
      </c>
      <c r="EE123" s="189">
        <f t="shared" si="495"/>
        <v>120</v>
      </c>
      <c r="EF123" s="189" t="str">
        <f>LOOKUP(EH123,{1,7,10,14,19,24,30,37,48,61},{1,"1+6","2+8","4+10","1+6+12","2+8+14","4+10+16","1+6+12+18","3+9+15+21","1+6+12+18+24"})</f>
        <v>2+8+14</v>
      </c>
      <c r="EG123" s="188">
        <f t="shared" si="359"/>
        <v>3</v>
      </c>
      <c r="EH123" s="197">
        <f>VLOOKUP(EE123,各项系数!$B$87:$C$124,2,0)</f>
        <v>24</v>
      </c>
      <c r="EI123" s="188">
        <f>IF(EH123=0,0,VLOOKUP(EH123,各项系数!$D$142:$E$195,2,0))*1</f>
        <v>6</v>
      </c>
      <c r="EJ123" s="238">
        <f t="shared" si="409"/>
        <v>244.921136962963</v>
      </c>
      <c r="EK123" s="189" t="str">
        <f t="shared" si="508"/>
        <v>2*70</v>
      </c>
      <c r="EL123" s="189" t="str">
        <f t="shared" si="360"/>
        <v>70</v>
      </c>
      <c r="EM123" s="189">
        <f t="shared" si="496"/>
        <v>70</v>
      </c>
      <c r="EN123" s="189" t="str">
        <f>IF(EP123=0,0,LOOKUP(EP123,{1,7,10,14,19,24,30,37,48,61},{1,"1+6","2+8","4+10","1+6+12","2+8+14","4+10+16","1+6+12+18","3+9+15+21","1+6+12+18+24"}))</f>
        <v>4+10</v>
      </c>
      <c r="EO123" s="189" t="str">
        <f t="shared" si="509"/>
        <v>2</v>
      </c>
      <c r="EP123" s="189">
        <f>IF(EM123=0,0,IF(EM123&lt;10,1,IF(AND(EM123&gt;=10,EM123&lt;=35),7,LOOKUP(EM123,{50,70,95,120,150,185,240,300},{10,14,19,24,30,37,48,61})*1)))</f>
        <v>14</v>
      </c>
      <c r="EQ123" s="189">
        <f>IF(EP123=0,0,VLOOKUP(EP123,各项系数!$D$142:$E$195,2,0))*1</f>
        <v>4.41</v>
      </c>
      <c r="ER123" s="189">
        <f t="shared" si="510"/>
        <v>242.29596858910099</v>
      </c>
      <c r="ES123" s="235">
        <f t="shared" si="497"/>
        <v>5</v>
      </c>
      <c r="ET123" s="189">
        <f>VLOOKUP(ES123,各项系数!$D$142:$E$195,2,0)*1</f>
        <v>2.7</v>
      </c>
      <c r="EU123" s="243">
        <f>((各项系数!$F$76/4*$EJ123^2*$EG123*$EH123*1*10^-7)*(1-$H123)*AA123)*(VLOOKUP($EY$9,各项系数!$D$4:$F$143,3,0))*各项系数!$J$4</f>
        <v>3.0395493470153423</v>
      </c>
      <c r="EV123" s="244">
        <f>EU123*(VLOOKUP($EY$9,各项系数!$D$4:$F$143,2,0))</f>
        <v>199.09048222950491</v>
      </c>
      <c r="EW123" s="252">
        <f>(IF($EO123=0,0,(各项系数!$F$76/4*$ER123^2*$EO123*$EP123*1*10^-7))*(1-$K123)*$AF123)*(VLOOKUP($EY$9,各项系数!$D$4:$F$143,3,0))*各项系数!$J$4</f>
        <v>1.1568434081924097</v>
      </c>
      <c r="EX123" s="253">
        <f>EW123*(VLOOKUP($EY$9,各项系数!$D$4:$F$143,2,0))</f>
        <v>75.773243236602838</v>
      </c>
      <c r="EY123" s="189">
        <f>((各项系数!$F$76/4*$EJ123^2*$EG123*$EH123*1*10^-7)*(1-$H123)*AA123+IF($EO123=0,0,(各项系数!$F$76/4*$ER123^2*$EO123*$EP123*1*10^-7))*(1-$K123)*$AF123)*(VLOOKUP($EY$9,各项系数!$D$4:$F$143,3,0))*各项系数!$J$4</f>
        <v>4.1963927552077518</v>
      </c>
      <c r="EZ123" s="102">
        <v>1</v>
      </c>
      <c r="FA123" s="189">
        <f t="shared" si="515"/>
        <v>4.1963927552077518</v>
      </c>
      <c r="FB123" s="254">
        <f>FA123*(VLOOKUP($EY$9,各项系数!$D$4:$F$143,2,0))</f>
        <v>274.86372546610772</v>
      </c>
      <c r="FC123" s="255"/>
      <c r="FD123" s="235">
        <f>各项系数!$F$76/4*($MN123^2-MK123^2)*10^-2*(VLOOKUP(L123,各项系数!$D$1:$F$143,3,0))*10^-3*10^2*$EG123*各项系数!$J$4</f>
        <v>0.19675963128673118</v>
      </c>
      <c r="FE123" s="262">
        <f>FD123*VLOOKUP(L123,各项系数!$D$1:$F$143,2,0)</f>
        <v>2.0069482391246578</v>
      </c>
      <c r="FF123" s="188">
        <f>各项系数!$F$76/4*($MO123^2-ML123^2)*10^-2*(VLOOKUP(L123,各项系数!$D$1:$F$143,3,0))*10^-3*10^2*$EO123*各项系数!$J$4</f>
        <v>8.9151201519659662E-2</v>
      </c>
      <c r="FG123" s="262">
        <f>FF123*VLOOKUP(L123,各项系数!$D$1:$F$143,2,0)</f>
        <v>0.9093422555005285</v>
      </c>
      <c r="FH123" s="235">
        <f t="shared" si="410"/>
        <v>0.28591083280639085</v>
      </c>
      <c r="FI123" s="102">
        <v>1</v>
      </c>
      <c r="FJ123" s="189">
        <f t="shared" si="516"/>
        <v>0.28591083280639085</v>
      </c>
      <c r="FK123" s="262">
        <f>FJ123*VLOOKUP(L123,各项系数!$D$1:$F$143,2,0)</f>
        <v>2.9162904946251866</v>
      </c>
      <c r="FL123" s="235"/>
      <c r="FM123" s="102"/>
      <c r="FN123" s="189"/>
      <c r="FO123" s="262"/>
      <c r="FP123" s="282">
        <f t="shared" si="517"/>
        <v>0.28591083280639085</v>
      </c>
      <c r="FQ123" s="282">
        <f t="shared" si="518"/>
        <v>2.9162904946251866</v>
      </c>
      <c r="FR123" s="283">
        <f>各项系数!$F$76/4*($MQ123^2-$MN123^2*$EG123-$MO123^2*$EO123)*10^-2</f>
        <v>4.1046630192671323</v>
      </c>
      <c r="FS123" s="284">
        <f t="shared" si="411"/>
        <v>1</v>
      </c>
      <c r="FT123" s="285">
        <f t="shared" si="361"/>
        <v>4.1046630192671323</v>
      </c>
      <c r="FU123" s="302">
        <f>$FT123*(VLOOKUP($FT$9,各项系数!$D$1:$F$143,3,0))*10^-3*10^2*各项系数!$J$55</f>
        <v>0.49009676450049555</v>
      </c>
      <c r="FV123" s="303">
        <v>1</v>
      </c>
      <c r="FW123" s="304">
        <f t="shared" si="519"/>
        <v>0.49009676450049555</v>
      </c>
      <c r="FX123" s="285">
        <f>FW123*(VLOOKUP($FT$9,各项系数!$D$1:$F$143,2,0))</f>
        <v>1.4702902935014865</v>
      </c>
      <c r="FY123" s="302">
        <f>IF($BK123&lt;&gt;$FY$9,0,各项系数!$F$76/4*($MS123^2-$MQ123^2)*10^-2*(VLOOKUP($FY$9,各项系数!$D$1:$F$143,3,0))*10^-3*10^2)*各项系数!$J$4</f>
        <v>0</v>
      </c>
      <c r="FZ123" s="303">
        <v>1</v>
      </c>
      <c r="GA123" s="304">
        <f t="shared" si="520"/>
        <v>0</v>
      </c>
      <c r="GB123" s="285">
        <f>GA123*(VLOOKUP($FY$9,各项系数!$D$1:$F$143,2,0))</f>
        <v>0</v>
      </c>
      <c r="GC123" s="302">
        <f>IF($BK123&lt;&gt;$GC$9,0,各项系数!$F$76/4*($MS123^2-$MQ123^2)*10^-2*(VLOOKUP($GC$9,各项系数!$D$1:$F$143,3,0))*10^-3*10^2)*各项系数!$J$4</f>
        <v>1.1355605153470427E-2</v>
      </c>
      <c r="GD123" s="303">
        <v>1</v>
      </c>
      <c r="GE123" s="304">
        <f t="shared" si="521"/>
        <v>1.1355605153470427E-2</v>
      </c>
      <c r="GF123" s="285">
        <f>GE123*(VLOOKUP($GC$9,各项系数!$D$1:$F$143,2,0))</f>
        <v>0.14648730647976851</v>
      </c>
      <c r="GG123" s="302">
        <f>IF($BK123&lt;&gt;$GG$9,0,各项系数!$F$76/4*($MS123^2-$MQ123^2)*10^-2*(VLOOKUP($GG$9,各项系数!$D$1:$F$143,3,0))*10^-3*10^2)*各项系数!$J$4</f>
        <v>0</v>
      </c>
      <c r="GH123" s="303">
        <v>1</v>
      </c>
      <c r="GI123" s="304">
        <f t="shared" si="522"/>
        <v>0</v>
      </c>
      <c r="GJ123" s="285">
        <f>GI123*(VLOOKUP($GG$9,各项系数!$D$1:$F$143,2,0))</f>
        <v>0</v>
      </c>
      <c r="GK123" s="302">
        <f>IF($BK123&lt;&gt;$GK$9,0,各项系数!$F$76/4*($MS123^2-$MQ123^2)*10^-2*(VLOOKUP($GK$9,各项系数!$D$1:$F$143,3,0))*10^-3*10^2)*各项系数!$J$4</f>
        <v>0</v>
      </c>
      <c r="GL123" s="303">
        <v>1</v>
      </c>
      <c r="GM123" s="304">
        <f t="shared" si="523"/>
        <v>0</v>
      </c>
      <c r="GN123" s="285">
        <f>GM123*(VLOOKUP($GK$9,各项系数!$D$1:$F$143,2,0))</f>
        <v>0</v>
      </c>
      <c r="GO123" s="304">
        <f t="shared" si="524"/>
        <v>1.1355605153470427E-2</v>
      </c>
      <c r="GP123" s="304">
        <f t="shared" si="525"/>
        <v>0.14648730647976851</v>
      </c>
      <c r="GQ123" s="315">
        <f>各项系数!$F$76/4*($MU123^2-$MS123^2)*10^-2*(VLOOKUP($S123,各项系数!$D$1:$F$143,3,0))*10^-3*10^2*各项系数!$J$4</f>
        <v>0.77983329192354489</v>
      </c>
      <c r="GR123" s="303">
        <v>1</v>
      </c>
      <c r="GS123" s="304">
        <f t="shared" si="526"/>
        <v>0.77983329192354489</v>
      </c>
      <c r="GT123" s="304">
        <f t="shared" si="457"/>
        <v>0</v>
      </c>
      <c r="GU123" s="304">
        <f>ROUND($GS123*(VLOOKUP($S123,各项系数!$D$1:$F$143,2,0))+$E$3*GS123,GT123)</f>
        <v>5</v>
      </c>
      <c r="GV123" s="315">
        <f>各项系数!$F$76/4*($MT123^2-$MS123^2)*10^-2*(VLOOKUP($GV$9,各项系数!$D$1:$F$143,3,0))*10^-3*10^2*各项系数!$J$4*PI()/4*R123</f>
        <v>5.84803899567546E-2</v>
      </c>
      <c r="GW123" s="303">
        <v>1</v>
      </c>
      <c r="GX123" s="304">
        <f t="shared" si="527"/>
        <v>5.84803899567546E-2</v>
      </c>
      <c r="GY123" s="304">
        <f>$GX123*(VLOOKUP($GV$9,各项系数!$D$1:$F$143,2,0))</f>
        <v>3.9474263220809354</v>
      </c>
      <c r="GZ123" s="315">
        <f>各项系数!$F$76/4*($MV123^2-$MS123^2)*10^-2*(VLOOKUP($GZ$9,各项系数!$D$1:$F$143,3,0))*10^-3*10^2*各项系数!$J$4</f>
        <v>0.48066321282344471</v>
      </c>
      <c r="HA123" s="303">
        <v>1</v>
      </c>
      <c r="HB123" s="304">
        <f t="shared" si="412"/>
        <v>0.48066321282344471</v>
      </c>
      <c r="HC123" s="304">
        <f>HB123*(VLOOKUP($GZ$9,各项系数!$D$1:$F$143,2,0))</f>
        <v>8.1712746179985594</v>
      </c>
      <c r="HD123" s="315">
        <f>各项系数!$F$76/4*($MW123^2-$MT123^2)*10^-2*(VLOOKUP($HD$9,各项系数!$D$1:$F$143,3,0))*10^-3*10^2*各项系数!$J$4</f>
        <v>0.48240370541901589</v>
      </c>
      <c r="HE123" s="303">
        <v>1</v>
      </c>
      <c r="HF123" s="304">
        <f t="shared" si="413"/>
        <v>0.48240370541901589</v>
      </c>
      <c r="HG123" s="304">
        <f>HF123*(VLOOKUP($HD$9,各项系数!$D$1:$F$143,2,0))</f>
        <v>8.2008629921232696</v>
      </c>
      <c r="HH123" s="315">
        <f>各项系数!$F$76/4*($MV123^2-$MS123^2)*10^-2*(VLOOKUP($HH$9,各项系数!$D$1:$F$143,3,0))*10^-3*10^2*各项系数!$J$4</f>
        <v>0.48066321282344471</v>
      </c>
      <c r="HI123" s="322">
        <v>1</v>
      </c>
      <c r="HJ123" s="304">
        <f t="shared" si="414"/>
        <v>0.48066321282344471</v>
      </c>
      <c r="HK123" s="304">
        <f>HJ123*(VLOOKUP($HH$9,各项系数!$D$1:$F$143,2,0))</f>
        <v>8.1712746179985594</v>
      </c>
      <c r="HL123" s="315">
        <f>各项系数!$F$76/4*($MW123^2-$MT123^2)*10^-2*(VLOOKUP($HL$9,各项系数!$D$1:$F$143,3,0))*10^-3*10^2*各项系数!$J$4</f>
        <v>0.48240370541901589</v>
      </c>
      <c r="HM123" s="322">
        <v>1</v>
      </c>
      <c r="HN123" s="304">
        <f t="shared" si="362"/>
        <v>0.48240370541901589</v>
      </c>
      <c r="HO123" s="304">
        <f>HN123*(VLOOKUP($HL$9,各项系数!$D$1:$F$143,2,0))</f>
        <v>8.2008629921232696</v>
      </c>
      <c r="HP123" s="315">
        <f>各项系数!$F$76/4*($MV123^2-$MS123^2)*10^-2*(VLOOKUP(AN123,各项系数!$D$1:$F$143,3,0))*10^-3*10^2*各项系数!$J$4</f>
        <v>0.48729305024169911</v>
      </c>
      <c r="HQ123" s="303">
        <v>1</v>
      </c>
      <c r="HR123" s="304">
        <f t="shared" si="528"/>
        <v>0.48729305024169911</v>
      </c>
      <c r="HS123" s="304">
        <f>HR123*(VLOOKUP(AN123,各项系数!$D$1:$F$143,2,0))</f>
        <v>4.8729305024169909</v>
      </c>
      <c r="HT123" s="315">
        <f>各项系数!$F$76/4*($MW123^2-$MT123^2)*10^-2*(VLOOKUP(AN123,各项系数!$D$1:$F$143,3,0))*10^-3*10^2*各项系数!$J$4</f>
        <v>0.48905754963169207</v>
      </c>
      <c r="HU123" s="303">
        <v>1</v>
      </c>
      <c r="HV123" s="304">
        <f t="shared" si="529"/>
        <v>0.48905754963169207</v>
      </c>
      <c r="HW123" s="304">
        <f>HV123*(VLOOKUP(AN123,各项系数!$D$1:$F$143,2,0))</f>
        <v>4.890575496316921</v>
      </c>
      <c r="HX123" s="315">
        <f>各项系数!$F$76/4*($MV123^2-$MS123^2)*10^-2*(VLOOKUP($HX$9,各项系数!$D$1:$F$143,3,0))*10^-3*10^2*各项系数!$J$4</f>
        <v>0.48729305024169911</v>
      </c>
      <c r="HY123" s="322">
        <v>1</v>
      </c>
      <c r="HZ123" s="304">
        <f t="shared" si="530"/>
        <v>0.48729305024169911</v>
      </c>
      <c r="IA123" s="304">
        <f>HZ123*(VLOOKUP($HX$9,各项系数!$D$1:$F$143,2,0))</f>
        <v>5.3602235526586899</v>
      </c>
      <c r="IB123" s="315">
        <f>各项系数!$F$76/4*($MW123^2-$MT123^2)*10^-2*(VLOOKUP($IB$9,各项系数!$D$1:$F$143,3,0))*10^-3*10^2*各项系数!$J$4</f>
        <v>0.48905754963169207</v>
      </c>
      <c r="IC123" s="322">
        <v>1</v>
      </c>
      <c r="ID123" s="304">
        <f t="shared" si="531"/>
        <v>0.48905754963169207</v>
      </c>
      <c r="IE123" s="304">
        <f>ID123*(VLOOKUP($IB$9,各项系数!$D$1:$F$143,2,0))</f>
        <v>5.379633045948613</v>
      </c>
      <c r="IF123" s="328"/>
      <c r="IG123" s="315">
        <f t="shared" si="415"/>
        <v>9.4183965676759268E-2</v>
      </c>
      <c r="IH123" s="303">
        <v>1</v>
      </c>
      <c r="II123" s="304">
        <f t="shared" si="532"/>
        <v>9.4183965676759268E-2</v>
      </c>
      <c r="IJ123" s="304">
        <f>II123*(VLOOKUP($IG$8,各项系数!$D$1:$F$143,2,0))</f>
        <v>2.3545991419189818</v>
      </c>
      <c r="IK123" s="315">
        <f>(各项系数!$F$76/4*($MX123^2-$MK123^2)*$EG123)*10^-2*(VLOOKUP($IG$8,各项系数!$D$1:$F$143,3,0))*10^-3*10^2*各项系数!$J$4</f>
        <v>6.3279197130826373E-2</v>
      </c>
      <c r="IL123" s="303">
        <f>IK123*(VLOOKUP($IG$8,各项系数!$D$1:$F$143,2,0))</f>
        <v>1.5819799282706593</v>
      </c>
      <c r="IM123" s="304">
        <f>(各项系数!$F$76/4*(($MM123+3*$X123)^2-MM123^2)*$EO123)*10^-2*(VLOOKUP($IG$8,各项系数!$D$1:$F$143,3,0))*10^-3*10^2*各项系数!$J$4</f>
        <v>3.0904768545932888E-2</v>
      </c>
      <c r="IN123" s="303">
        <f>IM123*(VLOOKUP($IG$8,各项系数!$D$1:$F$143,2,0))</f>
        <v>0.7726192136483222</v>
      </c>
      <c r="IO123" s="315">
        <f>各项系数!$F$76/4*($MZ123^2-$MX123^2)*10^-2*(VLOOKUP(L123,各项系数!$D$1:$F$143,3,0))*10^-3*10^2*$ES123*各项系数!$J$4</f>
        <v>0.34031122218489279</v>
      </c>
      <c r="IP123" s="303">
        <v>1</v>
      </c>
      <c r="IQ123" s="304">
        <f t="shared" si="533"/>
        <v>0.34031122218489279</v>
      </c>
      <c r="IR123" s="285">
        <f>IQ123*(VLOOKUP(L123,各项系数!$D$1:$F$143,2,0))</f>
        <v>3.4711744662859063</v>
      </c>
      <c r="IS123" s="315">
        <f>IF($L123&lt;&gt;$IS$9,0,各项系数!$F$76/4*($MZ123^2-$MX123^2)*10^-2*各项系数!$F$12*10^-3*10^2)*$ES123*各项系数!$J$4</f>
        <v>0</v>
      </c>
      <c r="IT123" s="303">
        <v>1</v>
      </c>
      <c r="IU123" s="304">
        <f t="shared" si="534"/>
        <v>0</v>
      </c>
      <c r="IV123" s="285">
        <f>IU123*各项系数!$E$12</f>
        <v>0</v>
      </c>
      <c r="IW123" s="302">
        <f t="shared" si="535"/>
        <v>0.34031122218489279</v>
      </c>
      <c r="IX123" s="302">
        <f t="shared" si="536"/>
        <v>3.4711744662859063</v>
      </c>
      <c r="IY123" s="339">
        <f>各项系数!$F$76/4*($NB123^2-$MZ123^2*$EG123-$NA123^2*$EO123)*10^-2</f>
        <v>4.5054402155537518</v>
      </c>
      <c r="IZ123" s="284">
        <f t="shared" si="487"/>
        <v>1</v>
      </c>
      <c r="JA123" s="285">
        <f t="shared" si="363"/>
        <v>4.5054402155537518</v>
      </c>
      <c r="JB123" s="282">
        <f>IF($DE123&lt;&gt;$JB$9,0,$JA123*各项系数!$F$32*10^-3*10^2)*各项系数!$J$4</f>
        <v>0</v>
      </c>
      <c r="JC123" s="102">
        <v>1</v>
      </c>
      <c r="JD123" s="189">
        <f t="shared" si="537"/>
        <v>0</v>
      </c>
      <c r="JE123" s="262">
        <f>JD123*各项系数!$E$32</f>
        <v>0</v>
      </c>
      <c r="JF123" s="282">
        <f>IF($DE123&lt;&gt;$JF$9,0,$JA123*VLOOKUP($JF$9,各项系数!$D$4:$F$540,2,0)*10^-3*10^2)*各项系数!$J$4</f>
        <v>2.2414565072379915</v>
      </c>
      <c r="JG123" s="102">
        <v>1</v>
      </c>
      <c r="JH123" s="189">
        <f t="shared" si="364"/>
        <v>2.2414565072379915</v>
      </c>
      <c r="JI123" s="262">
        <f>JH123*VLOOKUP($JF$9,各项系数!$D$4:$F$540,3,0)</f>
        <v>2.6897478086855897</v>
      </c>
      <c r="JJ123" s="282">
        <f t="shared" si="538"/>
        <v>2.2414565072379915</v>
      </c>
      <c r="JK123" s="189">
        <f t="shared" si="539"/>
        <v>2.6897478086855897</v>
      </c>
      <c r="JL123" s="282">
        <f>IF($DF123&lt;&gt;$JL$9,0,各项系数!$F$76/4*($NE123^2-$NC123^2)*10^-2*各项系数!$F$39*10^-3*10^2)*各项系数!$J$4</f>
        <v>4.9026083174028776E-3</v>
      </c>
      <c r="JM123" s="102">
        <v>1</v>
      </c>
      <c r="JN123" s="189">
        <f t="shared" si="540"/>
        <v>4.9026083174028776E-3</v>
      </c>
      <c r="JO123" s="262">
        <f>JN123*各项系数!$E$39</f>
        <v>9.8052166348057551E-2</v>
      </c>
      <c r="JP123" s="282">
        <f>IF($DF123&lt;&gt;$JP$9,0,各项系数!$F$76/4*($NE123^2-$NC123^2)*10^-2*各项系数!$F$36*10^-3*10^2)*各项系数!$J$4</f>
        <v>0</v>
      </c>
      <c r="JQ123" s="102">
        <v>1</v>
      </c>
      <c r="JR123" s="189">
        <f t="shared" si="541"/>
        <v>0</v>
      </c>
      <c r="JS123" s="262">
        <f>JR123*各项系数!$E$36</f>
        <v>0</v>
      </c>
      <c r="JT123" s="282">
        <f>IF($DF123&lt;&gt;$JT$9,0,各项系数!$F$76/4*($NE123^2-$NC123^2)*10^-2*各项系数!$F$40*10^-3*10^2)*各项系数!$J$4</f>
        <v>0</v>
      </c>
      <c r="JU123" s="102">
        <v>1</v>
      </c>
      <c r="JV123" s="189">
        <f t="shared" si="542"/>
        <v>0</v>
      </c>
      <c r="JW123" s="262">
        <f>JV123*各项系数!$E$40</f>
        <v>0</v>
      </c>
      <c r="JX123" s="282">
        <f>IF($DF123&lt;&gt;$JX$9,0,各项系数!$F$76/4*($NE123^2-$NC123^2)*10^-2*各项系数!$F$38*10^-3*10^2)*各项系数!$J$4</f>
        <v>0</v>
      </c>
      <c r="JY123" s="102">
        <v>1</v>
      </c>
      <c r="JZ123" s="189">
        <f t="shared" si="543"/>
        <v>0</v>
      </c>
      <c r="KA123" s="262">
        <f>JZ123*各项系数!$E$38</f>
        <v>0</v>
      </c>
      <c r="KB123" s="282">
        <f>IF($DF123&lt;&gt;$KB$9,0,各项系数!$F$76/4*($NE123^2-$NC123^2)*10^-2*各项系数!$F$41*10^-3*10^2)*各项系数!$J$4</f>
        <v>0</v>
      </c>
      <c r="KC123" s="102">
        <v>1</v>
      </c>
      <c r="KD123" s="189">
        <f t="shared" si="544"/>
        <v>0</v>
      </c>
      <c r="KE123" s="262">
        <f>KD123*各项系数!$E$41</f>
        <v>0</v>
      </c>
      <c r="KF123" s="189">
        <f t="shared" si="545"/>
        <v>4.9026083174028776E-3</v>
      </c>
      <c r="KG123" s="189">
        <f t="shared" si="546"/>
        <v>9.8052166348057551E-2</v>
      </c>
      <c r="KH123" s="235">
        <f>各项系数!$F$76/4*($NG123^2-$NE123^2)*10^-2*各项系数!$F$44*10^-3*10^2*各项系数!$J$4*0.75*$U123</f>
        <v>1.2219998819552178</v>
      </c>
      <c r="KI123" s="102">
        <v>1</v>
      </c>
      <c r="KJ123" s="189">
        <f t="shared" si="547"/>
        <v>1.2219998819552178</v>
      </c>
      <c r="KK123" s="189">
        <f>ROUND(KJ123*各项系数!$E$43,GT123)</f>
        <v>7</v>
      </c>
      <c r="KL123" s="235">
        <f>各项系数!$F$76/4*($NF123^2-$NE123^2)*10^-2*各项系数!$F$46*10^-3*10^2*各项系数!$J$4*PI()/4*R123</f>
        <v>6.1134373164740075E-2</v>
      </c>
      <c r="KM123" s="102">
        <v>1</v>
      </c>
      <c r="KN123" s="189">
        <f t="shared" si="548"/>
        <v>6.1134373164740075E-2</v>
      </c>
      <c r="KO123" s="189">
        <f>KN123*各项系数!$E$46</f>
        <v>4.1265701886199553</v>
      </c>
      <c r="KP123" s="235">
        <f>各项系数!$F$76/4*($NH123^2-$NE123^2)*10^-2*(VLOOKUP($KP$9,各项系数!$D$1:$F$143,3,0))*10^-3*10^2*各项系数!$J$4</f>
        <v>0.50133156239585319</v>
      </c>
      <c r="KQ123" s="102">
        <v>1</v>
      </c>
      <c r="KR123" s="189">
        <f t="shared" si="416"/>
        <v>0.50133156239585319</v>
      </c>
      <c r="KS123" s="189">
        <f>KR123*(VLOOKUP($KP$9,各项系数!$D$1:$F$143,2,0))</f>
        <v>8.522636560729504</v>
      </c>
      <c r="KT123" s="235">
        <f>各项系数!$F$76/4*($NI123^2-$NF123^2)*10^-2*(VLOOKUP($KT$9,各项系数!$D$1:$F$143,3,0))*10^-3*10^2*各项系数!$J$4</f>
        <v>0.50307205499142404</v>
      </c>
      <c r="KU123" s="102">
        <v>1</v>
      </c>
      <c r="KV123" s="189">
        <f t="shared" si="417"/>
        <v>0.50307205499142404</v>
      </c>
      <c r="KW123" s="189">
        <f>KV123*(VLOOKUP($KT$9,各项系数!$D$1:$F$143,2,0))</f>
        <v>8.552224934854209</v>
      </c>
      <c r="KX123" s="189">
        <f>各项系数!$F$76/4*($NH123^2-$NE123^2)*10^-2*(VLOOKUP($KX$9,各项系数!$D$1:$F$143,3,0))*10^-3*10^2*各项系数!$J$4</f>
        <v>0.50133156239585319</v>
      </c>
      <c r="KY123" s="353">
        <v>1</v>
      </c>
      <c r="KZ123" s="189">
        <f t="shared" si="418"/>
        <v>0.50133156239585319</v>
      </c>
      <c r="LA123" s="189">
        <f>KZ123*(VLOOKUP($KX$9,各项系数!$D$1:$F$143,2,0))</f>
        <v>8.522636560729504</v>
      </c>
      <c r="LB123" s="189">
        <f>各项系数!$F$76/4*($NI123^2-$NF123^2)*10^-2*(VLOOKUP($LB$9,各项系数!$D$1:$F$143,3,0))*10^-3*10^2*各项系数!$J$4</f>
        <v>0.50307205499142404</v>
      </c>
      <c r="LC123" s="353">
        <v>1</v>
      </c>
      <c r="LD123" s="189">
        <f t="shared" si="419"/>
        <v>0.50307205499142404</v>
      </c>
      <c r="LE123" s="189">
        <f>LD123*(VLOOKUP($LB$9,各项系数!$D$1:$F$143,2,0))</f>
        <v>8.552224934854209</v>
      </c>
      <c r="LF123" s="235">
        <f>各项系数!$F$76/4*($NH123^2-$NE123^2)*10^-2*(VLOOKUP(AN123,各项系数!$D$1:$F$143,3,0))*10^-3*10^2*各项系数!$J$4</f>
        <v>0.50824648049786492</v>
      </c>
      <c r="LG123" s="102">
        <v>1</v>
      </c>
      <c r="LH123" s="189">
        <f t="shared" si="549"/>
        <v>0.50824648049786492</v>
      </c>
      <c r="LI123" s="189">
        <f>LH123*(VLOOKUP(AN123,各项系数!$D$1:$F$143,2,0))</f>
        <v>5.0824648049786489</v>
      </c>
      <c r="LJ123" s="235">
        <f>各项系数!$F$76/4*($NI123^2-$NF123^2)*10^-2*(VLOOKUP(AN123,各项系数!$D$1:$F$143,3,0))*10^-3*10^2*各项系数!$J$4</f>
        <v>0.51001097988785749</v>
      </c>
      <c r="LK123" s="102">
        <v>1</v>
      </c>
      <c r="LL123" s="189">
        <f t="shared" si="550"/>
        <v>0.51001097988785749</v>
      </c>
      <c r="LM123" s="189">
        <f>LL123*(VLOOKUP(AN123,各项系数!$D$1:$F$143,2,0))</f>
        <v>5.1001097988785746</v>
      </c>
      <c r="LN123" s="189">
        <f>各项系数!$F$76/4*($NH123^2-$NE123^2)*10^-2*(VLOOKUP($LN$9,各项系数!$D$1:$F$143,3,0))*10^-3*10^2*各项系数!$J$4</f>
        <v>0.50824648049786492</v>
      </c>
      <c r="LO123" s="353">
        <v>1</v>
      </c>
      <c r="LP123" s="189">
        <f t="shared" si="551"/>
        <v>0.50824648049786492</v>
      </c>
      <c r="LQ123" s="189">
        <f>LP123*(VLOOKUP($LN$9,各项系数!$D$1:$F$143,2,0))</f>
        <v>5.5907112854765142</v>
      </c>
      <c r="LR123" s="189">
        <f>各项系数!$F$76/4*($NI123^2-$NF123^2)*10^-2*(VLOOKUP($LR$9,各项系数!$D$1:$F$143,3,0))*10^-3*10^2*各项系数!$J$4</f>
        <v>0.51001097988785749</v>
      </c>
      <c r="LS123" s="353">
        <v>1</v>
      </c>
      <c r="LT123" s="189">
        <f t="shared" si="552"/>
        <v>0.51001097988785749</v>
      </c>
      <c r="LU123" s="189">
        <f>LT123*(VLOOKUP($LR$9,各项系数!$D$1:$F$143,2,0))</f>
        <v>5.610120778766432</v>
      </c>
      <c r="LV123" s="227">
        <f t="shared" si="420"/>
        <v>508.82233972</v>
      </c>
      <c r="LW123" s="227">
        <f t="shared" si="421"/>
        <v>339.21489315000002</v>
      </c>
      <c r="LX123" s="227">
        <f t="shared" si="422"/>
        <v>20.782247619583714</v>
      </c>
      <c r="LY123" s="227">
        <f t="shared" si="423"/>
        <v>169.60744656999998</v>
      </c>
      <c r="LZ123" s="374">
        <f t="shared" si="365"/>
        <v>1</v>
      </c>
      <c r="MA123" s="375">
        <f t="shared" si="366"/>
        <v>508.82233972</v>
      </c>
      <c r="MB123" s="375">
        <f t="shared" si="424"/>
        <v>14.695268220000001</v>
      </c>
      <c r="MC123" s="227">
        <f t="shared" si="425"/>
        <v>179.34506569000001</v>
      </c>
      <c r="MD123" s="227">
        <f t="shared" si="426"/>
        <v>129.10417615</v>
      </c>
      <c r="ME123" s="227">
        <f t="shared" si="427"/>
        <v>12.821097553042573</v>
      </c>
      <c r="MF123" s="227">
        <f t="shared" si="428"/>
        <v>50.240889540000012</v>
      </c>
      <c r="MG123" s="374">
        <f t="shared" si="429"/>
        <v>1</v>
      </c>
      <c r="MH123" s="375">
        <f t="shared" si="367"/>
        <v>179.34506569000001</v>
      </c>
      <c r="MI123" s="375">
        <f t="shared" si="430"/>
        <v>10.685252214843445</v>
      </c>
      <c r="MJ123" s="189">
        <f t="shared" si="368"/>
        <v>14.695268220000001</v>
      </c>
      <c r="MK123" s="189">
        <f t="shared" si="431"/>
        <v>14.695268220000001</v>
      </c>
      <c r="ML123" s="189">
        <f t="shared" si="553"/>
        <v>10.685252214779355</v>
      </c>
      <c r="MM123" s="189">
        <f t="shared" si="369"/>
        <v>10.685252214843445</v>
      </c>
      <c r="MN123" s="189">
        <f t="shared" si="370"/>
        <v>17.095268220000001</v>
      </c>
      <c r="MO123" s="189">
        <f t="shared" si="432"/>
        <v>12.885252214843444</v>
      </c>
      <c r="MP123" s="189">
        <f t="shared" si="433"/>
        <v>41.610406910000002</v>
      </c>
      <c r="MQ123" s="189">
        <f t="shared" si="554"/>
        <v>41.610406910000002</v>
      </c>
      <c r="MR123" s="246">
        <f t="shared" si="434"/>
        <v>41.610406910000002</v>
      </c>
      <c r="MS123" s="380">
        <f t="shared" si="371"/>
        <v>41.786406910000004</v>
      </c>
      <c r="MT123" s="380">
        <f t="shared" si="372"/>
        <v>41.94640691</v>
      </c>
      <c r="MU123" s="380">
        <f t="shared" si="373"/>
        <v>43.286406910000004</v>
      </c>
      <c r="MV123" s="380">
        <f t="shared" si="374"/>
        <v>46.586406910000001</v>
      </c>
      <c r="MW123" s="380">
        <f t="shared" si="375"/>
        <v>46.746406909999997</v>
      </c>
      <c r="MX123" s="254">
        <f t="shared" si="376"/>
        <v>15.295268220000001</v>
      </c>
      <c r="MY123" s="254">
        <f t="shared" si="377"/>
        <v>11.285252214843444</v>
      </c>
      <c r="MZ123" s="189">
        <f t="shared" si="378"/>
        <v>17.695268219999999</v>
      </c>
      <c r="NA123" s="189">
        <f t="shared" si="379"/>
        <v>13.685252214843445</v>
      </c>
      <c r="NB123" s="189">
        <f t="shared" si="435"/>
        <v>43.44640691</v>
      </c>
      <c r="NC123" s="254">
        <f t="shared" si="555"/>
        <v>43.44640691</v>
      </c>
      <c r="ND123" s="246">
        <f t="shared" si="436"/>
        <v>43.44640691</v>
      </c>
      <c r="NE123" s="386">
        <f t="shared" si="437"/>
        <v>43.686406910000002</v>
      </c>
      <c r="NF123" s="380">
        <f t="shared" si="380"/>
        <v>43.846406909999999</v>
      </c>
      <c r="NG123" s="387">
        <f t="shared" si="381"/>
        <v>45.186406910000002</v>
      </c>
      <c r="NH123" s="254">
        <f t="shared" si="382"/>
        <v>48.486406909999999</v>
      </c>
      <c r="NI123" s="380">
        <f t="shared" si="383"/>
        <v>48.646406909999996</v>
      </c>
      <c r="NK123" s="388">
        <f t="shared" si="384"/>
        <v>5.5602002094294676</v>
      </c>
      <c r="NL123" s="388">
        <f t="shared" si="385"/>
        <v>285.17906631863161</v>
      </c>
      <c r="NM123" s="388">
        <f t="shared" si="386"/>
        <v>5.5602002094294676</v>
      </c>
      <c r="NN123" s="388">
        <f t="shared" si="387"/>
        <v>285.66635936887332</v>
      </c>
      <c r="NO123" s="388">
        <f t="shared" si="388"/>
        <v>7.4163983076685955</v>
      </c>
      <c r="NP123" s="388">
        <f t="shared" si="389"/>
        <v>289.33238306797324</v>
      </c>
      <c r="NQ123" s="388">
        <f t="shared" si="390"/>
        <v>7.4163983076685955</v>
      </c>
      <c r="NR123" s="388">
        <f t="shared" si="391"/>
        <v>289.8406295484711</v>
      </c>
      <c r="NS123" s="388">
        <f t="shared" si="392"/>
        <v>5.6186805993862219</v>
      </c>
      <c r="NT123" s="388">
        <f t="shared" si="393"/>
        <v>5.6186805993862219</v>
      </c>
      <c r="NU123" s="388">
        <f t="shared" si="394"/>
        <v>7.4775326808333356</v>
      </c>
      <c r="NV123" s="388">
        <f t="shared" si="395"/>
        <v>7.4775326808333356</v>
      </c>
      <c r="NW123">
        <f t="shared" si="396"/>
        <v>6.3400335013530125</v>
      </c>
      <c r="NX123">
        <f>各项系数!$M$9*NK123</f>
        <v>1.6680600628288402</v>
      </c>
      <c r="NY123">
        <f t="shared" si="397"/>
        <v>5.6186805993862219</v>
      </c>
    </row>
    <row r="124" spans="1:389" ht="15" hidden="1" customHeight="1">
      <c r="A124" s="69"/>
      <c r="B124" s="70"/>
      <c r="C124" s="71"/>
      <c r="D124" s="53" t="s">
        <v>414</v>
      </c>
      <c r="E124" s="399">
        <f t="shared" si="503"/>
        <v>49.096555810000005</v>
      </c>
      <c r="F124" s="68">
        <f>$F$28</f>
        <v>243.33587022849699</v>
      </c>
      <c r="G124" s="58"/>
      <c r="H124" s="16"/>
      <c r="I124" s="145">
        <f>$F$25</f>
        <v>242.29596858910099</v>
      </c>
      <c r="J124" s="62"/>
      <c r="K124" s="16"/>
      <c r="L124" s="97" t="s">
        <v>467</v>
      </c>
      <c r="M124" s="103">
        <f t="shared" si="339"/>
        <v>1.4</v>
      </c>
      <c r="N124" s="103">
        <f t="shared" si="501"/>
        <v>1.1000000000000001</v>
      </c>
      <c r="O124" s="53">
        <f t="shared" si="556"/>
        <v>0.08</v>
      </c>
      <c r="P124" s="99">
        <v>0.1</v>
      </c>
      <c r="Q124" s="133">
        <f t="shared" ref="Q124:Q133" si="557">$Q$12</f>
        <v>0.1</v>
      </c>
      <c r="R124" s="70">
        <v>0.8</v>
      </c>
      <c r="S124" s="142" t="str">
        <f>各项系数!$D$43</f>
        <v>钢带</v>
      </c>
      <c r="T124" s="102">
        <v>0.5</v>
      </c>
      <c r="U124" s="102">
        <v>2</v>
      </c>
      <c r="V124" s="140"/>
      <c r="W124" s="141">
        <v>2.6</v>
      </c>
      <c r="X124" s="135">
        <f t="shared" ref="X124:X133" si="558">$X$12</f>
        <v>0.2</v>
      </c>
      <c r="Y124" s="135"/>
      <c r="Z124" s="168"/>
      <c r="AA124" s="153">
        <f>$AA$28</f>
        <v>1.0149999999999999</v>
      </c>
      <c r="AB124" s="153">
        <f>PI()*EJ124*EJ124/4*EH124*(1-H124)*AA124*各项系数!$F$5*各项系数!$J$4*10^-7</f>
        <v>1.2526054194523586</v>
      </c>
      <c r="AC124" s="153">
        <f t="shared" si="504"/>
        <v>243.33587022849699</v>
      </c>
      <c r="AD124" s="153">
        <f t="shared" si="341"/>
        <v>141.60853982537643</v>
      </c>
      <c r="AE124" s="153">
        <f>POWER(4*EU124/PI()/EG124/10^-7/EH124/(1-H124)/各项系数!$F$5/各项系数!$J$4,0.5)</f>
        <v>245.15409628631093</v>
      </c>
      <c r="AF124" s="69">
        <f>$AA$25</f>
        <v>1.0129999999999999</v>
      </c>
      <c r="AG124" s="69">
        <f>IF(EM124=0,0,PI()*ER124*ER124/4*EP124*(1-K124)*(1+AF124)*各项系数!$F$5*各项系数!$J$4*10^-7)</f>
        <v>1.1494204248229618</v>
      </c>
      <c r="AH124" s="69">
        <f t="shared" si="505"/>
        <v>242.29596858910099</v>
      </c>
      <c r="AI124" s="69">
        <f t="shared" si="398"/>
        <v>65.39126499722515</v>
      </c>
      <c r="AJ124" s="69">
        <f>IF(OR(EP124="",EP124=0),0,POWER(4*EW124/PI()/EO124/10^-7/EP124/(1-K124)/各项系数!$F$5/各项系数!$J$4,0.5))</f>
        <v>243.86580688497418</v>
      </c>
      <c r="AK124" s="69">
        <f t="shared" si="342"/>
        <v>4.9146596665494853</v>
      </c>
      <c r="AL124" s="69">
        <f t="shared" si="506"/>
        <v>343.03433064898161</v>
      </c>
      <c r="AM124" s="188">
        <f t="shared" si="507"/>
        <v>150</v>
      </c>
      <c r="AN124" s="97" t="s">
        <v>486</v>
      </c>
      <c r="AO124" s="196">
        <f>AP124+各项系数!$M$9*$NK124</f>
        <v>336.30816730292315</v>
      </c>
      <c r="AP124" s="196">
        <f>AQ124*(1+$BI124+(VLOOKUP($AM124,$A$12:$B$323,2,0))+各项系数!$J$6+各项系数!$M$5)*(1+$E$2)</f>
        <v>334.37774047608656</v>
      </c>
      <c r="AQ124" s="197">
        <f>AR124+各项系数!$L$9*$NK124</f>
        <v>341.20177599600669</v>
      </c>
      <c r="AR124" s="197">
        <f>AS124*(1+$BJ124+各项系数!$J$5+各项系数!$L$5)</f>
        <v>339.27134916917009</v>
      </c>
      <c r="AS124" s="197">
        <f t="shared" si="399"/>
        <v>332.61896977369616</v>
      </c>
      <c r="AT124" s="196">
        <f>AU124+各项系数!$M$9*$NM124</f>
        <v>340.06668339246795</v>
      </c>
      <c r="AU124" s="196">
        <f>AV124*(1+$BI124+(VLOOKUP($AM124,$A$12:$B$323,2,0))+各项系数!$J$6+各项系数!$M$5)*(1+$E$2)</f>
        <v>338.13625656563136</v>
      </c>
      <c r="AV124" s="197">
        <f>AW124+各项系数!$L$9*$NM124</f>
        <v>345.03699649554221</v>
      </c>
      <c r="AW124" s="197">
        <f>AX124*(1+$BJ124+各项系数!$J$5+各项系数!$L$5)</f>
        <v>343.10656966870562</v>
      </c>
      <c r="AX124" s="197">
        <f t="shared" si="400"/>
        <v>336.37898987128</v>
      </c>
      <c r="AY124" s="196">
        <f>AZ124+各项系数!$M$9*$NS124</f>
        <v>340.50848903467511</v>
      </c>
      <c r="AZ124" s="196">
        <f>BA124*(1+$BI124+(VLOOKUP($AM124,$A$12:$B$214,2,0))+各项系数!$J$6+各项系数!$M$5)*(1+$E$2)</f>
        <v>338.55963383299672</v>
      </c>
      <c r="BA124" s="197">
        <f>BB124+各项系数!$L$9*$NS124</f>
        <v>345.4690141153028</v>
      </c>
      <c r="BB124" s="197">
        <f>BC124*(1+$BJ124+各项系数!$J$5+各项系数!$L$5)</f>
        <v>343.52015891362441</v>
      </c>
      <c r="BC124" s="199">
        <f t="shared" si="401"/>
        <v>336.78446952316119</v>
      </c>
      <c r="BD124" s="196">
        <f>BE124+各项系数!$M$9*$NS124</f>
        <v>344.2799386106654</v>
      </c>
      <c r="BE124" s="196">
        <f>BF124*(1+$BI124+(VLOOKUP($AM124,$A$12:$B$214,2,0))+各项系数!$J$6+各项系数!$M$5)*(1+$E$2)</f>
        <v>342.33108340898701</v>
      </c>
      <c r="BF124" s="197">
        <f>BG124+各项系数!$L$9*$NS124</f>
        <v>349.31743204998673</v>
      </c>
      <c r="BG124" s="197">
        <f>BH124*(1+$BJ124+各项系数!$J$5+各项系数!$L$5)</f>
        <v>347.36857684830835</v>
      </c>
      <c r="BH124" s="199">
        <f t="shared" si="402"/>
        <v>340.55742828265522</v>
      </c>
      <c r="BI124" s="213"/>
      <c r="BJ124" s="208"/>
      <c r="BK124" s="53" t="s">
        <v>514</v>
      </c>
      <c r="BL124" s="196">
        <f>BM124+各项系数!$M$9*$NM124</f>
        <v>340.12855536762561</v>
      </c>
      <c r="BM124" s="196">
        <f>BN124*(1+$CF124+(VLOOKUP($AM124,$A$12:$B$323,2,0))+各项系数!$J$6+各项系数!$M$5)*(1+$E$2)</f>
        <v>338.19812854078901</v>
      </c>
      <c r="BN124" s="197">
        <f>BO124+各项系数!$L$9*$NM124</f>
        <v>345.10013116407043</v>
      </c>
      <c r="BO124" s="197">
        <f>BP124*(1+$CG124+各项系数!$J$5+各项系数!$L$5)</f>
        <v>343.16970433723384</v>
      </c>
      <c r="BP124" s="197">
        <f t="shared" si="403"/>
        <v>333.17447023032412</v>
      </c>
      <c r="BQ124" s="196">
        <f>BR124+各项系数!$M$9*$NM124</f>
        <v>343.36319749320648</v>
      </c>
      <c r="BR124" s="196">
        <f>BS124*(1+$CF124+(VLOOKUP($AM124,$A$12:$B$323,2,0))+各项系数!$J$6+各项系数!$M$5)*(1+$E$2)</f>
        <v>341.43277066636989</v>
      </c>
      <c r="BS124" s="197">
        <f>BT124+各项系数!$L$9*$NM124</f>
        <v>348.40078639425502</v>
      </c>
      <c r="BT124" s="197">
        <f>BU124*(1+$CG124+各项系数!$J$5+各项系数!$L$5)</f>
        <v>346.47035956741843</v>
      </c>
      <c r="BU124" s="197">
        <f t="shared" si="404"/>
        <v>336.37898987128</v>
      </c>
      <c r="BV124" s="196">
        <f>BW124+各项系数!$M$9*$NT124</f>
        <v>342.46984854386068</v>
      </c>
      <c r="BW124" s="196">
        <f>BX124*(1+$CF124+(VLOOKUP($AM124,$A$12:$B$214,2,0))+各项系数!$J$6+各项系数!$M$5)*(1+$E$2)</f>
        <v>340.52099334218229</v>
      </c>
      <c r="BX124" s="197">
        <f>BY124+各项系数!$L$9*$NT$12</f>
        <v>347.47040136957378</v>
      </c>
      <c r="BY124" s="197">
        <f>BZ124*(1+$CG124+各项系数!$J$5+各项系数!$L$5)</f>
        <v>347.46213796641882</v>
      </c>
      <c r="BZ124" s="199">
        <f t="shared" si="343"/>
        <v>337.34188152079497</v>
      </c>
      <c r="CA124" s="196">
        <f>CB124+各项系数!$M$9*$NT124</f>
        <v>345.71562144528241</v>
      </c>
      <c r="CB124" s="196">
        <f>CC124*(1+$CF124+(VLOOKUP($AM124,$A$12:$B$214,2,0))+各项系数!$J$6+各项系数!$M$5)*(1+$E$2)</f>
        <v>343.76676624360402</v>
      </c>
      <c r="CC124" s="197">
        <f>CD124+各项系数!$L$9*$NT$12</f>
        <v>350.78241453428984</v>
      </c>
      <c r="CD124" s="197">
        <f>CE124*(1+$CG124+各项系数!$J$5+各项系数!$L$5)</f>
        <v>350.77415113113489</v>
      </c>
      <c r="CE124" s="199">
        <f t="shared" si="405"/>
        <v>340.55742828265522</v>
      </c>
      <c r="CF124" s="213">
        <f t="shared" si="514"/>
        <v>0</v>
      </c>
      <c r="CG124" s="213">
        <f t="shared" si="344"/>
        <v>0.01</v>
      </c>
      <c r="CH124" s="102"/>
      <c r="CI124" s="196">
        <f>CJ124+各项系数!$M$9*$NO124</f>
        <v>344.46432731713418</v>
      </c>
      <c r="CJ124" s="196">
        <f>CK124*(1+$DC124+(VLOOKUP($AM124,$A$12:$B$323,2,0))+各项系数!$J$6+各项系数!$M$5)*(1+$E$2)+各项系数!$M$9*$NK124</f>
        <v>341.90279764986178</v>
      </c>
      <c r="CK124" s="197">
        <f>CL124+各项系数!$L$9*$NO124</f>
        <v>346.91058247247469</v>
      </c>
      <c r="CL124" s="197">
        <f>CM124*(1+$DD124+各项系数!$J$5+各项系数!$L$5)</f>
        <v>344.34905280520229</v>
      </c>
      <c r="CM124" s="197">
        <f t="shared" si="345"/>
        <v>337.59711059333557</v>
      </c>
      <c r="CN124" s="196">
        <f>CO124+各项系数!$M$9*$NO124</f>
        <v>347.94434774792057</v>
      </c>
      <c r="CO124" s="196">
        <f>CP124*(1+$DC124+(VLOOKUP($AM124,$A$12:$B$323,2,0))+各项系数!$J$6+各项系数!$M$5)*(1+$E$2)+各项系数!$M$9*$NK124</f>
        <v>345.38281808064818</v>
      </c>
      <c r="CP124" s="197">
        <f>CQ124+各项系数!$L$9*$NO124</f>
        <v>350.46162372837915</v>
      </c>
      <c r="CQ124" s="197">
        <f>CR124*(1+$DD124+各项系数!$J$5+各项系数!$L$5)</f>
        <v>347.90009406110676</v>
      </c>
      <c r="CR124" s="197">
        <f t="shared" si="346"/>
        <v>341.07852358932035</v>
      </c>
      <c r="CS124" s="196">
        <f>CT124+各项系数!$M$9*$NU124</f>
        <v>346.95594470107164</v>
      </c>
      <c r="CT124" s="196">
        <f t="shared" si="347"/>
        <v>344.37500943440364</v>
      </c>
      <c r="CU124" s="197">
        <f>CV124+各项系数!$L$9*$NU124</f>
        <v>351.40307085143229</v>
      </c>
      <c r="CV124" s="197">
        <f>CW124*(1+$DD124+各项系数!$J$5+各项系数!$L$5)</f>
        <v>348.82213558476428</v>
      </c>
      <c r="CW124" s="199">
        <f t="shared" si="348"/>
        <v>341.98248586741596</v>
      </c>
      <c r="CX124" s="196">
        <f>CY124+各项系数!$M$9*$NU124</f>
        <v>350.9158998420038</v>
      </c>
      <c r="CY124" s="196">
        <f t="shared" si="349"/>
        <v>348.33496457533579</v>
      </c>
      <c r="CZ124" s="197">
        <f>DA124+各项系数!$L$9*$NU124</f>
        <v>355.44384140340389</v>
      </c>
      <c r="DA124" s="197">
        <f>DB124*(1+$DD124+各项系数!$J$5+各项系数!$L$5)</f>
        <v>352.86290613673589</v>
      </c>
      <c r="DB124" s="199">
        <f t="shared" si="350"/>
        <v>345.94402562425086</v>
      </c>
      <c r="DC124" s="213">
        <f t="shared" si="498"/>
        <v>0</v>
      </c>
      <c r="DD124" s="213">
        <f t="shared" si="351"/>
        <v>0</v>
      </c>
      <c r="DE124" s="53" t="s">
        <v>498</v>
      </c>
      <c r="DF124" s="53" t="s">
        <v>513</v>
      </c>
      <c r="DG124" s="196">
        <f>DH124+各项系数!$M$9*$NQ124</f>
        <v>348.36162376270454</v>
      </c>
      <c r="DH124" s="196">
        <f>DI124*(1+$EA124+(VLOOKUP($AM124,$A$12:$B$323,2,0))+各项系数!$J$6+各项系数!$M$5)*(1+$E$2)+各项系数!$M$9*$NK124</f>
        <v>345.80009409543214</v>
      </c>
      <c r="DI124" s="197">
        <f>DJ124+各项系数!$L$9*$NQ124</f>
        <v>350.88741558019956</v>
      </c>
      <c r="DJ124" s="197">
        <f>DK124*(1+$EB124+各项系数!$J$5+各项系数!$L$5)</f>
        <v>348.32588591292716</v>
      </c>
      <c r="DK124" s="197">
        <f t="shared" si="352"/>
        <v>338.18047176012345</v>
      </c>
      <c r="DL124" s="196">
        <f>DM124+各项系数!$M$9*$NQ124</f>
        <v>351.75849694616591</v>
      </c>
      <c r="DM124" s="196">
        <f>DN124*(1+$EA124+(VLOOKUP($AM124,$A$12:$B$323,2,0))+各项系数!$J$6+各项系数!$M$5)*(1+$E$2)+各项系数!$M$9*$NK124</f>
        <v>349.19696727889351</v>
      </c>
      <c r="DN124" s="197">
        <f>DO124+各项系数!$L$9*$NQ124</f>
        <v>354.35361270618051</v>
      </c>
      <c r="DO124" s="197">
        <f>DP124*(1+$EB124+各项系数!$J$5+各项系数!$L$5)</f>
        <v>351.79208303890812</v>
      </c>
      <c r="DP124" s="197">
        <f t="shared" si="353"/>
        <v>341.54571168826033</v>
      </c>
      <c r="DQ124" s="196">
        <f>DR124+各项系数!$M$9*$NV124</f>
        <v>350.89814733381922</v>
      </c>
      <c r="DR124" s="196">
        <f t="shared" si="354"/>
        <v>348.31721206715122</v>
      </c>
      <c r="DS124" s="197">
        <f>DT124+各项系数!$L$9*$NV124</f>
        <v>355.4257265991339</v>
      </c>
      <c r="DT124" s="197">
        <f>DU124*(1+$EB124+各项系数!$J$5+各项系数!$L$5)</f>
        <v>352.84479133246589</v>
      </c>
      <c r="DU124" s="199">
        <f t="shared" si="355"/>
        <v>342.56775857520961</v>
      </c>
      <c r="DV124" s="196">
        <f>DW124+各项系数!$M$9*$NV124</f>
        <v>349.94514964569828</v>
      </c>
      <c r="DW124" s="196">
        <f t="shared" si="356"/>
        <v>347.36421437903027</v>
      </c>
      <c r="DX124" s="197">
        <f>DY124+各项系数!$L$9*$NV124</f>
        <v>354.45327997860232</v>
      </c>
      <c r="DY124" s="197">
        <f>DZ124*(1+$EB124+各项系数!$J$5+各项系数!$L$5)</f>
        <v>351.87234471193432</v>
      </c>
      <c r="DZ124" s="199">
        <f t="shared" si="357"/>
        <v>341.62363564265468</v>
      </c>
      <c r="EA124" s="213">
        <f t="shared" ref="EA124:EA138" si="559">BI124+$EA$2</f>
        <v>0</v>
      </c>
      <c r="EB124" s="213">
        <f t="shared" si="358"/>
        <v>0.01</v>
      </c>
      <c r="EC124" s="235" t="str">
        <f t="shared" si="408"/>
        <v>3+2</v>
      </c>
      <c r="ED124" s="235" t="str">
        <f t="shared" si="494"/>
        <v>3*150</v>
      </c>
      <c r="EE124" s="189">
        <f t="shared" si="495"/>
        <v>150</v>
      </c>
      <c r="EF124" s="189" t="str">
        <f>LOOKUP(EH124,{1,7,10,14,19,24,30,37,48,61},{1,"1+6","2+8","4+10","1+6+12","2+8+14","4+10+16","1+6+12+18","3+9+15+21","1+6+12+18+24"})</f>
        <v>4+10+16</v>
      </c>
      <c r="EG124" s="188">
        <f t="shared" si="359"/>
        <v>3</v>
      </c>
      <c r="EH124" s="197">
        <f>VLOOKUP(EE124,各项系数!$B$87:$C$124,2,0)</f>
        <v>30</v>
      </c>
      <c r="EI124" s="188">
        <f>IF(EH124=0,0,VLOOKUP(EH124,各项系数!$D$142:$E$195,2,0))*1</f>
        <v>6.41</v>
      </c>
      <c r="EJ124" s="238">
        <f t="shared" si="409"/>
        <v>243.33587022849699</v>
      </c>
      <c r="EK124" s="189" t="str">
        <f t="shared" si="508"/>
        <v>2*70</v>
      </c>
      <c r="EL124" s="189" t="str">
        <f t="shared" si="360"/>
        <v>70</v>
      </c>
      <c r="EM124" s="189">
        <f t="shared" si="496"/>
        <v>70</v>
      </c>
      <c r="EN124" s="189" t="str">
        <f>IF(EP124=0,0,LOOKUP(EP124,{1,7,10,14,19,24,30,37,48,61},{1,"1+6","2+8","4+10","1+6+12","2+8+14","4+10+16","1+6+12+18","3+9+15+21","1+6+12+18+24"}))</f>
        <v>4+10</v>
      </c>
      <c r="EO124" s="189" t="str">
        <f t="shared" si="509"/>
        <v>2</v>
      </c>
      <c r="EP124" s="189">
        <f>IF(EM124=0,0,IF(EM124&lt;10,1,IF(AND(EM124&gt;=10,EM124&lt;=35),7,LOOKUP(EM124,{50,70,95,120,150,185,240,300},{10,14,19,24,30,37,48,61})*1)))</f>
        <v>14</v>
      </c>
      <c r="EQ124" s="189">
        <f>IF(EP124=0,0,VLOOKUP(EP124,各项系数!$D$142:$E$195,2,0))*1</f>
        <v>4.41</v>
      </c>
      <c r="ER124" s="189">
        <f t="shared" si="510"/>
        <v>242.29596858910099</v>
      </c>
      <c r="ES124" s="235">
        <f t="shared" si="497"/>
        <v>5</v>
      </c>
      <c r="ET124" s="189">
        <f>VLOOKUP(ES124,各项系数!$D$142:$E$195,2,0)*1</f>
        <v>2.7</v>
      </c>
      <c r="EU124" s="243">
        <f>((各项系数!$F$76/4*$EJ124^2*$EG124*$EH124*1*10^-7)*(1-$H124)*AA124)*(VLOOKUP($EY$9,各项系数!$D$4:$F$143,3,0))*各项系数!$J$4</f>
        <v>3.7578162583570753</v>
      </c>
      <c r="EV124" s="244">
        <f>EU124*(VLOOKUP($EY$9,各项系数!$D$4:$F$143,2,0))</f>
        <v>246.13696492238844</v>
      </c>
      <c r="EW124" s="252">
        <f>(IF($EO124=0,0,(各项系数!$F$76/4*$ER124^2*$EO124*$EP124*1*10^-7))*(1-$K124)*$AF124)*(VLOOKUP($EY$9,各项系数!$D$4:$F$143,3,0))*各项系数!$J$4</f>
        <v>1.1568434081924097</v>
      </c>
      <c r="EX124" s="253">
        <f>EW124*(VLOOKUP($EY$9,各项系数!$D$4:$F$143,2,0))</f>
        <v>75.773243236602838</v>
      </c>
      <c r="EY124" s="189">
        <f>((各项系数!$F$76/4*$EJ124^2*$EG124*$EH124*1*10^-7)*(1-$H124)*AA124+IF($EO124=0,0,(各项系数!$F$76/4*$ER124^2*$EO124*$EP124*1*10^-7))*(1-$K124)*$AF124)*(VLOOKUP($EY$9,各项系数!$D$4:$F$143,3,0))*各项系数!$J$4</f>
        <v>4.9146596665494853</v>
      </c>
      <c r="EZ124" s="102">
        <v>1</v>
      </c>
      <c r="FA124" s="189">
        <f t="shared" si="515"/>
        <v>4.9146596665494853</v>
      </c>
      <c r="FB124" s="254">
        <f>FA124*(VLOOKUP($EY$9,各项系数!$D$4:$F$143,2,0))</f>
        <v>321.91020815899128</v>
      </c>
      <c r="FC124" s="255"/>
      <c r="FD124" s="235">
        <f>各项系数!$F$76/4*($MN124^2-MK124^2)*10^-2*(VLOOKUP(L124,各项系数!$D$1:$F$143,3,0))*10^-3*10^2*$EG124*各项系数!$J$4</f>
        <v>0.24547563479114451</v>
      </c>
      <c r="FE124" s="262">
        <f>FD124*VLOOKUP(L124,各项系数!$D$1:$F$143,2,0)</f>
        <v>2.5038514748696739</v>
      </c>
      <c r="FF124" s="188">
        <f>各项系数!$F$76/4*($MO124^2-ML124^2)*10^-2*(VLOOKUP(L124,各项系数!$D$1:$F$143,3,0))*10^-3*10^2*$EO124*各项系数!$J$4</f>
        <v>8.9151201519659662E-2</v>
      </c>
      <c r="FG124" s="262">
        <f>FF124*VLOOKUP(L124,各项系数!$D$1:$F$143,2,0)</f>
        <v>0.9093422555005285</v>
      </c>
      <c r="FH124" s="235">
        <f t="shared" si="410"/>
        <v>0.33462683631080414</v>
      </c>
      <c r="FI124" s="102">
        <v>1</v>
      </c>
      <c r="FJ124" s="189">
        <f t="shared" si="516"/>
        <v>0.33462683631080414</v>
      </c>
      <c r="FK124" s="262">
        <f>FJ124*VLOOKUP(L124,各项系数!$D$1:$F$143,2,0)</f>
        <v>3.4131937303702022</v>
      </c>
      <c r="FL124" s="235"/>
      <c r="FM124" s="102"/>
      <c r="FN124" s="189"/>
      <c r="FO124" s="262"/>
      <c r="FP124" s="282">
        <f t="shared" si="517"/>
        <v>0.33462683631080414</v>
      </c>
      <c r="FQ124" s="282">
        <f t="shared" si="518"/>
        <v>3.4131937303702022</v>
      </c>
      <c r="FR124" s="283">
        <f>各项系数!$F$76/4*($MQ124^2-$MN124^2*$EG124-$MO124^2*$EO124)*10^-2</f>
        <v>4.4295449967992777</v>
      </c>
      <c r="FS124" s="284">
        <f t="shared" si="411"/>
        <v>1</v>
      </c>
      <c r="FT124" s="285">
        <f t="shared" si="361"/>
        <v>4.4295449967992777</v>
      </c>
      <c r="FU124" s="302">
        <f>$FT124*(VLOOKUP($FT$9,各项系数!$D$1:$F$143,3,0))*10^-3*10^2*各项系数!$J$55</f>
        <v>0.52888767261783376</v>
      </c>
      <c r="FV124" s="303">
        <v>1</v>
      </c>
      <c r="FW124" s="304">
        <f t="shared" si="519"/>
        <v>0.52888767261783376</v>
      </c>
      <c r="FX124" s="285">
        <f>FW124*(VLOOKUP($FT$9,各项系数!$D$1:$F$143,2,0))</f>
        <v>1.5866630178535013</v>
      </c>
      <c r="FY124" s="302">
        <f>IF($BK124&lt;&gt;$FY$9,0,各项系数!$F$76/4*($MS124^2-$MQ124^2)*10^-2*(VLOOKUP($FY$9,各项系数!$D$1:$F$143,3,0))*10^-3*10^2)*各项系数!$J$4</f>
        <v>0</v>
      </c>
      <c r="FZ124" s="303">
        <v>1</v>
      </c>
      <c r="GA124" s="304">
        <f t="shared" si="520"/>
        <v>0</v>
      </c>
      <c r="GB124" s="285">
        <f>GA124*(VLOOKUP($FY$9,各项系数!$D$1:$F$143,2,0))</f>
        <v>0</v>
      </c>
      <c r="GC124" s="302">
        <f>IF($BK124&lt;&gt;$GC$9,0,各项系数!$F$76/4*($MS124^2-$MQ124^2)*10^-2*(VLOOKUP($GC$9,各项系数!$D$1:$F$143,3,0))*10^-3*10^2)*各项系数!$J$4</f>
        <v>1.1930255829577689E-2</v>
      </c>
      <c r="GD124" s="303">
        <v>1</v>
      </c>
      <c r="GE124" s="304">
        <f t="shared" si="521"/>
        <v>1.1930255829577689E-2</v>
      </c>
      <c r="GF124" s="285">
        <f>GE124*(VLOOKUP($GC$9,各项系数!$D$1:$F$143,2,0))</f>
        <v>0.15390030020155218</v>
      </c>
      <c r="GG124" s="302">
        <f>IF($BK124&lt;&gt;$GG$9,0,各项系数!$F$76/4*($MS124^2-$MQ124^2)*10^-2*(VLOOKUP($GG$9,各项系数!$D$1:$F$143,3,0))*10^-3*10^2)*各项系数!$J$4</f>
        <v>0</v>
      </c>
      <c r="GH124" s="303">
        <v>1</v>
      </c>
      <c r="GI124" s="304">
        <f t="shared" si="522"/>
        <v>0</v>
      </c>
      <c r="GJ124" s="285">
        <f>GI124*(VLOOKUP($GG$9,各项系数!$D$1:$F$143,2,0))</f>
        <v>0</v>
      </c>
      <c r="GK124" s="302">
        <f>IF($BK124&lt;&gt;$GK$9,0,各项系数!$F$76/4*($MS124^2-$MQ124^2)*10^-2*(VLOOKUP($GK$9,各项系数!$D$1:$F$143,3,0))*10^-3*10^2)*各项系数!$J$4</f>
        <v>0</v>
      </c>
      <c r="GL124" s="303">
        <v>1</v>
      </c>
      <c r="GM124" s="304">
        <f t="shared" si="523"/>
        <v>0</v>
      </c>
      <c r="GN124" s="285">
        <f>GM124*(VLOOKUP($GK$9,各项系数!$D$1:$F$143,2,0))</f>
        <v>0</v>
      </c>
      <c r="GO124" s="304">
        <f t="shared" si="524"/>
        <v>1.1930255829577689E-2</v>
      </c>
      <c r="GP124" s="304">
        <f t="shared" si="525"/>
        <v>0.15390030020155218</v>
      </c>
      <c r="GQ124" s="315">
        <f>各项系数!$F$76/4*($MU124^2-$MS124^2)*10^-2*(VLOOKUP($S124,各项系数!$D$1:$F$143,3,0))*10^-3*10^2*各项系数!$J$4</f>
        <v>0.81851931367939279</v>
      </c>
      <c r="GR124" s="303">
        <v>1</v>
      </c>
      <c r="GS124" s="304">
        <f t="shared" si="526"/>
        <v>0.81851931367939279</v>
      </c>
      <c r="GT124" s="304">
        <f t="shared" si="457"/>
        <v>0</v>
      </c>
      <c r="GU124" s="304">
        <f>ROUND($GS124*(VLOOKUP($S124,各项系数!$D$1:$F$143,2,0))+$E$3*GS124,GT124)</f>
        <v>5</v>
      </c>
      <c r="GV124" s="315">
        <f>各项系数!$F$76/4*($MT124^2-$MS124^2)*10^-2*(VLOOKUP($GV$9,各项系数!$D$1:$F$143,3,0))*10^-3*10^2*各项系数!$J$4*PI()/4*R124</f>
        <v>6.1427916139360009E-2</v>
      </c>
      <c r="GW124" s="303">
        <v>1</v>
      </c>
      <c r="GX124" s="304">
        <f t="shared" si="527"/>
        <v>6.1427916139360009E-2</v>
      </c>
      <c r="GY124" s="304">
        <f>$GX124*(VLOOKUP($GV$9,各项系数!$D$1:$F$143,2,0))</f>
        <v>4.1463843394068007</v>
      </c>
      <c r="GZ124" s="315">
        <f>各项系数!$F$76/4*($MV124^2-$MS124^2)*10^-2*(VLOOKUP($GZ$9,各项系数!$D$1:$F$143,3,0))*10^-3*10^2*各项系数!$J$4</f>
        <v>0.54794262728608722</v>
      </c>
      <c r="HA124" s="303">
        <v>1</v>
      </c>
      <c r="HB124" s="304">
        <f t="shared" si="412"/>
        <v>0.54794262728608722</v>
      </c>
      <c r="HC124" s="304">
        <f>HB124*(VLOOKUP($GZ$9,各项系数!$D$1:$F$143,2,0))</f>
        <v>9.3150246638634826</v>
      </c>
      <c r="HD124" s="315">
        <f>各项系数!$F$76/4*($MW124^2-$MT124^2)*10^-2*(VLOOKUP($HD$9,各项系数!$D$1:$F$143,3,0))*10^-3*10^2*各项系数!$J$4</f>
        <v>0.54982816093128895</v>
      </c>
      <c r="HE124" s="303">
        <v>1</v>
      </c>
      <c r="HF124" s="304">
        <f t="shared" si="413"/>
        <v>0.54982816093128895</v>
      </c>
      <c r="HG124" s="304">
        <f>HF124*(VLOOKUP($HD$9,各项系数!$D$1:$F$143,2,0))</f>
        <v>9.3470787358319125</v>
      </c>
      <c r="HH124" s="315">
        <f>各项系数!$F$76/4*($MV124^2-$MS124^2)*10^-2*(VLOOKUP($HH$9,各项系数!$D$1:$F$143,3,0))*10^-3*10^2*各项系数!$J$4</f>
        <v>0.54794262728608722</v>
      </c>
      <c r="HI124" s="322">
        <v>1</v>
      </c>
      <c r="HJ124" s="304">
        <f t="shared" si="414"/>
        <v>0.54794262728608722</v>
      </c>
      <c r="HK124" s="304">
        <f>HJ124*(VLOOKUP($HH$9,各项系数!$D$1:$F$143,2,0))</f>
        <v>9.3150246638634826</v>
      </c>
      <c r="HL124" s="315">
        <f>各项系数!$F$76/4*($MW124^2-$MT124^2)*10^-2*(VLOOKUP($HL$9,各项系数!$D$1:$F$143,3,0))*10^-3*10^2*各项系数!$J$4</f>
        <v>0.54982816093128895</v>
      </c>
      <c r="HM124" s="322">
        <v>1</v>
      </c>
      <c r="HN124" s="304">
        <f t="shared" si="362"/>
        <v>0.54982816093128895</v>
      </c>
      <c r="HO124" s="304">
        <f>HN124*(VLOOKUP($HL$9,各项系数!$D$1:$F$143,2,0))</f>
        <v>9.3470787358319125</v>
      </c>
      <c r="HP124" s="315">
        <f>各项系数!$F$76/4*($MV124^2-$MS124^2)*10^-2*(VLOOKUP(AN124,各项系数!$D$1:$F$143,3,0))*10^-3*10^2*各项系数!$J$4</f>
        <v>0.55550045662796421</v>
      </c>
      <c r="HQ124" s="303">
        <v>1</v>
      </c>
      <c r="HR124" s="304">
        <f t="shared" si="528"/>
        <v>0.55550045662796421</v>
      </c>
      <c r="HS124" s="304">
        <f>HR124*(VLOOKUP(AN124,各项系数!$D$1:$F$143,2,0))</f>
        <v>5.5550045662796421</v>
      </c>
      <c r="HT124" s="315">
        <f>各项系数!$F$76/4*($MW124^2-$MT124^2)*10^-2*(VLOOKUP(AN124,各项系数!$D$1:$F$143,3,0))*10^-3*10^2*各项系数!$J$4</f>
        <v>0.55741199763378957</v>
      </c>
      <c r="HU124" s="303">
        <v>1</v>
      </c>
      <c r="HV124" s="304">
        <f t="shared" si="529"/>
        <v>0.55741199763378957</v>
      </c>
      <c r="HW124" s="304">
        <f>HV124*(VLOOKUP(AN124,各项系数!$D$1:$F$143,2,0))</f>
        <v>5.5741199763378955</v>
      </c>
      <c r="HX124" s="315">
        <f>各项系数!$F$76/4*($MV124^2-$MS124^2)*10^-2*(VLOOKUP($HX$9,各项系数!$D$1:$F$143,3,0))*10^-3*10^2*各项系数!$J$4</f>
        <v>0.55550045662796421</v>
      </c>
      <c r="HY124" s="322">
        <v>1</v>
      </c>
      <c r="HZ124" s="304">
        <f t="shared" si="530"/>
        <v>0.55550045662796421</v>
      </c>
      <c r="IA124" s="304">
        <f>HZ124*(VLOOKUP($HX$9,各项系数!$D$1:$F$143,2,0))</f>
        <v>6.1105050229076063</v>
      </c>
      <c r="IB124" s="315">
        <f>各项系数!$F$76/4*($MW124^2-$MT124^2)*10^-2*(VLOOKUP($IB$9,各项系数!$D$1:$F$143,3,0))*10^-3*10^2*各项系数!$J$4</f>
        <v>0.55741199763378957</v>
      </c>
      <c r="IC124" s="322">
        <v>1</v>
      </c>
      <c r="ID124" s="304">
        <f t="shared" si="531"/>
        <v>0.55741199763378957</v>
      </c>
      <c r="IE124" s="304">
        <f>ID124*(VLOOKUP($IB$9,各项系数!$D$1:$F$143,2,0))</f>
        <v>6.1315319739716854</v>
      </c>
      <c r="IF124" s="328"/>
      <c r="IG124" s="315">
        <f t="shared" si="415"/>
        <v>9.7992723063931669E-2</v>
      </c>
      <c r="IH124" s="303">
        <v>1</v>
      </c>
      <c r="II124" s="304">
        <f t="shared" si="532"/>
        <v>9.7992723063931669E-2</v>
      </c>
      <c r="IJ124" s="304">
        <f>II124*(VLOOKUP($IG$8,各项系数!$D$1:$F$143,2,0))</f>
        <v>2.4498180765982918</v>
      </c>
      <c r="IK124" s="315">
        <f>(各项系数!$F$76/4*($MX124^2-$MK124^2)*$EG124)*10^-2*(VLOOKUP($IG$8,各项系数!$D$1:$F$143,3,0))*10^-3*10^2*各项系数!$J$4</f>
        <v>6.7087954517998788E-2</v>
      </c>
      <c r="IL124" s="303">
        <f>IK124*(VLOOKUP($IG$8,各项系数!$D$1:$F$143,2,0))</f>
        <v>1.6771988629499697</v>
      </c>
      <c r="IM124" s="304">
        <f>(各项系数!$F$76/4*(($MM124+3*$X124)^2-MM124^2)*$EO124)*10^-2*(VLOOKUP($IG$8,各项系数!$D$1:$F$143,3,0))*10^-3*10^2*各项系数!$J$4</f>
        <v>3.0904768545932888E-2</v>
      </c>
      <c r="IN124" s="303">
        <f>IM124*(VLOOKUP($IG$8,各项系数!$D$1:$F$143,2,0))</f>
        <v>0.7726192136483222</v>
      </c>
      <c r="IO124" s="315">
        <f>各项系数!$F$76/4*($MZ124^2-$MX124^2)*10^-2*(VLOOKUP(L124,各项系数!$D$1:$F$143,3,0))*10^-3*10^2*$ES124*各项系数!$J$4</f>
        <v>0.42356764525452795</v>
      </c>
      <c r="IP124" s="303">
        <v>1</v>
      </c>
      <c r="IQ124" s="304">
        <f t="shared" si="533"/>
        <v>0.42356764525452795</v>
      </c>
      <c r="IR124" s="285">
        <f>IQ124*(VLOOKUP(L124,各项系数!$D$1:$F$143,2,0))</f>
        <v>4.3203899815961844</v>
      </c>
      <c r="IS124" s="315">
        <f>IF($L124&lt;&gt;$IS$9,0,各项系数!$F$76/4*($MZ124^2-$MX124^2)*10^-2*各项系数!$F$12*10^-3*10^2)*$ES124*各项系数!$J$4</f>
        <v>0</v>
      </c>
      <c r="IT124" s="303">
        <v>1</v>
      </c>
      <c r="IU124" s="304">
        <f t="shared" si="534"/>
        <v>0</v>
      </c>
      <c r="IV124" s="285">
        <f>IU124*各项系数!$E$12</f>
        <v>0</v>
      </c>
      <c r="IW124" s="302">
        <f t="shared" si="535"/>
        <v>0.42356764525452795</v>
      </c>
      <c r="IX124" s="302">
        <f t="shared" si="536"/>
        <v>4.3203899815961844</v>
      </c>
      <c r="IY124" s="339">
        <f>各项系数!$F$76/4*($NB124^2-$MZ124^2*$EG124-$NA124^2*$EO124)*10^-2</f>
        <v>4.9904674834297618</v>
      </c>
      <c r="IZ124" s="284">
        <f t="shared" si="487"/>
        <v>1</v>
      </c>
      <c r="JA124" s="285">
        <f t="shared" si="363"/>
        <v>4.9904674834297618</v>
      </c>
      <c r="JB124" s="282">
        <f>IF($DE124&lt;&gt;$JB$9,0,$JA124*各项系数!$F$32*10^-3*10^2)*各项系数!$J$4</f>
        <v>0</v>
      </c>
      <c r="JC124" s="102">
        <v>1</v>
      </c>
      <c r="JD124" s="189">
        <f t="shared" si="537"/>
        <v>0</v>
      </c>
      <c r="JE124" s="262">
        <f>JD124*各项系数!$E$32</f>
        <v>0</v>
      </c>
      <c r="JF124" s="282">
        <f>IF($DE124&lt;&gt;$JF$9,0,$JA124*VLOOKUP($JF$9,各项系数!$D$4:$F$540,2,0)*10^-3*10^2)*各项系数!$J$4</f>
        <v>2.4827575730063063</v>
      </c>
      <c r="JG124" s="102">
        <v>1</v>
      </c>
      <c r="JH124" s="189">
        <f t="shared" si="364"/>
        <v>2.4827575730063063</v>
      </c>
      <c r="JI124" s="262">
        <f>JH124*VLOOKUP($JF$9,各项系数!$D$4:$F$540,3,0)</f>
        <v>2.9793090876075676</v>
      </c>
      <c r="JJ124" s="282">
        <f t="shared" si="538"/>
        <v>2.4827575730063063</v>
      </c>
      <c r="JK124" s="189">
        <f t="shared" si="539"/>
        <v>2.9793090876075676</v>
      </c>
      <c r="JL124" s="282">
        <f>IF($DF124&lt;&gt;$JL$9,0,各项系数!$F$76/4*($NE124^2-$NC124^2)*10^-2*各项系数!$F$39*10^-3*10^2)*各项系数!$J$4</f>
        <v>5.1886810331759096E-3</v>
      </c>
      <c r="JM124" s="102">
        <v>1</v>
      </c>
      <c r="JN124" s="189">
        <f t="shared" si="540"/>
        <v>5.1886810331759096E-3</v>
      </c>
      <c r="JO124" s="262">
        <f>JN124*各项系数!$E$39</f>
        <v>0.1037736206635182</v>
      </c>
      <c r="JP124" s="282">
        <f>IF($DF124&lt;&gt;$JP$9,0,各项系数!$F$76/4*($NE124^2-$NC124^2)*10^-2*各项系数!$F$36*10^-3*10^2)*各项系数!$J$4</f>
        <v>0</v>
      </c>
      <c r="JQ124" s="102">
        <v>1</v>
      </c>
      <c r="JR124" s="189">
        <f t="shared" si="541"/>
        <v>0</v>
      </c>
      <c r="JS124" s="262">
        <f>JR124*各项系数!$E$36</f>
        <v>0</v>
      </c>
      <c r="JT124" s="282">
        <f>IF($DF124&lt;&gt;$JT$9,0,各项系数!$F$76/4*($NE124^2-$NC124^2)*10^-2*各项系数!$F$40*10^-3*10^2)*各项系数!$J$4</f>
        <v>0</v>
      </c>
      <c r="JU124" s="102">
        <v>1</v>
      </c>
      <c r="JV124" s="189">
        <f t="shared" si="542"/>
        <v>0</v>
      </c>
      <c r="JW124" s="262">
        <f>JV124*各项系数!$E$40</f>
        <v>0</v>
      </c>
      <c r="JX124" s="282">
        <f>IF($DF124&lt;&gt;$JX$9,0,各项系数!$F$76/4*($NE124^2-$NC124^2)*10^-2*各项系数!$F$38*10^-3*10^2)*各项系数!$J$4</f>
        <v>0</v>
      </c>
      <c r="JY124" s="102">
        <v>1</v>
      </c>
      <c r="JZ124" s="189">
        <f t="shared" si="543"/>
        <v>0</v>
      </c>
      <c r="KA124" s="262">
        <f>JZ124*各项系数!$E$38</f>
        <v>0</v>
      </c>
      <c r="KB124" s="282">
        <f>IF($DF124&lt;&gt;$KB$9,0,各项系数!$F$76/4*($NE124^2-$NC124^2)*10^-2*各项系数!$F$41*10^-3*10^2)*各项系数!$J$4</f>
        <v>0</v>
      </c>
      <c r="KC124" s="102">
        <v>1</v>
      </c>
      <c r="KD124" s="189">
        <f t="shared" si="544"/>
        <v>0</v>
      </c>
      <c r="KE124" s="262">
        <f>KD124*各项系数!$E$41</f>
        <v>0</v>
      </c>
      <c r="KF124" s="189">
        <f t="shared" si="545"/>
        <v>5.1886810331759096E-3</v>
      </c>
      <c r="KG124" s="189">
        <f t="shared" si="546"/>
        <v>0.1037736206635182</v>
      </c>
      <c r="KH124" s="235">
        <f>各项系数!$F$76/4*($NG124^2-$NE124^2)*10^-2*各项系数!$F$44*10^-3*10^2*各项系数!$J$4*0.75*$U124</f>
        <v>1.291908901872254</v>
      </c>
      <c r="KI124" s="102">
        <v>1</v>
      </c>
      <c r="KJ124" s="189">
        <f t="shared" si="547"/>
        <v>1.291908901872254</v>
      </c>
      <c r="KK124" s="189">
        <f>ROUND(KJ124*各项系数!$E$43,GT124)</f>
        <v>7</v>
      </c>
      <c r="KL124" s="235">
        <f>各项系数!$F$76/4*($NF124^2-$NE124^2)*10^-2*各项系数!$F$46*10^-3*10^2*各项系数!$J$4*PI()/4*R124</f>
        <v>6.4685331318845379E-2</v>
      </c>
      <c r="KM124" s="102">
        <v>1</v>
      </c>
      <c r="KN124" s="189">
        <f t="shared" si="548"/>
        <v>6.4685331318845379E-2</v>
      </c>
      <c r="KO124" s="189">
        <f>KN124*各项系数!$E$46</f>
        <v>4.3662598640220631</v>
      </c>
      <c r="KP124" s="235">
        <f>各项系数!$F$76/4*($NH124^2-$NE124^2)*10^-2*(VLOOKUP($KP$9,各项系数!$D$1:$F$143,3,0))*10^-3*10^2*各项系数!$J$4</f>
        <v>0.57542428016490799</v>
      </c>
      <c r="KQ124" s="102">
        <v>1</v>
      </c>
      <c r="KR124" s="189">
        <f t="shared" si="416"/>
        <v>0.57542428016490799</v>
      </c>
      <c r="KS124" s="189">
        <f>KR124*(VLOOKUP($KP$9,各项系数!$D$1:$F$143,2,0))</f>
        <v>9.7822127628034359</v>
      </c>
      <c r="KT124" s="235">
        <f>各项系数!$F$76/4*($NI124^2-$NF124^2)*10^-2*(VLOOKUP($KT$9,各项系数!$D$1:$F$143,3,0))*10^-3*10^2*各项系数!$J$4</f>
        <v>0.57730981381011037</v>
      </c>
      <c r="KU124" s="102">
        <v>1</v>
      </c>
      <c r="KV124" s="189">
        <f t="shared" si="417"/>
        <v>0.57730981381011037</v>
      </c>
      <c r="KW124" s="189">
        <f>KV124*(VLOOKUP($KT$9,各项系数!$D$1:$F$143,2,0))</f>
        <v>9.8142668347718764</v>
      </c>
      <c r="KX124" s="189">
        <f>各项系数!$F$76/4*($NH124^2-$NE124^2)*10^-2*(VLOOKUP($KX$9,各项系数!$D$1:$F$143,3,0))*10^-3*10^2*各项系数!$J$4</f>
        <v>0.57542428016490799</v>
      </c>
      <c r="KY124" s="353">
        <v>1</v>
      </c>
      <c r="KZ124" s="189">
        <f t="shared" si="418"/>
        <v>0.57542428016490799</v>
      </c>
      <c r="LA124" s="189">
        <f>KZ124*(VLOOKUP($KX$9,各项系数!$D$1:$F$143,2,0))</f>
        <v>9.7822127628034359</v>
      </c>
      <c r="LB124" s="189">
        <f>各项系数!$F$76/4*($NI124^2-$NF124^2)*10^-2*(VLOOKUP($LB$9,各项系数!$D$1:$F$143,3,0))*10^-3*10^2*各项系数!$J$4</f>
        <v>0.57730981381011037</v>
      </c>
      <c r="LC124" s="353">
        <v>1</v>
      </c>
      <c r="LD124" s="189">
        <f t="shared" si="419"/>
        <v>0.57730981381011037</v>
      </c>
      <c r="LE124" s="189">
        <f>LD124*(VLOOKUP($LB$9,各项系数!$D$1:$F$143,2,0))</f>
        <v>9.8142668347718764</v>
      </c>
      <c r="LF124" s="235">
        <f>各项系数!$F$76/4*($NH124^2-$NE124^2)*10^-2*(VLOOKUP(AN124,各项系数!$D$1:$F$143,3,0))*10^-3*10^2*各项系数!$J$4</f>
        <v>0.5833611667878722</v>
      </c>
      <c r="LG124" s="102">
        <v>1</v>
      </c>
      <c r="LH124" s="189">
        <f t="shared" si="549"/>
        <v>0.5833611667878722</v>
      </c>
      <c r="LI124" s="189">
        <f>LH124*(VLOOKUP(AN124,各项系数!$D$1:$F$143,2,0))</f>
        <v>5.8336116678787224</v>
      </c>
      <c r="LJ124" s="235">
        <f>各项系数!$F$76/4*($NI124^2-$NF124^2)*10^-2*(VLOOKUP(AN124,各项系数!$D$1:$F$143,3,0))*10^-3*10^2*各项系数!$J$4</f>
        <v>0.585272707793698</v>
      </c>
      <c r="LK124" s="102">
        <v>1</v>
      </c>
      <c r="LL124" s="189">
        <f t="shared" si="550"/>
        <v>0.585272707793698</v>
      </c>
      <c r="LM124" s="189">
        <f>LL124*(VLOOKUP(AN124,各项系数!$D$1:$F$143,2,0))</f>
        <v>5.8527270779369802</v>
      </c>
      <c r="LN124" s="189">
        <f>各项系数!$F$76/4*($NH124^2-$NE124^2)*10^-2*(VLOOKUP($LN$9,各项系数!$D$1:$F$143,3,0))*10^-3*10^2*各项系数!$J$4</f>
        <v>0.5833611667878722</v>
      </c>
      <c r="LO124" s="353">
        <v>1</v>
      </c>
      <c r="LP124" s="189">
        <f t="shared" si="551"/>
        <v>0.5833611667878722</v>
      </c>
      <c r="LQ124" s="189">
        <f>LP124*(VLOOKUP($LN$9,各项系数!$D$1:$F$143,2,0))</f>
        <v>6.416972834666594</v>
      </c>
      <c r="LR124" s="189">
        <f>各项系数!$F$76/4*($NI124^2-$NF124^2)*10^-2*(VLOOKUP($LR$9,各项系数!$D$1:$F$143,3,0))*10^-3*10^2*各项系数!$J$4</f>
        <v>0.585272707793698</v>
      </c>
      <c r="LS124" s="353">
        <v>1</v>
      </c>
      <c r="LT124" s="189">
        <f t="shared" si="552"/>
        <v>0.585272707793698</v>
      </c>
      <c r="LU124" s="189">
        <f>LT124*(VLOOKUP($LR$9,各项系数!$D$1:$F$143,2,0))</f>
        <v>6.4379997857306783</v>
      </c>
      <c r="LV124" s="227">
        <f t="shared" si="420"/>
        <v>573.24392478000004</v>
      </c>
      <c r="LW124" s="227">
        <f t="shared" si="421"/>
        <v>418.54740756000001</v>
      </c>
      <c r="LX124" s="227">
        <f t="shared" si="422"/>
        <v>23.084867568426226</v>
      </c>
      <c r="LY124" s="227">
        <f t="shared" si="423"/>
        <v>154.69651722000003</v>
      </c>
      <c r="LZ124" s="374">
        <f t="shared" si="365"/>
        <v>1</v>
      </c>
      <c r="MA124" s="375">
        <f t="shared" si="366"/>
        <v>573.24392478000004</v>
      </c>
      <c r="MB124" s="375">
        <f t="shared" si="424"/>
        <v>15.59782927</v>
      </c>
      <c r="MC124" s="227">
        <f t="shared" si="425"/>
        <v>179.34506569000001</v>
      </c>
      <c r="MD124" s="227">
        <f t="shared" si="426"/>
        <v>129.10417615</v>
      </c>
      <c r="ME124" s="227">
        <f t="shared" si="427"/>
        <v>12.821097553042573</v>
      </c>
      <c r="MF124" s="227">
        <f t="shared" si="428"/>
        <v>50.240889540000012</v>
      </c>
      <c r="MG124" s="374">
        <f t="shared" si="429"/>
        <v>1</v>
      </c>
      <c r="MH124" s="375">
        <f t="shared" si="367"/>
        <v>179.34506569000001</v>
      </c>
      <c r="MI124" s="375">
        <f t="shared" si="430"/>
        <v>10.685252214843445</v>
      </c>
      <c r="MJ124" s="189">
        <f t="shared" si="368"/>
        <v>15.59782927</v>
      </c>
      <c r="MK124" s="189">
        <f t="shared" si="431"/>
        <v>15.59782927</v>
      </c>
      <c r="ML124" s="189">
        <f t="shared" si="553"/>
        <v>10.685252214779355</v>
      </c>
      <c r="MM124" s="189">
        <f t="shared" si="369"/>
        <v>10.685252214843445</v>
      </c>
      <c r="MN124" s="189">
        <f t="shared" si="370"/>
        <v>18.397829269999999</v>
      </c>
      <c r="MO124" s="189">
        <f t="shared" si="432"/>
        <v>12.885252214843444</v>
      </c>
      <c r="MP124" s="189">
        <f t="shared" si="433"/>
        <v>43.72055581</v>
      </c>
      <c r="MQ124" s="189">
        <f t="shared" si="554"/>
        <v>43.72055581</v>
      </c>
      <c r="MR124" s="246">
        <f t="shared" si="434"/>
        <v>43.72055581</v>
      </c>
      <c r="MS124" s="380">
        <f t="shared" si="371"/>
        <v>43.896555810000002</v>
      </c>
      <c r="MT124" s="380">
        <f t="shared" si="372"/>
        <v>44.056555809999999</v>
      </c>
      <c r="MU124" s="380">
        <f t="shared" si="373"/>
        <v>45.396555810000002</v>
      </c>
      <c r="MV124" s="380">
        <f t="shared" si="374"/>
        <v>49.096555810000005</v>
      </c>
      <c r="MW124" s="380">
        <f t="shared" si="375"/>
        <v>49.256555810000002</v>
      </c>
      <c r="MX124" s="254">
        <f t="shared" si="376"/>
        <v>16.19782927</v>
      </c>
      <c r="MY124" s="254">
        <f t="shared" si="377"/>
        <v>11.285252214843444</v>
      </c>
      <c r="MZ124" s="189">
        <f t="shared" si="378"/>
        <v>18.99782927</v>
      </c>
      <c r="NA124" s="189">
        <f t="shared" si="379"/>
        <v>14.085252214843443</v>
      </c>
      <c r="NB124" s="189">
        <f t="shared" si="435"/>
        <v>45.988555810000001</v>
      </c>
      <c r="NC124" s="254">
        <f t="shared" si="555"/>
        <v>45.988555810000001</v>
      </c>
      <c r="ND124" s="246">
        <f t="shared" si="436"/>
        <v>45.988555810000001</v>
      </c>
      <c r="NE124" s="386">
        <f t="shared" si="437"/>
        <v>46.228555810000003</v>
      </c>
      <c r="NF124" s="380">
        <f t="shared" si="380"/>
        <v>46.38855581</v>
      </c>
      <c r="NG124" s="387">
        <f t="shared" si="381"/>
        <v>47.728555810000003</v>
      </c>
      <c r="NH124" s="254">
        <f t="shared" si="382"/>
        <v>51.428555810000006</v>
      </c>
      <c r="NI124" s="380">
        <f t="shared" si="383"/>
        <v>51.588555810000003</v>
      </c>
      <c r="NK124" s="388">
        <f t="shared" si="384"/>
        <v>6.4347560894553251</v>
      </c>
      <c r="NL124" s="388">
        <f t="shared" si="385"/>
        <v>333.52831202919668</v>
      </c>
      <c r="NM124" s="388">
        <f t="shared" si="386"/>
        <v>6.4347560894553251</v>
      </c>
      <c r="NN124" s="388">
        <f t="shared" si="387"/>
        <v>334.08381248582464</v>
      </c>
      <c r="NO124" s="388">
        <f t="shared" si="388"/>
        <v>8.538432224241232</v>
      </c>
      <c r="NP124" s="388">
        <f t="shared" si="389"/>
        <v>338.36972980698391</v>
      </c>
      <c r="NQ124" s="388">
        <f t="shared" si="390"/>
        <v>8.538432224241232</v>
      </c>
      <c r="NR124" s="388">
        <f t="shared" si="391"/>
        <v>338.95309097377179</v>
      </c>
      <c r="NS124" s="388">
        <f t="shared" si="392"/>
        <v>6.4961840055946851</v>
      </c>
      <c r="NT124" s="388">
        <f t="shared" si="393"/>
        <v>6.4961840055946851</v>
      </c>
      <c r="NU124" s="388">
        <f t="shared" si="394"/>
        <v>8.6031175555600772</v>
      </c>
      <c r="NV124" s="388">
        <f t="shared" si="395"/>
        <v>8.6031175555600772</v>
      </c>
      <c r="NW124">
        <f t="shared" si="396"/>
        <v>7.253275403134718</v>
      </c>
      <c r="NX124">
        <f>各项系数!$M$9*NK124</f>
        <v>1.9304268268365974</v>
      </c>
      <c r="NY124">
        <f t="shared" si="397"/>
        <v>6.4961840055946851</v>
      </c>
    </row>
    <row r="125" spans="1:389" ht="15" hidden="1" customHeight="1">
      <c r="A125" s="69"/>
      <c r="B125" s="70"/>
      <c r="C125" s="71"/>
      <c r="D125" s="53" t="s">
        <v>418</v>
      </c>
      <c r="E125" s="399">
        <f t="shared" si="503"/>
        <v>54.364877670000006</v>
      </c>
      <c r="F125" s="68">
        <f>$F$29</f>
        <v>245.09808262108001</v>
      </c>
      <c r="G125" s="58"/>
      <c r="H125" s="16"/>
      <c r="I125" s="145">
        <f>$F$26</f>
        <v>245.088056587712</v>
      </c>
      <c r="J125" s="62"/>
      <c r="K125" s="16"/>
      <c r="L125" s="97" t="s">
        <v>467</v>
      </c>
      <c r="M125" s="103">
        <f t="shared" si="339"/>
        <v>1.6</v>
      </c>
      <c r="N125" s="103">
        <f t="shared" si="501"/>
        <v>1.1000000000000001</v>
      </c>
      <c r="O125" s="53">
        <f t="shared" si="556"/>
        <v>0.08</v>
      </c>
      <c r="P125" s="99">
        <v>0.1</v>
      </c>
      <c r="Q125" s="133">
        <f t="shared" si="557"/>
        <v>0.1</v>
      </c>
      <c r="R125" s="70">
        <v>0.8</v>
      </c>
      <c r="S125" s="142" t="str">
        <f>各项系数!$D$43</f>
        <v>钢带</v>
      </c>
      <c r="T125" s="102">
        <v>0.5</v>
      </c>
      <c r="U125" s="102">
        <v>2</v>
      </c>
      <c r="V125" s="140"/>
      <c r="W125" s="141">
        <v>2.8</v>
      </c>
      <c r="X125" s="135">
        <f t="shared" si="558"/>
        <v>0.2</v>
      </c>
      <c r="Y125" s="135"/>
      <c r="Z125" s="168"/>
      <c r="AA125" s="153">
        <f>$AA$29</f>
        <v>1.0149999999999999</v>
      </c>
      <c r="AB125" s="153">
        <f>PI()*EJ125*EJ125/4*EH125*(1-H125)*AA125*各项系数!$F$5*各项系数!$J$4*10^-7</f>
        <v>1.5673367508788369</v>
      </c>
      <c r="AC125" s="153">
        <f t="shared" si="504"/>
        <v>245.09808262108001</v>
      </c>
      <c r="AD125" s="153">
        <f t="shared" si="341"/>
        <v>177.18929302065297</v>
      </c>
      <c r="AE125" s="153">
        <f>POWER(4*EU125/PI()/EG125/10^-7/EH125/(1-H125)/各项系数!$F$5/各项系数!$J$4,0.5)</f>
        <v>246.92947607788281</v>
      </c>
      <c r="AF125" s="69">
        <f>$AA$26</f>
        <v>1.0129999999999999</v>
      </c>
      <c r="AG125" s="69">
        <f>IF(EM125=0,0,PI()*ER125*ER125/4*EP125*(1-K125)*(1+AF125)*各项系数!$F$5*各项系数!$J$4*10^-7)</f>
        <v>1.5960863930184181</v>
      </c>
      <c r="AH125" s="69">
        <f t="shared" si="505"/>
        <v>245.088056587712</v>
      </c>
      <c r="AI125" s="69">
        <f t="shared" si="398"/>
        <v>90.802378338116014</v>
      </c>
      <c r="AJ125" s="69">
        <f>IF(OR(EP125="",EP125=0),0,POWER(4*EW125/PI()/EO125/10^-7/EP125/(1-K125)/各项系数!$F$5/各项系数!$J$4,0.5))</f>
        <v>246.67598485301878</v>
      </c>
      <c r="AK125" s="69">
        <f t="shared" si="342"/>
        <v>6.308404208053954</v>
      </c>
      <c r="AL125" s="69">
        <f t="shared" si="506"/>
        <v>439.45187114746687</v>
      </c>
      <c r="AM125" s="188">
        <f t="shared" si="507"/>
        <v>185</v>
      </c>
      <c r="AN125" s="97" t="s">
        <v>486</v>
      </c>
      <c r="AO125" s="196">
        <f>AP125+各项系数!$M$9*$NK125</f>
        <v>430.83516779163421</v>
      </c>
      <c r="AP125" s="196">
        <f>AQ125*(1+$BI125+(VLOOKUP($AM125,$A$12:$B$323,2,0))+各项系数!$J$6+各项系数!$M$5)*(1+$E$2)</f>
        <v>428.38927360680037</v>
      </c>
      <c r="AQ125" s="197">
        <f>AR125+各项系数!$L$9*$NK125</f>
        <v>437.13191184367383</v>
      </c>
      <c r="AR125" s="197">
        <f>AS125*(1+$BJ125+各项系数!$J$5+各项系数!$L$5)</f>
        <v>434.68601765884</v>
      </c>
      <c r="AS125" s="197">
        <f t="shared" si="399"/>
        <v>426.16276241062747</v>
      </c>
      <c r="AT125" s="196">
        <f>AU125+各项系数!$M$9*$NM125</f>
        <v>435.32400964243362</v>
      </c>
      <c r="AU125" s="196">
        <f>AV125*(1+$BI125+(VLOOKUP($AM125,$A$12:$B$323,2,0))+各项系数!$J$6+各项系数!$M$5)*(1+$E$2)</f>
        <v>432.87811545759979</v>
      </c>
      <c r="AV125" s="197">
        <f>AW125+各项系数!$L$9*$NM125</f>
        <v>441.71236271183653</v>
      </c>
      <c r="AW125" s="197">
        <f>AX125*(1+$BJ125+各项系数!$J$5+各项系数!$L$5)</f>
        <v>439.2664685270027</v>
      </c>
      <c r="AX125" s="197">
        <f t="shared" si="400"/>
        <v>430.65340051666931</v>
      </c>
      <c r="AY125" s="196">
        <f>AZ125+各项系数!$M$9*$NS125</f>
        <v>435.49983087430968</v>
      </c>
      <c r="AZ125" s="196">
        <f>BA125*(1+$BI125+(VLOOKUP($AM125,$A$12:$B$214,2,0))+各项系数!$J$6+各项系数!$M$5)*(1+$E$2)</f>
        <v>433.03346824445498</v>
      </c>
      <c r="BA125" s="197">
        <f>BB125+各项系数!$L$9*$NS125</f>
        <v>441.87088596372956</v>
      </c>
      <c r="BB125" s="197">
        <f>BC125*(1+$BJ125+各项系数!$J$5+各项系数!$L$5)</f>
        <v>439.40452333387486</v>
      </c>
      <c r="BC125" s="199">
        <f t="shared" si="401"/>
        <v>430.78874836654398</v>
      </c>
      <c r="BD125" s="196">
        <f>BE125+各项系数!$M$9*$NS125</f>
        <v>440.0026010951272</v>
      </c>
      <c r="BE125" s="196">
        <f>BF125*(1+$BI125+(VLOOKUP($AM125,$A$12:$B$214,2,0))+各项系数!$J$6+各项系数!$M$5)*(1+$E$2)</f>
        <v>437.5362384652725</v>
      </c>
      <c r="BF125" s="197">
        <f>BG125+各项系数!$L$9*$NS125</f>
        <v>446.46554945435969</v>
      </c>
      <c r="BG125" s="197">
        <f>BH125*(1+$BJ125+各项系数!$J$5+各项系数!$L$5)</f>
        <v>443.99918682450499</v>
      </c>
      <c r="BH125" s="199">
        <f t="shared" si="402"/>
        <v>435.29332041618136</v>
      </c>
      <c r="BI125" s="213"/>
      <c r="BJ125" s="208"/>
      <c r="BK125" s="53" t="s">
        <v>514</v>
      </c>
      <c r="BL125" s="196">
        <f>BM125+各项系数!$M$9*$NM125</f>
        <v>435.6812402153418</v>
      </c>
      <c r="BM125" s="196">
        <f>BN125*(1+$CF125+(VLOOKUP($AM125,$A$12:$B$323,2,0))+各项系数!$J$6+各项系数!$M$5)*(1+$E$2)</f>
        <v>433.23534603050797</v>
      </c>
      <c r="BN125" s="197">
        <f>BO125+各项系数!$L$9*$NM125</f>
        <v>442.07688370459999</v>
      </c>
      <c r="BO125" s="197">
        <f>BP125*(1+$CG125+各项系数!$J$5+各项系数!$L$5)</f>
        <v>439.63098951976616</v>
      </c>
      <c r="BP125" s="197">
        <f t="shared" si="403"/>
        <v>426.82620341724868</v>
      </c>
      <c r="BQ125" s="196">
        <f>BR125+各项系数!$M$9*$NM125</f>
        <v>439.54441296749701</v>
      </c>
      <c r="BR125" s="196">
        <f>BS125*(1+$CF125+(VLOOKUP($AM125,$A$12:$B$323,2,0))+各项系数!$J$6+各项系数!$M$5)*(1+$E$2)</f>
        <v>437.09851878266318</v>
      </c>
      <c r="BS125" s="197">
        <f>BT125+各项系数!$L$9*$NM125</f>
        <v>446.01889671700326</v>
      </c>
      <c r="BT125" s="197">
        <f>BU125*(1+$CG125+各项系数!$J$5+各项系数!$L$5)</f>
        <v>443.57300253216943</v>
      </c>
      <c r="BU125" s="197">
        <f t="shared" si="404"/>
        <v>430.65340051666931</v>
      </c>
      <c r="BV125" s="196">
        <f>BW125+各项系数!$M$9*$NT125</f>
        <v>437.98437865151783</v>
      </c>
      <c r="BW125" s="196">
        <f>BX125*(1+$CF125+(VLOOKUP($AM125,$A$12:$B$214,2,0))+各项系数!$J$6+各项系数!$M$5)*(1+$E$2)</f>
        <v>435.51801602166313</v>
      </c>
      <c r="BX125" s="197">
        <f>BY125+各项系数!$L$9*$NT$12</f>
        <v>444.40613879761543</v>
      </c>
      <c r="BY125" s="197">
        <f>BZ125*(1+$CG125+各项系数!$J$5+各项系数!$L$5)</f>
        <v>444.39787539446047</v>
      </c>
      <c r="BZ125" s="199">
        <f t="shared" si="343"/>
        <v>431.45424795578685</v>
      </c>
      <c r="CA125" s="196">
        <f>CB125+各项系数!$M$9*$NT125</f>
        <v>441.85953839304005</v>
      </c>
      <c r="CB125" s="196">
        <f>CC125*(1+$CF125+(VLOOKUP($AM125,$A$12:$B$214,2,0))+各项系数!$J$6+各项系数!$M$5)*(1+$E$2)</f>
        <v>439.39317576318535</v>
      </c>
      <c r="CC125" s="197">
        <f>CD125+各项系数!$L$9*$NT$12</f>
        <v>448.36038343182179</v>
      </c>
      <c r="CD125" s="197">
        <f>CE125*(1+$CG125+各项系数!$J$5+各项系数!$L$5)</f>
        <v>448.35212002866683</v>
      </c>
      <c r="CE125" s="199">
        <f t="shared" si="405"/>
        <v>435.29332041618136</v>
      </c>
      <c r="CF125" s="213">
        <f t="shared" si="514"/>
        <v>0</v>
      </c>
      <c r="CG125" s="213">
        <f t="shared" si="344"/>
        <v>0.01</v>
      </c>
      <c r="CH125" s="102"/>
      <c r="CI125" s="196">
        <f>CJ125+各项系数!$M$9*$NO125</f>
        <v>440.89310100873001</v>
      </c>
      <c r="CJ125" s="196">
        <f>CK125*(1+$DC125+(VLOOKUP($AM125,$A$12:$B$323,2,0))+各项系数!$J$6+各项系数!$M$5)*(1+$E$2)+各项系数!$M$9*$NK125</f>
        <v>437.65128842388833</v>
      </c>
      <c r="CK125" s="197">
        <f>CL125+各项系数!$L$9*$NO125</f>
        <v>444.08713697862703</v>
      </c>
      <c r="CL125" s="197">
        <f>CM125*(1+$DD125+各项系数!$J$5+各项系数!$L$5)</f>
        <v>440.84532439378535</v>
      </c>
      <c r="CM125" s="197">
        <f t="shared" si="345"/>
        <v>432.20129842527973</v>
      </c>
      <c r="CN125" s="196">
        <f>CO125+各项系数!$M$9*$NO125</f>
        <v>445.02646495969708</v>
      </c>
      <c r="CO125" s="196">
        <f>CP125*(1+$DC125+(VLOOKUP($AM125,$A$12:$B$323,2,0))+各项系数!$J$6+各项系数!$M$5)*(1+$E$2)+各项系数!$M$9*$NK125</f>
        <v>441.7846523748554</v>
      </c>
      <c r="CP125" s="197">
        <f>CQ125+各项系数!$L$9*$NO125</f>
        <v>448.3048552959404</v>
      </c>
      <c r="CQ125" s="197">
        <f>CR125*(1+$DD125+各项系数!$J$5+各项系数!$L$5)</f>
        <v>445.06304271109872</v>
      </c>
      <c r="CR125" s="197">
        <f t="shared" si="346"/>
        <v>436.33631638343013</v>
      </c>
      <c r="CS125" s="196">
        <f>CT125+各项系数!$M$9*$NU125</f>
        <v>443.3746661895978</v>
      </c>
      <c r="CT125" s="196">
        <f t="shared" si="347"/>
        <v>440.11122690558989</v>
      </c>
      <c r="CU125" s="197">
        <f>CV125+各项系数!$L$9*$NU125</f>
        <v>449.09308867917338</v>
      </c>
      <c r="CV125" s="197">
        <f>CW125*(1+$DD125+各项系数!$J$5+各项系数!$L$5)</f>
        <v>445.82964939516546</v>
      </c>
      <c r="CW125" s="199">
        <f t="shared" si="348"/>
        <v>437.08789156388769</v>
      </c>
      <c r="CX125" s="196">
        <f>CY125+各项系数!$M$9*$NU125</f>
        <v>448.11804900247881</v>
      </c>
      <c r="CY125" s="196">
        <f t="shared" si="349"/>
        <v>444.8546097184709</v>
      </c>
      <c r="CZ125" s="197">
        <f>DA125+各项系数!$L$9*$NU125</f>
        <v>453.93327522292947</v>
      </c>
      <c r="DA125" s="197">
        <f>DB125*(1+$DD125+各项系数!$J$5+各项系数!$L$5)</f>
        <v>450.66983593892155</v>
      </c>
      <c r="DB125" s="199">
        <f t="shared" si="350"/>
        <v>441.83317248913875</v>
      </c>
      <c r="DC125" s="213">
        <f t="shared" si="498"/>
        <v>0</v>
      </c>
      <c r="DD125" s="213">
        <f t="shared" si="351"/>
        <v>0</v>
      </c>
      <c r="DE125" s="53" t="s">
        <v>498</v>
      </c>
      <c r="DF125" s="53" t="s">
        <v>513</v>
      </c>
      <c r="DG125" s="196">
        <f>DH125+各项系数!$M$9*$NQ125</f>
        <v>445.83424738310936</v>
      </c>
      <c r="DH125" s="196">
        <f>DI125*(1+$EA125+(VLOOKUP($AM125,$A$12:$B$323,2,0))+各项系数!$J$6+各项系数!$M$5)*(1+$E$2)+各项系数!$M$9*$NK125</f>
        <v>442.59243479826767</v>
      </c>
      <c r="DI125" s="197">
        <f>DJ125+各项系数!$L$9*$NQ125</f>
        <v>449.12912307493252</v>
      </c>
      <c r="DJ125" s="197">
        <f>DK125*(1+$EB125+各项系数!$J$5+各项系数!$L$5)</f>
        <v>445.88731049009084</v>
      </c>
      <c r="DK125" s="197">
        <f t="shared" si="352"/>
        <v>432.90030144669015</v>
      </c>
      <c r="DL125" s="196">
        <f>DM125+各项系数!$M$9*$NQ125</f>
        <v>449.90449537658077</v>
      </c>
      <c r="DM125" s="196">
        <f>DN125*(1+$EA125+(VLOOKUP($AM125,$A$12:$B$323,2,0))+各项系数!$J$6+各项系数!$M$5)*(1+$E$2)+各项系数!$M$9*$NK125</f>
        <v>446.66268279173909</v>
      </c>
      <c r="DN125" s="197">
        <f>DO125+各项系数!$L$9*$NQ125</f>
        <v>453.28243735398496</v>
      </c>
      <c r="DO125" s="197">
        <f>DP125*(1+$EB125+各项系数!$J$5+各项系数!$L$5)</f>
        <v>450.04062476914328</v>
      </c>
      <c r="DP125" s="197">
        <f t="shared" si="353"/>
        <v>436.93264540693519</v>
      </c>
      <c r="DQ125" s="196">
        <f>DR125+各项系数!$M$9*$NV125</f>
        <v>448.36577911003388</v>
      </c>
      <c r="DR125" s="196">
        <f t="shared" si="354"/>
        <v>445.10233982602597</v>
      </c>
      <c r="DS125" s="197">
        <f>DT125+各项系数!$L$9*$NV125</f>
        <v>454.18606104696528</v>
      </c>
      <c r="DT125" s="197">
        <f>DU125*(1+$EB125+各项系数!$J$5+各项系数!$L$5)</f>
        <v>450.92262176295736</v>
      </c>
      <c r="DU125" s="199">
        <f t="shared" si="355"/>
        <v>437.78895316791977</v>
      </c>
      <c r="DV125" s="196">
        <f>DW125+各项系数!$M$9*$NV125</f>
        <v>446.96582341120569</v>
      </c>
      <c r="DW125" s="196">
        <f t="shared" si="356"/>
        <v>443.70238412719777</v>
      </c>
      <c r="DX125" s="197">
        <f>DY125+各项系数!$L$9*$NV125</f>
        <v>452.75753482367122</v>
      </c>
      <c r="DY125" s="197">
        <f>DZ125*(1+$EB125+各项系数!$J$5+各项系数!$L$5)</f>
        <v>449.49409553966331</v>
      </c>
      <c r="DZ125" s="199">
        <f t="shared" si="357"/>
        <v>436.40203450452748</v>
      </c>
      <c r="EA125" s="213">
        <f t="shared" si="559"/>
        <v>0</v>
      </c>
      <c r="EB125" s="213">
        <f t="shared" si="358"/>
        <v>0.01</v>
      </c>
      <c r="EC125" s="235" t="str">
        <f t="shared" si="408"/>
        <v>3+2</v>
      </c>
      <c r="ED125" s="235" t="str">
        <f t="shared" si="494"/>
        <v>3*185</v>
      </c>
      <c r="EE125" s="189">
        <f t="shared" si="495"/>
        <v>185</v>
      </c>
      <c r="EF125" s="189" t="str">
        <f>LOOKUP(EH125,{1,7,10,14,19,24,30,37,48,61},{1,"1+6","2+8","4+10","1+6+12","2+8+14","4+10+16","1+6+12+18","3+9+15+21","1+6+12+18+24"})</f>
        <v>1+6+12+18</v>
      </c>
      <c r="EG125" s="188">
        <f t="shared" si="359"/>
        <v>3</v>
      </c>
      <c r="EH125" s="197">
        <f>VLOOKUP(EE125,各项系数!$B$87:$C$124,2,0)</f>
        <v>37</v>
      </c>
      <c r="EI125" s="188">
        <f>IF(EH125=0,0,VLOOKUP(EH125,各项系数!$D$142:$E$195,2,0))*1</f>
        <v>7</v>
      </c>
      <c r="EJ125" s="238">
        <f t="shared" si="409"/>
        <v>245.09808262108001</v>
      </c>
      <c r="EK125" s="189" t="str">
        <f t="shared" si="508"/>
        <v>2*95</v>
      </c>
      <c r="EL125" s="189" t="str">
        <f t="shared" si="360"/>
        <v>95</v>
      </c>
      <c r="EM125" s="189">
        <f t="shared" si="496"/>
        <v>95</v>
      </c>
      <c r="EN125" s="189" t="str">
        <f>IF(EP125=0,0,LOOKUP(EP125,{1,7,10,14,19,24,30,37,48,61},{1,"1+6","2+8","4+10","1+6+12","2+8+14","4+10+16","1+6+12+18","3+9+15+21","1+6+12+18+24"}))</f>
        <v>1+6+12</v>
      </c>
      <c r="EO125" s="189" t="str">
        <f t="shared" si="509"/>
        <v>2</v>
      </c>
      <c r="EP125" s="189">
        <f>IF(EM125=0,0,IF(EM125&lt;10,1,IF(AND(EM125&gt;=10,EM125&lt;=35),7,LOOKUP(EM125,{50,70,95,120,150,185,240,300},{10,14,19,24,30,37,48,61})*1)))</f>
        <v>19</v>
      </c>
      <c r="EQ125" s="189">
        <f>IF(EP125=0,0,VLOOKUP(EP125,各项系数!$D$142:$E$195,2,0))*1</f>
        <v>5</v>
      </c>
      <c r="ER125" s="189">
        <f t="shared" si="510"/>
        <v>245.088056587712</v>
      </c>
      <c r="ES125" s="235">
        <f t="shared" si="497"/>
        <v>5</v>
      </c>
      <c r="ET125" s="189">
        <f>VLOOKUP(ES125,各项系数!$D$142:$E$195,2,0)*1</f>
        <v>2.7</v>
      </c>
      <c r="EU125" s="243">
        <f>((各项系数!$F$76/4*$EJ125^2*$EG125*$EH125*1*10^-7)*(1-$H125)*AA125)*(VLOOKUP($EY$9,各项系数!$D$4:$F$143,3,0))*各项系数!$J$4</f>
        <v>4.7020102526365095</v>
      </c>
      <c r="EV125" s="244">
        <f>EU125*(VLOOKUP($EY$9,各项系数!$D$4:$F$143,2,0))</f>
        <v>307.98167154769135</v>
      </c>
      <c r="EW125" s="252">
        <f>(IF($EO125=0,0,(各项系数!$F$76/4*$ER125^2*$EO125*$EP125*1*10^-7))*(1-$K125)*$AF125)*(VLOOKUP($EY$9,各项系数!$D$4:$F$143,3,0))*各项系数!$J$4</f>
        <v>1.606393955417444</v>
      </c>
      <c r="EX125" s="253">
        <f>EW125*(VLOOKUP($EY$9,各项系数!$D$4:$F$143,2,0))</f>
        <v>105.21880407984258</v>
      </c>
      <c r="EY125" s="189">
        <f>((各项系数!$F$76/4*$EJ125^2*$EG125*$EH125*1*10^-7)*(1-$H125)*AA125+IF($EO125=0,0,(各项系数!$F$76/4*$ER125^2*$EO125*$EP125*1*10^-7))*(1-$K125)*$AF125)*(VLOOKUP($EY$9,各项系数!$D$4:$F$143,3,0))*各项系数!$J$4</f>
        <v>6.308404208053954</v>
      </c>
      <c r="EZ125" s="102">
        <v>1</v>
      </c>
      <c r="FA125" s="189">
        <f t="shared" si="515"/>
        <v>6.308404208053954</v>
      </c>
      <c r="FB125" s="254">
        <f>FA125*(VLOOKUP($EY$9,各项系数!$D$4:$F$143,2,0))</f>
        <v>413.20047562753399</v>
      </c>
      <c r="FC125" s="255"/>
      <c r="FD125" s="235">
        <f>各项系数!$F$76/4*($MN125^2-MK125^2)*10^-2*(VLOOKUP(L125,各项系数!$D$1:$F$143,3,0))*10^-3*10^2*$EG125*各项系数!$J$4</f>
        <v>0.30957590227819315</v>
      </c>
      <c r="FE125" s="262">
        <f>FD125*VLOOKUP(L125,各项系数!$D$1:$F$143,2,0)</f>
        <v>3.15767420323757</v>
      </c>
      <c r="FF125" s="188">
        <f>各项系数!$F$76/4*($MO125^2-ML125^2)*10^-2*(VLOOKUP(L125,各项系数!$D$1:$F$143,3,0))*10^-3*10^2*$EO125*各项系数!$J$4</f>
        <v>0.10102126251247506</v>
      </c>
      <c r="FG125" s="262">
        <f>FF125*VLOOKUP(L125,各项系数!$D$1:$F$143,2,0)</f>
        <v>1.0304168776272455</v>
      </c>
      <c r="FH125" s="235">
        <f t="shared" si="410"/>
        <v>0.41059716479066821</v>
      </c>
      <c r="FI125" s="102">
        <v>1</v>
      </c>
      <c r="FJ125" s="189">
        <f t="shared" si="516"/>
        <v>0.41059716479066821</v>
      </c>
      <c r="FK125" s="262">
        <f>FJ125*VLOOKUP(L125,各项系数!$D$1:$F$143,2,0)</f>
        <v>4.1880910808648153</v>
      </c>
      <c r="FL125" s="235"/>
      <c r="FM125" s="102"/>
      <c r="FN125" s="189"/>
      <c r="FO125" s="262"/>
      <c r="FP125" s="282">
        <f t="shared" si="517"/>
        <v>0.41059716479066821</v>
      </c>
      <c r="FQ125" s="282">
        <f t="shared" si="518"/>
        <v>4.1880910808648153</v>
      </c>
      <c r="FR125" s="283">
        <f>各项系数!$F$76/4*($MQ125^2-$MN125^2*$EG125-$MO125^2*$EO125)*10^-2</f>
        <v>5.4963228011416128</v>
      </c>
      <c r="FS125" s="284">
        <f t="shared" si="411"/>
        <v>1</v>
      </c>
      <c r="FT125" s="285">
        <f t="shared" si="361"/>
        <v>5.4963228011416128</v>
      </c>
      <c r="FU125" s="302">
        <f>$FT125*(VLOOKUP($FT$9,各项系数!$D$1:$F$143,3,0))*10^-3*10^2*各项系数!$J$55</f>
        <v>0.6562609424563085</v>
      </c>
      <c r="FV125" s="303">
        <v>1</v>
      </c>
      <c r="FW125" s="304">
        <f t="shared" si="519"/>
        <v>0.6562609424563085</v>
      </c>
      <c r="FX125" s="285">
        <f>FW125*(VLOOKUP($FT$9,各项系数!$D$1:$F$143,2,0))</f>
        <v>1.9687828273689254</v>
      </c>
      <c r="FY125" s="302">
        <f>IF($BK125&lt;&gt;$FY$9,0,各项系数!$F$76/4*($MS125^2-$MQ125^2)*10^-2*(VLOOKUP($FY$9,各项系数!$D$1:$F$143,3,0))*10^-3*10^2)*各项系数!$J$4</f>
        <v>0</v>
      </c>
      <c r="FZ125" s="303">
        <v>1</v>
      </c>
      <c r="GA125" s="304">
        <f t="shared" si="520"/>
        <v>0</v>
      </c>
      <c r="GB125" s="285">
        <f>GA125*(VLOOKUP($FY$9,各项系数!$D$1:$F$143,2,0))</f>
        <v>0</v>
      </c>
      <c r="GC125" s="302">
        <f>IF($BK125&lt;&gt;$GC$9,0,各项系数!$F$76/4*($MS125^2-$MQ125^2)*10^-2*(VLOOKUP($GC$9,各项系数!$D$1:$F$143,3,0))*10^-3*10^2)*各项系数!$J$4</f>
        <v>1.3256031678076995E-2</v>
      </c>
      <c r="GD125" s="303">
        <v>1</v>
      </c>
      <c r="GE125" s="304">
        <f t="shared" si="521"/>
        <v>1.3256031678076995E-2</v>
      </c>
      <c r="GF125" s="285">
        <f>GE125*(VLOOKUP($GC$9,各项系数!$D$1:$F$143,2,0))</f>
        <v>0.17100280864719325</v>
      </c>
      <c r="GG125" s="302">
        <f>IF($BK125&lt;&gt;$GG$9,0,各项系数!$F$76/4*($MS125^2-$MQ125^2)*10^-2*(VLOOKUP($GG$9,各项系数!$D$1:$F$143,3,0))*10^-3*10^2)*各项系数!$J$4</f>
        <v>0</v>
      </c>
      <c r="GH125" s="303">
        <v>1</v>
      </c>
      <c r="GI125" s="304">
        <f t="shared" si="522"/>
        <v>0</v>
      </c>
      <c r="GJ125" s="285">
        <f>GI125*(VLOOKUP($GG$9,各项系数!$D$1:$F$143,2,0))</f>
        <v>0</v>
      </c>
      <c r="GK125" s="302">
        <f>IF($BK125&lt;&gt;$GK$9,0,各项系数!$F$76/4*($MS125^2-$MQ125^2)*10^-2*(VLOOKUP($GK$9,各项系数!$D$1:$F$143,3,0))*10^-3*10^2)*各项系数!$J$4</f>
        <v>0</v>
      </c>
      <c r="GL125" s="303">
        <v>1</v>
      </c>
      <c r="GM125" s="304">
        <f t="shared" si="523"/>
        <v>0</v>
      </c>
      <c r="GN125" s="285">
        <f>GM125*(VLOOKUP($GK$9,各项系数!$D$1:$F$143,2,0))</f>
        <v>0</v>
      </c>
      <c r="GO125" s="304">
        <f t="shared" si="524"/>
        <v>1.3256031678076995E-2</v>
      </c>
      <c r="GP125" s="304">
        <f t="shared" si="525"/>
        <v>0.17100280864719325</v>
      </c>
      <c r="GQ125" s="315">
        <f>各项系数!$F$76/4*($MU125^2-$MS125^2)*10^-2*(VLOOKUP($S125,各项系数!$D$1:$F$143,3,0))*10^-3*10^2*各项系数!$J$4</f>
        <v>0.90777178557387894</v>
      </c>
      <c r="GR125" s="303">
        <v>1</v>
      </c>
      <c r="GS125" s="304">
        <f t="shared" si="526"/>
        <v>0.90777178557387894</v>
      </c>
      <c r="GT125" s="304">
        <f t="shared" si="457"/>
        <v>0</v>
      </c>
      <c r="GU125" s="304">
        <f>ROUND($GS125*(VLOOKUP($S125,各项系数!$D$1:$F$143,2,0))+$E$3*GS125,GT125)</f>
        <v>5</v>
      </c>
      <c r="GV125" s="315">
        <f>各项系数!$F$76/4*($MT125^2-$MS125^2)*10^-2*(VLOOKUP($GV$9,各项系数!$D$1:$F$143,3,0))*10^-3*10^2*各项系数!$J$4*PI()/4*R125</f>
        <v>6.8228150069628887E-2</v>
      </c>
      <c r="GW125" s="303">
        <v>1</v>
      </c>
      <c r="GX125" s="304">
        <f t="shared" si="527"/>
        <v>6.8228150069628887E-2</v>
      </c>
      <c r="GY125" s="304">
        <f>$GX125*(VLOOKUP($GV$9,各项系数!$D$1:$F$143,2,0))</f>
        <v>4.6054001296999498</v>
      </c>
      <c r="GZ125" s="315">
        <f>各项系数!$F$76/4*($MV125^2-$MS125^2)*10^-2*(VLOOKUP($GZ$9,各项系数!$D$1:$F$143,3,0))*10^-3*10^2*各项系数!$J$4</f>
        <v>0.65441459836790561</v>
      </c>
      <c r="HA125" s="303">
        <v>1</v>
      </c>
      <c r="HB125" s="304">
        <f t="shared" si="412"/>
        <v>0.65441459836790561</v>
      </c>
      <c r="HC125" s="304">
        <f>HB125*(VLOOKUP($GZ$9,各项系数!$D$1:$F$143,2,0))</f>
        <v>11.125048172254395</v>
      </c>
      <c r="HD125" s="315">
        <f>各项系数!$F$76/4*($MW125^2-$MT125^2)*10^-2*(VLOOKUP($HD$9,各项系数!$D$1:$F$143,3,0))*10^-3*10^2*各项系数!$J$4</f>
        <v>0.6564451730627382</v>
      </c>
      <c r="HE125" s="303">
        <v>1</v>
      </c>
      <c r="HF125" s="304">
        <f t="shared" si="413"/>
        <v>0.6564451730627382</v>
      </c>
      <c r="HG125" s="304">
        <f>HF125*(VLOOKUP($HD$9,各项系数!$D$1:$F$143,2,0))</f>
        <v>11.15956794206655</v>
      </c>
      <c r="HH125" s="315">
        <f>各项系数!$F$76/4*($MV125^2-$MS125^2)*10^-2*(VLOOKUP($HH$9,各项系数!$D$1:$F$143,3,0))*10^-3*10^2*各项系数!$J$4</f>
        <v>0.65441459836790561</v>
      </c>
      <c r="HI125" s="322">
        <v>1</v>
      </c>
      <c r="HJ125" s="304">
        <f t="shared" si="414"/>
        <v>0.65441459836790561</v>
      </c>
      <c r="HK125" s="304">
        <f>HJ125*(VLOOKUP($HH$9,各项系数!$D$1:$F$143,2,0))</f>
        <v>11.125048172254395</v>
      </c>
      <c r="HL125" s="315">
        <f>各项系数!$F$76/4*($MW125^2-$MT125^2)*10^-2*(VLOOKUP($HL$9,各项系数!$D$1:$F$143,3,0))*10^-3*10^2*各项系数!$J$4</f>
        <v>0.6564451730627382</v>
      </c>
      <c r="HM125" s="322">
        <v>1</v>
      </c>
      <c r="HN125" s="304">
        <f t="shared" si="362"/>
        <v>0.6564451730627382</v>
      </c>
      <c r="HO125" s="304">
        <f>HN125*(VLOOKUP($HL$9,各项系数!$D$1:$F$143,2,0))</f>
        <v>11.15956794206655</v>
      </c>
      <c r="HP125" s="315">
        <f>各项系数!$F$76/4*($MV125^2-$MS125^2)*10^-2*(VLOOKUP(AN125,各项系数!$D$1:$F$143,3,0))*10^-3*10^2*各项系数!$J$4</f>
        <v>0.66344100662125605</v>
      </c>
      <c r="HQ125" s="303">
        <v>1</v>
      </c>
      <c r="HR125" s="304">
        <f t="shared" si="528"/>
        <v>0.66344100662125605</v>
      </c>
      <c r="HS125" s="304">
        <f>HR125*(VLOOKUP(AN125,各项系数!$D$1:$F$143,2,0))</f>
        <v>6.6344100662125607</v>
      </c>
      <c r="HT125" s="315">
        <f>各项系数!$F$76/4*($MW125^2-$MT125^2)*10^-2*(VLOOKUP(AN125,各项系数!$D$1:$F$143,3,0))*10^-3*10^2*各项系数!$J$4</f>
        <v>0.66549958924291386</v>
      </c>
      <c r="HU125" s="303">
        <v>1</v>
      </c>
      <c r="HV125" s="304">
        <f t="shared" si="529"/>
        <v>0.66549958924291386</v>
      </c>
      <c r="HW125" s="304">
        <f>HV125*(VLOOKUP(AN125,各项系数!$D$1:$F$143,2,0))</f>
        <v>6.6549958924291381</v>
      </c>
      <c r="HX125" s="315">
        <f>各项系数!$F$76/4*($MV125^2-$MS125^2)*10^-2*(VLOOKUP($HX$9,各项系数!$D$1:$F$143,3,0))*10^-3*10^2*各项系数!$J$4</f>
        <v>0.66344100662125605</v>
      </c>
      <c r="HY125" s="322">
        <v>1</v>
      </c>
      <c r="HZ125" s="304">
        <f t="shared" si="530"/>
        <v>0.66344100662125605</v>
      </c>
      <c r="IA125" s="304">
        <f>HZ125*(VLOOKUP($HX$9,各项系数!$D$1:$F$143,2,0))</f>
        <v>7.2978510728338168</v>
      </c>
      <c r="IB125" s="315">
        <f>各项系数!$F$76/4*($MW125^2-$MT125^2)*10^-2*(VLOOKUP($IB$9,各项系数!$D$1:$F$143,3,0))*10^-3*10^2*各项系数!$J$4</f>
        <v>0.66549958924291386</v>
      </c>
      <c r="IC125" s="322">
        <v>1</v>
      </c>
      <c r="ID125" s="304">
        <f t="shared" si="531"/>
        <v>0.66549958924291386</v>
      </c>
      <c r="IE125" s="304">
        <f>ID125*(VLOOKUP($IB$9,各项系数!$D$1:$F$143,2,0))</f>
        <v>7.3204954816720527</v>
      </c>
      <c r="IF125" s="328"/>
      <c r="IG125" s="315">
        <f t="shared" si="415"/>
        <v>0.10898625596864012</v>
      </c>
      <c r="IH125" s="303">
        <v>1</v>
      </c>
      <c r="II125" s="304">
        <f t="shared" si="532"/>
        <v>0.10898625596864012</v>
      </c>
      <c r="IJ125" s="304">
        <f>II125*(VLOOKUP($IG$8,各项系数!$D$1:$F$143,2,0))</f>
        <v>2.7246563992160029</v>
      </c>
      <c r="IK125" s="315">
        <f>(各项系数!$F$76/4*($MX125^2-$MK125^2)*$EG125)*10^-2*(VLOOKUP($IG$8,各项系数!$D$1:$F$143,3,0))*10^-3*10^2*各项系数!$J$4</f>
        <v>7.3667001928250556E-2</v>
      </c>
      <c r="IL125" s="303">
        <f>IK125*(VLOOKUP($IG$8,各项系数!$D$1:$F$143,2,0))</f>
        <v>1.8416750482062638</v>
      </c>
      <c r="IM125" s="304">
        <f>(各项系数!$F$76/4*(($MM125+3*$X125)^2-MM125^2)*$EO125)*10^-2*(VLOOKUP($IG$8,各项系数!$D$1:$F$143,3,0))*10^-3*10^2*各项系数!$J$4</f>
        <v>3.5319254040389568E-2</v>
      </c>
      <c r="IN125" s="303">
        <f>IM125*(VLOOKUP($IG$8,各项系数!$D$1:$F$143,2,0))</f>
        <v>0.88298135100973918</v>
      </c>
      <c r="IO125" s="315">
        <f>各项系数!$F$76/4*($MZ125^2-$MX125^2)*10^-2*(VLOOKUP(L125,各项系数!$D$1:$F$143,3,0))*10^-3*10^2*$ES125*各项系数!$J$4</f>
        <v>0.53246450829522141</v>
      </c>
      <c r="IP125" s="303">
        <v>1</v>
      </c>
      <c r="IQ125" s="304">
        <f t="shared" si="533"/>
        <v>0.53246450829522141</v>
      </c>
      <c r="IR125" s="285">
        <f>IQ125*(VLOOKUP(L125,各项系数!$D$1:$F$143,2,0))</f>
        <v>5.431137984611258</v>
      </c>
      <c r="IS125" s="315">
        <f>IF($L125&lt;&gt;$IS$9,0,各项系数!$F$76/4*($MZ125^2-$MX125^2)*10^-2*各项系数!$F$12*10^-3*10^2)*$ES125*各项系数!$J$4</f>
        <v>0</v>
      </c>
      <c r="IT125" s="303">
        <v>1</v>
      </c>
      <c r="IU125" s="304">
        <f t="shared" si="534"/>
        <v>0</v>
      </c>
      <c r="IV125" s="285">
        <f>IU125*各项系数!$E$12</f>
        <v>0</v>
      </c>
      <c r="IW125" s="302">
        <f t="shared" si="535"/>
        <v>0.53246450829522141</v>
      </c>
      <c r="IX125" s="302">
        <f t="shared" si="536"/>
        <v>5.431137984611258</v>
      </c>
      <c r="IY125" s="339">
        <f>各项系数!$F$76/4*($NB125^2-$MZ125^2*$EG125-$NA125^2*$EO125)*10^-2</f>
        <v>6.2634765138736954</v>
      </c>
      <c r="IZ125" s="284">
        <f t="shared" si="487"/>
        <v>1</v>
      </c>
      <c r="JA125" s="285">
        <f t="shared" si="363"/>
        <v>6.2634765138736954</v>
      </c>
      <c r="JB125" s="282">
        <f>IF($DE125&lt;&gt;$JB$9,0,$JA125*各项系数!$F$32*10^-3*10^2)*各项系数!$J$4</f>
        <v>0</v>
      </c>
      <c r="JC125" s="102">
        <v>1</v>
      </c>
      <c r="JD125" s="189">
        <f t="shared" si="537"/>
        <v>0</v>
      </c>
      <c r="JE125" s="262">
        <f>JD125*各项系数!$E$32</f>
        <v>0</v>
      </c>
      <c r="JF125" s="282">
        <f>IF($DE125&lt;&gt;$JF$9,0,$JA125*VLOOKUP($JF$9,各项系数!$D$4:$F$540,2,0)*10^-3*10^2)*各项系数!$J$4</f>
        <v>3.1160795656521629</v>
      </c>
      <c r="JG125" s="102">
        <v>1</v>
      </c>
      <c r="JH125" s="189">
        <f t="shared" si="364"/>
        <v>3.1160795656521629</v>
      </c>
      <c r="JI125" s="262">
        <f>JH125*VLOOKUP($JF$9,各项系数!$D$4:$F$540,3,0)</f>
        <v>3.7392954787825952</v>
      </c>
      <c r="JJ125" s="282">
        <f t="shared" si="538"/>
        <v>3.1160795656521629</v>
      </c>
      <c r="JK125" s="189">
        <f t="shared" si="539"/>
        <v>3.7392954787825952</v>
      </c>
      <c r="JL125" s="282">
        <f>IF($DF125&lt;&gt;$JL$9,0,各项系数!$F$76/4*($NE125^2-$NC125^2)*10^-2*各项系数!$F$39*10^-3*10^2)*各项系数!$J$4</f>
        <v>5.7851360515902622E-3</v>
      </c>
      <c r="JM125" s="102">
        <v>1</v>
      </c>
      <c r="JN125" s="189">
        <f t="shared" si="540"/>
        <v>5.7851360515902622E-3</v>
      </c>
      <c r="JO125" s="262">
        <f>JN125*各项系数!$E$39</f>
        <v>0.11570272103180525</v>
      </c>
      <c r="JP125" s="282">
        <f>IF($DF125&lt;&gt;$JP$9,0,各项系数!$F$76/4*($NE125^2-$NC125^2)*10^-2*各项系数!$F$36*10^-3*10^2)*各项系数!$J$4</f>
        <v>0</v>
      </c>
      <c r="JQ125" s="102">
        <v>1</v>
      </c>
      <c r="JR125" s="189">
        <f t="shared" si="541"/>
        <v>0</v>
      </c>
      <c r="JS125" s="262">
        <f>JR125*各项系数!$E$36</f>
        <v>0</v>
      </c>
      <c r="JT125" s="282">
        <f>IF($DF125&lt;&gt;$JT$9,0,各项系数!$F$76/4*($NE125^2-$NC125^2)*10^-2*各项系数!$F$40*10^-3*10^2)*各项系数!$J$4</f>
        <v>0</v>
      </c>
      <c r="JU125" s="102">
        <v>1</v>
      </c>
      <c r="JV125" s="189">
        <f t="shared" si="542"/>
        <v>0</v>
      </c>
      <c r="JW125" s="262">
        <f>JV125*各项系数!$E$40</f>
        <v>0</v>
      </c>
      <c r="JX125" s="282">
        <f>IF($DF125&lt;&gt;$JX$9,0,各项系数!$F$76/4*($NE125^2-$NC125^2)*10^-2*各项系数!$F$38*10^-3*10^2)*各项系数!$J$4</f>
        <v>0</v>
      </c>
      <c r="JY125" s="102">
        <v>1</v>
      </c>
      <c r="JZ125" s="189">
        <f t="shared" si="543"/>
        <v>0</v>
      </c>
      <c r="KA125" s="262">
        <f>JZ125*各项系数!$E$38</f>
        <v>0</v>
      </c>
      <c r="KB125" s="282">
        <f>IF($DF125&lt;&gt;$KB$9,0,各项系数!$F$76/4*($NE125^2-$NC125^2)*10^-2*各项系数!$F$41*10^-3*10^2)*各项系数!$J$4</f>
        <v>0</v>
      </c>
      <c r="KC125" s="102">
        <v>1</v>
      </c>
      <c r="KD125" s="189">
        <f t="shared" si="544"/>
        <v>0</v>
      </c>
      <c r="KE125" s="262">
        <f>KD125*各项系数!$E$41</f>
        <v>0</v>
      </c>
      <c r="KF125" s="189">
        <f t="shared" si="545"/>
        <v>5.7851360515902622E-3</v>
      </c>
      <c r="KG125" s="189">
        <f t="shared" si="546"/>
        <v>0.11570272103180525</v>
      </c>
      <c r="KH125" s="235">
        <f>各项系数!$F$76/4*($NG125^2-$NE125^2)*10^-2*各项系数!$F$44*10^-3*10^2*各项系数!$J$4*0.75*$U125</f>
        <v>1.4376675969972401</v>
      </c>
      <c r="KI125" s="102">
        <v>1</v>
      </c>
      <c r="KJ125" s="189">
        <f t="shared" si="547"/>
        <v>1.4376675969972401</v>
      </c>
      <c r="KK125" s="189">
        <f>ROUND(KJ125*各项系数!$E$43,GT125)</f>
        <v>8</v>
      </c>
      <c r="KL125" s="235">
        <f>各项系数!$F$76/4*($NF125^2-$NE125^2)*10^-2*各项系数!$F$46*10^-3*10^2*各项系数!$J$4*PI()/4*R125</f>
        <v>7.2088997220613169E-2</v>
      </c>
      <c r="KM125" s="102">
        <v>1</v>
      </c>
      <c r="KN125" s="189">
        <f t="shared" si="548"/>
        <v>7.2088997220613169E-2</v>
      </c>
      <c r="KO125" s="189">
        <f>KN125*各项系数!$E$46</f>
        <v>4.866007312391389</v>
      </c>
      <c r="KP125" s="235">
        <f>各项系数!$F$76/4*($NH125^2-$NE125^2)*10^-2*(VLOOKUP($KP$9,各项系数!$D$1:$F$143,3,0))*10^-3*10^2*各项系数!$J$4</f>
        <v>0.68949277622114635</v>
      </c>
      <c r="KQ125" s="102">
        <v>1</v>
      </c>
      <c r="KR125" s="189">
        <f t="shared" si="416"/>
        <v>0.68949277622114635</v>
      </c>
      <c r="KS125" s="189">
        <f>KR125*(VLOOKUP($KP$9,各项系数!$D$1:$F$143,2,0))</f>
        <v>11.721377195759487</v>
      </c>
      <c r="KT125" s="235">
        <f>各项系数!$F$76/4*($NI125^2-$NF125^2)*10^-2*(VLOOKUP($KT$9,各项系数!$D$1:$F$143,3,0))*10^-3*10^2*各项系数!$J$4</f>
        <v>0.69152335091597994</v>
      </c>
      <c r="KU125" s="102">
        <v>1</v>
      </c>
      <c r="KV125" s="189">
        <f t="shared" si="417"/>
        <v>0.69152335091597994</v>
      </c>
      <c r="KW125" s="189">
        <f>KV125*(VLOOKUP($KT$9,各项系数!$D$1:$F$143,2,0))</f>
        <v>11.755896965571658</v>
      </c>
      <c r="KX125" s="189">
        <f>各项系数!$F$76/4*($NH125^2-$NE125^2)*10^-2*(VLOOKUP($KX$9,各项系数!$D$1:$F$143,3,0))*10^-3*10^2*各项系数!$J$4</f>
        <v>0.68949277622114635</v>
      </c>
      <c r="KY125" s="353">
        <v>1</v>
      </c>
      <c r="KZ125" s="189">
        <f t="shared" si="418"/>
        <v>0.68949277622114635</v>
      </c>
      <c r="LA125" s="189">
        <f>KZ125*(VLOOKUP($KX$9,各项系数!$D$1:$F$143,2,0))</f>
        <v>11.721377195759487</v>
      </c>
      <c r="LB125" s="189">
        <f>各项系数!$F$76/4*($NI125^2-$NF125^2)*10^-2*(VLOOKUP($LB$9,各项系数!$D$1:$F$143,3,0))*10^-3*10^2*各项系数!$J$4</f>
        <v>0.69152335091597994</v>
      </c>
      <c r="LC125" s="353">
        <v>1</v>
      </c>
      <c r="LD125" s="189">
        <f t="shared" si="419"/>
        <v>0.69152335091597994</v>
      </c>
      <c r="LE125" s="189">
        <f>LD125*(VLOOKUP($LB$9,各项系数!$D$1:$F$143,2,0))</f>
        <v>11.755896965571658</v>
      </c>
      <c r="LF125" s="235">
        <f>各项系数!$F$76/4*($NH125^2-$NE125^2)*10^-2*(VLOOKUP(AN125,各项系数!$D$1:$F$143,3,0))*10^-3*10^2*各项系数!$J$4</f>
        <v>0.6990030214104036</v>
      </c>
      <c r="LG125" s="102">
        <v>1</v>
      </c>
      <c r="LH125" s="189">
        <f t="shared" si="549"/>
        <v>0.6990030214104036</v>
      </c>
      <c r="LI125" s="189">
        <f>LH125*(VLOOKUP(AN125,各项系数!$D$1:$F$143,2,0))</f>
        <v>6.9900302141040358</v>
      </c>
      <c r="LJ125" s="235">
        <f>各项系数!$F$76/4*($NI125^2-$NF125^2)*10^-2*(VLOOKUP(AN125,各项系数!$D$1:$F$143,3,0))*10^-3*10^2*各项系数!$J$4</f>
        <v>0.7010616040320623</v>
      </c>
      <c r="LK125" s="102">
        <v>1</v>
      </c>
      <c r="LL125" s="189">
        <f t="shared" si="550"/>
        <v>0.7010616040320623</v>
      </c>
      <c r="LM125" s="189">
        <f>LL125*(VLOOKUP(AN125,各项系数!$D$1:$F$143,2,0))</f>
        <v>7.010616040320623</v>
      </c>
      <c r="LN125" s="189">
        <f>各项系数!$F$76/4*($NH125^2-$NE125^2)*10^-2*(VLOOKUP($LN$9,各项系数!$D$1:$F$143,3,0))*10^-3*10^2*各项系数!$J$4</f>
        <v>0.6990030214104036</v>
      </c>
      <c r="LO125" s="353">
        <v>1</v>
      </c>
      <c r="LP125" s="189">
        <f t="shared" si="551"/>
        <v>0.6990030214104036</v>
      </c>
      <c r="LQ125" s="189">
        <f>LP125*(VLOOKUP($LN$9,各项系数!$D$1:$F$143,2,0))</f>
        <v>7.6890332355144393</v>
      </c>
      <c r="LR125" s="189">
        <f>各项系数!$F$76/4*($NI125^2-$NF125^2)*10^-2*(VLOOKUP($LR$9,各项系数!$D$1:$F$143,3,0))*10^-3*10^2*各项系数!$J$4</f>
        <v>0.7010616040320623</v>
      </c>
      <c r="LS125" s="353">
        <v>1</v>
      </c>
      <c r="LT125" s="189">
        <f t="shared" si="552"/>
        <v>0.7010616040320623</v>
      </c>
      <c r="LU125" s="189">
        <f>LT125*(VLOOKUP($LR$9,各项系数!$D$1:$F$143,2,0))</f>
        <v>7.7116776443526849</v>
      </c>
      <c r="LV125" s="227">
        <f t="shared" si="420"/>
        <v>693.56480240999997</v>
      </c>
      <c r="LW125" s="227">
        <f t="shared" si="421"/>
        <v>523.71219773999997</v>
      </c>
      <c r="LX125" s="227">
        <f t="shared" si="422"/>
        <v>25.822685379772746</v>
      </c>
      <c r="LY125" s="227">
        <f t="shared" si="423"/>
        <v>169.85260467000001</v>
      </c>
      <c r="LZ125" s="374">
        <f t="shared" si="365"/>
        <v>1</v>
      </c>
      <c r="MA125" s="375">
        <f t="shared" si="366"/>
        <v>693.56480240999997</v>
      </c>
      <c r="MB125" s="375">
        <f t="shared" si="424"/>
        <v>17.156865809999999</v>
      </c>
      <c r="MC125" s="227">
        <f t="shared" si="425"/>
        <v>235.88709496999999</v>
      </c>
      <c r="MD125" s="227">
        <f t="shared" si="426"/>
        <v>179.27419277999999</v>
      </c>
      <c r="ME125" s="227">
        <f t="shared" si="427"/>
        <v>15.10824250526748</v>
      </c>
      <c r="MF125" s="227">
        <f t="shared" si="428"/>
        <v>56.61290219</v>
      </c>
      <c r="MG125" s="374">
        <f t="shared" si="429"/>
        <v>1</v>
      </c>
      <c r="MH125" s="375">
        <f t="shared" si="367"/>
        <v>235.88709496999999</v>
      </c>
      <c r="MI125" s="375">
        <f t="shared" si="430"/>
        <v>12.254402829361023</v>
      </c>
      <c r="MJ125" s="189">
        <f t="shared" si="368"/>
        <v>17.156865809999999</v>
      </c>
      <c r="MK125" s="189">
        <f t="shared" si="431"/>
        <v>17.156865809999999</v>
      </c>
      <c r="ML125" s="189">
        <f t="shared" si="553"/>
        <v>12.254402829385599</v>
      </c>
      <c r="MM125" s="189">
        <f t="shared" si="369"/>
        <v>12.254402829361023</v>
      </c>
      <c r="MN125" s="189">
        <f t="shared" si="370"/>
        <v>20.356865809999999</v>
      </c>
      <c r="MO125" s="189">
        <f t="shared" si="432"/>
        <v>14.454402829361022</v>
      </c>
      <c r="MP125" s="189">
        <f t="shared" si="433"/>
        <v>48.588877670000002</v>
      </c>
      <c r="MQ125" s="189">
        <f t="shared" si="554"/>
        <v>48.588877670000002</v>
      </c>
      <c r="MR125" s="246">
        <f t="shared" si="434"/>
        <v>48.588877670000002</v>
      </c>
      <c r="MS125" s="380">
        <f t="shared" si="371"/>
        <v>48.764877670000004</v>
      </c>
      <c r="MT125" s="380">
        <f t="shared" si="372"/>
        <v>48.924877670000001</v>
      </c>
      <c r="MU125" s="380">
        <f t="shared" si="373"/>
        <v>50.264877670000004</v>
      </c>
      <c r="MV125" s="380">
        <f t="shared" si="374"/>
        <v>54.364877670000006</v>
      </c>
      <c r="MW125" s="380">
        <f t="shared" si="375"/>
        <v>54.524877670000002</v>
      </c>
      <c r="MX125" s="254">
        <f t="shared" si="376"/>
        <v>17.756865810000001</v>
      </c>
      <c r="MY125" s="254">
        <f t="shared" si="377"/>
        <v>12.854402829361023</v>
      </c>
      <c r="MZ125" s="189">
        <f t="shared" si="378"/>
        <v>20.95686581</v>
      </c>
      <c r="NA125" s="189">
        <f t="shared" si="379"/>
        <v>16.054402829361024</v>
      </c>
      <c r="NB125" s="189">
        <f t="shared" si="435"/>
        <v>51.288877669999998</v>
      </c>
      <c r="NC125" s="254">
        <f t="shared" si="555"/>
        <v>51.288877669999998</v>
      </c>
      <c r="ND125" s="246">
        <f t="shared" si="436"/>
        <v>51.288877669999998</v>
      </c>
      <c r="NE125" s="386">
        <f t="shared" si="437"/>
        <v>51.52887767</v>
      </c>
      <c r="NF125" s="380">
        <f t="shared" si="380"/>
        <v>51.688877669999997</v>
      </c>
      <c r="NG125" s="387">
        <f t="shared" si="381"/>
        <v>53.02887767</v>
      </c>
      <c r="NH125" s="254">
        <f t="shared" si="382"/>
        <v>57.128877670000001</v>
      </c>
      <c r="NI125" s="380">
        <f t="shared" si="383"/>
        <v>57.288877669999998</v>
      </c>
      <c r="NK125" s="388">
        <f t="shared" si="384"/>
        <v>8.1529806161127389</v>
      </c>
      <c r="NL125" s="388">
        <f t="shared" si="385"/>
        <v>427.19317928825473</v>
      </c>
      <c r="NM125" s="388">
        <f t="shared" si="386"/>
        <v>8.1529806161127389</v>
      </c>
      <c r="NN125" s="388">
        <f t="shared" si="387"/>
        <v>427.85662029487594</v>
      </c>
      <c r="NO125" s="388">
        <f t="shared" si="388"/>
        <v>10.806041949472363</v>
      </c>
      <c r="NP125" s="388">
        <f t="shared" si="389"/>
        <v>433.08427977628941</v>
      </c>
      <c r="NQ125" s="388">
        <f t="shared" si="390"/>
        <v>10.806041949472363</v>
      </c>
      <c r="NR125" s="388">
        <f t="shared" si="391"/>
        <v>433.78328279769988</v>
      </c>
      <c r="NS125" s="388">
        <f t="shared" si="392"/>
        <v>8.2212087661823681</v>
      </c>
      <c r="NT125" s="388">
        <f t="shared" si="393"/>
        <v>8.2212087661823681</v>
      </c>
      <c r="NU125" s="388">
        <f t="shared" si="394"/>
        <v>10.878130946692975</v>
      </c>
      <c r="NV125" s="388">
        <f t="shared" si="395"/>
        <v>10.878130946692975</v>
      </c>
      <c r="NW125">
        <f t="shared" si="396"/>
        <v>9.0607524016866172</v>
      </c>
      <c r="NX125">
        <f>各项系数!$M$9*NK125</f>
        <v>2.4458941848338216</v>
      </c>
      <c r="NY125">
        <f t="shared" si="397"/>
        <v>8.2212087661823681</v>
      </c>
    </row>
    <row r="126" spans="1:389" ht="15" hidden="1" customHeight="1">
      <c r="A126" s="69"/>
      <c r="B126" s="70"/>
      <c r="C126" s="71"/>
      <c r="D126" s="53" t="s">
        <v>422</v>
      </c>
      <c r="E126" s="54">
        <f t="shared" ref="E126:E141" si="560">MV126</f>
        <v>62.718852800000001</v>
      </c>
      <c r="F126" s="68">
        <f>$F$30</f>
        <v>246.701228113631</v>
      </c>
      <c r="G126" s="58"/>
      <c r="H126" s="16"/>
      <c r="I126" s="145">
        <f>$F$27</f>
        <v>244.921136962963</v>
      </c>
      <c r="J126" s="62"/>
      <c r="K126" s="16"/>
      <c r="L126" s="97" t="s">
        <v>467</v>
      </c>
      <c r="M126" s="103">
        <f t="shared" si="339"/>
        <v>1.7</v>
      </c>
      <c r="N126" s="103">
        <f t="shared" si="501"/>
        <v>1.2</v>
      </c>
      <c r="O126" s="53">
        <f t="shared" si="556"/>
        <v>0.08</v>
      </c>
      <c r="P126" s="99">
        <v>0.1</v>
      </c>
      <c r="Q126" s="133">
        <f t="shared" si="557"/>
        <v>0.1</v>
      </c>
      <c r="R126" s="70">
        <v>0.8</v>
      </c>
      <c r="S126" s="142" t="str">
        <f>各项系数!$D$43</f>
        <v>钢带</v>
      </c>
      <c r="T126" s="62">
        <v>0.5</v>
      </c>
      <c r="U126" s="62">
        <v>2</v>
      </c>
      <c r="V126" s="143"/>
      <c r="W126" s="141">
        <v>3</v>
      </c>
      <c r="X126" s="135">
        <f t="shared" si="558"/>
        <v>0.2</v>
      </c>
      <c r="Y126" s="135"/>
      <c r="Z126" s="168"/>
      <c r="AA126" s="153">
        <f>$AA$30</f>
        <v>1.0149999999999999</v>
      </c>
      <c r="AB126" s="153">
        <f>PI()*EJ126*EJ126/4*EH126*(1-H126)*AA126*各项系数!$F$5*各项系数!$J$4*10^-7</f>
        <v>2.05998769246807</v>
      </c>
      <c r="AC126" s="153">
        <f t="shared" ref="AC126:AC131" si="561">EJ126</f>
        <v>246.701228113631</v>
      </c>
      <c r="AD126" s="153">
        <f t="shared" si="341"/>
        <v>232.88407080035392</v>
      </c>
      <c r="AE126" s="153">
        <f>POWER(4*EU126/PI()/EG126/10^-7/EH126/(1-H126)/各项系数!$F$5/各项系数!$J$4,0.5)</f>
        <v>248.54460040818714</v>
      </c>
      <c r="AF126" s="69">
        <f>$AA$27</f>
        <v>1.0129999999999999</v>
      </c>
      <c r="AG126" s="69">
        <f>IF(EM126=0,0,PI()*ER126*ER126/4*EP126*(1-K126)*(1+AF126)*各项系数!$F$5*各项系数!$J$4*10^-7)</f>
        <v>2.0133638813892349</v>
      </c>
      <c r="AH126" s="69">
        <f t="shared" ref="AH126:AH131" si="562">ER126</f>
        <v>244.921136962963</v>
      </c>
      <c r="AI126" s="69">
        <f t="shared" si="398"/>
        <v>114.54156221736139</v>
      </c>
      <c r="AJ126" s="69">
        <f>IF(OR(EP126="",EP126=0),0,POWER(4*EW126/PI()/EO126/10^-7/EP126/(1-K126)/各项系数!$F$5/各项系数!$J$4,0.5))</f>
        <v>246.50798375415039</v>
      </c>
      <c r="AK126" s="69">
        <f t="shared" si="342"/>
        <v>8.2063293087477724</v>
      </c>
      <c r="AL126" s="69">
        <f t="shared" ref="AL126:AL131" si="563">AO126*(1+0.02)</f>
        <v>571.13575628186777</v>
      </c>
      <c r="AM126" s="188">
        <f t="shared" ref="AM126:AM131" si="564">EE126*1</f>
        <v>240</v>
      </c>
      <c r="AN126" s="97" t="s">
        <v>486</v>
      </c>
      <c r="AO126" s="196">
        <f>AP126+各项系数!$M$9*$NK126</f>
        <v>559.93701596261542</v>
      </c>
      <c r="AP126" s="196">
        <f>AQ126*(1+$BI126+(VLOOKUP($AM126,$A$12:$B$323,2,0))+各项系数!$J$6+各项系数!$M$5)*(1+$E$2)</f>
        <v>556.76143315131253</v>
      </c>
      <c r="AQ126" s="197">
        <f>AR126+各项系数!$L$9*$NK126</f>
        <v>568.1239113788904</v>
      </c>
      <c r="AR126" s="197">
        <f>AS126*(1+$BJ126+各项系数!$J$5+各项系数!$L$5)</f>
        <v>564.94832856758751</v>
      </c>
      <c r="AS126" s="197">
        <f t="shared" si="399"/>
        <v>553.87091036037987</v>
      </c>
      <c r="AT126" s="196">
        <f>AU126+各项系数!$M$9*$NM126</f>
        <v>565.50701336567738</v>
      </c>
      <c r="AU126" s="196">
        <f>AV126*(1+$BI126+(VLOOKUP($AM126,$A$12:$B$323,2,0))+各项系数!$J$6+各项系数!$M$5)*(1+$E$2)</f>
        <v>562.33143055437449</v>
      </c>
      <c r="AV126" s="197">
        <f>AW126+各项系数!$L$9*$NM126</f>
        <v>573.80758219834138</v>
      </c>
      <c r="AW126" s="197">
        <f>AX126*(1+$BJ126+各项系数!$J$5+各项系数!$L$5)</f>
        <v>570.63199938703849</v>
      </c>
      <c r="AX126" s="197">
        <f t="shared" si="400"/>
        <v>559.4431366539593</v>
      </c>
      <c r="AY126" s="196">
        <f>AZ126+各项系数!$M$9*$NS126</f>
        <v>565.3593989092617</v>
      </c>
      <c r="AZ126" s="196">
        <f>BA126*(1+$BI126+(VLOOKUP($AM126,$A$12:$B$214,2,0))+各项系数!$J$6+各项系数!$M$5)*(1+$E$2)</f>
        <v>562.16001453981721</v>
      </c>
      <c r="BA126" s="197">
        <f>BB126+各项系数!$L$9*$NS126</f>
        <v>573.63266789777265</v>
      </c>
      <c r="BB126" s="197">
        <f>BC126*(1+$BJ126+各项系数!$J$5+各项系数!$L$5)</f>
        <v>570.43328352832816</v>
      </c>
      <c r="BC126" s="199">
        <f t="shared" si="401"/>
        <v>559.24831718463543</v>
      </c>
      <c r="BD126" s="196">
        <f>BE126+各项系数!$M$9*$NS126</f>
        <v>570.94431956591461</v>
      </c>
      <c r="BE126" s="196">
        <f>BF126*(1+$BI126+(VLOOKUP($AM126,$A$12:$B$214,2,0))+各项系数!$J$6+各项系数!$M$5)*(1+$E$2)</f>
        <v>567.74493519647012</v>
      </c>
      <c r="BF126" s="197">
        <f>BG126+各项系数!$L$9*$NS126</f>
        <v>579.3315665270103</v>
      </c>
      <c r="BG126" s="197">
        <f>BH126*(1+$BJ126+各项系数!$J$5+各项系数!$L$5)</f>
        <v>576.13218215756581</v>
      </c>
      <c r="BH126" s="199">
        <f t="shared" si="402"/>
        <v>564.83547270349584</v>
      </c>
      <c r="BI126" s="213"/>
      <c r="BJ126" s="208"/>
      <c r="BK126" s="53" t="s">
        <v>514</v>
      </c>
      <c r="BL126" s="196">
        <f>BM126+各项系数!$M$9*$NM126</f>
        <v>566.19592271072861</v>
      </c>
      <c r="BM126" s="196">
        <f>BN126*(1+$CF126+(VLOOKUP($AM126,$A$12:$B$323,2,0))+各项系数!$J$6+各项系数!$M$5)*(1+$E$2)</f>
        <v>563.02033989942572</v>
      </c>
      <c r="BN126" s="197">
        <f>BO126+各项系数!$L$9*$NM126</f>
        <v>574.51055091778142</v>
      </c>
      <c r="BO126" s="197">
        <f>BP126*(1+$CG126+各项系数!$J$5+各项系数!$L$5)</f>
        <v>571.33496810647853</v>
      </c>
      <c r="BP126" s="197">
        <f t="shared" si="403"/>
        <v>554.69414379269756</v>
      </c>
      <c r="BQ126" s="196">
        <f>BR126+各项系数!$M$9*$NM126</f>
        <v>570.98955610488633</v>
      </c>
      <c r="BR126" s="196">
        <f>BS126*(1+$CF126+(VLOOKUP($AM126,$A$12:$B$323,2,0))+各项系数!$J$6+各项系数!$M$5)*(1+$E$2)</f>
        <v>567.81397329358344</v>
      </c>
      <c r="BS126" s="197">
        <f>BT126+各项系数!$L$9*$NM126</f>
        <v>579.40201356488103</v>
      </c>
      <c r="BT126" s="197">
        <f>BU126*(1+$CG126+各项系数!$J$5+各项系数!$L$5)</f>
        <v>576.22643075357814</v>
      </c>
      <c r="BU126" s="197">
        <f t="shared" si="404"/>
        <v>559.4431366539593</v>
      </c>
      <c r="BV126" s="196">
        <f>BW126+各项系数!$M$9*$NT126</f>
        <v>568.54593205439414</v>
      </c>
      <c r="BW126" s="196">
        <f>BX126*(1+$CF126+(VLOOKUP($AM126,$A$12:$B$214,2,0))+各项系数!$J$6+各项系数!$M$5)*(1+$E$2)</f>
        <v>565.34654768494966</v>
      </c>
      <c r="BX126" s="197">
        <f>BY126+各项系数!$L$9*$NT$12</f>
        <v>576.8842323315813</v>
      </c>
      <c r="BY126" s="197">
        <f>BZ126*(1+$CG126+各项系数!$J$5+各项系数!$L$5)</f>
        <v>576.87596892842635</v>
      </c>
      <c r="BZ126" s="199">
        <f t="shared" si="343"/>
        <v>560.07375624119061</v>
      </c>
      <c r="CA126" s="196">
        <f>CB126+各项系数!$M$9*$NT126</f>
        <v>573.35240865144499</v>
      </c>
      <c r="CB126" s="196">
        <f>CC126*(1+$CF126+(VLOOKUP($AM126,$A$12:$B$214,2,0))+各项系数!$J$6+各项系数!$M$5)*(1+$E$2)</f>
        <v>570.1530242820005</v>
      </c>
      <c r="CC126" s="197">
        <f>CD126+各项系数!$L$9*$NT$12</f>
        <v>581.78880028775563</v>
      </c>
      <c r="CD126" s="197">
        <f>CE126*(1+$CG126+各项系数!$J$5+各项系数!$L$5)</f>
        <v>581.78053688460068</v>
      </c>
      <c r="CE126" s="199">
        <f t="shared" si="405"/>
        <v>564.83547270349584</v>
      </c>
      <c r="CF126" s="213">
        <f t="shared" si="514"/>
        <v>0</v>
      </c>
      <c r="CG126" s="213">
        <f t="shared" si="344"/>
        <v>0.01</v>
      </c>
      <c r="CH126" s="102"/>
      <c r="CI126" s="196">
        <f>CJ126+各项系数!$M$9*$NO126</f>
        <v>572.46221441515979</v>
      </c>
      <c r="CJ126" s="196">
        <f>CK126*(1+$DC126+(VLOOKUP($AM126,$A$12:$B$323,2,0))+各项系数!$J$6+各项系数!$M$5)*(1+$E$2)+各项系数!$M$9*$NK126</f>
        <v>568.24112741798069</v>
      </c>
      <c r="CK126" s="197">
        <f>CL126+各项系数!$L$9*$NO126</f>
        <v>576.59749449661001</v>
      </c>
      <c r="CL126" s="197">
        <f>CM126*(1+$DD126+各项系数!$J$5+各项系数!$L$5)</f>
        <v>572.37640749943091</v>
      </c>
      <c r="CM126" s="197">
        <f t="shared" si="345"/>
        <v>561.15334068571656</v>
      </c>
      <c r="CN126" s="196">
        <f>CO126+各项系数!$M$9*$NO126</f>
        <v>577.65134263982998</v>
      </c>
      <c r="CO126" s="196">
        <f>CP126*(1+$DC126+(VLOOKUP($AM126,$A$12:$B$323,2,0))+各项系数!$J$6+各项系数!$M$5)*(1+$E$2)+各项系数!$M$9*$NK126</f>
        <v>573.43025564265088</v>
      </c>
      <c r="CP126" s="197">
        <f>CQ126+各项系数!$L$9*$NO126</f>
        <v>581.89252329729391</v>
      </c>
      <c r="CQ126" s="197">
        <f>CR126*(1+$DD126+各项系数!$J$5+各项系数!$L$5)</f>
        <v>577.67143630011481</v>
      </c>
      <c r="CR126" s="197">
        <f t="shared" si="346"/>
        <v>566.34454539226942</v>
      </c>
      <c r="CS126" s="196">
        <f>CT126+各项系数!$M$9*$NU126</f>
        <v>574.97181083352939</v>
      </c>
      <c r="CT126" s="196">
        <f t="shared" si="347"/>
        <v>570.72576402406332</v>
      </c>
      <c r="CU126" s="197">
        <f>CV126+各项系数!$L$9*$NU126</f>
        <v>582.37322859598305</v>
      </c>
      <c r="CV126" s="197">
        <f>CW126*(1+$DD126+各项系数!$J$5+各项系数!$L$5)</f>
        <v>578.12718178651699</v>
      </c>
      <c r="CW126" s="199">
        <f t="shared" si="348"/>
        <v>566.79135469266373</v>
      </c>
      <c r="CX126" s="196">
        <f>CY126+各项系数!$M$9*$NU126</f>
        <v>580.81453069596455</v>
      </c>
      <c r="CY126" s="196">
        <f t="shared" si="349"/>
        <v>576.56848388649848</v>
      </c>
      <c r="CZ126" s="197">
        <f>DA126+各项系数!$L$9*$NU126</f>
        <v>588.33518763928419</v>
      </c>
      <c r="DA126" s="197">
        <f>DB126*(1+$DD126+各项系数!$J$5+各项系数!$L$5)</f>
        <v>584.08914082981812</v>
      </c>
      <c r="DB126" s="199">
        <f t="shared" si="350"/>
        <v>572.63641257825304</v>
      </c>
      <c r="DC126" s="213">
        <f t="shared" si="498"/>
        <v>0</v>
      </c>
      <c r="DD126" s="213">
        <f t="shared" si="351"/>
        <v>0</v>
      </c>
      <c r="DE126" s="53" t="s">
        <v>498</v>
      </c>
      <c r="DF126" s="53" t="s">
        <v>513</v>
      </c>
      <c r="DG126" s="196">
        <f>DH126+各项系数!$M$9*$NQ126</f>
        <v>578.83094929945582</v>
      </c>
      <c r="DH126" s="196">
        <f>DI126*(1+$EA126+(VLOOKUP($AM126,$A$12:$B$323,2,0))+各项系数!$J$6+各项系数!$M$5)*(1+$E$2)+各项系数!$M$9*$NK126</f>
        <v>574.60986230227672</v>
      </c>
      <c r="DI126" s="197">
        <f>DJ126+各项系数!$L$9*$NQ126</f>
        <v>583.09620356221819</v>
      </c>
      <c r="DJ126" s="197">
        <f>DK126*(1+$EB126+各项系数!$J$5+各项系数!$L$5)</f>
        <v>578.87511656503909</v>
      </c>
      <c r="DK126" s="197">
        <f t="shared" si="352"/>
        <v>562.01467627673696</v>
      </c>
      <c r="DL126" s="196">
        <f>DM126+各项系数!$M$9*$NQ126</f>
        <v>583.84644902359503</v>
      </c>
      <c r="DM126" s="196">
        <f>DN126*(1+$EA126+(VLOOKUP($AM126,$A$12:$B$323,2,0))+各项系数!$J$6+各项系数!$M$5)*(1+$E$2)+各项系数!$M$9*$NK126</f>
        <v>579.62536202641593</v>
      </c>
      <c r="DN126" s="197">
        <f>DO126+各项系数!$L$9*$NQ126</f>
        <v>588.21406042358478</v>
      </c>
      <c r="DO126" s="197">
        <f>DP126*(1+$EB126+各项系数!$J$5+各项系数!$L$5)</f>
        <v>583.99297342640568</v>
      </c>
      <c r="DP126" s="197">
        <f t="shared" si="353"/>
        <v>566.98346934602489</v>
      </c>
      <c r="DQ126" s="196">
        <f>DR126+各项系数!$M$9*$NV126</f>
        <v>581.39802461219881</v>
      </c>
      <c r="DR126" s="196">
        <f t="shared" si="354"/>
        <v>577.15197780273274</v>
      </c>
      <c r="DS126" s="197">
        <f>DT126+各项系数!$L$9*$NV126</f>
        <v>588.9305895946253</v>
      </c>
      <c r="DT126" s="197">
        <f>DU126*(1+$EB126+各项系数!$J$5+各项系数!$L$5)</f>
        <v>584.68454278515924</v>
      </c>
      <c r="DU126" s="199">
        <f t="shared" si="355"/>
        <v>567.65489590792163</v>
      </c>
      <c r="DV126" s="196">
        <f>DW126+各项系数!$M$9*$NV126</f>
        <v>579.68395569113341</v>
      </c>
      <c r="DW126" s="196">
        <f t="shared" si="356"/>
        <v>575.43790888166734</v>
      </c>
      <c r="DX126" s="197">
        <f>DY126+各项系数!$L$9*$NV126</f>
        <v>587.18153967517071</v>
      </c>
      <c r="DY126" s="197">
        <f>DZ126*(1+$EB126+各项系数!$J$5+各项系数!$L$5)</f>
        <v>582.93549286570465</v>
      </c>
      <c r="DZ126" s="199">
        <f t="shared" si="357"/>
        <v>565.95678919000454</v>
      </c>
      <c r="EA126" s="213">
        <f t="shared" si="559"/>
        <v>0</v>
      </c>
      <c r="EB126" s="213">
        <f t="shared" si="358"/>
        <v>0.01</v>
      </c>
      <c r="EC126" s="235" t="str">
        <f t="shared" si="408"/>
        <v>3+2</v>
      </c>
      <c r="ED126" s="235" t="str">
        <f t="shared" ref="ED126:ED141" si="565">IF(COUNTIF($D126,"*+*")&gt;0,MID($D126,1,FIND("+",$D126)-1),MID($D126,1,LEN($D126)))</f>
        <v>3*240</v>
      </c>
      <c r="EE126" s="189">
        <f t="shared" si="495"/>
        <v>240</v>
      </c>
      <c r="EF126" s="189" t="str">
        <f>LOOKUP(EH126,{1,7,10,14,19,24,30,37,48,61},{1,"1+6","2+8","4+10","1+6+12","2+8+14","4+10+16","1+6+12+18","3+9+15+21","1+6+12+18+24"})</f>
        <v>3+9+15+21</v>
      </c>
      <c r="EG126" s="188">
        <f t="shared" si="359"/>
        <v>3</v>
      </c>
      <c r="EH126" s="197">
        <f>VLOOKUP(EE126,各项系数!$B$87:$C$124,2,0)</f>
        <v>48</v>
      </c>
      <c r="EI126" s="188">
        <f>IF(EH126=0,0,VLOOKUP(EH126,各项系数!$D$142:$E$195,2,0))*1</f>
        <v>8.15</v>
      </c>
      <c r="EJ126" s="238">
        <f t="shared" si="409"/>
        <v>246.701228113631</v>
      </c>
      <c r="EK126" s="189" t="str">
        <f t="shared" ref="EK126:EK141" si="566">IF(COUNTIF($D126,"*+*")&gt;0,MID($D126,FIND("+",$D126)+1,LEN($D126)),0)</f>
        <v>2*120</v>
      </c>
      <c r="EL126" s="189" t="str">
        <f t="shared" si="360"/>
        <v>120</v>
      </c>
      <c r="EM126" s="189">
        <f t="shared" ref="EM126:EM141" si="567">EL126/1</f>
        <v>120</v>
      </c>
      <c r="EN126" s="189" t="str">
        <f>IF(EP126=0,0,LOOKUP(EP126,{1,7,10,14,19,24,30,37,48,61},{1,"1+6","2+8","4+10","1+6+12","2+8+14","4+10+16","1+6+12+18","3+9+15+21","1+6+12+18+24"}))</f>
        <v>2+8+14</v>
      </c>
      <c r="EO126" s="189" t="str">
        <f t="shared" ref="EO126:EO141" si="568">IF(EK126=0,0,MID(EK126,1,1))</f>
        <v>2</v>
      </c>
      <c r="EP126" s="189">
        <f>IF(EM126=0,0,IF(EM126&lt;10,1,IF(AND(EM126&gt;=10,EM126&lt;=35),7,LOOKUP(EM126,{50,70,95,120,150,185,240,300},{10,14,19,24,30,37,48,61})*1)))</f>
        <v>24</v>
      </c>
      <c r="EQ126" s="189">
        <f>IF(EP126=0,0,VLOOKUP(EP126,各项系数!$D$142:$E$195,2,0))*1</f>
        <v>6</v>
      </c>
      <c r="ER126" s="189">
        <f t="shared" ref="ER126:ER131" si="569">$I126-$J126</f>
        <v>244.921136962963</v>
      </c>
      <c r="ES126" s="235">
        <f t="shared" ref="ES126:ES141" si="570">EO126+EG126</f>
        <v>5</v>
      </c>
      <c r="ET126" s="189">
        <f>VLOOKUP(ES126,各项系数!$D$142:$E$195,2,0)*1</f>
        <v>2.7</v>
      </c>
      <c r="EU126" s="243">
        <f>((各项系数!$F$76/4*$EJ126^2*$EG126*$EH126*1*10^-7)*(1-$H126)*AA126)*(VLOOKUP($EY$9,各项系数!$D$4:$F$143,3,0))*各项系数!$J$4</f>
        <v>6.1799630774042109</v>
      </c>
      <c r="EV126" s="244">
        <f>EU126*(VLOOKUP($EY$9,各项系数!$D$4:$F$143,2,0))</f>
        <v>404.78758156997583</v>
      </c>
      <c r="EW126" s="252">
        <f>(IF($EO126=0,0,(各项系数!$F$76/4*$ER126^2*$EO126*$EP126*1*10^-7))*(1-$K126)*$AF126)*(VLOOKUP($EY$9,各项系数!$D$4:$F$143,3,0))*各项系数!$J$4</f>
        <v>2.026366231343562</v>
      </c>
      <c r="EX126" s="253">
        <f>EW126*(VLOOKUP($EY$9,各项系数!$D$4:$F$143,2,0))</f>
        <v>132.7269881530033</v>
      </c>
      <c r="EY126" s="189">
        <f>((各项系数!$F$76/4*$EJ126^2*$EG126*$EH126*1*10^-7)*(1-$H126)*AA126+IF($EO126=0,0,(各项系数!$F$76/4*$ER126^2*$EO126*$EP126*1*10^-7))*(1-$K126)*$AF126)*(VLOOKUP($EY$9,各项系数!$D$4:$F$143,3,0))*各项系数!$J$4</f>
        <v>8.2063293087477724</v>
      </c>
      <c r="EZ126" s="102">
        <v>1</v>
      </c>
      <c r="FA126" s="189">
        <f t="shared" si="515"/>
        <v>8.2063293087477724</v>
      </c>
      <c r="FB126" s="254">
        <f>FA126*(VLOOKUP($EY$9,各项系数!$D$4:$F$143,2,0))</f>
        <v>537.5145697229791</v>
      </c>
      <c r="FC126" s="255"/>
      <c r="FD126" s="235">
        <f>各项系数!$F$76/4*($MN126^2-MK126^2)*10^-2*(VLOOKUP(L126,各项系数!$D$1:$F$143,3,0))*10^-3*10^2*$EG126*各项系数!$J$4</f>
        <v>0.382397294970521</v>
      </c>
      <c r="FE126" s="262">
        <f>FD126*VLOOKUP(L126,各项系数!$D$1:$F$143,2,0)</f>
        <v>3.900452408699314</v>
      </c>
      <c r="FF126" s="188">
        <f>各项系数!$F$76/4*($MO126^2-ML126^2)*10^-2*(VLOOKUP(L126,各项系数!$D$1:$F$143,3,0))*10^-3*10^2*$EO126*各项系数!$J$4</f>
        <v>0.13117308750292592</v>
      </c>
      <c r="FG126" s="262">
        <f>FF126*VLOOKUP(L126,各项系数!$D$1:$F$143,2,0)</f>
        <v>1.3379654925298443</v>
      </c>
      <c r="FH126" s="235">
        <f t="shared" si="410"/>
        <v>0.51357038247344688</v>
      </c>
      <c r="FI126" s="102">
        <v>1</v>
      </c>
      <c r="FJ126" s="189">
        <f t="shared" si="516"/>
        <v>0.51357038247344688</v>
      </c>
      <c r="FK126" s="262">
        <f>FJ126*VLOOKUP(L126,各项系数!$D$1:$F$143,2,0)</f>
        <v>5.2384179012291581</v>
      </c>
      <c r="FL126" s="235"/>
      <c r="FM126" s="102"/>
      <c r="FN126" s="189"/>
      <c r="FO126" s="262"/>
      <c r="FP126" s="282">
        <f t="shared" si="517"/>
        <v>0.51357038247344688</v>
      </c>
      <c r="FQ126" s="282">
        <f t="shared" si="518"/>
        <v>5.2384179012291581</v>
      </c>
      <c r="FR126" s="283">
        <f>各项系数!$F$76/4*($MQ126^2-$MN126^2*$EG126-$MO126^2*$EO126)*10^-2</f>
        <v>7.5003995995025257</v>
      </c>
      <c r="FS126" s="284">
        <f t="shared" si="411"/>
        <v>1</v>
      </c>
      <c r="FT126" s="285">
        <f t="shared" si="361"/>
        <v>7.5003995995025257</v>
      </c>
      <c r="FU126" s="302">
        <f>$FT126*(VLOOKUP($FT$9,各项系数!$D$1:$F$143,3,0))*10^-3*10^2*各项系数!$J$55</f>
        <v>0.8955477121806017</v>
      </c>
      <c r="FV126" s="303">
        <v>1</v>
      </c>
      <c r="FW126" s="304">
        <f t="shared" si="519"/>
        <v>0.8955477121806017</v>
      </c>
      <c r="FX126" s="285">
        <f>FW126*(VLOOKUP($FT$9,各项系数!$D$1:$F$143,2,0))</f>
        <v>2.6866431365418051</v>
      </c>
      <c r="FY126" s="302">
        <f>IF($BK126&lt;&gt;$FY$9,0,各项系数!$F$76/4*($MS126^2-$MQ126^2)*10^-2*(VLOOKUP($FY$9,各项系数!$D$1:$F$143,3,0))*10^-3*10^2)*各项系数!$J$4</f>
        <v>0</v>
      </c>
      <c r="FZ126" s="303">
        <v>1</v>
      </c>
      <c r="GA126" s="304">
        <f t="shared" si="520"/>
        <v>0</v>
      </c>
      <c r="GB126" s="285">
        <f>GA126*(VLOOKUP($FY$9,各项系数!$D$1:$F$143,2,0))</f>
        <v>0</v>
      </c>
      <c r="GC126" s="302">
        <f>IF($BK126&lt;&gt;$GC$9,0,各项系数!$F$76/4*($MS126^2-$MQ126^2)*10^-2*(VLOOKUP($GC$9,各项系数!$D$1:$F$143,3,0))*10^-3*10^2)*各项系数!$J$4</f>
        <v>1.5422114453655145E-2</v>
      </c>
      <c r="GD126" s="303">
        <v>1</v>
      </c>
      <c r="GE126" s="304">
        <f t="shared" si="521"/>
        <v>1.5422114453655145E-2</v>
      </c>
      <c r="GF126" s="285">
        <f>GE126*(VLOOKUP($GC$9,各项系数!$D$1:$F$143,2,0))</f>
        <v>0.19894527645215138</v>
      </c>
      <c r="GG126" s="302">
        <f>IF($BK126&lt;&gt;$GG$9,0,各项系数!$F$76/4*($MS126^2-$MQ126^2)*10^-2*(VLOOKUP($GG$9,各项系数!$D$1:$F$143,3,0))*10^-3*10^2)*各项系数!$J$4</f>
        <v>0</v>
      </c>
      <c r="GH126" s="303">
        <v>1</v>
      </c>
      <c r="GI126" s="304">
        <f t="shared" si="522"/>
        <v>0</v>
      </c>
      <c r="GJ126" s="285">
        <f>GI126*(VLOOKUP($GG$9,各项系数!$D$1:$F$143,2,0))</f>
        <v>0</v>
      </c>
      <c r="GK126" s="302">
        <f>IF($BK126&lt;&gt;$GK$9,0,各项系数!$F$76/4*($MS126^2-$MQ126^2)*10^-2*(VLOOKUP($GK$9,各项系数!$D$1:$F$143,3,0))*10^-3*10^2)*各项系数!$J$4</f>
        <v>0</v>
      </c>
      <c r="GL126" s="303">
        <v>1</v>
      </c>
      <c r="GM126" s="304">
        <f t="shared" si="523"/>
        <v>0</v>
      </c>
      <c r="GN126" s="285">
        <f>GM126*(VLOOKUP($GK$9,各项系数!$D$1:$F$143,2,0))</f>
        <v>0</v>
      </c>
      <c r="GO126" s="304">
        <f t="shared" si="524"/>
        <v>1.5422114453655145E-2</v>
      </c>
      <c r="GP126" s="304">
        <f t="shared" si="525"/>
        <v>0.19894527645215138</v>
      </c>
      <c r="GQ126" s="315">
        <f>各项系数!$F$76/4*($MU126^2-$MS126^2)*10^-2*(VLOOKUP($S126,各项系数!$D$1:$F$143,3,0))*10^-3*10^2*各项系数!$J$4</f>
        <v>1.0535945068636641</v>
      </c>
      <c r="GR126" s="303">
        <v>1</v>
      </c>
      <c r="GS126" s="304">
        <f t="shared" si="526"/>
        <v>1.0535945068636641</v>
      </c>
      <c r="GT126" s="304">
        <f t="shared" si="457"/>
        <v>0</v>
      </c>
      <c r="GU126" s="304">
        <f>ROUND($GS126*(VLOOKUP($S126,各项系数!$D$1:$F$143,2,0))+$E$3*GS126,GT126)</f>
        <v>6</v>
      </c>
      <c r="GV126" s="315">
        <f>各项系数!$F$76/4*($MT126^2-$MS126^2)*10^-2*(VLOOKUP($GV$9,各项系数!$D$1:$F$143,3,0))*10^-3*10^2*各项系数!$J$4*PI()/4*R126</f>
        <v>7.93385271389727E-2</v>
      </c>
      <c r="GW126" s="303">
        <v>1</v>
      </c>
      <c r="GX126" s="304">
        <f t="shared" si="527"/>
        <v>7.93385271389727E-2</v>
      </c>
      <c r="GY126" s="304">
        <f>$GX126*(VLOOKUP($GV$9,各项系数!$D$1:$F$143,2,0))</f>
        <v>5.355350581880657</v>
      </c>
      <c r="GZ126" s="315">
        <f>各项系数!$F$76/4*($MV126^2-$MS126^2)*10^-2*(VLOOKUP($GZ$9,各项系数!$D$1:$F$143,3,0))*10^-3*10^2*各项系数!$J$4</f>
        <v>0.81203297745630165</v>
      </c>
      <c r="HA126" s="303">
        <v>1</v>
      </c>
      <c r="HB126" s="304">
        <f t="shared" si="412"/>
        <v>0.81203297745630165</v>
      </c>
      <c r="HC126" s="304">
        <f>HB126*(VLOOKUP($GZ$9,各项系数!$D$1:$F$143,2,0))</f>
        <v>13.804560616757128</v>
      </c>
      <c r="HD126" s="315">
        <f>各项系数!$F$76/4*($MW126^2-$MT126^2)*10^-2*(VLOOKUP($HD$9,各项系数!$D$1:$F$143,3,0))*10^-3*10^2*各项系数!$J$4</f>
        <v>0.81420859320076555</v>
      </c>
      <c r="HE126" s="303">
        <v>1</v>
      </c>
      <c r="HF126" s="304">
        <f t="shared" si="413"/>
        <v>0.81420859320076555</v>
      </c>
      <c r="HG126" s="304">
        <f>HF126*(VLOOKUP($HD$9,各项系数!$D$1:$F$143,2,0))</f>
        <v>13.841546084413014</v>
      </c>
      <c r="HH126" s="315">
        <f>各项系数!$F$76/4*($MV126^2-$MS126^2)*10^-2*(VLOOKUP($HH$9,各项系数!$D$1:$F$143,3,0))*10^-3*10^2*各项系数!$J$4</f>
        <v>0.81203297745630165</v>
      </c>
      <c r="HI126" s="322">
        <v>1</v>
      </c>
      <c r="HJ126" s="304">
        <f t="shared" si="414"/>
        <v>0.81203297745630165</v>
      </c>
      <c r="HK126" s="304">
        <f>HJ126*(VLOOKUP($HH$9,各项系数!$D$1:$F$143,2,0))</f>
        <v>13.804560616757128</v>
      </c>
      <c r="HL126" s="315">
        <f>各项系数!$F$76/4*($MW126^2-$MT126^2)*10^-2*(VLOOKUP($HL$9,各项系数!$D$1:$F$143,3,0))*10^-3*10^2*各项系数!$J$4</f>
        <v>0.81420859320076555</v>
      </c>
      <c r="HM126" s="322">
        <v>1</v>
      </c>
      <c r="HN126" s="304">
        <f t="shared" si="362"/>
        <v>0.81420859320076555</v>
      </c>
      <c r="HO126" s="304">
        <f>HN126*(VLOOKUP($HL$9,各项系数!$D$1:$F$143,2,0))</f>
        <v>13.841546084413014</v>
      </c>
      <c r="HP126" s="315">
        <f>各项系数!$F$76/4*($MV126^2-$MS126^2)*10^-2*(VLOOKUP(AN126,各项系数!$D$1:$F$143,3,0))*10^-3*10^2*各项系数!$J$4</f>
        <v>0.82323343231776769</v>
      </c>
      <c r="HQ126" s="303">
        <v>1</v>
      </c>
      <c r="HR126" s="304">
        <f t="shared" si="528"/>
        <v>0.82323343231776769</v>
      </c>
      <c r="HS126" s="304">
        <f>HR126*(VLOOKUP(AN126,各项系数!$D$1:$F$143,2,0))</f>
        <v>8.2323343231776764</v>
      </c>
      <c r="HT126" s="315">
        <f>各项系数!$F$76/4*($MW126^2-$MT126^2)*10^-2*(VLOOKUP(AN126,各项系数!$D$1:$F$143,3,0))*10^-3*10^2*各项系数!$J$4</f>
        <v>0.82543905655525873</v>
      </c>
      <c r="HU126" s="303">
        <v>1</v>
      </c>
      <c r="HV126" s="304">
        <f t="shared" si="529"/>
        <v>0.82543905655525873</v>
      </c>
      <c r="HW126" s="304">
        <f>HV126*(VLOOKUP(AN126,各项系数!$D$1:$F$143,2,0))</f>
        <v>8.2543905655525869</v>
      </c>
      <c r="HX126" s="315">
        <f>各项系数!$F$76/4*($MV126^2-$MS126^2)*10^-2*(VLOOKUP($HX$9,各项系数!$D$1:$F$143,3,0))*10^-3*10^2*各项系数!$J$4</f>
        <v>0.82323343231776769</v>
      </c>
      <c r="HY126" s="322">
        <v>1</v>
      </c>
      <c r="HZ126" s="304">
        <f t="shared" si="530"/>
        <v>0.82323343231776769</v>
      </c>
      <c r="IA126" s="304">
        <f>HZ126*(VLOOKUP($HX$9,各项系数!$D$1:$F$143,2,0))</f>
        <v>9.0555677554954439</v>
      </c>
      <c r="IB126" s="315">
        <f>各项系数!$F$76/4*($MW126^2-$MT126^2)*10^-2*(VLOOKUP($IB$9,各项系数!$D$1:$F$143,3,0))*10^-3*10^2*各项系数!$J$4</f>
        <v>0.82543905655525873</v>
      </c>
      <c r="IC126" s="322">
        <v>1</v>
      </c>
      <c r="ID126" s="304">
        <f t="shared" si="531"/>
        <v>0.82543905655525873</v>
      </c>
      <c r="IE126" s="304">
        <f>ID126*(VLOOKUP($IB$9,各项系数!$D$1:$F$143,2,0))</f>
        <v>9.0798296221078463</v>
      </c>
      <c r="IF126" s="328"/>
      <c r="IG126" s="315">
        <f t="shared" si="415"/>
        <v>0.12829894878084575</v>
      </c>
      <c r="IH126" s="303">
        <v>1</v>
      </c>
      <c r="II126" s="304">
        <f t="shared" si="532"/>
        <v>0.12829894878084575</v>
      </c>
      <c r="IJ126" s="304">
        <f>II126*(VLOOKUP($IG$8,各项系数!$D$1:$F$143,2,0))</f>
        <v>3.2074737195211438</v>
      </c>
      <c r="IK126" s="315">
        <f>(各项系数!$F$76/4*($MX126^2-$MK126^2)*$EG126)*10^-2*(VLOOKUP($IG$8,各项系数!$D$1:$F$143,3,0))*10^-3*10^2*各项系数!$J$4</f>
        <v>8.6112817366700858E-2</v>
      </c>
      <c r="IL126" s="303">
        <f>IK126*(VLOOKUP($IG$8,各项系数!$D$1:$F$143,2,0))</f>
        <v>2.1528204341675217</v>
      </c>
      <c r="IM126" s="304">
        <f>(各项系数!$F$76/4*(($MM126+3*$X126)^2-MM126^2)*$EO126)*10^-2*(VLOOKUP($IG$8,各项系数!$D$1:$F$143,3,0))*10^-3*10^2*各项系数!$J$4</f>
        <v>4.2186131414144901E-2</v>
      </c>
      <c r="IN126" s="303">
        <f>IM126*(VLOOKUP($IG$8,各项系数!$D$1:$F$143,2,0))</f>
        <v>1.0546532853536226</v>
      </c>
      <c r="IO126" s="315">
        <f>各项系数!$F$76/4*($MZ126^2-$MX126^2)*10^-2*(VLOOKUP(L126,各项系数!$D$1:$F$143,3,0))*10^-3*10^2*$ES126*各项系数!$J$4</f>
        <v>0.65486503806357399</v>
      </c>
      <c r="IP126" s="303">
        <v>1</v>
      </c>
      <c r="IQ126" s="304">
        <f t="shared" si="533"/>
        <v>0.65486503806357399</v>
      </c>
      <c r="IR126" s="285">
        <f>IQ126*(VLOOKUP(L126,各项系数!$D$1:$F$143,2,0))</f>
        <v>6.6796233882484541</v>
      </c>
      <c r="IS126" s="315">
        <f>IF($L126&lt;&gt;$IS$9,0,各项系数!$F$76/4*($MZ126^2-$MX126^2)*10^-2*各项系数!$F$12*10^-3*10^2)*$ES126*各项系数!$J$4</f>
        <v>0</v>
      </c>
      <c r="IT126" s="303">
        <v>1</v>
      </c>
      <c r="IU126" s="304">
        <f t="shared" si="534"/>
        <v>0</v>
      </c>
      <c r="IV126" s="285">
        <f>IU126*各项系数!$E$12</f>
        <v>0</v>
      </c>
      <c r="IW126" s="302">
        <f t="shared" si="535"/>
        <v>0.65486503806357399</v>
      </c>
      <c r="IX126" s="302">
        <f t="shared" si="536"/>
        <v>6.6796233882484541</v>
      </c>
      <c r="IY126" s="339">
        <f>各项系数!$F$76/4*($NB126^2-$MZ126^2*$EG126-$NA126^2*$EO126)*10^-2</f>
        <v>8.3831050472189688</v>
      </c>
      <c r="IZ126" s="284">
        <f t="shared" si="487"/>
        <v>1</v>
      </c>
      <c r="JA126" s="285">
        <f t="shared" si="363"/>
        <v>8.3831050472189688</v>
      </c>
      <c r="JB126" s="282">
        <f>IF($DE126&lt;&gt;$JB$9,0,$JA126*各项系数!$F$32*10^-3*10^2)*各项系数!$J$4</f>
        <v>0</v>
      </c>
      <c r="JC126" s="102">
        <v>1</v>
      </c>
      <c r="JD126" s="189">
        <f t="shared" si="537"/>
        <v>0</v>
      </c>
      <c r="JE126" s="262">
        <f>JD126*各项系数!$E$32</f>
        <v>0</v>
      </c>
      <c r="JF126" s="282">
        <f>IF($DE126&lt;&gt;$JF$9,0,$JA126*VLOOKUP($JF$9,各项系数!$D$4:$F$540,2,0)*10^-3*10^2)*各项系数!$J$4</f>
        <v>4.1705947609914373</v>
      </c>
      <c r="JG126" s="102">
        <v>1</v>
      </c>
      <c r="JH126" s="189">
        <f t="shared" si="364"/>
        <v>4.1705947609914373</v>
      </c>
      <c r="JI126" s="262">
        <f>JH126*VLOOKUP($JF$9,各项系数!$D$4:$F$540,3,0)</f>
        <v>5.0047137131897248</v>
      </c>
      <c r="JJ126" s="282">
        <f t="shared" si="538"/>
        <v>4.1705947609914373</v>
      </c>
      <c r="JK126" s="189">
        <f t="shared" si="539"/>
        <v>5.0047137131897248</v>
      </c>
      <c r="JL126" s="282">
        <f>IF($DF126&lt;&gt;$JL$9,0,各项系数!$F$76/4*($NE126^2-$NC126^2)*10^-2*各项系数!$F$39*10^-3*10^2)*各项系数!$J$4</f>
        <v>6.6802115786886926E-3</v>
      </c>
      <c r="JM126" s="102">
        <v>1</v>
      </c>
      <c r="JN126" s="189">
        <f t="shared" si="540"/>
        <v>6.6802115786886926E-3</v>
      </c>
      <c r="JO126" s="262">
        <f>JN126*各项系数!$E$39</f>
        <v>0.13360423157377385</v>
      </c>
      <c r="JP126" s="282">
        <f>IF($DF126&lt;&gt;$JP$9,0,各项系数!$F$76/4*($NE126^2-$NC126^2)*10^-2*各项系数!$F$36*10^-3*10^2)*各项系数!$J$4</f>
        <v>0</v>
      </c>
      <c r="JQ126" s="102">
        <v>1</v>
      </c>
      <c r="JR126" s="189">
        <f t="shared" si="541"/>
        <v>0</v>
      </c>
      <c r="JS126" s="262">
        <f>JR126*各项系数!$E$36</f>
        <v>0</v>
      </c>
      <c r="JT126" s="282">
        <f>IF($DF126&lt;&gt;$JT$9,0,各项系数!$F$76/4*($NE126^2-$NC126^2)*10^-2*各项系数!$F$40*10^-3*10^2)*各项系数!$J$4</f>
        <v>0</v>
      </c>
      <c r="JU126" s="102">
        <v>1</v>
      </c>
      <c r="JV126" s="189">
        <f t="shared" si="542"/>
        <v>0</v>
      </c>
      <c r="JW126" s="262">
        <f>JV126*各项系数!$E$40</f>
        <v>0</v>
      </c>
      <c r="JX126" s="282">
        <f>IF($DF126&lt;&gt;$JX$9,0,各项系数!$F$76/4*($NE126^2-$NC126^2)*10^-2*各项系数!$F$38*10^-3*10^2)*各项系数!$J$4</f>
        <v>0</v>
      </c>
      <c r="JY126" s="102">
        <v>1</v>
      </c>
      <c r="JZ126" s="189">
        <f t="shared" si="543"/>
        <v>0</v>
      </c>
      <c r="KA126" s="262">
        <f>JZ126*各项系数!$E$38</f>
        <v>0</v>
      </c>
      <c r="KB126" s="282">
        <f>IF($DF126&lt;&gt;$KB$9,0,各项系数!$F$76/4*($NE126^2-$NC126^2)*10^-2*各项系数!$F$41*10^-3*10^2)*各项系数!$J$4</f>
        <v>0</v>
      </c>
      <c r="KC126" s="102">
        <v>1</v>
      </c>
      <c r="KD126" s="189">
        <f t="shared" si="544"/>
        <v>0</v>
      </c>
      <c r="KE126" s="262">
        <f>KD126*各项系数!$E$41</f>
        <v>0</v>
      </c>
      <c r="KF126" s="189">
        <f t="shared" si="545"/>
        <v>6.6802115786886926E-3</v>
      </c>
      <c r="KG126" s="189">
        <f t="shared" si="546"/>
        <v>0.13360423157377385</v>
      </c>
      <c r="KH126" s="235">
        <f>各项系数!$F$76/4*($NG126^2-$NE126^2)*10^-2*各项系数!$F$44*10^-3*10^2*各项系数!$J$4*0.75*$U126</f>
        <v>1.656401678931922</v>
      </c>
      <c r="KI126" s="102">
        <v>1</v>
      </c>
      <c r="KJ126" s="189">
        <f t="shared" si="547"/>
        <v>1.656401678931922</v>
      </c>
      <c r="KK126" s="189">
        <f>ROUND(KJ126*各项系数!$E$43,GT126)</f>
        <v>10</v>
      </c>
      <c r="KL126" s="235">
        <f>各项系数!$F$76/4*($NF126^2-$NE126^2)*10^-2*各项系数!$F$46*10^-3*10^2*各项系数!$J$4*PI()/4*R126</f>
        <v>8.3199374289958924E-2</v>
      </c>
      <c r="KM126" s="102">
        <v>1</v>
      </c>
      <c r="KN126" s="189">
        <f t="shared" si="548"/>
        <v>8.3199374289958924E-2</v>
      </c>
      <c r="KO126" s="189">
        <f>KN126*各项系数!$E$46</f>
        <v>5.6159577645722276</v>
      </c>
      <c r="KP126" s="235">
        <f>各项系数!$F$76/4*($NH126^2-$NE126^2)*10^-2*(VLOOKUP($KP$9,各项系数!$D$1:$F$143,3,0))*10^-3*10^2*各项系数!$J$4</f>
        <v>0.84961673944191718</v>
      </c>
      <c r="KQ126" s="102">
        <v>1</v>
      </c>
      <c r="KR126" s="189">
        <f t="shared" si="416"/>
        <v>0.84961673944191718</v>
      </c>
      <c r="KS126" s="189">
        <f>KR126*(VLOOKUP($KP$9,各项系数!$D$1:$F$143,2,0))</f>
        <v>14.443484570512592</v>
      </c>
      <c r="KT126" s="235">
        <f>各项系数!$F$76/4*($NI126^2-$NF126^2)*10^-2*(VLOOKUP($KT$9,各项系数!$D$1:$F$143,3,0))*10^-3*10^2*各项系数!$J$4</f>
        <v>0.85179235518638141</v>
      </c>
      <c r="KU126" s="102">
        <v>1</v>
      </c>
      <c r="KV126" s="189">
        <f t="shared" si="417"/>
        <v>0.85179235518638141</v>
      </c>
      <c r="KW126" s="189">
        <f>KV126*(VLOOKUP($KT$9,各项系数!$D$1:$F$143,2,0))</f>
        <v>14.480470038168484</v>
      </c>
      <c r="KX126" s="189">
        <f>各项系数!$F$76/4*($NH126^2-$NE126^2)*10^-2*(VLOOKUP($KX$9,各项系数!$D$1:$F$143,3,0))*10^-3*10^2*各项系数!$J$4</f>
        <v>0.84961673944191718</v>
      </c>
      <c r="KY126" s="353">
        <v>1</v>
      </c>
      <c r="KZ126" s="189">
        <f t="shared" si="418"/>
        <v>0.84961673944191718</v>
      </c>
      <c r="LA126" s="189">
        <f>KZ126*(VLOOKUP($KX$9,各项系数!$D$1:$F$143,2,0))</f>
        <v>14.443484570512592</v>
      </c>
      <c r="LB126" s="189">
        <f>各项系数!$F$76/4*($NI126^2-$NF126^2)*10^-2*(VLOOKUP($LB$9,各项系数!$D$1:$F$143,3,0))*10^-3*10^2*各项系数!$J$4</f>
        <v>0.85179235518638141</v>
      </c>
      <c r="LC126" s="353">
        <v>1</v>
      </c>
      <c r="LD126" s="189">
        <f t="shared" si="419"/>
        <v>0.85179235518638141</v>
      </c>
      <c r="LE126" s="189">
        <f>LD126*(VLOOKUP($LB$9,各项系数!$D$1:$F$143,2,0))</f>
        <v>14.480470038168484</v>
      </c>
      <c r="LF126" s="235">
        <f>各项系数!$F$76/4*($NH126^2-$NE126^2)*10^-2*(VLOOKUP(AN126,各项系数!$D$1:$F$143,3,0))*10^-3*10^2*各项系数!$J$4</f>
        <v>0.86133559102042656</v>
      </c>
      <c r="LG126" s="102">
        <v>1</v>
      </c>
      <c r="LH126" s="189">
        <f t="shared" si="549"/>
        <v>0.86133559102042656</v>
      </c>
      <c r="LI126" s="189">
        <f>LH126*(VLOOKUP(AN126,各项系数!$D$1:$F$143,2,0))</f>
        <v>8.6133559102042661</v>
      </c>
      <c r="LJ126" s="235">
        <f>各项系数!$F$76/4*($NI126^2-$NF126^2)*10^-2*(VLOOKUP(AN126,各项系数!$D$1:$F$143,3,0))*10^-3*10^2*各项系数!$J$4</f>
        <v>0.8635412152579176</v>
      </c>
      <c r="LK126" s="102">
        <v>1</v>
      </c>
      <c r="LL126" s="189">
        <f t="shared" si="550"/>
        <v>0.8635412152579176</v>
      </c>
      <c r="LM126" s="189">
        <f>LL126*(VLOOKUP(AN126,各项系数!$D$1:$F$143,2,0))</f>
        <v>8.6354121525791765</v>
      </c>
      <c r="LN126" s="189">
        <f>各项系数!$F$76/4*($NH126^2-$NE126^2)*10^-2*(VLOOKUP($LN$9,各项系数!$D$1:$F$143,3,0))*10^-3*10^2*各项系数!$J$4</f>
        <v>0.86133559102042656</v>
      </c>
      <c r="LO126" s="353">
        <v>1</v>
      </c>
      <c r="LP126" s="189">
        <f t="shared" si="551"/>
        <v>0.86133559102042656</v>
      </c>
      <c r="LQ126" s="189">
        <f>LP126*(VLOOKUP($LN$9,各项系数!$D$1:$F$143,2,0))</f>
        <v>9.4746915012246919</v>
      </c>
      <c r="LR126" s="189">
        <f>各项系数!$F$76/4*($NI126^2-$NF126^2)*10^-2*(VLOOKUP($LR$9,各项系数!$D$1:$F$143,3,0))*10^-3*10^2*各项系数!$J$4</f>
        <v>0.8635412152579176</v>
      </c>
      <c r="LS126" s="353">
        <v>1</v>
      </c>
      <c r="LT126" s="189">
        <f t="shared" si="552"/>
        <v>0.8635412152579176</v>
      </c>
      <c r="LU126" s="189">
        <f>LT126*(VLOOKUP($LR$9,各项系数!$D$1:$F$143,2,0))</f>
        <v>9.4989533678370943</v>
      </c>
      <c r="LV126" s="227">
        <f t="shared" si="420"/>
        <v>952.50875464000001</v>
      </c>
      <c r="LW126" s="227">
        <f t="shared" si="421"/>
        <v>688.32730221999998</v>
      </c>
      <c r="LX126" s="227">
        <f t="shared" si="422"/>
        <v>29.604147359911845</v>
      </c>
      <c r="LY126" s="227">
        <f t="shared" si="423"/>
        <v>264.18145242000003</v>
      </c>
      <c r="LZ126" s="374">
        <f t="shared" si="365"/>
        <v>1</v>
      </c>
      <c r="MA126" s="375">
        <f t="shared" si="366"/>
        <v>952.50875464000001</v>
      </c>
      <c r="MB126" s="375">
        <f t="shared" si="424"/>
        <v>20.106150079999999</v>
      </c>
      <c r="MC126" s="227">
        <f t="shared" si="425"/>
        <v>339.21489303999999</v>
      </c>
      <c r="MD126" s="227">
        <f t="shared" si="426"/>
        <v>226.14326209999999</v>
      </c>
      <c r="ME126" s="227">
        <f t="shared" si="427"/>
        <v>16.968634125383474</v>
      </c>
      <c r="MF126" s="227">
        <f t="shared" si="428"/>
        <v>113.07163094000001</v>
      </c>
      <c r="MG126" s="374">
        <f t="shared" si="429"/>
        <v>1</v>
      </c>
      <c r="MH126" s="375">
        <f t="shared" si="367"/>
        <v>339.21489303999999</v>
      </c>
      <c r="MI126" s="375">
        <f t="shared" si="430"/>
        <v>14.695268217722949</v>
      </c>
      <c r="MJ126" s="189">
        <f t="shared" si="368"/>
        <v>20.106150079999999</v>
      </c>
      <c r="MK126" s="189">
        <f t="shared" si="431"/>
        <v>20.106150079999999</v>
      </c>
      <c r="ML126" s="189">
        <f t="shared" si="553"/>
        <v>14.69526821777778</v>
      </c>
      <c r="MM126" s="189">
        <f t="shared" si="369"/>
        <v>14.695268217722949</v>
      </c>
      <c r="MN126" s="189">
        <f t="shared" si="370"/>
        <v>23.506150079999998</v>
      </c>
      <c r="MO126" s="189">
        <f t="shared" si="432"/>
        <v>17.09526821772295</v>
      </c>
      <c r="MP126" s="189">
        <f t="shared" si="433"/>
        <v>56.542852799999999</v>
      </c>
      <c r="MQ126" s="189">
        <f t="shared" si="554"/>
        <v>56.542852799999999</v>
      </c>
      <c r="MR126" s="246">
        <f t="shared" si="434"/>
        <v>56.542852799999999</v>
      </c>
      <c r="MS126" s="380">
        <f t="shared" si="371"/>
        <v>56.718852800000001</v>
      </c>
      <c r="MT126" s="380">
        <f t="shared" si="372"/>
        <v>56.878852799999997</v>
      </c>
      <c r="MU126" s="380">
        <f t="shared" si="373"/>
        <v>58.218852800000001</v>
      </c>
      <c r="MV126" s="380">
        <f t="shared" si="374"/>
        <v>62.718852800000001</v>
      </c>
      <c r="MW126" s="380">
        <f t="shared" si="375"/>
        <v>62.878852799999997</v>
      </c>
      <c r="MX126" s="254">
        <f t="shared" si="376"/>
        <v>20.70615008</v>
      </c>
      <c r="MY126" s="254">
        <f t="shared" si="377"/>
        <v>15.295268217722949</v>
      </c>
      <c r="MZ126" s="189">
        <f t="shared" si="378"/>
        <v>24.106150079999999</v>
      </c>
      <c r="NA126" s="189">
        <f t="shared" si="379"/>
        <v>18.695268217722948</v>
      </c>
      <c r="NB126" s="189">
        <f t="shared" si="435"/>
        <v>59.242852800000001</v>
      </c>
      <c r="NC126" s="254">
        <f t="shared" si="555"/>
        <v>59.242852800000001</v>
      </c>
      <c r="ND126" s="246">
        <f t="shared" si="436"/>
        <v>59.242852800000001</v>
      </c>
      <c r="NE126" s="386">
        <f t="shared" si="437"/>
        <v>59.482852800000003</v>
      </c>
      <c r="NF126" s="380">
        <f t="shared" si="380"/>
        <v>59.6428528</v>
      </c>
      <c r="NG126" s="387">
        <f t="shared" si="381"/>
        <v>60.982852800000003</v>
      </c>
      <c r="NH126" s="254">
        <f t="shared" si="382"/>
        <v>65.482852800000003</v>
      </c>
      <c r="NI126" s="380">
        <f t="shared" si="383"/>
        <v>65.6428528</v>
      </c>
      <c r="NK126" s="388">
        <f t="shared" si="384"/>
        <v>10.58527603767617</v>
      </c>
      <c r="NL126" s="388">
        <f t="shared" si="385"/>
        <v>555.20887585290973</v>
      </c>
      <c r="NM126" s="388">
        <f t="shared" si="386"/>
        <v>10.58527603767617</v>
      </c>
      <c r="NN126" s="388">
        <f t="shared" si="387"/>
        <v>556.03210928522742</v>
      </c>
      <c r="NO126" s="388">
        <f t="shared" si="388"/>
        <v>14.070289990596889</v>
      </c>
      <c r="NP126" s="388">
        <f t="shared" si="389"/>
        <v>562.2079939710701</v>
      </c>
      <c r="NQ126" s="388">
        <f t="shared" si="390"/>
        <v>14.070289990596889</v>
      </c>
      <c r="NR126" s="388">
        <f t="shared" si="391"/>
        <v>563.06932956209062</v>
      </c>
      <c r="NS126" s="388">
        <f t="shared" si="392"/>
        <v>10.664614564815142</v>
      </c>
      <c r="NT126" s="388">
        <f t="shared" si="393"/>
        <v>10.664614564815142</v>
      </c>
      <c r="NU126" s="388">
        <f t="shared" si="394"/>
        <v>14.153489364886848</v>
      </c>
      <c r="NV126" s="388">
        <f t="shared" si="395"/>
        <v>14.153489364886848</v>
      </c>
      <c r="NW126">
        <f t="shared" si="396"/>
        <v>11.638870544539834</v>
      </c>
      <c r="NX126">
        <f>各项系数!$M$9*NK126</f>
        <v>3.175582811302851</v>
      </c>
      <c r="NY126">
        <f t="shared" si="397"/>
        <v>10.664614564815142</v>
      </c>
    </row>
    <row r="127" spans="1:389" ht="15" hidden="1" customHeight="1">
      <c r="A127" s="69"/>
      <c r="B127" s="70"/>
      <c r="C127" s="71"/>
      <c r="D127" s="53" t="s">
        <v>424</v>
      </c>
      <c r="E127" s="54">
        <f t="shared" si="560"/>
        <v>68.215880139999996</v>
      </c>
      <c r="F127" s="68">
        <f>$F$31</f>
        <v>245.118138379664</v>
      </c>
      <c r="G127" s="58"/>
      <c r="H127" s="16"/>
      <c r="I127" s="145">
        <f>$F$28</f>
        <v>243.33587022849699</v>
      </c>
      <c r="J127" s="62"/>
      <c r="K127" s="16"/>
      <c r="L127" s="97" t="s">
        <v>467</v>
      </c>
      <c r="M127" s="103">
        <f t="shared" si="339"/>
        <v>1.8</v>
      </c>
      <c r="N127" s="103">
        <f t="shared" si="501"/>
        <v>1.4</v>
      </c>
      <c r="O127" s="53">
        <f t="shared" si="556"/>
        <v>0.08</v>
      </c>
      <c r="P127" s="99">
        <v>0.1</v>
      </c>
      <c r="Q127" s="133">
        <f t="shared" si="557"/>
        <v>0.1</v>
      </c>
      <c r="R127" s="70">
        <v>0.8</v>
      </c>
      <c r="S127" s="142" t="str">
        <f>各项系数!$D$43</f>
        <v>钢带</v>
      </c>
      <c r="T127" s="62">
        <v>0.5</v>
      </c>
      <c r="U127" s="62">
        <v>2</v>
      </c>
      <c r="V127" s="143"/>
      <c r="W127" s="141">
        <v>3.3</v>
      </c>
      <c r="X127" s="135">
        <f t="shared" si="558"/>
        <v>0.2</v>
      </c>
      <c r="Y127" s="135"/>
      <c r="Z127" s="168"/>
      <c r="AA127" s="153">
        <f>$AA$31</f>
        <v>1.02</v>
      </c>
      <c r="AB127" s="153">
        <f>PI()*EJ127*EJ127/4*EH127*(1-H127)*AA127*各项系数!$F$5*各项系数!$J$4*10^-7</f>
        <v>2.5971416022939482</v>
      </c>
      <c r="AC127" s="153">
        <f t="shared" si="561"/>
        <v>245.118138379664</v>
      </c>
      <c r="AD127" s="153">
        <f t="shared" si="341"/>
        <v>293.60996233065771</v>
      </c>
      <c r="AE127" s="153">
        <f>POWER(4*EU127/PI()/EG127/10^-7/EH127/(1-H127)/各项系数!$F$5/各项系数!$J$4,0.5)</f>
        <v>247.5571849047536</v>
      </c>
      <c r="AF127" s="69">
        <f>$AA$28</f>
        <v>1.0149999999999999</v>
      </c>
      <c r="AG127" s="69">
        <f>IF(EM127=0,0,PI()*ER127*ER127/4*EP127*(1-K127)*(1+AF127)*各项系数!$F$5*各项系数!$J$4*10^-7)</f>
        <v>2.4866994287650264</v>
      </c>
      <c r="AH127" s="69">
        <f t="shared" si="562"/>
        <v>243.33587022849699</v>
      </c>
      <c r="AI127" s="69">
        <f t="shared" si="398"/>
        <v>141.60853982537648</v>
      </c>
      <c r="AJ127" s="69">
        <f>IF(OR(EP127="",EP127=0),0,POWER(4*EW127/PI()/EO127/10^-7/EP127/(1-K127)/各项系数!$F$5/各项系数!$J$4,0.5))</f>
        <v>245.15409628631096</v>
      </c>
      <c r="AK127" s="69">
        <f t="shared" si="342"/>
        <v>10.296635645786564</v>
      </c>
      <c r="AL127" s="69">
        <f t="shared" si="563"/>
        <v>715.37876008253841</v>
      </c>
      <c r="AM127" s="188">
        <f t="shared" si="564"/>
        <v>300</v>
      </c>
      <c r="AN127" s="97" t="s">
        <v>486</v>
      </c>
      <c r="AO127" s="196">
        <f>AP127+各项系数!$M$9*$NK127</f>
        <v>701.35172557111605</v>
      </c>
      <c r="AP127" s="196">
        <f>AQ127*(1+$BI127+(VLOOKUP($AM127,$A$12:$B$323,2,0))+各项系数!$J$6+各项系数!$M$5)*(1+$E$2)</f>
        <v>697.41550662608211</v>
      </c>
      <c r="AQ127" s="197">
        <f>AR127+各项系数!$L$9*$NK127</f>
        <v>711.64847614906341</v>
      </c>
      <c r="AR127" s="197">
        <f>AS127*(1+$BJ127+各项系数!$J$5+各项系数!$L$5)</f>
        <v>707.71225720402947</v>
      </c>
      <c r="AS127" s="197">
        <f t="shared" si="399"/>
        <v>693.83554627846024</v>
      </c>
      <c r="AT127" s="196">
        <f>AU127+各项系数!$M$9*$NM127</f>
        <v>708.01192404326446</v>
      </c>
      <c r="AU127" s="196">
        <f>AV127*(1+$BI127+(VLOOKUP($AM127,$A$12:$B$323,2,0))+各项系数!$J$6+各项系数!$M$5)*(1+$E$2)</f>
        <v>704.07570509823051</v>
      </c>
      <c r="AV127" s="197">
        <f>AW127+各项系数!$L$9*$NM127</f>
        <v>718.44459703901077</v>
      </c>
      <c r="AW127" s="197">
        <f>AX127*(1+$BJ127+各项系数!$J$5+各项系数!$L$5)</f>
        <v>714.50837809397683</v>
      </c>
      <c r="AX127" s="197">
        <f t="shared" si="400"/>
        <v>700.4984098960557</v>
      </c>
      <c r="AY127" s="196">
        <f>AZ127+各项系数!$M$9*$NS127</f>
        <v>707.24191404948556</v>
      </c>
      <c r="AZ127" s="196">
        <f>BA127*(1+$BI127+(VLOOKUP($AM127,$A$12:$B$214,2,0))+各项系数!$J$6+各项系数!$M$5)*(1+$E$2)</f>
        <v>703.27984144710013</v>
      </c>
      <c r="BA127" s="197">
        <f>BB127+各项系数!$L$9*$NS127</f>
        <v>717.63249127255119</v>
      </c>
      <c r="BB127" s="197">
        <f>BC127*(1+$BJ127+各项系数!$J$5+各项系数!$L$5)</f>
        <v>713.67041867016576</v>
      </c>
      <c r="BC127" s="199">
        <f t="shared" si="401"/>
        <v>699.67688104918216</v>
      </c>
      <c r="BD127" s="196">
        <f>BE127+各项系数!$M$9*$NS127</f>
        <v>713.91852810058401</v>
      </c>
      <c r="BE127" s="196">
        <f>BF127*(1+$BI127+(VLOOKUP($AM127,$A$12:$B$214,2,0))+各项系数!$J$6+各项系数!$M$5)*(1+$E$2)</f>
        <v>709.95645549819858</v>
      </c>
      <c r="BF127" s="197">
        <f>BG127+各项系数!$L$9*$NS127</f>
        <v>724.44536275326391</v>
      </c>
      <c r="BG127" s="197">
        <f>BH127*(1+$BJ127+各项系数!$J$5+各项系数!$L$5)</f>
        <v>720.48329015087847</v>
      </c>
      <c r="BH127" s="199">
        <f t="shared" si="402"/>
        <v>706.35616681458669</v>
      </c>
      <c r="BI127" s="213"/>
      <c r="BJ127" s="208"/>
      <c r="BK127" s="53" t="s">
        <v>514</v>
      </c>
      <c r="BL127" s="196">
        <f>BM127+各项系数!$M$9*$NM127</f>
        <v>709.1449297002564</v>
      </c>
      <c r="BM127" s="196">
        <f>BN127*(1+$CF127+(VLOOKUP($AM127,$A$12:$B$323,2,0))+各项系数!$J$6+各项系数!$M$5)*(1+$E$2)</f>
        <v>705.20871075522246</v>
      </c>
      <c r="BN127" s="197">
        <f>BO127+各项系数!$L$9*$NM127</f>
        <v>719.60072526043109</v>
      </c>
      <c r="BO127" s="197">
        <f>BP127*(1+$CG127+各项系数!$J$5+各项系数!$L$5)</f>
        <v>715.66450631539715</v>
      </c>
      <c r="BP127" s="197">
        <f t="shared" si="403"/>
        <v>694.81990904407485</v>
      </c>
      <c r="BQ127" s="196">
        <f>BR127+各项系数!$M$9*$NM127</f>
        <v>714.8768084602458</v>
      </c>
      <c r="BR127" s="196">
        <f>BS127*(1+$CF127+(VLOOKUP($AM127,$A$12:$B$323,2,0))+各项系数!$J$6+各项系数!$M$5)*(1+$E$2)</f>
        <v>710.94058951521185</v>
      </c>
      <c r="BS127" s="197">
        <f>BT127+各项系数!$L$9*$NM127</f>
        <v>725.44958113797134</v>
      </c>
      <c r="BT127" s="197">
        <f>BU127*(1+$CG127+各项系数!$J$5+各项系数!$L$5)</f>
        <v>721.51336219293739</v>
      </c>
      <c r="BU127" s="197">
        <f t="shared" si="404"/>
        <v>700.4984098960557</v>
      </c>
      <c r="BV127" s="196">
        <f>BW127+各项系数!$M$9*$NT127</f>
        <v>711.220079236949</v>
      </c>
      <c r="BW127" s="196">
        <f>BX127*(1+$CF127+(VLOOKUP($AM127,$A$12:$B$214,2,0))+各项系数!$J$6+各项系数!$M$5)*(1+$E$2)</f>
        <v>707.25800663456357</v>
      </c>
      <c r="BX127" s="197">
        <f>BY127+各项系数!$L$9*$NT$12</f>
        <v>721.69184350465673</v>
      </c>
      <c r="BY127" s="197">
        <f>BZ127*(1+$CG127+各项系数!$J$5+各项系数!$L$5)</f>
        <v>721.68358010150178</v>
      </c>
      <c r="BZ127" s="199">
        <f t="shared" si="343"/>
        <v>700.66367000145806</v>
      </c>
      <c r="CA127" s="196">
        <f>CB127+各项系数!$M$9*$NT127</f>
        <v>716.96608552012106</v>
      </c>
      <c r="CB127" s="196">
        <f>CC127*(1+$CF127+(VLOOKUP($AM127,$A$12:$B$214,2,0))+各项系数!$J$6+各项系数!$M$5)*(1+$E$2)</f>
        <v>713.00401291773562</v>
      </c>
      <c r="CC127" s="197">
        <f>CD127+各项系数!$L$9*$NT$12</f>
        <v>727.55511522217921</v>
      </c>
      <c r="CD127" s="197">
        <f>CE127*(1+$CG127+各项系数!$J$5+各项系数!$L$5)</f>
        <v>727.54685181902425</v>
      </c>
      <c r="CE127" s="199">
        <f t="shared" si="405"/>
        <v>706.35616681458669</v>
      </c>
      <c r="CF127" s="213">
        <f t="shared" si="514"/>
        <v>0</v>
      </c>
      <c r="CG127" s="213">
        <f t="shared" si="344"/>
        <v>0.01</v>
      </c>
      <c r="CH127" s="102"/>
      <c r="CI127" s="196">
        <f>CJ127+各项系数!$M$9*$NO127</f>
        <v>715.59096135826439</v>
      </c>
      <c r="CJ127" s="196">
        <f>CK127*(1+$DC127+(VLOOKUP($AM127,$A$12:$B$323,2,0))+各项系数!$J$6+各项系数!$M$5)*(1+$E$2)+各项系数!$M$9*$NK127</f>
        <v>710.46476818678309</v>
      </c>
      <c r="CK127" s="197">
        <f>CL127+各项系数!$L$9*$NO127</f>
        <v>720.94749922627466</v>
      </c>
      <c r="CL127" s="197">
        <f>CM127*(1+$DD127+各项系数!$J$5+各项系数!$L$5)</f>
        <v>715.82130605479335</v>
      </c>
      <c r="CM127" s="197">
        <f t="shared" si="345"/>
        <v>701.78559417136603</v>
      </c>
      <c r="CN127" s="196">
        <f>CO127+各项系数!$M$9*$NO127</f>
        <v>721.86494415270056</v>
      </c>
      <c r="CO127" s="196">
        <f>CP127*(1+$DC127+(VLOOKUP($AM127,$A$12:$B$323,2,0))+各项系数!$J$6+各项系数!$M$5)*(1+$E$2)+各项系数!$M$9*$NK127</f>
        <v>716.73875098121925</v>
      </c>
      <c r="CP127" s="197">
        <f>CQ127+各项系数!$L$9*$NO127</f>
        <v>727.34952248590344</v>
      </c>
      <c r="CQ127" s="197">
        <f>CR127*(1+$DD127+各项系数!$J$5+各项系数!$L$5)</f>
        <v>722.22332931442213</v>
      </c>
      <c r="CR127" s="197">
        <f t="shared" si="346"/>
        <v>708.06208756315891</v>
      </c>
      <c r="CS127" s="196">
        <f>CT127+各项系数!$M$9*$NU127</f>
        <v>717.78719027262423</v>
      </c>
      <c r="CT127" s="196">
        <f t="shared" si="347"/>
        <v>712.63407570444178</v>
      </c>
      <c r="CU127" s="197">
        <f>CV127+各项系数!$L$9*$NU127</f>
        <v>727.17762826983858</v>
      </c>
      <c r="CV127" s="197">
        <f>CW127*(1+$DD127+各项系数!$J$5+各项系数!$L$5)</f>
        <v>722.02451370165613</v>
      </c>
      <c r="CW127" s="199">
        <f t="shared" si="348"/>
        <v>707.86717029574129</v>
      </c>
      <c r="CX127" s="196">
        <f>CY127+各项系数!$M$9*$NU127</f>
        <v>724.72522241850049</v>
      </c>
      <c r="CY127" s="196">
        <f t="shared" si="349"/>
        <v>719.57210785031805</v>
      </c>
      <c r="CZ127" s="197">
        <f>DA127+各项系数!$L$9*$NU127</f>
        <v>734.25725290848777</v>
      </c>
      <c r="DA127" s="197">
        <f>DB127*(1+$DD127+各项系数!$J$5+各项系数!$L$5)</f>
        <v>729.10413834030533</v>
      </c>
      <c r="DB127" s="199">
        <f t="shared" si="350"/>
        <v>714.80797876500526</v>
      </c>
      <c r="DC127" s="213">
        <f t="shared" ref="DC127:DC151" si="571">BI127+$DC$2</f>
        <v>0</v>
      </c>
      <c r="DD127" s="213">
        <f t="shared" si="351"/>
        <v>0</v>
      </c>
      <c r="DE127" s="53" t="s">
        <v>498</v>
      </c>
      <c r="DF127" s="53" t="s">
        <v>513</v>
      </c>
      <c r="DG127" s="196">
        <f>DH127+各项系数!$M$9*$NQ127</f>
        <v>723.50107616734761</v>
      </c>
      <c r="DH127" s="196">
        <f>DI127*(1+$EA127+(VLOOKUP($AM127,$A$12:$B$323,2,0))+各项系数!$J$6+各项系数!$M$5)*(1+$E$2)+各项系数!$M$9*$NK127</f>
        <v>718.3748829958663</v>
      </c>
      <c r="DI127" s="197">
        <f>DJ127+各项系数!$L$9*$NQ127</f>
        <v>729.01904494982898</v>
      </c>
      <c r="DJ127" s="197">
        <f>DK127*(1+$EB127+各项系数!$J$5+各项系数!$L$5)</f>
        <v>723.89285177834768</v>
      </c>
      <c r="DK127" s="197">
        <f t="shared" si="352"/>
        <v>702.80859395956088</v>
      </c>
      <c r="DL127" s="196">
        <f>DM127+各项系数!$M$9*$NQ127</f>
        <v>729.45793573402034</v>
      </c>
      <c r="DM127" s="196">
        <f>DN127*(1+$EA127+(VLOOKUP($AM127,$A$12:$B$323,2,0))+各项系数!$J$6+各项系数!$M$5)*(1+$E$2)+各项系数!$M$9*$NK127</f>
        <v>724.33174256253903</v>
      </c>
      <c r="DN127" s="197">
        <f>DO127+各项系数!$L$9*$NQ127</f>
        <v>735.09747307908685</v>
      </c>
      <c r="DO127" s="197">
        <f>DP127*(1+$EB127+各项系数!$J$5+各项系数!$L$5)</f>
        <v>729.97127990760555</v>
      </c>
      <c r="DP127" s="197">
        <f t="shared" si="353"/>
        <v>708.70998049282093</v>
      </c>
      <c r="DQ127" s="196">
        <f>DR127+各项系数!$M$9*$NV127</f>
        <v>725.75935352054228</v>
      </c>
      <c r="DR127" s="196">
        <f t="shared" si="354"/>
        <v>720.60623895235983</v>
      </c>
      <c r="DS127" s="197">
        <f>DT127+各项系数!$L$9*$NV127</f>
        <v>735.31248872689775</v>
      </c>
      <c r="DT127" s="197">
        <f>DU127*(1+$EB127+各项系数!$J$5+各项系数!$L$5)</f>
        <v>730.15937415871531</v>
      </c>
      <c r="DU127" s="199">
        <f t="shared" si="355"/>
        <v>708.89259627059732</v>
      </c>
      <c r="DV127" s="196">
        <f>DW127+各项系数!$M$9*$NV127</f>
        <v>723.93671926738386</v>
      </c>
      <c r="DW127" s="196">
        <f t="shared" si="356"/>
        <v>718.78360469920142</v>
      </c>
      <c r="DX127" s="197">
        <f>DY127+各项系数!$L$9*$NV127</f>
        <v>733.45265785632796</v>
      </c>
      <c r="DY127" s="197">
        <f>DZ127*(1+$EB127+各项系数!$J$5+各项系数!$L$5)</f>
        <v>728.29954328814551</v>
      </c>
      <c r="DZ127" s="199">
        <f t="shared" si="357"/>
        <v>707.08693523120917</v>
      </c>
      <c r="EA127" s="213">
        <f t="shared" si="559"/>
        <v>0</v>
      </c>
      <c r="EB127" s="213">
        <f t="shared" si="358"/>
        <v>0.01</v>
      </c>
      <c r="EC127" s="235" t="str">
        <f t="shared" si="408"/>
        <v>3+2</v>
      </c>
      <c r="ED127" s="235" t="str">
        <f t="shared" si="565"/>
        <v>3*300</v>
      </c>
      <c r="EE127" s="189">
        <f t="shared" si="495"/>
        <v>300</v>
      </c>
      <c r="EF127" s="189" t="str">
        <f>LOOKUP(EH127,{1,7,10,14,19,24,30,37,48,61},{1,"1+6","2+8","4+10","1+6+12","2+8+14","4+10+16","1+6+12+18","3+9+15+21","1+6+12+18+24"})</f>
        <v>1+6+12+18+24</v>
      </c>
      <c r="EG127" s="188">
        <f t="shared" si="359"/>
        <v>3</v>
      </c>
      <c r="EH127" s="197">
        <f>VLOOKUP(EE127,各项系数!$B$87:$C$124,2,0)</f>
        <v>61</v>
      </c>
      <c r="EI127" s="188">
        <f>IF(EH127=0,0,VLOOKUP(EH127,各项系数!$D$142:$E$195,2,0))*1</f>
        <v>9</v>
      </c>
      <c r="EJ127" s="238">
        <f t="shared" si="409"/>
        <v>245.118138379664</v>
      </c>
      <c r="EK127" s="189" t="str">
        <f t="shared" si="566"/>
        <v>2*150</v>
      </c>
      <c r="EL127" s="189" t="str">
        <f t="shared" si="360"/>
        <v>150</v>
      </c>
      <c r="EM127" s="189">
        <f t="shared" si="567"/>
        <v>150</v>
      </c>
      <c r="EN127" s="189" t="str">
        <f>IF(EP127=0,0,LOOKUP(EP127,{1,7,10,14,19,24,30,37,48,61},{1,"1+6","2+8","4+10","1+6+12","2+8+14","4+10+16","1+6+12+18","3+9+15+21","1+6+12+18+24"}))</f>
        <v>4+10+16</v>
      </c>
      <c r="EO127" s="189" t="str">
        <f t="shared" si="568"/>
        <v>2</v>
      </c>
      <c r="EP127" s="189">
        <f>IF(EM127=0,0,IF(EM127&lt;10,1,IF(AND(EM127&gt;=10,EM127&lt;=35),7,LOOKUP(EM127,{50,70,95,120,150,185,240,300},{10,14,19,24,30,37,48,61})*1)))</f>
        <v>30</v>
      </c>
      <c r="EQ127" s="189">
        <f>IF(EP127=0,0,VLOOKUP(EP127,各项系数!$D$142:$E$195,2,0))*1</f>
        <v>6.41</v>
      </c>
      <c r="ER127" s="189">
        <f t="shared" si="569"/>
        <v>243.33587022849699</v>
      </c>
      <c r="ES127" s="235">
        <f t="shared" si="570"/>
        <v>5</v>
      </c>
      <c r="ET127" s="189">
        <f>VLOOKUP(ES127,各项系数!$D$142:$E$195,2,0)*1</f>
        <v>2.7</v>
      </c>
      <c r="EU127" s="243">
        <f>((各项系数!$F$76/4*$EJ127^2*$EG127*$EH127*1*10^-7)*(1-$H127)*AA127)*(VLOOKUP($EY$9,各项系数!$D$4:$F$143,3,0))*各项系数!$J$4</f>
        <v>7.7914248068818459</v>
      </c>
      <c r="EV127" s="244">
        <f>EU127*(VLOOKUP($EY$9,各项系数!$D$4:$F$143,2,0))</f>
        <v>510.3383248507609</v>
      </c>
      <c r="EW127" s="252">
        <f>(IF($EO127=0,0,(各项系数!$F$76/4*$ER127^2*$EO127*$EP127*1*10^-7))*(1-$K127)*$AF127)*(VLOOKUP($EY$9,各项系数!$D$4:$F$143,3,0))*各项系数!$J$4</f>
        <v>2.5052108389047172</v>
      </c>
      <c r="EX127" s="253">
        <f>EW127*(VLOOKUP($EY$9,各项系数!$D$4:$F$143,2,0))</f>
        <v>164.09130994825898</v>
      </c>
      <c r="EY127" s="189">
        <f>((各项系数!$F$76/4*$EJ127^2*$EG127*$EH127*1*10^-7)*(1-$H127)*AA127+IF($EO127=0,0,(各项系数!$F$76/4*$ER127^2*$EO127*$EP127*1*10^-7))*(1-$K127)*$AF127)*(VLOOKUP($EY$9,各项系数!$D$4:$F$143,3,0))*各项系数!$J$4</f>
        <v>10.296635645786564</v>
      </c>
      <c r="EZ127" s="102">
        <v>1</v>
      </c>
      <c r="FA127" s="189">
        <f t="shared" si="515"/>
        <v>10.296635645786564</v>
      </c>
      <c r="FB127" s="254">
        <f>FA127*(VLOOKUP($EY$9,各项系数!$D$4:$F$143,2,0))</f>
        <v>674.42963479901994</v>
      </c>
      <c r="FC127" s="255"/>
      <c r="FD127" s="235">
        <f>各项系数!$F$76/4*($MN127^2-MK127^2)*10^-2*(VLOOKUP(L127,各项系数!$D$1:$F$143,3,0))*10^-3*10^2*$EG127*各项系数!$J$4</f>
        <v>0.4430383783634661</v>
      </c>
      <c r="FE127" s="262">
        <f>FD127*VLOOKUP(L127,各项系数!$D$1:$F$143,2,0)</f>
        <v>4.5189914593073537</v>
      </c>
      <c r="FF127" s="188">
        <f>各项系数!$F$76/4*($MO127^2-ML127^2)*10^-2*(VLOOKUP(L127,各项系数!$D$1:$F$143,3,0))*10^-3*10^2*$EO127*各项系数!$J$4</f>
        <v>0.16365042330590496</v>
      </c>
      <c r="FG127" s="262">
        <f>FF127*VLOOKUP(L127,各项系数!$D$1:$F$143,2,0)</f>
        <v>1.6692343177202305</v>
      </c>
      <c r="FH127" s="235">
        <f t="shared" si="410"/>
        <v>0.606688801669371</v>
      </c>
      <c r="FI127" s="102">
        <v>1</v>
      </c>
      <c r="FJ127" s="189">
        <f t="shared" si="516"/>
        <v>0.606688801669371</v>
      </c>
      <c r="FK127" s="262">
        <f>FJ127*VLOOKUP(L127,各项系数!$D$1:$F$143,2,0)</f>
        <v>6.1882257770275837</v>
      </c>
      <c r="FL127" s="235"/>
      <c r="FM127" s="102"/>
      <c r="FN127" s="189"/>
      <c r="FO127" s="262"/>
      <c r="FP127" s="282">
        <f t="shared" si="517"/>
        <v>0.606688801669371</v>
      </c>
      <c r="FQ127" s="282">
        <f t="shared" si="518"/>
        <v>6.1882257770275837</v>
      </c>
      <c r="FR127" s="283">
        <f>各项系数!$F$76/4*($MQ127^2-$MN127^2*$EG127-$MO127^2*$EO127)*10^-2</f>
        <v>8.8160508611529753</v>
      </c>
      <c r="FS127" s="284">
        <f t="shared" si="411"/>
        <v>1</v>
      </c>
      <c r="FT127" s="285">
        <f t="shared" si="361"/>
        <v>8.8160508611529753</v>
      </c>
      <c r="FU127" s="302">
        <f>$FT127*(VLOOKUP($FT$9,各项系数!$D$1:$F$143,3,0))*10^-3*10^2*各项系数!$J$55</f>
        <v>1.0526364728216651</v>
      </c>
      <c r="FV127" s="303">
        <v>1</v>
      </c>
      <c r="FW127" s="304">
        <f t="shared" si="519"/>
        <v>1.0526364728216651</v>
      </c>
      <c r="FX127" s="285">
        <f>FW127*(VLOOKUP($FT$9,各项系数!$D$1:$F$143,2,0))</f>
        <v>3.1579094184649952</v>
      </c>
      <c r="FY127" s="302">
        <f>IF($BK127&lt;&gt;$FY$9,0,各项系数!$F$76/4*($MS127^2-$MQ127^2)*10^-2*(VLOOKUP($FY$9,各项系数!$D$1:$F$143,3,0))*10^-3*10^2)*各项系数!$J$4</f>
        <v>0</v>
      </c>
      <c r="FZ127" s="303">
        <v>1</v>
      </c>
      <c r="GA127" s="304">
        <f t="shared" si="520"/>
        <v>0</v>
      </c>
      <c r="GB127" s="285">
        <f>GA127*(VLOOKUP($FY$9,各项系数!$D$1:$F$143,2,0))</f>
        <v>0</v>
      </c>
      <c r="GC127" s="302">
        <f>IF($BK127&lt;&gt;$GC$9,0,各项系数!$F$76/4*($MS127^2-$MQ127^2)*10^-2*(VLOOKUP($GC$9,各项系数!$D$1:$F$143,3,0))*10^-3*10^2)*各项系数!$J$4</f>
        <v>1.6755707581537032E-2</v>
      </c>
      <c r="GD127" s="303">
        <v>1</v>
      </c>
      <c r="GE127" s="304">
        <f t="shared" si="521"/>
        <v>1.6755707581537032E-2</v>
      </c>
      <c r="GF127" s="285">
        <f>GE127*(VLOOKUP($GC$9,各项系数!$D$1:$F$143,2,0))</f>
        <v>0.21614862780182773</v>
      </c>
      <c r="GG127" s="302">
        <f>IF($BK127&lt;&gt;$GG$9,0,各项系数!$F$76/4*($MS127^2-$MQ127^2)*10^-2*(VLOOKUP($GG$9,各项系数!$D$1:$F$143,3,0))*10^-3*10^2)*各项系数!$J$4</f>
        <v>0</v>
      </c>
      <c r="GH127" s="303">
        <v>1</v>
      </c>
      <c r="GI127" s="304">
        <f t="shared" si="522"/>
        <v>0</v>
      </c>
      <c r="GJ127" s="285">
        <f>GI127*(VLOOKUP($GG$9,各项系数!$D$1:$F$143,2,0))</f>
        <v>0</v>
      </c>
      <c r="GK127" s="302">
        <f>IF($BK127&lt;&gt;$GK$9,0,各项系数!$F$76/4*($MS127^2-$MQ127^2)*10^-2*(VLOOKUP($GK$9,各项系数!$D$1:$F$143,3,0))*10^-3*10^2)*各项系数!$J$4</f>
        <v>0</v>
      </c>
      <c r="GL127" s="303">
        <v>1</v>
      </c>
      <c r="GM127" s="304">
        <f t="shared" si="523"/>
        <v>0</v>
      </c>
      <c r="GN127" s="285">
        <f>GM127*(VLOOKUP($GK$9,各项系数!$D$1:$F$143,2,0))</f>
        <v>0</v>
      </c>
      <c r="GO127" s="304">
        <f t="shared" si="524"/>
        <v>1.6755707581537032E-2</v>
      </c>
      <c r="GP127" s="304">
        <f t="shared" si="525"/>
        <v>0.21614862780182773</v>
      </c>
      <c r="GQ127" s="315">
        <f>各项系数!$F$76/4*($MU127^2-$MS127^2)*10^-2*(VLOOKUP($S127,各项系数!$D$1:$F$143,3,0))*10^-3*10^2*各项系数!$J$4</f>
        <v>1.1433732453281467</v>
      </c>
      <c r="GR127" s="303">
        <v>1</v>
      </c>
      <c r="GS127" s="304">
        <f t="shared" si="526"/>
        <v>1.1433732453281467</v>
      </c>
      <c r="GT127" s="304">
        <f t="shared" si="457"/>
        <v>0</v>
      </c>
      <c r="GU127" s="304">
        <f>ROUND($GS127*(VLOOKUP($S127,各项系数!$D$1:$F$143,2,0))+$E$3*GS127,GT127)</f>
        <v>7</v>
      </c>
      <c r="GV127" s="315">
        <f>各项系数!$F$76/4*($MT127^2-$MS127^2)*10^-2*(VLOOKUP($GV$9,各项系数!$D$1:$F$143,3,0))*10^-3*10^2*各项系数!$J$4*PI()/4*R127</f>
        <v>8.6178857838658793E-2</v>
      </c>
      <c r="GW127" s="303">
        <v>1</v>
      </c>
      <c r="GX127" s="304">
        <f t="shared" si="527"/>
        <v>8.6178857838658793E-2</v>
      </c>
      <c r="GY127" s="304">
        <f>$GX127*(VLOOKUP($GV$9,各项系数!$D$1:$F$143,2,0))</f>
        <v>5.8170729041094686</v>
      </c>
      <c r="GZ127" s="315">
        <f>各项系数!$F$76/4*($MV127^2-$MS127^2)*10^-2*(VLOOKUP($GZ$9,各项系数!$D$1:$F$143,3,0))*10^-3*10^2*各项系数!$J$4</f>
        <v>0.97097007492596277</v>
      </c>
      <c r="HA127" s="303">
        <v>1</v>
      </c>
      <c r="HB127" s="304">
        <f t="shared" si="412"/>
        <v>0.97097007492596277</v>
      </c>
      <c r="HC127" s="304">
        <f>HB127*(VLOOKUP($GZ$9,各项系数!$D$1:$F$143,2,0))</f>
        <v>16.506491273741368</v>
      </c>
      <c r="HD127" s="315">
        <f>各项系数!$F$76/4*($MW127^2-$MT127^2)*10^-2*(VLOOKUP($HD$9,各项系数!$D$1:$F$143,3,0))*10^-3*10^2*各项系数!$J$4</f>
        <v>0.97336325224487419</v>
      </c>
      <c r="HE127" s="303">
        <v>1</v>
      </c>
      <c r="HF127" s="304">
        <f t="shared" si="413"/>
        <v>0.97336325224487419</v>
      </c>
      <c r="HG127" s="304">
        <f>HF127*(VLOOKUP($HD$9,各项系数!$D$1:$F$143,2,0))</f>
        <v>16.547175288162862</v>
      </c>
      <c r="HH127" s="315">
        <f>各项系数!$F$76/4*($MV127^2-$MS127^2)*10^-2*(VLOOKUP($HH$9,各项系数!$D$1:$F$143,3,0))*10^-3*10^2*各项系数!$J$4</f>
        <v>0.97097007492596277</v>
      </c>
      <c r="HI127" s="322">
        <v>1</v>
      </c>
      <c r="HJ127" s="304">
        <f t="shared" si="414"/>
        <v>0.97097007492596277</v>
      </c>
      <c r="HK127" s="304">
        <f>HJ127*(VLOOKUP($HH$9,各项系数!$D$1:$F$143,2,0))</f>
        <v>16.506491273741368</v>
      </c>
      <c r="HL127" s="315">
        <f>各项系数!$F$76/4*($MW127^2-$MT127^2)*10^-2*(VLOOKUP($HL$9,各项系数!$D$1:$F$143,3,0))*10^-3*10^2*各项系数!$J$4</f>
        <v>0.97336325224487419</v>
      </c>
      <c r="HM127" s="322">
        <v>1</v>
      </c>
      <c r="HN127" s="304">
        <f t="shared" si="362"/>
        <v>0.97336325224487419</v>
      </c>
      <c r="HO127" s="304">
        <f>HN127*(VLOOKUP($HL$9,各项系数!$D$1:$F$143,2,0))</f>
        <v>16.547175288162862</v>
      </c>
      <c r="HP127" s="315">
        <f>各项系数!$F$76/4*($MV127^2-$MS127^2)*10^-2*(VLOOKUP(AN127,各项系数!$D$1:$F$143,3,0))*10^-3*10^2*各项系数!$J$4</f>
        <v>0.98436276561459701</v>
      </c>
      <c r="HQ127" s="303">
        <v>1</v>
      </c>
      <c r="HR127" s="304">
        <f t="shared" si="528"/>
        <v>0.98436276561459701</v>
      </c>
      <c r="HS127" s="304">
        <f>HR127*(VLOOKUP(AN127,各项系数!$D$1:$F$143,2,0))</f>
        <v>9.8436276561459692</v>
      </c>
      <c r="HT127" s="315">
        <f>各项系数!$F$76/4*($MW127^2-$MT127^2)*10^-2*(VLOOKUP(AN127,各项系数!$D$1:$F$143,3,0))*10^-3*10^2*各项系数!$J$4</f>
        <v>0.98678895227583785</v>
      </c>
      <c r="HU127" s="303">
        <v>1</v>
      </c>
      <c r="HV127" s="304">
        <f t="shared" si="529"/>
        <v>0.98678895227583785</v>
      </c>
      <c r="HW127" s="304">
        <f>HV127*(VLOOKUP(AN127,各项系数!$D$1:$F$143,2,0))</f>
        <v>9.8678895227583787</v>
      </c>
      <c r="HX127" s="315">
        <f>各项系数!$F$76/4*($MV127^2-$MS127^2)*10^-2*(VLOOKUP($HX$9,各项系数!$D$1:$F$143,3,0))*10^-3*10^2*各项系数!$J$4</f>
        <v>0.98436276561459701</v>
      </c>
      <c r="HY127" s="322">
        <v>1</v>
      </c>
      <c r="HZ127" s="304">
        <f t="shared" si="530"/>
        <v>0.98436276561459701</v>
      </c>
      <c r="IA127" s="304">
        <f>HZ127*(VLOOKUP($HX$9,各项系数!$D$1:$F$143,2,0))</f>
        <v>10.827990421760568</v>
      </c>
      <c r="IB127" s="315">
        <f>各项系数!$F$76/4*($MW127^2-$MT127^2)*10^-2*(VLOOKUP($IB$9,各项系数!$D$1:$F$143,3,0))*10^-3*10^2*各项系数!$J$4</f>
        <v>0.98678895227583785</v>
      </c>
      <c r="IC127" s="322">
        <v>1</v>
      </c>
      <c r="ID127" s="304">
        <f t="shared" si="531"/>
        <v>0.98678895227583785</v>
      </c>
      <c r="IE127" s="304">
        <f>ID127*(VLOOKUP($IB$9,各项系数!$D$1:$F$143,2,0))</f>
        <v>10.854678475034216</v>
      </c>
      <c r="IF127" s="328"/>
      <c r="IG127" s="315">
        <f t="shared" si="415"/>
        <v>0.13908592708400005</v>
      </c>
      <c r="IH127" s="303">
        <v>1</v>
      </c>
      <c r="II127" s="304">
        <f t="shared" si="532"/>
        <v>0.13908592708400005</v>
      </c>
      <c r="IJ127" s="304">
        <f>II127*(VLOOKUP($IG$8,各项系数!$D$1:$F$143,2,0))</f>
        <v>3.4771481771000015</v>
      </c>
      <c r="IK127" s="315">
        <f>(各项系数!$F$76/4*($MX127^2-$MK127^2)*$EG127)*10^-2*(VLOOKUP($IG$8,各项系数!$D$1:$F$143,3,0))*10^-3*10^2*各项系数!$J$4</f>
        <v>9.4360624039249594E-2</v>
      </c>
      <c r="IL127" s="303">
        <f>IK127*(VLOOKUP($IG$8,各项系数!$D$1:$F$143,2,0))</f>
        <v>2.3590156009812397</v>
      </c>
      <c r="IM127" s="304">
        <f>(各项系数!$F$76/4*(($MM127+3*$X127)^2-MM127^2)*$EO127)*10^-2*(VLOOKUP($IG$8,各项系数!$D$1:$F$143,3,0))*10^-3*10^2*各项系数!$J$4</f>
        <v>4.4725303044750468E-2</v>
      </c>
      <c r="IN127" s="303">
        <f>IM127*(VLOOKUP($IG$8,各项系数!$D$1:$F$143,2,0))</f>
        <v>1.1181325761187617</v>
      </c>
      <c r="IO127" s="315">
        <f>各项系数!$F$76/4*($MZ127^2-$MX127^2)*10^-2*(VLOOKUP(L127,各项系数!$D$1:$F$143,3,0))*10^-3*10^2*$ES127*各项系数!$J$4</f>
        <v>0.7569650523329553</v>
      </c>
      <c r="IP127" s="303">
        <v>1</v>
      </c>
      <c r="IQ127" s="304">
        <f t="shared" si="533"/>
        <v>0.7569650523329553</v>
      </c>
      <c r="IR127" s="285">
        <f>IQ127*(VLOOKUP(L127,各项系数!$D$1:$F$143,2,0))</f>
        <v>7.7210435337961432</v>
      </c>
      <c r="IS127" s="315">
        <f>IF($L127&lt;&gt;$IS$9,0,各项系数!$F$76/4*($MZ127^2-$MX127^2)*10^-2*各项系数!$F$12*10^-3*10^2)*$ES127*各项系数!$J$4</f>
        <v>0</v>
      </c>
      <c r="IT127" s="303">
        <v>1</v>
      </c>
      <c r="IU127" s="304">
        <f t="shared" si="534"/>
        <v>0</v>
      </c>
      <c r="IV127" s="285">
        <f>IU127*各项系数!$E$12</f>
        <v>0</v>
      </c>
      <c r="IW127" s="302">
        <f t="shared" si="535"/>
        <v>0.7569650523329553</v>
      </c>
      <c r="IX127" s="302">
        <f t="shared" si="536"/>
        <v>7.7210435337961432</v>
      </c>
      <c r="IY127" s="339">
        <f>各项系数!$F$76/4*($NB127^2-$MZ127^2*$EG127-$NA127^2*$EO127)*10^-2</f>
        <v>9.6878228722038511</v>
      </c>
      <c r="IZ127" s="284">
        <f t="shared" si="487"/>
        <v>1</v>
      </c>
      <c r="JA127" s="285">
        <f t="shared" si="363"/>
        <v>9.6878228722038511</v>
      </c>
      <c r="JB127" s="282">
        <f>IF($DE127&lt;&gt;$JB$9,0,$JA127*各项系数!$F$32*10^-3*10^2)*各项系数!$J$4</f>
        <v>0</v>
      </c>
      <c r="JC127" s="102">
        <v>1</v>
      </c>
      <c r="JD127" s="189">
        <f t="shared" si="537"/>
        <v>0</v>
      </c>
      <c r="JE127" s="262">
        <f>JD127*各项系数!$E$32</f>
        <v>0</v>
      </c>
      <c r="JF127" s="282">
        <f>IF($DE127&lt;&gt;$JF$9,0,$JA127*VLOOKUP($JF$9,各项系数!$D$4:$F$540,2,0)*10^-3*10^2)*各项系数!$J$4</f>
        <v>4.8196918789214171</v>
      </c>
      <c r="JG127" s="102">
        <v>1</v>
      </c>
      <c r="JH127" s="189">
        <f t="shared" si="364"/>
        <v>4.8196918789214171</v>
      </c>
      <c r="JI127" s="262">
        <f>JH127*VLOOKUP($JF$9,各项系数!$D$4:$F$540,3,0)</f>
        <v>5.7836302547057006</v>
      </c>
      <c r="JJ127" s="282">
        <f t="shared" si="538"/>
        <v>4.8196918789214171</v>
      </c>
      <c r="JK127" s="189">
        <f t="shared" si="539"/>
        <v>5.7836302547057006</v>
      </c>
      <c r="JL127" s="282">
        <f>IF($DF127&lt;&gt;$JL$9,0,各项系数!$F$76/4*($NE127^2-$NC127^2)*10^-2*各项系数!$F$39*10^-3*10^2)*各项系数!$J$4</f>
        <v>7.2069762397837505E-3</v>
      </c>
      <c r="JM127" s="102">
        <v>1</v>
      </c>
      <c r="JN127" s="189">
        <f t="shared" si="540"/>
        <v>7.2069762397837505E-3</v>
      </c>
      <c r="JO127" s="262">
        <f>JN127*各项系数!$E$39</f>
        <v>0.14413952479567502</v>
      </c>
      <c r="JP127" s="282">
        <f>IF($DF127&lt;&gt;$JP$9,0,各项系数!$F$76/4*($NE127^2-$NC127^2)*10^-2*各项系数!$F$36*10^-3*10^2)*各项系数!$J$4</f>
        <v>0</v>
      </c>
      <c r="JQ127" s="102">
        <v>1</v>
      </c>
      <c r="JR127" s="189">
        <f t="shared" si="541"/>
        <v>0</v>
      </c>
      <c r="JS127" s="262">
        <f>JR127*各项系数!$E$36</f>
        <v>0</v>
      </c>
      <c r="JT127" s="282">
        <f>IF($DF127&lt;&gt;$JT$9,0,各项系数!$F$76/4*($NE127^2-$NC127^2)*10^-2*各项系数!$F$40*10^-3*10^2)*各项系数!$J$4</f>
        <v>0</v>
      </c>
      <c r="JU127" s="102">
        <v>1</v>
      </c>
      <c r="JV127" s="189">
        <f t="shared" si="542"/>
        <v>0</v>
      </c>
      <c r="JW127" s="262">
        <f>JV127*各项系数!$E$40</f>
        <v>0</v>
      </c>
      <c r="JX127" s="282">
        <f>IF($DF127&lt;&gt;$JX$9,0,各项系数!$F$76/4*($NE127^2-$NC127^2)*10^-2*各项系数!$F$38*10^-3*10^2)*各项系数!$J$4</f>
        <v>0</v>
      </c>
      <c r="JY127" s="102">
        <v>1</v>
      </c>
      <c r="JZ127" s="189">
        <f t="shared" si="543"/>
        <v>0</v>
      </c>
      <c r="KA127" s="262">
        <f>JZ127*各项系数!$E$38</f>
        <v>0</v>
      </c>
      <c r="KB127" s="282">
        <f>IF($DF127&lt;&gt;$KB$9,0,各项系数!$F$76/4*($NE127^2-$NC127^2)*10^-2*各项系数!$F$41*10^-3*10^2)*各项系数!$J$4</f>
        <v>0</v>
      </c>
      <c r="KC127" s="102">
        <v>1</v>
      </c>
      <c r="KD127" s="189">
        <f t="shared" si="544"/>
        <v>0</v>
      </c>
      <c r="KE127" s="262">
        <f>KD127*各项系数!$E$41</f>
        <v>0</v>
      </c>
      <c r="KF127" s="189">
        <f t="shared" si="545"/>
        <v>7.2069762397837505E-3</v>
      </c>
      <c r="KG127" s="189">
        <f t="shared" si="546"/>
        <v>0.14413952479567502</v>
      </c>
      <c r="KH127" s="235">
        <f>各项系数!$F$76/4*($NG127^2-$NE127^2)*10^-2*各项系数!$F$44*10^-3*10^2*各项系数!$J$4*0.75*$U127</f>
        <v>1.7851297929870134</v>
      </c>
      <c r="KI127" s="102">
        <v>1</v>
      </c>
      <c r="KJ127" s="189">
        <f t="shared" si="547"/>
        <v>1.7851297929870134</v>
      </c>
      <c r="KK127" s="189">
        <f>ROUND(KJ127*各项系数!$E$43,GT127)</f>
        <v>10</v>
      </c>
      <c r="KL127" s="235">
        <f>各项系数!$F$76/4*($NF127^2-$NE127^2)*10^-2*各项系数!$F$46*10^-3*10^2*各项系数!$J$4*PI()/4*R127</f>
        <v>8.9737989003894611E-2</v>
      </c>
      <c r="KM127" s="102">
        <v>1</v>
      </c>
      <c r="KN127" s="189">
        <f t="shared" si="548"/>
        <v>8.9737989003894611E-2</v>
      </c>
      <c r="KO127" s="189">
        <f>KN127*各项系数!$E$46</f>
        <v>6.0573142577628865</v>
      </c>
      <c r="KP127" s="235">
        <f>各项系数!$F$76/4*($NH127^2-$NE127^2)*10^-2*(VLOOKUP($KP$9,各项系数!$D$1:$F$143,3,0))*10^-3*10^2*各项系数!$J$4</f>
        <v>1.0090814237296117</v>
      </c>
      <c r="KQ127" s="102">
        <v>1</v>
      </c>
      <c r="KR127" s="189">
        <f t="shared" si="416"/>
        <v>1.0090814237296117</v>
      </c>
      <c r="KS127" s="189">
        <f>KR127*(VLOOKUP($KP$9,各项系数!$D$1:$F$143,2,0))</f>
        <v>17.154384203403399</v>
      </c>
      <c r="KT127" s="235">
        <f>各项系数!$F$76/4*($NI127^2-$NF127^2)*10^-2*(VLOOKUP($KT$9,各项系数!$D$1:$F$143,3,0))*10^-3*10^2*各项系数!$J$4</f>
        <v>1.0114746010485223</v>
      </c>
      <c r="KU127" s="102">
        <v>1</v>
      </c>
      <c r="KV127" s="189">
        <f t="shared" si="417"/>
        <v>1.0114746010485223</v>
      </c>
      <c r="KW127" s="189">
        <f>KV127*(VLOOKUP($KT$9,各项系数!$D$1:$F$143,2,0))</f>
        <v>17.195068217824879</v>
      </c>
      <c r="KX127" s="189">
        <f>各项系数!$F$76/4*($NH127^2-$NE127^2)*10^-2*(VLOOKUP($KX$9,各项系数!$D$1:$F$143,3,0))*10^-3*10^2*各项系数!$J$4</f>
        <v>1.0090814237296117</v>
      </c>
      <c r="KY127" s="353">
        <v>1</v>
      </c>
      <c r="KZ127" s="189">
        <f t="shared" si="418"/>
        <v>1.0090814237296117</v>
      </c>
      <c r="LA127" s="189">
        <f>KZ127*(VLOOKUP($KX$9,各项系数!$D$1:$F$143,2,0))</f>
        <v>17.154384203403399</v>
      </c>
      <c r="LB127" s="189">
        <f>各项系数!$F$76/4*($NI127^2-$NF127^2)*10^-2*(VLOOKUP($LB$9,各项系数!$D$1:$F$143,3,0))*10^-3*10^2*各项系数!$J$4</f>
        <v>1.0114746010485223</v>
      </c>
      <c r="LC127" s="353">
        <v>1</v>
      </c>
      <c r="LD127" s="189">
        <f t="shared" si="419"/>
        <v>1.0114746010485223</v>
      </c>
      <c r="LE127" s="189">
        <f>LD127*(VLOOKUP($LB$9,各项系数!$D$1:$F$143,2,0))</f>
        <v>17.195068217824879</v>
      </c>
      <c r="LF127" s="235">
        <f>各项系数!$F$76/4*($NH127^2-$NE127^2)*10^-2*(VLOOKUP(AN127,各项系数!$D$1:$F$143,3,0))*10^-3*10^2*各项系数!$J$4</f>
        <v>1.022999788194848</v>
      </c>
      <c r="LG127" s="102">
        <v>1</v>
      </c>
      <c r="LH127" s="189">
        <f t="shared" si="549"/>
        <v>1.022999788194848</v>
      </c>
      <c r="LI127" s="189">
        <f>LH127*(VLOOKUP(AN127,各项系数!$D$1:$F$143,2,0))</f>
        <v>10.229997881948481</v>
      </c>
      <c r="LJ127" s="235">
        <f>各项系数!$F$76/4*($NI127^2-$NF127^2)*10^-2*(VLOOKUP(AN127,各项系数!$D$1:$F$143,3,0))*10^-3*10^2*各项系数!$J$4</f>
        <v>1.0254259748560881</v>
      </c>
      <c r="LK127" s="102">
        <v>1</v>
      </c>
      <c r="LL127" s="189">
        <f t="shared" si="550"/>
        <v>1.0254259748560881</v>
      </c>
      <c r="LM127" s="189">
        <f>LL127*(VLOOKUP(AN127,各项系数!$D$1:$F$143,2,0))</f>
        <v>10.25425974856088</v>
      </c>
      <c r="LN127" s="189">
        <f>各项系数!$F$76/4*($NH127^2-$NE127^2)*10^-2*(VLOOKUP($LN$9,各项系数!$D$1:$F$143,3,0))*10^-3*10^2*各项系数!$J$4</f>
        <v>1.022999788194848</v>
      </c>
      <c r="LO127" s="353">
        <v>1</v>
      </c>
      <c r="LP127" s="189">
        <f t="shared" si="551"/>
        <v>1.022999788194848</v>
      </c>
      <c r="LQ127" s="189">
        <f>LP127*(VLOOKUP($LN$9,各项系数!$D$1:$F$143,2,0))</f>
        <v>11.252997670143328</v>
      </c>
      <c r="LR127" s="189">
        <f>各项系数!$F$76/4*($NI127^2-$NF127^2)*10^-2*(VLOOKUP($LR$9,各项系数!$D$1:$F$143,3,0))*10^-3*10^2*各项系数!$J$4</f>
        <v>1.0254259748560881</v>
      </c>
      <c r="LS127" s="353">
        <v>1</v>
      </c>
      <c r="LT127" s="189">
        <f t="shared" si="552"/>
        <v>1.0254259748560881</v>
      </c>
      <c r="LU127" s="189">
        <f>LT127*(VLOOKUP($LR$9,各项系数!$D$1:$F$143,2,0))</f>
        <v>11.27968572341697</v>
      </c>
      <c r="LV127" s="227">
        <f t="shared" si="420"/>
        <v>1146.69271336</v>
      </c>
      <c r="LW127" s="227">
        <f t="shared" si="421"/>
        <v>863.55871005999995</v>
      </c>
      <c r="LX127" s="227">
        <f t="shared" si="422"/>
        <v>33.158967095627069</v>
      </c>
      <c r="LY127" s="227">
        <f t="shared" si="423"/>
        <v>283.13400330000002</v>
      </c>
      <c r="LZ127" s="374">
        <f t="shared" si="365"/>
        <v>1</v>
      </c>
      <c r="MA127" s="375">
        <f t="shared" si="366"/>
        <v>1146.69271336</v>
      </c>
      <c r="MB127" s="375">
        <f t="shared" si="424"/>
        <v>22.060632420000001</v>
      </c>
      <c r="MC127" s="227">
        <f t="shared" si="425"/>
        <v>382.16261709000003</v>
      </c>
      <c r="MD127" s="227">
        <f t="shared" si="426"/>
        <v>279.03160503999999</v>
      </c>
      <c r="ME127" s="227">
        <f t="shared" si="427"/>
        <v>18.848715440789363</v>
      </c>
      <c r="MF127" s="227">
        <f t="shared" si="428"/>
        <v>103.13101205000004</v>
      </c>
      <c r="MG127" s="374">
        <f t="shared" si="429"/>
        <v>1</v>
      </c>
      <c r="MH127" s="375">
        <f t="shared" si="367"/>
        <v>382.16261709000003</v>
      </c>
      <c r="MI127" s="375">
        <f t="shared" si="430"/>
        <v>15.597829281641562</v>
      </c>
      <c r="MJ127" s="189">
        <f t="shared" si="368"/>
        <v>22.060632420000001</v>
      </c>
      <c r="MK127" s="189">
        <f t="shared" si="431"/>
        <v>22.060632420000001</v>
      </c>
      <c r="ML127" s="189">
        <f t="shared" si="553"/>
        <v>15.597829281646657</v>
      </c>
      <c r="MM127" s="189">
        <f t="shared" si="369"/>
        <v>15.597829281641562</v>
      </c>
      <c r="MN127" s="189">
        <f t="shared" si="370"/>
        <v>25.660632420000002</v>
      </c>
      <c r="MO127" s="189">
        <f t="shared" si="432"/>
        <v>18.397829281641563</v>
      </c>
      <c r="MP127" s="189">
        <f t="shared" si="433"/>
        <v>61.43988014</v>
      </c>
      <c r="MQ127" s="189">
        <f t="shared" si="554"/>
        <v>61.43988014</v>
      </c>
      <c r="MR127" s="246">
        <f t="shared" si="434"/>
        <v>61.43988014</v>
      </c>
      <c r="MS127" s="380">
        <f t="shared" si="371"/>
        <v>61.615880140000002</v>
      </c>
      <c r="MT127" s="380">
        <f t="shared" si="372"/>
        <v>61.775880139999998</v>
      </c>
      <c r="MU127" s="380">
        <f t="shared" si="373"/>
        <v>63.115880140000002</v>
      </c>
      <c r="MV127" s="380">
        <f t="shared" si="374"/>
        <v>68.215880139999996</v>
      </c>
      <c r="MW127" s="380">
        <f t="shared" si="375"/>
        <v>68.375880139999992</v>
      </c>
      <c r="MX127" s="254">
        <f t="shared" si="376"/>
        <v>22.660632420000002</v>
      </c>
      <c r="MY127" s="254">
        <f t="shared" si="377"/>
        <v>16.197829281641564</v>
      </c>
      <c r="MZ127" s="189">
        <f t="shared" si="378"/>
        <v>26.260632420000004</v>
      </c>
      <c r="NA127" s="189">
        <f t="shared" si="379"/>
        <v>19.797829281641565</v>
      </c>
      <c r="NB127" s="189">
        <f t="shared" si="435"/>
        <v>63.923880140000001</v>
      </c>
      <c r="NC127" s="254">
        <f t="shared" si="555"/>
        <v>63.923880140000001</v>
      </c>
      <c r="ND127" s="246">
        <f t="shared" si="436"/>
        <v>63.923880140000001</v>
      </c>
      <c r="NE127" s="386">
        <f t="shared" si="437"/>
        <v>64.163880140000003</v>
      </c>
      <c r="NF127" s="380">
        <f t="shared" si="380"/>
        <v>64.32388014</v>
      </c>
      <c r="NG127" s="387">
        <f t="shared" si="381"/>
        <v>65.663880140000003</v>
      </c>
      <c r="NH127" s="254">
        <f t="shared" si="382"/>
        <v>70.763880139999998</v>
      </c>
      <c r="NI127" s="380">
        <f t="shared" si="383"/>
        <v>70.923880139999994</v>
      </c>
      <c r="NK127" s="388">
        <f t="shared" si="384"/>
        <v>13.120729816779638</v>
      </c>
      <c r="NL127" s="388">
        <f t="shared" si="385"/>
        <v>695.50478059618047</v>
      </c>
      <c r="NM127" s="388">
        <f t="shared" si="386"/>
        <v>13.120729816779638</v>
      </c>
      <c r="NN127" s="388">
        <f t="shared" si="387"/>
        <v>696.48914336179507</v>
      </c>
      <c r="NO127" s="388">
        <f t="shared" si="388"/>
        <v>17.08731057160432</v>
      </c>
      <c r="NP127" s="388">
        <f t="shared" si="389"/>
        <v>702.90372674748471</v>
      </c>
      <c r="NQ127" s="388">
        <f t="shared" si="390"/>
        <v>17.08731057160432</v>
      </c>
      <c r="NR127" s="388">
        <f t="shared" si="391"/>
        <v>703.92672653567968</v>
      </c>
      <c r="NS127" s="388">
        <f t="shared" si="392"/>
        <v>13.206908674618298</v>
      </c>
      <c r="NT127" s="388">
        <f t="shared" si="393"/>
        <v>13.206908674618298</v>
      </c>
      <c r="NU127" s="388">
        <f t="shared" si="394"/>
        <v>17.177048560608213</v>
      </c>
      <c r="NV127" s="388">
        <f t="shared" si="395"/>
        <v>17.177048560608213</v>
      </c>
      <c r="NW127">
        <f t="shared" si="396"/>
        <v>14.264103062107786</v>
      </c>
      <c r="NX127">
        <f>各项系数!$M$9*NK127</f>
        <v>3.9362189450338914</v>
      </c>
      <c r="NY127">
        <f t="shared" si="397"/>
        <v>13.206908674618298</v>
      </c>
    </row>
    <row r="128" spans="1:389" ht="15" hidden="1" customHeight="1">
      <c r="A128" s="69"/>
      <c r="B128" s="70"/>
      <c r="C128" s="71"/>
      <c r="D128" s="71" t="s">
        <v>427</v>
      </c>
      <c r="E128" s="54">
        <f t="shared" si="560"/>
        <v>76.254432690000002</v>
      </c>
      <c r="F128" s="68">
        <f>$F$32</f>
        <v>277.18119106381198</v>
      </c>
      <c r="G128" s="58"/>
      <c r="H128" s="16"/>
      <c r="I128" s="145">
        <f>$F$29</f>
        <v>245.09808262108001</v>
      </c>
      <c r="J128" s="62"/>
      <c r="K128" s="16"/>
      <c r="L128" s="97" t="s">
        <v>467</v>
      </c>
      <c r="M128" s="103">
        <f t="shared" si="339"/>
        <v>2</v>
      </c>
      <c r="N128" s="103">
        <f t="shared" si="501"/>
        <v>1.6</v>
      </c>
      <c r="O128" s="53">
        <f t="shared" ref="O128:O137" si="572">$O$36</f>
        <v>0.08</v>
      </c>
      <c r="P128" s="99">
        <v>0.1</v>
      </c>
      <c r="Q128" s="133">
        <f t="shared" si="557"/>
        <v>0.1</v>
      </c>
      <c r="R128" s="70">
        <v>0.8</v>
      </c>
      <c r="S128" s="142" t="str">
        <f>各项系数!$D$43</f>
        <v>钢带</v>
      </c>
      <c r="T128" s="62">
        <v>0.5</v>
      </c>
      <c r="U128" s="62">
        <v>2</v>
      </c>
      <c r="V128" s="143"/>
      <c r="W128" s="141">
        <v>3.6</v>
      </c>
      <c r="X128" s="135">
        <f t="shared" si="558"/>
        <v>0.2</v>
      </c>
      <c r="Y128" s="135"/>
      <c r="Z128" s="168"/>
      <c r="AA128" s="153">
        <f>$AA$32</f>
        <v>1.02</v>
      </c>
      <c r="AB128" s="153">
        <f>PI()*EJ128*EJ128/4*EH128*(1-H128)*AA128*各项系数!$F$5*各项系数!$J$4*10^-7</f>
        <v>3.3210257510184449</v>
      </c>
      <c r="AC128" s="153">
        <f t="shared" si="561"/>
        <v>277.18119106381198</v>
      </c>
      <c r="AD128" s="153">
        <f t="shared" si="341"/>
        <v>375.44593055473609</v>
      </c>
      <c r="AE128" s="153">
        <f>POWER(4*EU128/PI()/EG128/10^-7/EH128/(1-H128)/各项系数!$F$5/各项系数!$J$4,0.5)</f>
        <v>279.93928079700521</v>
      </c>
      <c r="AF128" s="69">
        <f>$AA$29</f>
        <v>1.0149999999999999</v>
      </c>
      <c r="AG128" s="69">
        <f>IF(EM128=0,0,PI()*ER128*ER128/4*EP128*(1-K128)*(1+AF128)*各项系数!$F$5*各项系数!$J$4*10^-7)</f>
        <v>3.1115108896757202</v>
      </c>
      <c r="AH128" s="69">
        <f t="shared" si="562"/>
        <v>245.09808262108001</v>
      </c>
      <c r="AI128" s="69">
        <f t="shared" si="398"/>
        <v>177.18929302065297</v>
      </c>
      <c r="AJ128" s="69">
        <f>IF(OR(EP128="",EP128=0),0,POWER(4*EW128/PI()/EO128/10^-7/EP128/(1-K128)/各项系数!$F$5/各项系数!$J$4,0.5))</f>
        <v>246.92947607788284</v>
      </c>
      <c r="AK128" s="69">
        <f t="shared" si="342"/>
        <v>13.097750754813008</v>
      </c>
      <c r="AL128" s="69">
        <f t="shared" si="563"/>
        <v>909.21915780703955</v>
      </c>
      <c r="AM128" s="188">
        <f t="shared" si="564"/>
        <v>400</v>
      </c>
      <c r="AN128" s="97" t="s">
        <v>486</v>
      </c>
      <c r="AO128" s="196">
        <f>AP128+各项系数!$M$9*$NK128</f>
        <v>891.39133118337213</v>
      </c>
      <c r="AP128" s="196">
        <f>AQ128*(1+$BI128+(VLOOKUP($AM128,$A$12:$B$323,2,0))+各项系数!$J$6+各项系数!$M$5)*(1+$E$2)</f>
        <v>886.41084586090039</v>
      </c>
      <c r="AQ128" s="197">
        <f>AR128+各项系数!$L$9*$NK128</f>
        <v>904.50086312336782</v>
      </c>
      <c r="AR128" s="197">
        <f>AS128*(1+$BJ128+各项系数!$J$5+各项系数!$L$5)</f>
        <v>899.52037780089609</v>
      </c>
      <c r="AS128" s="197">
        <f t="shared" si="399"/>
        <v>881.88272333421185</v>
      </c>
      <c r="AT128" s="196">
        <f>AU128+各项系数!$M$9*$NM128</f>
        <v>899.52313510987176</v>
      </c>
      <c r="AU128" s="196">
        <f>AV128*(1+$BI128+(VLOOKUP($AM128,$A$12:$B$323,2,0))+各项系数!$J$6+各项系数!$M$5)*(1+$E$2)</f>
        <v>894.54264978740002</v>
      </c>
      <c r="AV128" s="197">
        <f>AW128+各项系数!$L$9*$NM128</f>
        <v>912.79862223204088</v>
      </c>
      <c r="AW128" s="197">
        <f>AX128*(1+$BJ128+各项系数!$J$5+各项系数!$L$5)</f>
        <v>907.81813690956915</v>
      </c>
      <c r="AX128" s="197">
        <f t="shared" si="400"/>
        <v>890.01778128389128</v>
      </c>
      <c r="AY128" s="196">
        <f>AZ128+各项系数!$M$9*$NS128</f>
        <v>897.99096896278706</v>
      </c>
      <c r="AZ128" s="196">
        <f>BA128*(1+$BI128+(VLOOKUP($AM128,$A$12:$B$214,2,0))+各项系数!$J$6+各项系数!$M$5)*(1+$E$2)</f>
        <v>892.98151285766494</v>
      </c>
      <c r="BA128" s="197">
        <f>BB128+各项系数!$L$9*$NS128</f>
        <v>911.20562536496425</v>
      </c>
      <c r="BB128" s="197">
        <f>BC128*(1+$BJ128+各项系数!$J$5+各项系数!$L$5)</f>
        <v>906.19616925984212</v>
      </c>
      <c r="BC128" s="199">
        <f t="shared" si="401"/>
        <v>888.4276169214138</v>
      </c>
      <c r="BD128" s="196">
        <f>BE128+各项系数!$M$9*$NS128</f>
        <v>906.14068079359572</v>
      </c>
      <c r="BE128" s="196">
        <f>BF128*(1+$BI128+(VLOOKUP($AM128,$A$12:$B$214,2,0))+各项系数!$J$6+各项系数!$M$5)*(1+$E$2)</f>
        <v>901.13122468847359</v>
      </c>
      <c r="BF128" s="197">
        <f>BG128+各项系数!$L$9*$NS128</f>
        <v>919.52165784538124</v>
      </c>
      <c r="BG128" s="197">
        <f>BH128*(1+$BJ128+各项系数!$J$5+各项系数!$L$5)</f>
        <v>914.51220174025912</v>
      </c>
      <c r="BH128" s="199">
        <f t="shared" si="402"/>
        <v>896.5805899414305</v>
      </c>
      <c r="BI128" s="213"/>
      <c r="BJ128" s="208"/>
      <c r="BK128" s="53" t="s">
        <v>514</v>
      </c>
      <c r="BL128" s="196">
        <f>BM128+各项系数!$M$9*$NM128</f>
        <v>901.24694221544212</v>
      </c>
      <c r="BM128" s="196">
        <f>BN128*(1+$CF128+(VLOOKUP($AM128,$A$12:$B$323,2,0))+各项系数!$J$6+各项系数!$M$5)*(1+$E$2)</f>
        <v>896.26645689297038</v>
      </c>
      <c r="BN128" s="197">
        <f>BO128+各项系数!$L$9*$NM128</f>
        <v>914.55760907445961</v>
      </c>
      <c r="BO128" s="197">
        <f>BP128*(1+$CG128+各项系数!$J$5+各项系数!$L$5)</f>
        <v>909.57712375198787</v>
      </c>
      <c r="BP128" s="197">
        <f t="shared" si="403"/>
        <v>883.08458616697851</v>
      </c>
      <c r="BQ128" s="196">
        <f>BR128+各项系数!$M$9*$NM128</f>
        <v>908.24530936645397</v>
      </c>
      <c r="BR128" s="196">
        <f>BS128*(1+$CF128+(VLOOKUP($AM128,$A$12:$B$323,2,0))+各项系数!$J$6+各项系数!$M$5)*(1+$E$2)</f>
        <v>903.26482404398223</v>
      </c>
      <c r="BS128" s="197">
        <f>BT128+各项系数!$L$9*$NM128</f>
        <v>921.69880004487982</v>
      </c>
      <c r="BT128" s="197">
        <f>BU128*(1+$CG128+各项系数!$J$5+各项系数!$L$5)</f>
        <v>916.71831472240808</v>
      </c>
      <c r="BU128" s="197">
        <f t="shared" si="404"/>
        <v>890.01778128389128</v>
      </c>
      <c r="BV128" s="196">
        <f>BW128+各项系数!$M$9*$NT128</f>
        <v>903.0122227326101</v>
      </c>
      <c r="BW128" s="196">
        <f>BX128*(1+$CF128+(VLOOKUP($AM128,$A$12:$B$214,2,0))+各项系数!$J$6+各项系数!$M$5)*(1+$E$2)</f>
        <v>898.00276662748797</v>
      </c>
      <c r="BX128" s="197">
        <f>BY128+各项系数!$L$9*$NT$12</f>
        <v>916.32935370151836</v>
      </c>
      <c r="BY128" s="197">
        <f>BZ128*(1+$CG128+各项系数!$J$5+各项系数!$L$5)</f>
        <v>916.3210902983634</v>
      </c>
      <c r="BZ128" s="199">
        <f t="shared" si="343"/>
        <v>889.63212650326545</v>
      </c>
      <c r="CA128" s="196">
        <f>CB128+各项系数!$M$9*$NT128</f>
        <v>910.02600172709401</v>
      </c>
      <c r="CB128" s="196">
        <f>CC128*(1+$CF128+(VLOOKUP($AM128,$A$12:$B$214,2,0))+各项系数!$J$6+各项系数!$M$5)*(1+$E$2)</f>
        <v>905.01654562197189</v>
      </c>
      <c r="CC128" s="197">
        <f>CD128+各项系数!$L$9*$NT$12</f>
        <v>923.48627104282843</v>
      </c>
      <c r="CD128" s="197">
        <f>CE128*(1+$CG128+各项系数!$J$5+各项系数!$L$5)</f>
        <v>923.47800763967348</v>
      </c>
      <c r="CE128" s="199">
        <f t="shared" si="405"/>
        <v>896.5805899414305</v>
      </c>
      <c r="CF128" s="213">
        <f t="shared" si="514"/>
        <v>0</v>
      </c>
      <c r="CG128" s="213">
        <f t="shared" si="344"/>
        <v>0.01</v>
      </c>
      <c r="CH128" s="102"/>
      <c r="CI128" s="196">
        <f>CJ128+各项系数!$M$9*$NO128</f>
        <v>908.59151263644821</v>
      </c>
      <c r="CJ128" s="196">
        <f>CK128*(1+$DC128+(VLOOKUP($AM128,$A$12:$B$323,2,0))+各项系数!$J$6+各项系数!$M$5)*(1+$E$2)+各项系数!$M$9*$NK128</f>
        <v>902.15112279158245</v>
      </c>
      <c r="CK128" s="197">
        <f>CL128+各项系数!$L$9*$NO128</f>
        <v>915.4802423154191</v>
      </c>
      <c r="CL128" s="197">
        <f>CM128*(1+$DD128+各项系数!$J$5+各项系数!$L$5)</f>
        <v>909.03985247055334</v>
      </c>
      <c r="CM128" s="197">
        <f t="shared" si="345"/>
        <v>891.2155416377974</v>
      </c>
      <c r="CN128" s="196">
        <f>CO128+各项系数!$M$9*$NO128</f>
        <v>916.30199036908004</v>
      </c>
      <c r="CO128" s="196">
        <f>CP128*(1+$DC128+(VLOOKUP($AM128,$A$12:$B$323,2,0))+各项系数!$J$6+各项系数!$M$5)*(1+$E$2)+各项系数!$M$9*$NK128</f>
        <v>909.86160052421428</v>
      </c>
      <c r="CP128" s="197">
        <f>CQ128+各项系数!$L$9*$NO128</f>
        <v>923.34807673647197</v>
      </c>
      <c r="CQ128" s="197">
        <f>CR128*(1+$DD128+各项系数!$J$5+各项系数!$L$5)</f>
        <v>916.9076868916062</v>
      </c>
      <c r="CR128" s="197">
        <f t="shared" si="346"/>
        <v>898.9291047956923</v>
      </c>
      <c r="CS128" s="196">
        <f>CT128+各项系数!$M$9*$NU128</f>
        <v>910.45292447441568</v>
      </c>
      <c r="CT128" s="196">
        <f t="shared" si="347"/>
        <v>903.98249610754988</v>
      </c>
      <c r="CU128" s="197">
        <f>CV128+各项系数!$L$9*$NU128</f>
        <v>922.43111847709179</v>
      </c>
      <c r="CV128" s="197">
        <f>CW128*(1+$DD128+各项系数!$J$5+各项系数!$L$5)</f>
        <v>915.96069011022598</v>
      </c>
      <c r="CW128" s="199">
        <f t="shared" si="348"/>
        <v>898.00067657865293</v>
      </c>
      <c r="CX128" s="196">
        <f>CY128+各项系数!$M$9*$NU128</f>
        <v>918.88781968134595</v>
      </c>
      <c r="CY128" s="196">
        <f t="shared" si="349"/>
        <v>912.41739131448014</v>
      </c>
      <c r="CZ128" s="197">
        <f>DA128+各项系数!$L$9*$NU128</f>
        <v>931.03815440253072</v>
      </c>
      <c r="DA128" s="197">
        <f>DB128*(1+$DD128+各项系数!$J$5+各项系数!$L$5)</f>
        <v>924.56772603566492</v>
      </c>
      <c r="DB128" s="199">
        <f t="shared" si="350"/>
        <v>906.43894709378912</v>
      </c>
      <c r="DC128" s="213">
        <f t="shared" si="571"/>
        <v>0</v>
      </c>
      <c r="DD128" s="213">
        <f t="shared" si="351"/>
        <v>0</v>
      </c>
      <c r="DE128" s="53" t="s">
        <v>498</v>
      </c>
      <c r="DF128" s="53" t="s">
        <v>513</v>
      </c>
      <c r="DG128" s="196">
        <f>DH128+各项系数!$M$9*$NQ128</f>
        <v>918.58113097217608</v>
      </c>
      <c r="DH128" s="196">
        <f>DI128*(1+$EA128+(VLOOKUP($AM128,$A$12:$B$323,2,0))+各项系数!$J$6+各项系数!$M$5)*(1+$E$2)+各项系数!$M$9*$NK128</f>
        <v>912.14074112731032</v>
      </c>
      <c r="DI128" s="197">
        <f>DJ128+各项系数!$L$9*$NQ128</f>
        <v>925.67373041310066</v>
      </c>
      <c r="DJ128" s="197">
        <f>DK128*(1+$EB128+各项系数!$J$5+各项系数!$L$5)</f>
        <v>919.23334056823489</v>
      </c>
      <c r="DK128" s="197">
        <f t="shared" si="352"/>
        <v>892.4595539497426</v>
      </c>
      <c r="DL128" s="196">
        <f>DM128+各项系数!$M$9*$NQ128</f>
        <v>925.82493173047874</v>
      </c>
      <c r="DM128" s="196">
        <f>DN128*(1+$EA128+(VLOOKUP($AM128,$A$12:$B$323,2,0))+各项系数!$J$6+各项系数!$M$5)*(1+$E$2)+各项系数!$M$9*$NK128</f>
        <v>919.38454188561298</v>
      </c>
      <c r="DN128" s="197">
        <f>DO128+各项系数!$L$9*$NQ128</f>
        <v>933.06536383994001</v>
      </c>
      <c r="DO128" s="197">
        <f>DP128*(1+$EB128+各项系数!$J$5+各项系数!$L$5)</f>
        <v>926.62497399507424</v>
      </c>
      <c r="DP128" s="197">
        <f t="shared" si="353"/>
        <v>899.63589708259633</v>
      </c>
      <c r="DQ128" s="196">
        <f>DR128+各项系数!$M$9*$NV128</f>
        <v>920.5117087610904</v>
      </c>
      <c r="DR128" s="196">
        <f t="shared" si="354"/>
        <v>914.0412803942246</v>
      </c>
      <c r="DS128" s="197">
        <f>DT128+各项系数!$L$9*$NV128</f>
        <v>932.69518407573946</v>
      </c>
      <c r="DT128" s="197">
        <f>DU128*(1+$EB128+各项系数!$J$5+各项系数!$L$5)</f>
        <v>926.22475570887366</v>
      </c>
      <c r="DU128" s="199">
        <f t="shared" si="355"/>
        <v>899.24733563968312</v>
      </c>
      <c r="DV128" s="196">
        <f>DW128+各项系数!$M$9*$NV128</f>
        <v>918.01894820811697</v>
      </c>
      <c r="DW128" s="196">
        <f t="shared" si="356"/>
        <v>911.54851984125116</v>
      </c>
      <c r="DX128" s="197">
        <f>DY128+各项系数!$L$9*$NV128</f>
        <v>930.15155085841957</v>
      </c>
      <c r="DY128" s="197">
        <f>DZ128*(1+$EB128+各项系数!$J$5+各项系数!$L$5)</f>
        <v>923.68112249155377</v>
      </c>
      <c r="DZ128" s="199">
        <f t="shared" si="357"/>
        <v>896.77778882675125</v>
      </c>
      <c r="EA128" s="213">
        <f t="shared" si="559"/>
        <v>0</v>
      </c>
      <c r="EB128" s="213">
        <f t="shared" si="358"/>
        <v>0.01</v>
      </c>
      <c r="EC128" s="235" t="str">
        <f t="shared" si="408"/>
        <v>3+2</v>
      </c>
      <c r="ED128" s="235" t="str">
        <f t="shared" si="565"/>
        <v>3*400</v>
      </c>
      <c r="EE128" s="189">
        <f t="shared" si="495"/>
        <v>400</v>
      </c>
      <c r="EF128" s="189" t="str">
        <f>LOOKUP(EH128,{1,7,10,14,19,24,30,37,48,61},{1,"1+6","2+8","4+10","1+6+12","2+8+14","4+10+16","1+6+12+18","3+9+15+21","1+6+12+18+24"})</f>
        <v>1+6+12+18+24</v>
      </c>
      <c r="EG128" s="188">
        <f t="shared" si="359"/>
        <v>3</v>
      </c>
      <c r="EH128" s="197">
        <f>VLOOKUP(EE128,各项系数!$B$87:$C$124,2,0)</f>
        <v>61</v>
      </c>
      <c r="EI128" s="188">
        <f>IF(EH128=0,0,VLOOKUP(EH128,各项系数!$D$142:$E$195,2,0))*1</f>
        <v>9</v>
      </c>
      <c r="EJ128" s="238">
        <f t="shared" si="409"/>
        <v>277.18119106381198</v>
      </c>
      <c r="EK128" s="189" t="str">
        <f t="shared" si="566"/>
        <v>2*185</v>
      </c>
      <c r="EL128" s="189" t="str">
        <f t="shared" si="360"/>
        <v>185</v>
      </c>
      <c r="EM128" s="189">
        <f t="shared" si="567"/>
        <v>185</v>
      </c>
      <c r="EN128" s="189" t="str">
        <f>IF(EP128=0,0,LOOKUP(EP128,{1,7,10,14,19,24,30,37,48,61},{1,"1+6","2+8","4+10","1+6+12","2+8+14","4+10+16","1+6+12+18","3+9+15+21","1+6+12+18+24"}))</f>
        <v>1+6+12+18</v>
      </c>
      <c r="EO128" s="189" t="str">
        <f t="shared" si="568"/>
        <v>2</v>
      </c>
      <c r="EP128" s="189">
        <f>IF(EM128=0,0,IF(EM128&lt;10,1,IF(AND(EM128&gt;=10,EM128&lt;=35),7,LOOKUP(EM128,{50,70,95,120,150,185,240,300},{10,14,19,24,30,37,48,61})*1)))</f>
        <v>37</v>
      </c>
      <c r="EQ128" s="189">
        <f>IF(EP128=0,0,VLOOKUP(EP128,各项系数!$D$142:$E$195,2,0))*1</f>
        <v>7</v>
      </c>
      <c r="ER128" s="189">
        <f t="shared" si="569"/>
        <v>245.09808262108001</v>
      </c>
      <c r="ES128" s="235">
        <f t="shared" si="570"/>
        <v>5</v>
      </c>
      <c r="ET128" s="189">
        <f>VLOOKUP(ES128,各项系数!$D$142:$E$195,2,0)*1</f>
        <v>2.7</v>
      </c>
      <c r="EU128" s="243">
        <f>((各项系数!$F$76/4*$EJ128^2*$EG128*$EH128*1*10^-7)*(1-$H128)*AA128)*(VLOOKUP($EY$9,各项系数!$D$4:$F$143,3,0))*各项系数!$J$4</f>
        <v>9.9630772530553333</v>
      </c>
      <c r="EV128" s="244">
        <f>EU128*(VLOOKUP($EY$9,各项系数!$D$4:$F$143,2,0))</f>
        <v>652.58156007512434</v>
      </c>
      <c r="EW128" s="252">
        <f>(IF($EO128=0,0,(各项系数!$F$76/4*$ER128^2*$EO128*$EP128*1*10^-7))*(1-$K128)*$AF128)*(VLOOKUP($EY$9,各项系数!$D$4:$F$143,3,0))*各项系数!$J$4</f>
        <v>3.1346735017576735</v>
      </c>
      <c r="EX128" s="253">
        <f>EW128*(VLOOKUP($EY$9,各项系数!$D$4:$F$143,2,0))</f>
        <v>205.32111436512761</v>
      </c>
      <c r="EY128" s="189">
        <f>((各项系数!$F$76/4*$EJ128^2*$EG128*$EH128*1*10^-7)*(1-$H128)*AA128+IF($EO128=0,0,(各项系数!$F$76/4*$ER128^2*$EO128*$EP128*1*10^-7))*(1-$K128)*$AF128)*(VLOOKUP($EY$9,各项系数!$D$4:$F$143,3,0))*各项系数!$J$4</f>
        <v>13.097750754813008</v>
      </c>
      <c r="EZ128" s="102">
        <v>1</v>
      </c>
      <c r="FA128" s="189">
        <f t="shared" si="515"/>
        <v>13.097750754813008</v>
      </c>
      <c r="FB128" s="254">
        <f>FA128*(VLOOKUP($EY$9,各项系数!$D$4:$F$143,2,0))</f>
        <v>857.90267444025199</v>
      </c>
      <c r="FC128" s="255"/>
      <c r="FD128" s="235">
        <f>各项系数!$F$76/4*($MN128^2-MK128^2)*10^-2*(VLOOKUP(L128,各项系数!$D$1:$F$143,3,0))*10^-3*10^2*$EG128*各项系数!$J$4</f>
        <v>0.55592492409914096</v>
      </c>
      <c r="FE128" s="262">
        <f>FD128*VLOOKUP(L128,各项系数!$D$1:$F$143,2,0)</f>
        <v>5.6704342258112375</v>
      </c>
      <c r="FF128" s="188">
        <f>各项系数!$F$76/4*($MO128^2-ML128^2)*10^-2*(VLOOKUP(L128,各项系数!$D$1:$F$143,3,0))*10^-3*10^2*$EO128*各项系数!$J$4</f>
        <v>0.20638393455834345</v>
      </c>
      <c r="FG128" s="262">
        <f>FF128*VLOOKUP(L128,各项系数!$D$1:$F$143,2,0)</f>
        <v>2.1051161324951031</v>
      </c>
      <c r="FH128" s="235">
        <f t="shared" si="410"/>
        <v>0.76230885865748443</v>
      </c>
      <c r="FI128" s="102">
        <v>1</v>
      </c>
      <c r="FJ128" s="189">
        <f t="shared" si="516"/>
        <v>0.76230885865748443</v>
      </c>
      <c r="FK128" s="262">
        <f>FJ128*VLOOKUP(L128,各项系数!$D$1:$F$143,2,0)</f>
        <v>7.775550358306341</v>
      </c>
      <c r="FL128" s="235"/>
      <c r="FM128" s="102"/>
      <c r="FN128" s="189"/>
      <c r="FO128" s="262"/>
      <c r="FP128" s="282">
        <f t="shared" si="517"/>
        <v>0.76230885865748443</v>
      </c>
      <c r="FQ128" s="282">
        <f t="shared" si="518"/>
        <v>7.775550358306341</v>
      </c>
      <c r="FR128" s="283">
        <f>各项系数!$F$76/4*($MQ128^2-$MN128^2*$EG128-$MO128^2*$EO128)*10^-2</f>
        <v>11.009463433357826</v>
      </c>
      <c r="FS128" s="284">
        <f t="shared" si="411"/>
        <v>1</v>
      </c>
      <c r="FT128" s="285">
        <f t="shared" si="361"/>
        <v>11.009463433357826</v>
      </c>
      <c r="FU128" s="302">
        <f>$FT128*(VLOOKUP($FT$9,各项系数!$D$1:$F$143,3,0))*10^-3*10^2*各项系数!$J$55</f>
        <v>1.3145299339429244</v>
      </c>
      <c r="FV128" s="303">
        <v>1</v>
      </c>
      <c r="FW128" s="304">
        <f t="shared" si="519"/>
        <v>1.3145299339429244</v>
      </c>
      <c r="FX128" s="285">
        <f>FW128*(VLOOKUP($FT$9,各项系数!$D$1:$F$143,2,0))</f>
        <v>3.9435898018287734</v>
      </c>
      <c r="FY128" s="302">
        <f>IF($BK128&lt;&gt;$FY$9,0,各项系数!$F$76/4*($MS128^2-$MQ128^2)*10^-2*(VLOOKUP($FY$9,各项系数!$D$1:$F$143,3,0))*10^-3*10^2)*各项系数!$J$4</f>
        <v>0</v>
      </c>
      <c r="FZ128" s="303">
        <v>1</v>
      </c>
      <c r="GA128" s="304">
        <f t="shared" si="520"/>
        <v>0</v>
      </c>
      <c r="GB128" s="285">
        <f>GA128*(VLOOKUP($FY$9,各项系数!$D$1:$F$143,2,0))</f>
        <v>0</v>
      </c>
      <c r="GC128" s="302">
        <f>IF($BK128&lt;&gt;$GC$9,0,各项系数!$F$76/4*($MS128^2-$MQ128^2)*10^-2*(VLOOKUP($GC$9,各项系数!$D$1:$F$143,3,0))*10^-3*10^2)*各项系数!$J$4</f>
        <v>1.8781426833916263E-2</v>
      </c>
      <c r="GD128" s="303">
        <v>1</v>
      </c>
      <c r="GE128" s="304">
        <f t="shared" si="521"/>
        <v>1.8781426833916263E-2</v>
      </c>
      <c r="GF128" s="285">
        <f>GE128*(VLOOKUP($GC$9,各项系数!$D$1:$F$143,2,0))</f>
        <v>0.24228040615751981</v>
      </c>
      <c r="GG128" s="302">
        <f>IF($BK128&lt;&gt;$GG$9,0,各项系数!$F$76/4*($MS128^2-$MQ128^2)*10^-2*(VLOOKUP($GG$9,各项系数!$D$1:$F$143,3,0))*10^-3*10^2)*各项系数!$J$4</f>
        <v>0</v>
      </c>
      <c r="GH128" s="303">
        <v>1</v>
      </c>
      <c r="GI128" s="304">
        <f t="shared" si="522"/>
        <v>0</v>
      </c>
      <c r="GJ128" s="285">
        <f>GI128*(VLOOKUP($GG$9,各项系数!$D$1:$F$143,2,0))</f>
        <v>0</v>
      </c>
      <c r="GK128" s="302">
        <f>IF($BK128&lt;&gt;$GK$9,0,各项系数!$F$76/4*($MS128^2-$MQ128^2)*10^-2*(VLOOKUP($GK$9,各项系数!$D$1:$F$143,3,0))*10^-3*10^2)*各项系数!$J$4</f>
        <v>0</v>
      </c>
      <c r="GL128" s="303">
        <v>1</v>
      </c>
      <c r="GM128" s="304">
        <f t="shared" si="523"/>
        <v>0</v>
      </c>
      <c r="GN128" s="285">
        <f>GM128*(VLOOKUP($GK$9,各项系数!$D$1:$F$143,2,0))</f>
        <v>0</v>
      </c>
      <c r="GO128" s="304">
        <f t="shared" si="524"/>
        <v>1.8781426833916263E-2</v>
      </c>
      <c r="GP128" s="304">
        <f t="shared" si="525"/>
        <v>0.24228040615751981</v>
      </c>
      <c r="GQ128" s="315">
        <f>各项系数!$F$76/4*($MU128^2-$MS128^2)*10^-2*(VLOOKUP($S128,各项系数!$D$1:$F$143,3,0))*10^-3*10^2*各项系数!$J$4</f>
        <v>1.2797465627662326</v>
      </c>
      <c r="GR128" s="303">
        <v>1</v>
      </c>
      <c r="GS128" s="304">
        <f t="shared" si="526"/>
        <v>1.2797465627662326</v>
      </c>
      <c r="GT128" s="304">
        <f t="shared" si="457"/>
        <v>0</v>
      </c>
      <c r="GU128" s="304">
        <f>ROUND($GS128*(VLOOKUP($S128,各项系数!$D$1:$F$143,2,0))+$E$3*GS128,GT128)</f>
        <v>7</v>
      </c>
      <c r="GV128" s="315">
        <f>各项系数!$F$76/4*($MT128^2-$MS128^2)*10^-2*(VLOOKUP($GV$9,各项系数!$D$1:$F$143,3,0))*10^-3*10^2*各项系数!$J$4*PI()/4*R128</f>
        <v>9.6569275501511828E-2</v>
      </c>
      <c r="GW128" s="303">
        <v>1</v>
      </c>
      <c r="GX128" s="304">
        <f t="shared" si="527"/>
        <v>9.6569275501511828E-2</v>
      </c>
      <c r="GY128" s="304">
        <f>$GX128*(VLOOKUP($GV$9,各项系数!$D$1:$F$143,2,0))</f>
        <v>6.5184260963520488</v>
      </c>
      <c r="GZ128" s="315">
        <f>各项系数!$F$76/4*($MV128^2-$MS128^2)*10^-2*(VLOOKUP($GZ$9,各项系数!$D$1:$F$143,3,0))*10^-3*10^2*各项系数!$J$4</f>
        <v>1.1855109574909815</v>
      </c>
      <c r="HA128" s="303">
        <v>1</v>
      </c>
      <c r="HB128" s="304">
        <f t="shared" si="412"/>
        <v>1.1855109574909815</v>
      </c>
      <c r="HC128" s="304">
        <f>HB128*(VLOOKUP($GZ$9,各项系数!$D$1:$F$143,2,0))</f>
        <v>20.153686277346686</v>
      </c>
      <c r="HD128" s="315">
        <f>各项系数!$F$76/4*($MW128^2-$MT128^2)*10^-2*(VLOOKUP($HD$9,各项系数!$D$1:$F$143,3,0))*10^-3*10^2*各项系数!$J$4</f>
        <v>1.1881216963843386</v>
      </c>
      <c r="HE128" s="303">
        <v>1</v>
      </c>
      <c r="HF128" s="304">
        <f t="shared" si="413"/>
        <v>1.1881216963843386</v>
      </c>
      <c r="HG128" s="304">
        <f>HF128*(VLOOKUP($HD$9,各项系数!$D$1:$F$143,2,0))</f>
        <v>20.198068838533757</v>
      </c>
      <c r="HH128" s="315">
        <f>各项系数!$F$76/4*($MV128^2-$MS128^2)*10^-2*(VLOOKUP($HH$9,各项系数!$D$1:$F$143,3,0))*10^-3*10^2*各项系数!$J$4</f>
        <v>1.1855109574909815</v>
      </c>
      <c r="HI128" s="322">
        <v>1</v>
      </c>
      <c r="HJ128" s="304">
        <f t="shared" si="414"/>
        <v>1.1855109574909815</v>
      </c>
      <c r="HK128" s="304">
        <f>HJ128*(VLOOKUP($HH$9,各项系数!$D$1:$F$143,2,0))</f>
        <v>20.153686277346686</v>
      </c>
      <c r="HL128" s="315">
        <f>各项系数!$F$76/4*($MW128^2-$MT128^2)*10^-2*(VLOOKUP($HL$9,各项系数!$D$1:$F$143,3,0))*10^-3*10^2*各项系数!$J$4</f>
        <v>1.1881216963843386</v>
      </c>
      <c r="HM128" s="322">
        <v>1</v>
      </c>
      <c r="HN128" s="304">
        <f t="shared" si="362"/>
        <v>1.1881216963843386</v>
      </c>
      <c r="HO128" s="304">
        <f>HN128*(VLOOKUP($HL$9,各项系数!$D$1:$F$143,2,0))</f>
        <v>20.198068838533757</v>
      </c>
      <c r="HP128" s="315">
        <f>各项系数!$F$76/4*($MV128^2-$MS128^2)*10^-2*(VLOOKUP(AN128,各项系数!$D$1:$F$143,3,0))*10^-3*10^2*各项系数!$J$4</f>
        <v>1.2018628327667193</v>
      </c>
      <c r="HQ128" s="303">
        <v>1</v>
      </c>
      <c r="HR128" s="304">
        <f t="shared" si="528"/>
        <v>1.2018628327667193</v>
      </c>
      <c r="HS128" s="304">
        <f>HR128*(VLOOKUP(AN128,各项系数!$D$1:$F$143,2,0))</f>
        <v>12.018628327667194</v>
      </c>
      <c r="HT128" s="315">
        <f>各项系数!$F$76/4*($MW128^2-$MT128^2)*10^-2*(VLOOKUP(AN128,各项系数!$D$1:$F$143,3,0))*10^-3*10^2*各项系数!$J$4</f>
        <v>1.2045095818517089</v>
      </c>
      <c r="HU128" s="303">
        <v>1</v>
      </c>
      <c r="HV128" s="304">
        <f t="shared" si="529"/>
        <v>1.2045095818517089</v>
      </c>
      <c r="HW128" s="304">
        <f>HV128*(VLOOKUP(AN128,各项系数!$D$1:$F$143,2,0))</f>
        <v>12.045095818517089</v>
      </c>
      <c r="HX128" s="315">
        <f>各项系数!$F$76/4*($MV128^2-$MS128^2)*10^-2*(VLOOKUP($HX$9,各项系数!$D$1:$F$143,3,0))*10^-3*10^2*各项系数!$J$4</f>
        <v>1.2018628327667193</v>
      </c>
      <c r="HY128" s="322">
        <v>1</v>
      </c>
      <c r="HZ128" s="304">
        <f t="shared" si="530"/>
        <v>1.2018628327667193</v>
      </c>
      <c r="IA128" s="304">
        <f>HZ128*(VLOOKUP($HX$9,各项系数!$D$1:$F$143,2,0))</f>
        <v>13.220491160433912</v>
      </c>
      <c r="IB128" s="315">
        <f>各项系数!$F$76/4*($MW128^2-$MT128^2)*10^-2*(VLOOKUP($IB$9,各项系数!$D$1:$F$143,3,0))*10^-3*10^2*各项系数!$J$4</f>
        <v>1.2045095818517089</v>
      </c>
      <c r="IC128" s="322">
        <v>1</v>
      </c>
      <c r="ID128" s="304">
        <f t="shared" si="531"/>
        <v>1.2045095818517089</v>
      </c>
      <c r="IE128" s="304">
        <f>ID128*(VLOOKUP($IB$9,各项系数!$D$1:$F$143,2,0))</f>
        <v>13.249605400368797</v>
      </c>
      <c r="IF128" s="328"/>
      <c r="IG128" s="315">
        <f t="shared" si="415"/>
        <v>0.15564934547285278</v>
      </c>
      <c r="IH128" s="303">
        <v>1</v>
      </c>
      <c r="II128" s="304">
        <f t="shared" si="532"/>
        <v>0.15564934547285278</v>
      </c>
      <c r="IJ128" s="304">
        <f>II128*(VLOOKUP($IG$8,各项系数!$D$1:$F$143,2,0))</f>
        <v>3.8912336368213194</v>
      </c>
      <c r="IK128" s="315">
        <f>(各项系数!$F$76/4*($MX128^2-$MK128^2)*$EG128)*10^-2*(VLOOKUP($IG$8,各项系数!$D$1:$F$143,3,0))*10^-3*10^2*各项系数!$J$4</f>
        <v>0.10653801092871769</v>
      </c>
      <c r="IL128" s="303">
        <f>IK128*(VLOOKUP($IG$8,各项系数!$D$1:$F$143,2,0))</f>
        <v>2.6634502732179421</v>
      </c>
      <c r="IM128" s="304">
        <f>(各项系数!$F$76/4*(($MM128+3*$X128)^2-MM128^2)*$EO128)*10^-2*(VLOOKUP($IG$8,各项系数!$D$1:$F$143,3,0))*10^-3*10^2*各项系数!$J$4</f>
        <v>4.9111334544135084E-2</v>
      </c>
      <c r="IN128" s="303">
        <f>IM128*(VLOOKUP($IG$8,各项系数!$D$1:$F$143,2,0))</f>
        <v>1.227783363603377</v>
      </c>
      <c r="IO128" s="315">
        <f>各项系数!$F$76/4*($MZ128^2-$MX128^2)*10^-2*(VLOOKUP(L128,各项系数!$D$1:$F$143,3,0))*10^-3*10^2*$ES128*各项系数!$J$4</f>
        <v>0.94717237912135877</v>
      </c>
      <c r="IP128" s="303">
        <v>1</v>
      </c>
      <c r="IQ128" s="304">
        <f t="shared" si="533"/>
        <v>0.94717237912135877</v>
      </c>
      <c r="IR128" s="285">
        <f>IQ128*(VLOOKUP(L128,各项系数!$D$1:$F$143,2,0))</f>
        <v>9.6611582670378588</v>
      </c>
      <c r="IS128" s="315">
        <f>IF($L128&lt;&gt;$IS$9,0,各项系数!$F$76/4*($MZ128^2-$MX128^2)*10^-2*各项系数!$F$12*10^-3*10^2)*$ES128*各项系数!$J$4</f>
        <v>0</v>
      </c>
      <c r="IT128" s="303">
        <v>1</v>
      </c>
      <c r="IU128" s="304">
        <f t="shared" si="534"/>
        <v>0</v>
      </c>
      <c r="IV128" s="285">
        <f>IU128*各项系数!$E$12</f>
        <v>0</v>
      </c>
      <c r="IW128" s="302">
        <f t="shared" si="535"/>
        <v>0.94717237912135877</v>
      </c>
      <c r="IX128" s="302">
        <f t="shared" si="536"/>
        <v>9.6611582670378588</v>
      </c>
      <c r="IY128" s="339">
        <f>各项系数!$F$76/4*($NB128^2-$MZ128^2*$EG128-$NA128^2*$EO128)*10^-2</f>
        <v>11.99241401677412</v>
      </c>
      <c r="IZ128" s="284">
        <f t="shared" si="487"/>
        <v>1</v>
      </c>
      <c r="JA128" s="285">
        <f t="shared" si="363"/>
        <v>11.99241401677412</v>
      </c>
      <c r="JB128" s="282">
        <f>IF($DE128&lt;&gt;$JB$9,0,$JA128*各项系数!$F$32*10^-3*10^2)*各项系数!$J$4</f>
        <v>0</v>
      </c>
      <c r="JC128" s="102">
        <v>1</v>
      </c>
      <c r="JD128" s="189">
        <f t="shared" si="537"/>
        <v>0</v>
      </c>
      <c r="JE128" s="262">
        <f>JD128*各项系数!$E$32</f>
        <v>0</v>
      </c>
      <c r="JF128" s="282">
        <f>IF($DE128&lt;&gt;$JF$9,0,$JA128*VLOOKUP($JF$9,各项系数!$D$4:$F$540,2,0)*10^-3*10^2)*各项系数!$J$4</f>
        <v>5.9662259733451251</v>
      </c>
      <c r="JG128" s="102">
        <v>1</v>
      </c>
      <c r="JH128" s="189">
        <f t="shared" si="364"/>
        <v>5.9662259733451251</v>
      </c>
      <c r="JI128" s="262">
        <f>JH128*VLOOKUP($JF$9,各项系数!$D$4:$F$540,3,0)</f>
        <v>7.1594711680141501</v>
      </c>
      <c r="JJ128" s="282">
        <f t="shared" si="538"/>
        <v>5.9662259733451251</v>
      </c>
      <c r="JK128" s="189">
        <f t="shared" si="539"/>
        <v>7.1594711680141501</v>
      </c>
      <c r="JL128" s="282">
        <f>IF($DF128&lt;&gt;$JL$9,0,各项系数!$F$76/4*($NE128^2-$NC128^2)*10^-2*各项系数!$F$39*10^-3*10^2)*各项系数!$J$4</f>
        <v>8.0440503110146243E-3</v>
      </c>
      <c r="JM128" s="102">
        <v>1</v>
      </c>
      <c r="JN128" s="189">
        <f t="shared" si="540"/>
        <v>8.0440503110146243E-3</v>
      </c>
      <c r="JO128" s="262">
        <f>JN128*各项系数!$E$39</f>
        <v>0.1608810062202925</v>
      </c>
      <c r="JP128" s="282">
        <f>IF($DF128&lt;&gt;$JP$9,0,各项系数!$F$76/4*($NE128^2-$NC128^2)*10^-2*各项系数!$F$36*10^-3*10^2)*各项系数!$J$4</f>
        <v>0</v>
      </c>
      <c r="JQ128" s="102">
        <v>1</v>
      </c>
      <c r="JR128" s="189">
        <f t="shared" si="541"/>
        <v>0</v>
      </c>
      <c r="JS128" s="262">
        <f>JR128*各项系数!$E$36</f>
        <v>0</v>
      </c>
      <c r="JT128" s="282">
        <f>IF($DF128&lt;&gt;$JT$9,0,各项系数!$F$76/4*($NE128^2-$NC128^2)*10^-2*各项系数!$F$40*10^-3*10^2)*各项系数!$J$4</f>
        <v>0</v>
      </c>
      <c r="JU128" s="102">
        <v>1</v>
      </c>
      <c r="JV128" s="189">
        <f t="shared" si="542"/>
        <v>0</v>
      </c>
      <c r="JW128" s="262">
        <f>JV128*各项系数!$E$40</f>
        <v>0</v>
      </c>
      <c r="JX128" s="282">
        <f>IF($DF128&lt;&gt;$JX$9,0,各项系数!$F$76/4*($NE128^2-$NC128^2)*10^-2*各项系数!$F$38*10^-3*10^2)*各项系数!$J$4</f>
        <v>0</v>
      </c>
      <c r="JY128" s="102">
        <v>1</v>
      </c>
      <c r="JZ128" s="189">
        <f t="shared" si="543"/>
        <v>0</v>
      </c>
      <c r="KA128" s="262">
        <f>JZ128*各项系数!$E$38</f>
        <v>0</v>
      </c>
      <c r="KB128" s="282">
        <f>IF($DF128&lt;&gt;$KB$9,0,各项系数!$F$76/4*($NE128^2-$NC128^2)*10^-2*各项系数!$F$41*10^-3*10^2)*各项系数!$J$4</f>
        <v>0</v>
      </c>
      <c r="KC128" s="102">
        <v>1</v>
      </c>
      <c r="KD128" s="189">
        <f t="shared" si="544"/>
        <v>0</v>
      </c>
      <c r="KE128" s="262">
        <f>KD128*各项系数!$E$41</f>
        <v>0</v>
      </c>
      <c r="KF128" s="189">
        <f t="shared" si="545"/>
        <v>8.0440503110146243E-3</v>
      </c>
      <c r="KG128" s="189">
        <f t="shared" si="546"/>
        <v>0.1608810062202925</v>
      </c>
      <c r="KH128" s="235">
        <f>各项系数!$F$76/4*($NG128^2-$NE128^2)*10^-2*各项系数!$F$44*10^-3*10^2*各项系数!$J$4*0.75*$U128</f>
        <v>1.989689769144138</v>
      </c>
      <c r="KI128" s="102">
        <v>1</v>
      </c>
      <c r="KJ128" s="189">
        <f t="shared" si="547"/>
        <v>1.989689769144138</v>
      </c>
      <c r="KK128" s="189">
        <f>ROUND(KJ128*各项系数!$E$43,GT128)</f>
        <v>12</v>
      </c>
      <c r="KL128" s="235">
        <f>各项系数!$F$76/4*($NF128^2-$NE128^2)*10^-2*各项系数!$F$46*10^-3*10^2*各项系数!$J$4*PI()/4*R128</f>
        <v>0.10012840666674959</v>
      </c>
      <c r="KM128" s="102">
        <v>1</v>
      </c>
      <c r="KN128" s="189">
        <f t="shared" si="548"/>
        <v>0.10012840666674959</v>
      </c>
      <c r="KO128" s="189">
        <f>KN128*各项系数!$E$46</f>
        <v>6.7586674500055972</v>
      </c>
      <c r="KP128" s="235">
        <f>各项系数!$F$76/4*($NH128^2-$NE128^2)*10^-2*(VLOOKUP($KP$9,各项系数!$D$1:$F$143,3,0))*10^-3*10^2*各项系数!$J$4</f>
        <v>1.2270869743676889</v>
      </c>
      <c r="KQ128" s="102">
        <v>1</v>
      </c>
      <c r="KR128" s="189">
        <f t="shared" si="416"/>
        <v>1.2270869743676889</v>
      </c>
      <c r="KS128" s="189">
        <f>KR128*(VLOOKUP($KP$9,各项系数!$D$1:$F$143,2,0))</f>
        <v>20.860478564250712</v>
      </c>
      <c r="KT128" s="235">
        <f>各项系数!$F$76/4*($NI128^2-$NF128^2)*10^-2*(VLOOKUP($KT$9,各项系数!$D$1:$F$143,3,0))*10^-3*10^2*各项系数!$J$4</f>
        <v>1.229697713261046</v>
      </c>
      <c r="KU128" s="102">
        <v>1</v>
      </c>
      <c r="KV128" s="189">
        <f t="shared" si="417"/>
        <v>1.229697713261046</v>
      </c>
      <c r="KW128" s="189">
        <f>KV128*(VLOOKUP($KT$9,各项系数!$D$1:$F$143,2,0))</f>
        <v>20.904861125437783</v>
      </c>
      <c r="KX128" s="189">
        <f>各项系数!$F$76/4*($NH128^2-$NE128^2)*10^-2*(VLOOKUP($KX$9,各项系数!$D$1:$F$143,3,0))*10^-3*10^2*各项系数!$J$4</f>
        <v>1.2270869743676889</v>
      </c>
      <c r="KY128" s="353">
        <v>1</v>
      </c>
      <c r="KZ128" s="189">
        <f t="shared" si="418"/>
        <v>1.2270869743676889</v>
      </c>
      <c r="LA128" s="189">
        <f>KZ128*(VLOOKUP($KX$9,各项系数!$D$1:$F$143,2,0))</f>
        <v>20.860478564250712</v>
      </c>
      <c r="LB128" s="189">
        <f>各项系数!$F$76/4*($NI128^2-$NF128^2)*10^-2*(VLOOKUP($LB$9,各项系数!$D$1:$F$143,3,0))*10^-3*10^2*各项系数!$J$4</f>
        <v>1.229697713261046</v>
      </c>
      <c r="LC128" s="353">
        <v>1</v>
      </c>
      <c r="LD128" s="189">
        <f t="shared" si="419"/>
        <v>1.229697713261046</v>
      </c>
      <c r="LE128" s="189">
        <f>LD128*(VLOOKUP($LB$9,各项系数!$D$1:$F$143,2,0))</f>
        <v>20.904861125437783</v>
      </c>
      <c r="LF128" s="235">
        <f>各项系数!$F$76/4*($NH128^2-$NE128^2)*10^-2*(VLOOKUP(AN128,各项系数!$D$1:$F$143,3,0))*10^-3*10^2*各项系数!$J$4</f>
        <v>1.2440123119451745</v>
      </c>
      <c r="LG128" s="102">
        <v>1</v>
      </c>
      <c r="LH128" s="189">
        <f t="shared" si="549"/>
        <v>1.2440123119451745</v>
      </c>
      <c r="LI128" s="189">
        <f>LH128*(VLOOKUP(AN128,各项系数!$D$1:$F$143,2,0))</f>
        <v>12.440123119451744</v>
      </c>
      <c r="LJ128" s="235">
        <f>各项系数!$F$76/4*($NI128^2-$NF128^2)*10^-2*(VLOOKUP(AN128,各项系数!$D$1:$F$143,3,0))*10^-3*10^2*各项系数!$J$4</f>
        <v>1.246659061030164</v>
      </c>
      <c r="LK128" s="102">
        <v>1</v>
      </c>
      <c r="LL128" s="189">
        <f t="shared" si="550"/>
        <v>1.246659061030164</v>
      </c>
      <c r="LM128" s="189">
        <f>LL128*(VLOOKUP(AN128,各项系数!$D$1:$F$143,2,0))</f>
        <v>12.46659061030164</v>
      </c>
      <c r="LN128" s="189">
        <f>各项系数!$F$76/4*($NH128^2-$NE128^2)*10^-2*(VLOOKUP($LN$9,各项系数!$D$1:$F$143,3,0))*10^-3*10^2*各项系数!$J$4</f>
        <v>1.2440123119451745</v>
      </c>
      <c r="LO128" s="353">
        <v>1</v>
      </c>
      <c r="LP128" s="189">
        <f t="shared" si="551"/>
        <v>1.2440123119451745</v>
      </c>
      <c r="LQ128" s="189">
        <f>LP128*(VLOOKUP($LN$9,各项系数!$D$1:$F$143,2,0))</f>
        <v>13.684135431396919</v>
      </c>
      <c r="LR128" s="189">
        <f>各项系数!$F$76/4*($NI128^2-$NF128^2)*10^-2*(VLOOKUP($LR$9,各项系数!$D$1:$F$143,3,0))*10^-3*10^2*各项系数!$J$4</f>
        <v>1.246659061030164</v>
      </c>
      <c r="LS128" s="353">
        <v>1</v>
      </c>
      <c r="LT128" s="189">
        <f t="shared" si="552"/>
        <v>1.246659061030164</v>
      </c>
      <c r="LU128" s="189">
        <f>LT128*(VLOOKUP($LR$9,各项系数!$D$1:$F$143,2,0))</f>
        <v>13.713249671331804</v>
      </c>
      <c r="LV128" s="227">
        <f t="shared" si="420"/>
        <v>1466.30281393</v>
      </c>
      <c r="LW128" s="227">
        <f t="shared" si="421"/>
        <v>1104.25273642</v>
      </c>
      <c r="LX128" s="227">
        <f t="shared" si="422"/>
        <v>37.496376510163735</v>
      </c>
      <c r="LY128" s="227">
        <f t="shared" si="423"/>
        <v>362.05007750999994</v>
      </c>
      <c r="LZ128" s="374">
        <f t="shared" si="365"/>
        <v>1</v>
      </c>
      <c r="MA128" s="375">
        <f t="shared" si="366"/>
        <v>1466.30281393</v>
      </c>
      <c r="MB128" s="375">
        <f t="shared" si="424"/>
        <v>24.946307189999999</v>
      </c>
      <c r="MC128" s="227">
        <f t="shared" si="425"/>
        <v>462.37653351</v>
      </c>
      <c r="MD128" s="227">
        <f t="shared" si="426"/>
        <v>349.14146516</v>
      </c>
      <c r="ME128" s="227">
        <f t="shared" si="427"/>
        <v>21.084134322956825</v>
      </c>
      <c r="MF128" s="227">
        <f t="shared" si="428"/>
        <v>113.23506835000001</v>
      </c>
      <c r="MG128" s="374">
        <f t="shared" si="429"/>
        <v>1</v>
      </c>
      <c r="MH128" s="375">
        <f t="shared" si="367"/>
        <v>462.37653351</v>
      </c>
      <c r="MI128" s="375">
        <f t="shared" si="430"/>
        <v>17.156865783447966</v>
      </c>
      <c r="MJ128" s="189">
        <f t="shared" si="368"/>
        <v>24.946307189999999</v>
      </c>
      <c r="MK128" s="189">
        <f t="shared" si="431"/>
        <v>24.946307189999999</v>
      </c>
      <c r="ML128" s="189">
        <f t="shared" si="553"/>
        <v>17.156865783475602</v>
      </c>
      <c r="MM128" s="189">
        <f t="shared" si="369"/>
        <v>17.156865783447966</v>
      </c>
      <c r="MN128" s="189">
        <f t="shared" si="370"/>
        <v>28.946307189999999</v>
      </c>
      <c r="MO128" s="189">
        <f t="shared" si="432"/>
        <v>20.356865783447965</v>
      </c>
      <c r="MP128" s="189">
        <f t="shared" si="433"/>
        <v>68.878432689999997</v>
      </c>
      <c r="MQ128" s="189">
        <f t="shared" si="554"/>
        <v>68.878432689999997</v>
      </c>
      <c r="MR128" s="246">
        <f t="shared" si="434"/>
        <v>68.878432689999997</v>
      </c>
      <c r="MS128" s="380">
        <f t="shared" si="371"/>
        <v>69.054432689999999</v>
      </c>
      <c r="MT128" s="380">
        <f t="shared" si="372"/>
        <v>69.214432689999995</v>
      </c>
      <c r="MU128" s="380">
        <f t="shared" si="373"/>
        <v>70.554432689999999</v>
      </c>
      <c r="MV128" s="380">
        <f t="shared" si="374"/>
        <v>76.254432690000002</v>
      </c>
      <c r="MW128" s="380">
        <f t="shared" si="375"/>
        <v>76.414432689999998</v>
      </c>
      <c r="MX128" s="254">
        <f t="shared" si="376"/>
        <v>25.54630719</v>
      </c>
      <c r="MY128" s="254">
        <f t="shared" si="377"/>
        <v>17.756865783447967</v>
      </c>
      <c r="MZ128" s="189">
        <f t="shared" si="378"/>
        <v>29.54630719</v>
      </c>
      <c r="NA128" s="189">
        <f t="shared" si="379"/>
        <v>21.756865783447967</v>
      </c>
      <c r="NB128" s="189">
        <f t="shared" si="435"/>
        <v>71.362432690000006</v>
      </c>
      <c r="NC128" s="254">
        <f t="shared" si="555"/>
        <v>71.362432690000006</v>
      </c>
      <c r="ND128" s="246">
        <f t="shared" si="436"/>
        <v>71.362432690000006</v>
      </c>
      <c r="NE128" s="386">
        <f t="shared" si="437"/>
        <v>71.602432690000001</v>
      </c>
      <c r="NF128" s="380">
        <f t="shared" si="380"/>
        <v>71.762432689999997</v>
      </c>
      <c r="NG128" s="387">
        <f t="shared" si="381"/>
        <v>73.102432690000001</v>
      </c>
      <c r="NH128" s="254">
        <f t="shared" si="382"/>
        <v>78.802432690000003</v>
      </c>
      <c r="NI128" s="380">
        <f t="shared" si="383"/>
        <v>78.96243269</v>
      </c>
      <c r="NK128" s="388">
        <f t="shared" si="384"/>
        <v>16.601617741572397</v>
      </c>
      <c r="NL128" s="388">
        <f t="shared" si="385"/>
        <v>883.98783946670699</v>
      </c>
      <c r="NM128" s="388">
        <f t="shared" si="386"/>
        <v>16.601617741572397</v>
      </c>
      <c r="NN128" s="388">
        <f t="shared" si="387"/>
        <v>885.18970229947365</v>
      </c>
      <c r="NO128" s="388">
        <f t="shared" si="388"/>
        <v>21.467966149552666</v>
      </c>
      <c r="NP128" s="388">
        <f t="shared" si="389"/>
        <v>892.44332500140069</v>
      </c>
      <c r="NQ128" s="388">
        <f t="shared" si="390"/>
        <v>21.467966149552666</v>
      </c>
      <c r="NR128" s="388">
        <f t="shared" si="391"/>
        <v>893.68733731334601</v>
      </c>
      <c r="NS128" s="388">
        <f t="shared" si="392"/>
        <v>16.698187017073909</v>
      </c>
      <c r="NT128" s="388">
        <f t="shared" si="393"/>
        <v>16.698187017073909</v>
      </c>
      <c r="NU128" s="388">
        <f t="shared" si="394"/>
        <v>21.568094556219414</v>
      </c>
      <c r="NV128" s="388">
        <f t="shared" si="395"/>
        <v>21.568094556219414</v>
      </c>
      <c r="NW128">
        <f t="shared" si="396"/>
        <v>17.881364304338629</v>
      </c>
      <c r="NX128">
        <f>各项系数!$M$9*NK128</f>
        <v>4.9804853224717194</v>
      </c>
      <c r="NY128">
        <f t="shared" si="397"/>
        <v>16.698187017073906</v>
      </c>
    </row>
    <row r="129" spans="1:389" ht="15" hidden="1" customHeight="1">
      <c r="A129" s="69"/>
      <c r="B129" s="70"/>
      <c r="C129" s="71"/>
      <c r="D129" s="198" t="s">
        <v>934</v>
      </c>
      <c r="E129" s="54">
        <f t="shared" si="560"/>
        <v>86.086865619999998</v>
      </c>
      <c r="F129" s="68">
        <f>$F$33</f>
        <v>314.10304232929502</v>
      </c>
      <c r="G129" s="58"/>
      <c r="H129" s="16"/>
      <c r="I129" s="145">
        <f>$F$30</f>
        <v>246.701228113631</v>
      </c>
      <c r="J129" s="62"/>
      <c r="K129" s="16"/>
      <c r="L129" s="97" t="s">
        <v>467</v>
      </c>
      <c r="M129" s="103">
        <f t="shared" si="339"/>
        <v>2.2000000000000002</v>
      </c>
      <c r="N129" s="103">
        <f t="shared" si="501"/>
        <v>1.7</v>
      </c>
      <c r="O129" s="53">
        <f t="shared" si="572"/>
        <v>0.08</v>
      </c>
      <c r="P129" s="99">
        <v>0.1</v>
      </c>
      <c r="Q129" s="133">
        <f t="shared" si="557"/>
        <v>0.1</v>
      </c>
      <c r="R129" s="70">
        <v>0.8</v>
      </c>
      <c r="S129" s="142" t="str">
        <f>各项系数!$D$43</f>
        <v>钢带</v>
      </c>
      <c r="T129" s="62">
        <v>0.5</v>
      </c>
      <c r="U129" s="62">
        <v>2</v>
      </c>
      <c r="V129" s="143"/>
      <c r="W129" s="145">
        <v>3.8</v>
      </c>
      <c r="X129" s="135">
        <f t="shared" si="558"/>
        <v>0.2</v>
      </c>
      <c r="Y129" s="135"/>
      <c r="Z129" s="168"/>
      <c r="AA129" s="153">
        <f>$AA$33</f>
        <v>1.02</v>
      </c>
      <c r="AB129" s="153">
        <f>PI()*EJ129*EJ129/4*EH129*(1-H129)*AA129*各项系数!$F$5*各项系数!$J$4*10^-7</f>
        <v>4.2647051993952481</v>
      </c>
      <c r="AC129" s="153">
        <f t="shared" si="561"/>
        <v>314.10304232929502</v>
      </c>
      <c r="AD129" s="153">
        <f t="shared" si="341"/>
        <v>482.13002011127043</v>
      </c>
      <c r="AE129" s="153">
        <f>POWER(4*EU129/PI()/EG129/10^-7/EH129/(1-H129)/各项系数!$F$5/各项系数!$J$4,0.5)</f>
        <v>317.22852271592683</v>
      </c>
      <c r="AF129" s="69">
        <f>$AA$30</f>
        <v>1.0149999999999999</v>
      </c>
      <c r="AG129" s="69">
        <f>IF(EM129=0,0,PI()*ER129*ER129/4*EP129*(1-K129)*(1+AF129)*各项系数!$F$5*各项系数!$J$4*10^-7)</f>
        <v>4.0895322170671538</v>
      </c>
      <c r="AH129" s="69">
        <f t="shared" si="562"/>
        <v>246.701228113631</v>
      </c>
      <c r="AI129" s="69">
        <f t="shared" si="398"/>
        <v>232.88407080035392</v>
      </c>
      <c r="AJ129" s="69">
        <f>IF(OR(EP129="",EP129=0),0,POWER(4*EW129/PI()/EO129/10^-7/EP129/(1-K129)/各项系数!$F$5/各项系数!$J$4,0.5))</f>
        <v>248.54460040818714</v>
      </c>
      <c r="AK129" s="69">
        <f t="shared" si="342"/>
        <v>16.914090983121884</v>
      </c>
      <c r="AL129" s="69">
        <f t="shared" si="563"/>
        <v>1172.4847088036793</v>
      </c>
      <c r="AM129" s="106">
        <f t="shared" si="564"/>
        <v>500</v>
      </c>
      <c r="AN129" s="97" t="s">
        <v>486</v>
      </c>
      <c r="AO129" s="196">
        <f>AP129+各项系数!$M$9*$NK129</f>
        <v>1149.4948125526266</v>
      </c>
      <c r="AP129" s="196">
        <f>AQ129*(1+$BI129+(VLOOKUP($AM129,$A$12:$B$323,2,0))+各项系数!$J$6+各项系数!$M$5)*(1+$E$2)</f>
        <v>1143.1091182601701</v>
      </c>
      <c r="AQ129" s="197">
        <f>AR129+各项系数!$L$9*$NK129</f>
        <v>1166.4378757756838</v>
      </c>
      <c r="AR129" s="197">
        <f>AS129*(1+$BJ129+各项系数!$J$5+各项系数!$L$5)</f>
        <v>1160.0521814832273</v>
      </c>
      <c r="AS129" s="197">
        <f t="shared" si="399"/>
        <v>1137.3060602776739</v>
      </c>
      <c r="AT129" s="196">
        <f>AU129+各项系数!$M$9*$NM129</f>
        <v>1159.2163823418134</v>
      </c>
      <c r="AU129" s="196">
        <f>AV129*(1+$BI129+(VLOOKUP($AM129,$A$12:$B$323,2,0))+各项系数!$J$6+各项系数!$M$5)*(1+$E$2)</f>
        <v>1152.8306880493569</v>
      </c>
      <c r="AV129" s="197">
        <f>AW129+各项系数!$L$9*$NM129</f>
        <v>1176.3578449483234</v>
      </c>
      <c r="AW129" s="197">
        <f>AX129*(1+$BJ129+各项系数!$J$5+各项系数!$L$5)</f>
        <v>1169.9721506558669</v>
      </c>
      <c r="AX129" s="197">
        <f t="shared" si="400"/>
        <v>1147.03152025085</v>
      </c>
      <c r="AY129" s="196">
        <f>AZ129+各项系数!$M$9*$NS129</f>
        <v>1156.9927393763496</v>
      </c>
      <c r="AZ129" s="196">
        <f>BA129*(1+$BI129+(VLOOKUP($AM129,$A$12:$B$214,2,0))+各项系数!$J$6+各项系数!$M$5)*(1+$E$2)</f>
        <v>1150.5741216404099</v>
      </c>
      <c r="BA129" s="197">
        <f>BB129+各项系数!$L$9*$NS129</f>
        <v>1174.0552261636835</v>
      </c>
      <c r="BB129" s="197">
        <f>BC129*(1+$BJ129+各项系数!$J$5+各项系数!$L$5)</f>
        <v>1167.6366084277438</v>
      </c>
      <c r="BC129" s="199">
        <f t="shared" si="401"/>
        <v>1144.7417729683762</v>
      </c>
      <c r="BD129" s="196">
        <f>BE129+各项系数!$M$9*$NS129</f>
        <v>1166.733211953418</v>
      </c>
      <c r="BE129" s="196">
        <f>BF129*(1+$BI129+(VLOOKUP($AM129,$A$12:$B$214,2,0))+各项系数!$J$6+各项系数!$M$5)*(1+$E$2)</f>
        <v>1160.3145942174783</v>
      </c>
      <c r="BF129" s="197">
        <f>BG129+各项系数!$L$9*$NS129</f>
        <v>1183.9944838953861</v>
      </c>
      <c r="BG129" s="197">
        <f>BH129*(1+$BJ129+各项系数!$J$5+各项系数!$L$5)</f>
        <v>1177.5758661594464</v>
      </c>
      <c r="BH129" s="199">
        <f t="shared" si="402"/>
        <v>1154.486143293575</v>
      </c>
      <c r="BI129" s="213"/>
      <c r="BJ129" s="208"/>
      <c r="BK129" s="53" t="s">
        <v>514</v>
      </c>
      <c r="BL129" s="196">
        <f>BM129+各项系数!$M$9*$NM129</f>
        <v>1162.0907448646019</v>
      </c>
      <c r="BM129" s="196">
        <f>BN129*(1+$CF129+(VLOOKUP($AM129,$A$12:$B$323,2,0))+各项系数!$J$6+各项系数!$M$5)*(1+$E$2)</f>
        <v>1155.7050505721454</v>
      </c>
      <c r="BN129" s="197">
        <f>BO129+各项系数!$L$9*$NM129</f>
        <v>1179.2908679307607</v>
      </c>
      <c r="BO129" s="197">
        <f>BP129*(1+$CG129+各项系数!$J$5+各项系数!$L$5)</f>
        <v>1172.9051736383042</v>
      </c>
      <c r="BP129" s="197">
        <f t="shared" si="403"/>
        <v>1138.7428870274798</v>
      </c>
      <c r="BQ129" s="196">
        <f>BR129+各项系数!$M$9*$NM129</f>
        <v>1170.4572912402718</v>
      </c>
      <c r="BR129" s="196">
        <f>BS129*(1+$CF129+(VLOOKUP($AM129,$A$12:$B$323,2,0))+各项系数!$J$6+各项系数!$M$5)*(1+$E$2)</f>
        <v>1164.0715969478154</v>
      </c>
      <c r="BS129" s="197">
        <f>BT129+各项系数!$L$9*$NM129</f>
        <v>1187.828160150832</v>
      </c>
      <c r="BT129" s="197">
        <f>BU129*(1+$CG129+各项系数!$J$5+各项系数!$L$5)</f>
        <v>1181.4424658583755</v>
      </c>
      <c r="BU129" s="197">
        <f t="shared" si="404"/>
        <v>1147.03152025085</v>
      </c>
      <c r="BV129" s="196">
        <f>BW129+各项系数!$M$9*$NT129</f>
        <v>1163.382214478898</v>
      </c>
      <c r="BW129" s="196">
        <f>BX129*(1+$CF129+(VLOOKUP($AM129,$A$12:$B$214,2,0))+各项系数!$J$6+各项系数!$M$5)*(1+$E$2)</f>
        <v>1156.9635967429583</v>
      </c>
      <c r="BX129" s="197">
        <f>BY129+各项系数!$L$9*$NT$12</f>
        <v>1180.5750987173044</v>
      </c>
      <c r="BY129" s="197">
        <f>BZ129*(1+$CG129+各项系数!$J$5+各项系数!$L$5)</f>
        <v>1180.5668353141493</v>
      </c>
      <c r="BZ129" s="199">
        <f t="shared" si="343"/>
        <v>1146.1813935088828</v>
      </c>
      <c r="CA129" s="196">
        <f>CB129+各项系数!$M$9*$NT129</f>
        <v>1171.7650289115663</v>
      </c>
      <c r="CB129" s="196">
        <f>CC129*(1+$CF129+(VLOOKUP($AM129,$A$12:$B$214,2,0))+各项系数!$J$6+各项系数!$M$5)*(1+$E$2)</f>
        <v>1165.3464111756266</v>
      </c>
      <c r="CC129" s="197">
        <f>CD129+各项系数!$L$9*$NT$12</f>
        <v>1189.1289909955374</v>
      </c>
      <c r="CD129" s="197">
        <f>CE129*(1+$CG129+各项系数!$J$5+各项系数!$L$5)</f>
        <v>1189.1207275923823</v>
      </c>
      <c r="CE129" s="199">
        <f t="shared" si="405"/>
        <v>1154.486143293575</v>
      </c>
      <c r="CF129" s="213">
        <f t="shared" si="514"/>
        <v>0</v>
      </c>
      <c r="CG129" s="213">
        <f t="shared" si="344"/>
        <v>0.01</v>
      </c>
      <c r="CH129" s="106"/>
      <c r="CI129" s="196">
        <f>CJ129+各项系数!$M$9*$NO129</f>
        <v>1170.9312660339335</v>
      </c>
      <c r="CJ129" s="196">
        <f>CK129*(1+$DC129+(VLOOKUP($AM129,$A$12:$B$323,2,0))+各项系数!$J$6+各项系数!$M$5)*(1+$E$2)+各项系数!$M$9*$NK129</f>
        <v>1162.6627856489624</v>
      </c>
      <c r="CK129" s="197">
        <f>CL129+各项系数!$L$9*$NO129</f>
        <v>1179.8745830168427</v>
      </c>
      <c r="CL129" s="197">
        <f>CM129*(1+$DD129+各项系数!$J$5+各项系数!$L$5)</f>
        <v>1171.6061026318716</v>
      </c>
      <c r="CM129" s="197">
        <f t="shared" si="345"/>
        <v>1148.6334339528153</v>
      </c>
      <c r="CN129" s="196">
        <f>CO129+各项系数!$M$9*$NO129</f>
        <v>1180.1704015304908</v>
      </c>
      <c r="CO129" s="196">
        <f>CP129*(1+$DC129+(VLOOKUP($AM129,$A$12:$B$323,2,0))+各项系数!$J$6+各项系数!$M$5)*(1+$E$2)+各项系数!$M$9*$NK129</f>
        <v>1171.9019211455197</v>
      </c>
      <c r="CP129" s="197">
        <f>CQ129+各项系数!$L$9*$NO129</f>
        <v>1189.302272299044</v>
      </c>
      <c r="CQ129" s="197">
        <f>CR129*(1+$DD129+各项系数!$J$5+各项系数!$L$5)</f>
        <v>1181.0337919140729</v>
      </c>
      <c r="CR129" s="197">
        <f t="shared" si="346"/>
        <v>1157.8762665824245</v>
      </c>
      <c r="CS129" s="196">
        <f>CT129+各项系数!$M$9*$NU129</f>
        <v>1172.3062948482259</v>
      </c>
      <c r="CT129" s="196">
        <f t="shared" si="347"/>
        <v>1164.0037327656264</v>
      </c>
      <c r="CU129" s="197">
        <f>CV129+各项系数!$L$9*$NU129</f>
        <v>1187.7589109853332</v>
      </c>
      <c r="CV129" s="197">
        <f>CW129*(1+$DD129+各项系数!$J$5+各项系数!$L$5)</f>
        <v>1179.4563489027337</v>
      </c>
      <c r="CW129" s="199">
        <f t="shared" si="348"/>
        <v>1156.3297538262095</v>
      </c>
      <c r="CX129" s="196">
        <f>CY129+各项系数!$M$9*$NU129</f>
        <v>1182.3733130859521</v>
      </c>
      <c r="CY129" s="196">
        <f t="shared" si="349"/>
        <v>1174.0707510033526</v>
      </c>
      <c r="CZ129" s="197">
        <f>DA129+各项系数!$L$9*$NU129</f>
        <v>1198.0313785748497</v>
      </c>
      <c r="DA129" s="197">
        <f>DB129*(1+$DD129+各项系数!$J$5+各项系数!$L$5)</f>
        <v>1189.7288164922502</v>
      </c>
      <c r="DB129" s="199">
        <f t="shared" si="350"/>
        <v>1166.4008004825982</v>
      </c>
      <c r="DC129" s="213">
        <f t="shared" si="571"/>
        <v>0</v>
      </c>
      <c r="DD129" s="213">
        <f t="shared" si="351"/>
        <v>0</v>
      </c>
      <c r="DE129" s="53" t="s">
        <v>498</v>
      </c>
      <c r="DF129" s="53" t="s">
        <v>513</v>
      </c>
      <c r="DG129" s="196">
        <f>DH129+各项系数!$M$9*$NQ129</f>
        <v>1183.6869230119848</v>
      </c>
      <c r="DH129" s="196">
        <f>DI129*(1+$EA129+(VLOOKUP($AM129,$A$12:$B$323,2,0))+各项系数!$J$6+各项系数!$M$5)*(1+$E$2)+各项系数!$M$9*$NK129</f>
        <v>1175.4184426270137</v>
      </c>
      <c r="DI129" s="197">
        <f>DJ129+各项系数!$L$9*$NQ129</f>
        <v>1192.8905595250585</v>
      </c>
      <c r="DJ129" s="197">
        <f>DK129*(1+$EB129+各项系数!$J$5+各项系数!$L$5)</f>
        <v>1184.6220791400874</v>
      </c>
      <c r="DK129" s="197">
        <f t="shared" si="352"/>
        <v>1150.118523436978</v>
      </c>
      <c r="DL129" s="196">
        <f>DM129+各项系数!$M$9*$NQ129</f>
        <v>1192.3345000722984</v>
      </c>
      <c r="DM129" s="196">
        <f>DN129*(1+$EA129+(VLOOKUP($AM129,$A$12:$B$323,2,0))+各项系数!$J$6+各项系数!$M$5)*(1+$E$2)+各项系数!$M$9*$NK129</f>
        <v>1184.0660196873273</v>
      </c>
      <c r="DN129" s="197">
        <f>DO129+各项系数!$L$9*$NQ129</f>
        <v>1201.7146177498682</v>
      </c>
      <c r="DO129" s="197">
        <f>DP129*(1+$EB129+各项系数!$J$5+各项系数!$L$5)</f>
        <v>1193.4461373648971</v>
      </c>
      <c r="DP129" s="197">
        <f t="shared" si="353"/>
        <v>1158.6855702571816</v>
      </c>
      <c r="DQ129" s="196">
        <f>DR129+各项系数!$M$9*$NV129</f>
        <v>1185.1401958133702</v>
      </c>
      <c r="DR129" s="196">
        <f t="shared" si="354"/>
        <v>1176.8376337307707</v>
      </c>
      <c r="DS129" s="197">
        <f>DT129+各项系数!$L$9*$NV129</f>
        <v>1200.8547282967047</v>
      </c>
      <c r="DT129" s="197">
        <f>DU129*(1+$EB129+各项系数!$J$5+各项系数!$L$5)</f>
        <v>1192.5521662141052</v>
      </c>
      <c r="DU129" s="199">
        <f t="shared" si="355"/>
        <v>1157.8176371010729</v>
      </c>
      <c r="DV129" s="196">
        <f>DW129+各项系数!$M$9*$NV129</f>
        <v>1181.7049456172788</v>
      </c>
      <c r="DW129" s="196">
        <f t="shared" si="356"/>
        <v>1173.4023835346793</v>
      </c>
      <c r="DX129" s="197">
        <f>DY129+各项系数!$L$9*$NV129</f>
        <v>1197.3493709537545</v>
      </c>
      <c r="DY129" s="197">
        <f>DZ129*(1+$EB129+各项系数!$J$5+各项系数!$L$5)</f>
        <v>1189.046808871155</v>
      </c>
      <c r="DZ129" s="199">
        <f t="shared" si="357"/>
        <v>1154.4143775448106</v>
      </c>
      <c r="EA129" s="213">
        <f t="shared" si="559"/>
        <v>0</v>
      </c>
      <c r="EB129" s="213">
        <f t="shared" si="358"/>
        <v>0.01</v>
      </c>
      <c r="EC129" s="235" t="str">
        <f t="shared" si="408"/>
        <v>3+2</v>
      </c>
      <c r="ED129" s="237" t="str">
        <f t="shared" si="565"/>
        <v>3*500</v>
      </c>
      <c r="EE129" s="189">
        <f t="shared" si="495"/>
        <v>500</v>
      </c>
      <c r="EF129" s="78" t="str">
        <f>LOOKUP(EH129,{1,7,10,14,19,24,30,37,48,61},{1,"1+6","2+8","4+10","1+6+12","2+8+14","4+10+16","1+6+12+18","3+9+15+21","1+6+12+18+24"})</f>
        <v>1+6+12+18+24</v>
      </c>
      <c r="EG129" s="188">
        <f t="shared" si="359"/>
        <v>3</v>
      </c>
      <c r="EH129" s="197">
        <f>VLOOKUP(EE129,各项系数!$B$87:$C$124,2,0)</f>
        <v>61</v>
      </c>
      <c r="EI129" s="188">
        <f>IF(EH129=0,0,VLOOKUP(EH129,各项系数!$D$142:$E$195,2,0))*1</f>
        <v>9</v>
      </c>
      <c r="EJ129" s="238">
        <f t="shared" si="409"/>
        <v>314.10304232929502</v>
      </c>
      <c r="EK129" s="78" t="str">
        <f t="shared" si="566"/>
        <v>2*240</v>
      </c>
      <c r="EL129" s="189" t="str">
        <f t="shared" si="360"/>
        <v>240</v>
      </c>
      <c r="EM129" s="78">
        <f t="shared" si="567"/>
        <v>240</v>
      </c>
      <c r="EN129" s="78" t="str">
        <f>IF(EP129=0,0,LOOKUP(EP129,{1,7,10,14,19,24,30,37,48,61},{1,"1+6","2+8","4+10","1+6+12","2+8+14","4+10+16","1+6+12+18","3+9+15+21","1+6+12+18+24"}))</f>
        <v>3+9+15+21</v>
      </c>
      <c r="EO129" s="78" t="str">
        <f t="shared" si="568"/>
        <v>2</v>
      </c>
      <c r="EP129" s="78">
        <f>IF(EM129=0,0,IF(EM129&lt;10,1,IF(AND(EM129&gt;=10,EM129&lt;=35),7,LOOKUP(EM129,{50,70,95,120,150,185,240,300},{10,14,19,24,30,37,48,61})*1)))</f>
        <v>48</v>
      </c>
      <c r="EQ129" s="189">
        <f>IF(EP129=0,0,VLOOKUP(EP129,各项系数!$D$142:$E$195,2,0))*1</f>
        <v>8.15</v>
      </c>
      <c r="ER129" s="78">
        <f t="shared" si="569"/>
        <v>246.701228113631</v>
      </c>
      <c r="ES129" s="237">
        <f t="shared" si="570"/>
        <v>5</v>
      </c>
      <c r="ET129" s="189">
        <f>VLOOKUP(ES129,各项系数!$D$142:$E$195,2,0)*1</f>
        <v>2.7</v>
      </c>
      <c r="EU129" s="243">
        <f>((各项系数!$F$76/4*$EJ129^2*$EG129*$EH129*1*10^-7)*(1-$H129)*AA129)*(VLOOKUP($EY$9,各项系数!$D$4:$F$143,3,0))*各项系数!$J$4</f>
        <v>12.794115598185742</v>
      </c>
      <c r="EV129" s="244">
        <f>EU129*(VLOOKUP($EY$9,各项系数!$D$4:$F$143,2,0))</f>
        <v>838.0145716811661</v>
      </c>
      <c r="EW129" s="252">
        <f>(IF($EO129=0,0,(各项系数!$F$76/4*$ER129^2*$EO129*$EP129*1*10^-7))*(1-$K129)*$AF129)*(VLOOKUP($EY$9,各项系数!$D$4:$F$143,3,0))*各项系数!$J$4</f>
        <v>4.11997538493614</v>
      </c>
      <c r="EX129" s="253">
        <f>EW129*(VLOOKUP($EY$9,各项系数!$D$4:$F$143,2,0))</f>
        <v>269.85838771331714</v>
      </c>
      <c r="EY129" s="189">
        <f>((各项系数!$F$76/4*$EJ129^2*$EG129*$EH129*1*10^-7)*(1-$H129)*AA129+IF($EO129=0,0,(各项系数!$F$76/4*$ER129^2*$EO129*$EP129*1*10^-7))*(1-$K129)*$AF129)*(VLOOKUP($EY$9,各项系数!$D$4:$F$143,3,0))*各项系数!$J$4</f>
        <v>16.914090983121884</v>
      </c>
      <c r="EZ129" s="102">
        <v>1</v>
      </c>
      <c r="FA129" s="189">
        <f t="shared" si="515"/>
        <v>16.914090983121884</v>
      </c>
      <c r="FB129" s="254">
        <f>FA129*(VLOOKUP($EY$9,各项系数!$D$4:$F$143,2,0))</f>
        <v>1107.8729593944834</v>
      </c>
      <c r="FC129" s="257"/>
      <c r="FD129" s="235">
        <f>各项系数!$F$76/4*($MN129^2-MK129^2)*10^-2*(VLOOKUP(L129,各项系数!$D$1:$F$143,3,0))*10^-3*10^2*$EG129*各项系数!$J$4</f>
        <v>0.69146734851176006</v>
      </c>
      <c r="FE129" s="262">
        <f>FD129*VLOOKUP(L129,各项系数!$D$1:$F$143,2,0)</f>
        <v>7.0529669548199525</v>
      </c>
      <c r="FF129" s="188">
        <f>各项系数!$F$76/4*($MO129^2-ML129^2)*10^-2*(VLOOKUP(L129,各项系数!$D$1:$F$143,3,0))*10^-3*10^2*$EO129*各项系数!$J$4</f>
        <v>0.25493153011167619</v>
      </c>
      <c r="FG129" s="262">
        <f>FF129*VLOOKUP(L129,各项系数!$D$1:$F$143,2,0)</f>
        <v>2.6003016071390967</v>
      </c>
      <c r="FH129" s="235">
        <f t="shared" si="410"/>
        <v>0.9463988786234363</v>
      </c>
      <c r="FI129" s="102">
        <v>1</v>
      </c>
      <c r="FJ129" s="189">
        <f t="shared" si="516"/>
        <v>0.9463988786234363</v>
      </c>
      <c r="FK129" s="262">
        <f>FJ129*VLOOKUP(L129,各项系数!$D$1:$F$143,2,0)</f>
        <v>9.6532685619590488</v>
      </c>
      <c r="FL129" s="237"/>
      <c r="FM129" s="106"/>
      <c r="FN129" s="189"/>
      <c r="FO129" s="262"/>
      <c r="FP129" s="282">
        <f t="shared" si="517"/>
        <v>0.9463988786234363</v>
      </c>
      <c r="FQ129" s="282">
        <f t="shared" si="518"/>
        <v>9.6532685619590488</v>
      </c>
      <c r="FR129" s="283">
        <f>各项系数!$F$76/4*($MQ129^2-$MN129^2*$EG129-$MO129^2*$EO129)*10^-2</f>
        <v>14.338771910907447</v>
      </c>
      <c r="FS129" s="284">
        <f t="shared" si="411"/>
        <v>1</v>
      </c>
      <c r="FT129" s="285">
        <f t="shared" si="361"/>
        <v>14.338771910907447</v>
      </c>
      <c r="FU129" s="302">
        <f>$FT129*(VLOOKUP($FT$9,各项系数!$D$1:$F$143,3,0))*10^-3*10^2*各项系数!$J$55</f>
        <v>1.712049366162349</v>
      </c>
      <c r="FV129" s="303">
        <v>1</v>
      </c>
      <c r="FW129" s="304">
        <f t="shared" si="519"/>
        <v>1.712049366162349</v>
      </c>
      <c r="FX129" s="285">
        <f>FW129*(VLOOKUP($FT$9,各项系数!$D$1:$F$143,2,0))</f>
        <v>5.1361480984870473</v>
      </c>
      <c r="FY129" s="302">
        <f>IF($BK129&lt;&gt;$FY$9,0,各项系数!$F$76/4*($MS129^2-$MQ129^2)*10^-2*(VLOOKUP($FY$9,各项系数!$D$1:$F$143,3,0))*10^-3*10^2)*各项系数!$J$4</f>
        <v>0</v>
      </c>
      <c r="FZ129" s="303">
        <v>1</v>
      </c>
      <c r="GA129" s="304">
        <f t="shared" si="520"/>
        <v>0</v>
      </c>
      <c r="GB129" s="285">
        <f>GA129*(VLOOKUP($FY$9,各项系数!$D$1:$F$143,2,0))</f>
        <v>0</v>
      </c>
      <c r="GC129" s="302">
        <f>IF($BK129&lt;&gt;$GC$9,0,各项系数!$F$76/4*($MS129^2-$MQ129^2)*10^-2*(VLOOKUP($GC$9,各项系数!$D$1:$F$143,3,0))*10^-3*10^2)*各项系数!$J$4</f>
        <v>2.1350133696527607E-2</v>
      </c>
      <c r="GD129" s="303">
        <v>1</v>
      </c>
      <c r="GE129" s="304">
        <f t="shared" si="521"/>
        <v>2.1350133696527607E-2</v>
      </c>
      <c r="GF129" s="285">
        <f>GE129*(VLOOKUP($GC$9,各项系数!$D$1:$F$143,2,0))</f>
        <v>0.27541672468520612</v>
      </c>
      <c r="GG129" s="302">
        <f>IF($BK129&lt;&gt;$GG$9,0,各项系数!$F$76/4*($MS129^2-$MQ129^2)*10^-2*(VLOOKUP($GG$9,各项系数!$D$1:$F$143,3,0))*10^-3*10^2)*各项系数!$J$4</f>
        <v>0</v>
      </c>
      <c r="GH129" s="303">
        <v>1</v>
      </c>
      <c r="GI129" s="304">
        <f t="shared" si="522"/>
        <v>0</v>
      </c>
      <c r="GJ129" s="285">
        <f>GI129*(VLOOKUP($GG$9,各项系数!$D$1:$F$143,2,0))</f>
        <v>0</v>
      </c>
      <c r="GK129" s="302">
        <f>IF($BK129&lt;&gt;$GK$9,0,各项系数!$F$76/4*($MS129^2-$MQ129^2)*10^-2*(VLOOKUP($GK$9,各项系数!$D$1:$F$143,3,0))*10^-3*10^2)*各项系数!$J$4</f>
        <v>0</v>
      </c>
      <c r="GL129" s="303">
        <v>1</v>
      </c>
      <c r="GM129" s="304">
        <f t="shared" si="523"/>
        <v>0</v>
      </c>
      <c r="GN129" s="285">
        <f>GM129*(VLOOKUP($GK$9,各项系数!$D$1:$F$143,2,0))</f>
        <v>0</v>
      </c>
      <c r="GO129" s="304">
        <f t="shared" si="524"/>
        <v>2.1350133696527607E-2</v>
      </c>
      <c r="GP129" s="304">
        <f t="shared" si="525"/>
        <v>0.27541672468520612</v>
      </c>
      <c r="GQ129" s="315">
        <f>各项系数!$F$76/4*($MU129^2-$MS129^2)*10^-2*(VLOOKUP($S129,各项系数!$D$1:$F$143,3,0))*10^-3*10^2*各项系数!$J$4</f>
        <v>1.4526743147085459</v>
      </c>
      <c r="GR129" s="303">
        <v>1</v>
      </c>
      <c r="GS129" s="304">
        <f t="shared" si="526"/>
        <v>1.4526743147085459</v>
      </c>
      <c r="GT129" s="304">
        <f t="shared" si="457"/>
        <v>0</v>
      </c>
      <c r="GU129" s="304">
        <f>ROUND($GS129*(VLOOKUP($S129,各项系数!$D$1:$F$143,2,0))+$E$3*GS129,GT129)</f>
        <v>8</v>
      </c>
      <c r="GV129" s="315">
        <f>各项系数!$F$76/4*($MT129^2-$MS129^2)*10^-2*(VLOOKUP($GV$9,各项系数!$D$1:$F$143,3,0))*10^-3*10^2*各项系数!$J$4*PI()/4*R129</f>
        <v>0.10974481161028336</v>
      </c>
      <c r="GW129" s="303">
        <v>1</v>
      </c>
      <c r="GX129" s="304">
        <f t="shared" si="527"/>
        <v>0.10974481161028336</v>
      </c>
      <c r="GY129" s="304">
        <f>$GX129*(VLOOKUP($GV$9,各项系数!$D$1:$F$143,2,0))</f>
        <v>7.4077747836941272</v>
      </c>
      <c r="GZ129" s="315">
        <f>各项系数!$F$76/4*($MV129^2-$MS129^2)*10^-2*(VLOOKUP($GZ$9,各项系数!$D$1:$F$143,3,0))*10^-3*10^2*各项系数!$J$4</f>
        <v>1.4172780865432681</v>
      </c>
      <c r="HA129" s="303">
        <v>1</v>
      </c>
      <c r="HB129" s="304">
        <f t="shared" si="412"/>
        <v>1.4172780865432681</v>
      </c>
      <c r="HC129" s="304">
        <f>HB129*(VLOOKUP($GZ$9,各项系数!$D$1:$F$143,2,0))</f>
        <v>24.09372747123556</v>
      </c>
      <c r="HD129" s="315">
        <f>各项系数!$F$76/4*($MW129^2-$MT129^2)*10^-2*(VLOOKUP($HD$9,各项系数!$D$1:$F$143,3,0))*10^-3*10^2*各项系数!$J$4</f>
        <v>1.4200338664862568</v>
      </c>
      <c r="HE129" s="303">
        <v>1</v>
      </c>
      <c r="HF129" s="304">
        <f t="shared" si="413"/>
        <v>1.4200338664862568</v>
      </c>
      <c r="HG129" s="304">
        <f>HF129*(VLOOKUP($HD$9,各项系数!$D$1:$F$143,2,0))</f>
        <v>24.140575730266367</v>
      </c>
      <c r="HH129" s="315">
        <f>各项系数!$F$76/4*($MV129^2-$MS129^2)*10^-2*(VLOOKUP($HH$9,各项系数!$D$1:$F$143,3,0))*10^-3*10^2*各项系数!$J$4</f>
        <v>1.4172780865432681</v>
      </c>
      <c r="HI129" s="322">
        <v>1</v>
      </c>
      <c r="HJ129" s="304">
        <f t="shared" si="414"/>
        <v>1.4172780865432681</v>
      </c>
      <c r="HK129" s="304">
        <f>HJ129*(VLOOKUP($HH$9,各项系数!$D$1:$F$143,2,0))</f>
        <v>24.09372747123556</v>
      </c>
      <c r="HL129" s="315">
        <f>各项系数!$F$76/4*($MW129^2-$MT129^2)*10^-2*(VLOOKUP($HL$9,各项系数!$D$1:$F$143,3,0))*10^-3*10^2*各项系数!$J$4</f>
        <v>1.4200338664862568</v>
      </c>
      <c r="HM129" s="322">
        <v>1</v>
      </c>
      <c r="HN129" s="304">
        <f t="shared" si="362"/>
        <v>1.4200338664862568</v>
      </c>
      <c r="HO129" s="304">
        <f>HN129*(VLOOKUP($HL$9,各项系数!$D$1:$F$143,2,0))</f>
        <v>24.140575730266367</v>
      </c>
      <c r="HP129" s="315">
        <f>各项系数!$F$76/4*($MV129^2-$MS129^2)*10^-2*(VLOOKUP(AN129,各项系数!$D$1:$F$143,3,0))*10^-3*10^2*各项系数!$J$4</f>
        <v>1.4368267498059342</v>
      </c>
      <c r="HQ129" s="303">
        <v>1</v>
      </c>
      <c r="HR129" s="304">
        <f t="shared" si="528"/>
        <v>1.4368267498059342</v>
      </c>
      <c r="HS129" s="304">
        <f>HR129*(VLOOKUP(AN129,各项系数!$D$1:$F$143,2,0))</f>
        <v>14.368267498059343</v>
      </c>
      <c r="HT129" s="315">
        <f>各项系数!$F$76/4*($MW129^2-$MT129^2)*10^-2*(VLOOKUP(AN129,各项系数!$D$1:$F$143,3,0))*10^-3*10^2*各项系数!$J$4</f>
        <v>1.439620540506757</v>
      </c>
      <c r="HU129" s="303">
        <v>1</v>
      </c>
      <c r="HV129" s="304">
        <f t="shared" si="529"/>
        <v>1.439620540506757</v>
      </c>
      <c r="HW129" s="304">
        <f>HV129*(VLOOKUP(AN129,各项系数!$D$1:$F$143,2,0))</f>
        <v>14.396205405067571</v>
      </c>
      <c r="HX129" s="315">
        <f>各项系数!$F$76/4*($MV129^2-$MS129^2)*10^-2*(VLOOKUP($HX$9,各项系数!$D$1:$F$143,3,0))*10^-3*10^2*各项系数!$J$4</f>
        <v>1.4368267498059342</v>
      </c>
      <c r="HY129" s="322">
        <v>1</v>
      </c>
      <c r="HZ129" s="304">
        <f t="shared" si="530"/>
        <v>1.4368267498059342</v>
      </c>
      <c r="IA129" s="304">
        <f>HZ129*(VLOOKUP($HX$9,各项系数!$D$1:$F$143,2,0))</f>
        <v>15.805094247865275</v>
      </c>
      <c r="IB129" s="315">
        <f>各项系数!$F$76/4*($MW129^2-$MT129^2)*10^-2*(VLOOKUP($IB$9,各项系数!$D$1:$F$143,3,0))*10^-3*10^2*各项系数!$J$4</f>
        <v>1.439620540506757</v>
      </c>
      <c r="IC129" s="322">
        <v>1</v>
      </c>
      <c r="ID129" s="304">
        <f t="shared" si="531"/>
        <v>1.439620540506757</v>
      </c>
      <c r="IE129" s="304">
        <f>ID129*(VLOOKUP($IB$9,各项系数!$D$1:$F$143,2,0))</f>
        <v>15.835825945574328</v>
      </c>
      <c r="IF129" s="309"/>
      <c r="IG129" s="315">
        <f t="shared" si="415"/>
        <v>0.17796928989819866</v>
      </c>
      <c r="IH129" s="303">
        <v>1</v>
      </c>
      <c r="II129" s="304">
        <f t="shared" si="532"/>
        <v>0.17796928989819866</v>
      </c>
      <c r="IJ129" s="304">
        <f>II129*(VLOOKUP($IG$8,各项系数!$D$1:$F$143,2,0))</f>
        <v>4.4492322474549661</v>
      </c>
      <c r="IK129" s="315">
        <f>(各项系数!$F$76/4*($MX129^2-$MK129^2)*$EG129)*10^-2*(VLOOKUP($IG$8,各项系数!$D$1:$F$143,3,0))*10^-3*10^2*各项系数!$J$4</f>
        <v>0.12056074495539579</v>
      </c>
      <c r="IL129" s="303">
        <f>IK129*(VLOOKUP($IG$8,各项系数!$D$1:$F$143,2,0))</f>
        <v>3.0140186238848945</v>
      </c>
      <c r="IM129" s="304">
        <f>(各项系数!$F$76/4*(($MM129+3*$X129)^2-MM129^2)*$EO129)*10^-2*(VLOOKUP($IG$8,各项系数!$D$1:$F$143,3,0))*10^-3*10^2*各项系数!$J$4</f>
        <v>5.7408544942802883E-2</v>
      </c>
      <c r="IN129" s="303">
        <f>IM129*(VLOOKUP($IG$8,各项系数!$D$1:$F$143,2,0))</f>
        <v>1.4352136235700721</v>
      </c>
      <c r="IO129" s="315">
        <f>各项系数!$F$76/4*($MZ129^2-$MX129^2)*10^-2*(VLOOKUP(L129,各项系数!$D$1:$F$143,3,0))*10^-3*10^2*$ES129*各项系数!$J$4</f>
        <v>1.1751395037046708</v>
      </c>
      <c r="IP129" s="303">
        <v>1</v>
      </c>
      <c r="IQ129" s="304">
        <f t="shared" si="533"/>
        <v>1.1751395037046708</v>
      </c>
      <c r="IR129" s="285">
        <f>IQ129*(VLOOKUP(L129,各项系数!$D$1:$F$143,2,0))</f>
        <v>11.986422937787641</v>
      </c>
      <c r="IS129" s="315">
        <f>IF($L129&lt;&gt;$IS$9,0,各项系数!$F$76/4*($MZ129^2-$MX129^2)*10^-2*各项系数!$F$12*10^-3*10^2)*$ES129*各项系数!$J$4</f>
        <v>0</v>
      </c>
      <c r="IT129" s="310">
        <v>1</v>
      </c>
      <c r="IU129" s="304">
        <f t="shared" si="534"/>
        <v>0</v>
      </c>
      <c r="IV129" s="285">
        <f>IU129*各项系数!$E$12</f>
        <v>0</v>
      </c>
      <c r="IW129" s="302">
        <f t="shared" si="535"/>
        <v>1.1751395037046708</v>
      </c>
      <c r="IX129" s="302">
        <f t="shared" si="536"/>
        <v>11.986422937787641</v>
      </c>
      <c r="IY129" s="339">
        <f>各项系数!$F$76/4*($NB129^2-$MZ129^2*$EG129-$NA129^2*$EO129)*10^-2</f>
        <v>15.563364163014938</v>
      </c>
      <c r="IZ129" s="284">
        <f t="shared" si="487"/>
        <v>1</v>
      </c>
      <c r="JA129" s="285">
        <f t="shared" si="363"/>
        <v>15.563364163014938</v>
      </c>
      <c r="JB129" s="282">
        <f>IF($DE129&lt;&gt;$JB$9,0,$JA129*各项系数!$F$32*10^-3*10^2)*各项系数!$J$4</f>
        <v>0</v>
      </c>
      <c r="JC129" s="102">
        <v>1</v>
      </c>
      <c r="JD129" s="189">
        <f t="shared" si="537"/>
        <v>0</v>
      </c>
      <c r="JE129" s="262">
        <f>JD129*各项系数!$E$32</f>
        <v>0</v>
      </c>
      <c r="JF129" s="282">
        <f>IF($DE129&lt;&gt;$JF$9,0,$JA129*VLOOKUP($JF$9,各项系数!$D$4:$F$540,2,0)*10^-3*10^2)*各项系数!$J$4</f>
        <v>7.7427736710999326</v>
      </c>
      <c r="JG129" s="102">
        <v>1</v>
      </c>
      <c r="JH129" s="189">
        <f t="shared" si="364"/>
        <v>7.7427736710999326</v>
      </c>
      <c r="JI129" s="262">
        <f>JH129*VLOOKUP($JF$9,各项系数!$D$4:$F$540,3,0)</f>
        <v>9.2913284053199181</v>
      </c>
      <c r="JJ129" s="282">
        <f t="shared" si="538"/>
        <v>7.7427736710999326</v>
      </c>
      <c r="JK129" s="189">
        <f t="shared" si="539"/>
        <v>9.2913284053199181</v>
      </c>
      <c r="JL129" s="282">
        <f>IF($DF129&lt;&gt;$JL$9,0,各项系数!$F$76/4*($NE129^2-$NC129^2)*10^-2*各项系数!$F$39*10^-3*10^2)*各项系数!$J$4</f>
        <v>9.1298063071478652E-3</v>
      </c>
      <c r="JM129" s="102">
        <v>1</v>
      </c>
      <c r="JN129" s="189">
        <f t="shared" si="540"/>
        <v>9.1298063071478652E-3</v>
      </c>
      <c r="JO129" s="262">
        <f>JN129*各项系数!$E$39</f>
        <v>0.18259612614295731</v>
      </c>
      <c r="JP129" s="282">
        <f>IF($DF129&lt;&gt;$JP$9,0,各项系数!$F$76/4*($NE129^2-$NC129^2)*10^-2*各项系数!$F$36*10^-3*10^2)*各项系数!$J$4</f>
        <v>0</v>
      </c>
      <c r="JQ129" s="102">
        <v>1</v>
      </c>
      <c r="JR129" s="189">
        <f t="shared" si="541"/>
        <v>0</v>
      </c>
      <c r="JS129" s="262">
        <f>JR129*各项系数!$E$36</f>
        <v>0</v>
      </c>
      <c r="JT129" s="282">
        <f>IF($DF129&lt;&gt;$JT$9,0,各项系数!$F$76/4*($NE129^2-$NC129^2)*10^-2*各项系数!$F$40*10^-3*10^2)*各项系数!$J$4</f>
        <v>0</v>
      </c>
      <c r="JU129" s="102">
        <v>1</v>
      </c>
      <c r="JV129" s="189">
        <f t="shared" si="542"/>
        <v>0</v>
      </c>
      <c r="JW129" s="262">
        <f>JV129*各项系数!$E$40</f>
        <v>0</v>
      </c>
      <c r="JX129" s="282">
        <f>IF($DF129&lt;&gt;$JX$9,0,各项系数!$F$76/4*($NE129^2-$NC129^2)*10^-2*各项系数!$F$38*10^-3*10^2)*各项系数!$J$4</f>
        <v>0</v>
      </c>
      <c r="JY129" s="102">
        <v>1</v>
      </c>
      <c r="JZ129" s="189">
        <f t="shared" si="543"/>
        <v>0</v>
      </c>
      <c r="KA129" s="262">
        <f>JZ129*各项系数!$E$38</f>
        <v>0</v>
      </c>
      <c r="KB129" s="282">
        <f>IF($DF129&lt;&gt;$KB$9,0,各项系数!$F$76/4*($NE129^2-$NC129^2)*10^-2*各项系数!$F$41*10^-3*10^2)*各项系数!$J$4</f>
        <v>0</v>
      </c>
      <c r="KC129" s="102">
        <v>1</v>
      </c>
      <c r="KD129" s="189">
        <f t="shared" si="544"/>
        <v>0</v>
      </c>
      <c r="KE129" s="262">
        <f>KD129*各项系数!$E$41</f>
        <v>0</v>
      </c>
      <c r="KF129" s="189">
        <f t="shared" si="545"/>
        <v>9.1298063071478652E-3</v>
      </c>
      <c r="KG129" s="189">
        <f t="shared" si="546"/>
        <v>0.18259612614295731</v>
      </c>
      <c r="KH129" s="235">
        <f>各项系数!$F$76/4*($NG129^2-$NE129^2)*10^-2*各项系数!$F$44*10^-3*10^2*各项系数!$J$4*0.75*$U129</f>
        <v>2.2550213906992482</v>
      </c>
      <c r="KI129" s="102">
        <v>1</v>
      </c>
      <c r="KJ129" s="189">
        <f t="shared" si="547"/>
        <v>2.2550213906992482</v>
      </c>
      <c r="KK129" s="189">
        <f>ROUND(KJ129*各项系数!$E$43,GT129)</f>
        <v>13</v>
      </c>
      <c r="KL129" s="235">
        <f>各项系数!$F$76/4*($NF129^2-$NE129^2)*10^-2*各项系数!$F$46*10^-3*10^2*各项系数!$J$4*PI()/4*R129</f>
        <v>0.11360565876127555</v>
      </c>
      <c r="KM129" s="102">
        <v>1</v>
      </c>
      <c r="KN129" s="189">
        <f t="shared" si="548"/>
        <v>0.11360565876127555</v>
      </c>
      <c r="KO129" s="189">
        <f>KN129*各项系数!$E$46</f>
        <v>7.6683819663861001</v>
      </c>
      <c r="KP129" s="235">
        <f>各项系数!$F$76/4*($NH129^2-$NE129^2)*10^-2*(VLOOKUP($KP$9,各项系数!$D$1:$F$143,3,0))*10^-3*10^2*各项系数!$J$4</f>
        <v>1.4648841850583831</v>
      </c>
      <c r="KQ129" s="102">
        <v>1</v>
      </c>
      <c r="KR129" s="189">
        <f t="shared" si="416"/>
        <v>1.4648841850583831</v>
      </c>
      <c r="KS129" s="189">
        <f>KR129*(VLOOKUP($KP$9,各项系数!$D$1:$F$143,2,0))</f>
        <v>24.903031145992514</v>
      </c>
      <c r="KT129" s="235">
        <f>各项系数!$F$76/4*($NI129^2-$NF129^2)*10^-2*(VLOOKUP($KT$9,各项系数!$D$1:$F$143,3,0))*10^-3*10^2*各项系数!$J$4</f>
        <v>1.4676399650013694</v>
      </c>
      <c r="KU129" s="102">
        <v>1</v>
      </c>
      <c r="KV129" s="189">
        <f t="shared" si="417"/>
        <v>1.4676399650013694</v>
      </c>
      <c r="KW129" s="189">
        <f>KV129*(VLOOKUP($KT$9,各项系数!$D$1:$F$143,2,0))</f>
        <v>24.949879405023278</v>
      </c>
      <c r="KX129" s="189">
        <f>各项系数!$F$76/4*($NH129^2-$NE129^2)*10^-2*(VLOOKUP($KX$9,各项系数!$D$1:$F$143,3,0))*10^-3*10^2*各项系数!$J$4</f>
        <v>1.4648841850583831</v>
      </c>
      <c r="KY129" s="353">
        <v>1</v>
      </c>
      <c r="KZ129" s="189">
        <f t="shared" si="418"/>
        <v>1.4648841850583831</v>
      </c>
      <c r="LA129" s="189">
        <f>KZ129*(VLOOKUP($KX$9,各项系数!$D$1:$F$143,2,0))</f>
        <v>24.903031145992514</v>
      </c>
      <c r="LB129" s="189">
        <f>各项系数!$F$76/4*($NI129^2-$NF129^2)*10^-2*(VLOOKUP($LB$9,各项系数!$D$1:$F$143,3,0))*10^-3*10^2*各项系数!$J$4</f>
        <v>1.4676399650013694</v>
      </c>
      <c r="LC129" s="353">
        <v>1</v>
      </c>
      <c r="LD129" s="189">
        <f t="shared" si="419"/>
        <v>1.4676399650013694</v>
      </c>
      <c r="LE129" s="189">
        <f>LD129*(VLOOKUP($LB$9,各项系数!$D$1:$F$143,2,0))</f>
        <v>24.949879405023278</v>
      </c>
      <c r="LF129" s="235">
        <f>各项系数!$F$76/4*($NH129^2-$NE129^2)*10^-2*(VLOOKUP(AN129,各项系数!$D$1:$F$143,3,0))*10^-3*10^2*各项系数!$J$4</f>
        <v>1.4850894841626365</v>
      </c>
      <c r="LG129" s="102">
        <v>1</v>
      </c>
      <c r="LH129" s="189">
        <f t="shared" si="549"/>
        <v>1.4850894841626365</v>
      </c>
      <c r="LI129" s="189">
        <f>LH129*(VLOOKUP(AN129,各项系数!$D$1:$F$143,2,0))</f>
        <v>14.850894841626365</v>
      </c>
      <c r="LJ129" s="235">
        <f>各项系数!$F$76/4*($NI129^2-$NF129^2)*10^-2*(VLOOKUP(AN129,各项系数!$D$1:$F$143,3,0))*10^-3*10^2*各项系数!$J$4</f>
        <v>1.4878832748634574</v>
      </c>
      <c r="LK129" s="102">
        <v>1</v>
      </c>
      <c r="LL129" s="189">
        <f t="shared" si="550"/>
        <v>1.4878832748634574</v>
      </c>
      <c r="LM129" s="189">
        <f>LL129*(VLOOKUP(AN129,各项系数!$D$1:$F$143,2,0))</f>
        <v>14.878832748634574</v>
      </c>
      <c r="LN129" s="189">
        <f>各项系数!$F$76/4*($NH129^2-$NE129^2)*10^-2*(VLOOKUP($LN$9,各项系数!$D$1:$F$143,3,0))*10^-3*10^2*各项系数!$J$4</f>
        <v>1.4850894841626365</v>
      </c>
      <c r="LO129" s="353">
        <v>1</v>
      </c>
      <c r="LP129" s="189">
        <f t="shared" si="551"/>
        <v>1.4850894841626365</v>
      </c>
      <c r="LQ129" s="189">
        <f>LP129*(VLOOKUP($LN$9,各项系数!$D$1:$F$143,2,0))</f>
        <v>16.335984325789003</v>
      </c>
      <c r="LR129" s="189">
        <f>各项系数!$F$76/4*($NI129^2-$NF129^2)*10^-2*(VLOOKUP($LR$9,各项系数!$D$1:$F$143,3,0))*10^-3*10^2*各项系数!$J$4</f>
        <v>1.4878832748634574</v>
      </c>
      <c r="LS129" s="353">
        <v>1</v>
      </c>
      <c r="LT129" s="189">
        <f t="shared" si="552"/>
        <v>1.4878832748634574</v>
      </c>
      <c r="LU129" s="189">
        <f>LT129*(VLOOKUP($LR$9,各项系数!$D$1:$F$143,2,0))</f>
        <v>16.366716023498032</v>
      </c>
      <c r="LV129" s="227">
        <f t="shared" si="420"/>
        <v>1882.9571623500001</v>
      </c>
      <c r="LW129" s="227">
        <f t="shared" si="421"/>
        <v>1418.0294679399999</v>
      </c>
      <c r="LX129" s="227">
        <f t="shared" si="422"/>
        <v>42.491071934948529</v>
      </c>
      <c r="LY129" s="227">
        <f t="shared" si="423"/>
        <v>464.92769441000019</v>
      </c>
      <c r="LZ129" s="374">
        <f t="shared" si="365"/>
        <v>1</v>
      </c>
      <c r="MA129" s="375">
        <f t="shared" si="366"/>
        <v>1882.9571623500001</v>
      </c>
      <c r="MB129" s="375">
        <f t="shared" si="424"/>
        <v>28.269273779999999</v>
      </c>
      <c r="MC129" s="227">
        <f t="shared" si="425"/>
        <v>635.00583714000004</v>
      </c>
      <c r="MD129" s="227">
        <f t="shared" si="426"/>
        <v>458.88486814999999</v>
      </c>
      <c r="ME129" s="227">
        <f t="shared" si="427"/>
        <v>24.171685100736379</v>
      </c>
      <c r="MF129" s="227">
        <f t="shared" si="428"/>
        <v>176.12096899000005</v>
      </c>
      <c r="MG129" s="374">
        <f t="shared" si="429"/>
        <v>1</v>
      </c>
      <c r="MH129" s="375">
        <f t="shared" si="367"/>
        <v>635.00583714000004</v>
      </c>
      <c r="MI129" s="375">
        <f t="shared" si="430"/>
        <v>20.106150091256961</v>
      </c>
      <c r="MJ129" s="189">
        <f t="shared" si="368"/>
        <v>28.269273779999999</v>
      </c>
      <c r="MK129" s="189">
        <f t="shared" si="431"/>
        <v>28.269273779999999</v>
      </c>
      <c r="ML129" s="189">
        <f t="shared" si="553"/>
        <v>20.106150091260925</v>
      </c>
      <c r="MM129" s="189">
        <f t="shared" si="369"/>
        <v>20.106150091256961</v>
      </c>
      <c r="MN129" s="189">
        <f t="shared" si="370"/>
        <v>32.669273779999997</v>
      </c>
      <c r="MO129" s="189">
        <f t="shared" si="432"/>
        <v>23.506150091256959</v>
      </c>
      <c r="MP129" s="189">
        <f t="shared" si="433"/>
        <v>78.310865620000001</v>
      </c>
      <c r="MQ129" s="189">
        <f t="shared" si="554"/>
        <v>78.310865620000001</v>
      </c>
      <c r="MR129" s="246">
        <f t="shared" si="434"/>
        <v>78.310865620000001</v>
      </c>
      <c r="MS129" s="380">
        <f t="shared" si="371"/>
        <v>78.486865620000003</v>
      </c>
      <c r="MT129" s="380">
        <f t="shared" si="372"/>
        <v>78.64686562</v>
      </c>
      <c r="MU129" s="380">
        <f t="shared" si="373"/>
        <v>79.986865620000003</v>
      </c>
      <c r="MV129" s="380">
        <f t="shared" si="374"/>
        <v>86.086865619999998</v>
      </c>
      <c r="MW129" s="380">
        <f t="shared" si="375"/>
        <v>86.246865619999994</v>
      </c>
      <c r="MX129" s="254">
        <f t="shared" si="376"/>
        <v>28.86927378</v>
      </c>
      <c r="MY129" s="254">
        <f t="shared" si="377"/>
        <v>20.706150091256962</v>
      </c>
      <c r="MZ129" s="189">
        <f t="shared" si="378"/>
        <v>33.269273779999999</v>
      </c>
      <c r="NA129" s="189">
        <f t="shared" si="379"/>
        <v>25.106150091256964</v>
      </c>
      <c r="NB129" s="189">
        <f t="shared" si="435"/>
        <v>81.010865620000004</v>
      </c>
      <c r="NC129" s="254">
        <f t="shared" si="555"/>
        <v>81.010865620000004</v>
      </c>
      <c r="ND129" s="246">
        <f t="shared" si="436"/>
        <v>81.010865620000004</v>
      </c>
      <c r="NE129" s="386">
        <f t="shared" si="437"/>
        <v>81.250865619999999</v>
      </c>
      <c r="NF129" s="380">
        <f t="shared" si="380"/>
        <v>81.410865619999996</v>
      </c>
      <c r="NG129" s="387">
        <f t="shared" si="381"/>
        <v>82.750865619999999</v>
      </c>
      <c r="NH129" s="254">
        <f t="shared" si="382"/>
        <v>88.850865619999993</v>
      </c>
      <c r="NI129" s="380">
        <f t="shared" si="383"/>
        <v>89.01086561999999</v>
      </c>
      <c r="NK129" s="388">
        <f t="shared" si="384"/>
        <v>21.285647641521809</v>
      </c>
      <c r="NL129" s="388">
        <f t="shared" si="385"/>
        <v>1139.9063618848129</v>
      </c>
      <c r="NM129" s="388">
        <f t="shared" si="386"/>
        <v>21.285647641521809</v>
      </c>
      <c r="NN129" s="388">
        <f t="shared" si="387"/>
        <v>1141.3431886346189</v>
      </c>
      <c r="NO129" s="388">
        <f t="shared" si="388"/>
        <v>27.561601283237273</v>
      </c>
      <c r="NP129" s="388">
        <f t="shared" si="389"/>
        <v>1150.0686475763853</v>
      </c>
      <c r="NQ129" s="388">
        <f t="shared" si="390"/>
        <v>27.561601283237273</v>
      </c>
      <c r="NR129" s="388">
        <f t="shared" si="391"/>
        <v>1151.553737060548</v>
      </c>
      <c r="NS129" s="388">
        <f t="shared" si="392"/>
        <v>21.395392453132093</v>
      </c>
      <c r="NT129" s="388">
        <f t="shared" si="393"/>
        <v>21.395392453132093</v>
      </c>
      <c r="NU129" s="388">
        <f t="shared" si="394"/>
        <v>27.67520694199855</v>
      </c>
      <c r="NV129" s="388">
        <f t="shared" si="395"/>
        <v>27.67520694199855</v>
      </c>
      <c r="NW129">
        <f t="shared" si="396"/>
        <v>22.738321956230354</v>
      </c>
      <c r="NX129">
        <f>各项系数!$M$9*NK129</f>
        <v>6.3856942924565425</v>
      </c>
      <c r="NY129">
        <f t="shared" si="397"/>
        <v>21.395392453132089</v>
      </c>
    </row>
    <row r="130" spans="1:389" ht="15" hidden="1" customHeight="1">
      <c r="A130" s="69"/>
      <c r="B130" s="70"/>
      <c r="C130" s="71"/>
      <c r="D130" s="198" t="s">
        <v>935</v>
      </c>
      <c r="E130" s="54">
        <f t="shared" si="560"/>
        <v>95.746204460000001</v>
      </c>
      <c r="F130" s="68">
        <f>$F$34</f>
        <v>357.20659441456399</v>
      </c>
      <c r="G130" s="58"/>
      <c r="H130" s="16"/>
      <c r="I130" s="145">
        <f>$F$31</f>
        <v>245.118138379664</v>
      </c>
      <c r="J130" s="62"/>
      <c r="K130" s="16"/>
      <c r="L130" s="97" t="s">
        <v>467</v>
      </c>
      <c r="M130" s="103">
        <f t="shared" si="339"/>
        <v>2.4</v>
      </c>
      <c r="N130" s="103">
        <f t="shared" si="501"/>
        <v>1.8</v>
      </c>
      <c r="O130" s="53">
        <f t="shared" si="572"/>
        <v>0.08</v>
      </c>
      <c r="P130" s="99">
        <v>0.1</v>
      </c>
      <c r="Q130" s="133">
        <f t="shared" si="557"/>
        <v>0.1</v>
      </c>
      <c r="R130" s="70">
        <v>0.8</v>
      </c>
      <c r="S130" s="142" t="str">
        <f>各项系数!$D$43</f>
        <v>钢带</v>
      </c>
      <c r="T130" s="62">
        <v>0.5</v>
      </c>
      <c r="U130" s="62">
        <v>2</v>
      </c>
      <c r="V130" s="143"/>
      <c r="W130" s="145">
        <v>4</v>
      </c>
      <c r="X130" s="135">
        <f t="shared" si="558"/>
        <v>0.2</v>
      </c>
      <c r="Y130" s="135"/>
      <c r="Z130" s="168"/>
      <c r="AA130" s="153">
        <f>$AA$34</f>
        <v>1.03</v>
      </c>
      <c r="AB130" s="153">
        <f>PI()*EJ130*EJ130/4*EH130*(1-H130)*AA130*各项系数!$F$5*各项系数!$J$4*10^-7</f>
        <v>5.5695578399086223</v>
      </c>
      <c r="AC130" s="153">
        <f t="shared" si="561"/>
        <v>357.20659441456399</v>
      </c>
      <c r="AD130" s="153">
        <f t="shared" si="341"/>
        <v>629.64517072523745</v>
      </c>
      <c r="AE130" s="153">
        <f>POWER(4*EU130/PI()/EG130/10^-7/EH130/(1-H130)/各项系数!$F$5/各项系数!$J$4,0.5)</f>
        <v>362.52509930492863</v>
      </c>
      <c r="AF130" s="69">
        <f>$AA$31</f>
        <v>1.02</v>
      </c>
      <c r="AG130" s="69">
        <f>IF(EM130=0,0,PI()*ER130*ER130/4*EP130*(1-K130)*(1+AF130)*各项系数!$F$5*各项系数!$J$4*10^-7)</f>
        <v>5.143358859444878</v>
      </c>
      <c r="AH130" s="69">
        <f t="shared" si="562"/>
        <v>245.118138379664</v>
      </c>
      <c r="AI130" s="69">
        <f t="shared" si="398"/>
        <v>293.60996233065771</v>
      </c>
      <c r="AJ130" s="69">
        <f>IF(OR(EP130="",EP130=0),0,POWER(4*EW130/PI()/EO130/10^-7/EP130/(1-K130)/各项系数!$F$5/各项系数!$J$4,0.5))</f>
        <v>247.5571849047536</v>
      </c>
      <c r="AK130" s="69">
        <f t="shared" si="342"/>
        <v>21.902956724313764</v>
      </c>
      <c r="AL130" s="69">
        <f t="shared" si="563"/>
        <v>1515.1614031484046</v>
      </c>
      <c r="AM130" s="106">
        <f t="shared" si="564"/>
        <v>630</v>
      </c>
      <c r="AN130" s="97" t="s">
        <v>486</v>
      </c>
      <c r="AO130" s="196">
        <f>AP130+各项系数!$M$9*$NK130</f>
        <v>1485.4523560278476</v>
      </c>
      <c r="AP130" s="196">
        <f>AQ130*(1+$BI130+(VLOOKUP($AM130,$A$12:$B$323,2,0))+各项系数!$J$6+各项系数!$M$5)*(1+$E$2)</f>
        <v>1477.2999199529795</v>
      </c>
      <c r="AQ130" s="197">
        <f>AR130+各项系数!$L$9*$NK130</f>
        <v>1507.4488979112036</v>
      </c>
      <c r="AR130" s="197">
        <f>AS130*(1+$BJ130+各项系数!$J$5+各项系数!$L$5)</f>
        <v>1499.2964618363355</v>
      </c>
      <c r="AS130" s="197">
        <f t="shared" si="399"/>
        <v>1469.8984919964073</v>
      </c>
      <c r="AT130" s="196">
        <f>AU130+各项系数!$M$9*$NM130</f>
        <v>1496.86195498748</v>
      </c>
      <c r="AU130" s="196">
        <f>AV130*(1+$BI130+(VLOOKUP($AM130,$A$12:$B$323,2,0))+各项系数!$J$6+各项系数!$M$5)*(1+$E$2)</f>
        <v>1488.7095189126119</v>
      </c>
      <c r="AV130" s="197">
        <f>AW130+各项系数!$L$9*$NM130</f>
        <v>1519.0913458291959</v>
      </c>
      <c r="AW130" s="197">
        <f>AX130*(1+$BJ130+各项系数!$J$5+各项系数!$L$5)</f>
        <v>1510.9389097543278</v>
      </c>
      <c r="AX130" s="197">
        <f t="shared" si="400"/>
        <v>1481.31265662189</v>
      </c>
      <c r="AY130" s="196">
        <f>AZ130+各项系数!$M$9*$NS130</f>
        <v>1493.8321144127137</v>
      </c>
      <c r="AZ130" s="196">
        <f>BA130*(1+$BI130+(VLOOKUP($AM130,$A$12:$B$214,2,0))+各项系数!$J$6+各项系数!$M$5)*(1+$E$2)</f>
        <v>1485.642874768605</v>
      </c>
      <c r="BA130" s="197">
        <f>BB130+各项系数!$L$9*$NS130</f>
        <v>1515.9621171108215</v>
      </c>
      <c r="BB130" s="197">
        <f>BC130*(1+$BJ130+各项系数!$J$5+各项系数!$L$5)</f>
        <v>1507.7728774667128</v>
      </c>
      <c r="BC130" s="199">
        <f t="shared" si="401"/>
        <v>1478.208703398738</v>
      </c>
      <c r="BD130" s="196">
        <f>BE130+各项系数!$M$9*$NS130</f>
        <v>1505.2616110438009</v>
      </c>
      <c r="BE130" s="196">
        <f>BF130*(1+$BI130+(VLOOKUP($AM130,$A$12:$B$214,2,0))+各项系数!$J$6+各项系数!$M$5)*(1+$E$2)</f>
        <v>1497.0723713996922</v>
      </c>
      <c r="BF130" s="408">
        <f>BG130+各项系数!$L$9*$NS130</f>
        <v>1527.6248687751961</v>
      </c>
      <c r="BG130" s="197">
        <f>BH130*(1+$BJ130+各项系数!$J$5+各项系数!$L$5)</f>
        <v>1519.4356291310874</v>
      </c>
      <c r="BH130" s="199">
        <f t="shared" si="402"/>
        <v>1489.6427736579287</v>
      </c>
      <c r="BI130" s="213"/>
      <c r="BJ130" s="208"/>
      <c r="BK130" s="53" t="s">
        <v>514</v>
      </c>
      <c r="BL130" s="196">
        <f>BM130+各项系数!$M$9*$NM130</f>
        <v>1501.5595263676289</v>
      </c>
      <c r="BM130" s="196">
        <f>BN130*(1+$CF130+(VLOOKUP($AM130,$A$12:$B$323,2,0))+各项系数!$J$6+各项系数!$M$5)*(1+$E$2)</f>
        <v>1493.4070902927608</v>
      </c>
      <c r="BN130" s="197">
        <f>BO130+各项系数!$L$9*$NM130</f>
        <v>1523.8847860130213</v>
      </c>
      <c r="BO130" s="197">
        <f>BP130*(1+$CG130+各项系数!$J$5+各项系数!$L$5)</f>
        <v>1515.7323499381532</v>
      </c>
      <c r="BP130" s="197">
        <f t="shared" si="403"/>
        <v>1471.5848057651972</v>
      </c>
      <c r="BQ130" s="196">
        <f>BR130+各项系数!$M$9*$NM130</f>
        <v>1511.3788190223745</v>
      </c>
      <c r="BR130" s="196">
        <f>BS130*(1+$CF130+(VLOOKUP($AM130,$A$12:$B$323,2,0))+各项系数!$J$6+各项系数!$M$5)*(1+$E$2)</f>
        <v>1503.2263829475064</v>
      </c>
      <c r="BS130" s="197">
        <f>BT130+各项系数!$L$9*$NM130</f>
        <v>1533.9044723954148</v>
      </c>
      <c r="BT130" s="197">
        <f>BU130*(1+$CG130+各项系数!$J$5+各项系数!$L$5)</f>
        <v>1525.7520363205467</v>
      </c>
      <c r="BU130" s="197">
        <f t="shared" si="404"/>
        <v>1481.31265662189</v>
      </c>
      <c r="BV130" s="196">
        <f>BW130+各项系数!$M$9*$NT130</f>
        <v>1502.0063365842439</v>
      </c>
      <c r="BW130" s="196">
        <f>BX130*(1+$CF130+(VLOOKUP($AM130,$A$12:$B$214,2,0))+各项系数!$J$6+各项系数!$M$5)*(1+$E$2)</f>
        <v>1493.8170969401351</v>
      </c>
      <c r="BX130" s="197">
        <f>BY130+各项系数!$L$9*$NT$12</f>
        <v>1524.303160142995</v>
      </c>
      <c r="BY130" s="197">
        <f>BZ130*(1+$CG130+各项系数!$J$5+各项系数!$L$5)</f>
        <v>1524.2948967398399</v>
      </c>
      <c r="BZ130" s="199">
        <f t="shared" si="343"/>
        <v>1479.8979579998445</v>
      </c>
      <c r="CA130" s="196">
        <f>CB130+各项系数!$M$9*$NT130</f>
        <v>1511.8427535095138</v>
      </c>
      <c r="CB130" s="196">
        <f>CC130*(1+$CF130+(VLOOKUP($AM130,$A$12:$B$214,2,0))+各项系数!$J$6+各项系数!$M$5)*(1+$E$2)</f>
        <v>1503.6535138654051</v>
      </c>
      <c r="CC130" s="197">
        <f>CD130+各项系数!$L$9*$NT$12</f>
        <v>1534.3403202708216</v>
      </c>
      <c r="CD130" s="197">
        <f>CE130*(1+$CG130+各项系数!$J$5+各项系数!$L$5)</f>
        <v>1534.3320568676666</v>
      </c>
      <c r="CE130" s="199">
        <f t="shared" si="405"/>
        <v>1489.6427736579287</v>
      </c>
      <c r="CF130" s="213">
        <f t="shared" si="514"/>
        <v>0</v>
      </c>
      <c r="CG130" s="213">
        <f t="shared" si="344"/>
        <v>0.01</v>
      </c>
      <c r="CH130" s="106"/>
      <c r="CI130" s="196">
        <f>CJ130+各项系数!$M$9*$NO130</f>
        <v>1511.8477839113816</v>
      </c>
      <c r="CJ130" s="196">
        <f>CK130*(1+$DC130+(VLOOKUP($AM130,$A$12:$B$323,2,0))+各项系数!$J$6+各项系数!$M$5)*(1+$E$2)+各项系数!$M$9*$NK130</f>
        <v>1501.365823910482</v>
      </c>
      <c r="CK130" s="197">
        <f>CL130+各项系数!$L$9*$NO130</f>
        <v>1523.687130444504</v>
      </c>
      <c r="CL130" s="197">
        <f>CM130*(1+$DD130+各项系数!$J$5+各项系数!$L$5)</f>
        <v>1513.2051704436044</v>
      </c>
      <c r="CM130" s="197">
        <f t="shared" si="345"/>
        <v>1483.5344808270631</v>
      </c>
      <c r="CN130" s="196">
        <f>CO130+各项系数!$M$9*$NO130</f>
        <v>1522.7098719440446</v>
      </c>
      <c r="CO130" s="196">
        <f>CP130*(1+$DC130+(VLOOKUP($AM130,$A$12:$B$323,2,0))+各项系数!$J$6+各项系数!$M$5)*(1+$E$2)+各项系数!$M$9*$NK130</f>
        <v>1512.227911943145</v>
      </c>
      <c r="CP130" s="197">
        <f>CQ130+各项系数!$L$9*$NO130</f>
        <v>1534.7708937431398</v>
      </c>
      <c r="CQ130" s="197">
        <f>CR130*(1+$DD130+各项系数!$J$5+各项系数!$L$5)</f>
        <v>1524.2889337422403</v>
      </c>
      <c r="CR130" s="197">
        <f t="shared" si="346"/>
        <v>1494.4009154335688</v>
      </c>
      <c r="CS130" s="196">
        <f>CT130+各项系数!$M$9*$NU130</f>
        <v>1512.3584394064083</v>
      </c>
      <c r="CT130" s="196">
        <f t="shared" si="347"/>
        <v>1501.8384270673268</v>
      </c>
      <c r="CU130" s="197">
        <f>CV130+各项系数!$L$9*$NU130</f>
        <v>1532.4881908850275</v>
      </c>
      <c r="CV130" s="197">
        <f>CW130*(1+$DD130+各项系数!$J$5+各项系数!$L$5)</f>
        <v>1521.9681785459461</v>
      </c>
      <c r="CW130" s="199">
        <f t="shared" si="348"/>
        <v>1492.1256652411237</v>
      </c>
      <c r="CX130" s="196">
        <f>CY130+各项系数!$M$9*$NU130</f>
        <v>1524.1585301683349</v>
      </c>
      <c r="CY130" s="196">
        <f t="shared" si="349"/>
        <v>1513.6385178292535</v>
      </c>
      <c r="CZ130" s="197">
        <f>DA130+各项系数!$L$9*$NU130</f>
        <v>1544.529099825769</v>
      </c>
      <c r="DA130" s="197">
        <f>DB130*(1+$DD130+各项系数!$J$5+各项系数!$L$5)</f>
        <v>1534.0090874866876</v>
      </c>
      <c r="DB130" s="199">
        <f t="shared" si="350"/>
        <v>1503.9304779281251</v>
      </c>
      <c r="DC130" s="213">
        <f t="shared" si="571"/>
        <v>0</v>
      </c>
      <c r="DD130" s="213">
        <f t="shared" si="351"/>
        <v>0</v>
      </c>
      <c r="DE130" s="53" t="s">
        <v>498</v>
      </c>
      <c r="DF130" s="53" t="s">
        <v>513</v>
      </c>
      <c r="DG130" s="196">
        <f>DH130+各项系数!$M$9*$NQ130</f>
        <v>1528.1438748098187</v>
      </c>
      <c r="DH130" s="196">
        <f>DI130*(1+$EA130+(VLOOKUP($AM130,$A$12:$B$323,2,0))+各项系数!$J$6+各项系数!$M$5)*(1+$E$2)+各项系数!$M$9*$NK130</f>
        <v>1517.6619148089192</v>
      </c>
      <c r="DI130" s="197">
        <f>DJ130+各项系数!$L$9*$NQ130</f>
        <v>1540.3157946265828</v>
      </c>
      <c r="DJ130" s="197">
        <f>DK130*(1+$EB130+各项系数!$J$5+各项系数!$L$5)</f>
        <v>1529.8338346256833</v>
      </c>
      <c r="DK130" s="197">
        <f t="shared" si="352"/>
        <v>1485.2755675977508</v>
      </c>
      <c r="DL130" s="196">
        <f>DM130+各项系数!$M$9*$NQ130</f>
        <v>1538.2821070030814</v>
      </c>
      <c r="DM130" s="196">
        <f>DN130*(1+$EA130+(VLOOKUP($AM130,$A$12:$B$323,2,0))+各项系数!$J$6+各项系数!$M$5)*(1+$E$2)+各项系数!$M$9*$NK130</f>
        <v>1527.8001470021818</v>
      </c>
      <c r="DN130" s="197">
        <f>DO130+各项系数!$L$9*$NQ130</f>
        <v>1550.660929517667</v>
      </c>
      <c r="DO130" s="197">
        <f>DP130*(1+$EB130+各项系数!$J$5+各项系数!$L$5)</f>
        <v>1540.1789695167674</v>
      </c>
      <c r="DP130" s="197">
        <f t="shared" si="353"/>
        <v>1495.3193878803568</v>
      </c>
      <c r="DQ130" s="196">
        <f>DR130+各项系数!$M$9*$NV130</f>
        <v>1528.741692388244</v>
      </c>
      <c r="DR130" s="196">
        <f t="shared" si="354"/>
        <v>1518.2216800491626</v>
      </c>
      <c r="DS130" s="197">
        <f>DT130+各项系数!$L$9*$NV130</f>
        <v>1549.2057959685333</v>
      </c>
      <c r="DT130" s="197">
        <f>DU130*(1+$EB130+各项系数!$J$5+各项系数!$L$5)</f>
        <v>1538.6857836294519</v>
      </c>
      <c r="DU130" s="199">
        <f t="shared" si="355"/>
        <v>1493.8696928441279</v>
      </c>
      <c r="DV130" s="196">
        <f>DW130+各项系数!$M$9*$NV130</f>
        <v>1523.9650376397183</v>
      </c>
      <c r="DW130" s="196">
        <f t="shared" si="356"/>
        <v>1513.4450253006369</v>
      </c>
      <c r="DX130" s="197">
        <f>DY130+各项系数!$L$9*$NV130</f>
        <v>1544.3316584700376</v>
      </c>
      <c r="DY130" s="197">
        <f>DZ130*(1+$EB130+各项系数!$J$5+各项系数!$L$5)</f>
        <v>1533.8116461309562</v>
      </c>
      <c r="DZ130" s="199">
        <f t="shared" si="357"/>
        <v>1489.1375205154914</v>
      </c>
      <c r="EA130" s="213">
        <f t="shared" si="559"/>
        <v>0</v>
      </c>
      <c r="EB130" s="213">
        <f t="shared" si="358"/>
        <v>0.01</v>
      </c>
      <c r="EC130" s="235" t="str">
        <f t="shared" si="408"/>
        <v>3+2</v>
      </c>
      <c r="ED130" s="237" t="str">
        <f t="shared" si="565"/>
        <v>3*630</v>
      </c>
      <c r="EE130" s="189">
        <f t="shared" si="495"/>
        <v>630</v>
      </c>
      <c r="EF130" s="78" t="str">
        <f>LOOKUP(EH130,{1,7,10,14,19,24,30,37,48,61},{1,"1+6","2+8","4+10","1+6+12","2+8+14","4+10+16","1+6+12+18","3+9+15+21","1+6+12+18+24"})</f>
        <v>1+6+12+18+24</v>
      </c>
      <c r="EG130" s="188">
        <f t="shared" si="359"/>
        <v>3</v>
      </c>
      <c r="EH130" s="197">
        <f>VLOOKUP(EE130,各项系数!$B$87:$C$124,2,0)</f>
        <v>61</v>
      </c>
      <c r="EI130" s="188">
        <f>IF(EH130=0,0,VLOOKUP(EH130,各项系数!$D$142:$E$195,2,0))*1</f>
        <v>9</v>
      </c>
      <c r="EJ130" s="238">
        <f t="shared" si="409"/>
        <v>357.20659441456399</v>
      </c>
      <c r="EK130" s="78" t="str">
        <f t="shared" si="566"/>
        <v>2*300</v>
      </c>
      <c r="EL130" s="189" t="str">
        <f t="shared" si="360"/>
        <v>300</v>
      </c>
      <c r="EM130" s="78">
        <f t="shared" si="567"/>
        <v>300</v>
      </c>
      <c r="EN130" s="78" t="str">
        <f>IF(EP130=0,0,LOOKUP(EP130,{1,7,10,14,19,24,30,37,48,61},{1,"1+6","2+8","4+10","1+6+12","2+8+14","4+10+16","1+6+12+18","3+9+15+21","1+6+12+18+24"}))</f>
        <v>1+6+12+18+24</v>
      </c>
      <c r="EO130" s="78" t="str">
        <f t="shared" si="568"/>
        <v>2</v>
      </c>
      <c r="EP130" s="78">
        <f>IF(EM130=0,0,IF(EM130&lt;10,1,IF(AND(EM130&gt;=10,EM130&lt;=35),7,LOOKUP(EM130,{50,70,95,120,150,185,240,300},{10,14,19,24,30,37,48,61})*1)))</f>
        <v>61</v>
      </c>
      <c r="EQ130" s="189">
        <f>IF(EP130=0,0,VLOOKUP(EP130,各项系数!$D$142:$E$195,2,0))*1</f>
        <v>9</v>
      </c>
      <c r="ER130" s="78">
        <f t="shared" si="569"/>
        <v>245.118138379664</v>
      </c>
      <c r="ES130" s="237">
        <f t="shared" si="570"/>
        <v>5</v>
      </c>
      <c r="ET130" s="189">
        <f>VLOOKUP(ES130,各项系数!$D$142:$E$195,2,0)*1</f>
        <v>2.7</v>
      </c>
      <c r="EU130" s="243">
        <f>((各项系数!$F$76/4*$EJ130^2*$EG130*$EH130*1*10^-7)*(1-$H130)*AA130)*(VLOOKUP($EY$9,各项系数!$D$4:$F$143,3,0))*各项系数!$J$4</f>
        <v>16.708673519725867</v>
      </c>
      <c r="EV130" s="244">
        <f>EU130*(VLOOKUP($EY$9,各项系数!$D$4:$F$143,2,0))</f>
        <v>1094.4181155420442</v>
      </c>
      <c r="EW130" s="252">
        <f>(IF($EO130=0,0,(各项系数!$F$76/4*$ER130^2*$EO130*$EP130*1*10^-7))*(1-$K130)*$AF130)*(VLOOKUP($EY$9,各项系数!$D$4:$F$143,3,0))*各项系数!$J$4</f>
        <v>5.1942832045878964</v>
      </c>
      <c r="EX130" s="253">
        <f>EW130*(VLOOKUP($EY$9,各项系数!$D$4:$F$143,2,0))</f>
        <v>340.22554990050719</v>
      </c>
      <c r="EY130" s="189">
        <f>((各项系数!$F$76/4*$EJ130^2*$EG130*$EH130*1*10^-7)*(1-$H130)*AA130+IF($EO130=0,0,(各项系数!$F$76/4*$ER130^2*$EO130*$EP130*1*10^-7))*(1-$K130)*$AF130)*(VLOOKUP($EY$9,各项系数!$D$4:$F$143,3,0))*各项系数!$J$4</f>
        <v>21.902956724313764</v>
      </c>
      <c r="EZ130" s="102">
        <v>1</v>
      </c>
      <c r="FA130" s="189">
        <f t="shared" si="515"/>
        <v>21.902956724313764</v>
      </c>
      <c r="FB130" s="254">
        <f>FA130*(VLOOKUP($EY$9,各项系数!$D$4:$F$143,2,0))</f>
        <v>1434.6436654425515</v>
      </c>
      <c r="FC130" s="257"/>
      <c r="FD130" s="235">
        <f>各项系数!$F$76/4*($MN130^2-MK130^2)*10^-2*(VLOOKUP(L130,各项系数!$D$1:$F$143,3,0))*10^-3*10^2*$EG130*各项系数!$J$4</f>
        <v>0.8553197614006377</v>
      </c>
      <c r="FE130" s="262">
        <f>FD130*VLOOKUP(L130,各项系数!$D$1:$F$143,2,0)</f>
        <v>8.7242615662865042</v>
      </c>
      <c r="FF130" s="188">
        <f>各项系数!$F$76/4*($MO130^2-ML130^2)*10^-2*(VLOOKUP(L130,各项系数!$D$1:$F$143,3,0))*10^-3*10^2*$EO130*各项系数!$J$4</f>
        <v>0.2953589193375763</v>
      </c>
      <c r="FG130" s="262">
        <f>FF130*VLOOKUP(L130,各项系数!$D$1:$F$143,2,0)</f>
        <v>3.0126609772432782</v>
      </c>
      <c r="FH130" s="235">
        <f t="shared" si="410"/>
        <v>1.1506786807382139</v>
      </c>
      <c r="FI130" s="102">
        <v>1</v>
      </c>
      <c r="FJ130" s="189">
        <f t="shared" si="516"/>
        <v>1.1506786807382139</v>
      </c>
      <c r="FK130" s="262">
        <f>FJ130*VLOOKUP(L130,各项系数!$D$1:$F$143,2,0)</f>
        <v>11.736922543529781</v>
      </c>
      <c r="FL130" s="237"/>
      <c r="FM130" s="106"/>
      <c r="FN130" s="189"/>
      <c r="FO130" s="262"/>
      <c r="FP130" s="282">
        <f t="shared" si="517"/>
        <v>1.1506786807382139</v>
      </c>
      <c r="FQ130" s="282">
        <f t="shared" si="518"/>
        <v>11.736922543529781</v>
      </c>
      <c r="FR130" s="283">
        <f>各项系数!$F$76/4*($MQ130^2-$MN130^2*$EG130-$MO130^2*$EO130)*10^-2</f>
        <v>17.718652602137546</v>
      </c>
      <c r="FS130" s="284">
        <f t="shared" si="411"/>
        <v>1</v>
      </c>
      <c r="FT130" s="285">
        <f t="shared" si="361"/>
        <v>17.718652602137546</v>
      </c>
      <c r="FU130" s="302">
        <f>$FT130*(VLOOKUP($FT$9,各项系数!$D$1:$F$143,3,0))*10^-3*10^2*各项系数!$J$55</f>
        <v>2.1156071206952229</v>
      </c>
      <c r="FV130" s="303">
        <v>1</v>
      </c>
      <c r="FW130" s="304">
        <f t="shared" si="519"/>
        <v>2.1156071206952229</v>
      </c>
      <c r="FX130" s="285">
        <f>FW130*(VLOOKUP($FT$9,各项系数!$D$1:$F$143,2,0))</f>
        <v>6.3468213620856684</v>
      </c>
      <c r="FY130" s="302">
        <f>IF($BK130&lt;&gt;$FY$9,0,各项系数!$F$76/4*($MS130^2-$MQ130^2)*10^-2*(VLOOKUP($FY$9,各项系数!$D$1:$F$143,3,0))*10^-3*10^2)*各项系数!$J$4</f>
        <v>0</v>
      </c>
      <c r="FZ130" s="303">
        <v>1</v>
      </c>
      <c r="GA130" s="304">
        <f t="shared" si="520"/>
        <v>0</v>
      </c>
      <c r="GB130" s="285">
        <f>GA130*(VLOOKUP($FY$9,各项系数!$D$1:$F$143,2,0))</f>
        <v>0</v>
      </c>
      <c r="GC130" s="302">
        <f>IF($BK130&lt;&gt;$GC$9,0,各项系数!$F$76/4*($MS130^2-$MQ130^2)*10^-2*(VLOOKUP($GC$9,各项系数!$D$1:$F$143,3,0))*10^-3*10^2)*各项系数!$J$4</f>
        <v>2.3871702352044551E-2</v>
      </c>
      <c r="GD130" s="303">
        <v>1</v>
      </c>
      <c r="GE130" s="304">
        <f t="shared" si="521"/>
        <v>2.3871702352044551E-2</v>
      </c>
      <c r="GF130" s="285">
        <f>GE130*(VLOOKUP($GC$9,各项系数!$D$1:$F$143,2,0))</f>
        <v>0.3079449603413747</v>
      </c>
      <c r="GG130" s="302">
        <f>IF($BK130&lt;&gt;$GG$9,0,各项系数!$F$76/4*($MS130^2-$MQ130^2)*10^-2*(VLOOKUP($GG$9,各项系数!$D$1:$F$143,3,0))*10^-3*10^2)*各项系数!$J$4</f>
        <v>0</v>
      </c>
      <c r="GH130" s="303">
        <v>1</v>
      </c>
      <c r="GI130" s="304">
        <f t="shared" si="522"/>
        <v>0</v>
      </c>
      <c r="GJ130" s="285">
        <f>GI130*(VLOOKUP($GG$9,各项系数!$D$1:$F$143,2,0))</f>
        <v>0</v>
      </c>
      <c r="GK130" s="302">
        <f>IF($BK130&lt;&gt;$GK$9,0,各项系数!$F$76/4*($MS130^2-$MQ130^2)*10^-2*(VLOOKUP($GK$9,各项系数!$D$1:$F$143,3,0))*10^-3*10^2)*各项系数!$J$4</f>
        <v>0</v>
      </c>
      <c r="GL130" s="303">
        <v>1</v>
      </c>
      <c r="GM130" s="304">
        <f t="shared" si="523"/>
        <v>0</v>
      </c>
      <c r="GN130" s="285">
        <f>GM130*(VLOOKUP($GK$9,各项系数!$D$1:$F$143,2,0))</f>
        <v>0</v>
      </c>
      <c r="GO130" s="304">
        <f t="shared" si="524"/>
        <v>2.3871702352044551E-2</v>
      </c>
      <c r="GP130" s="304">
        <f t="shared" si="525"/>
        <v>0.3079449603413747</v>
      </c>
      <c r="GQ130" s="315">
        <f>各项系数!$F$76/4*($MU130^2-$MS130^2)*10^-2*(VLOOKUP($S130,各项系数!$D$1:$F$143,3,0))*10^-3*10^2*各项系数!$J$4</f>
        <v>1.6224286783977653</v>
      </c>
      <c r="GR130" s="303">
        <v>1</v>
      </c>
      <c r="GS130" s="304">
        <f t="shared" si="526"/>
        <v>1.6224286783977653</v>
      </c>
      <c r="GT130" s="304">
        <f t="shared" si="457"/>
        <v>0</v>
      </c>
      <c r="GU130" s="304">
        <f>ROUND($GS130*(VLOOKUP($S130,各项系数!$D$1:$F$143,2,0))+$E$3*GS130,GT130)</f>
        <v>9</v>
      </c>
      <c r="GV130" s="315">
        <f>各项系数!$F$76/4*($MT130^2-$MS130^2)*10^-2*(VLOOKUP($GV$9,各项系数!$D$1:$F$143,3,0))*10^-3*10^2*各项系数!$J$4*PI()/4*R130</f>
        <v>0.12267856413576483</v>
      </c>
      <c r="GW130" s="303">
        <v>1</v>
      </c>
      <c r="GX130" s="304">
        <f t="shared" si="527"/>
        <v>0.12267856413576483</v>
      </c>
      <c r="GY130" s="304">
        <f>$GX130*(VLOOKUP($GV$9,各项系数!$D$1:$F$143,2,0))</f>
        <v>8.2808030791641265</v>
      </c>
      <c r="GZ130" s="315">
        <f>各项系数!$F$76/4*($MV130^2-$MS130^2)*10^-2*(VLOOKUP($GZ$9,各项系数!$D$1:$F$143,3,0))*10^-3*10^2*各项系数!$J$4</f>
        <v>1.663370724316579</v>
      </c>
      <c r="HA130" s="303">
        <v>1</v>
      </c>
      <c r="HB130" s="304">
        <f t="shared" si="412"/>
        <v>1.663370724316579</v>
      </c>
      <c r="HC130" s="304">
        <f>HB130*(VLOOKUP($GZ$9,各项系数!$D$1:$F$143,2,0))</f>
        <v>28.277302313381842</v>
      </c>
      <c r="HD130" s="315">
        <f>各项系数!$F$76/4*($MW130^2-$MT130^2)*10^-2*(VLOOKUP($HD$9,各项系数!$D$1:$F$143,3,0))*10^-3*10^2*各项系数!$J$4</f>
        <v>1.6662715453091992</v>
      </c>
      <c r="HE130" s="303">
        <v>1</v>
      </c>
      <c r="HF130" s="304">
        <f t="shared" si="413"/>
        <v>1.6662715453091992</v>
      </c>
      <c r="HG130" s="304">
        <f>HF130*(VLOOKUP($HD$9,各项系数!$D$1:$F$143,2,0))</f>
        <v>28.326616270256388</v>
      </c>
      <c r="HH130" s="315">
        <f>各项系数!$F$76/4*($MV130^2-$MS130^2)*10^-2*(VLOOKUP($HH$9,各项系数!$D$1:$F$143,3,0))*10^-3*10^2*各项系数!$J$4</f>
        <v>1.663370724316579</v>
      </c>
      <c r="HI130" s="322">
        <v>1</v>
      </c>
      <c r="HJ130" s="304">
        <f t="shared" si="414"/>
        <v>1.663370724316579</v>
      </c>
      <c r="HK130" s="304">
        <f>HJ130*(VLOOKUP($HH$9,各项系数!$D$1:$F$143,2,0))</f>
        <v>28.277302313381842</v>
      </c>
      <c r="HL130" s="315">
        <f>各项系数!$F$76/4*($MW130^2-$MT130^2)*10^-2*(VLOOKUP($HL$9,各项系数!$D$1:$F$143,3,0))*10^-3*10^2*各项系数!$J$4</f>
        <v>1.6662715453091992</v>
      </c>
      <c r="HM130" s="322">
        <v>1</v>
      </c>
      <c r="HN130" s="304">
        <f t="shared" si="362"/>
        <v>1.6662715453091992</v>
      </c>
      <c r="HO130" s="304">
        <f>HN130*(VLOOKUP($HL$9,各项系数!$D$1:$F$143,2,0))</f>
        <v>28.326616270256388</v>
      </c>
      <c r="HP130" s="315">
        <f>各项系数!$F$76/4*($MV130^2-$MS130^2)*10^-2*(VLOOKUP(AN130,各项系数!$D$1:$F$143,3,0))*10^-3*10^2*各项系数!$J$4</f>
        <v>1.686313768789911</v>
      </c>
      <c r="HQ130" s="303">
        <v>1</v>
      </c>
      <c r="HR130" s="304">
        <f t="shared" si="528"/>
        <v>1.686313768789911</v>
      </c>
      <c r="HS130" s="304">
        <f>HR130*(VLOOKUP(AN130,各项系数!$D$1:$F$143,2,0))</f>
        <v>16.863137687899112</v>
      </c>
      <c r="HT130" s="315">
        <f>各项系数!$F$76/4*($MW130^2-$MT130^2)*10^-2*(VLOOKUP(AN130,各项系数!$D$1:$F$143,3,0))*10^-3*10^2*各项系数!$J$4</f>
        <v>1.689254601106567</v>
      </c>
      <c r="HU130" s="303">
        <v>1</v>
      </c>
      <c r="HV130" s="304">
        <f t="shared" si="529"/>
        <v>1.689254601106567</v>
      </c>
      <c r="HW130" s="304">
        <f>HV130*(VLOOKUP(AN130,各项系数!$D$1:$F$143,2,0))</f>
        <v>16.892546011065669</v>
      </c>
      <c r="HX130" s="315">
        <f>各项系数!$F$76/4*($MV130^2-$MS130^2)*10^-2*(VLOOKUP($HX$9,各项系数!$D$1:$F$143,3,0))*10^-3*10^2*各项系数!$J$4</f>
        <v>1.686313768789911</v>
      </c>
      <c r="HY130" s="322">
        <v>1</v>
      </c>
      <c r="HZ130" s="304">
        <f t="shared" si="530"/>
        <v>1.686313768789911</v>
      </c>
      <c r="IA130" s="304">
        <f>HZ130*(VLOOKUP($HX$9,各项系数!$D$1:$F$143,2,0))</f>
        <v>18.54945145668902</v>
      </c>
      <c r="IB130" s="315">
        <f>各项系数!$F$76/4*($MW130^2-$MT130^2)*10^-2*(VLOOKUP($IB$9,各项系数!$D$1:$F$143,3,0))*10^-3*10^2*各项系数!$J$4</f>
        <v>1.689254601106567</v>
      </c>
      <c r="IC130" s="322">
        <v>1</v>
      </c>
      <c r="ID130" s="304">
        <f t="shared" si="531"/>
        <v>1.689254601106567</v>
      </c>
      <c r="IE130" s="304">
        <f>ID130*(VLOOKUP($IB$9,各项系数!$D$1:$F$143,2,0))</f>
        <v>18.581800612172238</v>
      </c>
      <c r="IF130" s="309"/>
      <c r="IG130" s="315">
        <f t="shared" si="415"/>
        <v>0.19983834083991653</v>
      </c>
      <c r="IH130" s="303">
        <v>1</v>
      </c>
      <c r="II130" s="304">
        <f t="shared" si="532"/>
        <v>0.19983834083991653</v>
      </c>
      <c r="IJ130" s="304">
        <f>II130*(VLOOKUP($IG$8,各项系数!$D$1:$F$143,2,0))</f>
        <v>4.9959585209979132</v>
      </c>
      <c r="IK130" s="315">
        <f>(各项系数!$F$76/4*($MX130^2-$MK130^2)*$EG130)*10^-2*(VLOOKUP($IG$8,各项系数!$D$1:$F$143,3,0))*10^-3*10^2*各项系数!$J$4</f>
        <v>0.1369312580507743</v>
      </c>
      <c r="IL130" s="303">
        <f>IK130*(VLOOKUP($IG$8,各项系数!$D$1:$F$143,2,0))</f>
        <v>3.4232814512693577</v>
      </c>
      <c r="IM130" s="304">
        <f>(各项系数!$F$76/4*(($MM130+3*$X130)^2-MM130^2)*$EO130)*10^-2*(VLOOKUP($IG$8,各项系数!$D$1:$F$143,3,0))*10^-3*10^2*各项系数!$J$4</f>
        <v>6.2907082789142241E-2</v>
      </c>
      <c r="IN130" s="303">
        <f>IM130*(VLOOKUP($IG$8,各项系数!$D$1:$F$143,2,0))</f>
        <v>1.5726770697285559</v>
      </c>
      <c r="IO130" s="315">
        <f>各项系数!$F$76/4*($MZ130^2-$MX130^2)*10^-2*(VLOOKUP(L130,各项系数!$D$1:$F$143,3,0))*10^-3*10^2*$ES130*各项系数!$J$4</f>
        <v>1.4502899424150775</v>
      </c>
      <c r="IP130" s="303">
        <v>1</v>
      </c>
      <c r="IQ130" s="304">
        <f t="shared" si="533"/>
        <v>1.4502899424150775</v>
      </c>
      <c r="IR130" s="285">
        <f>IQ130*(VLOOKUP(L130,各项系数!$D$1:$F$143,2,0))</f>
        <v>14.79295741263379</v>
      </c>
      <c r="IS130" s="315">
        <f>IF($L130&lt;&gt;$IS$9,0,各项系数!$F$76/4*($MZ130^2-$MX130^2)*10^-2*各项系数!$F$12*10^-3*10^2)*$ES130*各项系数!$J$4</f>
        <v>0</v>
      </c>
      <c r="IT130" s="310">
        <v>1</v>
      </c>
      <c r="IU130" s="304">
        <f t="shared" si="534"/>
        <v>0</v>
      </c>
      <c r="IV130" s="285">
        <f>IU130*各项系数!$E$12</f>
        <v>0</v>
      </c>
      <c r="IW130" s="302">
        <f t="shared" si="535"/>
        <v>1.4502899424150775</v>
      </c>
      <c r="IX130" s="302">
        <f t="shared" si="536"/>
        <v>14.79295741263379</v>
      </c>
      <c r="IY130" s="339">
        <f>各项系数!$F$76/4*($NB130^2-$MZ130^2*$EG130-$NA130^2*$EO130)*10^-2</f>
        <v>19.24139040183859</v>
      </c>
      <c r="IZ130" s="284">
        <f t="shared" si="487"/>
        <v>1</v>
      </c>
      <c r="JA130" s="285">
        <f t="shared" si="363"/>
        <v>19.24139040183859</v>
      </c>
      <c r="JB130" s="282">
        <f>IF($DE130&lt;&gt;$JB$9,0,$JA130*各项系数!$F$32*10^-3*10^2)*各项系数!$J$4</f>
        <v>0</v>
      </c>
      <c r="JC130" s="102">
        <v>1</v>
      </c>
      <c r="JD130" s="189">
        <f t="shared" si="537"/>
        <v>0</v>
      </c>
      <c r="JE130" s="262">
        <f>JD130*各项系数!$E$32</f>
        <v>0</v>
      </c>
      <c r="JF130" s="282">
        <f>IF($DE130&lt;&gt;$JF$9,0,$JA130*VLOOKUP($JF$9,各项系数!$D$4:$F$540,2,0)*10^-3*10^2)*各项系数!$J$4</f>
        <v>9.5725917249146981</v>
      </c>
      <c r="JG130" s="102">
        <v>1</v>
      </c>
      <c r="JH130" s="189">
        <f t="shared" si="364"/>
        <v>9.5725917249146981</v>
      </c>
      <c r="JI130" s="262">
        <f>JH130*VLOOKUP($JF$9,各项系数!$D$4:$F$540,3,0)</f>
        <v>11.487110069897637</v>
      </c>
      <c r="JJ130" s="282">
        <f t="shared" si="538"/>
        <v>9.5725917249146981</v>
      </c>
      <c r="JK130" s="189">
        <f t="shared" si="539"/>
        <v>11.487110069897637</v>
      </c>
      <c r="JL130" s="282">
        <f>IF($DF130&lt;&gt;$JL$9,0,各项系数!$F$76/4*($NE130^2-$NC130^2)*10^-2*各项系数!$F$39*10^-3*10^2)*各项系数!$J$4</f>
        <v>1.0196083705308345E-2</v>
      </c>
      <c r="JM130" s="102">
        <v>1</v>
      </c>
      <c r="JN130" s="189">
        <f t="shared" si="540"/>
        <v>1.0196083705308345E-2</v>
      </c>
      <c r="JO130" s="262">
        <f>JN130*各项系数!$E$39</f>
        <v>0.20392167410616691</v>
      </c>
      <c r="JP130" s="282">
        <f>IF($DF130&lt;&gt;$JP$9,0,各项系数!$F$76/4*($NE130^2-$NC130^2)*10^-2*各项系数!$F$36*10^-3*10^2)*各项系数!$J$4</f>
        <v>0</v>
      </c>
      <c r="JQ130" s="102">
        <v>1</v>
      </c>
      <c r="JR130" s="189">
        <f t="shared" si="541"/>
        <v>0</v>
      </c>
      <c r="JS130" s="262">
        <f>JR130*各项系数!$E$36</f>
        <v>0</v>
      </c>
      <c r="JT130" s="282">
        <f>IF($DF130&lt;&gt;$JT$9,0,各项系数!$F$76/4*($NE130^2-$NC130^2)*10^-2*各项系数!$F$40*10^-3*10^2)*各项系数!$J$4</f>
        <v>0</v>
      </c>
      <c r="JU130" s="102">
        <v>1</v>
      </c>
      <c r="JV130" s="189">
        <f t="shared" si="542"/>
        <v>0</v>
      </c>
      <c r="JW130" s="262">
        <f>JV130*各项系数!$E$40</f>
        <v>0</v>
      </c>
      <c r="JX130" s="282">
        <f>IF($DF130&lt;&gt;$JX$9,0,各项系数!$F$76/4*($NE130^2-$NC130^2)*10^-2*各项系数!$F$38*10^-3*10^2)*各项系数!$J$4</f>
        <v>0</v>
      </c>
      <c r="JY130" s="102">
        <v>1</v>
      </c>
      <c r="JZ130" s="189">
        <f t="shared" si="543"/>
        <v>0</v>
      </c>
      <c r="KA130" s="262">
        <f>JZ130*各项系数!$E$38</f>
        <v>0</v>
      </c>
      <c r="KB130" s="282">
        <f>IF($DF130&lt;&gt;$KB$9,0,各项系数!$F$76/4*($NE130^2-$NC130^2)*10^-2*各项系数!$F$41*10^-3*10^2)*各项系数!$J$4</f>
        <v>0</v>
      </c>
      <c r="KC130" s="102">
        <v>1</v>
      </c>
      <c r="KD130" s="189">
        <f t="shared" si="544"/>
        <v>0</v>
      </c>
      <c r="KE130" s="262">
        <f>KD130*各项系数!$E$41</f>
        <v>0</v>
      </c>
      <c r="KF130" s="189">
        <f t="shared" si="545"/>
        <v>1.0196083705308345E-2</v>
      </c>
      <c r="KG130" s="189">
        <f t="shared" si="546"/>
        <v>0.20392167410616691</v>
      </c>
      <c r="KH130" s="235">
        <f>各项系数!$F$76/4*($NG130^2-$NE130^2)*10^-2*各项系数!$F$44*10^-3*10^2*各项系数!$J$4*0.75*$U130</f>
        <v>2.5155929298747024</v>
      </c>
      <c r="KI130" s="102">
        <v>1</v>
      </c>
      <c r="KJ130" s="189">
        <f t="shared" si="547"/>
        <v>2.5155929298747024</v>
      </c>
      <c r="KK130" s="189">
        <f>ROUND(KJ130*各项系数!$E$43,GT130)</f>
        <v>15</v>
      </c>
      <c r="KL130" s="235">
        <f>各项系数!$F$76/4*($NF130^2-$NE130^2)*10^-2*各项系数!$F$46*10^-3*10^2*各项系数!$J$4*PI()/4*R130</f>
        <v>0.12684112727250349</v>
      </c>
      <c r="KM130" s="102">
        <v>1</v>
      </c>
      <c r="KN130" s="189">
        <f t="shared" si="548"/>
        <v>0.12684112727250349</v>
      </c>
      <c r="KO130" s="189">
        <f>KN130*各项系数!$E$46</f>
        <v>8.5617760908939857</v>
      </c>
      <c r="KP130" s="235">
        <f>各项系数!$F$76/4*($NH130^2-$NE130^2)*10^-2*(VLOOKUP($KP$9,各项系数!$D$1:$F$143,3,0))*10^-3*10^2*各项系数!$J$4</f>
        <v>1.7173985153041018</v>
      </c>
      <c r="KQ130" s="102">
        <v>1</v>
      </c>
      <c r="KR130" s="189">
        <f t="shared" si="416"/>
        <v>1.7173985153041018</v>
      </c>
      <c r="KS130" s="189">
        <f>KR130*(VLOOKUP($KP$9,各项系数!$D$1:$F$143,2,0))</f>
        <v>29.19577476016973</v>
      </c>
      <c r="KT130" s="235">
        <f>各项系数!$F$76/4*($NI130^2-$NF130^2)*10^-2*(VLOOKUP($KT$9,各项系数!$D$1:$F$143,3,0))*10^-3*10^2*各项系数!$J$4</f>
        <v>1.72029933629672</v>
      </c>
      <c r="KU130" s="102">
        <v>1</v>
      </c>
      <c r="KV130" s="189">
        <f t="shared" si="417"/>
        <v>1.72029933629672</v>
      </c>
      <c r="KW130" s="189">
        <f>KV130*(VLOOKUP($KT$9,各项系数!$D$1:$F$143,2,0))</f>
        <v>29.24508871704424</v>
      </c>
      <c r="KX130" s="189">
        <f>各项系数!$F$76/4*($NH130^2-$NE130^2)*10^-2*(VLOOKUP($KX$9,各项系数!$D$1:$F$143,3,0))*10^-3*10^2*各项系数!$J$4</f>
        <v>1.7173985153041018</v>
      </c>
      <c r="KY130" s="353">
        <v>1</v>
      </c>
      <c r="KZ130" s="189">
        <f t="shared" si="418"/>
        <v>1.7173985153041018</v>
      </c>
      <c r="LA130" s="189">
        <f>KZ130*(VLOOKUP($KX$9,各项系数!$D$1:$F$143,2,0))</f>
        <v>29.19577476016973</v>
      </c>
      <c r="LB130" s="189">
        <f>各项系数!$F$76/4*($NI130^2-$NF130^2)*10^-2*(VLOOKUP($LB$9,各项系数!$D$1:$F$143,3,0))*10^-3*10^2*各项系数!$J$4</f>
        <v>1.72029933629672</v>
      </c>
      <c r="LC130" s="353">
        <v>1</v>
      </c>
      <c r="LD130" s="189">
        <f t="shared" si="419"/>
        <v>1.72029933629672</v>
      </c>
      <c r="LE130" s="189">
        <f>LD130*(VLOOKUP($LB$9,各项系数!$D$1:$F$143,2,0))</f>
        <v>29.24508871704424</v>
      </c>
      <c r="LF130" s="235">
        <f>各项系数!$F$76/4*($NH130^2-$NE130^2)*10^-2*(VLOOKUP(AN130,各项系数!$D$1:$F$143,3,0))*10^-3*10^2*各项系数!$J$4</f>
        <v>1.7410867706876065</v>
      </c>
      <c r="LG130" s="102">
        <v>1</v>
      </c>
      <c r="LH130" s="189">
        <f t="shared" si="549"/>
        <v>1.7410867706876065</v>
      </c>
      <c r="LI130" s="189">
        <f>LH130*(VLOOKUP(AN130,各项系数!$D$1:$F$143,2,0))</f>
        <v>17.410867706876065</v>
      </c>
      <c r="LJ130" s="235">
        <f>各项系数!$F$76/4*($NI130^2-$NF130^2)*10^-2*(VLOOKUP(AN130,各项系数!$D$1:$F$143,3,0))*10^-3*10^2*各项系数!$J$4</f>
        <v>1.7440276030042612</v>
      </c>
      <c r="LK130" s="102">
        <v>1</v>
      </c>
      <c r="LL130" s="189">
        <f t="shared" si="550"/>
        <v>1.7440276030042612</v>
      </c>
      <c r="LM130" s="189">
        <f>LL130*(VLOOKUP(AN130,各项系数!$D$1:$F$143,2,0))</f>
        <v>17.440276030042611</v>
      </c>
      <c r="LN130" s="189">
        <f>各项系数!$F$76/4*($NH130^2-$NE130^2)*10^-2*(VLOOKUP($LN$9,各项系数!$D$1:$F$143,3,0))*10^-3*10^2*各项系数!$J$4</f>
        <v>1.7410867706876065</v>
      </c>
      <c r="LO130" s="353">
        <v>1</v>
      </c>
      <c r="LP130" s="189">
        <f t="shared" si="551"/>
        <v>1.7410867706876065</v>
      </c>
      <c r="LQ130" s="189">
        <f>LP130*(VLOOKUP($LN$9,各项系数!$D$1:$F$143,2,0))</f>
        <v>19.15195447756367</v>
      </c>
      <c r="LR130" s="189">
        <f>各项系数!$F$76/4*($NI130^2-$NF130^2)*10^-2*(VLOOKUP($LR$9,各项系数!$D$1:$F$143,3,0))*10^-3*10^2*各项系数!$J$4</f>
        <v>1.7440276030042612</v>
      </c>
      <c r="LS130" s="353">
        <v>1</v>
      </c>
      <c r="LT130" s="189">
        <f t="shared" si="552"/>
        <v>1.7440276030042612</v>
      </c>
      <c r="LU130" s="189">
        <f>LT130*(VLOOKUP($LR$9,各项系数!$D$1:$F$143,2,0))</f>
        <v>19.184303633046873</v>
      </c>
      <c r="LV130" s="227">
        <f t="shared" si="420"/>
        <v>2435.2025486399998</v>
      </c>
      <c r="LW130" s="227">
        <f t="shared" si="421"/>
        <v>1833.91796873</v>
      </c>
      <c r="LX130" s="227">
        <f t="shared" si="422"/>
        <v>48.322012371044934</v>
      </c>
      <c r="LY130" s="227">
        <f t="shared" si="423"/>
        <v>601.28457990999982</v>
      </c>
      <c r="LZ130" s="374">
        <f t="shared" si="365"/>
        <v>1</v>
      </c>
      <c r="MA130" s="375">
        <f t="shared" si="366"/>
        <v>2435.2025486399998</v>
      </c>
      <c r="MB130" s="375">
        <f t="shared" si="424"/>
        <v>32.148593460000001</v>
      </c>
      <c r="MC130" s="227">
        <f t="shared" si="425"/>
        <v>764.46181128000001</v>
      </c>
      <c r="MD130" s="227">
        <f t="shared" si="426"/>
        <v>575.70580671000005</v>
      </c>
      <c r="ME130" s="227">
        <f t="shared" si="427"/>
        <v>27.074183260752854</v>
      </c>
      <c r="MF130" s="227">
        <f t="shared" si="428"/>
        <v>188.75600456999996</v>
      </c>
      <c r="MG130" s="374">
        <f t="shared" si="429"/>
        <v>1</v>
      </c>
      <c r="MH130" s="375">
        <f t="shared" si="367"/>
        <v>764.46181128000001</v>
      </c>
      <c r="MI130" s="375">
        <f t="shared" si="430"/>
        <v>22.060632454233549</v>
      </c>
      <c r="MJ130" s="189">
        <f t="shared" si="368"/>
        <v>32.148593460000001</v>
      </c>
      <c r="MK130" s="189">
        <f t="shared" si="431"/>
        <v>32.148593460000001</v>
      </c>
      <c r="ML130" s="189">
        <f t="shared" si="553"/>
        <v>22.06063245416976</v>
      </c>
      <c r="MM130" s="189">
        <f t="shared" si="369"/>
        <v>22.060632454233549</v>
      </c>
      <c r="MN130" s="189">
        <f t="shared" si="370"/>
        <v>36.948593459999998</v>
      </c>
      <c r="MO130" s="189">
        <f t="shared" si="432"/>
        <v>25.66063245423355</v>
      </c>
      <c r="MP130" s="189">
        <f t="shared" si="433"/>
        <v>87.570204459999999</v>
      </c>
      <c r="MQ130" s="189">
        <f t="shared" si="554"/>
        <v>87.570204459999999</v>
      </c>
      <c r="MR130" s="246">
        <f t="shared" si="434"/>
        <v>87.570204459999999</v>
      </c>
      <c r="MS130" s="380">
        <f t="shared" si="371"/>
        <v>87.746204460000001</v>
      </c>
      <c r="MT130" s="380">
        <f t="shared" si="372"/>
        <v>87.906204459999998</v>
      </c>
      <c r="MU130" s="380">
        <f t="shared" si="373"/>
        <v>89.246204460000001</v>
      </c>
      <c r="MV130" s="380">
        <f t="shared" si="374"/>
        <v>95.746204460000001</v>
      </c>
      <c r="MW130" s="380">
        <f t="shared" si="375"/>
        <v>95.906204459999998</v>
      </c>
      <c r="MX130" s="254">
        <f t="shared" si="376"/>
        <v>32.748593460000002</v>
      </c>
      <c r="MY130" s="254">
        <f t="shared" si="377"/>
        <v>22.66063245423355</v>
      </c>
      <c r="MZ130" s="189">
        <f t="shared" si="378"/>
        <v>37.548593459999999</v>
      </c>
      <c r="NA130" s="189">
        <f t="shared" si="379"/>
        <v>27.460632454233551</v>
      </c>
      <c r="NB130" s="189">
        <f t="shared" si="435"/>
        <v>90.486204459999996</v>
      </c>
      <c r="NC130" s="254">
        <f t="shared" si="555"/>
        <v>90.486204459999996</v>
      </c>
      <c r="ND130" s="246">
        <f t="shared" si="436"/>
        <v>90.486204459999996</v>
      </c>
      <c r="NE130" s="386">
        <f t="shared" si="437"/>
        <v>90.726204459999991</v>
      </c>
      <c r="NF130" s="380">
        <f t="shared" si="380"/>
        <v>90.886204459999988</v>
      </c>
      <c r="NG130" s="387">
        <f t="shared" si="381"/>
        <v>92.226204459999991</v>
      </c>
      <c r="NH130" s="254">
        <f t="shared" si="382"/>
        <v>98.726204459999991</v>
      </c>
      <c r="NI130" s="380">
        <f t="shared" si="383"/>
        <v>98.886204459999988</v>
      </c>
      <c r="NK130" s="388">
        <f t="shared" si="384"/>
        <v>27.174786916226733</v>
      </c>
      <c r="NL130" s="388">
        <f t="shared" si="385"/>
        <v>1472.9111529736506</v>
      </c>
      <c r="NM130" s="388">
        <f t="shared" si="386"/>
        <v>27.174786916226733</v>
      </c>
      <c r="NN130" s="388">
        <f t="shared" si="387"/>
        <v>1474.5974667424405</v>
      </c>
      <c r="NO130" s="388">
        <f t="shared" si="388"/>
        <v>34.939866669665513</v>
      </c>
      <c r="NP130" s="388">
        <f t="shared" si="389"/>
        <v>1485.1071578967917</v>
      </c>
      <c r="NQ130" s="388">
        <f t="shared" si="390"/>
        <v>34.939866669665513</v>
      </c>
      <c r="NR130" s="388">
        <f t="shared" si="391"/>
        <v>1486.8482446674793</v>
      </c>
      <c r="NS130" s="388">
        <f t="shared" si="392"/>
        <v>27.297465480362497</v>
      </c>
      <c r="NT130" s="388">
        <f t="shared" si="393"/>
        <v>27.297465480362497</v>
      </c>
      <c r="NU130" s="388">
        <f t="shared" si="394"/>
        <v>35.066707796938019</v>
      </c>
      <c r="NV130" s="388">
        <f t="shared" si="395"/>
        <v>35.066707796938019</v>
      </c>
      <c r="NW130">
        <f t="shared" si="396"/>
        <v>28.797215594624497</v>
      </c>
      <c r="NX130">
        <f>各项系数!$M$9*NK130</f>
        <v>8.1524360748680191</v>
      </c>
      <c r="NY130">
        <f t="shared" si="397"/>
        <v>27.297465480362497</v>
      </c>
    </row>
    <row r="131" spans="1:389" ht="15" hidden="1" customHeight="1">
      <c r="A131" s="69"/>
      <c r="B131" s="70"/>
      <c r="C131" s="71"/>
      <c r="D131" s="198" t="s">
        <v>936</v>
      </c>
      <c r="E131" s="54">
        <f t="shared" si="560"/>
        <v>107.19711835000001</v>
      </c>
      <c r="F131" s="68">
        <f>$F$35</f>
        <v>404.21883750578098</v>
      </c>
      <c r="G131" s="58"/>
      <c r="H131" s="16"/>
      <c r="I131" s="145">
        <f>$F$32</f>
        <v>277.18119106381198</v>
      </c>
      <c r="J131" s="62"/>
      <c r="K131" s="16"/>
      <c r="L131" s="97" t="s">
        <v>467</v>
      </c>
      <c r="M131" s="103">
        <f t="shared" si="339"/>
        <v>2.6</v>
      </c>
      <c r="N131" s="103">
        <f t="shared" si="501"/>
        <v>2</v>
      </c>
      <c r="O131" s="53">
        <f t="shared" si="572"/>
        <v>0.08</v>
      </c>
      <c r="P131" s="99">
        <v>0.1</v>
      </c>
      <c r="Q131" s="133">
        <f t="shared" si="557"/>
        <v>0.1</v>
      </c>
      <c r="R131" s="70">
        <v>0.8</v>
      </c>
      <c r="S131" s="142" t="str">
        <f>各项系数!$D$43</f>
        <v>钢带</v>
      </c>
      <c r="T131" s="62">
        <v>0.5</v>
      </c>
      <c r="U131" s="62">
        <v>2</v>
      </c>
      <c r="V131" s="143"/>
      <c r="W131" s="145">
        <v>4.2</v>
      </c>
      <c r="X131" s="135">
        <f t="shared" si="558"/>
        <v>0.2</v>
      </c>
      <c r="Y131" s="135"/>
      <c r="Z131" s="168"/>
      <c r="AA131" s="153">
        <f>$AA$35</f>
        <v>1.03</v>
      </c>
      <c r="AB131" s="153">
        <f>PI()*EJ131*EJ131/4*EH131*(1-H131)*AA131*各项系数!$F$5*各项系数!$J$4*10^-7</f>
        <v>7.1320582293852581</v>
      </c>
      <c r="AC131" s="153">
        <f t="shared" si="561"/>
        <v>404.21883750578098</v>
      </c>
      <c r="AD131" s="153">
        <f t="shared" si="341"/>
        <v>806.28770730878864</v>
      </c>
      <c r="AE131" s="153">
        <f>POWER(4*EU131/PI()/EG131/10^-7/EH131/(1-H131)/各项系数!$F$5/各项系数!$J$4,0.5)</f>
        <v>410.23731504138027</v>
      </c>
      <c r="AF131" s="69">
        <f>$AA$31</f>
        <v>1.02</v>
      </c>
      <c r="AG131" s="69">
        <f>IF(EM131=0,0,PI()*ER131*ER131/4*EP131*(1-K131)*(1+AF131)*各项系数!$F$5*各项系数!$J$4*10^-7)</f>
        <v>6.5769333500561356</v>
      </c>
      <c r="AH131" s="69">
        <f t="shared" si="562"/>
        <v>277.18119106381198</v>
      </c>
      <c r="AI131" s="69">
        <f t="shared" si="398"/>
        <v>375.44593055473609</v>
      </c>
      <c r="AJ131" s="69">
        <f>IF(OR(EP131="",EP131=0),0,POWER(4*EW131/PI()/EO131/10^-7/EP131/(1-K131)/各项系数!$F$5/各项系数!$J$4,0.5))</f>
        <v>279.93928079700521</v>
      </c>
      <c r="AK131" s="69">
        <f t="shared" si="342"/>
        <v>28.03822619019266</v>
      </c>
      <c r="AL131" s="69">
        <f t="shared" si="563"/>
        <v>1936.9643994651569</v>
      </c>
      <c r="AM131" s="106">
        <f t="shared" si="564"/>
        <v>800</v>
      </c>
      <c r="AN131" s="97" t="s">
        <v>486</v>
      </c>
      <c r="AO131" s="196">
        <f>AP131+各项系数!$M$9*$NK131</f>
        <v>1898.984705357997</v>
      </c>
      <c r="AP131" s="196">
        <f>AQ131*(1+$BI131+(VLOOKUP($AM131,$A$12:$B$323,2,0))+各项系数!$J$6+各项系数!$M$5)*(1+$E$2)</f>
        <v>1888.6271892148688</v>
      </c>
      <c r="AQ131" s="197">
        <f>AR131+各项系数!$L$9*$NK131</f>
        <v>1927.1706012396621</v>
      </c>
      <c r="AR131" s="197">
        <f>AS131*(1+$BJ131+各项系数!$J$5+各项系数!$L$5)</f>
        <v>1916.813085096534</v>
      </c>
      <c r="AS131" s="197">
        <f t="shared" si="399"/>
        <v>1879.2285148005235</v>
      </c>
      <c r="AT131" s="196">
        <f>AU131+各项系数!$M$9*$NM131</f>
        <v>1912.4339113753188</v>
      </c>
      <c r="AU131" s="196">
        <f>AV131*(1+$BI131+(VLOOKUP($AM131,$A$12:$B$323,2,0))+各项系数!$J$6+各项系数!$M$5)*(1+$E$2)</f>
        <v>1902.0763952321906</v>
      </c>
      <c r="AV131" s="197">
        <f>AW131+各项系数!$L$9*$NM131</f>
        <v>1940.8942808491743</v>
      </c>
      <c r="AW131" s="197">
        <f>AX131*(1+$BJ131+各项系数!$J$5+各项系数!$L$5)</f>
        <v>1930.5367647060461</v>
      </c>
      <c r="AX131" s="197">
        <f t="shared" si="400"/>
        <v>1892.6831026529865</v>
      </c>
      <c r="AY131" s="196">
        <f>AZ131+各项系数!$M$9*$NS131</f>
        <v>1908.4166351245219</v>
      </c>
      <c r="AZ131" s="196">
        <f>BA131*(1+$BI131+(VLOOKUP($AM131,$A$12:$B$214,2,0))+各项系数!$J$6+各项系数!$M$5)*(1+$E$2)</f>
        <v>1898.0176845269061</v>
      </c>
      <c r="BA131" s="197">
        <f>BB131+各项系数!$L$9*$NS131</f>
        <v>1936.7527393131695</v>
      </c>
      <c r="BB131" s="197">
        <f>BC131*(1+$BJ131+各项系数!$J$5+各项系数!$L$5)</f>
        <v>1926.3537887155537</v>
      </c>
      <c r="BC131" s="199">
        <f t="shared" si="401"/>
        <v>1888.5821457995623</v>
      </c>
      <c r="BD131" s="196">
        <f>BE131+各项系数!$M$9*$NS131</f>
        <v>1921.8867336968708</v>
      </c>
      <c r="BE131" s="196">
        <f>BF131*(1+$BI131+(VLOOKUP($AM131,$A$12:$B$214,2,0))+各项系数!$J$6+各项系数!$M$5)*(1+$E$2)</f>
        <v>1911.487783099255</v>
      </c>
      <c r="BF131" s="197">
        <f>BG131+各项系数!$L$9*$NS131</f>
        <v>1950.4977378563826</v>
      </c>
      <c r="BG131" s="197">
        <f>BH131*(1+$BJ131+各项系数!$J$5+各项系数!$L$5)</f>
        <v>1940.0987872587668</v>
      </c>
      <c r="BH131" s="199">
        <f t="shared" si="402"/>
        <v>1902.0576345674185</v>
      </c>
      <c r="BI131" s="213"/>
      <c r="BJ131" s="208"/>
      <c r="BK131" s="53" t="s">
        <v>514</v>
      </c>
      <c r="BL131" s="196">
        <f>BM131+各项系数!$M$9*$NM131</f>
        <v>1919.4075930078729</v>
      </c>
      <c r="BM131" s="196">
        <f>BN131*(1+$CF131+(VLOOKUP($AM131,$A$12:$B$323,2,0))+各项系数!$J$6+各项系数!$M$5)*(1+$E$2)</f>
        <v>1909.0500768647448</v>
      </c>
      <c r="BN131" s="197">
        <f>BO131+各项系数!$L$9*$NM131</f>
        <v>1948.0102825150457</v>
      </c>
      <c r="BO131" s="197">
        <f>BP131*(1+$CG131+各项系数!$J$5+各项系数!$L$5)</f>
        <v>1937.6527663719176</v>
      </c>
      <c r="BP131" s="197">
        <f t="shared" si="403"/>
        <v>1881.216278030988</v>
      </c>
      <c r="BQ131" s="196">
        <f>BR131+各项系数!$M$9*$NM131</f>
        <v>1930.9822057813183</v>
      </c>
      <c r="BR131" s="196">
        <f>BS131*(1+$CF131+(VLOOKUP($AM131,$A$12:$B$323,2,0))+各项系数!$J$6+各项系数!$M$5)*(1+$E$2)</f>
        <v>1920.6246896381901</v>
      </c>
      <c r="BS131" s="197">
        <f>BT131+各项系数!$L$9*$NM131</f>
        <v>1959.8211118757042</v>
      </c>
      <c r="BT131" s="197">
        <f>BU131*(1+$CG131+各项系数!$J$5+各项系数!$L$5)</f>
        <v>1949.4635957325761</v>
      </c>
      <c r="BU131" s="197">
        <f t="shared" si="404"/>
        <v>1892.6831026529865</v>
      </c>
      <c r="BV131" s="196">
        <f>BW131+各项系数!$M$9*$NT131</f>
        <v>1918.7514318075641</v>
      </c>
      <c r="BW131" s="196">
        <f>BX131*(1+$CF131+(VLOOKUP($AM131,$A$12:$B$214,2,0))+各项系数!$J$6+各项系数!$M$5)*(1+$E$2)</f>
        <v>1908.3524812099483</v>
      </c>
      <c r="BX131" s="197">
        <f>BY131+各项系数!$L$9*$NT$12</f>
        <v>1947.2984502142331</v>
      </c>
      <c r="BY131" s="197">
        <f>BZ131*(1+$CG131+各项系数!$J$5+各项系数!$L$5)</f>
        <v>1947.290186811078</v>
      </c>
      <c r="BZ131" s="199">
        <f t="shared" si="343"/>
        <v>1890.5729969039592</v>
      </c>
      <c r="CA131" s="196">
        <f>CB131+各项系数!$M$9*$NT131</f>
        <v>1930.3440250650601</v>
      </c>
      <c r="CB131" s="196">
        <f>CC131*(1+$CF131+(VLOOKUP($AM131,$A$12:$B$214,2,0))+各项系数!$J$6+各项系数!$M$5)*(1+$E$2)</f>
        <v>1919.9450744674443</v>
      </c>
      <c r="CC131" s="197">
        <f>CD131+各项系数!$L$9*$NT$12</f>
        <v>1959.1276270075962</v>
      </c>
      <c r="CD131" s="197">
        <f>CE131*(1+$CG131+各项系数!$J$5+各项系数!$L$5)</f>
        <v>1959.1193636044411</v>
      </c>
      <c r="CE131" s="199">
        <f t="shared" si="405"/>
        <v>1902.0576345674185</v>
      </c>
      <c r="CF131" s="213">
        <f t="shared" si="514"/>
        <v>0</v>
      </c>
      <c r="CG131" s="213">
        <f t="shared" si="344"/>
        <v>0.01</v>
      </c>
      <c r="CH131" s="106"/>
      <c r="CI131" s="196">
        <f>CJ131+各项系数!$M$9*$NO131</f>
        <v>1931.182030728424</v>
      </c>
      <c r="CJ131" s="196">
        <f>CK131*(1+$DC131+(VLOOKUP($AM131,$A$12:$B$323,2,0))+各项系数!$J$6+各项系数!$M$5)*(1+$E$2)+各项系数!$M$9*$NK131</f>
        <v>1917.9213007611277</v>
      </c>
      <c r="CK131" s="197">
        <f>CL131+各项系数!$L$9*$NO131</f>
        <v>1946.4936577734691</v>
      </c>
      <c r="CL131" s="197">
        <f>CM131*(1+$DD131+各项系数!$J$5+各项系数!$L$5)</f>
        <v>1933.2329278061727</v>
      </c>
      <c r="CM131" s="197">
        <f t="shared" si="345"/>
        <v>1895.3263998099733</v>
      </c>
      <c r="CN131" s="196">
        <f>CO131+各项系数!$M$9*$NO131</f>
        <v>1944.0563502724283</v>
      </c>
      <c r="CO131" s="196">
        <f>CP131*(1+$DC131+(VLOOKUP($AM131,$A$12:$B$323,2,0))+各项系数!$J$6+各项系数!$M$5)*(1+$E$2)+各项系数!$M$9*$NK131</f>
        <v>1930.7956203051319</v>
      </c>
      <c r="CP131" s="197">
        <f>CQ131+各项系数!$L$9*$NO131</f>
        <v>1959.6307185326571</v>
      </c>
      <c r="CQ131" s="197">
        <f>CR131*(1+$DD131+各项系数!$J$5+各项系数!$L$5)</f>
        <v>1946.3699885653607</v>
      </c>
      <c r="CR131" s="197">
        <f t="shared" si="346"/>
        <v>1908.2058711425104</v>
      </c>
      <c r="CS131" s="196">
        <f>CT131+各项系数!$M$9*$NU131</f>
        <v>1930.5397775368485</v>
      </c>
      <c r="CT131" s="196">
        <f t="shared" si="347"/>
        <v>1917.2363643461235</v>
      </c>
      <c r="CU131" s="197">
        <f>CV131+各项系数!$L$9*$NU131</f>
        <v>1956.3636370878812</v>
      </c>
      <c r="CV131" s="197">
        <f>CW131*(1+$DD131+各项系数!$J$5+各项系数!$L$5)</f>
        <v>1943.0602238971562</v>
      </c>
      <c r="CW131" s="199">
        <f t="shared" si="348"/>
        <v>1904.9610038207413</v>
      </c>
      <c r="CX131" s="196">
        <f>CY131+各项系数!$M$9*$NU131</f>
        <v>1944.3989999465794</v>
      </c>
      <c r="CY131" s="196">
        <f t="shared" si="349"/>
        <v>1931.0955867558544</v>
      </c>
      <c r="CZ131" s="197">
        <f>DA131+各项系数!$L$9*$NU131</f>
        <v>1970.5057007712801</v>
      </c>
      <c r="DA131" s="197">
        <f>DB131*(1+$DD131+各项系数!$J$5+各项系数!$L$5)</f>
        <v>1957.2022875805551</v>
      </c>
      <c r="DB131" s="199">
        <f t="shared" si="350"/>
        <v>1918.825772137799</v>
      </c>
      <c r="DC131" s="213">
        <f t="shared" si="571"/>
        <v>0</v>
      </c>
      <c r="DD131" s="213">
        <f t="shared" si="351"/>
        <v>0</v>
      </c>
      <c r="DE131" s="53" t="s">
        <v>498</v>
      </c>
      <c r="DF131" s="53" t="s">
        <v>513</v>
      </c>
      <c r="DG131" s="196">
        <f>DH131+各项系数!$M$9*$NQ131</f>
        <v>1951.820729912914</v>
      </c>
      <c r="DH131" s="196">
        <f>DI131*(1+$EA131+(VLOOKUP($AM131,$A$12:$B$323,2,0))+各项系数!$J$6+各项系数!$M$5)*(1+$E$2)+各项系数!$M$9*$NK131</f>
        <v>1938.5599999456176</v>
      </c>
      <c r="DI131" s="197">
        <f>DJ131+各项系数!$L$9*$NQ131</f>
        <v>1967.5535549004994</v>
      </c>
      <c r="DJ131" s="197">
        <f>DK131*(1+$EB131+各项系数!$J$5+各项系数!$L$5)</f>
        <v>1954.2928249332031</v>
      </c>
      <c r="DK131" s="197">
        <f t="shared" si="352"/>
        <v>1897.3716746924301</v>
      </c>
      <c r="DL131" s="196">
        <f>DM131+各项系数!$M$9*$NQ131</f>
        <v>1963.7302292018019</v>
      </c>
      <c r="DM131" s="196">
        <f>DN131*(1+$EA131+(VLOOKUP($AM131,$A$12:$B$323,2,0))+各项系数!$J$6+各项系数!$M$5)*(1+$E$2)+各项系数!$M$9*$NK131</f>
        <v>1950.4694992345055</v>
      </c>
      <c r="DN131" s="197">
        <f>DO131+各项系数!$L$9*$NQ131</f>
        <v>1979.706105195283</v>
      </c>
      <c r="DO131" s="197">
        <f>DP131*(1+$EB131+各项系数!$J$5+各项系数!$L$5)</f>
        <v>1966.4453752279867</v>
      </c>
      <c r="DP131" s="197">
        <f t="shared" si="353"/>
        <v>1909.1702672116376</v>
      </c>
      <c r="DQ131" s="196">
        <f>DR131+各项系数!$M$9*$NV131</f>
        <v>1951.2760127405913</v>
      </c>
      <c r="DR131" s="196">
        <f t="shared" si="354"/>
        <v>1937.9725995498663</v>
      </c>
      <c r="DS131" s="197">
        <f>DT131+各项系数!$L$9*$NV131</f>
        <v>1977.5230607651697</v>
      </c>
      <c r="DT131" s="197">
        <f>DU131*(1+$EB131+各项系数!$J$5+各项系数!$L$5)</f>
        <v>1964.2196475744447</v>
      </c>
      <c r="DU131" s="199">
        <f t="shared" si="355"/>
        <v>1907.0093665771308</v>
      </c>
      <c r="DV131" s="196">
        <f>DW131+各项系数!$M$9*$NV131</f>
        <v>1944.9878325373795</v>
      </c>
      <c r="DW131" s="196">
        <f t="shared" si="356"/>
        <v>1931.6844193466545</v>
      </c>
      <c r="DX131" s="197">
        <f>DY131+各项系数!$L$9*$NV131</f>
        <v>1971.1065503537291</v>
      </c>
      <c r="DY131" s="197">
        <f>DZ131*(1+$EB131+各项系数!$J$5+各项系数!$L$5)</f>
        <v>1957.8031371630041</v>
      </c>
      <c r="DZ131" s="199">
        <f t="shared" si="357"/>
        <v>1900.7797448184506</v>
      </c>
      <c r="EA131" s="213">
        <f t="shared" si="559"/>
        <v>0</v>
      </c>
      <c r="EB131" s="213">
        <f t="shared" si="358"/>
        <v>0.01</v>
      </c>
      <c r="EC131" s="235" t="str">
        <f t="shared" si="408"/>
        <v>3+2</v>
      </c>
      <c r="ED131" s="237" t="str">
        <f t="shared" si="565"/>
        <v>3*800</v>
      </c>
      <c r="EE131" s="189">
        <f t="shared" si="495"/>
        <v>800</v>
      </c>
      <c r="EF131" s="78" t="str">
        <f>LOOKUP(EH131,{1,7,10,14,19,24,30,37,48,61},{1,"1+6","2+8","4+10","1+6+12","2+8+14","4+10+16","1+6+12+18","3+9+15+21","1+6+12+18+24"})</f>
        <v>1+6+12+18+24</v>
      </c>
      <c r="EG131" s="188">
        <f t="shared" si="359"/>
        <v>3</v>
      </c>
      <c r="EH131" s="197">
        <f>VLOOKUP(EE131,各项系数!$B$87:$C$124,2,0)</f>
        <v>61</v>
      </c>
      <c r="EI131" s="188">
        <f>IF(EH131=0,0,VLOOKUP(EH131,各项系数!$D$142:$E$195,2,0))*1</f>
        <v>9</v>
      </c>
      <c r="EJ131" s="238">
        <f t="shared" si="409"/>
        <v>404.21883750578098</v>
      </c>
      <c r="EK131" s="78" t="str">
        <f t="shared" si="566"/>
        <v>2*400</v>
      </c>
      <c r="EL131" s="189" t="str">
        <f t="shared" si="360"/>
        <v>400</v>
      </c>
      <c r="EM131" s="78">
        <f t="shared" si="567"/>
        <v>400</v>
      </c>
      <c r="EN131" s="78" t="str">
        <f>IF(EP131=0,0,LOOKUP(EP131,{1,7,10,14,19,24,30,37,48,61},{1,"1+6","2+8","4+10","1+6+12","2+8+14","4+10+16","1+6+12+18","3+9+15+21","1+6+12+18+24"}))</f>
        <v>1+6+12+18+24</v>
      </c>
      <c r="EO131" s="78" t="str">
        <f t="shared" si="568"/>
        <v>2</v>
      </c>
      <c r="EP131" s="78">
        <f>IF(EM131=0,0,IF(EM131&lt;10,1,IF(AND(EM131&gt;=10,EM131&lt;=35),7,LOOKUP(EM131,{50,70,95,120,150,185,240,300},{10,14,19,24,30,37,48,61})*1)))</f>
        <v>61</v>
      </c>
      <c r="EQ131" s="189">
        <f>IF(EP131=0,0,VLOOKUP(EP131,各项系数!$D$142:$E$195,2,0))*1</f>
        <v>9</v>
      </c>
      <c r="ER131" s="78">
        <f t="shared" si="569"/>
        <v>277.18119106381198</v>
      </c>
      <c r="ES131" s="237">
        <f t="shared" si="570"/>
        <v>5</v>
      </c>
      <c r="ET131" s="189">
        <f>VLOOKUP(ES131,各项系数!$D$142:$E$195,2,0)*1</f>
        <v>2.7</v>
      </c>
      <c r="EU131" s="243">
        <f>((各项系数!$F$76/4*$EJ131^2*$EG131*$EH131*1*10^-7)*(1-$H131)*AA131)*(VLOOKUP($EY$9,各项系数!$D$4:$F$143,3,0))*各项系数!$J$4</f>
        <v>21.396174688155771</v>
      </c>
      <c r="EV131" s="244">
        <f>EU131*(VLOOKUP($EY$9,各项系数!$D$4:$F$143,2,0))</f>
        <v>1401.449442074203</v>
      </c>
      <c r="EW131" s="252">
        <f>(IF($EO131=0,0,(各项系数!$F$76/4*$ER131^2*$EO131*$EP131*1*10^-7))*(1-$K131)*$AF131)*(VLOOKUP($EY$9,各项系数!$D$4:$F$143,3,0))*各项系数!$J$4</f>
        <v>6.6420515020368889</v>
      </c>
      <c r="EX131" s="253">
        <f>EW131*(VLOOKUP($EY$9,各项系数!$D$4:$F$143,2,0))</f>
        <v>435.05437338341625</v>
      </c>
      <c r="EY131" s="189">
        <f>((各项系数!$F$76/4*$EJ131^2*$EG131*$EH131*1*10^-7)*(1-$H131)*AA131+IF($EO131=0,0,(各项系数!$F$76/4*$ER131^2*$EO131*$EP131*1*10^-7))*(1-$K131)*$AF131)*(VLOOKUP($EY$9,各项系数!$D$4:$F$143,3,0))*各项系数!$J$4</f>
        <v>28.03822619019266</v>
      </c>
      <c r="EZ131" s="102">
        <v>1</v>
      </c>
      <c r="FA131" s="189">
        <f t="shared" si="515"/>
        <v>28.03822619019266</v>
      </c>
      <c r="FB131" s="254">
        <f>FA131*(VLOOKUP($EY$9,各项系数!$D$4:$F$143,2,0))</f>
        <v>1836.5038154576191</v>
      </c>
      <c r="FC131" s="257"/>
      <c r="FD131" s="235">
        <f>各项系数!$F$76/4*($MN131^2-MK131^2)*10^-2*(VLOOKUP(L131,各项系数!$D$1:$F$143,3,0))*10^-3*10^2*$EG131*各项系数!$J$4</f>
        <v>1.0454389643994291</v>
      </c>
      <c r="FE131" s="262">
        <f>FD131*VLOOKUP(L131,各项系数!$D$1:$F$143,2,0)</f>
        <v>10.663477436874176</v>
      </c>
      <c r="FF131" s="188">
        <f>各项系数!$F$76/4*($MO131^2-ML131^2)*10^-2*(VLOOKUP(L131,各项系数!$D$1:$F$143,3,0))*10^-3*10^2*$EO131*各项系数!$J$4</f>
        <v>0.37061661614825914</v>
      </c>
      <c r="FG131" s="262">
        <f>FF131*VLOOKUP(L131,各项系数!$D$1:$F$143,2,0)</f>
        <v>3.780289484712243</v>
      </c>
      <c r="FH131" s="235">
        <f t="shared" si="410"/>
        <v>1.4160555805476882</v>
      </c>
      <c r="FI131" s="102">
        <v>1</v>
      </c>
      <c r="FJ131" s="189">
        <f t="shared" si="516"/>
        <v>1.4160555805476882</v>
      </c>
      <c r="FK131" s="262">
        <f>FJ131*VLOOKUP(L131,各项系数!$D$1:$F$143,2,0)</f>
        <v>14.443766921586418</v>
      </c>
      <c r="FL131" s="237"/>
      <c r="FM131" s="106"/>
      <c r="FN131" s="189"/>
      <c r="FO131" s="262"/>
      <c r="FP131" s="282">
        <f t="shared" si="517"/>
        <v>1.4160555805476882</v>
      </c>
      <c r="FQ131" s="282">
        <f t="shared" si="518"/>
        <v>14.443766921586418</v>
      </c>
      <c r="FR131" s="283">
        <f>各项系数!$F$76/4*($MQ131^2-$MN131^2*$EG131-$MO131^2*$EO131)*10^-2</f>
        <v>22.491717149706616</v>
      </c>
      <c r="FS131" s="284">
        <f t="shared" si="411"/>
        <v>1</v>
      </c>
      <c r="FT131" s="285">
        <f t="shared" si="361"/>
        <v>22.491717149706616</v>
      </c>
      <c r="FU131" s="302">
        <f>$FT131*(VLOOKUP($FT$9,各项系数!$D$1:$F$143,3,0))*10^-3*10^2*各项系数!$J$55</f>
        <v>2.6855110276749703</v>
      </c>
      <c r="FV131" s="303">
        <v>1</v>
      </c>
      <c r="FW131" s="304">
        <f t="shared" si="519"/>
        <v>2.6855110276749703</v>
      </c>
      <c r="FX131" s="285">
        <f>FW131*(VLOOKUP($FT$9,各项系数!$D$1:$F$143,2,0))</f>
        <v>8.0565330830249113</v>
      </c>
      <c r="FY131" s="302">
        <f>IF($BK131&lt;&gt;$FY$9,0,各项系数!$F$76/4*($MS131^2-$MQ131^2)*10^-2*(VLOOKUP($FY$9,各项系数!$D$1:$F$143,3,0))*10^-3*10^2)*各项系数!$J$4</f>
        <v>0</v>
      </c>
      <c r="FZ131" s="303">
        <v>1</v>
      </c>
      <c r="GA131" s="304">
        <f t="shared" si="520"/>
        <v>0</v>
      </c>
      <c r="GB131" s="285">
        <f>GA131*(VLOOKUP($FY$9,各项系数!$D$1:$F$143,2,0))</f>
        <v>0</v>
      </c>
      <c r="GC131" s="302">
        <f>IF($BK131&lt;&gt;$GC$9,0,各项系数!$F$76/4*($MS131^2-$MQ131^2)*10^-2*(VLOOKUP($GC$9,各项系数!$D$1:$F$143,3,0))*10^-3*10^2)*各项系数!$J$4</f>
        <v>2.6881165399175094E-2</v>
      </c>
      <c r="GD131" s="303">
        <v>1</v>
      </c>
      <c r="GE131" s="304">
        <f t="shared" si="521"/>
        <v>2.6881165399175094E-2</v>
      </c>
      <c r="GF131" s="285">
        <f>GE131*(VLOOKUP($GC$9,各项系数!$D$1:$F$143,2,0))</f>
        <v>0.34676703364935874</v>
      </c>
      <c r="GG131" s="302">
        <f>IF($BK131&lt;&gt;$GG$9,0,各项系数!$F$76/4*($MS131^2-$MQ131^2)*10^-2*(VLOOKUP($GG$9,各项系数!$D$1:$F$143,3,0))*10^-3*10^2)*各项系数!$J$4</f>
        <v>0</v>
      </c>
      <c r="GH131" s="303">
        <v>1</v>
      </c>
      <c r="GI131" s="304">
        <f t="shared" si="522"/>
        <v>0</v>
      </c>
      <c r="GJ131" s="285">
        <f>GI131*(VLOOKUP($GG$9,各项系数!$D$1:$F$143,2,0))</f>
        <v>0</v>
      </c>
      <c r="GK131" s="302">
        <f>IF($BK131&lt;&gt;$GK$9,0,各项系数!$F$76/4*($MS131^2-$MQ131^2)*10^-2*(VLOOKUP($GK$9,各项系数!$D$1:$F$143,3,0))*10^-3*10^2)*各项系数!$J$4</f>
        <v>0</v>
      </c>
      <c r="GL131" s="303">
        <v>1</v>
      </c>
      <c r="GM131" s="304">
        <f t="shared" si="523"/>
        <v>0</v>
      </c>
      <c r="GN131" s="285">
        <f>GM131*(VLOOKUP($GK$9,各项系数!$D$1:$F$143,2,0))</f>
        <v>0</v>
      </c>
      <c r="GO131" s="304">
        <f t="shared" si="524"/>
        <v>2.6881165399175094E-2</v>
      </c>
      <c r="GP131" s="304">
        <f t="shared" si="525"/>
        <v>0.34676703364935874</v>
      </c>
      <c r="GQ131" s="315">
        <f>各项系数!$F$76/4*($MU131^2-$MS131^2)*10^-2*(VLOOKUP($S131,各项系数!$D$1:$F$143,3,0))*10^-3*10^2*各项系数!$J$4</f>
        <v>1.8250285495113814</v>
      </c>
      <c r="GR131" s="303">
        <v>1</v>
      </c>
      <c r="GS131" s="304">
        <f t="shared" si="526"/>
        <v>1.8250285495113814</v>
      </c>
      <c r="GT131" s="304">
        <f t="shared" si="457"/>
        <v>0</v>
      </c>
      <c r="GU131" s="304">
        <f>ROUND($GS131*(VLOOKUP($S131,各项系数!$D$1:$F$143,2,0))+$E$3*GS131,GT131)</f>
        <v>11</v>
      </c>
      <c r="GV131" s="315">
        <f>各项系数!$F$76/4*($MT131^2-$MS131^2)*10^-2*(VLOOKUP($GV$9,各项系数!$D$1:$F$143,3,0))*10^-3*10^2*各项系数!$J$4*PI()/4*R131</f>
        <v>0.13811484829205739</v>
      </c>
      <c r="GW131" s="303">
        <v>1</v>
      </c>
      <c r="GX131" s="304">
        <f t="shared" si="527"/>
        <v>0.13811484829205739</v>
      </c>
      <c r="GY131" s="304">
        <f>$GX131*(VLOOKUP($GV$9,各项系数!$D$1:$F$143,2,0))</f>
        <v>9.322752259713873</v>
      </c>
      <c r="GZ131" s="315">
        <f>各项系数!$F$76/4*($MV131^2-$MS131^2)*10^-2*(VLOOKUP($GZ$9,各项系数!$D$1:$F$143,3,0))*10^-3*10^2*各项系数!$J$4</f>
        <v>1.9607188327709708</v>
      </c>
      <c r="HA131" s="303">
        <v>1</v>
      </c>
      <c r="HB131" s="304">
        <f t="shared" si="412"/>
        <v>1.9607188327709708</v>
      </c>
      <c r="HC131" s="304">
        <f>HB131*(VLOOKUP($GZ$9,各项系数!$D$1:$F$143,2,0))</f>
        <v>33.332220157106505</v>
      </c>
      <c r="HD131" s="315">
        <f>各项系数!$F$76/4*($MW131^2-$MT131^2)*10^-2*(VLOOKUP($HD$9,各项系数!$D$1:$F$143,3,0))*10^-3*10^2*各项系数!$J$4</f>
        <v>1.9637646948132204</v>
      </c>
      <c r="HE131" s="303">
        <v>1</v>
      </c>
      <c r="HF131" s="304">
        <f t="shared" si="413"/>
        <v>1.9637646948132204</v>
      </c>
      <c r="HG131" s="304">
        <f>HF131*(VLOOKUP($HD$9,各项系数!$D$1:$F$143,2,0))</f>
        <v>33.383999811824744</v>
      </c>
      <c r="HH131" s="315">
        <f>各项系数!$F$76/4*($MV131^2-$MS131^2)*10^-2*(VLOOKUP($HH$9,各项系数!$D$1:$F$143,3,0))*10^-3*10^2*各项系数!$J$4</f>
        <v>1.9607188327709708</v>
      </c>
      <c r="HI131" s="322">
        <v>1</v>
      </c>
      <c r="HJ131" s="304">
        <f t="shared" si="414"/>
        <v>1.9607188327709708</v>
      </c>
      <c r="HK131" s="304">
        <f>HJ131*(VLOOKUP($HH$9,各项系数!$D$1:$F$143,2,0))</f>
        <v>33.332220157106505</v>
      </c>
      <c r="HL131" s="315">
        <f>各项系数!$F$76/4*($MW131^2-$MT131^2)*10^-2*(VLOOKUP($HL$9,各项系数!$D$1:$F$143,3,0))*10^-3*10^2*各项系数!$J$4</f>
        <v>1.9637646948132204</v>
      </c>
      <c r="HM131" s="322">
        <v>1</v>
      </c>
      <c r="HN131" s="304">
        <f t="shared" si="362"/>
        <v>1.9637646948132204</v>
      </c>
      <c r="HO131" s="304">
        <f>HN131*(VLOOKUP($HL$9,各项系数!$D$1:$F$143,2,0))</f>
        <v>33.383999811824744</v>
      </c>
      <c r="HP131" s="315">
        <f>各项系数!$F$76/4*($MV131^2-$MS131^2)*10^-2*(VLOOKUP(AN131,各项系数!$D$1:$F$143,3,0))*10^-3*10^2*各项系数!$J$4</f>
        <v>1.9877632304643631</v>
      </c>
      <c r="HQ131" s="303">
        <v>1</v>
      </c>
      <c r="HR131" s="304">
        <f t="shared" si="528"/>
        <v>1.9877632304643631</v>
      </c>
      <c r="HS131" s="304">
        <f>HR131*(VLOOKUP(AN131,各项系数!$D$1:$F$143,2,0))</f>
        <v>19.87763230464363</v>
      </c>
      <c r="HT131" s="315">
        <f>各项系数!$F$76/4*($MW131^2-$MT131^2)*10^-2*(VLOOKUP(AN131,各项系数!$D$1:$F$143,3,0))*10^-3*10^2*各项系数!$J$4</f>
        <v>1.9908511043968511</v>
      </c>
      <c r="HU131" s="303">
        <v>1</v>
      </c>
      <c r="HV131" s="304">
        <f t="shared" si="529"/>
        <v>1.9908511043968511</v>
      </c>
      <c r="HW131" s="304">
        <f>HV131*(VLOOKUP(AN131,各项系数!$D$1:$F$143,2,0))</f>
        <v>19.90851104396851</v>
      </c>
      <c r="HX131" s="315">
        <f>各项系数!$F$76/4*($MV131^2-$MS131^2)*10^-2*(VLOOKUP($HX$9,各项系数!$D$1:$F$143,3,0))*10^-3*10^2*各项系数!$J$4</f>
        <v>1.9877632304643631</v>
      </c>
      <c r="HY131" s="322">
        <v>1</v>
      </c>
      <c r="HZ131" s="304">
        <f t="shared" si="530"/>
        <v>1.9877632304643631</v>
      </c>
      <c r="IA131" s="304">
        <f>HZ131*(VLOOKUP($HX$9,各项系数!$D$1:$F$143,2,0))</f>
        <v>21.865395535107993</v>
      </c>
      <c r="IB131" s="315">
        <f>各项系数!$F$76/4*($MW131^2-$MT131^2)*10^-2*(VLOOKUP($IB$9,各项系数!$D$1:$F$143,3,0))*10^-3*10^2*各项系数!$J$4</f>
        <v>1.9908511043968511</v>
      </c>
      <c r="IC131" s="322">
        <v>1</v>
      </c>
      <c r="ID131" s="304">
        <f t="shared" si="531"/>
        <v>1.9908511043968511</v>
      </c>
      <c r="IE131" s="304">
        <f>ID131*(VLOOKUP($IB$9,各项系数!$D$1:$F$143,2,0))</f>
        <v>21.899362148365363</v>
      </c>
      <c r="IF131" s="309"/>
      <c r="IG131" s="315">
        <f t="shared" si="415"/>
        <v>0.22581161342010519</v>
      </c>
      <c r="IH131" s="303">
        <v>1</v>
      </c>
      <c r="II131" s="304">
        <f t="shared" si="532"/>
        <v>0.22581161342010519</v>
      </c>
      <c r="IJ131" s="304">
        <f>II131*(VLOOKUP($IG$8,各项系数!$D$1:$F$143,2,0))</f>
        <v>5.6452903355026303</v>
      </c>
      <c r="IK131" s="315">
        <f>(各项系数!$F$76/4*($MX131^2-$MK131^2)*$EG131)*10^-2*(VLOOKUP($IG$8,各项系数!$D$1:$F$143,3,0))*10^-3*10^2*各项系数!$J$4</f>
        <v>0.15478627278471324</v>
      </c>
      <c r="IL131" s="303">
        <f>IK131*(VLOOKUP($IG$8,各项系数!$D$1:$F$143,2,0))</f>
        <v>3.8696568196178309</v>
      </c>
      <c r="IM131" s="304">
        <f>(各项系数!$F$76/4*(($MM131+3*$X131)^2-MM131^2)*$EO131)*10^-2*(VLOOKUP($IG$8,各项系数!$D$1:$F$143,3,0))*10^-3*10^2*各项系数!$J$4</f>
        <v>7.102534063539194E-2</v>
      </c>
      <c r="IN131" s="303">
        <f>IM131*(VLOOKUP($IG$8,各项系数!$D$1:$F$143,2,0))</f>
        <v>1.7756335158847985</v>
      </c>
      <c r="IO131" s="315">
        <f>各项系数!$F$76/4*($MZ131^2-$MX131^2)*10^-2*(VLOOKUP(L131,各项系数!$D$1:$F$143,3,0))*10^-3*10^2*$ES131*各项系数!$J$4</f>
        <v>1.7692183646420092</v>
      </c>
      <c r="IP131" s="303">
        <v>1</v>
      </c>
      <c r="IQ131" s="304">
        <f t="shared" si="533"/>
        <v>1.7692183646420092</v>
      </c>
      <c r="IR131" s="285">
        <f>IQ131*(VLOOKUP(L131,各项系数!$D$1:$F$143,2,0))</f>
        <v>18.046027319348493</v>
      </c>
      <c r="IS131" s="315">
        <f>IF($L131&lt;&gt;$IS$9,0,各项系数!$F$76/4*($MZ131^2-$MX131^2)*10^-2*各项系数!$F$12*10^-3*10^2)*$ES131*各项系数!$J$4</f>
        <v>0</v>
      </c>
      <c r="IT131" s="310">
        <v>1</v>
      </c>
      <c r="IU131" s="304">
        <f t="shared" si="534"/>
        <v>0</v>
      </c>
      <c r="IV131" s="285">
        <f>IU131*各项系数!$E$12</f>
        <v>0</v>
      </c>
      <c r="IW131" s="302">
        <f t="shared" si="535"/>
        <v>1.7692183646420092</v>
      </c>
      <c r="IX131" s="302">
        <f t="shared" si="536"/>
        <v>18.046027319348493</v>
      </c>
      <c r="IY131" s="339">
        <f>各项系数!$F$76/4*($NB131^2-$MZ131^2*$EG131-$NA131^2*$EO131)*10^-2</f>
        <v>24.203893808034994</v>
      </c>
      <c r="IZ131" s="284">
        <f t="shared" si="487"/>
        <v>1</v>
      </c>
      <c r="JA131" s="285">
        <f t="shared" si="363"/>
        <v>24.203893808034994</v>
      </c>
      <c r="JB131" s="282">
        <f>IF($DE131&lt;&gt;$JB$9,0,$JA131*各项系数!$F$32*10^-3*10^2)*各项系数!$J$4</f>
        <v>0</v>
      </c>
      <c r="JC131" s="102">
        <v>1</v>
      </c>
      <c r="JD131" s="189">
        <f t="shared" si="537"/>
        <v>0</v>
      </c>
      <c r="JE131" s="262">
        <f>JD131*各项系数!$E$32</f>
        <v>0</v>
      </c>
      <c r="JF131" s="282">
        <f>IF($DE131&lt;&gt;$JF$9,0,$JA131*VLOOKUP($JF$9,各项系数!$D$4:$F$540,2,0)*10^-3*10^2)*各项系数!$J$4</f>
        <v>12.04143716949741</v>
      </c>
      <c r="JG131" s="102">
        <v>1</v>
      </c>
      <c r="JH131" s="189">
        <f t="shared" si="364"/>
        <v>12.04143716949741</v>
      </c>
      <c r="JI131" s="262">
        <f>JH131*VLOOKUP($JF$9,各项系数!$D$4:$F$540,3,0)</f>
        <v>14.449724603396891</v>
      </c>
      <c r="JJ131" s="282">
        <f t="shared" si="538"/>
        <v>12.04143716949741</v>
      </c>
      <c r="JK131" s="189">
        <f t="shared" si="539"/>
        <v>14.449724603396891</v>
      </c>
      <c r="JL131" s="282">
        <f>IF($DF131&lt;&gt;$JL$9,0,各项系数!$F$76/4*($NE131^2-$NC131^2)*10^-2*各项系数!$F$39*10^-3*10^2)*各项系数!$J$4</f>
        <v>1.1439663476849929E-2</v>
      </c>
      <c r="JM131" s="102">
        <v>1</v>
      </c>
      <c r="JN131" s="189">
        <f t="shared" si="540"/>
        <v>1.1439663476849929E-2</v>
      </c>
      <c r="JO131" s="262">
        <f>JN131*各项系数!$E$39</f>
        <v>0.22879326953699858</v>
      </c>
      <c r="JP131" s="282">
        <f>IF($DF131&lt;&gt;$JP$9,0,各项系数!$F$76/4*($NE131^2-$NC131^2)*10^-2*各项系数!$F$36*10^-3*10^2)*各项系数!$J$4</f>
        <v>0</v>
      </c>
      <c r="JQ131" s="102">
        <v>1</v>
      </c>
      <c r="JR131" s="189">
        <f t="shared" si="541"/>
        <v>0</v>
      </c>
      <c r="JS131" s="262">
        <f>JR131*各项系数!$E$36</f>
        <v>0</v>
      </c>
      <c r="JT131" s="282">
        <f>IF($DF131&lt;&gt;$JT$9,0,各项系数!$F$76/4*($NE131^2-$NC131^2)*10^-2*各项系数!$F$40*10^-3*10^2)*各项系数!$J$4</f>
        <v>0</v>
      </c>
      <c r="JU131" s="102">
        <v>1</v>
      </c>
      <c r="JV131" s="189">
        <f t="shared" si="542"/>
        <v>0</v>
      </c>
      <c r="JW131" s="262">
        <f>JV131*各项系数!$E$40</f>
        <v>0</v>
      </c>
      <c r="JX131" s="282">
        <f>IF($DF131&lt;&gt;$JX$9,0,各项系数!$F$76/4*($NE131^2-$NC131^2)*10^-2*各项系数!$F$38*10^-3*10^2)*各项系数!$J$4</f>
        <v>0</v>
      </c>
      <c r="JY131" s="102">
        <v>1</v>
      </c>
      <c r="JZ131" s="189">
        <f t="shared" si="543"/>
        <v>0</v>
      </c>
      <c r="KA131" s="262">
        <f>JZ131*各项系数!$E$38</f>
        <v>0</v>
      </c>
      <c r="KB131" s="282">
        <f>IF($DF131&lt;&gt;$KB$9,0,各项系数!$F$76/4*($NE131^2-$NC131^2)*10^-2*各项系数!$F$41*10^-3*10^2)*各项系数!$J$4</f>
        <v>0</v>
      </c>
      <c r="KC131" s="102">
        <v>1</v>
      </c>
      <c r="KD131" s="189">
        <f t="shared" si="544"/>
        <v>0</v>
      </c>
      <c r="KE131" s="262">
        <f>KD131*各项系数!$E$41</f>
        <v>0</v>
      </c>
      <c r="KF131" s="189">
        <f t="shared" si="545"/>
        <v>1.1439663476849929E-2</v>
      </c>
      <c r="KG131" s="189">
        <f t="shared" si="546"/>
        <v>0.22879326953699858</v>
      </c>
      <c r="KH131" s="235">
        <f>各项系数!$F$76/4*($NG131^2-$NE131^2)*10^-2*各项系数!$F$44*10^-3*10^2*各项系数!$J$4*0.75*$U131</f>
        <v>2.8194927365451181</v>
      </c>
      <c r="KI131" s="102">
        <v>1</v>
      </c>
      <c r="KJ131" s="189">
        <f t="shared" si="547"/>
        <v>2.8194927365451181</v>
      </c>
      <c r="KK131" s="189">
        <f>ROUND(KJ131*各项系数!$E$43,GT131)</f>
        <v>16</v>
      </c>
      <c r="KL131" s="235">
        <f>各项系数!$F$76/4*($NF131^2-$NE131^2)*10^-2*各项系数!$F$46*10^-3*10^2*各项系数!$J$4*PI()/4*R131</f>
        <v>0.14227741142878811</v>
      </c>
      <c r="KM131" s="102">
        <v>1</v>
      </c>
      <c r="KN131" s="189">
        <f t="shared" si="548"/>
        <v>0.14227741142878811</v>
      </c>
      <c r="KO131" s="189">
        <f>KN131*各项系数!$E$46</f>
        <v>9.6037252714431975</v>
      </c>
      <c r="KP131" s="235">
        <f>各项系数!$F$76/4*($NH131^2-$NE131^2)*10^-2*(VLOOKUP($KP$9,各项系数!$D$1:$F$143,3,0))*10^-3*10^2*各项系数!$J$4</f>
        <v>2.0174480133078698</v>
      </c>
      <c r="KQ131" s="102">
        <v>1</v>
      </c>
      <c r="KR131" s="189">
        <f t="shared" si="416"/>
        <v>2.0174480133078698</v>
      </c>
      <c r="KS131" s="189">
        <f>KR131*(VLOOKUP($KP$9,各项系数!$D$1:$F$143,2,0))</f>
        <v>34.296616226233787</v>
      </c>
      <c r="KT131" s="235">
        <f>各项系数!$F$76/4*($NI131^2-$NF131^2)*10^-2*(VLOOKUP($KT$9,各项系数!$D$1:$F$143,3,0))*10^-3*10^2*各项系数!$J$4</f>
        <v>2.0204938753501214</v>
      </c>
      <c r="KU131" s="102">
        <v>1</v>
      </c>
      <c r="KV131" s="189">
        <f t="shared" si="417"/>
        <v>2.0204938753501214</v>
      </c>
      <c r="KW131" s="189">
        <f>KV131*(VLOOKUP($KT$9,各项系数!$D$1:$F$143,2,0))</f>
        <v>34.348395880952062</v>
      </c>
      <c r="KX131" s="189">
        <f>各项系数!$F$76/4*($NH131^2-$NE131^2)*10^-2*(VLOOKUP($KX$9,各项系数!$D$1:$F$143,3,0))*10^-3*10^2*各项系数!$J$4</f>
        <v>2.0174480133078698</v>
      </c>
      <c r="KY131" s="353">
        <v>1</v>
      </c>
      <c r="KZ131" s="189">
        <f t="shared" si="418"/>
        <v>2.0174480133078698</v>
      </c>
      <c r="LA131" s="189">
        <f>KZ131*(VLOOKUP($KX$9,各项系数!$D$1:$F$143,2,0))</f>
        <v>34.296616226233787</v>
      </c>
      <c r="LB131" s="189">
        <f>各项系数!$F$76/4*($NI131^2-$NF131^2)*10^-2*(VLOOKUP($LB$9,各项系数!$D$1:$F$143,3,0))*10^-3*10^2*各项系数!$J$4</f>
        <v>2.0204938753501214</v>
      </c>
      <c r="LC131" s="353">
        <v>1</v>
      </c>
      <c r="LD131" s="189">
        <f t="shared" si="419"/>
        <v>2.0204938753501214</v>
      </c>
      <c r="LE131" s="189">
        <f>LD131*(VLOOKUP($LB$9,各项系数!$D$1:$F$143,2,0))</f>
        <v>34.348395880952062</v>
      </c>
      <c r="LF131" s="235">
        <f>各项系数!$F$76/4*($NH131^2-$NE131^2)*10^-2*(VLOOKUP(AN131,各项系数!$D$1:$F$143,3,0))*10^-3*10^2*各项系数!$J$4</f>
        <v>2.045274882456944</v>
      </c>
      <c r="LG131" s="102">
        <v>1</v>
      </c>
      <c r="LH131" s="189">
        <f t="shared" si="549"/>
        <v>2.045274882456944</v>
      </c>
      <c r="LI131" s="189">
        <f>LH131*(VLOOKUP(AN131,各项系数!$D$1:$F$143,2,0))</f>
        <v>20.45274882456944</v>
      </c>
      <c r="LJ131" s="235">
        <f>各项系数!$F$76/4*($NI131^2-$NF131^2)*10^-2*(VLOOKUP(AN131,各项系数!$D$1:$F$143,3,0))*10^-3*10^2*各项系数!$J$4</f>
        <v>2.0483627563894333</v>
      </c>
      <c r="LK131" s="102">
        <v>1</v>
      </c>
      <c r="LL131" s="189">
        <f t="shared" si="550"/>
        <v>2.0483627563894333</v>
      </c>
      <c r="LM131" s="189">
        <f>LL131*(VLOOKUP(AN131,各项系数!$D$1:$F$143,2,0))</f>
        <v>20.483627563894334</v>
      </c>
      <c r="LN131" s="189">
        <f>各项系数!$F$76/4*($NH131^2-$NE131^2)*10^-2*(VLOOKUP($LN$9,各项系数!$D$1:$F$143,3,0))*10^-3*10^2*各项系数!$J$4</f>
        <v>2.045274882456944</v>
      </c>
      <c r="LO131" s="353">
        <v>1</v>
      </c>
      <c r="LP131" s="189">
        <f t="shared" si="551"/>
        <v>2.045274882456944</v>
      </c>
      <c r="LQ131" s="189">
        <f>LP131*(VLOOKUP($LN$9,各项系数!$D$1:$F$143,2,0))</f>
        <v>22.498023707026384</v>
      </c>
      <c r="LR131" s="189">
        <f>各项系数!$F$76/4*($NI131^2-$NF131^2)*10^-2*(VLOOKUP($LR$9,各项系数!$D$1:$F$143,3,0))*10^-3*10^2*各项系数!$J$4</f>
        <v>2.0483627563894333</v>
      </c>
      <c r="LS131" s="353">
        <v>1</v>
      </c>
      <c r="LT131" s="189">
        <f t="shared" si="552"/>
        <v>2.0483627563894333</v>
      </c>
      <c r="LU131" s="189">
        <f>LT131*(VLOOKUP($LR$9,各项系数!$D$1:$F$143,2,0))</f>
        <v>22.531990320283768</v>
      </c>
      <c r="LV131" s="227">
        <f t="shared" si="420"/>
        <v>3118.3815590499999</v>
      </c>
      <c r="LW131" s="227">
        <f t="shared" si="421"/>
        <v>2348.4108037300002</v>
      </c>
      <c r="LX131" s="227">
        <f t="shared" si="422"/>
        <v>54.68171086014339</v>
      </c>
      <c r="LY131" s="227">
        <f t="shared" si="423"/>
        <v>769.97075531999963</v>
      </c>
      <c r="LZ131" s="374">
        <f t="shared" si="365"/>
        <v>1</v>
      </c>
      <c r="MA131" s="375">
        <f t="shared" si="366"/>
        <v>3118.3815590499999</v>
      </c>
      <c r="MB131" s="375">
        <f t="shared" si="424"/>
        <v>36.379695419999997</v>
      </c>
      <c r="MC131" s="227">
        <f t="shared" si="425"/>
        <v>977.53520974000003</v>
      </c>
      <c r="MD131" s="227">
        <f t="shared" si="426"/>
        <v>736.16849093999997</v>
      </c>
      <c r="ME131" s="227">
        <f t="shared" si="427"/>
        <v>30.615663217588757</v>
      </c>
      <c r="MF131" s="227">
        <f t="shared" si="428"/>
        <v>241.36671880000006</v>
      </c>
      <c r="MG131" s="374">
        <f t="shared" si="429"/>
        <v>1</v>
      </c>
      <c r="MH131" s="375">
        <f t="shared" si="367"/>
        <v>977.53520974000003</v>
      </c>
      <c r="MI131" s="375">
        <f t="shared" si="430"/>
        <v>24.946307195774985</v>
      </c>
      <c r="MJ131" s="189">
        <f t="shared" si="368"/>
        <v>36.379695419999997</v>
      </c>
      <c r="MK131" s="189">
        <f t="shared" si="431"/>
        <v>36.379695419999997</v>
      </c>
      <c r="ML131" s="189">
        <f t="shared" si="553"/>
        <v>24.946307195743081</v>
      </c>
      <c r="MM131" s="189">
        <f t="shared" si="369"/>
        <v>24.946307195774985</v>
      </c>
      <c r="MN131" s="189">
        <f t="shared" si="370"/>
        <v>41.57969542</v>
      </c>
      <c r="MO131" s="189">
        <f t="shared" si="432"/>
        <v>28.946307195774985</v>
      </c>
      <c r="MP131" s="189">
        <f t="shared" si="433"/>
        <v>98.621118350000003</v>
      </c>
      <c r="MQ131" s="189">
        <f t="shared" si="554"/>
        <v>98.621118350000003</v>
      </c>
      <c r="MR131" s="246">
        <f t="shared" si="434"/>
        <v>98.621118350000003</v>
      </c>
      <c r="MS131" s="380">
        <f t="shared" si="371"/>
        <v>98.797118350000005</v>
      </c>
      <c r="MT131" s="380">
        <f t="shared" si="372"/>
        <v>98.957118350000002</v>
      </c>
      <c r="MU131" s="380">
        <f t="shared" si="373"/>
        <v>100.29711835000001</v>
      </c>
      <c r="MV131" s="380">
        <f t="shared" si="374"/>
        <v>107.19711835000001</v>
      </c>
      <c r="MW131" s="380">
        <f t="shared" si="375"/>
        <v>107.35711835000001</v>
      </c>
      <c r="MX131" s="254">
        <f t="shared" si="376"/>
        <v>36.979695419999999</v>
      </c>
      <c r="MY131" s="254">
        <f t="shared" si="377"/>
        <v>25.546307195774986</v>
      </c>
      <c r="MZ131" s="189">
        <f t="shared" si="378"/>
        <v>42.179695420000002</v>
      </c>
      <c r="NA131" s="189">
        <f t="shared" si="379"/>
        <v>30.746307195774985</v>
      </c>
      <c r="NB131" s="189">
        <f t="shared" si="435"/>
        <v>101.53711835</v>
      </c>
      <c r="NC131" s="254">
        <f t="shared" si="555"/>
        <v>101.53711835</v>
      </c>
      <c r="ND131" s="246">
        <f t="shared" si="436"/>
        <v>101.53711835</v>
      </c>
      <c r="NE131" s="386">
        <f t="shared" si="437"/>
        <v>101.77711834999999</v>
      </c>
      <c r="NF131" s="380">
        <f t="shared" si="380"/>
        <v>101.93711834999999</v>
      </c>
      <c r="NG131" s="387">
        <f t="shared" si="381"/>
        <v>103.27711834999999</v>
      </c>
      <c r="NH131" s="254">
        <f t="shared" si="382"/>
        <v>110.17711835</v>
      </c>
      <c r="NI131" s="380">
        <f t="shared" si="383"/>
        <v>110.33711835</v>
      </c>
      <c r="NK131" s="388">
        <f t="shared" si="384"/>
        <v>34.525053810427117</v>
      </c>
      <c r="NL131" s="388">
        <f t="shared" si="385"/>
        <v>1883.0088042852358</v>
      </c>
      <c r="NM131" s="388">
        <f t="shared" si="386"/>
        <v>34.525053810427117</v>
      </c>
      <c r="NN131" s="388">
        <f t="shared" si="387"/>
        <v>1884.9965675157002</v>
      </c>
      <c r="NO131" s="388">
        <f t="shared" si="388"/>
        <v>44.202433224321368</v>
      </c>
      <c r="NP131" s="388">
        <f t="shared" si="389"/>
        <v>1897.1020333258584</v>
      </c>
      <c r="NQ131" s="388">
        <f t="shared" si="390"/>
        <v>44.202433224321368</v>
      </c>
      <c r="NR131" s="388">
        <f t="shared" si="391"/>
        <v>1899.1473082083148</v>
      </c>
      <c r="NS131" s="388">
        <f t="shared" si="392"/>
        <v>34.663168658719172</v>
      </c>
      <c r="NT131" s="388">
        <f t="shared" si="393"/>
        <v>34.663168658719172</v>
      </c>
      <c r="NU131" s="388">
        <f t="shared" si="394"/>
        <v>44.344710635750154</v>
      </c>
      <c r="NV131" s="388">
        <f t="shared" si="395"/>
        <v>44.344710635750154</v>
      </c>
      <c r="NW131">
        <f t="shared" si="396"/>
        <v>36.350082359938497</v>
      </c>
      <c r="NX131">
        <f>各项系数!$M$9*NK131</f>
        <v>10.357516143128136</v>
      </c>
      <c r="NY131">
        <f t="shared" si="397"/>
        <v>34.663168658719172</v>
      </c>
    </row>
    <row r="132" spans="1:389" ht="15" hidden="1" customHeight="1">
      <c r="A132" s="69"/>
      <c r="B132" s="70"/>
      <c r="C132" s="71"/>
      <c r="D132" s="53" t="s">
        <v>324</v>
      </c>
      <c r="E132" s="54">
        <f t="shared" si="560"/>
        <v>17.49733891</v>
      </c>
      <c r="F132" s="68">
        <f>$F$20</f>
        <v>131.13029499843299</v>
      </c>
      <c r="G132" s="58"/>
      <c r="H132" s="62"/>
      <c r="I132" s="145">
        <f>$F$203</f>
        <v>267.425148012862</v>
      </c>
      <c r="J132" s="62"/>
      <c r="K132" s="62"/>
      <c r="L132" s="97" t="s">
        <v>467</v>
      </c>
      <c r="M132" s="103">
        <f t="shared" si="339"/>
        <v>0.7</v>
      </c>
      <c r="N132" s="103">
        <f t="shared" si="501"/>
        <v>0.7</v>
      </c>
      <c r="O132" s="53">
        <f t="shared" si="572"/>
        <v>0.08</v>
      </c>
      <c r="P132" s="99">
        <v>0.1</v>
      </c>
      <c r="Q132" s="133">
        <f t="shared" si="557"/>
        <v>0.1</v>
      </c>
      <c r="R132" s="70">
        <v>0.8</v>
      </c>
      <c r="S132" s="142" t="str">
        <f>各项系数!$D$43</f>
        <v>钢带</v>
      </c>
      <c r="T132" s="102">
        <v>0.2</v>
      </c>
      <c r="U132" s="102">
        <v>2</v>
      </c>
      <c r="V132" s="131"/>
      <c r="W132" s="103">
        <v>1.8</v>
      </c>
      <c r="X132" s="135">
        <f t="shared" si="558"/>
        <v>0.2</v>
      </c>
      <c r="Y132" s="135"/>
      <c r="Z132" s="168"/>
      <c r="AA132" s="153">
        <f>$AA$20</f>
        <v>1.0109999999999999</v>
      </c>
      <c r="AB132" s="153">
        <f>PI()*EJ132*EJ132/4*EH132*(1-H132)*AA132*各项系数!$F$5*各项系数!$J$4*10^-7</f>
        <v>8.4541508952717087E-2</v>
      </c>
      <c r="AC132" s="153">
        <f t="shared" ref="AC132:AC157" si="573">EJ132</f>
        <v>131.13029499843299</v>
      </c>
      <c r="AD132" s="153">
        <f t="shared" si="341"/>
        <v>9.5575186339704263</v>
      </c>
      <c r="AE132" s="153">
        <f>POWER(4*EU132/PI()/EG132/10^-7/EH132/(1-H132)/各项系数!$F$5/各项系数!$J$4,0.5)</f>
        <v>131.84953910919143</v>
      </c>
      <c r="AF132" s="69">
        <f>$AA$203</f>
        <v>1</v>
      </c>
      <c r="AG132" s="69">
        <f>IF(EM132=0,0,PI()*ER132*ER132/4*EP132*(1-K132)*(1+AF132)*各项系数!$F$5*各项系数!$J$4*10^-7)</f>
        <v>9.9368608542059311E-2</v>
      </c>
      <c r="AH132" s="69">
        <f t="shared" ref="AH132:AH157" si="574">ER132</f>
        <v>267.425148012862</v>
      </c>
      <c r="AI132" s="69">
        <f t="shared" si="398"/>
        <v>5.6168699821977874</v>
      </c>
      <c r="AJ132" s="69">
        <f>IF(OR(EP132="",EP132=0),0,POWER(4*EW132/PI()/EO132/10^-7/EP132/(1-K132)/各项系数!$F$5/各项系数!$J$4,0.5))</f>
        <v>267.42514801286194</v>
      </c>
      <c r="AK132" s="69">
        <f t="shared" si="342"/>
        <v>0.38785034008189795</v>
      </c>
      <c r="AL132" s="69">
        <f t="shared" ref="AL132:AL157" si="575">AO132*(1+0.02)</f>
        <v>28.375291046192121</v>
      </c>
      <c r="AM132" s="188">
        <f t="shared" ref="AM132:AM157" si="576">EE132*1</f>
        <v>10</v>
      </c>
      <c r="AN132" s="97" t="s">
        <v>486</v>
      </c>
      <c r="AO132" s="196">
        <f>AP132+各项系数!$M$9*$NK132</f>
        <v>27.818912790384431</v>
      </c>
      <c r="AP132" s="196">
        <f>AQ132*(1+$BI132+(VLOOKUP($AM132,$A$12:$B$323,2,0))+各项系数!$J$6+各项系数!$M$5)*(1+$E$2)</f>
        <v>27.627940633187276</v>
      </c>
      <c r="AQ132" s="197">
        <f>AR132+各项系数!$L$9*$NK132</f>
        <v>28.191776156313548</v>
      </c>
      <c r="AR132" s="197">
        <f>AS132*(1+$BJ132+各项系数!$J$5+各项系数!$L$5)</f>
        <v>28.000803999116393</v>
      </c>
      <c r="AS132" s="197">
        <f t="shared" si="399"/>
        <v>27.451768626584698</v>
      </c>
      <c r="AT132" s="196">
        <f>AU132+各项系数!$M$9*$NM132</f>
        <v>28.697370425093226</v>
      </c>
      <c r="AU132" s="196">
        <f>AV132*(1+$BI132+(VLOOKUP($AM132,$A$12:$B$323,2,0))+各项系数!$J$6+各项系数!$M$5)*(1+$E$2)</f>
        <v>28.506398267896071</v>
      </c>
      <c r="AV132" s="197">
        <f>AW132+各项系数!$L$9*$NM132</f>
        <v>29.088161497853132</v>
      </c>
      <c r="AW132" s="197">
        <f>AX132*(1+$BJ132+各项系数!$J$5+各项系数!$L$5)</f>
        <v>28.897189340655977</v>
      </c>
      <c r="AX132" s="197">
        <f t="shared" si="400"/>
        <v>28.330577784956841</v>
      </c>
      <c r="AY132" s="196">
        <f>AZ132+各项系数!$M$9*$NS132</f>
        <v>29.161082165663061</v>
      </c>
      <c r="AZ132" s="196">
        <f>BA132*(1+$BI132+(VLOOKUP($AM132,$A$12:$B$214,2,0))+各项系数!$J$6+各项系数!$M$5)*(1+$E$2)</f>
        <v>28.964252804872306</v>
      </c>
      <c r="BA132" s="197">
        <f>BB132+各项系数!$L$9*$NS132</f>
        <v>29.555360004971742</v>
      </c>
      <c r="BB132" s="197">
        <f>BC132*(1+$BJ132+各项系数!$J$5+各项系数!$L$5)</f>
        <v>29.358530644180988</v>
      </c>
      <c r="BC132" s="199">
        <f t="shared" si="401"/>
        <v>28.782873180569595</v>
      </c>
      <c r="BD132" s="196">
        <f>BE132+各项系数!$M$9*$NS132</f>
        <v>30.048493752526369</v>
      </c>
      <c r="BE132" s="196">
        <f>BF132*(1+$BI132+(VLOOKUP($AM132,$A$12:$B$214,2,0))+各项系数!$J$6+各项系数!$M$5)*(1+$E$2)</f>
        <v>29.851664391735614</v>
      </c>
      <c r="BF132" s="197">
        <f>BG132+各项系数!$L$9*$NS132</f>
        <v>30.460882032383282</v>
      </c>
      <c r="BG132" s="197">
        <f>BH132*(1+$BJ132+各项系数!$J$5+各项系数!$L$5)</f>
        <v>30.264052671592527</v>
      </c>
      <c r="BH132" s="199">
        <f t="shared" si="402"/>
        <v>29.670639874110321</v>
      </c>
      <c r="BI132" s="213"/>
      <c r="BJ132" s="208"/>
      <c r="BK132" s="53" t="s">
        <v>514</v>
      </c>
      <c r="BL132" s="196">
        <f>BM132+各项系数!$M$9*$NM132</f>
        <v>28.218994680488525</v>
      </c>
      <c r="BM132" s="196">
        <f>BN132*(1+$CF132+(VLOOKUP($AM132,$A$12:$B$323,2,0))+各项系数!$J$6+各项系数!$M$5)*(1+$E$2)</f>
        <v>28.028022523291369</v>
      </c>
      <c r="BN132" s="197">
        <f>BO132+各项系数!$L$9*$NM132</f>
        <v>28.600022982950378</v>
      </c>
      <c r="BO132" s="197">
        <f>BP132*(1+$CG132+各项系数!$J$5+各项系数!$L$5)</f>
        <v>28.409050825753223</v>
      </c>
      <c r="BP132" s="197">
        <f t="shared" si="403"/>
        <v>27.581602743449729</v>
      </c>
      <c r="BQ132" s="196">
        <f>BR132+各项系数!$M$9*$NM132</f>
        <v>28.975010087385805</v>
      </c>
      <c r="BR132" s="196">
        <f>BS132*(1+$CF132+(VLOOKUP($AM132,$A$12:$B$323,2,0))+各项系数!$J$6+各项系数!$M$5)*(1+$E$2)</f>
        <v>28.784037930188649</v>
      </c>
      <c r="BS132" s="197">
        <f>BT132+各项系数!$L$9*$NM132</f>
        <v>29.371467275702702</v>
      </c>
      <c r="BT132" s="197">
        <f>BU132*(1+$CG132+各项系数!$J$5+各项系数!$L$5)</f>
        <v>29.180495118505547</v>
      </c>
      <c r="BU132" s="197">
        <f t="shared" si="404"/>
        <v>28.330577784956841</v>
      </c>
      <c r="BV132" s="196">
        <f>BW132+各项系数!$M$9*$NT132</f>
        <v>29.390750056176334</v>
      </c>
      <c r="BW132" s="196">
        <f>BX132*(1+$CF132+(VLOOKUP($AM132,$A$12:$B$214,2,0))+各项系数!$J$6+各项系数!$M$5)*(1+$E$2)</f>
        <v>29.193920695385579</v>
      </c>
      <c r="BX132" s="197">
        <f>BY132+各项系数!$L$9*$NT$12</f>
        <v>29.789714995291408</v>
      </c>
      <c r="BY132" s="197">
        <f>BZ132*(1+$CG132+各项系数!$J$5+各项系数!$L$5)</f>
        <v>29.781451592136435</v>
      </c>
      <c r="BZ132" s="199">
        <f t="shared" si="343"/>
        <v>28.91403067197712</v>
      </c>
      <c r="CA132" s="196">
        <f>CB132+各项系数!$M$9*$NT132</f>
        <v>30.154471384809586</v>
      </c>
      <c r="CB132" s="196">
        <f>CC132*(1+$CF132+(VLOOKUP($AM132,$A$12:$B$214,2,0))+各项系数!$J$6+各项系数!$M$5)*(1+$E$2)</f>
        <v>29.957642024018831</v>
      </c>
      <c r="CC132" s="197">
        <f>CD132+各项系数!$L$9*$NT$12</f>
        <v>30.569022473488605</v>
      </c>
      <c r="CD132" s="197">
        <f>CE132*(1+$CG132+各项系数!$J$5+各项系数!$L$5)</f>
        <v>30.560759070333631</v>
      </c>
      <c r="CE132" s="199">
        <f t="shared" si="405"/>
        <v>29.670639874110321</v>
      </c>
      <c r="CF132" s="213">
        <f t="shared" si="514"/>
        <v>0</v>
      </c>
      <c r="CG132" s="213">
        <f t="shared" si="344"/>
        <v>0.01</v>
      </c>
      <c r="CH132" s="102"/>
      <c r="CI132" s="196">
        <f>CJ132+各项系数!$M$9*$NO132</f>
        <v>29.281505348453397</v>
      </c>
      <c r="CJ132" s="196">
        <f>CK132*(1+$DC132+(VLOOKUP($AM132,$A$12:$B$323,2,0))+各项系数!$J$6+各项系数!$M$5)*(1+$E$2)+各项系数!$M$9*$NK132</f>
        <v>29.007770013698302</v>
      </c>
      <c r="CK132" s="197">
        <f>CL132+各项系数!$L$9*$NO132</f>
        <v>29.404895771939945</v>
      </c>
      <c r="CL132" s="197">
        <f>CM132*(1+$DD132+各项系数!$J$5+各项系数!$L$5)</f>
        <v>29.13116043718485</v>
      </c>
      <c r="CM132" s="197">
        <f t="shared" si="345"/>
        <v>28.559961212926321</v>
      </c>
      <c r="CN132" s="196">
        <f>CO132+各项系数!$M$9*$NO132</f>
        <v>30.020733526632863</v>
      </c>
      <c r="CO132" s="196">
        <f>CP132*(1+$DC132+(VLOOKUP($AM132,$A$12:$B$323,2,0))+各项系数!$J$6+各项系数!$M$5)*(1+$E$2)+各项系数!$M$9*$NK132</f>
        <v>29.746998191877768</v>
      </c>
      <c r="CP132" s="197">
        <f>CQ132+各项系数!$L$9*$NO132</f>
        <v>30.159210239470013</v>
      </c>
      <c r="CQ132" s="197">
        <f>CR132*(1+$DD132+各项系数!$J$5+各项系数!$L$5)</f>
        <v>29.885474904714918</v>
      </c>
      <c r="CR132" s="197">
        <f t="shared" si="346"/>
        <v>29.2994852007009</v>
      </c>
      <c r="CS132" s="196">
        <f>CT132+各项系数!$M$9*$NU132</f>
        <v>30.592814339550781</v>
      </c>
      <c r="CT132" s="196">
        <f t="shared" si="347"/>
        <v>30.312516121035415</v>
      </c>
      <c r="CU132" s="197">
        <f>CV132+各项系数!$L$9*$NU132</f>
        <v>30.931138899015732</v>
      </c>
      <c r="CV132" s="197">
        <f>CW132*(1+$DD132+各项系数!$J$5+各项系数!$L$5)</f>
        <v>30.650840680500366</v>
      </c>
      <c r="CW132" s="199">
        <f t="shared" si="348"/>
        <v>30.049843804412124</v>
      </c>
      <c r="CX132" s="196">
        <f>CY132+各项系数!$M$9*$NU132</f>
        <v>31.574466272840404</v>
      </c>
      <c r="CY132" s="196">
        <f t="shared" si="349"/>
        <v>31.294168054325038</v>
      </c>
      <c r="CZ132" s="197">
        <f>DA132+各项系数!$L$9*$NU132</f>
        <v>31.932824545229632</v>
      </c>
      <c r="DA132" s="197">
        <f>DB132*(1+$DD132+各项系数!$J$5+各项系数!$L$5)</f>
        <v>31.652526326714266</v>
      </c>
      <c r="DB132" s="199">
        <f t="shared" si="350"/>
        <v>31.031888555602222</v>
      </c>
      <c r="DC132" s="213">
        <f t="shared" si="571"/>
        <v>0</v>
      </c>
      <c r="DD132" s="213">
        <f t="shared" si="351"/>
        <v>0</v>
      </c>
      <c r="DE132" s="53" t="s">
        <v>498</v>
      </c>
      <c r="DF132" s="53" t="s">
        <v>513</v>
      </c>
      <c r="DG132" s="196">
        <f>DH132+各项系数!$M$9*$NQ132</f>
        <v>29.706506971023753</v>
      </c>
      <c r="DH132" s="196">
        <f>DI132*(1+$EA132+(VLOOKUP($AM132,$A$12:$B$323,2,0))+各项系数!$J$6+各项系数!$M$5)*(1+$E$2)+各项系数!$M$9*$NK132</f>
        <v>29.432771636268658</v>
      </c>
      <c r="DI132" s="197">
        <f>DJ132+各项系数!$L$9*$NQ132</f>
        <v>29.838570897011738</v>
      </c>
      <c r="DJ132" s="197">
        <f>DK132*(1+$EB132+各项系数!$J$5+各项系数!$L$5)</f>
        <v>29.564835562256643</v>
      </c>
      <c r="DK132" s="197">
        <f t="shared" si="352"/>
        <v>28.703723846851108</v>
      </c>
      <c r="DL132" s="196">
        <f>DM132+各项系数!$M$9*$NQ132</f>
        <v>30.543627204192187</v>
      </c>
      <c r="DM132" s="196">
        <f>DN132*(1+$EA132+(VLOOKUP($AM132,$A$12:$B$323,2,0))+各项系数!$J$6+各项系数!$M$5)*(1+$E$2)+各项系数!$M$9*$NK132</f>
        <v>30.269891869437092</v>
      </c>
      <c r="DN132" s="197">
        <f>DO132+各项系数!$L$9*$NQ132</f>
        <v>30.692775216571366</v>
      </c>
      <c r="DO132" s="197">
        <f>DP132*(1+$EB132+各项系数!$J$5+各项系数!$L$5)</f>
        <v>30.419039881816271</v>
      </c>
      <c r="DP132" s="197">
        <f t="shared" si="353"/>
        <v>29.533048428947836</v>
      </c>
      <c r="DQ132" s="196">
        <f>DR132+各项系数!$M$9*$NV132</f>
        <v>31.033752625780895</v>
      </c>
      <c r="DR132" s="196">
        <f t="shared" si="354"/>
        <v>30.753454407265529</v>
      </c>
      <c r="DS132" s="197">
        <f>DT132+各项系数!$L$9*$NV132</f>
        <v>31.381075925781154</v>
      </c>
      <c r="DT132" s="197">
        <f>DU132*(1+$EB132+各项系数!$J$5+各项系数!$L$5)</f>
        <v>31.100777707265788</v>
      </c>
      <c r="DU132" s="199">
        <f t="shared" si="355"/>
        <v>30.194929812879405</v>
      </c>
      <c r="DV132" s="196">
        <f>DW132+各项系数!$M$9*$NV132</f>
        <v>31.230058876124577</v>
      </c>
      <c r="DW132" s="196">
        <f t="shared" si="356"/>
        <v>30.949760657609211</v>
      </c>
      <c r="DX132" s="197">
        <f>DY132+各项系数!$L$9*$NV132</f>
        <v>31.581388426131848</v>
      </c>
      <c r="DY132" s="197">
        <f>DZ132*(1+$EB132+各项系数!$J$5+各项系数!$L$5)</f>
        <v>31.301090207616483</v>
      </c>
      <c r="DZ132" s="199">
        <f t="shared" si="357"/>
        <v>30.389407968559691</v>
      </c>
      <c r="EA132" s="213">
        <f t="shared" si="559"/>
        <v>0</v>
      </c>
      <c r="EB132" s="213">
        <f t="shared" si="358"/>
        <v>0.01</v>
      </c>
      <c r="EC132" s="235" t="str">
        <f t="shared" si="408"/>
        <v>4+1</v>
      </c>
      <c r="ED132" s="235" t="str">
        <f t="shared" si="565"/>
        <v>4*10</v>
      </c>
      <c r="EE132" s="189">
        <f t="shared" si="495"/>
        <v>10</v>
      </c>
      <c r="EF132" s="189" t="str">
        <f>LOOKUP(EH132,{1,7,10,14,19,24,30,37,48,61},{1,"1+6","2+8","4+10","1+6+12","2+8+14","4+10+16","1+6+12+18","3+9+15+21","1+6+12+18+24"})</f>
        <v>1+6</v>
      </c>
      <c r="EG132" s="188">
        <f t="shared" si="359"/>
        <v>4</v>
      </c>
      <c r="EH132" s="197">
        <f>VLOOKUP(EE132,各项系数!$B$87:$C$124,2,0)</f>
        <v>7</v>
      </c>
      <c r="EI132" s="188">
        <f>IF(EH132=0,0,VLOOKUP(EH132,各项系数!$D$142:$E$195,2,0))*1</f>
        <v>3</v>
      </c>
      <c r="EJ132" s="238">
        <f t="shared" si="409"/>
        <v>131.13029499843299</v>
      </c>
      <c r="EK132" s="189" t="str">
        <f t="shared" si="566"/>
        <v>1*6</v>
      </c>
      <c r="EL132" s="189" t="str">
        <f t="shared" si="360"/>
        <v>6</v>
      </c>
      <c r="EM132" s="189">
        <f t="shared" si="567"/>
        <v>6</v>
      </c>
      <c r="EN132" s="189">
        <f>IF(EP132=0,0,LOOKUP(EP132,{1,7,10,14,19,24,30,37,48,61},{1,"1+6","2+8","4+10","1+6+12","2+8+14","4+10+16","1+6+12+18","3+9+15+21","1+6+12+18+24"}))</f>
        <v>1</v>
      </c>
      <c r="EO132" s="189" t="str">
        <f t="shared" si="568"/>
        <v>1</v>
      </c>
      <c r="EP132" s="189">
        <f>IF(EM132=0,0,IF(EM132&lt;10,1,IF(AND(EM132&gt;=10,EM132&lt;=35),7,LOOKUP(EM132,{50,70,95,120,150,185,240,300},{10,14,19,24,30,37,48,61})*1)))</f>
        <v>1</v>
      </c>
      <c r="EQ132" s="189">
        <f>IF(EP132=0,0,VLOOKUP(EP132,各项系数!$D$142:$E$195,2,0))*1</f>
        <v>1</v>
      </c>
      <c r="ER132" s="189">
        <f t="shared" ref="ER132:ER157" si="577">$I132-$J132</f>
        <v>267.425148012862</v>
      </c>
      <c r="ES132" s="235">
        <f t="shared" si="570"/>
        <v>5</v>
      </c>
      <c r="ET132" s="189">
        <f>VLOOKUP(ES132,各项系数!$D$142:$E$195,2,0)*1</f>
        <v>2.7</v>
      </c>
      <c r="EU132" s="243">
        <f>((各项系数!$F$76/4*$EJ132^2*$EG132*$EH132*1*10^-7)*(1-$H132)*AA132)*(VLOOKUP($EY$9,各项系数!$D$4:$F$143,3,0))*各项系数!$J$4</f>
        <v>0.33816603581086829</v>
      </c>
      <c r="EV132" s="244">
        <f>EU132*(VLOOKUP($EY$9,各项系数!$D$4:$F$143,2,0))</f>
        <v>22.149875345611875</v>
      </c>
      <c r="EW132" s="252">
        <f>(IF($EO132=0,0,(各项系数!$F$76/4*$ER132^2*$EO132*$EP132*1*10^-7))*(1-$K132)*$AF132)*(VLOOKUP($EY$9,各项系数!$D$4:$F$143,3,0))*各项系数!$J$4</f>
        <v>4.9684304271029649E-2</v>
      </c>
      <c r="EX132" s="253">
        <f>EW132*(VLOOKUP($EY$9,各项系数!$D$4:$F$143,2,0))</f>
        <v>3.2543219297524422</v>
      </c>
      <c r="EY132" s="189">
        <f>((各项系数!$F$76/4*$EJ132^2*$EG132*$EH132*1*10^-7)*(1-$H132)*AA132+IF($EO132=0,0,(各项系数!$F$76/4*$ER132^2*$EO132*$EP132*1*10^-7))*(1-$K132)*$AF132)*(VLOOKUP($EY$9,各项系数!$D$4:$F$143,3,0))*各项系数!$J$4</f>
        <v>0.38785034008189795</v>
      </c>
      <c r="EZ132" s="102">
        <v>1</v>
      </c>
      <c r="FA132" s="189">
        <f t="shared" si="515"/>
        <v>0.38785034008189795</v>
      </c>
      <c r="FB132" s="254">
        <f>FA132*(VLOOKUP($EY$9,各项系数!$D$4:$F$143,2,0))</f>
        <v>25.404197275364314</v>
      </c>
      <c r="FC132" s="255"/>
      <c r="FD132" s="235">
        <f>各项系数!$F$76/4*($MN132^2-MK132^2)*10^-2*(VLOOKUP(L132,各项系数!$D$1:$F$143,3,0))*10^-3*10^2*$EG132*各项系数!$J$4</f>
        <v>4.4613999370130684E-2</v>
      </c>
      <c r="FE132" s="262">
        <f>FD132*VLOOKUP(L132,各项系数!$D$1:$F$143,2,0)</f>
        <v>0.45506279357533297</v>
      </c>
      <c r="FF132" s="188">
        <f>各项系数!$F$76/4*($MO132^2-ML132^2)*10^-2*(VLOOKUP(L132,各项系数!$D$1:$F$143,3,0))*10^-3*10^2*$EO132*各项系数!$J$4</f>
        <v>8.1215911994682258E-3</v>
      </c>
      <c r="FG132" s="262">
        <f>FF132*VLOOKUP(L132,各项系数!$D$1:$F$143,2,0)</f>
        <v>8.2840230234575901E-2</v>
      </c>
      <c r="FH132" s="235">
        <f t="shared" si="410"/>
        <v>5.2735590569598909E-2</v>
      </c>
      <c r="FI132" s="102">
        <v>1</v>
      </c>
      <c r="FJ132" s="189">
        <f t="shared" si="516"/>
        <v>5.2735590569598909E-2</v>
      </c>
      <c r="FK132" s="262">
        <f>FJ132*VLOOKUP(L132,各项系数!$D$1:$F$143,2,0)</f>
        <v>0.53790302380990884</v>
      </c>
      <c r="FL132" s="235"/>
      <c r="FM132" s="102"/>
      <c r="FN132" s="189"/>
      <c r="FO132" s="262"/>
      <c r="FP132" s="282">
        <f t="shared" si="517"/>
        <v>5.2735590569598909E-2</v>
      </c>
      <c r="FQ132" s="282">
        <f t="shared" si="518"/>
        <v>0.53790302380990884</v>
      </c>
      <c r="FR132" s="283">
        <f>各项系数!$F$76/4*($MQ132^2-$MN132^2*$EG132-$MO132^2*$EO132)*10^-2</f>
        <v>0.45453569301146302</v>
      </c>
      <c r="FS132" s="284">
        <f t="shared" si="411"/>
        <v>1</v>
      </c>
      <c r="FT132" s="285">
        <f t="shared" si="361"/>
        <v>0.45453569301146302</v>
      </c>
      <c r="FU132" s="302">
        <f>$FT132*(VLOOKUP($FT$9,各项系数!$D$1:$F$143,3,0))*10^-3*10^2*各项系数!$J$55</f>
        <v>5.4271561745568686E-2</v>
      </c>
      <c r="FV132" s="303">
        <v>1</v>
      </c>
      <c r="FW132" s="304">
        <f t="shared" si="519"/>
        <v>5.4271561745568686E-2</v>
      </c>
      <c r="FX132" s="285">
        <f>FW132*(VLOOKUP($FT$9,各项系数!$D$1:$F$143,2,0))</f>
        <v>0.16281468523670606</v>
      </c>
      <c r="FY132" s="302">
        <f>IF($BK132&lt;&gt;$FY$9,0,各项系数!$F$76/4*($MS132^2-$MQ132^2)*10^-2*(VLOOKUP($FY$9,各项系数!$D$1:$F$143,3,0))*10^-3*10^2)*各项系数!$J$4</f>
        <v>0</v>
      </c>
      <c r="FZ132" s="303">
        <v>1</v>
      </c>
      <c r="GA132" s="304">
        <f t="shared" si="520"/>
        <v>0</v>
      </c>
      <c r="GB132" s="285">
        <f>GA132*(VLOOKUP($FY$9,各项系数!$D$1:$F$143,2,0))</f>
        <v>0</v>
      </c>
      <c r="GC132" s="302">
        <f>IF($BK132&lt;&gt;$GC$9,0,各项系数!$F$76/4*($MS132^2-$MQ132^2)*10^-2*(VLOOKUP($GC$9,各项系数!$D$1:$F$143,3,0))*10^-3*10^2)*各项系数!$J$4</f>
        <v>3.7606568622843028E-3</v>
      </c>
      <c r="GD132" s="303">
        <v>1</v>
      </c>
      <c r="GE132" s="304">
        <f t="shared" si="521"/>
        <v>3.7606568622843028E-3</v>
      </c>
      <c r="GF132" s="285">
        <f>GE132*(VLOOKUP($GC$9,各项系数!$D$1:$F$143,2,0))</f>
        <v>4.8512473523467506E-2</v>
      </c>
      <c r="GG132" s="302">
        <f>IF($BK132&lt;&gt;$GG$9,0,各项系数!$F$76/4*($MS132^2-$MQ132^2)*10^-2*(VLOOKUP($GG$9,各项系数!$D$1:$F$143,3,0))*10^-3*10^2)*各项系数!$J$4</f>
        <v>0</v>
      </c>
      <c r="GH132" s="303">
        <v>1</v>
      </c>
      <c r="GI132" s="304">
        <f t="shared" si="522"/>
        <v>0</v>
      </c>
      <c r="GJ132" s="285">
        <f>GI132*(VLOOKUP($GG$9,各项系数!$D$1:$F$143,2,0))</f>
        <v>0</v>
      </c>
      <c r="GK132" s="302">
        <f>IF($BK132&lt;&gt;$GK$9,0,各项系数!$F$76/4*($MS132^2-$MQ132^2)*10^-2*(VLOOKUP($GK$9,各项系数!$D$1:$F$143,3,0))*10^-3*10^2)*各项系数!$J$4</f>
        <v>0</v>
      </c>
      <c r="GL132" s="303">
        <v>1</v>
      </c>
      <c r="GM132" s="304">
        <f t="shared" si="523"/>
        <v>0</v>
      </c>
      <c r="GN132" s="285">
        <f>GM132*(VLOOKUP($GK$9,各项系数!$D$1:$F$143,2,0))</f>
        <v>0</v>
      </c>
      <c r="GO132" s="304">
        <f t="shared" si="524"/>
        <v>3.7606568622843028E-3</v>
      </c>
      <c r="GP132" s="304">
        <f t="shared" si="525"/>
        <v>4.8512473523467506E-2</v>
      </c>
      <c r="GQ132" s="315">
        <f>各项系数!$F$76/4*($MU132^2-$MS132^2)*10^-2*(VLOOKUP($S132,各项系数!$D$1:$F$143,3,0))*10^-3*10^2*各项系数!$J$4</f>
        <v>0.10411370722651879</v>
      </c>
      <c r="GR132" s="303">
        <v>1</v>
      </c>
      <c r="GS132" s="304">
        <f t="shared" si="526"/>
        <v>0.10411370722651879</v>
      </c>
      <c r="GT132" s="304">
        <f t="shared" si="457"/>
        <v>0</v>
      </c>
      <c r="GU132" s="304">
        <f>ROUND($GS132*(VLOOKUP($S132,各项系数!$D$1:$F$143,2,0))+$E$3*GS132,GT132)</f>
        <v>1</v>
      </c>
      <c r="GV132" s="315">
        <f>各项系数!$F$76/4*($MT132^2-$MS132^2)*10^-2*(VLOOKUP($GV$9,各项系数!$D$1:$F$143,3,0))*10^-3*10^2*各项系数!$J$4*PI()/4*R132</f>
        <v>1.9524011978665903E-2</v>
      </c>
      <c r="GW132" s="303">
        <v>1</v>
      </c>
      <c r="GX132" s="304">
        <f t="shared" si="527"/>
        <v>1.9524011978665903E-2</v>
      </c>
      <c r="GY132" s="304">
        <f>$GX132*(VLOOKUP($GV$9,各项系数!$D$1:$F$143,2,0))</f>
        <v>1.3178708085599484</v>
      </c>
      <c r="GZ132" s="315">
        <f>各项系数!$F$76/4*($MV132^2-$MS132^2)*10^-2*(VLOOKUP($GZ$9,各项系数!$D$1:$F$143,3,0))*10^-3*10^2*各项系数!$J$4</f>
        <v>0.12806766629543781</v>
      </c>
      <c r="HA132" s="303">
        <v>1</v>
      </c>
      <c r="HB132" s="304">
        <f t="shared" si="412"/>
        <v>0.12806766629543781</v>
      </c>
      <c r="HC132" s="304">
        <f>HB132*(VLOOKUP($GZ$9,各项系数!$D$1:$F$143,2,0))</f>
        <v>2.1771503270224426</v>
      </c>
      <c r="HD132" s="315">
        <f>各项系数!$F$76/4*($MW132^2-$MT132^2)*10^-2*(VLOOKUP($HD$9,各项系数!$D$1:$F$143,3,0))*10^-3*10^2*各项系数!$J$4</f>
        <v>0.12937303574211617</v>
      </c>
      <c r="HE132" s="303">
        <v>1</v>
      </c>
      <c r="HF132" s="304">
        <f t="shared" si="413"/>
        <v>0.12937303574211617</v>
      </c>
      <c r="HG132" s="304">
        <f>HF132*(VLOOKUP($HD$9,各项系数!$D$1:$F$143,2,0))</f>
        <v>2.1993416076159749</v>
      </c>
      <c r="HH132" s="315">
        <f>各项系数!$F$76/4*($MV132^2-$MS132^2)*10^-2*(VLOOKUP($HH$9,各项系数!$D$1:$F$143,3,0))*10^-3*10^2*各项系数!$J$4</f>
        <v>0.12806766629543781</v>
      </c>
      <c r="HI132" s="322">
        <v>1</v>
      </c>
      <c r="HJ132" s="304">
        <f t="shared" si="414"/>
        <v>0.12806766629543781</v>
      </c>
      <c r="HK132" s="304">
        <f>HJ132*(VLOOKUP($HH$9,各项系数!$D$1:$F$143,2,0))</f>
        <v>2.1771503270224426</v>
      </c>
      <c r="HL132" s="315">
        <f>各项系数!$F$76/4*($MW132^2-$MT132^2)*10^-2*(VLOOKUP($HL$9,各项系数!$D$1:$F$143,3,0))*10^-3*10^2*各项系数!$J$4</f>
        <v>0.12937303574211617</v>
      </c>
      <c r="HM132" s="322">
        <v>1</v>
      </c>
      <c r="HN132" s="304">
        <f t="shared" si="362"/>
        <v>0.12937303574211617</v>
      </c>
      <c r="HO132" s="304">
        <f>HN132*(VLOOKUP($HL$9,各项系数!$D$1:$F$143,2,0))</f>
        <v>2.1993416076159749</v>
      </c>
      <c r="HP132" s="315">
        <f>各项系数!$F$76/4*($MV132^2-$MS132^2)*10^-2*(VLOOKUP(AN132,各项系数!$D$1:$F$143,3,0))*10^-3*10^2*各项系数!$J$4</f>
        <v>0.12983411686503005</v>
      </c>
      <c r="HQ132" s="303">
        <v>1</v>
      </c>
      <c r="HR132" s="304">
        <f t="shared" si="528"/>
        <v>0.12983411686503005</v>
      </c>
      <c r="HS132" s="304">
        <f>HR132*(VLOOKUP(AN132,各项系数!$D$1:$F$143,2,0))</f>
        <v>1.2983411686503006</v>
      </c>
      <c r="HT132" s="315">
        <f>各项系数!$F$76/4*($MW132^2-$MT132^2)*10^-2*(VLOOKUP(AN132,各项系数!$D$1:$F$143,3,0))*10^-3*10^2*各项系数!$J$4</f>
        <v>0.1311574914075247</v>
      </c>
      <c r="HU132" s="303">
        <v>1</v>
      </c>
      <c r="HV132" s="304">
        <f t="shared" si="529"/>
        <v>0.1311574914075247</v>
      </c>
      <c r="HW132" s="304">
        <f>HV132*(VLOOKUP(AN132,各项系数!$D$1:$F$143,2,0))</f>
        <v>1.3115749140752468</v>
      </c>
      <c r="HX132" s="315">
        <f>各项系数!$F$76/4*($MV132^2-$MS132^2)*10^-2*(VLOOKUP($HX$9,各项系数!$D$1:$F$143,3,0))*10^-3*10^2*各项系数!$J$4</f>
        <v>0.12983411686503005</v>
      </c>
      <c r="HY132" s="322">
        <v>1</v>
      </c>
      <c r="HZ132" s="304">
        <f t="shared" si="530"/>
        <v>0.12983411686503005</v>
      </c>
      <c r="IA132" s="304">
        <f>HZ132*(VLOOKUP($HX$9,各项系数!$D$1:$F$143,2,0))</f>
        <v>1.4281752855153305</v>
      </c>
      <c r="IB132" s="315">
        <f>各项系数!$F$76/4*($MW132^2-$MT132^2)*10^-2*(VLOOKUP($IB$9,各项系数!$D$1:$F$143,3,0))*10^-3*10^2*各项系数!$J$4</f>
        <v>0.1311574914075247</v>
      </c>
      <c r="IC132" s="322">
        <v>1</v>
      </c>
      <c r="ID132" s="304">
        <f t="shared" si="531"/>
        <v>0.1311574914075247</v>
      </c>
      <c r="IE132" s="304">
        <f>ID132*(VLOOKUP($IB$9,各项系数!$D$1:$F$143,2,0))</f>
        <v>1.4427324054827717</v>
      </c>
      <c r="IF132" s="328"/>
      <c r="IG132" s="315">
        <f t="shared" si="415"/>
        <v>2.8006204762349243E-2</v>
      </c>
      <c r="IH132" s="303">
        <v>1</v>
      </c>
      <c r="II132" s="304">
        <f t="shared" si="532"/>
        <v>2.8006204762349243E-2</v>
      </c>
      <c r="IJ132" s="304">
        <f>II132*(VLOOKUP($IG$8,各项系数!$D$1:$F$143,2,0))</f>
        <v>0.70015511905873107</v>
      </c>
      <c r="IK132" s="315">
        <f>(各项系数!$F$76/4*($MX132^2-$MK132^2)*$EG132)*10^-2*(VLOOKUP($IG$8,各项系数!$D$1:$F$143,3,0))*10^-3*10^2*各项系数!$J$4</f>
        <v>2.3822479537979682E-2</v>
      </c>
      <c r="IL132" s="303">
        <f>IK132*(VLOOKUP($IG$8,各项系数!$D$1:$F$143,2,0))</f>
        <v>0.59556198844949204</v>
      </c>
      <c r="IM132" s="304">
        <f>(各项系数!$F$76/4*(($MM132+3*$X132)^2-MM132^2)*$EO132)*10^-2*(VLOOKUP($IG$8,各项系数!$D$1:$F$143,3,0))*10^-3*10^2*各项系数!$J$4</f>
        <v>4.1837252243695604E-3</v>
      </c>
      <c r="IN132" s="303">
        <f>IM132*(VLOOKUP($IG$8,各项系数!$D$1:$F$143,2,0))</f>
        <v>0.10459313060923901</v>
      </c>
      <c r="IO132" s="315">
        <f>各项系数!$F$76/4*($MZ132^2-$MX132^2)*10^-2*(VLOOKUP(L132,各项系数!$D$1:$F$143,3,0))*10^-3*10^2*$ES132*各项系数!$J$4</f>
        <v>6.2988292847306823E-2</v>
      </c>
      <c r="IP132" s="303">
        <v>1</v>
      </c>
      <c r="IQ132" s="304">
        <f t="shared" si="533"/>
        <v>6.2988292847306823E-2</v>
      </c>
      <c r="IR132" s="285">
        <f>IQ132*(VLOOKUP(L132,各项系数!$D$1:$F$143,2,0))</f>
        <v>0.64248058704252953</v>
      </c>
      <c r="IS132" s="315">
        <f>IF($L132&lt;&gt;$IS$9,0,各项系数!$F$76/4*($MZ132^2-$MX132^2)*10^-2*各项系数!$F$12*10^-3*10^2)*$ES132*各项系数!$J$4</f>
        <v>0</v>
      </c>
      <c r="IT132" s="303">
        <v>1</v>
      </c>
      <c r="IU132" s="304">
        <f t="shared" si="534"/>
        <v>0</v>
      </c>
      <c r="IV132" s="285">
        <f>IU132*各项系数!$E$12</f>
        <v>0</v>
      </c>
      <c r="IW132" s="302">
        <f t="shared" si="535"/>
        <v>6.2988292847306823E-2</v>
      </c>
      <c r="IX132" s="302">
        <f t="shared" si="536"/>
        <v>0.64248058704252953</v>
      </c>
      <c r="IY132" s="339">
        <f>各项系数!$F$76/4*($NB132^2-$MZ132^2*$EG132-$NA132^2*$EO132)*10^-2</f>
        <v>0.57069351951024472</v>
      </c>
      <c r="IZ132" s="284">
        <f t="shared" si="487"/>
        <v>1</v>
      </c>
      <c r="JA132" s="285">
        <f t="shared" si="363"/>
        <v>0.57069351951024472</v>
      </c>
      <c r="JB132" s="282">
        <f>IF($DE132&lt;&gt;$JB$9,0,$JA132*各项系数!$F$32*10^-3*10^2)*各项系数!$J$4</f>
        <v>0</v>
      </c>
      <c r="JC132" s="102">
        <v>1</v>
      </c>
      <c r="JD132" s="189">
        <f t="shared" si="537"/>
        <v>0</v>
      </c>
      <c r="JE132" s="262">
        <f>JD132*各项系数!$E$32</f>
        <v>0</v>
      </c>
      <c r="JF132" s="282">
        <f>IF($DE132&lt;&gt;$JF$9,0,$JA132*VLOOKUP($JF$9,各项系数!$D$4:$F$540,2,0)*10^-3*10^2)*各项系数!$J$4</f>
        <v>0.2839200259563468</v>
      </c>
      <c r="JG132" s="102">
        <v>1</v>
      </c>
      <c r="JH132" s="189">
        <f t="shared" si="364"/>
        <v>0.2839200259563468</v>
      </c>
      <c r="JI132" s="262">
        <f>JH132*VLOOKUP($JF$9,各项系数!$D$4:$F$540,3,0)</f>
        <v>0.34070403114761616</v>
      </c>
      <c r="JJ132" s="282">
        <f t="shared" si="538"/>
        <v>0.2839200259563468</v>
      </c>
      <c r="JK132" s="189">
        <f t="shared" si="539"/>
        <v>0.34070403114761616</v>
      </c>
      <c r="JL132" s="282">
        <f>IF($DF132&lt;&gt;$JL$9,0,各项系数!$F$76/4*($NE132^2-$NC132^2)*10^-2*各项系数!$F$39*10^-3*10^2)*各项系数!$J$4</f>
        <v>1.7398930532632744E-3</v>
      </c>
      <c r="JM132" s="102">
        <v>1</v>
      </c>
      <c r="JN132" s="189">
        <f t="shared" si="540"/>
        <v>1.7398930532632744E-3</v>
      </c>
      <c r="JO132" s="262">
        <f>JN132*各项系数!$E$39</f>
        <v>3.4797861065265487E-2</v>
      </c>
      <c r="JP132" s="282">
        <f>IF($DF132&lt;&gt;$JP$9,0,各项系数!$F$76/4*($NE132^2-$NC132^2)*10^-2*各项系数!$F$36*10^-3*10^2)*各项系数!$J$4</f>
        <v>0</v>
      </c>
      <c r="JQ132" s="102">
        <v>1</v>
      </c>
      <c r="JR132" s="189">
        <f t="shared" si="541"/>
        <v>0</v>
      </c>
      <c r="JS132" s="262">
        <f>JR132*各项系数!$E$36</f>
        <v>0</v>
      </c>
      <c r="JT132" s="282">
        <f>IF($DF132&lt;&gt;$JT$9,0,各项系数!$F$76/4*($NE132^2-$NC132^2)*10^-2*各项系数!$F$40*10^-3*10^2)*各项系数!$J$4</f>
        <v>0</v>
      </c>
      <c r="JU132" s="102">
        <v>1</v>
      </c>
      <c r="JV132" s="189">
        <f t="shared" si="542"/>
        <v>0</v>
      </c>
      <c r="JW132" s="262">
        <f>JV132*各项系数!$E$40</f>
        <v>0</v>
      </c>
      <c r="JX132" s="282">
        <f>IF($DF132&lt;&gt;$JX$9,0,各项系数!$F$76/4*($NE132^2-$NC132^2)*10^-2*各项系数!$F$38*10^-3*10^2)*各项系数!$J$4</f>
        <v>0</v>
      </c>
      <c r="JY132" s="102">
        <v>1</v>
      </c>
      <c r="JZ132" s="189">
        <f t="shared" si="543"/>
        <v>0</v>
      </c>
      <c r="KA132" s="262">
        <f>JZ132*各项系数!$E$38</f>
        <v>0</v>
      </c>
      <c r="KB132" s="282">
        <f>IF($DF132&lt;&gt;$KB$9,0,各项系数!$F$76/4*($NE132^2-$NC132^2)*10^-2*各项系数!$F$41*10^-3*10^2)*各项系数!$J$4</f>
        <v>0</v>
      </c>
      <c r="KC132" s="102">
        <v>1</v>
      </c>
      <c r="KD132" s="189">
        <f t="shared" si="544"/>
        <v>0</v>
      </c>
      <c r="KE132" s="262">
        <f>KD132*各项系数!$E$41</f>
        <v>0</v>
      </c>
      <c r="KF132" s="189">
        <f t="shared" si="545"/>
        <v>1.7398930532632744E-3</v>
      </c>
      <c r="KG132" s="189">
        <f t="shared" si="546"/>
        <v>3.4797861065265487E-2</v>
      </c>
      <c r="KH132" s="235">
        <f>各项系数!$F$76/4*($NG132^2-$NE132^2)*10^-2*各项系数!$F$44*10^-3*10^2*各项系数!$J$4*0.75*$U132</f>
        <v>0.17469454101108697</v>
      </c>
      <c r="KI132" s="102">
        <v>1</v>
      </c>
      <c r="KJ132" s="189">
        <f t="shared" si="547"/>
        <v>0.17469454101108697</v>
      </c>
      <c r="KK132" s="189">
        <f>ROUND(KJ132*各项系数!$E$43,GT132)</f>
        <v>1</v>
      </c>
      <c r="KL132" s="235">
        <f>各项系数!$F$76/4*($NF132^2-$NE132^2)*10^-2*各项系数!$F$46*10^-3*10^2*各项系数!$J$4*PI()/4*R132</f>
        <v>2.1876279200901554E-2</v>
      </c>
      <c r="KM132" s="102">
        <v>1</v>
      </c>
      <c r="KN132" s="189">
        <f t="shared" si="548"/>
        <v>2.1876279200901554E-2</v>
      </c>
      <c r="KO132" s="189">
        <f>KN132*各项系数!$E$46</f>
        <v>1.4766488460608549</v>
      </c>
      <c r="KP132" s="235">
        <f>各项系数!$F$76/4*($NH132^2-$NE132^2)*10^-2*(VLOOKUP($KP$9,各项系数!$D$1:$F$143,3,0))*10^-3*10^2*各项系数!$J$4</f>
        <v>0.14180667972172808</v>
      </c>
      <c r="KQ132" s="102">
        <v>1</v>
      </c>
      <c r="KR132" s="189">
        <f t="shared" si="416"/>
        <v>0.14180667972172808</v>
      </c>
      <c r="KS132" s="189">
        <f>KR132*(VLOOKUP($KP$9,各项系数!$D$1:$F$143,2,0))</f>
        <v>2.4107135552693775</v>
      </c>
      <c r="KT132" s="235">
        <f>各项系数!$F$76/4*($NI132^2-$NF132^2)*10^-2*(VLOOKUP($KT$9,各项系数!$D$1:$F$143,3,0))*10^-3*10^2*各项系数!$J$4</f>
        <v>0.1431120491684065</v>
      </c>
      <c r="KU132" s="102">
        <v>1</v>
      </c>
      <c r="KV132" s="189">
        <f t="shared" si="417"/>
        <v>0.1431120491684065</v>
      </c>
      <c r="KW132" s="189">
        <f>KV132*(VLOOKUP($KT$9,各项系数!$D$1:$F$143,2,0))</f>
        <v>2.4329048358629106</v>
      </c>
      <c r="KX132" s="189">
        <f>各项系数!$F$76/4*($NH132^2-$NE132^2)*10^-2*(VLOOKUP($KX$9,各项系数!$D$1:$F$143,3,0))*10^-3*10^2*各项系数!$J$4</f>
        <v>0.14180667972172808</v>
      </c>
      <c r="KY132" s="353">
        <v>1</v>
      </c>
      <c r="KZ132" s="189">
        <f t="shared" si="418"/>
        <v>0.14180667972172808</v>
      </c>
      <c r="LA132" s="189">
        <f>KZ132*(VLOOKUP($KX$9,各项系数!$D$1:$F$143,2,0))</f>
        <v>2.4107135552693775</v>
      </c>
      <c r="LB132" s="189">
        <f>各项系数!$F$76/4*($NI132^2-$NF132^2)*10^-2*(VLOOKUP($LB$9,各项系数!$D$1:$F$143,3,0))*10^-3*10^2*各项系数!$J$4</f>
        <v>0.1431120491684065</v>
      </c>
      <c r="LC132" s="353">
        <v>1</v>
      </c>
      <c r="LD132" s="189">
        <f t="shared" si="419"/>
        <v>0.1431120491684065</v>
      </c>
      <c r="LE132" s="189">
        <f>LD132*(VLOOKUP($LB$9,各项系数!$D$1:$F$143,2,0))</f>
        <v>2.4329048358629106</v>
      </c>
      <c r="LF132" s="235">
        <f>各项系数!$F$76/4*($NH132^2-$NE132^2)*10^-2*(VLOOKUP(AN132,各项系数!$D$1:$F$143,3,0))*10^-3*10^2*各项系数!$J$4</f>
        <v>0.14376263392478641</v>
      </c>
      <c r="LG132" s="102">
        <v>1</v>
      </c>
      <c r="LH132" s="189">
        <f t="shared" si="549"/>
        <v>0.14376263392478641</v>
      </c>
      <c r="LI132" s="189">
        <f>LH132*(VLOOKUP(AN132,各项系数!$D$1:$F$143,2,0))</f>
        <v>1.4376263392478641</v>
      </c>
      <c r="LJ132" s="235">
        <f>各项系数!$F$76/4*($NI132^2-$NF132^2)*10^-2*(VLOOKUP(AN132,各项系数!$D$1:$F$143,3,0))*10^-3*10^2*各项系数!$J$4</f>
        <v>0.14508600846728106</v>
      </c>
      <c r="LK132" s="102">
        <v>1</v>
      </c>
      <c r="LL132" s="189">
        <f t="shared" si="550"/>
        <v>0.14508600846728106</v>
      </c>
      <c r="LM132" s="189">
        <f>LL132*(VLOOKUP(AN132,各项系数!$D$1:$F$143,2,0))</f>
        <v>1.4508600846728106</v>
      </c>
      <c r="LN132" s="189">
        <f>各项系数!$F$76/4*($NH132^2-$NE132^2)*10^-2*(VLOOKUP($LN$9,各项系数!$D$1:$F$143,3,0))*10^-3*10^2*各项系数!$J$4</f>
        <v>0.14376263392478641</v>
      </c>
      <c r="LO132" s="353">
        <v>1</v>
      </c>
      <c r="LP132" s="189">
        <f t="shared" si="551"/>
        <v>0.14376263392478641</v>
      </c>
      <c r="LQ132" s="189">
        <f>LP132*(VLOOKUP($LN$9,各项系数!$D$1:$F$143,2,0))</f>
        <v>1.5813889731726505</v>
      </c>
      <c r="LR132" s="189">
        <f>各项系数!$F$76/4*($NI132^2-$NF132^2)*10^-2*(VLOOKUP($LR$9,各项系数!$D$1:$F$143,3,0))*10^-3*10^2*各项系数!$J$4</f>
        <v>0.14508600846728106</v>
      </c>
      <c r="LS132" s="353">
        <v>1</v>
      </c>
      <c r="LT132" s="189">
        <f t="shared" si="552"/>
        <v>0.14508600846728106</v>
      </c>
      <c r="LU132" s="189">
        <f>LT132*(VLOOKUP($LR$9,各项系数!$D$1:$F$143,2,0))</f>
        <v>1.5959460931400917</v>
      </c>
      <c r="LV132" s="227">
        <f t="shared" si="420"/>
        <v>48.618153290000002</v>
      </c>
      <c r="LW132" s="227">
        <f t="shared" si="421"/>
        <v>37.814119230000003</v>
      </c>
      <c r="LX132" s="227">
        <f t="shared" si="422"/>
        <v>6.9387629987603967</v>
      </c>
      <c r="LY132" s="227">
        <f t="shared" si="423"/>
        <v>10.804034059999999</v>
      </c>
      <c r="LZ132" s="374">
        <f t="shared" si="365"/>
        <v>1</v>
      </c>
      <c r="MA132" s="375">
        <f t="shared" si="366"/>
        <v>48.618153290000002</v>
      </c>
      <c r="MB132" s="375">
        <f t="shared" si="424"/>
        <v>3.9339088499999999</v>
      </c>
      <c r="MC132" s="227">
        <f t="shared" si="425"/>
        <v>5.6168699799999997</v>
      </c>
      <c r="MD132" s="227">
        <f t="shared" si="426"/>
        <v>5.6168699799999997</v>
      </c>
      <c r="ME132" s="227">
        <f t="shared" si="427"/>
        <v>2.6742514796054246</v>
      </c>
      <c r="MF132" s="227">
        <f t="shared" si="428"/>
        <v>0</v>
      </c>
      <c r="MG132" s="374">
        <f t="shared" si="429"/>
        <v>1</v>
      </c>
      <c r="MH132" s="375">
        <f t="shared" si="367"/>
        <v>5.6168699799999997</v>
      </c>
      <c r="MI132" s="375">
        <f t="shared" si="430"/>
        <v>2.6742514796054246</v>
      </c>
      <c r="MJ132" s="189">
        <f t="shared" si="368"/>
        <v>3.9339088499999999</v>
      </c>
      <c r="MK132" s="189">
        <f t="shared" si="431"/>
        <v>3.9339088499999999</v>
      </c>
      <c r="ML132" s="189">
        <f t="shared" si="553"/>
        <v>2.6742514801286199</v>
      </c>
      <c r="MM132" s="189">
        <f t="shared" si="369"/>
        <v>2.6742514796054246</v>
      </c>
      <c r="MN132" s="189">
        <f t="shared" si="370"/>
        <v>5.3339088500000003</v>
      </c>
      <c r="MO132" s="189">
        <f t="shared" si="432"/>
        <v>4.0742514796054241</v>
      </c>
      <c r="MP132" s="189">
        <f t="shared" si="433"/>
        <v>13.72133891</v>
      </c>
      <c r="MQ132" s="189">
        <f t="shared" si="554"/>
        <v>13.72133891</v>
      </c>
      <c r="MR132" s="246">
        <f t="shared" si="434"/>
        <v>13.72133891</v>
      </c>
      <c r="MS132" s="380">
        <f t="shared" si="371"/>
        <v>13.89733891</v>
      </c>
      <c r="MT132" s="380">
        <f t="shared" si="372"/>
        <v>14.05733891</v>
      </c>
      <c r="MU132" s="380">
        <f t="shared" si="373"/>
        <v>14.49733891</v>
      </c>
      <c r="MV132" s="380">
        <f t="shared" si="374"/>
        <v>17.49733891</v>
      </c>
      <c r="MW132" s="380">
        <f t="shared" si="375"/>
        <v>17.65733891</v>
      </c>
      <c r="MX132" s="254">
        <f t="shared" si="376"/>
        <v>4.5339088499999995</v>
      </c>
      <c r="MY132" s="254">
        <f t="shared" si="377"/>
        <v>3.2742514796054247</v>
      </c>
      <c r="MZ132" s="189">
        <f t="shared" si="378"/>
        <v>5.9339088499999999</v>
      </c>
      <c r="NA132" s="189">
        <f t="shared" si="379"/>
        <v>4.6742514796054246</v>
      </c>
      <c r="NB132" s="189">
        <f t="shared" si="435"/>
        <v>15.341338909999999</v>
      </c>
      <c r="NC132" s="254">
        <f t="shared" si="555"/>
        <v>15.341338909999999</v>
      </c>
      <c r="ND132" s="246">
        <f t="shared" si="436"/>
        <v>15.341338909999999</v>
      </c>
      <c r="NE132" s="386">
        <f t="shared" si="437"/>
        <v>15.581338909999999</v>
      </c>
      <c r="NF132" s="380">
        <f t="shared" si="380"/>
        <v>15.74133891</v>
      </c>
      <c r="NG132" s="387">
        <f t="shared" si="381"/>
        <v>16.181338910000001</v>
      </c>
      <c r="NH132" s="254">
        <f t="shared" si="382"/>
        <v>19.181338910000001</v>
      </c>
      <c r="NI132" s="380">
        <f t="shared" si="383"/>
        <v>19.341338910000001</v>
      </c>
      <c r="NK132" s="388">
        <f t="shared" si="384"/>
        <v>0.63657385732384808</v>
      </c>
      <c r="NL132" s="388">
        <f t="shared" si="385"/>
        <v>27.534608856819276</v>
      </c>
      <c r="NM132" s="388">
        <f t="shared" si="386"/>
        <v>0.63657385732384808</v>
      </c>
      <c r="NN132" s="388">
        <f t="shared" si="387"/>
        <v>27.664442973684306</v>
      </c>
      <c r="NO132" s="388">
        <f t="shared" si="388"/>
        <v>0.91245111585032013</v>
      </c>
      <c r="NP132" s="388">
        <f t="shared" si="389"/>
        <v>28.66455434353556</v>
      </c>
      <c r="NQ132" s="388">
        <f t="shared" si="390"/>
        <v>0.91245111585032013</v>
      </c>
      <c r="NR132" s="388">
        <f t="shared" si="391"/>
        <v>28.808316977460347</v>
      </c>
      <c r="NS132" s="388">
        <f t="shared" si="392"/>
        <v>0.65609786930251401</v>
      </c>
      <c r="NT132" s="388">
        <f t="shared" si="393"/>
        <v>0.65609786930251401</v>
      </c>
      <c r="NU132" s="388">
        <f t="shared" si="394"/>
        <v>0.93432739505122164</v>
      </c>
      <c r="NV132" s="388">
        <f t="shared" si="395"/>
        <v>0.93432739505122164</v>
      </c>
      <c r="NW132">
        <f t="shared" si="396"/>
        <v>0.74068756455036688</v>
      </c>
      <c r="NX132">
        <f>各项系数!$M$9*NK132</f>
        <v>0.19097215719715441</v>
      </c>
      <c r="NY132">
        <f t="shared" si="397"/>
        <v>0.65609786930251401</v>
      </c>
    </row>
    <row r="133" spans="1:389" ht="15" hidden="1" customHeight="1">
      <c r="A133" s="69"/>
      <c r="B133" s="70"/>
      <c r="C133" s="71"/>
      <c r="D133" s="53" t="s">
        <v>382</v>
      </c>
      <c r="E133" s="54">
        <f t="shared" si="560"/>
        <v>20.399320589999999</v>
      </c>
      <c r="F133" s="68">
        <f>$F$21</f>
        <v>165.41681820668899</v>
      </c>
      <c r="G133" s="58"/>
      <c r="H133" s="62"/>
      <c r="I133" s="145">
        <f>$F$20</f>
        <v>131.13029499843299</v>
      </c>
      <c r="J133" s="62"/>
      <c r="K133" s="62"/>
      <c r="L133" s="97" t="s">
        <v>467</v>
      </c>
      <c r="M133" s="103">
        <f t="shared" si="339"/>
        <v>0.7</v>
      </c>
      <c r="N133" s="103">
        <f t="shared" si="501"/>
        <v>0.7</v>
      </c>
      <c r="O133" s="53">
        <f t="shared" si="572"/>
        <v>0.08</v>
      </c>
      <c r="P133" s="99">
        <v>0.1</v>
      </c>
      <c r="Q133" s="133">
        <f t="shared" si="557"/>
        <v>0.1</v>
      </c>
      <c r="R133" s="70">
        <v>0.8</v>
      </c>
      <c r="S133" s="142" t="str">
        <f>各项系数!$D$43</f>
        <v>钢带</v>
      </c>
      <c r="T133" s="62">
        <v>0.2</v>
      </c>
      <c r="U133" s="62">
        <v>2</v>
      </c>
      <c r="V133" s="143"/>
      <c r="W133" s="145">
        <v>1.8</v>
      </c>
      <c r="X133" s="135">
        <f t="shared" si="558"/>
        <v>0.2</v>
      </c>
      <c r="Y133" s="135"/>
      <c r="Z133" s="168"/>
      <c r="AA133" s="153">
        <f>$AA$21</f>
        <v>1.0109999999999999</v>
      </c>
      <c r="AB133" s="153">
        <f>PI()*EJ133*EJ133/4*EH133*(1-H133)*AA133*各项系数!$F$5*各项系数!$J$4*10^-7</f>
        <v>0.13453127076823812</v>
      </c>
      <c r="AC133" s="153">
        <f t="shared" si="573"/>
        <v>165.41681820668899</v>
      </c>
      <c r="AD133" s="153">
        <f t="shared" si="341"/>
        <v>15.208920956666134</v>
      </c>
      <c r="AE133" s="153">
        <f>POWER(4*EU133/PI()/EG133/10^-7/EH133/(1-H133)/各项系数!$F$5/各项系数!$J$4,0.5)</f>
        <v>166.32412244418023</v>
      </c>
      <c r="AF133" s="69">
        <f>$AA$20</f>
        <v>1.0109999999999999</v>
      </c>
      <c r="AG133" s="69">
        <f>IF(EM133=0,0,PI()*ER133*ER133/4*EP133*(1-K133)*(1+AF133)*各项系数!$F$5*各项系数!$J$4*10^-7)</f>
        <v>0.16816317952909404</v>
      </c>
      <c r="AH133" s="69">
        <f t="shared" si="574"/>
        <v>131.13029499843299</v>
      </c>
      <c r="AI133" s="69">
        <f t="shared" si="398"/>
        <v>9.5575186339704263</v>
      </c>
      <c r="AJ133" s="69">
        <f>IF(OR(EP133="",EP133=0),0,POWER(4*EW133/PI()/EO133/10^-7/EP133/(1-K133)/各项系数!$F$5/各项系数!$J$4,0.5))</f>
        <v>131.84953910919143</v>
      </c>
      <c r="AK133" s="69">
        <f t="shared" si="342"/>
        <v>0.62266659202566954</v>
      </c>
      <c r="AL133" s="69">
        <f t="shared" si="575"/>
        <v>44.710216266273555</v>
      </c>
      <c r="AM133" s="188">
        <f t="shared" si="576"/>
        <v>16</v>
      </c>
      <c r="AN133" s="97" t="s">
        <v>486</v>
      </c>
      <c r="AO133" s="196">
        <f>AP133+各项系数!$M$9*$NK133</f>
        <v>43.833545359091723</v>
      </c>
      <c r="AP133" s="196">
        <f>AQ133*(1+$BI133+(VLOOKUP($AM133,$A$12:$B$323,2,0))+各项系数!$J$6+各项系数!$M$5)*(1+$E$2)</f>
        <v>43.551999256553934</v>
      </c>
      <c r="AQ133" s="197">
        <f>AR133+各项系数!$L$9*$NK133</f>
        <v>44.440815567912182</v>
      </c>
      <c r="AR133" s="197">
        <f>AS133*(1+$BJ133+各项系数!$J$5+各项系数!$L$5)</f>
        <v>44.159269465374393</v>
      </c>
      <c r="AS133" s="197">
        <f t="shared" si="399"/>
        <v>43.29340143664156</v>
      </c>
      <c r="AT133" s="196">
        <f>AU133+各项系数!$M$9*$NM133</f>
        <v>44.874404275775582</v>
      </c>
      <c r="AU133" s="196">
        <f>AV133*(1+$BI133+(VLOOKUP($AM133,$A$12:$B$323,2,0))+各项系数!$J$6+各项系数!$M$5)*(1+$E$2)</f>
        <v>44.592858173237794</v>
      </c>
      <c r="AV133" s="197">
        <f>AW133+各项系数!$L$9*$NM133</f>
        <v>45.502916503303872</v>
      </c>
      <c r="AW133" s="197">
        <f>AX133*(1+$BJ133+各项系数!$J$5+各项系数!$L$5)</f>
        <v>45.221370400766084</v>
      </c>
      <c r="AX133" s="197">
        <f t="shared" si="400"/>
        <v>44.334676863496156</v>
      </c>
      <c r="AY133" s="196">
        <f>AZ133+各项系数!$M$9*$NS133</f>
        <v>45.451630074064241</v>
      </c>
      <c r="AZ133" s="196">
        <f>BA133*(1+$BI133+(VLOOKUP($AM133,$A$12:$B$214,2,0))+各项系数!$J$6+各项系数!$M$5)*(1+$E$2)</f>
        <v>45.163010692567283</v>
      </c>
      <c r="BA133" s="197">
        <f>BB133+各项系数!$L$9*$NS133</f>
        <v>46.084704788333966</v>
      </c>
      <c r="BB133" s="197">
        <f>BC133*(1+$BJ133+各项系数!$J$5+各项系数!$L$5)</f>
        <v>45.796085406837008</v>
      </c>
      <c r="BC133" s="199">
        <f t="shared" si="401"/>
        <v>44.898122947879422</v>
      </c>
      <c r="BD133" s="196">
        <f>BE133+各项系数!$M$9*$NS133</f>
        <v>46.501442942902628</v>
      </c>
      <c r="BE133" s="196">
        <f>BF133*(1+$BI133+(VLOOKUP($AM133,$A$12:$B$214,2,0))+各项系数!$J$6+各项系数!$M$5)*(1+$E$2)</f>
        <v>46.212823561405671</v>
      </c>
      <c r="BF133" s="197">
        <f>BG133+各项系数!$L$9*$NS133</f>
        <v>47.155942409597621</v>
      </c>
      <c r="BG133" s="197">
        <f>BH133*(1+$BJ133+各项系数!$J$5+各项系数!$L$5)</f>
        <v>46.867323028100664</v>
      </c>
      <c r="BH133" s="199">
        <f t="shared" si="402"/>
        <v>45.94835590990261</v>
      </c>
      <c r="BI133" s="213"/>
      <c r="BJ133" s="208"/>
      <c r="BK133" s="53" t="s">
        <v>514</v>
      </c>
      <c r="BL133" s="196">
        <f>BM133+各项系数!$M$9*$NM133</f>
        <v>44.413103428982318</v>
      </c>
      <c r="BM133" s="196">
        <f>BN133*(1+$CF133+(VLOOKUP($AM133,$A$12:$B$323,2,0))+各项系数!$J$6+各项系数!$M$5)*(1+$E$2)</f>
        <v>44.131557326444529</v>
      </c>
      <c r="BN133" s="197">
        <f>BO133+各项系数!$L$9*$NM133</f>
        <v>45.032201353514829</v>
      </c>
      <c r="BO133" s="197">
        <f>BP133*(1+$CG133+各项系数!$J$5+各项系数!$L$5)</f>
        <v>44.75065525097704</v>
      </c>
      <c r="BP133" s="197">
        <f t="shared" si="403"/>
        <v>43.447238107744695</v>
      </c>
      <c r="BQ133" s="196">
        <f>BR133+各项系数!$M$9*$NM133</f>
        <v>45.308884109037841</v>
      </c>
      <c r="BR133" s="196">
        <f>BS133*(1+$CF133+(VLOOKUP($AM133,$A$12:$B$323,2,0))+各项系数!$J$6+各项系数!$M$5)*(1+$E$2)</f>
        <v>45.027338006500052</v>
      </c>
      <c r="BS133" s="197">
        <f>BT133+各项系数!$L$9*$NM133</f>
        <v>45.946263271938832</v>
      </c>
      <c r="BT133" s="197">
        <f>BU133*(1+$CG133+各项系数!$J$5+各项系数!$L$5)</f>
        <v>45.664717169401044</v>
      </c>
      <c r="BU133" s="197">
        <f t="shared" si="404"/>
        <v>44.334676863496156</v>
      </c>
      <c r="BV133" s="196">
        <f>BW133+各项系数!$M$9*$NT133</f>
        <v>45.773501370253022</v>
      </c>
      <c r="BW133" s="196">
        <f>BX133*(1+$CF133+(VLOOKUP($AM133,$A$12:$B$214,2,0))+各项系数!$J$6+各项系数!$M$5)*(1+$E$2)</f>
        <v>45.484881988756065</v>
      </c>
      <c r="BX133" s="197">
        <f>BY133+各项系数!$L$9*$NT$12</f>
        <v>46.413144886485782</v>
      </c>
      <c r="BY133" s="197">
        <f>BZ133*(1+$CG133+各项系数!$J$5+各项系数!$L$5)</f>
        <v>46.404881483330811</v>
      </c>
      <c r="BZ133" s="199">
        <f t="shared" si="343"/>
        <v>45.053282993525059</v>
      </c>
      <c r="CA133" s="196">
        <f>CB133+各项系数!$M$9*$NT133</f>
        <v>46.676987972044522</v>
      </c>
      <c r="CB133" s="196">
        <f>CC133*(1+$CF133+(VLOOKUP($AM133,$A$12:$B$214,2,0))+各项系数!$J$6+各项系数!$M$5)*(1+$E$2)</f>
        <v>46.388368590547564</v>
      </c>
      <c r="CC133" s="197">
        <f>CD133+各项系数!$L$9*$NT$12</f>
        <v>47.335069990354661</v>
      </c>
      <c r="CD133" s="197">
        <f>CE133*(1+$CG133+各项系数!$J$5+各项系数!$L$5)</f>
        <v>47.326806587199691</v>
      </c>
      <c r="CE133" s="199">
        <f t="shared" si="405"/>
        <v>45.94835590990261</v>
      </c>
      <c r="CF133" s="213">
        <f t="shared" si="514"/>
        <v>0</v>
      </c>
      <c r="CG133" s="213">
        <f t="shared" si="344"/>
        <v>0.01</v>
      </c>
      <c r="CH133" s="102"/>
      <c r="CI133" s="196">
        <f>CJ133+各项系数!$M$9*$NO133</f>
        <v>45.692316491612061</v>
      </c>
      <c r="CJ133" s="196">
        <f>CK133*(1+$DC133+(VLOOKUP($AM133,$A$12:$B$323,2,0))+各项系数!$J$6+各项系数!$M$5)*(1+$E$2)+各项系数!$M$9*$NK133</f>
        <v>45.29794082172355</v>
      </c>
      <c r="CK133" s="197">
        <f>CL133+各项系数!$L$9*$NO133</f>
        <v>45.935096652230371</v>
      </c>
      <c r="CL133" s="197">
        <f>CM133*(1+$DD133+各项系数!$J$5+各项系数!$L$5)</f>
        <v>45.54072098234186</v>
      </c>
      <c r="CM133" s="197">
        <f t="shared" si="345"/>
        <v>44.647765668962606</v>
      </c>
      <c r="CN133" s="196">
        <f>CO133+各项系数!$M$9*$NO133</f>
        <v>46.593945951766599</v>
      </c>
      <c r="CO133" s="196">
        <f>CP133*(1+$DC133+(VLOOKUP($AM133,$A$12:$B$323,2,0))+各项系数!$J$6+各项系数!$M$5)*(1+$E$2)+各项系数!$M$9*$NK133</f>
        <v>46.199570281878088</v>
      </c>
      <c r="CP133" s="197">
        <f>CQ133+各项系数!$L$9*$NO133</f>
        <v>46.855126713612549</v>
      </c>
      <c r="CQ133" s="197">
        <f>CR133*(1+$DD133+各项系数!$J$5+各项系数!$L$5)</f>
        <v>46.460751043724038</v>
      </c>
      <c r="CR133" s="197">
        <f t="shared" si="346"/>
        <v>45.549755925219642</v>
      </c>
      <c r="CS133" s="196">
        <f>CT133+各项系数!$M$9*$NU133</f>
        <v>47.188966877062711</v>
      </c>
      <c r="CT133" s="196">
        <f t="shared" si="347"/>
        <v>46.786812248048356</v>
      </c>
      <c r="CU133" s="197">
        <f>CV133+各项系数!$L$9*$NU133</f>
        <v>47.741645151069754</v>
      </c>
      <c r="CV133" s="197">
        <f>CW133*(1+$DD133+各项系数!$J$5+各项系数!$L$5)</f>
        <v>47.339490522055399</v>
      </c>
      <c r="CW133" s="199">
        <f t="shared" si="348"/>
        <v>46.41126521770137</v>
      </c>
      <c r="CX133" s="196">
        <f>CY133+各项系数!$M$9*$NU133</f>
        <v>48.333020092327402</v>
      </c>
      <c r="CY133" s="196">
        <f t="shared" si="349"/>
        <v>47.930865463313047</v>
      </c>
      <c r="CZ133" s="197">
        <f>DA133+各项系数!$L$9*$NU133</f>
        <v>48.90904639113576</v>
      </c>
      <c r="DA133" s="197">
        <f>DB133*(1+$DD133+各项系数!$J$5+各项系数!$L$5)</f>
        <v>48.506891762121406</v>
      </c>
      <c r="DB133" s="199">
        <f t="shared" si="350"/>
        <v>47.555776237373927</v>
      </c>
      <c r="DC133" s="213">
        <f t="shared" si="571"/>
        <v>0</v>
      </c>
      <c r="DD133" s="213">
        <f t="shared" si="351"/>
        <v>0</v>
      </c>
      <c r="DE133" s="53" t="s">
        <v>498</v>
      </c>
      <c r="DF133" s="53" t="s">
        <v>513</v>
      </c>
      <c r="DG133" s="196">
        <f>DH133+各项系数!$M$9*$NQ133</f>
        <v>46.299206776099517</v>
      </c>
      <c r="DH133" s="196">
        <f>DI133*(1+$EA133+(VLOOKUP($AM133,$A$12:$B$323,2,0))+各项系数!$J$6+各项系数!$M$5)*(1+$E$2)+各项系数!$M$9*$NK133</f>
        <v>45.904831106211006</v>
      </c>
      <c r="DI133" s="197">
        <f>DJ133+各项系数!$L$9*$NQ133</f>
        <v>46.554372452727776</v>
      </c>
      <c r="DJ133" s="197">
        <f>DK133*(1+$EB133+各项系数!$J$5+各项系数!$L$5)</f>
        <v>46.159996782839265</v>
      </c>
      <c r="DK133" s="197">
        <f t="shared" si="352"/>
        <v>44.815530857125502</v>
      </c>
      <c r="DL133" s="196">
        <f>DM133+各项系数!$M$9*$NQ133</f>
        <v>47.276092282426198</v>
      </c>
      <c r="DM133" s="196">
        <f>DN133*(1+$EA133+(VLOOKUP($AM133,$A$12:$B$323,2,0))+各项系数!$J$6+各项系数!$M$5)*(1+$E$2)+各项系数!$M$9*$NK133</f>
        <v>46.881716612537687</v>
      </c>
      <c r="DN133" s="197">
        <f>DO133+各项系数!$L$9*$NQ133</f>
        <v>47.55119439795908</v>
      </c>
      <c r="DO133" s="197">
        <f>DP133*(1+$EB133+各项系数!$J$5+各项系数!$L$5)</f>
        <v>47.156818728070569</v>
      </c>
      <c r="DP133" s="197">
        <f t="shared" si="353"/>
        <v>45.783319153466572</v>
      </c>
      <c r="DQ133" s="196">
        <f>DR133+各项系数!$M$9*$NV133</f>
        <v>47.814475271391011</v>
      </c>
      <c r="DR133" s="196">
        <f t="shared" si="354"/>
        <v>47.412320642376656</v>
      </c>
      <c r="DS133" s="197">
        <f>DT133+各项系数!$L$9*$NV133</f>
        <v>48.37991902283332</v>
      </c>
      <c r="DT133" s="197">
        <f>DU133*(1+$EB133+各项系数!$J$5+各项系数!$L$5)</f>
        <v>47.977764393818966</v>
      </c>
      <c r="DU133" s="199">
        <f t="shared" si="355"/>
        <v>46.58035378040676</v>
      </c>
      <c r="DV133" s="196">
        <f>DW133+各项系数!$M$9*$NV133</f>
        <v>48.023096203408066</v>
      </c>
      <c r="DW133" s="196">
        <f t="shared" si="356"/>
        <v>47.620941574393711</v>
      </c>
      <c r="DX133" s="197">
        <f>DY133+各项系数!$L$9*$NV133</f>
        <v>48.592797524891544</v>
      </c>
      <c r="DY133" s="197">
        <f>DZ133*(1+$EB133+各项系数!$J$5+各项系数!$L$5)</f>
        <v>48.19064289587719</v>
      </c>
      <c r="DZ133" s="199">
        <f t="shared" si="357"/>
        <v>46.787031937744842</v>
      </c>
      <c r="EA133" s="213">
        <f t="shared" si="559"/>
        <v>0</v>
      </c>
      <c r="EB133" s="213">
        <f t="shared" si="358"/>
        <v>0.01</v>
      </c>
      <c r="EC133" s="235" t="str">
        <f t="shared" si="408"/>
        <v>4+1</v>
      </c>
      <c r="ED133" s="235" t="str">
        <f t="shared" si="565"/>
        <v>4*16</v>
      </c>
      <c r="EE133" s="189">
        <f t="shared" si="495"/>
        <v>16</v>
      </c>
      <c r="EF133" s="189" t="str">
        <f>LOOKUP(EH133,{1,7,10,14,19,24,30,37,48,61},{1,"1+6","2+8","4+10","1+6+12","2+8+14","4+10+16","1+6+12+18","3+9+15+21","1+6+12+18+24"})</f>
        <v>1+6</v>
      </c>
      <c r="EG133" s="188">
        <f t="shared" si="359"/>
        <v>4</v>
      </c>
      <c r="EH133" s="197">
        <f>VLOOKUP(EE133,各项系数!$B$87:$C$124,2,0)</f>
        <v>7</v>
      </c>
      <c r="EI133" s="188">
        <f>IF(EH133=0,0,VLOOKUP(EH133,各项系数!$D$142:$E$195,2,0))*1</f>
        <v>3</v>
      </c>
      <c r="EJ133" s="238">
        <f t="shared" si="409"/>
        <v>165.41681820668899</v>
      </c>
      <c r="EK133" s="189" t="str">
        <f t="shared" si="566"/>
        <v>1*10</v>
      </c>
      <c r="EL133" s="189" t="str">
        <f t="shared" si="360"/>
        <v>10</v>
      </c>
      <c r="EM133" s="189">
        <f t="shared" si="567"/>
        <v>10</v>
      </c>
      <c r="EN133" s="189" t="str">
        <f>IF(EP133=0,0,LOOKUP(EP133,{1,7,10,14,19,24,30,37,48,61},{1,"1+6","2+8","4+10","1+6+12","2+8+14","4+10+16","1+6+12+18","3+9+15+21","1+6+12+18+24"}))</f>
        <v>1+6</v>
      </c>
      <c r="EO133" s="189" t="str">
        <f t="shared" si="568"/>
        <v>1</v>
      </c>
      <c r="EP133" s="189">
        <f>IF(EM133=0,0,IF(EM133&lt;10,1,IF(AND(EM133&gt;=10,EM133&lt;=35),7,LOOKUP(EM133,{50,70,95,120,150,185,240,300},{10,14,19,24,30,37,48,61})*1)))</f>
        <v>7</v>
      </c>
      <c r="EQ133" s="189">
        <f>IF(EP133=0,0,VLOOKUP(EP133,各项系数!$D$142:$E$195,2,0))*1</f>
        <v>3</v>
      </c>
      <c r="ER133" s="189">
        <f t="shared" si="577"/>
        <v>131.13029499843299</v>
      </c>
      <c r="ES133" s="235">
        <f t="shared" si="570"/>
        <v>5</v>
      </c>
      <c r="ET133" s="189">
        <f>VLOOKUP(ES133,各项系数!$D$142:$E$195,2,0)*1</f>
        <v>2.7</v>
      </c>
      <c r="EU133" s="243">
        <f>((各项系数!$F$76/4*$EJ133^2*$EG133*$EH133*1*10^-7)*(1-$H133)*AA133)*(VLOOKUP($EY$9,各项系数!$D$4:$F$143,3,0))*各项系数!$J$4</f>
        <v>0.53812508307295248</v>
      </c>
      <c r="EV133" s="244">
        <f>EU133*(VLOOKUP($EY$9,各项系数!$D$4:$F$143,2,0))</f>
        <v>35.247192941278385</v>
      </c>
      <c r="EW133" s="252">
        <f>(IF($EO133=0,0,(各项系数!$F$76/4*$ER133^2*$EO133*$EP133*1*10^-7))*(1-$K133)*$AF133)*(VLOOKUP($EY$9,各项系数!$D$4:$F$143,3,0))*各项系数!$J$4</f>
        <v>8.4541508952717073E-2</v>
      </c>
      <c r="EX133" s="253">
        <f>EW133*(VLOOKUP($EY$9,各项系数!$D$4:$F$143,2,0))</f>
        <v>5.5374688364029687</v>
      </c>
      <c r="EY133" s="189">
        <f>((各项系数!$F$76/4*$EJ133^2*$EG133*$EH133*1*10^-7)*(1-$H133)*AA133+IF($EO133=0,0,(各项系数!$F$76/4*$ER133^2*$EO133*$EP133*1*10^-7))*(1-$K133)*$AF133)*(VLOOKUP($EY$9,各项系数!$D$4:$F$143,3,0))*各项系数!$J$4</f>
        <v>0.62266659202566954</v>
      </c>
      <c r="EZ133" s="102">
        <v>1</v>
      </c>
      <c r="FA133" s="189">
        <f t="shared" si="515"/>
        <v>0.62266659202566954</v>
      </c>
      <c r="FB133" s="254">
        <f>FA133*(VLOOKUP($EY$9,各项系数!$D$4:$F$143,2,0))</f>
        <v>40.784661777681357</v>
      </c>
      <c r="FC133" s="255"/>
      <c r="FD133" s="235">
        <f>各项系数!$F$76/4*($MN133^2-MK133^2)*10^-2*(VLOOKUP(L133,各项系数!$D$1:$F$143,3,0))*10^-3*10^2*$EG133*各项系数!$J$4</f>
        <v>5.4517035651428902E-2</v>
      </c>
      <c r="FE133" s="262">
        <f>FD133*VLOOKUP(L133,各项系数!$D$1:$F$143,2,0)</f>
        <v>0.55607376364457473</v>
      </c>
      <c r="FF133" s="188">
        <f>各项系数!$F$76/4*($MO133^2-ML133^2)*10^-2*(VLOOKUP(L133,各项系数!$D$1:$F$143,3,0))*10^-3*10^2*$EO133*各项系数!$J$4</f>
        <v>1.1153499839254415E-2</v>
      </c>
      <c r="FG133" s="262">
        <f>FF133*VLOOKUP(L133,各项系数!$D$1:$F$143,2,0)</f>
        <v>0.11376569836039503</v>
      </c>
      <c r="FH133" s="235">
        <f t="shared" si="410"/>
        <v>6.5670535490683316E-2</v>
      </c>
      <c r="FI133" s="102">
        <v>1</v>
      </c>
      <c r="FJ133" s="189">
        <f t="shared" si="516"/>
        <v>6.5670535490683316E-2</v>
      </c>
      <c r="FK133" s="262">
        <f>FJ133*VLOOKUP(L133,各项系数!$D$1:$F$143,2,0)</f>
        <v>0.6698394620049698</v>
      </c>
      <c r="FL133" s="235"/>
      <c r="FM133" s="102"/>
      <c r="FN133" s="189"/>
      <c r="FO133" s="262"/>
      <c r="FP133" s="282">
        <f t="shared" si="517"/>
        <v>6.5670535490683316E-2</v>
      </c>
      <c r="FQ133" s="282">
        <f t="shared" si="518"/>
        <v>0.6698394620049698</v>
      </c>
      <c r="FR133" s="283">
        <f>各项系数!$F$76/4*($MQ133^2-$MN133^2*$EG133-$MO133^2*$EO133)*10^-2</f>
        <v>0.67511528440463409</v>
      </c>
      <c r="FS133" s="284">
        <f t="shared" si="411"/>
        <v>1</v>
      </c>
      <c r="FT133" s="285">
        <f t="shared" si="361"/>
        <v>0.67511528440463409</v>
      </c>
      <c r="FU133" s="302">
        <f>$FT133*(VLOOKUP($FT$9,各项系数!$D$1:$F$143,3,0))*10^-3*10^2*各项系数!$J$55</f>
        <v>8.0608764957913304E-2</v>
      </c>
      <c r="FV133" s="303">
        <v>1</v>
      </c>
      <c r="FW133" s="304">
        <f t="shared" si="519"/>
        <v>8.0608764957913304E-2</v>
      </c>
      <c r="FX133" s="285">
        <f>FW133*(VLOOKUP($FT$9,各项系数!$D$1:$F$143,2,0))</f>
        <v>0.24182629487373991</v>
      </c>
      <c r="FY133" s="302">
        <f>IF($BK133&lt;&gt;$FY$9,0,各项系数!$F$76/4*($MS133^2-$MQ133^2)*10^-2*(VLOOKUP($FY$9,各项系数!$D$1:$F$143,3,0))*10^-3*10^2)*各项系数!$J$4</f>
        <v>0</v>
      </c>
      <c r="FZ133" s="303">
        <v>1</v>
      </c>
      <c r="GA133" s="304">
        <f t="shared" si="520"/>
        <v>0</v>
      </c>
      <c r="GB133" s="285">
        <f>GA133*(VLOOKUP($FY$9,各项系数!$D$1:$F$143,2,0))</f>
        <v>0</v>
      </c>
      <c r="GC133" s="302">
        <f>IF($BK133&lt;&gt;$GC$9,0,各项系数!$F$76/4*($MS133^2-$MQ133^2)*10^-2*(VLOOKUP($GC$9,各项系数!$D$1:$F$143,3,0))*10^-3*10^2)*各项系数!$J$4</f>
        <v>4.5509450426411118E-3</v>
      </c>
      <c r="GD133" s="303">
        <v>1</v>
      </c>
      <c r="GE133" s="304">
        <f t="shared" si="521"/>
        <v>4.5509450426411118E-3</v>
      </c>
      <c r="GF133" s="285">
        <f>GE133*(VLOOKUP($GC$9,各项系数!$D$1:$F$143,2,0))</f>
        <v>5.8707191050070343E-2</v>
      </c>
      <c r="GG133" s="302">
        <f>IF($BK133&lt;&gt;$GG$9,0,各项系数!$F$76/4*($MS133^2-$MQ133^2)*10^-2*(VLOOKUP($GG$9,各项系数!$D$1:$F$143,3,0))*10^-3*10^2)*各项系数!$J$4</f>
        <v>0</v>
      </c>
      <c r="GH133" s="303">
        <v>1</v>
      </c>
      <c r="GI133" s="304">
        <f t="shared" si="522"/>
        <v>0</v>
      </c>
      <c r="GJ133" s="285">
        <f>GI133*(VLOOKUP($GG$9,各项系数!$D$1:$F$143,2,0))</f>
        <v>0</v>
      </c>
      <c r="GK133" s="302">
        <f>IF($BK133&lt;&gt;$GK$9,0,各项系数!$F$76/4*($MS133^2-$MQ133^2)*10^-2*(VLOOKUP($GK$9,各项系数!$D$1:$F$143,3,0))*10^-3*10^2)*各项系数!$J$4</f>
        <v>0</v>
      </c>
      <c r="GL133" s="303">
        <v>1</v>
      </c>
      <c r="GM133" s="304">
        <f t="shared" si="523"/>
        <v>0</v>
      </c>
      <c r="GN133" s="285">
        <f>GM133*(VLOOKUP($GK$9,各项系数!$D$1:$F$143,2,0))</f>
        <v>0</v>
      </c>
      <c r="GO133" s="304">
        <f t="shared" si="524"/>
        <v>4.5509450426411118E-3</v>
      </c>
      <c r="GP133" s="304">
        <f t="shared" si="525"/>
        <v>5.8707191050070343E-2</v>
      </c>
      <c r="GQ133" s="315">
        <f>各项系数!$F$76/4*($MU133^2-$MS133^2)*10^-2*(VLOOKUP($S133,各项系数!$D$1:$F$143,3,0))*10^-3*10^2*各项系数!$J$4</f>
        <v>0.12539488343309899</v>
      </c>
      <c r="GR133" s="303">
        <v>1</v>
      </c>
      <c r="GS133" s="304">
        <f t="shared" si="526"/>
        <v>0.12539488343309899</v>
      </c>
      <c r="GT133" s="304">
        <f t="shared" si="457"/>
        <v>0</v>
      </c>
      <c r="GU133" s="304">
        <f>ROUND($GS133*(VLOOKUP($S133,各项系数!$D$1:$F$143,2,0))+$E$3*GS133,GT133)</f>
        <v>1</v>
      </c>
      <c r="GV133" s="315">
        <f>各项系数!$F$76/4*($MT133^2-$MS133^2)*10^-2*(VLOOKUP($GV$9,各项系数!$D$1:$F$143,3,0))*10^-3*10^2*各项系数!$J$4*PI()/4*R133</f>
        <v>2.357759653056176E-2</v>
      </c>
      <c r="GW133" s="303">
        <v>1</v>
      </c>
      <c r="GX133" s="304">
        <f t="shared" si="527"/>
        <v>2.357759653056176E-2</v>
      </c>
      <c r="GY133" s="304">
        <f>$GX133*(VLOOKUP($GV$9,各项系数!$D$1:$F$143,2,0))</f>
        <v>1.5914877658129187</v>
      </c>
      <c r="GZ133" s="315">
        <f>各项系数!$F$76/4*($MV133^2-$MS133^2)*10^-2*(VLOOKUP($GZ$9,各项系数!$D$1:$F$143,3,0))*10^-3*10^2*各项系数!$J$4</f>
        <v>0.15174365516976576</v>
      </c>
      <c r="HA133" s="303">
        <v>1</v>
      </c>
      <c r="HB133" s="304">
        <f t="shared" si="412"/>
        <v>0.15174365516976576</v>
      </c>
      <c r="HC133" s="304">
        <f>HB133*(VLOOKUP($GZ$9,各项系数!$D$1:$F$143,2,0))</f>
        <v>2.5796421378860179</v>
      </c>
      <c r="HD133" s="315">
        <f>各项系数!$F$76/4*($MW133^2-$MT133^2)*10^-2*(VLOOKUP($HD$9,各项系数!$D$1:$F$143,3,0))*10^-3*10^2*各项系数!$J$4</f>
        <v>0.15304902461644418</v>
      </c>
      <c r="HE133" s="303">
        <v>1</v>
      </c>
      <c r="HF133" s="304">
        <f t="shared" si="413"/>
        <v>0.15304902461644418</v>
      </c>
      <c r="HG133" s="304">
        <f>HF133*(VLOOKUP($HD$9,各项系数!$D$1:$F$143,2,0))</f>
        <v>2.6018334184795511</v>
      </c>
      <c r="HH133" s="315">
        <f>各项系数!$F$76/4*($MV133^2-$MS133^2)*10^-2*(VLOOKUP($HH$9,各项系数!$D$1:$F$143,3,0))*10^-3*10^2*各项系数!$J$4</f>
        <v>0.15174365516976576</v>
      </c>
      <c r="HI133" s="322">
        <v>1</v>
      </c>
      <c r="HJ133" s="304">
        <f t="shared" si="414"/>
        <v>0.15174365516976576</v>
      </c>
      <c r="HK133" s="304">
        <f>HJ133*(VLOOKUP($HH$9,各项系数!$D$1:$F$143,2,0))</f>
        <v>2.5796421378860179</v>
      </c>
      <c r="HL133" s="315">
        <f>各项系数!$F$76/4*($MW133^2-$MT133^2)*10^-2*(VLOOKUP($HL$9,各项系数!$D$1:$F$143,3,0))*10^-3*10^2*各项系数!$J$4</f>
        <v>0.15304902461644418</v>
      </c>
      <c r="HM133" s="322">
        <v>1</v>
      </c>
      <c r="HN133" s="304">
        <f t="shared" si="362"/>
        <v>0.15304902461644418</v>
      </c>
      <c r="HO133" s="304">
        <f>HN133*(VLOOKUP($HL$9,各项系数!$D$1:$F$143,2,0))</f>
        <v>2.6018334184795511</v>
      </c>
      <c r="HP133" s="315">
        <f>各项系数!$F$76/4*($MV133^2-$MS133^2)*10^-2*(VLOOKUP(AN133,各项系数!$D$1:$F$143,3,0))*10^-3*10^2*各项系数!$J$4</f>
        <v>0.15383667110314186</v>
      </c>
      <c r="HQ133" s="303">
        <v>1</v>
      </c>
      <c r="HR133" s="304">
        <f t="shared" si="528"/>
        <v>0.15383667110314186</v>
      </c>
      <c r="HS133" s="304">
        <f>HR133*(VLOOKUP(AN133,各项系数!$D$1:$F$143,2,0))</f>
        <v>1.5383667110314185</v>
      </c>
      <c r="HT133" s="315">
        <f>各项系数!$F$76/4*($MW133^2-$MT133^2)*10^-2*(VLOOKUP(AN133,各项系数!$D$1:$F$143,3,0))*10^-3*10^2*各项系数!$J$4</f>
        <v>0.15516004564563654</v>
      </c>
      <c r="HU133" s="303">
        <v>1</v>
      </c>
      <c r="HV133" s="304">
        <f t="shared" si="529"/>
        <v>0.15516004564563654</v>
      </c>
      <c r="HW133" s="304">
        <f>HV133*(VLOOKUP(AN133,各项系数!$D$1:$F$143,2,0))</f>
        <v>1.5516004564563655</v>
      </c>
      <c r="HX133" s="315">
        <f>各项系数!$F$76/4*($MV133^2-$MS133^2)*10^-2*(VLOOKUP($HX$9,各项系数!$D$1:$F$143,3,0))*10^-3*10^2*各项系数!$J$4</f>
        <v>0.15383667110314186</v>
      </c>
      <c r="HY133" s="322">
        <v>1</v>
      </c>
      <c r="HZ133" s="304">
        <f t="shared" si="530"/>
        <v>0.15383667110314186</v>
      </c>
      <c r="IA133" s="304">
        <f>HZ133*(VLOOKUP($HX$9,各项系数!$D$1:$F$143,2,0))</f>
        <v>1.6922033821345606</v>
      </c>
      <c r="IB133" s="315">
        <f>各项系数!$F$76/4*($MW133^2-$MT133^2)*10^-2*(VLOOKUP($IB$9,各项系数!$D$1:$F$143,3,0))*10^-3*10^2*各项系数!$J$4</f>
        <v>0.15516004564563654</v>
      </c>
      <c r="IC133" s="322">
        <v>1</v>
      </c>
      <c r="ID133" s="304">
        <f t="shared" si="531"/>
        <v>0.15516004564563654</v>
      </c>
      <c r="IE133" s="304">
        <f>ID133*(VLOOKUP($IB$9,各项系数!$D$1:$F$143,2,0))</f>
        <v>1.706760502102002</v>
      </c>
      <c r="IF133" s="328"/>
      <c r="IG133" s="315">
        <f t="shared" si="415"/>
        <v>3.5565588157746686E-2</v>
      </c>
      <c r="IH133" s="303">
        <v>1</v>
      </c>
      <c r="II133" s="304">
        <f t="shared" si="532"/>
        <v>3.5565588157746686E-2</v>
      </c>
      <c r="IJ133" s="304">
        <f>II133*(VLOOKUP($IG$8,各项系数!$D$1:$F$143,2,0))</f>
        <v>0.88913970394366715</v>
      </c>
      <c r="IK133" s="315">
        <f>(各项系数!$F$76/4*($MX133^2-$MK133^2)*$EG133)*10^-2*(VLOOKUP($IG$8,各项系数!$D$1:$F$143,3,0))*10^-3*10^2*各项系数!$J$4</f>
        <v>2.9609968273803383E-2</v>
      </c>
      <c r="IL133" s="303">
        <f>IK133*(VLOOKUP($IG$8,各项系数!$D$1:$F$143,2,0))</f>
        <v>0.74024920684508455</v>
      </c>
      <c r="IM133" s="304">
        <f>(各项系数!$F$76/4*(($MM133+3*$X133)^2-MM133^2)*$EO133)*10^-2*(VLOOKUP($IG$8,各项系数!$D$1:$F$143,3,0))*10^-3*10^2*各项系数!$J$4</f>
        <v>5.9556198839432993E-3</v>
      </c>
      <c r="IN133" s="303">
        <f>IM133*(VLOOKUP($IG$8,各项系数!$D$1:$F$143,2,0))</f>
        <v>0.14889049709858249</v>
      </c>
      <c r="IO133" s="315">
        <f>各项系数!$F$76/4*($MZ133^2-$MX133^2)*10^-2*(VLOOKUP(L133,各项系数!$D$1:$F$143,3,0))*10^-3*10^2*$ES133*各项系数!$J$4</f>
        <v>7.5367088198929677E-2</v>
      </c>
      <c r="IP133" s="303">
        <v>1</v>
      </c>
      <c r="IQ133" s="304">
        <f t="shared" si="533"/>
        <v>7.5367088198929677E-2</v>
      </c>
      <c r="IR133" s="285">
        <f>IQ133*(VLOOKUP(L133,各项系数!$D$1:$F$143,2,0))</f>
        <v>0.76874429962908264</v>
      </c>
      <c r="IS133" s="315">
        <f>IF($L133&lt;&gt;$IS$9,0,各项系数!$F$76/4*($MZ133^2-$MX133^2)*10^-2*各项系数!$F$12*10^-3*10^2)*$ES133*各项系数!$J$4</f>
        <v>0</v>
      </c>
      <c r="IT133" s="303">
        <v>1</v>
      </c>
      <c r="IU133" s="304">
        <f t="shared" si="534"/>
        <v>0</v>
      </c>
      <c r="IV133" s="285">
        <f>IU133*各项系数!$E$12</f>
        <v>0</v>
      </c>
      <c r="IW133" s="302">
        <f t="shared" si="535"/>
        <v>7.5367088198929677E-2</v>
      </c>
      <c r="IX133" s="302">
        <f t="shared" si="536"/>
        <v>0.76874429962908264</v>
      </c>
      <c r="IY133" s="339">
        <f>各项系数!$F$76/4*($NB133^2-$MZ133^2*$EG133-$NA133^2*$EO133)*10^-2</f>
        <v>0.81447041497247386</v>
      </c>
      <c r="IZ133" s="284">
        <f t="shared" si="487"/>
        <v>1</v>
      </c>
      <c r="JA133" s="285">
        <f t="shared" si="363"/>
        <v>0.81447041497247386</v>
      </c>
      <c r="JB133" s="282">
        <f>IF($DE133&lt;&gt;$JB$9,0,$JA133*各项系数!$F$32*10^-3*10^2)*各项系数!$J$4</f>
        <v>0</v>
      </c>
      <c r="JC133" s="102">
        <v>1</v>
      </c>
      <c r="JD133" s="189">
        <f t="shared" si="537"/>
        <v>0</v>
      </c>
      <c r="JE133" s="262">
        <f>JD133*各项系数!$E$32</f>
        <v>0</v>
      </c>
      <c r="JF133" s="282">
        <f>IF($DE133&lt;&gt;$JF$9,0,$JA133*VLOOKUP($JF$9,各项系数!$D$4:$F$540,2,0)*10^-3*10^2)*各项系数!$J$4</f>
        <v>0.40519903144880576</v>
      </c>
      <c r="JG133" s="102">
        <v>1</v>
      </c>
      <c r="JH133" s="189">
        <f t="shared" si="364"/>
        <v>0.40519903144880576</v>
      </c>
      <c r="JI133" s="262">
        <f>JH133*VLOOKUP($JF$9,各项系数!$D$4:$F$540,3,0)</f>
        <v>0.48623883773856691</v>
      </c>
      <c r="JJ133" s="282">
        <f t="shared" si="538"/>
        <v>0.40519903144880576</v>
      </c>
      <c r="JK133" s="189">
        <f t="shared" si="539"/>
        <v>0.48623883773856691</v>
      </c>
      <c r="JL133" s="282">
        <f>IF($DF133&lt;&gt;$JL$9,0,各项系数!$F$76/4*($NE133^2-$NC133^2)*10^-2*各项系数!$F$39*10^-3*10^2)*各项系数!$J$4</f>
        <v>2.0664584170470941E-3</v>
      </c>
      <c r="JM133" s="102">
        <v>1</v>
      </c>
      <c r="JN133" s="189">
        <f t="shared" si="540"/>
        <v>2.0664584170470941E-3</v>
      </c>
      <c r="JO133" s="262">
        <f>JN133*各项系数!$E$39</f>
        <v>4.1329168340941885E-2</v>
      </c>
      <c r="JP133" s="282">
        <f>IF($DF133&lt;&gt;$JP$9,0,各项系数!$F$76/4*($NE133^2-$NC133^2)*10^-2*各项系数!$F$36*10^-3*10^2)*各项系数!$J$4</f>
        <v>0</v>
      </c>
      <c r="JQ133" s="102">
        <v>1</v>
      </c>
      <c r="JR133" s="189">
        <f t="shared" si="541"/>
        <v>0</v>
      </c>
      <c r="JS133" s="262">
        <f>JR133*各项系数!$E$36</f>
        <v>0</v>
      </c>
      <c r="JT133" s="282">
        <f>IF($DF133&lt;&gt;$JT$9,0,各项系数!$F$76/4*($NE133^2-$NC133^2)*10^-2*各项系数!$F$40*10^-3*10^2)*各项系数!$J$4</f>
        <v>0</v>
      </c>
      <c r="JU133" s="102">
        <v>1</v>
      </c>
      <c r="JV133" s="189">
        <f t="shared" si="542"/>
        <v>0</v>
      </c>
      <c r="JW133" s="262">
        <f>JV133*各项系数!$E$40</f>
        <v>0</v>
      </c>
      <c r="JX133" s="282">
        <f>IF($DF133&lt;&gt;$JX$9,0,各项系数!$F$76/4*($NE133^2-$NC133^2)*10^-2*各项系数!$F$38*10^-3*10^2)*各项系数!$J$4</f>
        <v>0</v>
      </c>
      <c r="JY133" s="102">
        <v>1</v>
      </c>
      <c r="JZ133" s="189">
        <f t="shared" si="543"/>
        <v>0</v>
      </c>
      <c r="KA133" s="262">
        <f>JZ133*各项系数!$E$38</f>
        <v>0</v>
      </c>
      <c r="KB133" s="282">
        <f>IF($DF133&lt;&gt;$KB$9,0,各项系数!$F$76/4*($NE133^2-$NC133^2)*10^-2*各项系数!$F$41*10^-3*10^2)*各项系数!$J$4</f>
        <v>0</v>
      </c>
      <c r="KC133" s="102">
        <v>1</v>
      </c>
      <c r="KD133" s="189">
        <f t="shared" si="544"/>
        <v>0</v>
      </c>
      <c r="KE133" s="262">
        <f>KD133*各项系数!$E$41</f>
        <v>0</v>
      </c>
      <c r="KF133" s="189">
        <f t="shared" si="545"/>
        <v>2.0664584170470941E-3</v>
      </c>
      <c r="KG133" s="189">
        <f t="shared" si="546"/>
        <v>4.1329168340941885E-2</v>
      </c>
      <c r="KH133" s="235">
        <f>各项系数!$F$76/4*($NG133^2-$NE133^2)*10^-2*各项系数!$F$44*10^-3*10^2*各项系数!$J$4*0.75*$U133</f>
        <v>0.20661630532095654</v>
      </c>
      <c r="KI133" s="102">
        <v>1</v>
      </c>
      <c r="KJ133" s="189">
        <f t="shared" si="547"/>
        <v>0.20661630532095654</v>
      </c>
      <c r="KK133" s="189">
        <f>ROUND(KJ133*各项系数!$E$43,GT133)</f>
        <v>1</v>
      </c>
      <c r="KL133" s="235">
        <f>各项系数!$F$76/4*($NF133^2-$NE133^2)*10^-2*各项系数!$F$46*10^-3*10^2*各项系数!$J$4*PI()/4*R133</f>
        <v>2.5929863752797291E-2</v>
      </c>
      <c r="KM133" s="102">
        <v>1</v>
      </c>
      <c r="KN133" s="189">
        <f t="shared" si="548"/>
        <v>2.5929863752797291E-2</v>
      </c>
      <c r="KO133" s="189">
        <f>KN133*各项系数!$E$46</f>
        <v>1.7502658033138172</v>
      </c>
      <c r="KP133" s="235">
        <f>各项系数!$F$76/4*($NH133^2-$NE133^2)*10^-2*(VLOOKUP($KP$9,各项系数!$D$1:$F$143,3,0))*10^-3*10^2*各项系数!$J$4</f>
        <v>0.1654826685960559</v>
      </c>
      <c r="KQ133" s="102">
        <v>1</v>
      </c>
      <c r="KR133" s="189">
        <f t="shared" si="416"/>
        <v>0.1654826685960559</v>
      </c>
      <c r="KS133" s="189">
        <f>KR133*(VLOOKUP($KP$9,各项系数!$D$1:$F$143,2,0))</f>
        <v>2.8132053661329501</v>
      </c>
      <c r="KT133" s="235">
        <f>各项系数!$F$76/4*($NI133^2-$NF133^2)*10^-2*(VLOOKUP($KT$9,各项系数!$D$1:$F$143,3,0))*10^-3*10^2*各项系数!$J$4</f>
        <v>0.16678803804273437</v>
      </c>
      <c r="KU133" s="102">
        <v>1</v>
      </c>
      <c r="KV133" s="189">
        <f t="shared" si="417"/>
        <v>0.16678803804273437</v>
      </c>
      <c r="KW133" s="189">
        <f>KV133*(VLOOKUP($KT$9,各项系数!$D$1:$F$143,2,0))</f>
        <v>2.8353966467264842</v>
      </c>
      <c r="KX133" s="189">
        <f>各项系数!$F$76/4*($NH133^2-$NE133^2)*10^-2*(VLOOKUP($KX$9,各项系数!$D$1:$F$143,3,0))*10^-3*10^2*各项系数!$J$4</f>
        <v>0.1654826685960559</v>
      </c>
      <c r="KY133" s="353">
        <v>1</v>
      </c>
      <c r="KZ133" s="189">
        <f t="shared" si="418"/>
        <v>0.1654826685960559</v>
      </c>
      <c r="LA133" s="189">
        <f>KZ133*(VLOOKUP($KX$9,各项系数!$D$1:$F$143,2,0))</f>
        <v>2.8132053661329501</v>
      </c>
      <c r="LB133" s="189">
        <f>各项系数!$F$76/4*($NI133^2-$NF133^2)*10^-2*(VLOOKUP($LB$9,各项系数!$D$1:$F$143,3,0))*10^-3*10^2*各项系数!$J$4</f>
        <v>0.16678803804273437</v>
      </c>
      <c r="LC133" s="353">
        <v>1</v>
      </c>
      <c r="LD133" s="189">
        <f t="shared" si="419"/>
        <v>0.16678803804273437</v>
      </c>
      <c r="LE133" s="189">
        <f>LD133*(VLOOKUP($LB$9,各项系数!$D$1:$F$143,2,0))</f>
        <v>2.8353966467264842</v>
      </c>
      <c r="LF133" s="235">
        <f>各项系数!$F$76/4*($NH133^2-$NE133^2)*10^-2*(VLOOKUP(AN133,各项系数!$D$1:$F$143,3,0))*10^-3*10^2*各项系数!$J$4</f>
        <v>0.16776518816289807</v>
      </c>
      <c r="LG133" s="102">
        <v>1</v>
      </c>
      <c r="LH133" s="189">
        <f t="shared" si="549"/>
        <v>0.16776518816289807</v>
      </c>
      <c r="LI133" s="189">
        <f>LH133*(VLOOKUP(AN133,各项系数!$D$1:$F$143,2,0))</f>
        <v>1.6776518816289807</v>
      </c>
      <c r="LJ133" s="235">
        <f>各项系数!$F$76/4*($NI133^2-$NF133^2)*10^-2*(VLOOKUP(AN133,各项系数!$D$1:$F$143,3,0))*10^-3*10^2*各项系数!$J$4</f>
        <v>0.16908856270539277</v>
      </c>
      <c r="LK133" s="102">
        <v>1</v>
      </c>
      <c r="LL133" s="189">
        <f t="shared" si="550"/>
        <v>0.16908856270539277</v>
      </c>
      <c r="LM133" s="189">
        <f>LL133*(VLOOKUP(AN133,各项系数!$D$1:$F$143,2,0))</f>
        <v>1.6908856270539276</v>
      </c>
      <c r="LN133" s="189">
        <f>各项系数!$F$76/4*($NH133^2-$NE133^2)*10^-2*(VLOOKUP($LN$9,各项系数!$D$1:$F$143,3,0))*10^-3*10^2*各项系数!$J$4</f>
        <v>0.16776518816289807</v>
      </c>
      <c r="LO133" s="353">
        <v>1</v>
      </c>
      <c r="LP133" s="189">
        <f t="shared" si="551"/>
        <v>0.16776518816289807</v>
      </c>
      <c r="LQ133" s="189">
        <f>LP133*(VLOOKUP($LN$9,各项系数!$D$1:$F$143,2,0))</f>
        <v>1.8454170697918788</v>
      </c>
      <c r="LR133" s="189">
        <f>各项系数!$F$76/4*($NI133^2-$NF133^2)*10^-2*(VLOOKUP($LR$9,各项系数!$D$1:$F$143,3,0))*10^-3*10^2*各项系数!$J$4</f>
        <v>0.16908856270539277</v>
      </c>
      <c r="LS133" s="353">
        <v>1</v>
      </c>
      <c r="LT133" s="189">
        <f t="shared" si="552"/>
        <v>0.16908856270539277</v>
      </c>
      <c r="LU133" s="189">
        <f>LT133*(VLOOKUP($LR$9,各项系数!$D$1:$F$143,2,0))</f>
        <v>1.8599741897593205</v>
      </c>
      <c r="LV133" s="227">
        <f t="shared" si="420"/>
        <v>77.366278519999995</v>
      </c>
      <c r="LW133" s="227">
        <f t="shared" si="421"/>
        <v>60.17377218</v>
      </c>
      <c r="LX133" s="227">
        <f t="shared" si="422"/>
        <v>8.7530352618654863</v>
      </c>
      <c r="LY133" s="227">
        <f t="shared" si="423"/>
        <v>17.192506339999994</v>
      </c>
      <c r="LZ133" s="374">
        <f t="shared" si="365"/>
        <v>1</v>
      </c>
      <c r="MA133" s="375">
        <f t="shared" si="366"/>
        <v>77.366278519999995</v>
      </c>
      <c r="MB133" s="375">
        <f t="shared" si="424"/>
        <v>4.9625045400000003</v>
      </c>
      <c r="MC133" s="227">
        <f t="shared" si="425"/>
        <v>12.15453832</v>
      </c>
      <c r="MD133" s="227">
        <f t="shared" si="426"/>
        <v>9.4535298099999991</v>
      </c>
      <c r="ME133" s="227">
        <f t="shared" si="427"/>
        <v>3.4693814998389394</v>
      </c>
      <c r="MF133" s="227">
        <f t="shared" si="428"/>
        <v>2.7010085100000012</v>
      </c>
      <c r="MG133" s="374">
        <f t="shared" si="429"/>
        <v>1</v>
      </c>
      <c r="MH133" s="375">
        <f t="shared" si="367"/>
        <v>12.15453832</v>
      </c>
      <c r="MI133" s="375">
        <f t="shared" si="430"/>
        <v>3.9339088496078416</v>
      </c>
      <c r="MJ133" s="189">
        <f t="shared" si="368"/>
        <v>4.9625045400000003</v>
      </c>
      <c r="MK133" s="189">
        <f t="shared" si="431"/>
        <v>4.9625045400000003</v>
      </c>
      <c r="ML133" s="189">
        <f t="shared" si="553"/>
        <v>3.9339088499529895</v>
      </c>
      <c r="MM133" s="189">
        <f t="shared" si="369"/>
        <v>3.9339088496078416</v>
      </c>
      <c r="MN133" s="189">
        <f t="shared" si="370"/>
        <v>6.3625045399999998</v>
      </c>
      <c r="MO133" s="189">
        <f t="shared" si="432"/>
        <v>5.3339088496078411</v>
      </c>
      <c r="MP133" s="189">
        <f t="shared" si="433"/>
        <v>16.623320589999999</v>
      </c>
      <c r="MQ133" s="189">
        <f t="shared" si="554"/>
        <v>16.623320589999999</v>
      </c>
      <c r="MR133" s="246">
        <f t="shared" si="434"/>
        <v>16.623320589999999</v>
      </c>
      <c r="MS133" s="380">
        <f t="shared" si="371"/>
        <v>16.799320589999997</v>
      </c>
      <c r="MT133" s="380">
        <f t="shared" si="372"/>
        <v>16.959320589999997</v>
      </c>
      <c r="MU133" s="380">
        <f t="shared" si="373"/>
        <v>17.399320589999999</v>
      </c>
      <c r="MV133" s="380">
        <f t="shared" si="374"/>
        <v>20.399320589999999</v>
      </c>
      <c r="MW133" s="380">
        <f t="shared" si="375"/>
        <v>20.559320589999999</v>
      </c>
      <c r="MX133" s="254">
        <f t="shared" si="376"/>
        <v>5.5625045400000008</v>
      </c>
      <c r="MY133" s="254">
        <f t="shared" si="377"/>
        <v>4.5339088496078421</v>
      </c>
      <c r="MZ133" s="189">
        <f t="shared" si="378"/>
        <v>6.9625045400000012</v>
      </c>
      <c r="NA133" s="189">
        <f t="shared" si="379"/>
        <v>5.9339088496078425</v>
      </c>
      <c r="NB133" s="189">
        <f t="shared" si="435"/>
        <v>18.24332059</v>
      </c>
      <c r="NC133" s="254">
        <f t="shared" si="555"/>
        <v>18.24332059</v>
      </c>
      <c r="ND133" s="246">
        <f t="shared" si="436"/>
        <v>18.24332059</v>
      </c>
      <c r="NE133" s="386">
        <f t="shared" si="437"/>
        <v>18.483320589999998</v>
      </c>
      <c r="NF133" s="380">
        <f t="shared" si="380"/>
        <v>18.643320589999998</v>
      </c>
      <c r="NG133" s="387">
        <f t="shared" si="381"/>
        <v>19.08332059</v>
      </c>
      <c r="NH133" s="254">
        <f t="shared" si="382"/>
        <v>22.08332059</v>
      </c>
      <c r="NI133" s="380">
        <f t="shared" si="383"/>
        <v>22.24332059</v>
      </c>
      <c r="NK133" s="388">
        <f t="shared" si="384"/>
        <v>0.93848700845930355</v>
      </c>
      <c r="NL133" s="388">
        <f t="shared" si="385"/>
        <v>43.407167135001956</v>
      </c>
      <c r="NM133" s="388">
        <f t="shared" si="386"/>
        <v>0.93848700845930355</v>
      </c>
      <c r="NN133" s="388">
        <f t="shared" si="387"/>
        <v>43.561003806105091</v>
      </c>
      <c r="NO133" s="388">
        <f t="shared" si="388"/>
        <v>1.3145855662950401</v>
      </c>
      <c r="NP133" s="388">
        <f t="shared" si="389"/>
        <v>44.796656166061183</v>
      </c>
      <c r="NQ133" s="388">
        <f t="shared" si="390"/>
        <v>1.3145855662950401</v>
      </c>
      <c r="NR133" s="388">
        <f t="shared" si="391"/>
        <v>44.964421354224086</v>
      </c>
      <c r="NS133" s="388">
        <f t="shared" si="392"/>
        <v>0.96206460498986535</v>
      </c>
      <c r="NT133" s="388">
        <f t="shared" si="393"/>
        <v>0.96206460498986535</v>
      </c>
      <c r="NU133" s="388">
        <f t="shared" si="394"/>
        <v>1.3405154300478375</v>
      </c>
      <c r="NV133" s="388">
        <f t="shared" si="395"/>
        <v>1.3405154300478375</v>
      </c>
      <c r="NW133">
        <f t="shared" si="396"/>
        <v>1.0638818918924025</v>
      </c>
      <c r="NX133">
        <f>各项系数!$M$9*NK133</f>
        <v>0.28154610253779105</v>
      </c>
      <c r="NY133">
        <f t="shared" si="397"/>
        <v>0.96206460498986535</v>
      </c>
    </row>
    <row r="134" spans="1:389" ht="15" hidden="1" customHeight="1">
      <c r="A134" s="69"/>
      <c r="B134" s="70"/>
      <c r="C134" s="71"/>
      <c r="D134" s="53" t="s">
        <v>387</v>
      </c>
      <c r="E134" s="61">
        <f t="shared" si="560"/>
        <v>24.58119559</v>
      </c>
      <c r="F134" s="68">
        <f>$F$22</f>
        <v>208.046961644752</v>
      </c>
      <c r="G134" s="58"/>
      <c r="H134" s="16"/>
      <c r="I134" s="145">
        <f>$F$21</f>
        <v>165.41681820668899</v>
      </c>
      <c r="J134" s="62"/>
      <c r="K134" s="16"/>
      <c r="L134" s="97" t="s">
        <v>467</v>
      </c>
      <c r="M134" s="103">
        <f t="shared" si="339"/>
        <v>0.9</v>
      </c>
      <c r="N134" s="103">
        <f t="shared" si="501"/>
        <v>0.7</v>
      </c>
      <c r="O134" s="53">
        <f t="shared" si="572"/>
        <v>0.08</v>
      </c>
      <c r="P134" s="99">
        <v>0.1</v>
      </c>
      <c r="Q134" s="133">
        <f t="shared" ref="Q134:Q143" si="578">$Q$12</f>
        <v>0.1</v>
      </c>
      <c r="R134" s="70">
        <v>0.8</v>
      </c>
      <c r="S134" s="142" t="str">
        <f>各项系数!$D$43</f>
        <v>钢带</v>
      </c>
      <c r="T134" s="102">
        <v>0.2</v>
      </c>
      <c r="U134" s="102">
        <v>2</v>
      </c>
      <c r="V134" s="140"/>
      <c r="W134" s="141">
        <v>1.8</v>
      </c>
      <c r="X134" s="135">
        <f t="shared" ref="X134:X143" si="579">$X$12</f>
        <v>0.2</v>
      </c>
      <c r="Y134" s="135"/>
      <c r="Z134" s="168"/>
      <c r="AA134" s="153">
        <f>$AA$22</f>
        <v>1.0109999999999999</v>
      </c>
      <c r="AB134" s="153">
        <f>PI()*EJ134*EJ134/4*EH134*(1-H134)*AA134*各项系数!$F$5*各项系数!$J$4*10^-7</f>
        <v>0.21280737466777744</v>
      </c>
      <c r="AC134" s="153">
        <f t="shared" si="573"/>
        <v>208.046961644752</v>
      </c>
      <c r="AD134" s="153">
        <f t="shared" si="341"/>
        <v>24.058128060751155</v>
      </c>
      <c r="AE134" s="153">
        <f>POWER(4*EU134/PI()/EG134/10^-7/EH134/(1-H134)/各项系数!$F$5/各项系数!$J$4,0.5)</f>
        <v>209.18809041233357</v>
      </c>
      <c r="AF134" s="69">
        <f>$AA$21</f>
        <v>1.0109999999999999</v>
      </c>
      <c r="AG134" s="69">
        <f>IF(EM134=0,0,PI()*ER134*ER134/4*EP134*(1-K134)*(1+AF134)*各项系数!$F$5*各项系数!$J$4*10^-7)</f>
        <v>0.2675987987289089</v>
      </c>
      <c r="AH134" s="69">
        <f t="shared" si="574"/>
        <v>165.41681820668899</v>
      </c>
      <c r="AI134" s="69">
        <f t="shared" si="398"/>
        <v>15.208920956666134</v>
      </c>
      <c r="AJ134" s="69">
        <f>IF(OR(EP134="",EP134=0),0,POWER(4*EW134/PI()/EO134/10^-7/EP134/(1-K134)/各项系数!$F$5/各项系数!$J$4,0.5))</f>
        <v>166.32412244418023</v>
      </c>
      <c r="AK134" s="69">
        <f t="shared" si="342"/>
        <v>0.98576076943934798</v>
      </c>
      <c r="AL134" s="69">
        <f t="shared" si="575"/>
        <v>70.133897622606426</v>
      </c>
      <c r="AM134" s="188">
        <f t="shared" si="576"/>
        <v>25</v>
      </c>
      <c r="AN134" s="97" t="s">
        <v>486</v>
      </c>
      <c r="AO134" s="196">
        <f>AP134+各项系数!$M$9*$NK134</f>
        <v>68.758723159418068</v>
      </c>
      <c r="AP134" s="196">
        <f>AQ134*(1+$BI134+(VLOOKUP($AM134,$A$12:$B$323,2,0))+各项系数!$J$6+各项系数!$M$5)*(1+$E$2)</f>
        <v>68.332444107892343</v>
      </c>
      <c r="AQ134" s="197">
        <f>AR134+各项系数!$L$9*$NK134</f>
        <v>69.726983783563611</v>
      </c>
      <c r="AR134" s="197">
        <f>AS134*(1+$BJ134+各项系数!$J$5+各项系数!$L$5)</f>
        <v>69.300704732037886</v>
      </c>
      <c r="AS134" s="197">
        <f t="shared" si="399"/>
        <v>67.941867384350871</v>
      </c>
      <c r="AT134" s="196">
        <f>AU134+各项系数!$M$9*$NM134</f>
        <v>70.033609005265546</v>
      </c>
      <c r="AU134" s="196">
        <f>AV134*(1+$BI134+(VLOOKUP($AM134,$A$12:$B$323,2,0))+各项系数!$J$6+各项系数!$M$5)*(1+$E$2)</f>
        <v>69.607329953739821</v>
      </c>
      <c r="AV134" s="197">
        <f>AW134+各项系数!$L$9*$NM134</f>
        <v>71.027887707897776</v>
      </c>
      <c r="AW134" s="197">
        <f>AX134*(1+$BJ134+各项系数!$J$5+各项系数!$L$5)</f>
        <v>70.601608656372051</v>
      </c>
      <c r="AX134" s="197">
        <f t="shared" si="400"/>
        <v>69.217263388600045</v>
      </c>
      <c r="AY134" s="196">
        <f>AZ134+各项系数!$M$9*$NS134</f>
        <v>70.774413231148856</v>
      </c>
      <c r="AZ134" s="196">
        <f>BA134*(1+$BI134+(VLOOKUP($AM134,$A$12:$B$214,2,0))+各项系数!$J$6+各项系数!$M$5)*(1+$E$2)</f>
        <v>70.339308486027974</v>
      </c>
      <c r="BA134" s="197">
        <f>BB134+各项系数!$L$9*$NS134</f>
        <v>71.774804577579573</v>
      </c>
      <c r="BB134" s="197">
        <f>BC134*(1+$BJ134+各项系数!$J$5+各项系数!$L$5)</f>
        <v>71.339699832458692</v>
      </c>
      <c r="BC134" s="199">
        <f t="shared" si="401"/>
        <v>69.940882188684995</v>
      </c>
      <c r="BD134" s="196">
        <f>BE134+各项系数!$M$9*$NS134</f>
        <v>72.058253029150876</v>
      </c>
      <c r="BE134" s="196">
        <f>BF134*(1+$BI134+(VLOOKUP($AM134,$A$12:$B$214,2,0))+各项系数!$J$6+各项系数!$M$5)*(1+$E$2)</f>
        <v>71.623148284029995</v>
      </c>
      <c r="BF134" s="197">
        <f>BG134+各项系数!$L$9*$NS134</f>
        <v>73.084845187785703</v>
      </c>
      <c r="BG134" s="197">
        <f>BH134*(1+$BJ134+各项系数!$J$5+各项系数!$L$5)</f>
        <v>72.649740442664822</v>
      </c>
      <c r="BH134" s="199">
        <f t="shared" si="402"/>
        <v>71.22523572810276</v>
      </c>
      <c r="BI134" s="211">
        <v>0</v>
      </c>
      <c r="BJ134" s="208"/>
      <c r="BK134" s="53" t="s">
        <v>514</v>
      </c>
      <c r="BL134" s="196">
        <f>BM134+各项系数!$M$9*$NM134</f>
        <v>69.614749997295547</v>
      </c>
      <c r="BM134" s="196">
        <f>BN134*(1+$CF134+(VLOOKUP($AM134,$A$12:$B$323,2,0))+各项系数!$J$6+各项系数!$M$5)*(1+$E$2)</f>
        <v>69.188470945769822</v>
      </c>
      <c r="BN134" s="197">
        <f>BO134+各项系数!$L$9*$NM134</f>
        <v>70.600480556907982</v>
      </c>
      <c r="BO134" s="197">
        <f>BP134*(1+$CG134+各项系数!$J$5+各项系数!$L$5)</f>
        <v>70.174201505382257</v>
      </c>
      <c r="BP134" s="197">
        <f t="shared" si="403"/>
        <v>68.130292723672099</v>
      </c>
      <c r="BQ134" s="196">
        <f>BR134+各项系数!$M$9*$NM134</f>
        <v>70.71193818647383</v>
      </c>
      <c r="BR134" s="196">
        <f>BS134*(1+$CF134+(VLOOKUP($AM134,$A$12:$B$323,2,0))+各项系数!$J$6+各项系数!$M$5)*(1+$E$2)</f>
        <v>70.285659134948105</v>
      </c>
      <c r="BS134" s="197">
        <f>BT134+各项系数!$L$9*$NM134</f>
        <v>71.720060341783778</v>
      </c>
      <c r="BT134" s="197">
        <f>BU134*(1+$CG134+各项系数!$J$5+各项系数!$L$5)</f>
        <v>71.293781290258053</v>
      </c>
      <c r="BU134" s="197">
        <f t="shared" si="404"/>
        <v>69.217263388600045</v>
      </c>
      <c r="BV134" s="196">
        <f>BW134+各项系数!$M$9*$NT134</f>
        <v>71.233061713245448</v>
      </c>
      <c r="BW134" s="196">
        <f>BX134*(1+$CF134+(VLOOKUP($AM134,$A$12:$B$214,2,0))+各项系数!$J$6+各项系数!$M$5)*(1+$E$2)</f>
        <v>70.797956968124566</v>
      </c>
      <c r="BX134" s="197">
        <f>BY134+各项系数!$L$9*$NT$12</f>
        <v>72.242813232780165</v>
      </c>
      <c r="BY134" s="197">
        <f>BZ134*(1+$CG134+各项系数!$J$5+各项系数!$L$5)</f>
        <v>72.234549829625195</v>
      </c>
      <c r="BZ134" s="199">
        <f t="shared" si="343"/>
        <v>70.130630902548731</v>
      </c>
      <c r="CA134" s="196">
        <f>CB134+各项系数!$M$9*$NT134</f>
        <v>72.337955824159678</v>
      </c>
      <c r="CB134" s="196">
        <f>CC134*(1+$CF134+(VLOOKUP($AM134,$A$12:$B$214,2,0))+各项系数!$J$6+各项系数!$M$5)*(1+$E$2)</f>
        <v>71.902851079038797</v>
      </c>
      <c r="CC134" s="197">
        <f>CD134+各项系数!$L$9*$NT$12</f>
        <v>73.370256203100809</v>
      </c>
      <c r="CD134" s="197">
        <f>CE134*(1+$CG134+各项系数!$J$5+各项系数!$L$5)</f>
        <v>73.361992799945838</v>
      </c>
      <c r="CE134" s="199">
        <f t="shared" si="405"/>
        <v>71.22523572810276</v>
      </c>
      <c r="CF134" s="211">
        <f>(BI134+$CF$2)-BI134/1.3</f>
        <v>0</v>
      </c>
      <c r="CG134" s="213">
        <f t="shared" si="344"/>
        <v>0.01</v>
      </c>
      <c r="CH134" s="102"/>
      <c r="CI134" s="196">
        <f>CJ134+各项系数!$M$9*$NO134</f>
        <v>71.315095913646843</v>
      </c>
      <c r="CJ134" s="196">
        <f>CK134*(1+$DC134+(VLOOKUP($AM134,$A$12:$B$323,2,0))+各项系数!$J$6+各项系数!$M$5)*(1+$E$2)+各项系数!$M$9*$NK134</f>
        <v>70.718712163813095</v>
      </c>
      <c r="CK134" s="197">
        <f>CL134+各项系数!$L$9*$NO134</f>
        <v>71.726972563558547</v>
      </c>
      <c r="CL134" s="197">
        <f>CM134*(1+$DD134+各项系数!$J$5+各项系数!$L$5)</f>
        <v>71.130588813724799</v>
      </c>
      <c r="CM134" s="197">
        <f t="shared" si="345"/>
        <v>69.735871386004703</v>
      </c>
      <c r="CN134" s="196">
        <f>CO134+各项系数!$M$9*$NO134</f>
        <v>72.432893892863845</v>
      </c>
      <c r="CO134" s="196">
        <f>CP134*(1+$DC134+(VLOOKUP($AM134,$A$12:$B$323,2,0))+各项系数!$J$6+各项系数!$M$5)*(1+$E$2)+各项系数!$M$9*$NK134</f>
        <v>71.836510143030097</v>
      </c>
      <c r="CP134" s="197">
        <f>CQ134+各项系数!$L$9*$NO134</f>
        <v>72.86758274643303</v>
      </c>
      <c r="CQ134" s="197">
        <f>CR134*(1+$DD134+各项系数!$J$5+各项系数!$L$5)</f>
        <v>72.271198996599281</v>
      </c>
      <c r="CR134" s="197">
        <f t="shared" si="346"/>
        <v>70.854116663332633</v>
      </c>
      <c r="CS134" s="196">
        <f>CT134+各项系数!$M$9*$NU134</f>
        <v>73.085155608869869</v>
      </c>
      <c r="CT134" s="196">
        <f t="shared" si="347"/>
        <v>72.479149970478574</v>
      </c>
      <c r="CU134" s="197">
        <f>CV134+各项系数!$L$9*$NU134</f>
        <v>73.958316296406707</v>
      </c>
      <c r="CV134" s="197">
        <f>CW134*(1+$DD134+各项系数!$J$5+各项系数!$L$5)</f>
        <v>73.352310658015412</v>
      </c>
      <c r="CW134" s="199">
        <f t="shared" si="348"/>
        <v>71.914030056877849</v>
      </c>
      <c r="CX134" s="196">
        <f>CY134+各项系数!$M$9*$NU134</f>
        <v>74.475323588706772</v>
      </c>
      <c r="CY134" s="196">
        <f t="shared" si="349"/>
        <v>73.869317950315477</v>
      </c>
      <c r="CZ134" s="197">
        <f>DA134+各项系数!$L$9*$NU134</f>
        <v>75.376855051342318</v>
      </c>
      <c r="DA134" s="197">
        <f>DB134*(1+$DD134+各项系数!$J$5+各项系数!$L$5)</f>
        <v>74.770849412951023</v>
      </c>
      <c r="DB134" s="199">
        <f t="shared" si="350"/>
        <v>73.304754326422568</v>
      </c>
      <c r="DC134" s="211">
        <f>(BI134+$DC$2)-BI134/1.3</f>
        <v>0</v>
      </c>
      <c r="DD134" s="213">
        <f t="shared" si="351"/>
        <v>0</v>
      </c>
      <c r="DE134" s="53" t="s">
        <v>498</v>
      </c>
      <c r="DF134" s="53" t="s">
        <v>513</v>
      </c>
      <c r="DG134" s="196">
        <f>DH134+各项系数!$M$9*$NQ134</f>
        <v>72.204566785115972</v>
      </c>
      <c r="DH134" s="196">
        <f>DI134*(1+$EA134+(VLOOKUP($AM134,$A$12:$B$323,2,0))+各项系数!$J$6+各项系数!$M$5)*(1+$E$2)+各项系数!$M$9*$NK134</f>
        <v>71.608183035282224</v>
      </c>
      <c r="DI134" s="197">
        <f>DJ134+各项系数!$L$9*$NQ134</f>
        <v>72.634595901792352</v>
      </c>
      <c r="DJ134" s="197">
        <f>DK134*(1+$EB134+各项系数!$J$5+各项系数!$L$5)</f>
        <v>72.038212151958604</v>
      </c>
      <c r="DK134" s="197">
        <f t="shared" si="352"/>
        <v>69.940011798018062</v>
      </c>
      <c r="DL134" s="196">
        <f>DM134+各项系数!$M$9*$NQ134</f>
        <v>73.393262794908964</v>
      </c>
      <c r="DM134" s="196">
        <f>DN134*(1+$EA134+(VLOOKUP($AM134,$A$12:$B$323,2,0))+各项系数!$J$6+各项系数!$M$5)*(1+$E$2)+各项系数!$M$9*$NK134</f>
        <v>72.796879045075215</v>
      </c>
      <c r="DN134" s="197">
        <f>DO134+各项系数!$L$9*$NQ134</f>
        <v>73.847551013826006</v>
      </c>
      <c r="DO134" s="197">
        <f>DP134*(1+$EB134+各项系数!$J$5+各项系数!$L$5)</f>
        <v>73.251167263992258</v>
      </c>
      <c r="DP134" s="197">
        <f t="shared" si="353"/>
        <v>71.117638120380832</v>
      </c>
      <c r="DQ134" s="196">
        <f>DR134+各项系数!$M$9*$NV134</f>
        <v>73.997308249576747</v>
      </c>
      <c r="DR134" s="196">
        <f t="shared" si="354"/>
        <v>73.391302611185452</v>
      </c>
      <c r="DS134" s="197">
        <f>DT134+各项系数!$L$9*$NV134</f>
        <v>74.889084297128008</v>
      </c>
      <c r="DT134" s="197">
        <f>DU134*(1+$EB134+各项系数!$J$5+各项系数!$L$5)</f>
        <v>74.283078658736713</v>
      </c>
      <c r="DU134" s="199">
        <f t="shared" si="355"/>
        <v>72.119493843433702</v>
      </c>
      <c r="DV134" s="196">
        <f>DW134+各项系数!$M$9*$NV134</f>
        <v>73.960430348427266</v>
      </c>
      <c r="DW134" s="196">
        <f t="shared" si="356"/>
        <v>73.354424710035971</v>
      </c>
      <c r="DX134" s="197">
        <f>DY134+各项系数!$L$9*$NV134</f>
        <v>74.851453785750991</v>
      </c>
      <c r="DY134" s="197">
        <f>DZ134*(1+$EB134+各项系数!$J$5+各项系数!$L$5)</f>
        <v>74.245448147359696</v>
      </c>
      <c r="DZ134" s="199">
        <f t="shared" si="357"/>
        <v>72.082959366368641</v>
      </c>
      <c r="EA134" s="211">
        <f>(BI134+$EA$2)-BI134/1.3</f>
        <v>0</v>
      </c>
      <c r="EB134" s="213">
        <f t="shared" si="358"/>
        <v>0.01</v>
      </c>
      <c r="EC134" s="235" t="str">
        <f t="shared" si="408"/>
        <v>4+1</v>
      </c>
      <c r="ED134" s="235" t="str">
        <f t="shared" si="565"/>
        <v>4*25</v>
      </c>
      <c r="EE134" s="189">
        <f t="shared" si="495"/>
        <v>25</v>
      </c>
      <c r="EF134" s="189" t="str">
        <f>LOOKUP(EH134,{1,7,10,14,19,24,30,37,48,61},{1,"1+6","2+8","4+10","1+6+12","2+8+14","4+10+16","1+6+12+18","3+9+15+21","1+6+12+18+24"})</f>
        <v>1+6</v>
      </c>
      <c r="EG134" s="188">
        <f t="shared" si="359"/>
        <v>4</v>
      </c>
      <c r="EH134" s="197">
        <f>VLOOKUP(EE134,各项系数!$B$87:$C$124,2,0)</f>
        <v>7</v>
      </c>
      <c r="EI134" s="188">
        <f>IF(EH134=0,0,VLOOKUP(EH134,各项系数!$D$142:$E$195,2,0))*1</f>
        <v>3</v>
      </c>
      <c r="EJ134" s="238">
        <f t="shared" si="409"/>
        <v>208.046961644752</v>
      </c>
      <c r="EK134" s="189" t="str">
        <f t="shared" si="566"/>
        <v>1*16</v>
      </c>
      <c r="EL134" s="189" t="str">
        <f t="shared" si="360"/>
        <v>16</v>
      </c>
      <c r="EM134" s="189">
        <f t="shared" si="567"/>
        <v>16</v>
      </c>
      <c r="EN134" s="189" t="str">
        <f>IF(EP134=0,0,LOOKUP(EP134,{1,7,10,14,19,24,30,37,48,61},{1,"1+6","2+8","4+10","1+6+12","2+8+14","4+10+16","1+6+12+18","3+9+15+21","1+6+12+18+24"}))</f>
        <v>1+6</v>
      </c>
      <c r="EO134" s="189" t="str">
        <f t="shared" si="568"/>
        <v>1</v>
      </c>
      <c r="EP134" s="189">
        <f>IF(EM134=0,0,IF(EM134&lt;10,1,IF(AND(EM134&gt;=10,EM134&lt;=35),7,LOOKUP(EM134,{50,70,95,120,150,185,240,300},{10,14,19,24,30,37,48,61})*1)))</f>
        <v>7</v>
      </c>
      <c r="EQ134" s="189">
        <f>IF(EP134=0,0,VLOOKUP(EP134,各项系数!$D$142:$E$195,2,0))*1</f>
        <v>3</v>
      </c>
      <c r="ER134" s="189">
        <f t="shared" si="577"/>
        <v>165.41681820668899</v>
      </c>
      <c r="ES134" s="235">
        <f t="shared" si="570"/>
        <v>5</v>
      </c>
      <c r="ET134" s="189">
        <f>VLOOKUP(ES134,各项系数!$D$142:$E$195,2,0)*1</f>
        <v>2.7</v>
      </c>
      <c r="EU134" s="243">
        <f>((各项系数!$F$76/4*$EJ134^2*$EG134*$EH134*1*10^-7)*(1-$H134)*AA134)*(VLOOKUP($EY$9,各项系数!$D$4:$F$143,3,0))*各项系数!$J$4</f>
        <v>0.85122949867110975</v>
      </c>
      <c r="EV134" s="244">
        <f>EU134*(VLOOKUP($EY$9,各项系数!$D$4:$F$143,2,0))</f>
        <v>55.755532162957692</v>
      </c>
      <c r="EW134" s="252">
        <f>(IF($EO134=0,0,(各项系数!$F$76/4*$ER134^2*$EO134*$EP134*1*10^-7))*(1-$K134)*$AF134)*(VLOOKUP($EY$9,各项系数!$D$4:$F$143,3,0))*各项系数!$J$4</f>
        <v>0.13453127076823812</v>
      </c>
      <c r="EX134" s="253">
        <f>EW134*(VLOOKUP($EY$9,各项系数!$D$4:$F$143,2,0))</f>
        <v>8.8117982353195963</v>
      </c>
      <c r="EY134" s="189">
        <f>((各项系数!$F$76/4*$EJ134^2*$EG134*$EH134*1*10^-7)*(1-$H134)*AA134+IF($EO134=0,0,(各项系数!$F$76/4*$ER134^2*$EO134*$EP134*1*10^-7))*(1-$K134)*$AF134)*(VLOOKUP($EY$9,各项系数!$D$4:$F$143,3,0))*各项系数!$J$4</f>
        <v>0.98576076943934798</v>
      </c>
      <c r="EZ134" s="102">
        <v>1</v>
      </c>
      <c r="FA134" s="189">
        <f t="shared" si="515"/>
        <v>0.98576076943934798</v>
      </c>
      <c r="FB134" s="254">
        <f>FA134*(VLOOKUP($EY$9,各项系数!$D$4:$F$143,2,0))</f>
        <v>64.567330398277292</v>
      </c>
      <c r="FC134" s="255"/>
      <c r="FD134" s="235">
        <f>各项系数!$F$76/4*($MN134^2-MK134^2)*10^-2*(VLOOKUP(L134,各项系数!$D$1:$F$143,3,0))*10^-3*10^2*$EG134*各项系数!$J$4</f>
        <v>8.8399953666299005E-2</v>
      </c>
      <c r="FE134" s="262">
        <f>FD134*VLOOKUP(L134,各项系数!$D$1:$F$143,2,0)</f>
        <v>0.90167952739624979</v>
      </c>
      <c r="FF134" s="188">
        <f>各项系数!$F$76/4*($MO134^2-ML134^2)*10^-2*(VLOOKUP(L134,各项系数!$D$1:$F$143,3,0))*10^-3*10^2*$EO134*各项系数!$J$4</f>
        <v>1.3629258930828439E-2</v>
      </c>
      <c r="FG134" s="262">
        <f>FF134*VLOOKUP(L134,各项系数!$D$1:$F$143,2,0)</f>
        <v>0.13901844109445005</v>
      </c>
      <c r="FH134" s="235">
        <f t="shared" si="410"/>
        <v>0.10202921259712744</v>
      </c>
      <c r="FI134" s="102">
        <v>1</v>
      </c>
      <c r="FJ134" s="189">
        <f t="shared" si="516"/>
        <v>0.10202921259712744</v>
      </c>
      <c r="FK134" s="262">
        <f>FJ134*VLOOKUP(L134,各项系数!$D$1:$F$143,2,0)</f>
        <v>1.0406979684906998</v>
      </c>
      <c r="FL134" s="235"/>
      <c r="FM134" s="102"/>
      <c r="FN134" s="189"/>
      <c r="FO134" s="262"/>
      <c r="FP134" s="282">
        <f t="shared" si="517"/>
        <v>0.10202921259712744</v>
      </c>
      <c r="FQ134" s="282">
        <f t="shared" si="518"/>
        <v>1.0406979684906998</v>
      </c>
      <c r="FR134" s="283">
        <f>各项系数!$F$76/4*($MQ134^2-$MN134^2*$EG134-$MO134^2*$EO134)*10^-2</f>
        <v>1.0502161527448846</v>
      </c>
      <c r="FS134" s="284">
        <f t="shared" si="411"/>
        <v>1</v>
      </c>
      <c r="FT134" s="285">
        <f t="shared" si="361"/>
        <v>1.0502161527448846</v>
      </c>
      <c r="FU134" s="302">
        <f>$FT134*(VLOOKUP($FT$9,各项系数!$D$1:$F$143,3,0))*10^-3*10^2*各项系数!$J$55</f>
        <v>0.12539580863773919</v>
      </c>
      <c r="FV134" s="303">
        <v>1</v>
      </c>
      <c r="FW134" s="304">
        <f t="shared" si="519"/>
        <v>0.12539580863773919</v>
      </c>
      <c r="FX134" s="285">
        <f>FW134*(VLOOKUP($FT$9,各项系数!$D$1:$F$143,2,0))</f>
        <v>0.37618742591321758</v>
      </c>
      <c r="FY134" s="302">
        <f>IF($BK134&lt;&gt;$FY$9,0,各项系数!$F$76/4*($MS134^2-$MQ134^2)*10^-2*(VLOOKUP($FY$9,各项系数!$D$1:$F$143,3,0))*10^-3*10^2)*各项系数!$J$4</f>
        <v>0</v>
      </c>
      <c r="FZ134" s="303">
        <v>1</v>
      </c>
      <c r="GA134" s="304">
        <f t="shared" si="520"/>
        <v>0</v>
      </c>
      <c r="GB134" s="285">
        <f>GA134*(VLOOKUP($FY$9,各项系数!$D$1:$F$143,2,0))</f>
        <v>0</v>
      </c>
      <c r="GC134" s="302">
        <f>IF($BK134&lt;&gt;$GC$9,0,各项系数!$F$76/4*($MS134^2-$MQ134^2)*10^-2*(VLOOKUP($GC$9,各项系数!$D$1:$F$143,3,0))*10^-3*10^2)*各项系数!$J$4</f>
        <v>5.6897828261484153E-3</v>
      </c>
      <c r="GD134" s="303">
        <v>1</v>
      </c>
      <c r="GE134" s="304">
        <f t="shared" si="521"/>
        <v>5.6897828261484153E-3</v>
      </c>
      <c r="GF134" s="285">
        <f>GE134*(VLOOKUP($GC$9,各项系数!$D$1:$F$143,2,0))</f>
        <v>7.3398198457314559E-2</v>
      </c>
      <c r="GG134" s="302">
        <f>IF($BK134&lt;&gt;$GG$9,0,各项系数!$F$76/4*($MS134^2-$MQ134^2)*10^-2*(VLOOKUP($GG$9,各项系数!$D$1:$F$143,3,0))*10^-3*10^2)*各项系数!$J$4</f>
        <v>0</v>
      </c>
      <c r="GH134" s="303">
        <v>1</v>
      </c>
      <c r="GI134" s="304">
        <f t="shared" si="522"/>
        <v>0</v>
      </c>
      <c r="GJ134" s="285">
        <f>GI134*(VLOOKUP($GG$9,各项系数!$D$1:$F$143,2,0))</f>
        <v>0</v>
      </c>
      <c r="GK134" s="302">
        <f>IF($BK134&lt;&gt;$GK$9,0,各项系数!$F$76/4*($MS134^2-$MQ134^2)*10^-2*(VLOOKUP($GK$9,各项系数!$D$1:$F$143,3,0))*10^-3*10^2)*各项系数!$J$4</f>
        <v>0</v>
      </c>
      <c r="GL134" s="303">
        <v>1</v>
      </c>
      <c r="GM134" s="304">
        <f t="shared" si="523"/>
        <v>0</v>
      </c>
      <c r="GN134" s="285">
        <f>GM134*(VLOOKUP($GK$9,各项系数!$D$1:$F$143,2,0))</f>
        <v>0</v>
      </c>
      <c r="GO134" s="304">
        <f t="shared" si="524"/>
        <v>5.6897828261484153E-3</v>
      </c>
      <c r="GP134" s="304">
        <f t="shared" si="525"/>
        <v>7.3398198457314559E-2</v>
      </c>
      <c r="GQ134" s="315">
        <f>各项系数!$F$76/4*($MU134^2-$MS134^2)*10^-2*(VLOOKUP($S134,各项系数!$D$1:$F$143,3,0))*10^-3*10^2*各项系数!$J$4</f>
        <v>0.15606193393938964</v>
      </c>
      <c r="GR134" s="303">
        <v>1</v>
      </c>
      <c r="GS134" s="304">
        <f t="shared" si="526"/>
        <v>0.15606193393938964</v>
      </c>
      <c r="GT134" s="304">
        <f t="shared" si="457"/>
        <v>0</v>
      </c>
      <c r="GU134" s="304">
        <f>ROUND($GS134*(VLOOKUP($S134,各项系数!$D$1:$F$143,2,0))+$E$3*GS134,GT134)</f>
        <v>1</v>
      </c>
      <c r="GV134" s="315">
        <f>各项系数!$F$76/4*($MT134^2-$MS134^2)*10^-2*(VLOOKUP($GV$9,各项系数!$D$1:$F$143,3,0))*10^-3*10^2*各项系数!$J$4*PI()/4*R134</f>
        <v>2.9418978650506484E-2</v>
      </c>
      <c r="GW134" s="303">
        <v>1</v>
      </c>
      <c r="GX134" s="304">
        <f t="shared" si="527"/>
        <v>2.9418978650506484E-2</v>
      </c>
      <c r="GY134" s="304">
        <f>$GX134*(VLOOKUP($GV$9,各项系数!$D$1:$F$143,2,0))</f>
        <v>1.9857810589091878</v>
      </c>
      <c r="GZ134" s="315">
        <f>各项系数!$F$76/4*($MV134^2-$MS134^2)*10^-2*(VLOOKUP($GZ$9,各项系数!$D$1:$F$143,3,0))*10^-3*10^2*各项系数!$J$4</f>
        <v>0.18586172926244221</v>
      </c>
      <c r="HA134" s="303">
        <v>1</v>
      </c>
      <c r="HB134" s="304">
        <f t="shared" si="412"/>
        <v>0.18586172926244221</v>
      </c>
      <c r="HC134" s="304">
        <f>HB134*(VLOOKUP($GZ$9,各项系数!$D$1:$F$143,2,0))</f>
        <v>3.1596493974615174</v>
      </c>
      <c r="HD134" s="315">
        <f>各项系数!$F$76/4*($MW134^2-$MT134^2)*10^-2*(VLOOKUP($HD$9,各项系数!$D$1:$F$143,3,0))*10^-3*10^2*各项系数!$J$4</f>
        <v>0.18716709870912071</v>
      </c>
      <c r="HE134" s="303">
        <v>1</v>
      </c>
      <c r="HF134" s="304">
        <f t="shared" si="413"/>
        <v>0.18716709870912071</v>
      </c>
      <c r="HG134" s="304">
        <f>HF134*(VLOOKUP($HD$9,各项系数!$D$1:$F$143,2,0))</f>
        <v>3.1818406780550519</v>
      </c>
      <c r="HH134" s="315">
        <f>各项系数!$F$76/4*($MV134^2-$MS134^2)*10^-2*(VLOOKUP($HH$9,各项系数!$D$1:$F$143,3,0))*10^-3*10^2*各项系数!$J$4</f>
        <v>0.18586172926244221</v>
      </c>
      <c r="HI134" s="322">
        <v>1</v>
      </c>
      <c r="HJ134" s="304">
        <f t="shared" si="414"/>
        <v>0.18586172926244221</v>
      </c>
      <c r="HK134" s="304">
        <f>HJ134*(VLOOKUP($HH$9,各项系数!$D$1:$F$143,2,0))</f>
        <v>3.1596493974615174</v>
      </c>
      <c r="HL134" s="315">
        <f>各项系数!$F$76/4*($MW134^2-$MT134^2)*10^-2*(VLOOKUP($HL$9,各项系数!$D$1:$F$143,3,0))*10^-3*10^2*各项系数!$J$4</f>
        <v>0.18716709870912071</v>
      </c>
      <c r="HM134" s="322">
        <v>1</v>
      </c>
      <c r="HN134" s="304">
        <f t="shared" si="362"/>
        <v>0.18716709870912071</v>
      </c>
      <c r="HO134" s="304">
        <f>HN134*(VLOOKUP($HL$9,各项系数!$D$1:$F$143,2,0))</f>
        <v>3.1818406780550519</v>
      </c>
      <c r="HP134" s="315">
        <f>各项系数!$F$76/4*($MV134^2-$MS134^2)*10^-2*(VLOOKUP(AN134,各项系数!$D$1:$F$143,3,0))*10^-3*10^2*各项系数!$J$4</f>
        <v>0.18842533932123451</v>
      </c>
      <c r="HQ134" s="303">
        <v>1</v>
      </c>
      <c r="HR134" s="304">
        <f t="shared" si="528"/>
        <v>0.18842533932123451</v>
      </c>
      <c r="HS134" s="304">
        <f>HR134*(VLOOKUP(AN134,各项系数!$D$1:$F$143,2,0))</f>
        <v>1.8842533932123451</v>
      </c>
      <c r="HT134" s="315">
        <f>各项系数!$F$76/4*($MW134^2-$MT134^2)*10^-2*(VLOOKUP(AN134,各项系数!$D$1:$F$143,3,0))*10^-3*10^2*各项系数!$J$4</f>
        <v>0.18974871386372927</v>
      </c>
      <c r="HU134" s="303">
        <v>1</v>
      </c>
      <c r="HV134" s="304">
        <f t="shared" si="529"/>
        <v>0.18974871386372927</v>
      </c>
      <c r="HW134" s="304">
        <f>HV134*(VLOOKUP(AN134,各项系数!$D$1:$F$143,2,0))</f>
        <v>1.8974871386372927</v>
      </c>
      <c r="HX134" s="315">
        <f>各项系数!$F$76/4*($MV134^2-$MS134^2)*10^-2*(VLOOKUP($HX$9,各项系数!$D$1:$F$143,3,0))*10^-3*10^2*各项系数!$J$4</f>
        <v>0.18842533932123451</v>
      </c>
      <c r="HY134" s="322">
        <v>1</v>
      </c>
      <c r="HZ134" s="304">
        <f t="shared" si="530"/>
        <v>0.18842533932123451</v>
      </c>
      <c r="IA134" s="304">
        <f>HZ134*(VLOOKUP($HX$9,各项系数!$D$1:$F$143,2,0))</f>
        <v>2.0726787325335794</v>
      </c>
      <c r="IB134" s="315">
        <f>各项系数!$F$76/4*($MW134^2-$MT134^2)*10^-2*(VLOOKUP($IB$9,各项系数!$D$1:$F$143,3,0))*10^-3*10^2*各项系数!$J$4</f>
        <v>0.18974871386372927</v>
      </c>
      <c r="IC134" s="322">
        <v>1</v>
      </c>
      <c r="ID134" s="304">
        <f t="shared" si="531"/>
        <v>0.18974871386372927</v>
      </c>
      <c r="IE134" s="304">
        <f>ID134*(VLOOKUP($IB$9,各项系数!$D$1:$F$143,2,0))</f>
        <v>2.0872358525010219</v>
      </c>
      <c r="IF134" s="328"/>
      <c r="IG134" s="315">
        <f t="shared" si="415"/>
        <v>4.4208333733062141E-2</v>
      </c>
      <c r="IH134" s="303">
        <v>1</v>
      </c>
      <c r="II134" s="304">
        <f t="shared" si="532"/>
        <v>4.4208333733062141E-2</v>
      </c>
      <c r="IJ134" s="304">
        <f>II134*(VLOOKUP($IG$8,各项系数!$D$1:$F$143,2,0))</f>
        <v>1.1052083433265536</v>
      </c>
      <c r="IK134" s="315">
        <f>(各项系数!$F$76/4*($MX134^2-$MK134^2)*$EG134)*10^-2*(VLOOKUP($IG$8,各项系数!$D$1:$F$143,3,0))*10^-3*10^2*各项系数!$J$4</f>
        <v>3.6805841655497357E-2</v>
      </c>
      <c r="IL134" s="303">
        <f>IK134*(VLOOKUP($IG$8,各项系数!$D$1:$F$143,2,0))</f>
        <v>0.92014604138743394</v>
      </c>
      <c r="IM134" s="304">
        <f>(各项系数!$F$76/4*(($MM134+3*$X134)^2-MM134^2)*$EO134)*10^-2*(VLOOKUP($IG$8,各项系数!$D$1:$F$143,3,0))*10^-3*10^2*各项系数!$J$4</f>
        <v>7.4024920775647872E-3</v>
      </c>
      <c r="IN134" s="303">
        <f>IM134*(VLOOKUP($IG$8,各项系数!$D$1:$F$143,2,0))</f>
        <v>0.18506230193911968</v>
      </c>
      <c r="IO134" s="315">
        <f>各项系数!$F$76/4*($MZ134^2-$MX134^2)*10^-2*(VLOOKUP(L134,各项系数!$D$1:$F$143,3,0))*10^-3*10^2*$ES134*各项系数!$J$4</f>
        <v>0.11978381961312969</v>
      </c>
      <c r="IP134" s="303">
        <v>1</v>
      </c>
      <c r="IQ134" s="304">
        <f t="shared" si="533"/>
        <v>0.11978381961312969</v>
      </c>
      <c r="IR134" s="285">
        <f>IQ134*(VLOOKUP(L134,各项系数!$D$1:$F$143,2,0))</f>
        <v>1.2217949600539226</v>
      </c>
      <c r="IS134" s="315">
        <f>IF($L134&lt;&gt;$IS$9,0,各项系数!$F$76/4*($MZ134^2-$MX134^2)*10^-2*各项系数!$F$12*10^-3*10^2)*$ES134*各项系数!$J$4</f>
        <v>0</v>
      </c>
      <c r="IT134" s="303">
        <v>1</v>
      </c>
      <c r="IU134" s="304">
        <f t="shared" si="534"/>
        <v>0</v>
      </c>
      <c r="IV134" s="285">
        <f>IU134*各项系数!$E$12</f>
        <v>0</v>
      </c>
      <c r="IW134" s="302">
        <f t="shared" si="535"/>
        <v>0.11978381961312969</v>
      </c>
      <c r="IX134" s="302">
        <f t="shared" si="536"/>
        <v>1.2217949600539226</v>
      </c>
      <c r="IY134" s="339">
        <f>各项系数!$F$76/4*($NB134^2-$MZ134^2*$EG134-$NA134^2*$EO134)*10^-2</f>
        <v>1.2544495406650686</v>
      </c>
      <c r="IZ134" s="284">
        <f t="shared" si="487"/>
        <v>1</v>
      </c>
      <c r="JA134" s="285">
        <f t="shared" si="363"/>
        <v>1.2544495406650686</v>
      </c>
      <c r="JB134" s="282">
        <f>IF($DE134&lt;&gt;$JB$9,0,$JA134*各项系数!$F$32*10^-3*10^2)*各项系数!$J$4</f>
        <v>0</v>
      </c>
      <c r="JC134" s="102">
        <v>1</v>
      </c>
      <c r="JD134" s="189">
        <f t="shared" si="537"/>
        <v>0</v>
      </c>
      <c r="JE134" s="262">
        <f>JD134*各项系数!$E$32</f>
        <v>0</v>
      </c>
      <c r="JF134" s="282">
        <f>IF($DE134&lt;&gt;$JF$9,0,$JA134*VLOOKUP($JF$9,各项系数!$D$4:$F$540,2,0)*10^-3*10^2)*各项系数!$J$4</f>
        <v>0.6240886464808717</v>
      </c>
      <c r="JG134" s="102">
        <v>1</v>
      </c>
      <c r="JH134" s="189">
        <f t="shared" si="364"/>
        <v>0.6240886464808717</v>
      </c>
      <c r="JI134" s="262">
        <f>JH134*VLOOKUP($JF$9,各项系数!$D$4:$F$540,3,0)</f>
        <v>0.748906375777046</v>
      </c>
      <c r="JJ134" s="282">
        <f t="shared" si="538"/>
        <v>0.6240886464808717</v>
      </c>
      <c r="JK134" s="189">
        <f t="shared" si="539"/>
        <v>0.748906375777046</v>
      </c>
      <c r="JL134" s="282">
        <f>IF($DF134&lt;&gt;$JL$9,0,各项系数!$F$76/4*($NE134^2-$NC134^2)*10^-2*各项系数!$F$39*10^-3*10^2)*各项系数!$J$4</f>
        <v>2.5613594218152733E-3</v>
      </c>
      <c r="JM134" s="102">
        <v>1</v>
      </c>
      <c r="JN134" s="189">
        <f t="shared" si="540"/>
        <v>2.5613594218152733E-3</v>
      </c>
      <c r="JO134" s="262">
        <f>JN134*各项系数!$E$39</f>
        <v>5.1227188436305464E-2</v>
      </c>
      <c r="JP134" s="282">
        <f>IF($DF134&lt;&gt;$JP$9,0,各项系数!$F$76/4*($NE134^2-$NC134^2)*10^-2*各项系数!$F$36*10^-3*10^2)*各项系数!$J$4</f>
        <v>0</v>
      </c>
      <c r="JQ134" s="102">
        <v>1</v>
      </c>
      <c r="JR134" s="189">
        <f t="shared" si="541"/>
        <v>0</v>
      </c>
      <c r="JS134" s="262">
        <f>JR134*各项系数!$E$36</f>
        <v>0</v>
      </c>
      <c r="JT134" s="282">
        <f>IF($DF134&lt;&gt;$JT$9,0,各项系数!$F$76/4*($NE134^2-$NC134^2)*10^-2*各项系数!$F$40*10^-3*10^2)*各项系数!$J$4</f>
        <v>0</v>
      </c>
      <c r="JU134" s="102">
        <v>1</v>
      </c>
      <c r="JV134" s="189">
        <f t="shared" si="542"/>
        <v>0</v>
      </c>
      <c r="JW134" s="262">
        <f>JV134*各项系数!$E$40</f>
        <v>0</v>
      </c>
      <c r="JX134" s="282">
        <f>IF($DF134&lt;&gt;$JX$9,0,各项系数!$F$76/4*($NE134^2-$NC134^2)*10^-2*各项系数!$F$38*10^-3*10^2)*各项系数!$J$4</f>
        <v>0</v>
      </c>
      <c r="JY134" s="102">
        <v>1</v>
      </c>
      <c r="JZ134" s="189">
        <f t="shared" si="543"/>
        <v>0</v>
      </c>
      <c r="KA134" s="262">
        <f>JZ134*各项系数!$E$38</f>
        <v>0</v>
      </c>
      <c r="KB134" s="282">
        <f>IF($DF134&lt;&gt;$KB$9,0,各项系数!$F$76/4*($NE134^2-$NC134^2)*10^-2*各项系数!$F$41*10^-3*10^2)*各项系数!$J$4</f>
        <v>0</v>
      </c>
      <c r="KC134" s="102">
        <v>1</v>
      </c>
      <c r="KD134" s="189">
        <f t="shared" si="544"/>
        <v>0</v>
      </c>
      <c r="KE134" s="262">
        <f>KD134*各项系数!$E$41</f>
        <v>0</v>
      </c>
      <c r="KF134" s="189">
        <f t="shared" si="545"/>
        <v>2.5613594218152733E-3</v>
      </c>
      <c r="KG134" s="189">
        <f t="shared" si="546"/>
        <v>5.1227188436305464E-2</v>
      </c>
      <c r="KH134" s="235">
        <f>各项系数!$F$76/4*($NG134^2-$NE134^2)*10^-2*各项系数!$F$44*10^-3*10^2*各项系数!$J$4*0.75*$U134</f>
        <v>0.25499287853704566</v>
      </c>
      <c r="KI134" s="102">
        <v>1</v>
      </c>
      <c r="KJ134" s="189">
        <f t="shared" si="547"/>
        <v>0.25499287853704566</v>
      </c>
      <c r="KK134" s="189">
        <f>ROUND(KJ134*各项系数!$E$43,GT134)</f>
        <v>1</v>
      </c>
      <c r="KL134" s="235">
        <f>各项系数!$F$76/4*($NF134^2-$NE134^2)*10^-2*各项系数!$F$46*10^-3*10^2*各项系数!$J$4*PI()/4*R134</f>
        <v>3.2072961858491955E-2</v>
      </c>
      <c r="KM134" s="102">
        <v>1</v>
      </c>
      <c r="KN134" s="189">
        <f t="shared" si="548"/>
        <v>3.2072961858491955E-2</v>
      </c>
      <c r="KO134" s="189">
        <f>KN134*各项系数!$E$46</f>
        <v>2.164924925448207</v>
      </c>
      <c r="KP134" s="235">
        <f>各项系数!$F$76/4*($NH134^2-$NE134^2)*10^-2*(VLOOKUP($KP$9,各项系数!$D$1:$F$143,3,0))*10^-3*10^2*各项系数!$J$4</f>
        <v>0.20136299144174827</v>
      </c>
      <c r="KQ134" s="102">
        <v>1</v>
      </c>
      <c r="KR134" s="189">
        <f t="shared" si="416"/>
        <v>0.20136299144174827</v>
      </c>
      <c r="KS134" s="189">
        <f>KR134*(VLOOKUP($KP$9,各项系数!$D$1:$F$143,2,0))</f>
        <v>3.4231708545097206</v>
      </c>
      <c r="KT134" s="235">
        <f>各项系数!$F$76/4*($NI134^2-$NF134^2)*10^-2*(VLOOKUP($KT$9,各项系数!$D$1:$F$143,3,0))*10^-3*10^2*各项系数!$J$4</f>
        <v>0.20266836088842666</v>
      </c>
      <c r="KU134" s="102">
        <v>1</v>
      </c>
      <c r="KV134" s="189">
        <f t="shared" si="417"/>
        <v>0.20266836088842666</v>
      </c>
      <c r="KW134" s="189">
        <f>KV134*(VLOOKUP($KT$9,各项系数!$D$1:$F$143,2,0))</f>
        <v>3.4453621351032533</v>
      </c>
      <c r="KX134" s="189">
        <f>各项系数!$F$76/4*($NH134^2-$NE134^2)*10^-2*(VLOOKUP($KX$9,各项系数!$D$1:$F$143,3,0))*10^-3*10^2*各项系数!$J$4</f>
        <v>0.20136299144174827</v>
      </c>
      <c r="KY134" s="353">
        <v>1</v>
      </c>
      <c r="KZ134" s="189">
        <f t="shared" si="418"/>
        <v>0.20136299144174827</v>
      </c>
      <c r="LA134" s="189">
        <f>KZ134*(VLOOKUP($KX$9,各项系数!$D$1:$F$143,2,0))</f>
        <v>3.4231708545097206</v>
      </c>
      <c r="LB134" s="189">
        <f>各项系数!$F$76/4*($NI134^2-$NF134^2)*10^-2*(VLOOKUP($LB$9,各项系数!$D$1:$F$143,3,0))*10^-3*10^2*各项系数!$J$4</f>
        <v>0.20266836088842666</v>
      </c>
      <c r="LC134" s="353">
        <v>1</v>
      </c>
      <c r="LD134" s="189">
        <f t="shared" si="419"/>
        <v>0.20266836088842666</v>
      </c>
      <c r="LE134" s="189">
        <f>LD134*(VLOOKUP($LB$9,各项系数!$D$1:$F$143,2,0))</f>
        <v>3.4453621351032533</v>
      </c>
      <c r="LF134" s="235">
        <f>各项系数!$F$76/4*($NH134^2-$NE134^2)*10^-2*(VLOOKUP(AN134,各项系数!$D$1:$F$143,3,0))*10^-3*10^2*各项系数!$J$4</f>
        <v>0.20414041201335859</v>
      </c>
      <c r="LG134" s="102">
        <v>1</v>
      </c>
      <c r="LH134" s="189">
        <f t="shared" si="549"/>
        <v>0.20414041201335859</v>
      </c>
      <c r="LI134" s="189">
        <f>LH134*(VLOOKUP(AN134,各项系数!$D$1:$F$143,2,0))</f>
        <v>2.0414041201335857</v>
      </c>
      <c r="LJ134" s="235">
        <f>各项系数!$F$76/4*($NI134^2-$NF134^2)*10^-2*(VLOOKUP(AN134,各项系数!$D$1:$F$143,3,0))*10^-3*10^2*各项系数!$J$4</f>
        <v>0.20546378655585329</v>
      </c>
      <c r="LK134" s="102">
        <v>1</v>
      </c>
      <c r="LL134" s="189">
        <f t="shared" si="550"/>
        <v>0.20546378655585329</v>
      </c>
      <c r="LM134" s="189">
        <f>LL134*(VLOOKUP(AN134,各项系数!$D$1:$F$143,2,0))</f>
        <v>2.0546378655585329</v>
      </c>
      <c r="LN134" s="189">
        <f>各项系数!$F$76/4*($NH134^2-$NE134^2)*10^-2*(VLOOKUP($LN$9,各项系数!$D$1:$F$143,3,0))*10^-3*10^2*各项系数!$J$4</f>
        <v>0.20414041201335859</v>
      </c>
      <c r="LO134" s="353">
        <v>1</v>
      </c>
      <c r="LP134" s="189">
        <f t="shared" si="551"/>
        <v>0.20414041201335859</v>
      </c>
      <c r="LQ134" s="189">
        <f>LP134*(VLOOKUP($LN$9,各项系数!$D$1:$F$143,2,0))</f>
        <v>2.2455445321469445</v>
      </c>
      <c r="LR134" s="189">
        <f>各项系数!$F$76/4*($NI134^2-$NF134^2)*10^-2*(VLOOKUP($LR$9,各项系数!$D$1:$F$143,3,0))*10^-3*10^2*各项系数!$J$4</f>
        <v>0.20546378655585329</v>
      </c>
      <c r="LS134" s="353">
        <v>1</v>
      </c>
      <c r="LT134" s="189">
        <f t="shared" si="552"/>
        <v>0.20546378655585329</v>
      </c>
      <c r="LU134" s="189">
        <f>LT134*(VLOOKUP($LR$9,各项系数!$D$1:$F$143,2,0))</f>
        <v>2.2601016521143862</v>
      </c>
      <c r="LV134" s="227">
        <f t="shared" si="420"/>
        <v>122.38132163</v>
      </c>
      <c r="LW134" s="227">
        <f t="shared" si="421"/>
        <v>95.185472379999993</v>
      </c>
      <c r="LX134" s="227">
        <f t="shared" si="422"/>
        <v>11.008810449749447</v>
      </c>
      <c r="LY134" s="227">
        <f t="shared" si="423"/>
        <v>27.195849250000009</v>
      </c>
      <c r="LZ134" s="374">
        <f t="shared" si="365"/>
        <v>1</v>
      </c>
      <c r="MA134" s="375">
        <f t="shared" si="366"/>
        <v>122.38132163</v>
      </c>
      <c r="MB134" s="375">
        <f t="shared" si="424"/>
        <v>6.2414088599999999</v>
      </c>
      <c r="MC134" s="227">
        <f t="shared" si="425"/>
        <v>19.341569679999999</v>
      </c>
      <c r="MD134" s="227">
        <f t="shared" si="426"/>
        <v>15.04344305</v>
      </c>
      <c r="ME134" s="227">
        <f t="shared" si="427"/>
        <v>4.3765176316600565</v>
      </c>
      <c r="MF134" s="227">
        <f t="shared" si="428"/>
        <v>4.2981266299999987</v>
      </c>
      <c r="MG134" s="374">
        <f t="shared" si="429"/>
        <v>1</v>
      </c>
      <c r="MH134" s="375">
        <f t="shared" si="367"/>
        <v>19.341569679999999</v>
      </c>
      <c r="MI134" s="375">
        <f t="shared" si="430"/>
        <v>4.962504546479189</v>
      </c>
      <c r="MJ134" s="189">
        <f t="shared" si="368"/>
        <v>6.2414088599999999</v>
      </c>
      <c r="MK134" s="189">
        <f t="shared" si="431"/>
        <v>6.2414088599999999</v>
      </c>
      <c r="ML134" s="189">
        <f t="shared" si="553"/>
        <v>4.9625045462006696</v>
      </c>
      <c r="MM134" s="189">
        <f t="shared" si="369"/>
        <v>4.962504546479189</v>
      </c>
      <c r="MN134" s="189">
        <f t="shared" si="370"/>
        <v>8.0414088600000007</v>
      </c>
      <c r="MO134" s="189">
        <f t="shared" si="432"/>
        <v>6.3625045464791885</v>
      </c>
      <c r="MP134" s="189">
        <f t="shared" si="433"/>
        <v>20.80519559</v>
      </c>
      <c r="MQ134" s="189">
        <f t="shared" si="554"/>
        <v>20.80519559</v>
      </c>
      <c r="MR134" s="246">
        <f t="shared" si="434"/>
        <v>20.80519559</v>
      </c>
      <c r="MS134" s="380">
        <f t="shared" si="371"/>
        <v>20.981195589999999</v>
      </c>
      <c r="MT134" s="380">
        <f t="shared" si="372"/>
        <v>21.141195589999999</v>
      </c>
      <c r="MU134" s="380">
        <f t="shared" si="373"/>
        <v>21.58119559</v>
      </c>
      <c r="MV134" s="380">
        <f t="shared" si="374"/>
        <v>24.58119559</v>
      </c>
      <c r="MW134" s="380">
        <f t="shared" si="375"/>
        <v>24.74119559</v>
      </c>
      <c r="MX134" s="254">
        <f t="shared" si="376"/>
        <v>6.8414088599999996</v>
      </c>
      <c r="MY134" s="254">
        <f t="shared" si="377"/>
        <v>5.5625045464791896</v>
      </c>
      <c r="MZ134" s="189">
        <f t="shared" si="378"/>
        <v>8.6414088600000003</v>
      </c>
      <c r="NA134" s="189">
        <f t="shared" si="379"/>
        <v>7.3625045464791894</v>
      </c>
      <c r="NB134" s="189">
        <f t="shared" si="435"/>
        <v>22.641195589999999</v>
      </c>
      <c r="NC134" s="254">
        <f t="shared" si="555"/>
        <v>22.641195589999999</v>
      </c>
      <c r="ND134" s="246">
        <f t="shared" si="436"/>
        <v>22.641195589999999</v>
      </c>
      <c r="NE134" s="386">
        <f t="shared" si="437"/>
        <v>22.881195589999997</v>
      </c>
      <c r="NF134" s="380">
        <f t="shared" si="380"/>
        <v>23.041195589999997</v>
      </c>
      <c r="NG134" s="387">
        <f t="shared" si="381"/>
        <v>23.481195589999999</v>
      </c>
      <c r="NH134" s="254">
        <f t="shared" si="382"/>
        <v>26.481195589999999</v>
      </c>
      <c r="NI134" s="380">
        <f t="shared" si="383"/>
        <v>26.641195589999999</v>
      </c>
      <c r="NK134" s="388">
        <f t="shared" si="384"/>
        <v>1.4209301717524259</v>
      </c>
      <c r="NL134" s="388">
        <f t="shared" si="385"/>
        <v>68.080885825445321</v>
      </c>
      <c r="NM134" s="388">
        <f t="shared" si="386"/>
        <v>1.4209301717524259</v>
      </c>
      <c r="NN134" s="388">
        <f t="shared" si="387"/>
        <v>68.269311164766549</v>
      </c>
      <c r="NO134" s="388">
        <f t="shared" si="388"/>
        <v>1.9879458327791502</v>
      </c>
      <c r="NP134" s="388">
        <f t="shared" si="389"/>
        <v>69.92093368794383</v>
      </c>
      <c r="NQ134" s="388">
        <f t="shared" si="390"/>
        <v>1.9879458327791502</v>
      </c>
      <c r="NR134" s="388">
        <f t="shared" si="391"/>
        <v>70.125074099957189</v>
      </c>
      <c r="NS134" s="388">
        <f t="shared" si="392"/>
        <v>1.4503491504029324</v>
      </c>
      <c r="NT134" s="388">
        <f t="shared" si="393"/>
        <v>1.4503491504029324</v>
      </c>
      <c r="NU134" s="388">
        <f t="shared" si="394"/>
        <v>2.0200187946376422</v>
      </c>
      <c r="NV134" s="388">
        <f t="shared" si="395"/>
        <v>2.0200187946376422</v>
      </c>
      <c r="NW134">
        <f t="shared" si="396"/>
        <v>1.5769921056918155</v>
      </c>
      <c r="NX134">
        <f>各项系数!$M$9*NK134</f>
        <v>0.42627905152572776</v>
      </c>
      <c r="NY134">
        <f t="shared" si="397"/>
        <v>1.4503491504029324</v>
      </c>
    </row>
    <row r="135" spans="1:389" ht="15" hidden="1" customHeight="1">
      <c r="A135" s="69"/>
      <c r="B135" s="70"/>
      <c r="C135" s="71"/>
      <c r="D135" s="53" t="s">
        <v>392</v>
      </c>
      <c r="E135" s="61">
        <f t="shared" si="560"/>
        <v>27.179293449999999</v>
      </c>
      <c r="F135" s="68">
        <f>$F$23</f>
        <v>245.05464536042999</v>
      </c>
      <c r="G135" s="58"/>
      <c r="H135" s="16"/>
      <c r="I135" s="145">
        <f>$F$21</f>
        <v>165.41681820668899</v>
      </c>
      <c r="J135" s="62"/>
      <c r="K135" s="16"/>
      <c r="L135" s="97" t="s">
        <v>467</v>
      </c>
      <c r="M135" s="103">
        <f t="shared" si="339"/>
        <v>0.9</v>
      </c>
      <c r="N135" s="103">
        <f t="shared" si="501"/>
        <v>0.7</v>
      </c>
      <c r="O135" s="53">
        <f t="shared" si="572"/>
        <v>0.08</v>
      </c>
      <c r="P135" s="99">
        <v>0.1</v>
      </c>
      <c r="Q135" s="133">
        <f t="shared" si="578"/>
        <v>0.1</v>
      </c>
      <c r="R135" s="70">
        <v>0.8</v>
      </c>
      <c r="S135" s="142" t="str">
        <f>各项系数!$D$43</f>
        <v>钢带</v>
      </c>
      <c r="T135" s="62">
        <v>0.2</v>
      </c>
      <c r="U135" s="62">
        <v>2</v>
      </c>
      <c r="V135" s="143"/>
      <c r="W135" s="145">
        <v>1.9</v>
      </c>
      <c r="X135" s="135">
        <f t="shared" si="579"/>
        <v>0.2</v>
      </c>
      <c r="Y135" s="135"/>
      <c r="Z135" s="168"/>
      <c r="AA135" s="153">
        <f>$AA$23</f>
        <v>1.0109999999999999</v>
      </c>
      <c r="AB135" s="153">
        <f>PI()*EJ135*EJ135/4*EH135*(1-H135)*AA135*各项系数!$F$5*各项系数!$J$4*10^-7</f>
        <v>0.29524992630433911</v>
      </c>
      <c r="AC135" s="153">
        <f t="shared" si="573"/>
        <v>245.05464536042999</v>
      </c>
      <c r="AD135" s="153">
        <f t="shared" si="341"/>
        <v>33.378357061385572</v>
      </c>
      <c r="AE135" s="153">
        <f>POWER(4*EU135/PI()/EG135/10^-7/EH135/(1-H135)/各项系数!$F$5/各项系数!$J$4,0.5)</f>
        <v>246.39875970480472</v>
      </c>
      <c r="AF135" s="69">
        <f>$AA$21</f>
        <v>1.0109999999999999</v>
      </c>
      <c r="AG135" s="69">
        <f>IF(EM135=0,0,PI()*ER135*ER135/4*EP135*(1-K135)*(1+AF135)*各项系数!$F$5*各项系数!$J$4*10^-7)</f>
        <v>0.2675987987289089</v>
      </c>
      <c r="AH135" s="69">
        <f t="shared" si="574"/>
        <v>165.41681820668899</v>
      </c>
      <c r="AI135" s="69">
        <f t="shared" si="398"/>
        <v>15.208920956666134</v>
      </c>
      <c r="AJ135" s="69">
        <f>IF(OR(EP135="",EP135=0),0,POWER(4*EW135/PI()/EO135/10^-7/EP135/(1-K135)/各项系数!$F$5/各项系数!$J$4,0.5))</f>
        <v>166.32412244418023</v>
      </c>
      <c r="AK135" s="69">
        <f t="shared" si="342"/>
        <v>1.3155309759855947</v>
      </c>
      <c r="AL135" s="69">
        <f t="shared" si="575"/>
        <v>92.966022619883802</v>
      </c>
      <c r="AM135" s="188">
        <f t="shared" si="576"/>
        <v>35</v>
      </c>
      <c r="AN135" s="97" t="s">
        <v>486</v>
      </c>
      <c r="AO135" s="196">
        <f>AP135+各项系数!$M$9*$NK135</f>
        <v>91.143159431258624</v>
      </c>
      <c r="AP135" s="196">
        <f>AQ135*(1+$BI135+(VLOOKUP($AM135,$A$12:$B$323,2,0))+各项系数!$J$6+各项系数!$M$5)*(1+$E$2)</f>
        <v>90.595736879771195</v>
      </c>
      <c r="AQ135" s="197">
        <f>AR135+各项系数!$L$9*$NK135</f>
        <v>92.444629469154279</v>
      </c>
      <c r="AR135" s="197">
        <f>AS135*(1+$BJ135+各项系数!$J$5+各项系数!$L$5)</f>
        <v>91.89720691766685</v>
      </c>
      <c r="AS135" s="197">
        <f t="shared" si="399"/>
        <v>90.095300899673376</v>
      </c>
      <c r="AT135" s="196">
        <f>AU135+各项系数!$M$9*$NM135</f>
        <v>92.636437937152891</v>
      </c>
      <c r="AU135" s="196">
        <f>AV135*(1+$BI135+(VLOOKUP($AM135,$A$12:$B$323,2,0))+各项系数!$J$6+各项系数!$M$5)*(1+$E$2)</f>
        <v>92.089015385665462</v>
      </c>
      <c r="AV135" s="197">
        <f>AW135+各项系数!$L$9*$NM135</f>
        <v>93.96838304659741</v>
      </c>
      <c r="AW135" s="197">
        <f>AX135*(1+$BJ135+各项系数!$J$5+各项系数!$L$5)</f>
        <v>93.420960495109981</v>
      </c>
      <c r="AX135" s="197">
        <f t="shared" si="400"/>
        <v>91.589176955990169</v>
      </c>
      <c r="AY135" s="196">
        <f>AZ135+各项系数!$M$9*$NS135</f>
        <v>93.3875913648656</v>
      </c>
      <c r="AZ135" s="196">
        <f>BA135*(1+$BI135+(VLOOKUP($AM135,$A$12:$B$214,2,0))+各项系数!$J$6+各项系数!$M$5)*(1+$E$2)</f>
        <v>92.830338196922241</v>
      </c>
      <c r="BA135" s="197">
        <f>BB135+各项系数!$L$9*$NS135</f>
        <v>94.724834894818613</v>
      </c>
      <c r="BB135" s="197">
        <f>BC135*(1+$BJ135+各项系数!$J$5+各项系数!$L$5)</f>
        <v>94.167581726875255</v>
      </c>
      <c r="BC135" s="199">
        <f t="shared" si="401"/>
        <v>92.32115855576005</v>
      </c>
      <c r="BD135" s="196">
        <f>BE135+各项系数!$M$9*$NS135</f>
        <v>94.890321264700745</v>
      </c>
      <c r="BE135" s="409">
        <f>BF135*(1+$BI135+(VLOOKUP($AM135,$A$12:$B$214,2,0))+各项系数!$J$6+各项系数!$M$5)*(1+$E$2)</f>
        <v>94.333068096757387</v>
      </c>
      <c r="BF135" s="197">
        <f>BG135+各项系数!$L$9*$NS135</f>
        <v>96.258232751793258</v>
      </c>
      <c r="BG135" s="197">
        <f>BH135*(1+$BJ135+各项系数!$J$5+各项系数!$L$5)</f>
        <v>95.7009795838499</v>
      </c>
      <c r="BH135" s="199">
        <f t="shared" si="402"/>
        <v>93.82448978808813</v>
      </c>
      <c r="BI135" s="211">
        <v>0</v>
      </c>
      <c r="BJ135" s="208"/>
      <c r="BK135" s="53" t="s">
        <v>514</v>
      </c>
      <c r="BL135" s="196">
        <f>BM135+各项系数!$M$9*$NM135</f>
        <v>92.24887128782737</v>
      </c>
      <c r="BM135" s="196">
        <f>BN135*(1+$CF135+(VLOOKUP($AM135,$A$12:$B$323,2,0))+各项系数!$J$6+各项系数!$M$5)*(1+$E$2)</f>
        <v>91.701448736339941</v>
      </c>
      <c r="BN135" s="197">
        <f>BO135+各项系数!$L$9*$NM135</f>
        <v>93.572906873816265</v>
      </c>
      <c r="BO135" s="197">
        <f>BP135*(1+$CG135+各项系数!$J$5+各项系数!$L$5)</f>
        <v>93.025484322328836</v>
      </c>
      <c r="BP135" s="197">
        <f t="shared" si="403"/>
        <v>90.316004196435756</v>
      </c>
      <c r="BQ135" s="196">
        <f>BR135+各项系数!$M$9*$NM135</f>
        <v>93.534011871321582</v>
      </c>
      <c r="BR135" s="196">
        <f>BS135*(1+$CF135+(VLOOKUP($AM135,$A$12:$B$323,2,0))+各项系数!$J$6+各项系数!$M$5)*(1+$E$2)</f>
        <v>92.986589319834152</v>
      </c>
      <c r="BS135" s="197">
        <f>BT135+各项系数!$L$9*$NM135</f>
        <v>94.884274816157301</v>
      </c>
      <c r="BT135" s="197">
        <f>BU135*(1+$CG135+各项系数!$J$5+各项系数!$L$5)</f>
        <v>94.336852264669872</v>
      </c>
      <c r="BU135" s="197">
        <f t="shared" si="404"/>
        <v>91.589176955990169</v>
      </c>
      <c r="BV135" s="196">
        <f>BW135+各项系数!$M$9*$NT135</f>
        <v>93.978516683138068</v>
      </c>
      <c r="BW135" s="196">
        <f>BX135*(1+$CF135+(VLOOKUP($AM135,$A$12:$B$214,2,0))+各项系数!$J$6+各项系数!$M$5)*(1+$E$2)</f>
        <v>93.42126351519471</v>
      </c>
      <c r="BX135" s="197">
        <f>BY135+各项系数!$L$9*$NT$12</f>
        <v>95.327819913463998</v>
      </c>
      <c r="BY135" s="197">
        <f>BZ135*(1+$CG135+各项系数!$J$5+各项系数!$L$5)</f>
        <v>95.319556510309027</v>
      </c>
      <c r="BZ135" s="199">
        <f t="shared" si="343"/>
        <v>92.543258747872841</v>
      </c>
      <c r="CA135" s="196">
        <f>CB135+各项系数!$M$9*$NT135</f>
        <v>95.271791295131393</v>
      </c>
      <c r="CB135" s="196">
        <f>CC135*(1+$CF135+(VLOOKUP($AM135,$A$12:$B$214,2,0))+各项系数!$J$6+各项系数!$M$5)*(1+$E$2)</f>
        <v>94.714538127188035</v>
      </c>
      <c r="CC135" s="197">
        <f>CD135+各项系数!$L$9*$NT$12</f>
        <v>96.647487884885749</v>
      </c>
      <c r="CD135" s="197">
        <f>CE135*(1+$CG135+各项系数!$J$5+各项系数!$L$5)</f>
        <v>96.639224481730778</v>
      </c>
      <c r="CE135" s="199">
        <f t="shared" si="405"/>
        <v>93.82448978808813</v>
      </c>
      <c r="CF135" s="211">
        <f>(BI135+$CF$2)-BI135/1.3</f>
        <v>0</v>
      </c>
      <c r="CG135" s="213">
        <f t="shared" si="344"/>
        <v>0.01</v>
      </c>
      <c r="CH135" s="102"/>
      <c r="CI135" s="196">
        <f>CJ135+各项系数!$M$9*$NO135</f>
        <v>94.154113261816718</v>
      </c>
      <c r="CJ135" s="196">
        <f>CK135*(1+$DC135+(VLOOKUP($AM135,$A$12:$B$323,2,0))+各项系数!$J$6+各项系数!$M$5)*(1+$E$2)+各项系数!$M$9*$NK135</f>
        <v>93.403459793481431</v>
      </c>
      <c r="CK135" s="197">
        <f>CL135+各项系数!$L$9*$NO135</f>
        <v>94.751058410197956</v>
      </c>
      <c r="CL135" s="197">
        <f>CM135*(1+$DD135+各项系数!$J$5+各项系数!$L$5)</f>
        <v>94.000404941862669</v>
      </c>
      <c r="CM135" s="197">
        <f t="shared" si="345"/>
        <v>92.157259746924183</v>
      </c>
      <c r="CN135" s="196">
        <f>CO135+各项系数!$M$9*$NO135</f>
        <v>95.481576797378807</v>
      </c>
      <c r="CO135" s="196">
        <f>CP135*(1+$DC135+(VLOOKUP($AM135,$A$12:$B$323,2,0))+各项系数!$J$6+各项系数!$M$5)*(1+$E$2)+各项系数!$M$9*$NK135</f>
        <v>94.73092332904352</v>
      </c>
      <c r="CP135" s="197">
        <f>CQ135+各项系数!$L$9*$NO135</f>
        <v>96.105613038322545</v>
      </c>
      <c r="CQ135" s="197">
        <f>CR135*(1+$DD135+各项系数!$J$5+各项系数!$L$5)</f>
        <v>95.354959569987258</v>
      </c>
      <c r="CR135" s="197">
        <f t="shared" si="346"/>
        <v>93.485254480379666</v>
      </c>
      <c r="CS135" s="196">
        <f>CT135+各项系数!$M$9*$NU135</f>
        <v>96.031771318954227</v>
      </c>
      <c r="CT135" s="196">
        <f t="shared" si="347"/>
        <v>95.270491039200621</v>
      </c>
      <c r="CU135" s="197">
        <f>CV135+各项系数!$L$9*$NU135</f>
        <v>97.214786774694517</v>
      </c>
      <c r="CV135" s="197">
        <f>CW135*(1+$DD135+各项系数!$J$5+各项系数!$L$5)</f>
        <v>96.45350649494091</v>
      </c>
      <c r="CW135" s="199">
        <f t="shared" si="348"/>
        <v>94.562261269549907</v>
      </c>
      <c r="CX135" s="196">
        <f>CY135+各项系数!$M$9*$NU135</f>
        <v>97.646736521837326</v>
      </c>
      <c r="CY135" s="196">
        <f t="shared" si="349"/>
        <v>96.88545624208372</v>
      </c>
      <c r="CZ135" s="197">
        <f>DA135+各项系数!$L$9*$NU135</f>
        <v>98.862710451105841</v>
      </c>
      <c r="DA135" s="197">
        <f>DB135*(1+$DD135+各项系数!$J$5+各项系数!$L$5)</f>
        <v>98.101430171352234</v>
      </c>
      <c r="DB135" s="199">
        <f t="shared" si="350"/>
        <v>96.177872717011994</v>
      </c>
      <c r="DC135" s="211">
        <f>(BI135+$DC$2)-BI135/1.3</f>
        <v>0</v>
      </c>
      <c r="DD135" s="213">
        <f t="shared" si="351"/>
        <v>0</v>
      </c>
      <c r="DE135" s="53" t="s">
        <v>498</v>
      </c>
      <c r="DF135" s="53" t="s">
        <v>513</v>
      </c>
      <c r="DG135" s="196">
        <f>DH135+各项系数!$M$9*$NQ135</f>
        <v>95.296776375818126</v>
      </c>
      <c r="DH135" s="196">
        <f>DI135*(1+$EA135+(VLOOKUP($AM135,$A$12:$B$323,2,0))+各项系数!$J$6+各项系数!$M$5)*(1+$E$2)+各项系数!$M$9*$NK135</f>
        <v>94.54612290748284</v>
      </c>
      <c r="DI135" s="197">
        <f>DJ135+各项系数!$L$9*$NQ135</f>
        <v>95.917041179587159</v>
      </c>
      <c r="DJ135" s="197">
        <f>DK135*(1+$EB135+各项系数!$J$5+各项系数!$L$5)</f>
        <v>95.166387711251872</v>
      </c>
      <c r="DK135" s="197">
        <f t="shared" si="352"/>
        <v>92.394551175972694</v>
      </c>
      <c r="DL135" s="196">
        <f>DM135+各项系数!$M$9*$NQ135</f>
        <v>96.678508547739028</v>
      </c>
      <c r="DM135" s="196">
        <f>DN135*(1+$EA135+(VLOOKUP($AM135,$A$12:$B$323,2,0))+各项系数!$J$6+各项系数!$M$5)*(1+$E$2)+各项系数!$M$9*$NK135</f>
        <v>95.927855079403741</v>
      </c>
      <c r="DN135" s="197">
        <f>DO135+各项系数!$L$9*$NQ135</f>
        <v>97.326971967261542</v>
      </c>
      <c r="DO135" s="197">
        <f>DP135*(1+$EB135+各项系数!$J$5+各项系数!$L$5)</f>
        <v>96.576318498926256</v>
      </c>
      <c r="DP135" s="197">
        <f t="shared" si="353"/>
        <v>93.763416018374997</v>
      </c>
      <c r="DQ135" s="196">
        <f>DR135+各项系数!$M$9*$NV135</f>
        <v>97.199413474044078</v>
      </c>
      <c r="DR135" s="196">
        <f t="shared" si="354"/>
        <v>96.438133194290472</v>
      </c>
      <c r="DS135" s="197">
        <f>DT135+各项系数!$L$9*$NV135</f>
        <v>98.406258361520898</v>
      </c>
      <c r="DT135" s="197">
        <f>DU135*(1+$EB135+各项系数!$J$5+各项系数!$L$5)</f>
        <v>97.644978081767292</v>
      </c>
      <c r="DU135" s="199">
        <f t="shared" si="355"/>
        <v>94.800949593948829</v>
      </c>
      <c r="DV135" s="196">
        <f>DW135+各项系数!$M$9*$NV135</f>
        <v>97.179129597918688</v>
      </c>
      <c r="DW135" s="196">
        <f t="shared" si="356"/>
        <v>96.417849318165082</v>
      </c>
      <c r="DX135" s="197">
        <f>DY135+各项系数!$L$9*$NV135</f>
        <v>98.385560528739887</v>
      </c>
      <c r="DY135" s="197">
        <f>DZ135*(1+$EB135+各项系数!$J$5+各项系数!$L$5)</f>
        <v>97.624280248986281</v>
      </c>
      <c r="DZ135" s="199">
        <f t="shared" si="357"/>
        <v>94.780854610666296</v>
      </c>
      <c r="EA135" s="211">
        <f>(BI135+$EA$2)-BI135/1.3</f>
        <v>0</v>
      </c>
      <c r="EB135" s="213">
        <f t="shared" si="358"/>
        <v>0.01</v>
      </c>
      <c r="EC135" s="235" t="str">
        <f t="shared" si="408"/>
        <v>4+1</v>
      </c>
      <c r="ED135" s="235" t="str">
        <f t="shared" si="565"/>
        <v>4*35</v>
      </c>
      <c r="EE135" s="189">
        <f t="shared" si="495"/>
        <v>35</v>
      </c>
      <c r="EF135" s="189" t="str">
        <f>LOOKUP(EH135,{1,7,10,14,19,24,30,37,48,61},{1,"1+6","2+8","4+10","1+6+12","2+8+14","4+10+16","1+6+12+18","3+9+15+21","1+6+12+18+24"})</f>
        <v>1+6</v>
      </c>
      <c r="EG135" s="188">
        <f t="shared" si="359"/>
        <v>4</v>
      </c>
      <c r="EH135" s="197">
        <f>VLOOKUP(EE135,各项系数!$B$87:$C$124,2,0)</f>
        <v>7</v>
      </c>
      <c r="EI135" s="188">
        <f>IF(EH135=0,0,VLOOKUP(EH135,各项系数!$D$142:$E$195,2,0))*1</f>
        <v>3</v>
      </c>
      <c r="EJ135" s="238">
        <f t="shared" si="409"/>
        <v>245.05464536042999</v>
      </c>
      <c r="EK135" s="189" t="str">
        <f t="shared" si="566"/>
        <v>1*16</v>
      </c>
      <c r="EL135" s="189" t="str">
        <f t="shared" si="360"/>
        <v>16</v>
      </c>
      <c r="EM135" s="189">
        <f t="shared" si="567"/>
        <v>16</v>
      </c>
      <c r="EN135" s="189" t="str">
        <f>IF(EP135=0,0,LOOKUP(EP135,{1,7,10,14,19,24,30,37,48,61},{1,"1+6","2+8","4+10","1+6+12","2+8+14","4+10+16","1+6+12+18","3+9+15+21","1+6+12+18+24"}))</f>
        <v>1+6</v>
      </c>
      <c r="EO135" s="189" t="str">
        <f t="shared" si="568"/>
        <v>1</v>
      </c>
      <c r="EP135" s="189">
        <f>IF(EM135=0,0,IF(EM135&lt;10,1,IF(AND(EM135&gt;=10,EM135&lt;=35),7,LOOKUP(EM135,{50,70,95,120,150,185,240,300},{10,14,19,24,30,37,48,61})*1)))</f>
        <v>7</v>
      </c>
      <c r="EQ135" s="189">
        <f>IF(EP135=0,0,VLOOKUP(EP135,各项系数!$D$142:$E$195,2,0))*1</f>
        <v>3</v>
      </c>
      <c r="ER135" s="189">
        <f t="shared" si="577"/>
        <v>165.41681820668899</v>
      </c>
      <c r="ES135" s="235">
        <f t="shared" si="570"/>
        <v>5</v>
      </c>
      <c r="ET135" s="189">
        <f>VLOOKUP(ES135,各项系数!$D$142:$E$195,2,0)*1</f>
        <v>2.7</v>
      </c>
      <c r="EU135" s="243">
        <f>((各项系数!$F$76/4*$EJ135^2*$EG135*$EH135*1*10^-7)*(1-$H135)*AA135)*(VLOOKUP($EY$9,各项系数!$D$4:$F$143,3,0))*各项系数!$J$4</f>
        <v>1.1809997052173564</v>
      </c>
      <c r="EV135" s="244">
        <f>EU135*(VLOOKUP($EY$9,各项系数!$D$4:$F$143,2,0))</f>
        <v>77.355480691736844</v>
      </c>
      <c r="EW135" s="252">
        <f>(IF($EO135=0,0,(各项系数!$F$76/4*$ER135^2*$EO135*$EP135*1*10^-7))*(1-$K135)*$AF135)*(VLOOKUP($EY$9,各项系数!$D$4:$F$143,3,0))*各项系数!$J$4</f>
        <v>0.13453127076823812</v>
      </c>
      <c r="EX135" s="253">
        <f>EW135*(VLOOKUP($EY$9,各项系数!$D$4:$F$143,2,0))</f>
        <v>8.8117982353195963</v>
      </c>
      <c r="EY135" s="189">
        <f>((各项系数!$F$76/4*$EJ135^2*$EG135*$EH135*1*10^-7)*(1-$H135)*AA135+IF($EO135=0,0,(各项系数!$F$76/4*$ER135^2*$EO135*$EP135*1*10^-7))*(1-$K135)*$AF135)*(VLOOKUP($EY$9,各项系数!$D$4:$F$143,3,0))*各项系数!$J$4</f>
        <v>1.3155309759855947</v>
      </c>
      <c r="EZ135" s="102">
        <v>1</v>
      </c>
      <c r="FA135" s="189">
        <f t="shared" si="515"/>
        <v>1.3155309759855947</v>
      </c>
      <c r="FB135" s="254">
        <f>FA135*(VLOOKUP($EY$9,各项系数!$D$4:$F$143,2,0))</f>
        <v>86.167278927056444</v>
      </c>
      <c r="FC135" s="255"/>
      <c r="FD135" s="235">
        <f>各项系数!$F$76/4*($MN135^2-MK135^2)*10^-2*(VLOOKUP(L135,各项系数!$D$1:$F$143,3,0))*10^-3*10^2*$EG135*各项系数!$J$4</f>
        <v>0.10214294553232026</v>
      </c>
      <c r="FE135" s="262">
        <f>FD135*VLOOKUP(L135,各项系数!$D$1:$F$143,2,0)</f>
        <v>1.0418580444296666</v>
      </c>
      <c r="FF135" s="188">
        <f>各项系数!$F$76/4*($MO135^2-ML135^2)*10^-2*(VLOOKUP(L135,各项系数!$D$1:$F$143,3,0))*10^-3*10^2*$EO135*各项系数!$J$4</f>
        <v>1.3629258930828439E-2</v>
      </c>
      <c r="FG135" s="262">
        <f>FF135*VLOOKUP(L135,各项系数!$D$1:$F$143,2,0)</f>
        <v>0.13901844109445005</v>
      </c>
      <c r="FH135" s="235">
        <f t="shared" si="410"/>
        <v>0.11577220446314869</v>
      </c>
      <c r="FI135" s="102">
        <v>1</v>
      </c>
      <c r="FJ135" s="189">
        <f t="shared" si="516"/>
        <v>0.11577220446314869</v>
      </c>
      <c r="FK135" s="262">
        <f>FJ135*VLOOKUP(L135,各项系数!$D$1:$F$143,2,0)</f>
        <v>1.1808764855241165</v>
      </c>
      <c r="FL135" s="235"/>
      <c r="FM135" s="102"/>
      <c r="FN135" s="189"/>
      <c r="FO135" s="262"/>
      <c r="FP135" s="282">
        <f t="shared" si="517"/>
        <v>0.11577220446314869</v>
      </c>
      <c r="FQ135" s="282">
        <f t="shared" si="518"/>
        <v>1.1808764855241165</v>
      </c>
      <c r="FR135" s="283">
        <f>各项系数!$F$76/4*($MQ135^2-$MN135^2*$EG135-$MO135^2*$EO135)*10^-2</f>
        <v>1.2794242240320528</v>
      </c>
      <c r="FS135" s="284">
        <f t="shared" si="411"/>
        <v>1</v>
      </c>
      <c r="FT135" s="285">
        <f t="shared" si="361"/>
        <v>1.2794242240320528</v>
      </c>
      <c r="FU135" s="302">
        <f>$FT135*(VLOOKUP($FT$9,各项系数!$D$1:$F$143,3,0))*10^-3*10^2*各项系数!$J$55</f>
        <v>0.15276325234942711</v>
      </c>
      <c r="FV135" s="303">
        <v>1</v>
      </c>
      <c r="FW135" s="304">
        <f t="shared" si="519"/>
        <v>0.15276325234942711</v>
      </c>
      <c r="FX135" s="285">
        <f>FW135*(VLOOKUP($FT$9,各项系数!$D$1:$F$143,2,0))</f>
        <v>0.45828975704828134</v>
      </c>
      <c r="FY135" s="302">
        <f>IF($BK135&lt;&gt;$FY$9,0,各项系数!$F$76/4*($MS135^2-$MQ135^2)*10^-2*(VLOOKUP($FY$9,各项系数!$D$1:$F$143,3,0))*10^-3*10^2)*各项系数!$J$4</f>
        <v>0</v>
      </c>
      <c r="FZ135" s="303">
        <v>1</v>
      </c>
      <c r="GA135" s="304">
        <f t="shared" si="520"/>
        <v>0</v>
      </c>
      <c r="GB135" s="285">
        <f>GA135*(VLOOKUP($FY$9,各项系数!$D$1:$F$143,2,0))</f>
        <v>0</v>
      </c>
      <c r="GC135" s="302">
        <f>IF($BK135&lt;&gt;$GC$9,0,各项系数!$F$76/4*($MS135^2-$MQ135^2)*10^-2*(VLOOKUP($GC$9,各项系数!$D$1:$F$143,3,0))*10^-3*10^2)*各项系数!$J$4</f>
        <v>6.342849800057419E-3</v>
      </c>
      <c r="GD135" s="303">
        <v>1</v>
      </c>
      <c r="GE135" s="304">
        <f t="shared" si="521"/>
        <v>6.342849800057419E-3</v>
      </c>
      <c r="GF135" s="285">
        <f>GE135*(VLOOKUP($GC$9,各项系数!$D$1:$F$143,2,0))</f>
        <v>8.1822762420740713E-2</v>
      </c>
      <c r="GG135" s="302">
        <f>IF($BK135&lt;&gt;$GG$9,0,各项系数!$F$76/4*($MS135^2-$MQ135^2)*10^-2*(VLOOKUP($GG$9,各项系数!$D$1:$F$143,3,0))*10^-3*10^2)*各项系数!$J$4</f>
        <v>0</v>
      </c>
      <c r="GH135" s="303">
        <v>1</v>
      </c>
      <c r="GI135" s="304">
        <f t="shared" si="522"/>
        <v>0</v>
      </c>
      <c r="GJ135" s="285">
        <f>GI135*(VLOOKUP($GG$9,各项系数!$D$1:$F$143,2,0))</f>
        <v>0</v>
      </c>
      <c r="GK135" s="302">
        <f>IF($BK135&lt;&gt;$GK$9,0,各项系数!$F$76/4*($MS135^2-$MQ135^2)*10^-2*(VLOOKUP($GK$9,各项系数!$D$1:$F$143,3,0))*10^-3*10^2)*各项系数!$J$4</f>
        <v>0</v>
      </c>
      <c r="GL135" s="303">
        <v>1</v>
      </c>
      <c r="GM135" s="304">
        <f t="shared" si="523"/>
        <v>0</v>
      </c>
      <c r="GN135" s="285">
        <f>GM135*(VLOOKUP($GK$9,各项系数!$D$1:$F$143,2,0))</f>
        <v>0</v>
      </c>
      <c r="GO135" s="304">
        <f t="shared" si="524"/>
        <v>6.342849800057419E-3</v>
      </c>
      <c r="GP135" s="304">
        <f t="shared" si="525"/>
        <v>8.1822762420740713E-2</v>
      </c>
      <c r="GQ135" s="315">
        <f>各项系数!$F$76/4*($MU135^2-$MS135^2)*10^-2*(VLOOKUP($S135,各项系数!$D$1:$F$143,3,0))*10^-3*10^2*各项系数!$J$4</f>
        <v>0.17364796608804253</v>
      </c>
      <c r="GR135" s="303">
        <v>1</v>
      </c>
      <c r="GS135" s="304">
        <f t="shared" si="526"/>
        <v>0.17364796608804253</v>
      </c>
      <c r="GT135" s="304">
        <f t="shared" si="457"/>
        <v>0</v>
      </c>
      <c r="GU135" s="304">
        <f>ROUND($GS135*(VLOOKUP($S135,各项系数!$D$1:$F$143,2,0))+$E$3*GS135,GT135)</f>
        <v>1</v>
      </c>
      <c r="GV135" s="315">
        <f>各项系数!$F$76/4*($MT135^2-$MS135^2)*10^-2*(VLOOKUP($GV$9,各项系数!$D$1:$F$143,3,0))*10^-3*10^2*各项系数!$J$4*PI()/4*R135</f>
        <v>3.2768721519741584E-2</v>
      </c>
      <c r="GW135" s="303">
        <v>1</v>
      </c>
      <c r="GX135" s="304">
        <f t="shared" si="527"/>
        <v>3.2768721519741584E-2</v>
      </c>
      <c r="GY135" s="304">
        <f>$GX135*(VLOOKUP($GV$9,各项系数!$D$1:$F$143,2,0))</f>
        <v>2.2118887025825571</v>
      </c>
      <c r="GZ135" s="315">
        <f>各项系数!$F$76/4*($MV135^2-$MS135^2)*10^-2*(VLOOKUP($GZ$9,各项系数!$D$1:$F$143,3,0))*10^-3*10^2*各项系数!$J$4</f>
        <v>0.21770053082003535</v>
      </c>
      <c r="HA135" s="303">
        <v>1</v>
      </c>
      <c r="HB135" s="304">
        <f t="shared" si="412"/>
        <v>0.21770053082003535</v>
      </c>
      <c r="HC135" s="304">
        <f>HB135*(VLOOKUP($GZ$9,各项系数!$D$1:$F$143,2,0))</f>
        <v>3.7009090239406008</v>
      </c>
      <c r="HD135" s="315">
        <f>各项系数!$F$76/4*($MW135^2-$MT135^2)*10^-2*(VLOOKUP($HD$9,各项系数!$D$1:$F$143,3,0))*10^-3*10^2*各项系数!$J$4</f>
        <v>0.21907842079152917</v>
      </c>
      <c r="HE135" s="303">
        <v>1</v>
      </c>
      <c r="HF135" s="304">
        <f t="shared" si="413"/>
        <v>0.21907842079152917</v>
      </c>
      <c r="HG135" s="304">
        <f>HF135*(VLOOKUP($HD$9,各项系数!$D$1:$F$143,2,0))</f>
        <v>3.724333153455996</v>
      </c>
      <c r="HH135" s="315">
        <f>各项系数!$F$76/4*($MV135^2-$MS135^2)*10^-2*(VLOOKUP($HH$9,各项系数!$D$1:$F$143,3,0))*10^-3*10^2*各项系数!$J$4</f>
        <v>0.21770053082003535</v>
      </c>
      <c r="HI135" s="322">
        <v>1</v>
      </c>
      <c r="HJ135" s="304">
        <f t="shared" si="414"/>
        <v>0.21770053082003535</v>
      </c>
      <c r="HK135" s="304">
        <f>HJ135*(VLOOKUP($HH$9,各项系数!$D$1:$F$143,2,0))</f>
        <v>3.7009090239406008</v>
      </c>
      <c r="HL135" s="315">
        <f>各项系数!$F$76/4*($MW135^2-$MT135^2)*10^-2*(VLOOKUP($HL$9,各项系数!$D$1:$F$143,3,0))*10^-3*10^2*各项系数!$J$4</f>
        <v>0.21907842079152917</v>
      </c>
      <c r="HM135" s="322">
        <v>1</v>
      </c>
      <c r="HN135" s="304">
        <f t="shared" si="362"/>
        <v>0.21907842079152917</v>
      </c>
      <c r="HO135" s="304">
        <f>HN135*(VLOOKUP($HL$9,各项系数!$D$1:$F$143,2,0))</f>
        <v>3.724333153455996</v>
      </c>
      <c r="HP135" s="315">
        <f>各项系数!$F$76/4*($MV135^2-$MS135^2)*10^-2*(VLOOKUP(AN135,各项系数!$D$1:$F$143,3,0))*10^-3*10^2*各项系数!$J$4</f>
        <v>0.22070329676238068</v>
      </c>
      <c r="HQ135" s="303">
        <v>1</v>
      </c>
      <c r="HR135" s="304">
        <f t="shared" si="528"/>
        <v>0.22070329676238068</v>
      </c>
      <c r="HS135" s="304">
        <f>HR135*(VLOOKUP(AN135,各项系数!$D$1:$F$143,2,0))</f>
        <v>2.2070329676238067</v>
      </c>
      <c r="HT135" s="315">
        <f>各项系数!$F$76/4*($MW135^2-$MT135^2)*10^-2*(VLOOKUP(AN135,各项系数!$D$1:$F$143,3,0))*10^-3*10^2*各项系数!$J$4</f>
        <v>0.22210019211279164</v>
      </c>
      <c r="HU135" s="303">
        <v>1</v>
      </c>
      <c r="HV135" s="304">
        <f t="shared" si="529"/>
        <v>0.22210019211279164</v>
      </c>
      <c r="HW135" s="304">
        <f>HV135*(VLOOKUP(AN135,各项系数!$D$1:$F$143,2,0))</f>
        <v>2.2210019211279164</v>
      </c>
      <c r="HX135" s="315">
        <f>各项系数!$F$76/4*($MV135^2-$MS135^2)*10^-2*(VLOOKUP($HX$9,各项系数!$D$1:$F$143,3,0))*10^-3*10^2*各项系数!$J$4</f>
        <v>0.22070329676238068</v>
      </c>
      <c r="HY135" s="322">
        <v>1</v>
      </c>
      <c r="HZ135" s="304">
        <f t="shared" si="530"/>
        <v>0.22070329676238068</v>
      </c>
      <c r="IA135" s="304">
        <f>HZ135*(VLOOKUP($HX$9,各项系数!$D$1:$F$143,2,0))</f>
        <v>2.4277362643861875</v>
      </c>
      <c r="IB135" s="315">
        <f>各项系数!$F$76/4*($MW135^2-$MT135^2)*10^-2*(VLOOKUP($IB$9,各项系数!$D$1:$F$143,3,0))*10^-3*10^2*各项系数!$J$4</f>
        <v>0.22210019211279164</v>
      </c>
      <c r="IC135" s="322">
        <v>1</v>
      </c>
      <c r="ID135" s="304">
        <f t="shared" si="531"/>
        <v>0.22210019211279164</v>
      </c>
      <c r="IE135" s="304">
        <f>ID135*(VLOOKUP($IB$9,各项系数!$D$1:$F$143,2,0))</f>
        <v>2.443102113240708</v>
      </c>
      <c r="IF135" s="328"/>
      <c r="IG135" s="315">
        <f t="shared" si="415"/>
        <v>5.0455148217617367E-2</v>
      </c>
      <c r="IH135" s="303">
        <v>1</v>
      </c>
      <c r="II135" s="304">
        <f t="shared" si="532"/>
        <v>5.0455148217617367E-2</v>
      </c>
      <c r="IJ135" s="304">
        <f>II135*(VLOOKUP($IG$8,各项系数!$D$1:$F$143,2,0))</f>
        <v>1.2613787054404342</v>
      </c>
      <c r="IK135" s="315">
        <f>(各项系数!$F$76/4*($MX135^2-$MK135^2)*$EG135)*10^-2*(VLOOKUP($IG$8,各项系数!$D$1:$F$143,3,0))*10^-3*10^2*各项系数!$J$4</f>
        <v>4.3052656140052582E-2</v>
      </c>
      <c r="IL135" s="303">
        <f>IK135*(VLOOKUP($IG$8,各项系数!$D$1:$F$143,2,0))</f>
        <v>1.0763164035013146</v>
      </c>
      <c r="IM135" s="304">
        <f>(各项系数!$F$76/4*(($MM135+3*$X135)^2-MM135^2)*$EO135)*10^-2*(VLOOKUP($IG$8,各项系数!$D$1:$F$143,3,0))*10^-3*10^2*各项系数!$J$4</f>
        <v>7.4024920775647872E-3</v>
      </c>
      <c r="IN135" s="303">
        <f>IM135*(VLOOKUP($IG$8,各项系数!$D$1:$F$143,2,0))</f>
        <v>0.18506230193911968</v>
      </c>
      <c r="IO135" s="315">
        <f>各项系数!$F$76/4*($MZ135^2-$MX135^2)*10^-2*(VLOOKUP(L135,各项系数!$D$1:$F$143,3,0))*10^-3*10^2*$ES135*各项系数!$J$4</f>
        <v>0.1369625594456563</v>
      </c>
      <c r="IP135" s="303">
        <v>1</v>
      </c>
      <c r="IQ135" s="304">
        <f t="shared" si="533"/>
        <v>0.1369625594456563</v>
      </c>
      <c r="IR135" s="285">
        <f>IQ135*(VLOOKUP(L135,各项系数!$D$1:$F$143,2,0))</f>
        <v>1.3970181063456941</v>
      </c>
      <c r="IS135" s="315">
        <f>IF($L135&lt;&gt;$IS$9,0,各项系数!$F$76/4*($MZ135^2-$MX135^2)*10^-2*各项系数!$F$12*10^-3*10^2)*$ES135*各项系数!$J$4</f>
        <v>0</v>
      </c>
      <c r="IT135" s="303">
        <v>1</v>
      </c>
      <c r="IU135" s="304">
        <f t="shared" si="534"/>
        <v>0</v>
      </c>
      <c r="IV135" s="285">
        <f>IU135*各项系数!$E$12</f>
        <v>0</v>
      </c>
      <c r="IW135" s="302">
        <f t="shared" si="535"/>
        <v>0.1369625594456563</v>
      </c>
      <c r="IX135" s="302">
        <f t="shared" si="536"/>
        <v>1.3970181063456941</v>
      </c>
      <c r="IY135" s="339">
        <f>各项系数!$F$76/4*($NB135^2-$MZ135^2*$EG135-$NA135^2*$EO135)*10^-2</f>
        <v>1.5109636205057411</v>
      </c>
      <c r="IZ135" s="284">
        <f t="shared" si="487"/>
        <v>1</v>
      </c>
      <c r="JA135" s="285">
        <f t="shared" si="363"/>
        <v>1.5109636205057411</v>
      </c>
      <c r="JB135" s="282">
        <f>IF($DE135&lt;&gt;$JB$9,0,$JA135*各项系数!$F$32*10^-3*10^2)*各项系数!$J$4</f>
        <v>0</v>
      </c>
      <c r="JC135" s="102">
        <v>1</v>
      </c>
      <c r="JD135" s="189">
        <f t="shared" si="537"/>
        <v>0</v>
      </c>
      <c r="JE135" s="262">
        <f>JD135*各项系数!$E$32</f>
        <v>0</v>
      </c>
      <c r="JF135" s="282">
        <f>IF($DE135&lt;&gt;$JF$9,0,$JA135*VLOOKUP($JF$9,各项系数!$D$4:$F$540,2,0)*10^-3*10^2)*各项系数!$J$4</f>
        <v>0.7517044012016062</v>
      </c>
      <c r="JG135" s="102">
        <v>1</v>
      </c>
      <c r="JH135" s="189">
        <f t="shared" si="364"/>
        <v>0.7517044012016062</v>
      </c>
      <c r="JI135" s="262">
        <f>JH135*VLOOKUP($JF$9,各项系数!$D$4:$F$540,3,0)</f>
        <v>0.90204528144192742</v>
      </c>
      <c r="JJ135" s="282">
        <f t="shared" si="538"/>
        <v>0.7517044012016062</v>
      </c>
      <c r="JK135" s="189">
        <f t="shared" si="539"/>
        <v>0.90204528144192742</v>
      </c>
      <c r="JL135" s="282">
        <f>IF($DF135&lt;&gt;$JL$9,0,各项系数!$F$76/4*($NE135^2-$NC135^2)*10^-2*各项系数!$F$39*10^-3*10^2)*各项系数!$J$4</f>
        <v>2.8312218077280902E-3</v>
      </c>
      <c r="JM135" s="102">
        <v>1</v>
      </c>
      <c r="JN135" s="189">
        <f t="shared" si="540"/>
        <v>2.8312218077280902E-3</v>
      </c>
      <c r="JO135" s="262">
        <f>JN135*各项系数!$E$39</f>
        <v>5.6624436154561808E-2</v>
      </c>
      <c r="JP135" s="282">
        <f>IF($DF135&lt;&gt;$JP$9,0,各项系数!$F$76/4*($NE135^2-$NC135^2)*10^-2*各项系数!$F$36*10^-3*10^2)*各项系数!$J$4</f>
        <v>0</v>
      </c>
      <c r="JQ135" s="102">
        <v>1</v>
      </c>
      <c r="JR135" s="189">
        <f t="shared" si="541"/>
        <v>0</v>
      </c>
      <c r="JS135" s="262">
        <f>JR135*各项系数!$E$36</f>
        <v>0</v>
      </c>
      <c r="JT135" s="282">
        <f>IF($DF135&lt;&gt;$JT$9,0,各项系数!$F$76/4*($NE135^2-$NC135^2)*10^-2*各项系数!$F$40*10^-3*10^2)*各项系数!$J$4</f>
        <v>0</v>
      </c>
      <c r="JU135" s="102">
        <v>1</v>
      </c>
      <c r="JV135" s="189">
        <f t="shared" si="542"/>
        <v>0</v>
      </c>
      <c r="JW135" s="262">
        <f>JV135*各项系数!$E$40</f>
        <v>0</v>
      </c>
      <c r="JX135" s="282">
        <f>IF($DF135&lt;&gt;$JX$9,0,各项系数!$F$76/4*($NE135^2-$NC135^2)*10^-2*各项系数!$F$38*10^-3*10^2)*各项系数!$J$4</f>
        <v>0</v>
      </c>
      <c r="JY135" s="102">
        <v>1</v>
      </c>
      <c r="JZ135" s="189">
        <f t="shared" si="543"/>
        <v>0</v>
      </c>
      <c r="KA135" s="262">
        <f>JZ135*各项系数!$E$38</f>
        <v>0</v>
      </c>
      <c r="KB135" s="282">
        <f>IF($DF135&lt;&gt;$KB$9,0,各项系数!$F$76/4*($NE135^2-$NC135^2)*10^-2*各项系数!$F$41*10^-3*10^2)*各项系数!$J$4</f>
        <v>0</v>
      </c>
      <c r="KC135" s="102">
        <v>1</v>
      </c>
      <c r="KD135" s="189">
        <f t="shared" si="544"/>
        <v>0</v>
      </c>
      <c r="KE135" s="262">
        <f>KD135*各项系数!$E$41</f>
        <v>0</v>
      </c>
      <c r="KF135" s="189">
        <f t="shared" si="545"/>
        <v>2.8312218077280902E-3</v>
      </c>
      <c r="KG135" s="189">
        <f t="shared" si="546"/>
        <v>5.6624436154561808E-2</v>
      </c>
      <c r="KH135" s="235">
        <f>各项系数!$F$76/4*($NG135^2-$NE135^2)*10^-2*各项系数!$F$44*10^-3*10^2*各项系数!$J$4*0.75*$U135</f>
        <v>0.28137192676002554</v>
      </c>
      <c r="KI135" s="102">
        <v>1</v>
      </c>
      <c r="KJ135" s="189">
        <f t="shared" si="547"/>
        <v>0.28137192676002554</v>
      </c>
      <c r="KK135" s="189">
        <f>ROUND(KJ135*各项系数!$E$43,GT135)</f>
        <v>2</v>
      </c>
      <c r="KL135" s="235">
        <f>各项系数!$F$76/4*($NF135^2-$NE135^2)*10^-2*各项系数!$F$46*10^-3*10^2*各项系数!$J$4*PI()/4*R135</f>
        <v>3.5422704727727558E-2</v>
      </c>
      <c r="KM135" s="102">
        <v>1</v>
      </c>
      <c r="KN135" s="189">
        <f t="shared" si="548"/>
        <v>3.5422704727727558E-2</v>
      </c>
      <c r="KO135" s="189">
        <f>KN135*各项系数!$E$46</f>
        <v>2.3910325691216103</v>
      </c>
      <c r="KP135" s="235">
        <f>各项系数!$F$76/4*($NH135^2-$NE135^2)*10^-2*(VLOOKUP($KP$9,各项系数!$D$1:$F$143,3,0))*10^-3*10^2*各项系数!$J$4</f>
        <v>0.23406297423152508</v>
      </c>
      <c r="KQ135" s="102">
        <v>1</v>
      </c>
      <c r="KR135" s="189">
        <f t="shared" si="416"/>
        <v>0.23406297423152508</v>
      </c>
      <c r="KS135" s="189">
        <f>KR135*(VLOOKUP($KP$9,各项系数!$D$1:$F$143,2,0))</f>
        <v>3.9790705619359263</v>
      </c>
      <c r="KT135" s="235">
        <f>各项系数!$F$76/4*($NI135^2-$NF135^2)*10^-2*(VLOOKUP($KT$9,各项系数!$D$1:$F$143,3,0))*10^-3*10^2*各项系数!$J$4</f>
        <v>0.2354408642030188</v>
      </c>
      <c r="KU135" s="102">
        <v>1</v>
      </c>
      <c r="KV135" s="189">
        <f t="shared" si="417"/>
        <v>0.2354408642030188</v>
      </c>
      <c r="KW135" s="189">
        <f>KV135*(VLOOKUP($KT$9,各项系数!$D$1:$F$143,2,0))</f>
        <v>4.0024946914513198</v>
      </c>
      <c r="KX135" s="189">
        <f>各项系数!$F$76/4*($NH135^2-$NE135^2)*10^-2*(VLOOKUP($KX$9,各项系数!$D$1:$F$143,3,0))*10^-3*10^2*各项系数!$J$4</f>
        <v>0.23406297423152508</v>
      </c>
      <c r="KY135" s="353">
        <v>1</v>
      </c>
      <c r="KZ135" s="189">
        <f t="shared" si="418"/>
        <v>0.23406297423152508</v>
      </c>
      <c r="LA135" s="189">
        <f>KZ135*(VLOOKUP($KX$9,各项系数!$D$1:$F$143,2,0))</f>
        <v>3.9790705619359263</v>
      </c>
      <c r="LB135" s="189">
        <f>各项系数!$F$76/4*($NI135^2-$NF135^2)*10^-2*(VLOOKUP($LB$9,各项系数!$D$1:$F$143,3,0))*10^-3*10^2*各项系数!$J$4</f>
        <v>0.2354408642030188</v>
      </c>
      <c r="LC135" s="353">
        <v>1</v>
      </c>
      <c r="LD135" s="189">
        <f t="shared" si="419"/>
        <v>0.2354408642030188</v>
      </c>
      <c r="LE135" s="189">
        <f>LD135*(VLOOKUP($LB$9,各项系数!$D$1:$F$143,2,0))</f>
        <v>4.0024946914513198</v>
      </c>
      <c r="LF135" s="235">
        <f>各项系数!$F$76/4*($NH135^2-$NE135^2)*10^-2*(VLOOKUP(AN135,各项系数!$D$1:$F$143,3,0))*10^-3*10^2*各项系数!$J$4</f>
        <v>0.23729142904851161</v>
      </c>
      <c r="LG135" s="102">
        <v>1</v>
      </c>
      <c r="LH135" s="189">
        <f t="shared" si="549"/>
        <v>0.23729142904851161</v>
      </c>
      <c r="LI135" s="189">
        <f>LH135*(VLOOKUP(AN135,各项系数!$D$1:$F$143,2,0))</f>
        <v>2.3729142904851162</v>
      </c>
      <c r="LJ135" s="235">
        <f>各项系数!$F$76/4*($NI135^2-$NF135^2)*10^-2*(VLOOKUP(AN135,各项系数!$D$1:$F$143,3,0))*10^-3*10^2*各项系数!$J$4</f>
        <v>0.23868832439892257</v>
      </c>
      <c r="LK135" s="102">
        <v>1</v>
      </c>
      <c r="LL135" s="189">
        <f t="shared" si="550"/>
        <v>0.23868832439892257</v>
      </c>
      <c r="LM135" s="189">
        <f>LL135*(VLOOKUP(AN135,各项系数!$D$1:$F$143,2,0))</f>
        <v>2.3868832439892258</v>
      </c>
      <c r="LN135" s="189">
        <f>各项系数!$F$76/4*($NH135^2-$NE135^2)*10^-2*(VLOOKUP($LN$9,各项系数!$D$1:$F$143,3,0))*10^-3*10^2*各项系数!$J$4</f>
        <v>0.23729142904851161</v>
      </c>
      <c r="LO135" s="353">
        <v>1</v>
      </c>
      <c r="LP135" s="189">
        <f t="shared" si="551"/>
        <v>0.23729142904851161</v>
      </c>
      <c r="LQ135" s="189">
        <f>LP135*(VLOOKUP($LN$9,各项系数!$D$1:$F$143,2,0))</f>
        <v>2.6102057195336279</v>
      </c>
      <c r="LR135" s="189">
        <f>各项系数!$F$76/4*($NI135^2-$NF135^2)*10^-2*(VLOOKUP($LR$9,各项系数!$D$1:$F$143,3,0))*10^-3*10^2*各项系数!$J$4</f>
        <v>0.23868832439892257</v>
      </c>
      <c r="LS135" s="353">
        <v>1</v>
      </c>
      <c r="LT135" s="189">
        <f t="shared" si="552"/>
        <v>0.23868832439892257</v>
      </c>
      <c r="LU135" s="189">
        <f>LT135*(VLOOKUP($LR$9,各项系数!$D$1:$F$143,2,0))</f>
        <v>2.6255715683881484</v>
      </c>
      <c r="LV135" s="227">
        <f t="shared" si="420"/>
        <v>169.79240507</v>
      </c>
      <c r="LW135" s="227">
        <f t="shared" si="421"/>
        <v>132.06075949999999</v>
      </c>
      <c r="LX135" s="227">
        <f t="shared" si="422"/>
        <v>12.967072965907141</v>
      </c>
      <c r="LY135" s="227">
        <f t="shared" si="423"/>
        <v>37.731645570000012</v>
      </c>
      <c r="LZ135" s="374">
        <f t="shared" si="365"/>
        <v>1</v>
      </c>
      <c r="MA135" s="375">
        <f t="shared" si="366"/>
        <v>169.79240507</v>
      </c>
      <c r="MB135" s="375">
        <f t="shared" si="424"/>
        <v>7.3516393500000001</v>
      </c>
      <c r="MC135" s="227">
        <f t="shared" si="425"/>
        <v>19.341569679999999</v>
      </c>
      <c r="MD135" s="227">
        <f t="shared" si="426"/>
        <v>15.04344305</v>
      </c>
      <c r="ME135" s="227">
        <f t="shared" si="427"/>
        <v>4.3765176316600565</v>
      </c>
      <c r="MF135" s="227">
        <f t="shared" si="428"/>
        <v>4.2981266299999987</v>
      </c>
      <c r="MG135" s="374">
        <f t="shared" si="429"/>
        <v>1</v>
      </c>
      <c r="MH135" s="375">
        <f t="shared" si="367"/>
        <v>19.341569679999999</v>
      </c>
      <c r="MI135" s="375">
        <f t="shared" si="430"/>
        <v>4.962504546479189</v>
      </c>
      <c r="MJ135" s="189">
        <f t="shared" si="368"/>
        <v>7.3516393500000001</v>
      </c>
      <c r="MK135" s="189">
        <f t="shared" si="431"/>
        <v>7.3516393500000001</v>
      </c>
      <c r="ML135" s="189">
        <f t="shared" si="553"/>
        <v>4.9625045462006696</v>
      </c>
      <c r="MM135" s="189">
        <f t="shared" si="369"/>
        <v>4.962504546479189</v>
      </c>
      <c r="MN135" s="189">
        <f t="shared" si="370"/>
        <v>9.15163935</v>
      </c>
      <c r="MO135" s="189">
        <f t="shared" si="432"/>
        <v>6.3625045464791885</v>
      </c>
      <c r="MP135" s="189">
        <f t="shared" si="433"/>
        <v>23.20329345</v>
      </c>
      <c r="MQ135" s="189">
        <f t="shared" si="554"/>
        <v>23.20329345</v>
      </c>
      <c r="MR135" s="246">
        <f t="shared" si="434"/>
        <v>23.20329345</v>
      </c>
      <c r="MS135" s="380">
        <f t="shared" si="371"/>
        <v>23.379293449999999</v>
      </c>
      <c r="MT135" s="380">
        <f t="shared" si="372"/>
        <v>23.539293449999999</v>
      </c>
      <c r="MU135" s="380">
        <f t="shared" si="373"/>
        <v>23.97929345</v>
      </c>
      <c r="MV135" s="380">
        <f t="shared" si="374"/>
        <v>27.179293449999999</v>
      </c>
      <c r="MW135" s="380">
        <f t="shared" si="375"/>
        <v>27.33929345</v>
      </c>
      <c r="MX135" s="254">
        <f t="shared" si="376"/>
        <v>7.9516393500000007</v>
      </c>
      <c r="MY135" s="254">
        <f t="shared" si="377"/>
        <v>5.5625045464791896</v>
      </c>
      <c r="MZ135" s="189">
        <f t="shared" si="378"/>
        <v>9.7516393500000014</v>
      </c>
      <c r="NA135" s="189">
        <f t="shared" si="379"/>
        <v>7.3625045464791894</v>
      </c>
      <c r="NB135" s="189">
        <f t="shared" si="435"/>
        <v>25.039293449999999</v>
      </c>
      <c r="NC135" s="254">
        <f t="shared" si="555"/>
        <v>25.039293449999999</v>
      </c>
      <c r="ND135" s="246">
        <f t="shared" si="436"/>
        <v>25.039293449999999</v>
      </c>
      <c r="NE135" s="386">
        <f t="shared" si="437"/>
        <v>25.279293449999997</v>
      </c>
      <c r="NF135" s="380">
        <f t="shared" si="380"/>
        <v>25.439293449999997</v>
      </c>
      <c r="NG135" s="387">
        <f t="shared" si="381"/>
        <v>25.879293449999999</v>
      </c>
      <c r="NH135" s="254">
        <f t="shared" si="382"/>
        <v>29.079293449999998</v>
      </c>
      <c r="NI135" s="380">
        <f t="shared" si="383"/>
        <v>29.239293449999998</v>
      </c>
      <c r="NK135" s="388">
        <f t="shared" si="384"/>
        <v>1.8247418382914371</v>
      </c>
      <c r="NL135" s="388">
        <f t="shared" si="385"/>
        <v>90.23431934076784</v>
      </c>
      <c r="NM135" s="388">
        <f t="shared" si="386"/>
        <v>1.8247418382914371</v>
      </c>
      <c r="NN135" s="388">
        <f t="shared" si="387"/>
        <v>90.45502263753022</v>
      </c>
      <c r="NO135" s="388">
        <f t="shared" si="388"/>
        <v>2.5021782277842792</v>
      </c>
      <c r="NP135" s="388">
        <f t="shared" si="389"/>
        <v>92.342322048863295</v>
      </c>
      <c r="NQ135" s="388">
        <f t="shared" si="390"/>
        <v>2.5021782277842792</v>
      </c>
      <c r="NR135" s="388">
        <f t="shared" si="391"/>
        <v>92.57961347791182</v>
      </c>
      <c r="NS135" s="388">
        <f t="shared" si="392"/>
        <v>1.8575105598111787</v>
      </c>
      <c r="NT135" s="388">
        <f t="shared" si="393"/>
        <v>1.8575105598111787</v>
      </c>
      <c r="NU135" s="388">
        <f t="shared" si="394"/>
        <v>2.5376009325120066</v>
      </c>
      <c r="NV135" s="388">
        <f t="shared" si="395"/>
        <v>2.5376009325120066</v>
      </c>
      <c r="NW135">
        <f t="shared" si="396"/>
        <v>1.9983898043794797</v>
      </c>
      <c r="NX135">
        <f>各项系数!$M$9*NK135</f>
        <v>0.54742255148743113</v>
      </c>
      <c r="NY135">
        <f t="shared" si="397"/>
        <v>1.8575105598111787</v>
      </c>
    </row>
    <row r="136" spans="1:389" ht="15" hidden="1" customHeight="1">
      <c r="A136" s="69"/>
      <c r="B136" s="70"/>
      <c r="C136" s="71"/>
      <c r="D136" s="53" t="s">
        <v>397</v>
      </c>
      <c r="E136" s="61">
        <f t="shared" si="560"/>
        <v>33.451107289999996</v>
      </c>
      <c r="F136" s="68">
        <f>$F$24</f>
        <v>238.573455311777</v>
      </c>
      <c r="G136" s="58"/>
      <c r="H136" s="16"/>
      <c r="I136" s="145">
        <f>$F$22</f>
        <v>208.046961644752</v>
      </c>
      <c r="J136" s="62"/>
      <c r="K136" s="16"/>
      <c r="L136" s="97" t="s">
        <v>467</v>
      </c>
      <c r="M136" s="103">
        <f t="shared" si="339"/>
        <v>1</v>
      </c>
      <c r="N136" s="103">
        <f t="shared" si="501"/>
        <v>0.9</v>
      </c>
      <c r="O136" s="53">
        <f t="shared" si="572"/>
        <v>0.08</v>
      </c>
      <c r="P136" s="99">
        <v>0.1</v>
      </c>
      <c r="Q136" s="133">
        <f t="shared" si="578"/>
        <v>0.1</v>
      </c>
      <c r="R136" s="70">
        <v>0.8</v>
      </c>
      <c r="S136" s="142" t="str">
        <f>各项系数!$D$43</f>
        <v>钢带</v>
      </c>
      <c r="T136" s="102">
        <v>0.5</v>
      </c>
      <c r="U136" s="102">
        <v>2</v>
      </c>
      <c r="V136" s="140"/>
      <c r="W136" s="141">
        <v>2</v>
      </c>
      <c r="X136" s="135">
        <f t="shared" si="579"/>
        <v>0.2</v>
      </c>
      <c r="Y136" s="135"/>
      <c r="Z136" s="168"/>
      <c r="AA136" s="153">
        <f>$AA$24</f>
        <v>1.0109999999999999</v>
      </c>
      <c r="AB136" s="153">
        <f>PI()*EJ136*EJ136/4*EH136*(1-H136)*AA136*各项系数!$F$5*各项系数!$J$4*10^-7</f>
        <v>0.39976992605548828</v>
      </c>
      <c r="AC136" s="153">
        <f t="shared" si="573"/>
        <v>238.573455311777</v>
      </c>
      <c r="AD136" s="153">
        <f t="shared" si="341"/>
        <v>45.194467959085458</v>
      </c>
      <c r="AE136" s="153">
        <f>POWER(4*EU136/PI()/EG136/10^-7/EH136/(1-H136)/各项系数!$F$5/各项系数!$J$4,0.5)</f>
        <v>239.88202060340802</v>
      </c>
      <c r="AF136" s="69">
        <f>$AA$22</f>
        <v>1.0109999999999999</v>
      </c>
      <c r="AG136" s="69">
        <f>IF(EM136=0,0,PI()*ER136*ER136/4*EP136*(1-K136)*(1+AF136)*各项系数!$F$5*各项系数!$J$4*10^-7)</f>
        <v>0.42329933774174133</v>
      </c>
      <c r="AH136" s="69">
        <f t="shared" si="574"/>
        <v>208.046961644752</v>
      </c>
      <c r="AI136" s="69">
        <f t="shared" si="398"/>
        <v>24.058128060751155</v>
      </c>
      <c r="AJ136" s="69">
        <f>IF(OR(EP136="",EP136=0),0,POWER(4*EW136/PI()/EO136/10^-7/EP136/(1-K136)/各项系数!$F$5/各项系数!$J$4,0.5))</f>
        <v>209.18809041233357</v>
      </c>
      <c r="AK136" s="69">
        <f t="shared" si="342"/>
        <v>1.8118870788897306</v>
      </c>
      <c r="AL136" s="69">
        <f t="shared" si="575"/>
        <v>128.07770116474356</v>
      </c>
      <c r="AM136" s="188">
        <f t="shared" si="576"/>
        <v>50</v>
      </c>
      <c r="AN136" s="97" t="s">
        <v>486</v>
      </c>
      <c r="AO136" s="196">
        <f>AP136+各项系数!$M$9*$NK136</f>
        <v>125.56637369092505</v>
      </c>
      <c r="AP136" s="196">
        <f>AQ136*(1+$BI136+(VLOOKUP($AM136,$A$12:$B$323,2,0))+各项系数!$J$6+各项系数!$M$5)*(1+$E$2)</f>
        <v>124.80395536938717</v>
      </c>
      <c r="AQ136" s="197">
        <f>AR136+各项系数!$L$9*$NK136</f>
        <v>127.3509748667216</v>
      </c>
      <c r="AR136" s="197">
        <f>AS136*(1+$BJ136+各项系数!$J$5+各项系数!$L$5)</f>
        <v>126.58855654518372</v>
      </c>
      <c r="AS136" s="197">
        <f t="shared" si="399"/>
        <v>124.10642798547424</v>
      </c>
      <c r="AT136" s="196">
        <f>AU136+各项系数!$M$9*$NM136</f>
        <v>127.52201056510076</v>
      </c>
      <c r="AU136" s="196">
        <f>AV136*(1+$BI136+(VLOOKUP($AM136,$A$12:$B$323,2,0))+各项系数!$J$6+各项系数!$M$5)*(1+$E$2)</f>
        <v>126.75959224356288</v>
      </c>
      <c r="AV136" s="197">
        <f>AW136+各项系数!$L$9*$NM136</f>
        <v>129.34652269751314</v>
      </c>
      <c r="AW136" s="197">
        <f>AX136*(1+$BJ136+各项系数!$J$5+各项系数!$L$5)</f>
        <v>128.58410437597524</v>
      </c>
      <c r="AX136" s="197">
        <f t="shared" si="400"/>
        <v>126.06284742742672</v>
      </c>
      <c r="AY136" s="196">
        <f>AZ136+各项系数!$M$9*$NS136</f>
        <v>128.38883797281838</v>
      </c>
      <c r="AZ136" s="196">
        <f>BA136*(1+$BI136+(VLOOKUP($AM136,$A$12:$B$214,2,0))+各项系数!$J$6+各项系数!$M$5)*(1+$E$2)</f>
        <v>127.61404464135509</v>
      </c>
      <c r="BA136" s="197">
        <f>BB136+各项系数!$L$9*$NS136</f>
        <v>130.21841289934193</v>
      </c>
      <c r="BB136" s="197">
        <f>BC136*(1+$BJ136+各项系数!$J$5+各项系数!$L$5)</f>
        <v>129.44361956787864</v>
      </c>
      <c r="BC136" s="199">
        <f t="shared" si="401"/>
        <v>126.90550938027317</v>
      </c>
      <c r="BD136" s="196">
        <f>BE136+各项系数!$M$9*$NS136</f>
        <v>130.35442368272129</v>
      </c>
      <c r="BE136" s="409">
        <f>BF136*(1+$BI136+(VLOOKUP($AM136,$A$12:$B$214,2,0))+各项系数!$J$6+各项系数!$M$5)*(1+$E$2)</f>
        <v>129.579630351258</v>
      </c>
      <c r="BF136" s="197">
        <f>BG136+各项系数!$L$9*$NS136</f>
        <v>132.2241126033245</v>
      </c>
      <c r="BG136" s="197">
        <f>BH136*(1+$BJ136+各项系数!$J$5+各项系数!$L$5)</f>
        <v>131.44931927186121</v>
      </c>
      <c r="BH136" s="199">
        <f t="shared" si="402"/>
        <v>128.87188163907962</v>
      </c>
      <c r="BI136" s="211">
        <v>0</v>
      </c>
      <c r="BJ136" s="208"/>
      <c r="BK136" s="53" t="s">
        <v>514</v>
      </c>
      <c r="BL136" s="196">
        <f>BM136+各项系数!$M$9*$NM136</f>
        <v>127.07437250262183</v>
      </c>
      <c r="BM136" s="196">
        <f>BN136*(1+$CF136+(VLOOKUP($AM136,$A$12:$B$323,2,0))+各项系数!$J$6+各项系数!$M$5)*(1+$E$2)</f>
        <v>126.31195418108395</v>
      </c>
      <c r="BN136" s="197">
        <f>BO136+各项系数!$L$9*$NM136</f>
        <v>128.88974916437138</v>
      </c>
      <c r="BO136" s="197">
        <f>BP136*(1+$CG136+各项系数!$J$5+各项系数!$L$5)</f>
        <v>128.12733084283349</v>
      </c>
      <c r="BP136" s="197">
        <f t="shared" si="403"/>
        <v>124.3954668377024</v>
      </c>
      <c r="BQ136" s="196">
        <f>BR136+各项系数!$M$9*$NM136</f>
        <v>128.75742646988957</v>
      </c>
      <c r="BR136" s="196">
        <f>BS136*(1+$CF136+(VLOOKUP($AM136,$A$12:$B$323,2,0))+各项系数!$J$6+各项系数!$M$5)*(1+$E$2)</f>
        <v>127.99500814835167</v>
      </c>
      <c r="BS136" s="197">
        <f>BT136+各项系数!$L$9*$NM136</f>
        <v>130.60715117178742</v>
      </c>
      <c r="BT136" s="197">
        <f>BU136*(1+$CG136+各项系数!$J$5+各项系数!$L$5)</f>
        <v>129.84473285024953</v>
      </c>
      <c r="BU136" s="197">
        <f t="shared" si="404"/>
        <v>126.06284742742672</v>
      </c>
      <c r="BV136" s="196">
        <f>BW136+各项系数!$M$9*$NT136</f>
        <v>129.17455269051223</v>
      </c>
      <c r="BW136" s="196">
        <f>BX136*(1+$CF136+(VLOOKUP($AM136,$A$12:$B$214,2,0))+各项系数!$J$6+各项系数!$M$5)*(1+$E$2)</f>
        <v>128.39975935904894</v>
      </c>
      <c r="BX136" s="197">
        <f>BY136+各项系数!$L$9*$NT$12</f>
        <v>131.02016261127443</v>
      </c>
      <c r="BY136" s="197">
        <f>BZ136*(1+$CG136+各项系数!$J$5+各项系数!$L$5)</f>
        <v>131.01189920811944</v>
      </c>
      <c r="BZ136" s="199">
        <f t="shared" si="343"/>
        <v>127.19601864865966</v>
      </c>
      <c r="CA136" s="196">
        <f>CB136+各项系数!$M$9*$NT136</f>
        <v>130.86616879304214</v>
      </c>
      <c r="CB136" s="196">
        <f>CC136*(1+$CF136+(VLOOKUP($AM136,$A$12:$B$214,2,0))+各项系数!$J$6+各项系数!$M$5)*(1+$E$2)</f>
        <v>130.09137546157885</v>
      </c>
      <c r="CC136" s="197">
        <f>CD136+各项系数!$L$9*$NT$12</f>
        <v>132.746301491407</v>
      </c>
      <c r="CD136" s="197">
        <f>CE136*(1+$CG136+各项系数!$J$5+各项系数!$L$5)</f>
        <v>132.73803808825201</v>
      </c>
      <c r="CE136" s="199">
        <f t="shared" si="405"/>
        <v>128.87188163907962</v>
      </c>
      <c r="CF136" s="211">
        <f>(BI136+$CF$2)-BI136/1.3</f>
        <v>0</v>
      </c>
      <c r="CG136" s="213">
        <f t="shared" si="344"/>
        <v>0.01</v>
      </c>
      <c r="CH136" s="102"/>
      <c r="CI136" s="196">
        <f>CJ136+各项系数!$M$9*$NO136</f>
        <v>129.55692277442458</v>
      </c>
      <c r="CJ136" s="196">
        <f>CK136*(1+$DC136+(VLOOKUP($AM136,$A$12:$B$323,2,0))+各项系数!$J$6+各项系数!$M$5)*(1+$E$2)+各项系数!$M$9*$NK136</f>
        <v>128.4973335750629</v>
      </c>
      <c r="CK136" s="197">
        <f>CL136+各项系数!$L$9*$NO136</f>
        <v>130.34175025869899</v>
      </c>
      <c r="CL136" s="197">
        <f>CM136*(1+$DD136+各项系数!$J$5+各项系数!$L$5)</f>
        <v>129.28216105933731</v>
      </c>
      <c r="CM136" s="197">
        <f t="shared" si="345"/>
        <v>126.7472167248405</v>
      </c>
      <c r="CN136" s="196">
        <f>CO136+各项系数!$M$9*$NO136</f>
        <v>131.34793891351146</v>
      </c>
      <c r="CO136" s="196">
        <f>CP136*(1+$DC136+(VLOOKUP($AM136,$A$12:$B$323,2,0))+各项系数!$J$6+各项系数!$M$5)*(1+$E$2)+各项系数!$M$9*$NK136</f>
        <v>130.28834971414977</v>
      </c>
      <c r="CP136" s="197">
        <f>CQ136+各项系数!$L$9*$NO136</f>
        <v>132.16931774756316</v>
      </c>
      <c r="CQ136" s="197">
        <f>CR136*(1+$DD136+各项系数!$J$5+各项系数!$L$5)</f>
        <v>131.10972854820147</v>
      </c>
      <c r="CR136" s="197">
        <f t="shared" si="346"/>
        <v>128.53894955706028</v>
      </c>
      <c r="CS136" s="196">
        <f>CT136+各项系数!$M$9*$NU136</f>
        <v>131.78734895879688</v>
      </c>
      <c r="CT136" s="196">
        <f t="shared" si="347"/>
        <v>130.71463381194528</v>
      </c>
      <c r="CU136" s="197">
        <f>CV136+各项系数!$L$9*$NU136</f>
        <v>133.38227939994417</v>
      </c>
      <c r="CV136" s="197">
        <f>CW136*(1+$DD136+各项系数!$J$5+各项系数!$L$5)</f>
        <v>132.30956425309256</v>
      </c>
      <c r="CW136" s="199">
        <f t="shared" si="348"/>
        <v>129.71525907165937</v>
      </c>
      <c r="CX136" s="196">
        <f>CY136+各项系数!$M$9*$NU136</f>
        <v>133.86436162884496</v>
      </c>
      <c r="CY136" s="196">
        <f t="shared" si="349"/>
        <v>132.79164648199335</v>
      </c>
      <c r="CZ136" s="197">
        <f>DA136+各项系数!$L$9*$NU136</f>
        <v>135.50168008366668</v>
      </c>
      <c r="DA136" s="197">
        <f>DB136*(1+$DD136+各项系数!$J$5+各项系数!$L$5)</f>
        <v>134.42896493681508</v>
      </c>
      <c r="DB136" s="199">
        <f t="shared" si="350"/>
        <v>131.79310287923047</v>
      </c>
      <c r="DC136" s="211">
        <f>(BI136+$DC$2)-BI136/1.3</f>
        <v>0</v>
      </c>
      <c r="DD136" s="213">
        <f t="shared" si="351"/>
        <v>0</v>
      </c>
      <c r="DE136" s="53" t="s">
        <v>498</v>
      </c>
      <c r="DF136" s="53" t="s">
        <v>513</v>
      </c>
      <c r="DG136" s="196">
        <f>DH136+各项系数!$M$9*$NQ136</f>
        <v>131.10742478215354</v>
      </c>
      <c r="DH136" s="196">
        <f>DI136*(1+$EA136+(VLOOKUP($AM136,$A$12:$B$323,2,0))+各项系数!$J$6+各项系数!$M$5)*(1+$E$2)+各项系数!$M$9*$NK136</f>
        <v>130.04783558279186</v>
      </c>
      <c r="DI136" s="197">
        <f>DJ136+各项系数!$L$9*$NQ136</f>
        <v>131.92389516454486</v>
      </c>
      <c r="DJ136" s="197">
        <f>DK136*(1+$EB136+各项系数!$J$5+各项系数!$L$5)</f>
        <v>130.86430596518318</v>
      </c>
      <c r="DK136" s="197">
        <f t="shared" si="352"/>
        <v>127.05272423804192</v>
      </c>
      <c r="DL136" s="196">
        <f>DM136+各项系数!$M$9*$NQ136</f>
        <v>132.88637466435787</v>
      </c>
      <c r="DM136" s="196">
        <f>DN136*(1+$EA136+(VLOOKUP($AM136,$A$12:$B$323,2,0))+各项系数!$J$6+各项系数!$M$5)*(1+$E$2)+各项系数!$M$9*$NK136</f>
        <v>131.82678546499619</v>
      </c>
      <c r="DN136" s="197">
        <f>DO136+各项系数!$L$9*$NQ136</f>
        <v>133.73915014638601</v>
      </c>
      <c r="DO136" s="197">
        <f>DP136*(1+$EB136+各项系数!$J$5+各项系数!$L$5)</f>
        <v>132.67956094702433</v>
      </c>
      <c r="DP136" s="197">
        <f t="shared" si="353"/>
        <v>128.81510771555759</v>
      </c>
      <c r="DQ136" s="196">
        <f>DR136+各项系数!$M$9*$NV136</f>
        <v>133.3684220195949</v>
      </c>
      <c r="DR136" s="196">
        <f t="shared" si="354"/>
        <v>132.2957068727433</v>
      </c>
      <c r="DS136" s="197">
        <f>DT136+各项系数!$L$9*$NV136</f>
        <v>134.99561925790132</v>
      </c>
      <c r="DT136" s="197">
        <f>DU136*(1+$EB136+各项系数!$J$5+各项系数!$L$5)</f>
        <v>133.92290411104972</v>
      </c>
      <c r="DU136" s="199">
        <f t="shared" si="355"/>
        <v>130.02223700101914</v>
      </c>
      <c r="DV136" s="196">
        <f>DW136+各项系数!$M$9*$NV136</f>
        <v>133.18351658302848</v>
      </c>
      <c r="DW136" s="196">
        <f t="shared" si="356"/>
        <v>132.11080143617687</v>
      </c>
      <c r="DX136" s="197">
        <f>DY136+各项系数!$L$9*$NV136</f>
        <v>134.80694024099682</v>
      </c>
      <c r="DY136" s="197">
        <f>DZ136*(1+$EB136+各项系数!$J$5+各项系数!$L$5)</f>
        <v>133.73422509414522</v>
      </c>
      <c r="DZ136" s="199">
        <f t="shared" si="357"/>
        <v>129.83905348946138</v>
      </c>
      <c r="EA136" s="211">
        <f>(BI136+$EA$2)-BI136/1.3</f>
        <v>0</v>
      </c>
      <c r="EB136" s="213">
        <f t="shared" si="358"/>
        <v>0.01</v>
      </c>
      <c r="EC136" s="235" t="str">
        <f t="shared" si="408"/>
        <v>4+1</v>
      </c>
      <c r="ED136" s="235" t="str">
        <f t="shared" si="565"/>
        <v>4*50</v>
      </c>
      <c r="EE136" s="189">
        <f t="shared" si="495"/>
        <v>50</v>
      </c>
      <c r="EF136" s="189" t="str">
        <f>LOOKUP(EH136,{1,7,10,14,19,24,30,37,48,61},{1,"1+6","2+8","4+10","1+6+12","2+8+14","4+10+16","1+6+12+18","3+9+15+21","1+6+12+18+24"})</f>
        <v>2+8</v>
      </c>
      <c r="EG136" s="188">
        <f t="shared" si="359"/>
        <v>4</v>
      </c>
      <c r="EH136" s="197">
        <f>VLOOKUP(EE136,各项系数!$B$87:$C$124,2,0)</f>
        <v>10</v>
      </c>
      <c r="EI136" s="188">
        <f>IF(EH136=0,0,VLOOKUP(EH136,各项系数!$D$142:$E$195,2,0))*1</f>
        <v>4</v>
      </c>
      <c r="EJ136" s="238">
        <f t="shared" si="409"/>
        <v>238.573455311777</v>
      </c>
      <c r="EK136" s="189" t="str">
        <f t="shared" si="566"/>
        <v>1*25</v>
      </c>
      <c r="EL136" s="189" t="str">
        <f t="shared" si="360"/>
        <v>25</v>
      </c>
      <c r="EM136" s="189">
        <f t="shared" si="567"/>
        <v>25</v>
      </c>
      <c r="EN136" s="189" t="str">
        <f>IF(EP136=0,0,LOOKUP(EP136,{1,7,10,14,19,24,30,37,48,61},{1,"1+6","2+8","4+10","1+6+12","2+8+14","4+10+16","1+6+12+18","3+9+15+21","1+6+12+18+24"}))</f>
        <v>1+6</v>
      </c>
      <c r="EO136" s="189" t="str">
        <f t="shared" si="568"/>
        <v>1</v>
      </c>
      <c r="EP136" s="189">
        <f>IF(EM136=0,0,IF(EM136&lt;10,1,IF(AND(EM136&gt;=10,EM136&lt;=35),7,LOOKUP(EM136,{50,70,95,120,150,185,240,300},{10,14,19,24,30,37,48,61})*1)))</f>
        <v>7</v>
      </c>
      <c r="EQ136" s="189">
        <f>IF(EP136=0,0,VLOOKUP(EP136,各项系数!$D$142:$E$195,2,0))*1</f>
        <v>3</v>
      </c>
      <c r="ER136" s="189">
        <f t="shared" si="577"/>
        <v>208.046961644752</v>
      </c>
      <c r="ES136" s="235">
        <f t="shared" si="570"/>
        <v>5</v>
      </c>
      <c r="ET136" s="189">
        <f>VLOOKUP(ES136,各项系数!$D$142:$E$195,2,0)*1</f>
        <v>2.7</v>
      </c>
      <c r="EU136" s="243">
        <f>((各项系数!$F$76/4*$EJ136^2*$EG136*$EH136*1*10^-7)*(1-$H136)*AA136)*(VLOOKUP($EY$9,各项系数!$D$4:$F$143,3,0))*各项系数!$J$4</f>
        <v>1.5990797042219531</v>
      </c>
      <c r="EV136" s="244">
        <f>EU136*(VLOOKUP($EY$9,各项系数!$D$4:$F$143,2,0))</f>
        <v>104.73972062653793</v>
      </c>
      <c r="EW136" s="252">
        <f>(IF($EO136=0,0,(各项系数!$F$76/4*$ER136^2*$EO136*$EP136*1*10^-7))*(1-$K136)*$AF136)*(VLOOKUP($EY$9,各项系数!$D$4:$F$143,3,0))*各项系数!$J$4</f>
        <v>0.21280737466777744</v>
      </c>
      <c r="EX136" s="253">
        <f>EW136*(VLOOKUP($EY$9,各项系数!$D$4:$F$143,2,0))</f>
        <v>13.938883040739423</v>
      </c>
      <c r="EY136" s="189">
        <f>((各项系数!$F$76/4*$EJ136^2*$EG136*$EH136*1*10^-7)*(1-$H136)*AA136+IF($EO136=0,0,(各项系数!$F$76/4*$ER136^2*$EO136*$EP136*1*10^-7))*(1-$K136)*$AF136)*(VLOOKUP($EY$9,各项系数!$D$4:$F$143,3,0))*各项系数!$J$4</f>
        <v>1.8118870788897306</v>
      </c>
      <c r="EZ136" s="102">
        <v>1</v>
      </c>
      <c r="FA136" s="189">
        <f t="shared" si="515"/>
        <v>1.8118870788897306</v>
      </c>
      <c r="FB136" s="254">
        <f>FA136*(VLOOKUP($EY$9,各项系数!$D$4:$F$143,2,0))</f>
        <v>118.67860366727736</v>
      </c>
      <c r="FC136" s="255"/>
      <c r="FD136" s="235">
        <f>各项系数!$F$76/4*($MN136^2-MK136^2)*10^-2*(VLOOKUP(L136,各项系数!$D$1:$F$143,3,0))*10^-3*10^2*$EG136*各项系数!$J$4</f>
        <v>0.14500644008571317</v>
      </c>
      <c r="FE136" s="262">
        <f>FD136*VLOOKUP(L136,各项系数!$D$1:$F$143,2,0)</f>
        <v>1.4790656888742744</v>
      </c>
      <c r="FF136" s="188">
        <f>各项系数!$F$76/4*($MO136^2-ML136^2)*10^-2*(VLOOKUP(L136,各项系数!$D$1:$F$143,3,0))*10^-3*10^2*$EO136*各项系数!$J$4</f>
        <v>2.2099988380872005E-2</v>
      </c>
      <c r="FG136" s="262">
        <f>FF136*VLOOKUP(L136,各项系数!$D$1:$F$143,2,0)</f>
        <v>0.22541988148489445</v>
      </c>
      <c r="FH136" s="235">
        <f t="shared" si="410"/>
        <v>0.16710642846658519</v>
      </c>
      <c r="FI136" s="102">
        <v>1</v>
      </c>
      <c r="FJ136" s="189">
        <f t="shared" si="516"/>
        <v>0.16710642846658519</v>
      </c>
      <c r="FK136" s="262">
        <f>FJ136*VLOOKUP(L136,各项系数!$D$1:$F$143,2,0)</f>
        <v>1.7044855703591688</v>
      </c>
      <c r="FL136" s="235"/>
      <c r="FM136" s="102"/>
      <c r="FN136" s="189"/>
      <c r="FO136" s="262"/>
      <c r="FP136" s="282">
        <f t="shared" si="517"/>
        <v>0.16710642846658519</v>
      </c>
      <c r="FQ136" s="282">
        <f t="shared" si="518"/>
        <v>1.7044855703591688</v>
      </c>
      <c r="FR136" s="283">
        <f>各项系数!$F$76/4*($MQ136^2-$MN136^2*$EG136-$MO136^2*$EO136)*10^-2</f>
        <v>2.0374010725513068</v>
      </c>
      <c r="FS136" s="284">
        <f t="shared" si="411"/>
        <v>1</v>
      </c>
      <c r="FT136" s="285">
        <f t="shared" si="361"/>
        <v>2.0374010725513068</v>
      </c>
      <c r="FU136" s="302">
        <f>$FT136*(VLOOKUP($FT$9,各项系数!$D$1:$F$143,3,0))*10^-3*10^2*各项系数!$J$55</f>
        <v>0.24326568806262602</v>
      </c>
      <c r="FV136" s="303">
        <v>1</v>
      </c>
      <c r="FW136" s="304">
        <f t="shared" si="519"/>
        <v>0.24326568806262602</v>
      </c>
      <c r="FX136" s="285">
        <f>FW136*(VLOOKUP($FT$9,各项系数!$D$1:$F$143,2,0))</f>
        <v>0.72979706418787804</v>
      </c>
      <c r="FY136" s="302">
        <f>IF($BK136&lt;&gt;$FY$9,0,各项系数!$F$76/4*($MS136^2-$MQ136^2)*10^-2*(VLOOKUP($FY$9,各项系数!$D$1:$F$143,3,0))*10^-3*10^2)*各项系数!$J$4</f>
        <v>0</v>
      </c>
      <c r="FZ136" s="303">
        <v>1</v>
      </c>
      <c r="GA136" s="304">
        <f t="shared" si="520"/>
        <v>0</v>
      </c>
      <c r="GB136" s="285">
        <f>GA136*(VLOOKUP($FY$9,各项系数!$D$1:$F$143,2,0))</f>
        <v>0</v>
      </c>
      <c r="GC136" s="302">
        <f>IF($BK136&lt;&gt;$GC$9,0,各项系数!$F$76/4*($MS136^2-$MQ136^2)*10^-2*(VLOOKUP($GC$9,各项系数!$D$1:$F$143,3,0))*10^-3*10^2)*各项系数!$J$4</f>
        <v>7.9963690983182317E-3</v>
      </c>
      <c r="GD136" s="303">
        <v>1</v>
      </c>
      <c r="GE136" s="304">
        <f t="shared" si="521"/>
        <v>7.9963690983182317E-3</v>
      </c>
      <c r="GF136" s="285">
        <f>GE136*(VLOOKUP($GC$9,各项系数!$D$1:$F$143,2,0))</f>
        <v>0.1031531613683052</v>
      </c>
      <c r="GG136" s="302">
        <f>IF($BK136&lt;&gt;$GG$9,0,各项系数!$F$76/4*($MS136^2-$MQ136^2)*10^-2*(VLOOKUP($GG$9,各项系数!$D$1:$F$143,3,0))*10^-3*10^2)*各项系数!$J$4</f>
        <v>0</v>
      </c>
      <c r="GH136" s="303">
        <v>1</v>
      </c>
      <c r="GI136" s="304">
        <f t="shared" si="522"/>
        <v>0</v>
      </c>
      <c r="GJ136" s="285">
        <f>GI136*(VLOOKUP($GG$9,各项系数!$D$1:$F$143,2,0))</f>
        <v>0</v>
      </c>
      <c r="GK136" s="302">
        <f>IF($BK136&lt;&gt;$GK$9,0,各项系数!$F$76/4*($MS136^2-$MQ136^2)*10^-2*(VLOOKUP($GK$9,各项系数!$D$1:$F$143,3,0))*10^-3*10^2)*各项系数!$J$4</f>
        <v>0</v>
      </c>
      <c r="GL136" s="303">
        <v>1</v>
      </c>
      <c r="GM136" s="304">
        <f t="shared" si="523"/>
        <v>0</v>
      </c>
      <c r="GN136" s="285">
        <f>GM136*(VLOOKUP($GK$9,各项系数!$D$1:$F$143,2,0))</f>
        <v>0</v>
      </c>
      <c r="GO136" s="304">
        <f t="shared" si="524"/>
        <v>7.9963690983182317E-3</v>
      </c>
      <c r="GP136" s="304">
        <f t="shared" si="525"/>
        <v>0.1031531613683052</v>
      </c>
      <c r="GQ136" s="315">
        <f>各项系数!$F$76/4*($MU136^2-$MS136^2)*10^-2*(VLOOKUP($S136,各项系数!$D$1:$F$143,3,0))*10^-3*10^2*各项系数!$J$4</f>
        <v>0.55368637429881296</v>
      </c>
      <c r="GR136" s="303">
        <v>1</v>
      </c>
      <c r="GS136" s="304">
        <f t="shared" si="526"/>
        <v>0.55368637429881296</v>
      </c>
      <c r="GT136" s="304">
        <f t="shared" si="457"/>
        <v>0</v>
      </c>
      <c r="GU136" s="304">
        <f>ROUND($GS136*(VLOOKUP($S136,各项系数!$D$1:$F$143,2,0))+$E$3*GS136,GT136)</f>
        <v>3</v>
      </c>
      <c r="GV136" s="315">
        <f>各项系数!$F$76/4*($MT136^2-$MS136^2)*10^-2*(VLOOKUP($GV$9,各项系数!$D$1:$F$143,3,0))*10^-3*10^2*各项系数!$J$4*PI()/4*R136</f>
        <v>4.1250033084676195E-2</v>
      </c>
      <c r="GW136" s="303">
        <v>1</v>
      </c>
      <c r="GX136" s="304">
        <f t="shared" si="527"/>
        <v>4.1250033084676195E-2</v>
      </c>
      <c r="GY136" s="304">
        <f>$GX136*(VLOOKUP($GV$9,各项系数!$D$1:$F$143,2,0))</f>
        <v>2.7843772332156433</v>
      </c>
      <c r="GZ136" s="315">
        <f>各项系数!$F$76/4*($MV136^2-$MS136^2)*10^-2*(VLOOKUP($GZ$9,各项系数!$D$1:$F$143,3,0))*10^-3*10^2*各项系数!$J$4</f>
        <v>0.28510635083729396</v>
      </c>
      <c r="HA136" s="303">
        <v>1</v>
      </c>
      <c r="HB136" s="304">
        <f t="shared" si="412"/>
        <v>0.28510635083729396</v>
      </c>
      <c r="HC136" s="304">
        <f>HB136*(VLOOKUP($GZ$9,各项系数!$D$1:$F$143,2,0))</f>
        <v>4.8468079642339976</v>
      </c>
      <c r="HD136" s="315">
        <f>各项系数!$F$76/4*($MW136^2-$MT136^2)*10^-2*(VLOOKUP($HD$9,各项系数!$D$1:$F$143,3,0))*10^-3*10^2*各项系数!$J$4</f>
        <v>0.28655676133360342</v>
      </c>
      <c r="HE136" s="303">
        <v>1</v>
      </c>
      <c r="HF136" s="304">
        <f t="shared" si="413"/>
        <v>0.28655676133360342</v>
      </c>
      <c r="HG136" s="304">
        <f>HF136*(VLOOKUP($HD$9,各项系数!$D$1:$F$143,2,0))</f>
        <v>4.871464942671258</v>
      </c>
      <c r="HH136" s="315">
        <f>各项系数!$F$76/4*($MV136^2-$MS136^2)*10^-2*(VLOOKUP($HH$9,各项系数!$D$1:$F$143,3,0))*10^-3*10^2*各项系数!$J$4</f>
        <v>0.28510635083729396</v>
      </c>
      <c r="HI136" s="322">
        <v>1</v>
      </c>
      <c r="HJ136" s="304">
        <f t="shared" si="414"/>
        <v>0.28510635083729396</v>
      </c>
      <c r="HK136" s="304">
        <f>HJ136*(VLOOKUP($HH$9,各项系数!$D$1:$F$143,2,0))</f>
        <v>4.8468079642339976</v>
      </c>
      <c r="HL136" s="315">
        <f>各项系数!$F$76/4*($MW136^2-$MT136^2)*10^-2*(VLOOKUP($HL$9,各项系数!$D$1:$F$143,3,0))*10^-3*10^2*各项系数!$J$4</f>
        <v>0.28655676133360342</v>
      </c>
      <c r="HM136" s="322">
        <v>1</v>
      </c>
      <c r="HN136" s="304">
        <f t="shared" si="362"/>
        <v>0.28655676133360342</v>
      </c>
      <c r="HO136" s="304">
        <f>HN136*(VLOOKUP($HL$9,各项系数!$D$1:$F$143,2,0))</f>
        <v>4.871464942671258</v>
      </c>
      <c r="HP136" s="315">
        <f>各项系数!$F$76/4*($MV136^2-$MS136^2)*10^-2*(VLOOKUP(AN136,各项系数!$D$1:$F$143,3,0))*10^-3*10^2*各项系数!$J$4</f>
        <v>0.28903885222815323</v>
      </c>
      <c r="HQ136" s="303">
        <v>1</v>
      </c>
      <c r="HR136" s="304">
        <f t="shared" si="528"/>
        <v>0.28903885222815323</v>
      </c>
      <c r="HS136" s="304">
        <f>HR136*(VLOOKUP(AN136,各项系数!$D$1:$F$143,2,0))</f>
        <v>2.8903885222815324</v>
      </c>
      <c r="HT136" s="315">
        <f>各项系数!$F$76/4*($MW136^2-$MT136^2)*10^-2*(VLOOKUP(AN136,各项系数!$D$1:$F$143,3,0))*10^-3*10^2*各项系数!$J$4</f>
        <v>0.29050926838648072</v>
      </c>
      <c r="HU136" s="303">
        <v>1</v>
      </c>
      <c r="HV136" s="304">
        <f t="shared" si="529"/>
        <v>0.29050926838648072</v>
      </c>
      <c r="HW136" s="304">
        <f>HV136*(VLOOKUP(AN136,各项系数!$D$1:$F$143,2,0))</f>
        <v>2.9050926838648072</v>
      </c>
      <c r="HX136" s="315">
        <f>各项系数!$F$76/4*($MV136^2-$MS136^2)*10^-2*(VLOOKUP($HX$9,各项系数!$D$1:$F$143,3,0))*10^-3*10^2*各项系数!$J$4</f>
        <v>0.28903885222815323</v>
      </c>
      <c r="HY136" s="322">
        <v>1</v>
      </c>
      <c r="HZ136" s="304">
        <f t="shared" si="530"/>
        <v>0.28903885222815323</v>
      </c>
      <c r="IA136" s="304">
        <f>HZ136*(VLOOKUP($HX$9,各项系数!$D$1:$F$143,2,0))</f>
        <v>3.1794273745096855</v>
      </c>
      <c r="IB136" s="315">
        <f>各项系数!$F$76/4*($MW136^2-$MT136^2)*10^-2*(VLOOKUP($IB$9,各项系数!$D$1:$F$143,3,0))*10^-3*10^2*各项系数!$J$4</f>
        <v>0.29050926838648072</v>
      </c>
      <c r="IC136" s="322">
        <v>1</v>
      </c>
      <c r="ID136" s="304">
        <f t="shared" si="531"/>
        <v>0.29050926838648072</v>
      </c>
      <c r="IE136" s="304">
        <f>ID136*(VLOOKUP($IB$9,各项系数!$D$1:$F$143,2,0))</f>
        <v>3.195601952251288</v>
      </c>
      <c r="IF136" s="328"/>
      <c r="IG136" s="315">
        <f t="shared" si="415"/>
        <v>6.4583662087501423E-2</v>
      </c>
      <c r="IH136" s="303">
        <v>1</v>
      </c>
      <c r="II136" s="304">
        <f t="shared" si="532"/>
        <v>6.4583662087501423E-2</v>
      </c>
      <c r="IJ136" s="304">
        <f>II136*(VLOOKUP($IG$8,各项系数!$D$1:$F$143,2,0))</f>
        <v>1.6145915521875356</v>
      </c>
      <c r="IK136" s="315">
        <f>(各项系数!$F$76/4*($MX136^2-$MK136^2)*$EG136)*10^-2*(VLOOKUP($IG$8,各项系数!$D$1:$F$143,3,0))*10^-3*10^2*各项系数!$J$4</f>
        <v>5.5382201688895294E-2</v>
      </c>
      <c r="IL136" s="303">
        <f>IK136*(VLOOKUP($IG$8,各项系数!$D$1:$F$143,2,0))</f>
        <v>1.3845550422223822</v>
      </c>
      <c r="IM136" s="304">
        <f>(各项系数!$F$76/4*(($MM136+3*$X136)^2-MM136^2)*$EO136)*10^-2*(VLOOKUP($IG$8,各项系数!$D$1:$F$143,3,0))*10^-3*10^2*各项系数!$J$4</f>
        <v>9.2014603986061289E-3</v>
      </c>
      <c r="IN136" s="303">
        <f>IM136*(VLOOKUP($IG$8,各项系数!$D$1:$F$143,2,0))</f>
        <v>0.23003650996515324</v>
      </c>
      <c r="IO136" s="315">
        <f>各项系数!$F$76/4*($MZ136^2-$MX136^2)*10^-2*(VLOOKUP(L136,各项系数!$D$1:$F$143,3,0))*10^-3*10^2*$ES136*各项系数!$J$4</f>
        <v>0.19157346958520344</v>
      </c>
      <c r="IP136" s="303">
        <v>1</v>
      </c>
      <c r="IQ136" s="304">
        <f t="shared" si="533"/>
        <v>0.19157346958520344</v>
      </c>
      <c r="IR136" s="285">
        <f>IQ136*(VLOOKUP(L136,各项系数!$D$1:$F$143,2,0))</f>
        <v>1.9540493897690749</v>
      </c>
      <c r="IS136" s="315">
        <f>IF($L136&lt;&gt;$IS$9,0,各项系数!$F$76/4*($MZ136^2-$MX136^2)*10^-2*各项系数!$F$12*10^-3*10^2)*$ES136*各项系数!$J$4</f>
        <v>0</v>
      </c>
      <c r="IT136" s="303">
        <v>1</v>
      </c>
      <c r="IU136" s="304">
        <f t="shared" si="534"/>
        <v>0</v>
      </c>
      <c r="IV136" s="285">
        <f>IU136*各项系数!$E$12</f>
        <v>0</v>
      </c>
      <c r="IW136" s="302">
        <f t="shared" si="535"/>
        <v>0.19157346958520344</v>
      </c>
      <c r="IX136" s="302">
        <f t="shared" si="536"/>
        <v>1.9540493897690749</v>
      </c>
      <c r="IY136" s="339">
        <f>各项系数!$F$76/4*($NB136^2-$MZ136^2*$EG136-$NA136^2*$EO136)*10^-2</f>
        <v>2.3029316038280365</v>
      </c>
      <c r="IZ136" s="284">
        <f t="shared" si="487"/>
        <v>1</v>
      </c>
      <c r="JA136" s="285">
        <f t="shared" si="363"/>
        <v>2.3029316038280365</v>
      </c>
      <c r="JB136" s="282">
        <f>IF($DE136&lt;&gt;$JB$9,0,$JA136*各项系数!$F$32*10^-3*10^2)*各项系数!$J$4</f>
        <v>0</v>
      </c>
      <c r="JC136" s="102">
        <v>1</v>
      </c>
      <c r="JD136" s="189">
        <f t="shared" si="537"/>
        <v>0</v>
      </c>
      <c r="JE136" s="262">
        <f>JD136*各项系数!$E$32</f>
        <v>0</v>
      </c>
      <c r="JF136" s="282">
        <f>IF($DE136&lt;&gt;$JF$9,0,$JA136*VLOOKUP($JF$9,各项系数!$D$4:$F$540,2,0)*10^-3*10^2)*各项系数!$J$4</f>
        <v>1.145708472904448</v>
      </c>
      <c r="JG136" s="102">
        <v>1</v>
      </c>
      <c r="JH136" s="189">
        <f t="shared" si="364"/>
        <v>1.145708472904448</v>
      </c>
      <c r="JI136" s="262">
        <f>JH136*VLOOKUP($JF$9,各项系数!$D$4:$F$540,3,0)</f>
        <v>1.3748501674853375</v>
      </c>
      <c r="JJ136" s="282">
        <f t="shared" si="538"/>
        <v>1.145708472904448</v>
      </c>
      <c r="JK136" s="189">
        <f t="shared" si="539"/>
        <v>1.3748501674853375</v>
      </c>
      <c r="JL136" s="282">
        <f>IF($DF136&lt;&gt;$JL$9,0,各项系数!$F$76/4*($NE136^2-$NC136^2)*10^-2*各项系数!$F$39*10^-3*10^2)*各项系数!$J$4</f>
        <v>3.5023408053499604E-3</v>
      </c>
      <c r="JM136" s="102">
        <v>1</v>
      </c>
      <c r="JN136" s="189">
        <f t="shared" si="540"/>
        <v>3.5023408053499604E-3</v>
      </c>
      <c r="JO136" s="262">
        <f>JN136*各项系数!$E$39</f>
        <v>7.0046816106999213E-2</v>
      </c>
      <c r="JP136" s="282">
        <f>IF($DF136&lt;&gt;$JP$9,0,各项系数!$F$76/4*($NE136^2-$NC136^2)*10^-2*各项系数!$F$36*10^-3*10^2)*各项系数!$J$4</f>
        <v>0</v>
      </c>
      <c r="JQ136" s="102">
        <v>1</v>
      </c>
      <c r="JR136" s="189">
        <f t="shared" si="541"/>
        <v>0</v>
      </c>
      <c r="JS136" s="262">
        <f>JR136*各项系数!$E$36</f>
        <v>0</v>
      </c>
      <c r="JT136" s="282">
        <f>IF($DF136&lt;&gt;$JT$9,0,各项系数!$F$76/4*($NE136^2-$NC136^2)*10^-2*各项系数!$F$40*10^-3*10^2)*各项系数!$J$4</f>
        <v>0</v>
      </c>
      <c r="JU136" s="102">
        <v>1</v>
      </c>
      <c r="JV136" s="189">
        <f t="shared" si="542"/>
        <v>0</v>
      </c>
      <c r="JW136" s="262">
        <f>JV136*各项系数!$E$40</f>
        <v>0</v>
      </c>
      <c r="JX136" s="282">
        <f>IF($DF136&lt;&gt;$JX$9,0,各项系数!$F$76/4*($NE136^2-$NC136^2)*10^-2*各项系数!$F$38*10^-3*10^2)*各项系数!$J$4</f>
        <v>0</v>
      </c>
      <c r="JY136" s="102">
        <v>1</v>
      </c>
      <c r="JZ136" s="189">
        <f t="shared" si="543"/>
        <v>0</v>
      </c>
      <c r="KA136" s="262">
        <f>JZ136*各项系数!$E$38</f>
        <v>0</v>
      </c>
      <c r="KB136" s="282">
        <f>IF($DF136&lt;&gt;$KB$9,0,各项系数!$F$76/4*($NE136^2-$NC136^2)*10^-2*各项系数!$F$41*10^-3*10^2)*各项系数!$J$4</f>
        <v>0</v>
      </c>
      <c r="KC136" s="102">
        <v>1</v>
      </c>
      <c r="KD136" s="189">
        <f t="shared" si="544"/>
        <v>0</v>
      </c>
      <c r="KE136" s="262">
        <f>KD136*各项系数!$E$41</f>
        <v>0</v>
      </c>
      <c r="KF136" s="189">
        <f t="shared" si="545"/>
        <v>3.5023408053499604E-3</v>
      </c>
      <c r="KG136" s="189">
        <f t="shared" si="546"/>
        <v>7.0046816106999213E-2</v>
      </c>
      <c r="KH136" s="235">
        <f>各项系数!$F$76/4*($NG136^2-$NE136^2)*10^-2*各项系数!$F$44*10^-3*10^2*各项系数!$J$4*0.75*$U136</f>
        <v>0.8798095086973069</v>
      </c>
      <c r="KI136" s="102">
        <v>1</v>
      </c>
      <c r="KJ136" s="189">
        <f t="shared" si="547"/>
        <v>0.8798095086973069</v>
      </c>
      <c r="KK136" s="189">
        <f>ROUND(KJ136*各项系数!$E$43,GT136)</f>
        <v>5</v>
      </c>
      <c r="KL136" s="235">
        <f>各项系数!$F$76/4*($NF136^2-$NE136^2)*10^-2*各项系数!$F$46*10^-3*10^2*各项系数!$J$4*PI()/4*R136</f>
        <v>4.3753158299786939E-2</v>
      </c>
      <c r="KM136" s="102">
        <v>1</v>
      </c>
      <c r="KN136" s="189">
        <f t="shared" si="548"/>
        <v>4.3753158299786939E-2</v>
      </c>
      <c r="KO136" s="189">
        <f>KN136*各项系数!$E$46</f>
        <v>2.9533381852356184</v>
      </c>
      <c r="KP136" s="235">
        <f>各项系数!$F$76/4*($NH136^2-$NE136^2)*10^-2*(VLOOKUP($KP$9,各项系数!$D$1:$F$143,3,0))*10^-3*10^2*各项系数!$J$4</f>
        <v>0.30135094839595877</v>
      </c>
      <c r="KQ136" s="102">
        <v>1</v>
      </c>
      <c r="KR136" s="189">
        <f t="shared" si="416"/>
        <v>0.30135094839595877</v>
      </c>
      <c r="KS136" s="189">
        <f>KR136*(VLOOKUP($KP$9,各项系数!$D$1:$F$143,2,0))</f>
        <v>5.1229661227312988</v>
      </c>
      <c r="KT136" s="235">
        <f>各项系数!$F$76/4*($NI136^2-$NF136^2)*10^-2*(VLOOKUP($KT$9,各项系数!$D$1:$F$143,3,0))*10^-3*10^2*各项系数!$J$4</f>
        <v>0.30280135889226761</v>
      </c>
      <c r="KU136" s="102">
        <v>1</v>
      </c>
      <c r="KV136" s="189">
        <f t="shared" si="417"/>
        <v>0.30280135889226761</v>
      </c>
      <c r="KW136" s="189">
        <f>KV136*(VLOOKUP($KT$9,各项系数!$D$1:$F$143,2,0))</f>
        <v>5.1476231011685494</v>
      </c>
      <c r="KX136" s="189">
        <f>各项系数!$F$76/4*($NH136^2-$NE136^2)*10^-2*(VLOOKUP($KX$9,各项系数!$D$1:$F$143,3,0))*10^-3*10^2*各项系数!$J$4</f>
        <v>0.30135094839595877</v>
      </c>
      <c r="KY136" s="353">
        <v>1</v>
      </c>
      <c r="KZ136" s="189">
        <f t="shared" si="418"/>
        <v>0.30135094839595877</v>
      </c>
      <c r="LA136" s="189">
        <f>KZ136*(VLOOKUP($KX$9,各项系数!$D$1:$F$143,2,0))</f>
        <v>5.1229661227312988</v>
      </c>
      <c r="LB136" s="189">
        <f>各项系数!$F$76/4*($NI136^2-$NF136^2)*10^-2*(VLOOKUP($LB$9,各项系数!$D$1:$F$143,3,0))*10^-3*10^2*各项系数!$J$4</f>
        <v>0.30280135889226761</v>
      </c>
      <c r="LC136" s="353">
        <v>1</v>
      </c>
      <c r="LD136" s="189">
        <f t="shared" si="419"/>
        <v>0.30280135889226761</v>
      </c>
      <c r="LE136" s="189">
        <f>LD136*(VLOOKUP($LB$9,各项系数!$D$1:$F$143,2,0))</f>
        <v>5.1476231011685494</v>
      </c>
      <c r="LF136" s="235">
        <f>各项系数!$F$76/4*($NH136^2-$NE136^2)*10^-2*(VLOOKUP(AN136,各项系数!$D$1:$F$143,3,0))*10^-3*10^2*各项系数!$J$4</f>
        <v>0.30550751320142033</v>
      </c>
      <c r="LG136" s="102">
        <v>1</v>
      </c>
      <c r="LH136" s="189">
        <f t="shared" si="549"/>
        <v>0.30550751320142033</v>
      </c>
      <c r="LI136" s="189">
        <f>LH136*(VLOOKUP(AN136,各项系数!$D$1:$F$143,2,0))</f>
        <v>3.0550751320142036</v>
      </c>
      <c r="LJ136" s="235">
        <f>各项系数!$F$76/4*($NI136^2-$NF136^2)*10^-2*(VLOOKUP(AN136,各项系数!$D$1:$F$143,3,0))*10^-3*10^2*各项系数!$J$4</f>
        <v>0.3069779293597471</v>
      </c>
      <c r="LK136" s="102">
        <v>1</v>
      </c>
      <c r="LL136" s="189">
        <f t="shared" si="550"/>
        <v>0.3069779293597471</v>
      </c>
      <c r="LM136" s="189">
        <f>LL136*(VLOOKUP(AN136,各项系数!$D$1:$F$143,2,0))</f>
        <v>3.0697792935974713</v>
      </c>
      <c r="LN136" s="189">
        <f>各项系数!$F$76/4*($NH136^2-$NE136^2)*10^-2*(VLOOKUP($LN$9,各项系数!$D$1:$F$143,3,0))*10^-3*10^2*各项系数!$J$4</f>
        <v>0.30550751320142033</v>
      </c>
      <c r="LO136" s="353">
        <v>1</v>
      </c>
      <c r="LP136" s="189">
        <f t="shared" si="551"/>
        <v>0.30550751320142033</v>
      </c>
      <c r="LQ136" s="189">
        <f>LP136*(VLOOKUP($LN$9,各项系数!$D$1:$F$143,2,0))</f>
        <v>3.3605826452156236</v>
      </c>
      <c r="LR136" s="189">
        <f>各项系数!$F$76/4*($NI136^2-$NF136^2)*10^-2*(VLOOKUP($LR$9,各项系数!$D$1:$F$143,3,0))*10^-3*10^2*各项系数!$J$4</f>
        <v>0.3069779293597471</v>
      </c>
      <c r="LS136" s="353">
        <v>1</v>
      </c>
      <c r="LT136" s="189">
        <f t="shared" si="552"/>
        <v>0.3069779293597471</v>
      </c>
      <c r="LU136" s="189">
        <f>LT136*(VLOOKUP($LR$9,各项系数!$D$1:$F$143,2,0))</f>
        <v>3.376757222957218</v>
      </c>
      <c r="LV136" s="227">
        <f t="shared" si="420"/>
        <v>286.09752144999999</v>
      </c>
      <c r="LW136" s="227">
        <f t="shared" si="421"/>
        <v>178.81095089999999</v>
      </c>
      <c r="LX136" s="227">
        <f t="shared" si="422"/>
        <v>15.088710140949011</v>
      </c>
      <c r="LY136" s="227">
        <f t="shared" si="423"/>
        <v>107.28657054999999</v>
      </c>
      <c r="LZ136" s="374">
        <f t="shared" si="365"/>
        <v>1</v>
      </c>
      <c r="MA136" s="375">
        <f t="shared" si="366"/>
        <v>286.09752144999999</v>
      </c>
      <c r="MB136" s="375">
        <f t="shared" si="424"/>
        <v>9.5429382</v>
      </c>
      <c r="MC136" s="227">
        <f t="shared" si="425"/>
        <v>30.595330300000001</v>
      </c>
      <c r="MD136" s="227">
        <f t="shared" si="426"/>
        <v>23.796368090000001</v>
      </c>
      <c r="ME136" s="227">
        <f t="shared" si="427"/>
        <v>5.5044052242964412</v>
      </c>
      <c r="MF136" s="227">
        <f t="shared" si="428"/>
        <v>6.7989622099999991</v>
      </c>
      <c r="MG136" s="374">
        <f t="shared" si="429"/>
        <v>1</v>
      </c>
      <c r="MH136" s="375">
        <f t="shared" si="367"/>
        <v>30.595330300000001</v>
      </c>
      <c r="MI136" s="375">
        <f t="shared" si="430"/>
        <v>6.2414088491456745</v>
      </c>
      <c r="MJ136" s="189">
        <f t="shared" si="368"/>
        <v>9.5429382</v>
      </c>
      <c r="MK136" s="189">
        <f t="shared" si="431"/>
        <v>9.5429382</v>
      </c>
      <c r="ML136" s="189">
        <f t="shared" si="553"/>
        <v>6.2414088493425606</v>
      </c>
      <c r="MM136" s="189">
        <f t="shared" si="369"/>
        <v>6.2414088491456745</v>
      </c>
      <c r="MN136" s="189">
        <f t="shared" si="370"/>
        <v>11.5429382</v>
      </c>
      <c r="MO136" s="189">
        <f t="shared" si="432"/>
        <v>8.0414088491456752</v>
      </c>
      <c r="MP136" s="189">
        <f t="shared" si="433"/>
        <v>29.275107290000001</v>
      </c>
      <c r="MQ136" s="189">
        <f t="shared" si="554"/>
        <v>29.275107290000001</v>
      </c>
      <c r="MR136" s="246">
        <f t="shared" si="434"/>
        <v>29.275107290000001</v>
      </c>
      <c r="MS136" s="380">
        <f t="shared" si="371"/>
        <v>29.451107289999999</v>
      </c>
      <c r="MT136" s="380">
        <f t="shared" si="372"/>
        <v>29.61110729</v>
      </c>
      <c r="MU136" s="380">
        <f t="shared" si="373"/>
        <v>30.951107289999999</v>
      </c>
      <c r="MV136" s="380">
        <f t="shared" si="374"/>
        <v>33.451107289999996</v>
      </c>
      <c r="MW136" s="380">
        <f t="shared" si="375"/>
        <v>33.61110729</v>
      </c>
      <c r="MX136" s="254">
        <f t="shared" si="376"/>
        <v>10.1429382</v>
      </c>
      <c r="MY136" s="254">
        <f t="shared" si="377"/>
        <v>6.8414088491456742</v>
      </c>
      <c r="MZ136" s="189">
        <f t="shared" si="378"/>
        <v>12.1429382</v>
      </c>
      <c r="NA136" s="189">
        <f t="shared" si="379"/>
        <v>8.8414088491456742</v>
      </c>
      <c r="NB136" s="189">
        <f t="shared" si="435"/>
        <v>31.003107289999999</v>
      </c>
      <c r="NC136" s="254">
        <f t="shared" si="555"/>
        <v>31.003107289999999</v>
      </c>
      <c r="ND136" s="246">
        <f t="shared" si="436"/>
        <v>31.003107289999999</v>
      </c>
      <c r="NE136" s="386">
        <f t="shared" si="437"/>
        <v>31.243107289999998</v>
      </c>
      <c r="NF136" s="380">
        <f t="shared" si="380"/>
        <v>31.403107289999998</v>
      </c>
      <c r="NG136" s="387">
        <f t="shared" si="381"/>
        <v>32.743107289999998</v>
      </c>
      <c r="NH136" s="254">
        <f t="shared" si="382"/>
        <v>35.243107289999998</v>
      </c>
      <c r="NI136" s="380">
        <f t="shared" si="383"/>
        <v>35.403107289999994</v>
      </c>
      <c r="NK136" s="388">
        <f t="shared" si="384"/>
        <v>2.5413944051262853</v>
      </c>
      <c r="NL136" s="388">
        <f t="shared" si="385"/>
        <v>124.33184786695914</v>
      </c>
      <c r="NM136" s="388">
        <f t="shared" si="386"/>
        <v>2.5413944051262853</v>
      </c>
      <c r="NN136" s="388">
        <f t="shared" si="387"/>
        <v>124.6208867191873</v>
      </c>
      <c r="NO136" s="388">
        <f t="shared" si="388"/>
        <v>3.5319639978722597</v>
      </c>
      <c r="NP136" s="388">
        <f t="shared" si="389"/>
        <v>126.97725323480566</v>
      </c>
      <c r="NQ136" s="388">
        <f t="shared" si="390"/>
        <v>3.5319639978722597</v>
      </c>
      <c r="NR136" s="388">
        <f t="shared" si="391"/>
        <v>127.28276074800708</v>
      </c>
      <c r="NS136" s="388">
        <f t="shared" si="392"/>
        <v>2.5826444382109615</v>
      </c>
      <c r="NT136" s="388">
        <f t="shared" si="393"/>
        <v>2.5826444382109615</v>
      </c>
      <c r="NU136" s="388">
        <f t="shared" si="394"/>
        <v>3.5757171561720464</v>
      </c>
      <c r="NV136" s="388">
        <f t="shared" si="395"/>
        <v>3.5757171561720464</v>
      </c>
      <c r="NW136">
        <f t="shared" si="396"/>
        <v>3.0950807794250981</v>
      </c>
      <c r="NX136">
        <f>各项系数!$M$9*NK136</f>
        <v>0.76241832153788558</v>
      </c>
      <c r="NY136">
        <f t="shared" si="397"/>
        <v>2.5826444382109615</v>
      </c>
    </row>
    <row r="137" spans="1:389" ht="15" hidden="1" customHeight="1">
      <c r="A137" s="69"/>
      <c r="B137" s="70"/>
      <c r="C137" s="71"/>
      <c r="D137" s="53" t="s">
        <v>402</v>
      </c>
      <c r="E137" s="61">
        <f t="shared" si="560"/>
        <v>37.150030070000007</v>
      </c>
      <c r="F137" s="68">
        <f>$F$25</f>
        <v>242.29596858910099</v>
      </c>
      <c r="G137" s="58"/>
      <c r="H137" s="16"/>
      <c r="I137" s="145">
        <f>$F$23</f>
        <v>245.05464536042999</v>
      </c>
      <c r="J137" s="62"/>
      <c r="K137" s="16"/>
      <c r="L137" s="97" t="s">
        <v>467</v>
      </c>
      <c r="M137" s="103">
        <f t="shared" si="339"/>
        <v>1.1000000000000001</v>
      </c>
      <c r="N137" s="103">
        <f t="shared" si="501"/>
        <v>0.9</v>
      </c>
      <c r="O137" s="53">
        <f t="shared" si="572"/>
        <v>0.08</v>
      </c>
      <c r="P137" s="99">
        <v>0.1</v>
      </c>
      <c r="Q137" s="133">
        <f t="shared" si="578"/>
        <v>0.1</v>
      </c>
      <c r="R137" s="70">
        <v>0.8</v>
      </c>
      <c r="S137" s="142" t="str">
        <f>各项系数!$D$43</f>
        <v>钢带</v>
      </c>
      <c r="T137" s="102">
        <v>0.5</v>
      </c>
      <c r="U137" s="102">
        <v>2</v>
      </c>
      <c r="V137" s="140"/>
      <c r="W137" s="141">
        <v>2.1</v>
      </c>
      <c r="X137" s="135">
        <f t="shared" si="579"/>
        <v>0.2</v>
      </c>
      <c r="Y137" s="135"/>
      <c r="Z137" s="168"/>
      <c r="AA137" s="153">
        <f>$AA$25</f>
        <v>1.0129999999999999</v>
      </c>
      <c r="AB137" s="153">
        <f>PI()*EJ137*EJ137/4*EH137*(1-H137)*AA137*各项系数!$F$5*各项系数!$J$4*10^-7</f>
        <v>0.57842170409620475</v>
      </c>
      <c r="AC137" s="153">
        <f t="shared" si="573"/>
        <v>242.29596858910099</v>
      </c>
      <c r="AD137" s="153">
        <f t="shared" si="341"/>
        <v>65.39126499722515</v>
      </c>
      <c r="AE137" s="153">
        <f>POWER(4*EU137/PI()/EG137/10^-7/EH137/(1-H137)/各项系数!$F$5/各项系数!$J$4,0.5)</f>
        <v>243.86580688497418</v>
      </c>
      <c r="AF137" s="69">
        <f>$AA$23</f>
        <v>1.0109999999999999</v>
      </c>
      <c r="AG137" s="69">
        <f>IF(EM137=0,0,PI()*ER137*ER137/4*EP137*(1-K137)*(1+AF137)*各项系数!$F$5*各项系数!$J$4*10^-7)</f>
        <v>0.58728743995848276</v>
      </c>
      <c r="AH137" s="69">
        <f t="shared" si="574"/>
        <v>245.05464536042999</v>
      </c>
      <c r="AI137" s="69">
        <f t="shared" si="398"/>
        <v>33.378357061385572</v>
      </c>
      <c r="AJ137" s="69">
        <f>IF(OR(EP137="",EP137=0),0,POWER(4*EW137/PI()/EO137/10^-7/EP137/(1-K137)/各项系数!$F$5/各项系数!$J$4,0.5))</f>
        <v>246.39875970480472</v>
      </c>
      <c r="AK137" s="69">
        <f t="shared" si="342"/>
        <v>2.6089367426891585</v>
      </c>
      <c r="AL137" s="69">
        <f t="shared" si="575"/>
        <v>182.97064507173897</v>
      </c>
      <c r="AM137" s="188">
        <f t="shared" si="576"/>
        <v>70</v>
      </c>
      <c r="AN137" s="97" t="s">
        <v>486</v>
      </c>
      <c r="AO137" s="196">
        <f>AP137+各项系数!$M$9*$NK137</f>
        <v>179.38298536444998</v>
      </c>
      <c r="AP137" s="196">
        <f>AQ137*(1+$BI137+(VLOOKUP($AM137,$A$12:$B$323,2,0))+各项系数!$J$6+各项系数!$M$5)*(1+$E$2)</f>
        <v>178.3355535277984</v>
      </c>
      <c r="AQ137" s="197">
        <f>AR137+各项系数!$L$9*$NK137</f>
        <v>181.97505462020246</v>
      </c>
      <c r="AR137" s="197">
        <f>AS137*(1+$BJ137+各项系数!$J$5+各项系数!$L$5)</f>
        <v>180.92762278355087</v>
      </c>
      <c r="AS137" s="197">
        <f t="shared" si="399"/>
        <v>177.38002233681459</v>
      </c>
      <c r="AT137" s="196">
        <f>AU137+各项系数!$M$9*$NM137</f>
        <v>181.67137499552143</v>
      </c>
      <c r="AU137" s="196">
        <f>AV137*(1+$BI137+(VLOOKUP($AM137,$A$12:$B$323,2,0))+各项系数!$J$6+各项系数!$M$5)*(1+$E$2)</f>
        <v>180.62394315886985</v>
      </c>
      <c r="AV137" s="197">
        <f>AW137+各项系数!$L$9*$NM137</f>
        <v>184.31014608047946</v>
      </c>
      <c r="AW137" s="197">
        <f>AX137*(1+$BJ137+各项系数!$J$5+各项系数!$L$5)</f>
        <v>183.26271424382787</v>
      </c>
      <c r="AX137" s="197">
        <f t="shared" si="400"/>
        <v>179.66932769002733</v>
      </c>
      <c r="AY137" s="196">
        <f>AZ137+各项系数!$M$9*$NS137</f>
        <v>182.53885601517979</v>
      </c>
      <c r="AZ137" s="196">
        <f>BA137*(1+$BI137+(VLOOKUP($AM137,$A$12:$B$214,2,0))+各项系数!$J$6+各项系数!$M$5)*(1+$E$2)</f>
        <v>181.47758294508108</v>
      </c>
      <c r="BA137" s="197">
        <f>BB137+各项系数!$L$9*$NS137</f>
        <v>185.18120708681744</v>
      </c>
      <c r="BB137" s="197">
        <f>BC137*(1+$BJ137+各项系数!$J$5+各项系数!$L$5)</f>
        <v>184.11993401671873</v>
      </c>
      <c r="BC137" s="199">
        <f t="shared" si="401"/>
        <v>180.50973923207718</v>
      </c>
      <c r="BD137" s="196">
        <f>BE137+各项系数!$M$9*$NS137</f>
        <v>184.83769192376488</v>
      </c>
      <c r="BE137" s="196">
        <f>BF137*(1+$BI137+(VLOOKUP($AM137,$A$12:$B$214,2,0))+各项系数!$J$6+各项系数!$M$5)*(1+$E$2)</f>
        <v>183.77641885366617</v>
      </c>
      <c r="BF137" s="410">
        <f>BG137+各项系数!$L$9*$NS137</f>
        <v>187.52695801394506</v>
      </c>
      <c r="BG137" s="197">
        <f>BH137*(1+$BJ137+各项系数!$J$5+各项系数!$L$5)</f>
        <v>186.46568494384636</v>
      </c>
      <c r="BH137" s="199">
        <f t="shared" si="402"/>
        <v>182.80949504298661</v>
      </c>
      <c r="BI137" s="213"/>
      <c r="BJ137" s="208"/>
      <c r="BK137" s="53" t="s">
        <v>514</v>
      </c>
      <c r="BL137" s="196">
        <f>BM137+各项系数!$M$9*$NM137</f>
        <v>181.46270782361145</v>
      </c>
      <c r="BM137" s="196">
        <f>BN137*(1+$CF137+(VLOOKUP($AM137,$A$12:$B$323,2,0))+各项系数!$J$6+各项系数!$M$5)*(1+$E$2)</f>
        <v>180.41527598695987</v>
      </c>
      <c r="BN137" s="197">
        <f>BO137+各项系数!$L$9*$NM137</f>
        <v>184.097220394857</v>
      </c>
      <c r="BO137" s="197">
        <f>BP137*(1+$CG137+各项系数!$J$5+各项系数!$L$5)</f>
        <v>183.04978855820542</v>
      </c>
      <c r="BP137" s="197">
        <f t="shared" si="403"/>
        <v>177.71824131864602</v>
      </c>
      <c r="BQ137" s="196">
        <f>BR137+各项系数!$M$9*$NM137</f>
        <v>183.4321344068837</v>
      </c>
      <c r="BR137" s="196">
        <f>BS137*(1+$CF137+(VLOOKUP($AM137,$A$12:$B$323,2,0))+各项系数!$J$6+各项系数!$M$5)*(1+$E$2)</f>
        <v>182.38470257023212</v>
      </c>
      <c r="BS137" s="197">
        <f>BT137+各项系数!$L$9*$NM137</f>
        <v>186.10683935737973</v>
      </c>
      <c r="BT137" s="197">
        <f>BU137*(1+$CG137+各项系数!$J$5+各项系数!$L$5)</f>
        <v>185.05940752072814</v>
      </c>
      <c r="BU137" s="197">
        <f t="shared" si="404"/>
        <v>179.66932769002733</v>
      </c>
      <c r="BV137" s="196">
        <f>BW137+各项系数!$M$9*$NT137</f>
        <v>183.61885867628365</v>
      </c>
      <c r="BW137" s="196">
        <f>BX137*(1+$CF137+(VLOOKUP($AM137,$A$12:$B$214,2,0))+各项系数!$J$6+各项系数!$M$5)*(1+$E$2)</f>
        <v>182.55758560618494</v>
      </c>
      <c r="BX137" s="197">
        <f>BY137+各项系数!$L$9*$NT$12</f>
        <v>186.28325061855608</v>
      </c>
      <c r="BY137" s="197">
        <f>BZ137*(1+$CG137+各项系数!$J$5+各项系数!$L$5)</f>
        <v>186.2749872154011</v>
      </c>
      <c r="BZ137" s="199">
        <f t="shared" si="343"/>
        <v>180.84950215087486</v>
      </c>
      <c r="CA137" s="196">
        <f>CB137+各项系数!$M$9*$NT137</f>
        <v>185.59727550158127</v>
      </c>
      <c r="CB137" s="196">
        <f>CC137*(1+$CF137+(VLOOKUP($AM137,$A$12:$B$214,2,0))+各项系数!$J$6+各项系数!$M$5)*(1+$E$2)</f>
        <v>184.53600243148256</v>
      </c>
      <c r="CC137" s="197">
        <f>CD137+各项系数!$L$9*$NT$12</f>
        <v>188.3020432974312</v>
      </c>
      <c r="CD137" s="197">
        <f>CE137*(1+$CG137+各项系数!$J$5+各项系数!$L$5)</f>
        <v>188.29377989427621</v>
      </c>
      <c r="CE137" s="199">
        <f t="shared" si="405"/>
        <v>182.80949504298661</v>
      </c>
      <c r="CF137" s="213">
        <f t="shared" si="514"/>
        <v>0</v>
      </c>
      <c r="CG137" s="213">
        <f t="shared" si="344"/>
        <v>0.01</v>
      </c>
      <c r="CH137" s="102"/>
      <c r="CI137" s="196">
        <f>CJ137+各项系数!$M$9*$NO137</f>
        <v>184.23550044817654</v>
      </c>
      <c r="CJ137" s="196">
        <f>CK137*(1+$DC137+(VLOOKUP($AM137,$A$12:$B$323,2,0))+各项系数!$J$6+各项系数!$M$5)*(1+$E$2)+各项系数!$M$9*$NK137</f>
        <v>182.81875535598971</v>
      </c>
      <c r="CK137" s="197">
        <f>CL137+各项系数!$L$9*$NO137</f>
        <v>185.48094236667157</v>
      </c>
      <c r="CL137" s="197">
        <f>CM137*(1+$DD137+各项系数!$J$5+各项系数!$L$5)</f>
        <v>184.06419727448474</v>
      </c>
      <c r="CM137" s="197">
        <f t="shared" si="345"/>
        <v>180.45509536714189</v>
      </c>
      <c r="CN137" s="196">
        <f>CO137+各项系数!$M$9*$NO137</f>
        <v>186.34062090151244</v>
      </c>
      <c r="CO137" s="196">
        <f>CP137*(1+$DC137+(VLOOKUP($AM137,$A$12:$B$323,2,0))+各项系数!$J$6+各项系数!$M$5)*(1+$E$2)+各项系数!$M$9*$NK137</f>
        <v>184.92387580932561</v>
      </c>
      <c r="CP137" s="197">
        <f>CQ137+各项系数!$L$9*$NO137</f>
        <v>187.62902446191228</v>
      </c>
      <c r="CQ137" s="197">
        <f>CR137*(1+$DD137+各项系数!$J$5+各项系数!$L$5)</f>
        <v>186.21227936972545</v>
      </c>
      <c r="CR137" s="197">
        <f t="shared" si="346"/>
        <v>182.56105820561319</v>
      </c>
      <c r="CS137" s="196">
        <f>CT137+各项系数!$M$9*$NU137</f>
        <v>186.52458793727268</v>
      </c>
      <c r="CT137" s="196">
        <f t="shared" si="347"/>
        <v>185.09320541667634</v>
      </c>
      <c r="CU137" s="197">
        <f>CV137+各项系数!$L$9*$NU137</f>
        <v>188.87061777211872</v>
      </c>
      <c r="CV137" s="197">
        <f>CW137*(1+$DD137+各项系数!$J$5+各项系数!$L$5)</f>
        <v>187.43923525152238</v>
      </c>
      <c r="CW137" s="199">
        <f t="shared" si="348"/>
        <v>183.76395612894351</v>
      </c>
      <c r="CX137" s="196">
        <f>CY137+各项系数!$M$9*$NU137</f>
        <v>188.94747339133181</v>
      </c>
      <c r="CY137" s="196">
        <f t="shared" si="349"/>
        <v>187.51609087073547</v>
      </c>
      <c r="CZ137" s="197">
        <f>DA137+各项系数!$L$9*$NU137</f>
        <v>191.34294986809741</v>
      </c>
      <c r="DA137" s="197">
        <f>DB137*(1+$DD137+各项系数!$J$5+各项系数!$L$5)</f>
        <v>189.91156734750106</v>
      </c>
      <c r="DB137" s="199">
        <f t="shared" si="350"/>
        <v>186.18781112500105</v>
      </c>
      <c r="DC137" s="213">
        <f t="shared" si="571"/>
        <v>0</v>
      </c>
      <c r="DD137" s="213">
        <f t="shared" si="351"/>
        <v>0</v>
      </c>
      <c r="DE137" s="53" t="s">
        <v>498</v>
      </c>
      <c r="DF137" s="53" t="s">
        <v>513</v>
      </c>
      <c r="DG137" s="196">
        <f>DH137+各项系数!$M$9*$NQ137</f>
        <v>186.36386521647322</v>
      </c>
      <c r="DH137" s="196">
        <f>DI137*(1+$EA137+(VLOOKUP($AM137,$A$12:$B$323,2,0))+各项系数!$J$6+各项系数!$M$5)*(1+$E$2)+各项系数!$M$9*$NK137</f>
        <v>184.94712012428639</v>
      </c>
      <c r="DI137" s="197">
        <f>DJ137+各项系数!$L$9*$NQ137</f>
        <v>187.65274315064775</v>
      </c>
      <c r="DJ137" s="197">
        <f>DK137*(1+$EB137+各项系数!$J$5+各项系数!$L$5)</f>
        <v>186.23599805846092</v>
      </c>
      <c r="DK137" s="197">
        <f t="shared" si="352"/>
        <v>180.81164860044748</v>
      </c>
      <c r="DL137" s="196">
        <f>DM137+各项系数!$M$9*$NQ137</f>
        <v>188.44005092379598</v>
      </c>
      <c r="DM137" s="196">
        <f>DN137*(1+$EA137+(VLOOKUP($AM137,$A$12:$B$323,2,0))+各项系数!$J$6+各项系数!$M$5)*(1+$E$2)+各项系数!$M$9*$NK137</f>
        <v>187.02330583160915</v>
      </c>
      <c r="DN137" s="197">
        <f>DO137+各项系数!$L$9*$NQ137</f>
        <v>189.77129999485467</v>
      </c>
      <c r="DO137" s="197">
        <f>DP137*(1+$EB137+各项系数!$J$5+各项系数!$L$5)</f>
        <v>188.35455490266784</v>
      </c>
      <c r="DP137" s="197">
        <f t="shared" si="353"/>
        <v>182.86849990550274</v>
      </c>
      <c r="DQ137" s="196">
        <f>DR137+各项系数!$M$9*$NV137</f>
        <v>188.68693799100873</v>
      </c>
      <c r="DR137" s="196">
        <f t="shared" si="354"/>
        <v>187.25555547041239</v>
      </c>
      <c r="DS137" s="197">
        <f>DT137+各项系数!$L$9*$NV137</f>
        <v>191.07709741878816</v>
      </c>
      <c r="DT137" s="197">
        <f>DU137*(1+$EB137+各项系数!$J$5+各项系数!$L$5)</f>
        <v>189.64571489819181</v>
      </c>
      <c r="DU137" s="199">
        <f t="shared" si="355"/>
        <v>184.12205329921534</v>
      </c>
      <c r="DV137" s="196">
        <f>DW137+各项系数!$M$9*$NV137</f>
        <v>188.36056180250532</v>
      </c>
      <c r="DW137" s="196">
        <f t="shared" si="356"/>
        <v>186.92917928190897</v>
      </c>
      <c r="DX137" s="197">
        <f>DY137+各项系数!$L$9*$NV137</f>
        <v>190.74406049174385</v>
      </c>
      <c r="DY137" s="197">
        <f>DZ137*(1+$EB137+各项系数!$J$5+各项系数!$L$5)</f>
        <v>189.31267797114751</v>
      </c>
      <c r="DZ137" s="199">
        <f t="shared" si="357"/>
        <v>183.79871647684223</v>
      </c>
      <c r="EA137" s="213">
        <f t="shared" si="559"/>
        <v>0</v>
      </c>
      <c r="EB137" s="213">
        <f t="shared" si="358"/>
        <v>0.01</v>
      </c>
      <c r="EC137" s="235" t="str">
        <f t="shared" si="408"/>
        <v>4+1</v>
      </c>
      <c r="ED137" s="235" t="str">
        <f t="shared" si="565"/>
        <v>4*70</v>
      </c>
      <c r="EE137" s="189">
        <f t="shared" si="495"/>
        <v>70</v>
      </c>
      <c r="EF137" s="189" t="str">
        <f>LOOKUP(EH137,{1,7,10,14,19,24,30,37,48,61},{1,"1+6","2+8","4+10","1+6+12","2+8+14","4+10+16","1+6+12+18","3+9+15+21","1+6+12+18+24"})</f>
        <v>4+10</v>
      </c>
      <c r="EG137" s="188">
        <f t="shared" si="359"/>
        <v>4</v>
      </c>
      <c r="EH137" s="197">
        <f>VLOOKUP(EE137,各项系数!$B$87:$C$124,2,0)</f>
        <v>14</v>
      </c>
      <c r="EI137" s="188">
        <f>IF(EH137=0,0,VLOOKUP(EH137,各项系数!$D$142:$E$195,2,0))*1</f>
        <v>4.41</v>
      </c>
      <c r="EJ137" s="238">
        <f t="shared" si="409"/>
        <v>242.29596858910099</v>
      </c>
      <c r="EK137" s="189" t="str">
        <f t="shared" si="566"/>
        <v>1*35</v>
      </c>
      <c r="EL137" s="189" t="str">
        <f t="shared" si="360"/>
        <v>35</v>
      </c>
      <c r="EM137" s="189">
        <f t="shared" si="567"/>
        <v>35</v>
      </c>
      <c r="EN137" s="189" t="str">
        <f>IF(EP137=0,0,LOOKUP(EP137,{1,7,10,14,19,24,30,37,48,61},{1,"1+6","2+8","4+10","1+6+12","2+8+14","4+10+16","1+6+12+18","3+9+15+21","1+6+12+18+24"}))</f>
        <v>1+6</v>
      </c>
      <c r="EO137" s="189" t="str">
        <f t="shared" si="568"/>
        <v>1</v>
      </c>
      <c r="EP137" s="189">
        <f>IF(EM137=0,0,IF(EM137&lt;10,1,IF(AND(EM137&gt;=10,EM137&lt;=35),7,LOOKUP(EM137,{50,70,95,120,150,185,240,300},{10,14,19,24,30,37,48,61})*1)))</f>
        <v>7</v>
      </c>
      <c r="EQ137" s="189">
        <f>IF(EP137=0,0,VLOOKUP(EP137,各项系数!$D$142:$E$195,2,0))*1</f>
        <v>3</v>
      </c>
      <c r="ER137" s="189">
        <f t="shared" si="577"/>
        <v>245.05464536042999</v>
      </c>
      <c r="ES137" s="235">
        <f t="shared" si="570"/>
        <v>5</v>
      </c>
      <c r="ET137" s="189">
        <f>VLOOKUP(ES137,各项系数!$D$142:$E$195,2,0)*1</f>
        <v>2.7</v>
      </c>
      <c r="EU137" s="243">
        <f>((各项系数!$F$76/4*$EJ137^2*$EG137*$EH137*1*10^-7)*(1-$H137)*AA137)*(VLOOKUP($EY$9,各项系数!$D$4:$F$143,3,0))*各项系数!$J$4</f>
        <v>2.3136868163848194</v>
      </c>
      <c r="EV137" s="244">
        <f>EU137*(VLOOKUP($EY$9,各项系数!$D$4:$F$143,2,0))</f>
        <v>151.54648647320568</v>
      </c>
      <c r="EW137" s="252">
        <f>(IF($EO137=0,0,(各项系数!$F$76/4*$ER137^2*$EO137*$EP137*1*10^-7))*(1-$K137)*$AF137)*(VLOOKUP($EY$9,各项系数!$D$4:$F$143,3,0))*各项系数!$J$4</f>
        <v>0.29524992630433911</v>
      </c>
      <c r="EX137" s="253">
        <f>EW137*(VLOOKUP($EY$9,各项系数!$D$4:$F$143,2,0))</f>
        <v>19.338870172934211</v>
      </c>
      <c r="EY137" s="189">
        <f>((各项系数!$F$76/4*$EJ137^2*$EG137*$EH137*1*10^-7)*(1-$H137)*AA137+IF($EO137=0,0,(各项系数!$F$76/4*$ER137^2*$EO137*$EP137*1*10^-7))*(1-$K137)*$AF137)*(VLOOKUP($EY$9,各项系数!$D$4:$F$143,3,0))*各项系数!$J$4</f>
        <v>2.6089367426891585</v>
      </c>
      <c r="EZ137" s="102">
        <v>1</v>
      </c>
      <c r="FA137" s="189">
        <f t="shared" si="515"/>
        <v>2.6089367426891585</v>
      </c>
      <c r="FB137" s="254">
        <f>FA137*(VLOOKUP($EY$9,各项系数!$D$4:$F$143,2,0))</f>
        <v>170.88535664613988</v>
      </c>
      <c r="FC137" s="255"/>
      <c r="FD137" s="235">
        <f>各项系数!$F$76/4*($MN137^2-MK137^2)*10^-2*(VLOOKUP(L137,各项系数!$D$1:$F$143,3,0))*10^-3*10^2*$EG137*各项系数!$J$4</f>
        <v>0.17830240326391772</v>
      </c>
      <c r="FE137" s="262">
        <f>FD137*VLOOKUP(L137,各项系数!$D$1:$F$143,2,0)</f>
        <v>1.8186845132919607</v>
      </c>
      <c r="FF137" s="188">
        <f>各项系数!$F$76/4*($MO137^2-ML137^2)*10^-2*(VLOOKUP(L137,各项系数!$D$1:$F$143,3,0))*10^-3*10^2*$EO137*各项系数!$J$4</f>
        <v>2.5535736413569377E-2</v>
      </c>
      <c r="FG137" s="262">
        <f>FF137*VLOOKUP(L137,各项系数!$D$1:$F$143,2,0)</f>
        <v>0.2604645114184076</v>
      </c>
      <c r="FH137" s="235">
        <f t="shared" si="410"/>
        <v>0.2038381396774871</v>
      </c>
      <c r="FI137" s="102">
        <v>1</v>
      </c>
      <c r="FJ137" s="189">
        <f t="shared" si="516"/>
        <v>0.2038381396774871</v>
      </c>
      <c r="FK137" s="262">
        <f>FJ137*VLOOKUP(L137,各项系数!$D$1:$F$143,2,0)</f>
        <v>2.0791490247103681</v>
      </c>
      <c r="FL137" s="235"/>
      <c r="FM137" s="102"/>
      <c r="FN137" s="189"/>
      <c r="FO137" s="262"/>
      <c r="FP137" s="282">
        <f t="shared" si="517"/>
        <v>0.2038381396774871</v>
      </c>
      <c r="FQ137" s="282">
        <f t="shared" si="518"/>
        <v>2.0791490247103681</v>
      </c>
      <c r="FR137" s="283">
        <f>各项系数!$F$76/4*($MQ137^2-$MN137^2*$EG137-$MO137^2*$EO137)*10^-2</f>
        <v>2.562484375140317</v>
      </c>
      <c r="FS137" s="284">
        <f t="shared" si="411"/>
        <v>1</v>
      </c>
      <c r="FT137" s="285">
        <f t="shared" si="361"/>
        <v>2.562484375140317</v>
      </c>
      <c r="FU137" s="302">
        <f>$FT137*(VLOOKUP($FT$9,各项系数!$D$1:$F$143,3,0))*10^-3*10^2*各项系数!$J$55</f>
        <v>0.30596063439175386</v>
      </c>
      <c r="FV137" s="303">
        <v>1</v>
      </c>
      <c r="FW137" s="304">
        <f t="shared" si="519"/>
        <v>0.30596063439175386</v>
      </c>
      <c r="FX137" s="285">
        <f>FW137*(VLOOKUP($FT$9,各项系数!$D$1:$F$143,2,0))</f>
        <v>0.91788190317526164</v>
      </c>
      <c r="FY137" s="302">
        <f>IF($BK137&lt;&gt;$FY$9,0,各项系数!$F$76/4*($MS137^2-$MQ137^2)*10^-2*(VLOOKUP($FY$9,各项系数!$D$1:$F$143,3,0))*10^-3*10^2)*各项系数!$J$4</f>
        <v>0</v>
      </c>
      <c r="FZ137" s="303">
        <v>1</v>
      </c>
      <c r="GA137" s="304">
        <f t="shared" si="520"/>
        <v>0</v>
      </c>
      <c r="GB137" s="285">
        <f>GA137*(VLOOKUP($FY$9,各项系数!$D$1:$F$143,2,0))</f>
        <v>0</v>
      </c>
      <c r="GC137" s="302">
        <f>IF($BK137&lt;&gt;$GC$9,0,各项系数!$F$76/4*($MS137^2-$MQ137^2)*10^-2*(VLOOKUP($GC$9,各项系数!$D$1:$F$143,3,0))*10^-3*10^2)*各项系数!$J$4</f>
        <v>8.949220501920388E-3</v>
      </c>
      <c r="GD137" s="303">
        <v>1</v>
      </c>
      <c r="GE137" s="304">
        <f t="shared" si="521"/>
        <v>8.949220501920388E-3</v>
      </c>
      <c r="GF137" s="285">
        <f>GE137*(VLOOKUP($GC$9,各项系数!$D$1:$F$143,2,0))</f>
        <v>0.11544494447477301</v>
      </c>
      <c r="GG137" s="302">
        <f>IF($BK137&lt;&gt;$GG$9,0,各项系数!$F$76/4*($MS137^2-$MQ137^2)*10^-2*(VLOOKUP($GG$9,各项系数!$D$1:$F$143,3,0))*10^-3*10^2)*各项系数!$J$4</f>
        <v>0</v>
      </c>
      <c r="GH137" s="303">
        <v>1</v>
      </c>
      <c r="GI137" s="304">
        <f t="shared" si="522"/>
        <v>0</v>
      </c>
      <c r="GJ137" s="285">
        <f>GI137*(VLOOKUP($GG$9,各项系数!$D$1:$F$143,2,0))</f>
        <v>0</v>
      </c>
      <c r="GK137" s="302">
        <f>IF($BK137&lt;&gt;$GK$9,0,各项系数!$F$76/4*($MS137^2-$MQ137^2)*10^-2*(VLOOKUP($GK$9,各项系数!$D$1:$F$143,3,0))*10^-3*10^2)*各项系数!$J$4</f>
        <v>0</v>
      </c>
      <c r="GL137" s="303">
        <v>1</v>
      </c>
      <c r="GM137" s="304">
        <f t="shared" si="523"/>
        <v>0</v>
      </c>
      <c r="GN137" s="285">
        <f>GM137*(VLOOKUP($GK$9,各项系数!$D$1:$F$143,2,0))</f>
        <v>0</v>
      </c>
      <c r="GO137" s="304">
        <f t="shared" si="524"/>
        <v>8.949220501920388E-3</v>
      </c>
      <c r="GP137" s="304">
        <f t="shared" si="525"/>
        <v>0.11544494447477301</v>
      </c>
      <c r="GQ137" s="315">
        <f>各项系数!$F$76/4*($MU137^2-$MS137^2)*10^-2*(VLOOKUP($S137,各项系数!$D$1:$F$143,3,0))*10^-3*10^2*各项系数!$J$4</f>
        <v>0.61783322326720203</v>
      </c>
      <c r="GR137" s="303">
        <v>1</v>
      </c>
      <c r="GS137" s="304">
        <f t="shared" si="526"/>
        <v>0.61783322326720203</v>
      </c>
      <c r="GT137" s="304">
        <f t="shared" si="457"/>
        <v>0</v>
      </c>
      <c r="GU137" s="304">
        <f>ROUND($GS137*(VLOOKUP($S137,各项系数!$D$1:$F$143,2,0))+$E$3*GS137,GT137)</f>
        <v>4</v>
      </c>
      <c r="GV137" s="315">
        <f>各项系数!$F$76/4*($MT137^2-$MS137^2)*10^-2*(VLOOKUP($GV$9,各项系数!$D$1:$F$143,3,0))*10^-3*10^2*各项系数!$J$4*PI()/4*R137</f>
        <v>4.6137444823706159E-2</v>
      </c>
      <c r="GW137" s="303">
        <v>1</v>
      </c>
      <c r="GX137" s="304">
        <f t="shared" si="527"/>
        <v>4.6137444823706159E-2</v>
      </c>
      <c r="GY137" s="304">
        <f>$GX137*(VLOOKUP($GV$9,各项系数!$D$1:$F$143,2,0))</f>
        <v>3.1142775256001656</v>
      </c>
      <c r="GZ137" s="315">
        <f>各项系数!$F$76/4*($MV137^2-$MS137^2)*10^-2*(VLOOKUP($GZ$9,各项系数!$D$1:$F$143,3,0))*10^-3*10^2*各项系数!$J$4</f>
        <v>0.33361736303100115</v>
      </c>
      <c r="HA137" s="303">
        <v>1</v>
      </c>
      <c r="HB137" s="304">
        <f t="shared" si="412"/>
        <v>0.33361736303100115</v>
      </c>
      <c r="HC137" s="304">
        <f>HB137*(VLOOKUP($GZ$9,各项系数!$D$1:$F$143,2,0))</f>
        <v>5.6714951715270194</v>
      </c>
      <c r="HD137" s="315">
        <f>各项系数!$F$76/4*($MW137^2-$MT137^2)*10^-2*(VLOOKUP($HD$9,各项系数!$D$1:$F$143,3,0))*10^-3*10^2*各项系数!$J$4</f>
        <v>0.33514029405212598</v>
      </c>
      <c r="HE137" s="303">
        <v>1</v>
      </c>
      <c r="HF137" s="304">
        <f t="shared" si="413"/>
        <v>0.33514029405212598</v>
      </c>
      <c r="HG137" s="304">
        <f>HF137*(VLOOKUP($HD$9,各项系数!$D$1:$F$143,2,0))</f>
        <v>5.6973849988861414</v>
      </c>
      <c r="HH137" s="315">
        <f>各项系数!$F$76/4*($MV137^2-$MS137^2)*10^-2*(VLOOKUP($HH$9,各项系数!$D$1:$F$143,3,0))*10^-3*10^2*各项系数!$J$4</f>
        <v>0.33361736303100115</v>
      </c>
      <c r="HI137" s="322">
        <v>1</v>
      </c>
      <c r="HJ137" s="304">
        <f t="shared" si="414"/>
        <v>0.33361736303100115</v>
      </c>
      <c r="HK137" s="304">
        <f>HJ137*(VLOOKUP($HH$9,各项系数!$D$1:$F$143,2,0))</f>
        <v>5.6714951715270194</v>
      </c>
      <c r="HL137" s="315">
        <f>各项系数!$F$76/4*($MW137^2-$MT137^2)*10^-2*(VLOOKUP($HL$9,各项系数!$D$1:$F$143,3,0))*10^-3*10^2*各项系数!$J$4</f>
        <v>0.33514029405212598</v>
      </c>
      <c r="HM137" s="322">
        <v>1</v>
      </c>
      <c r="HN137" s="304">
        <f t="shared" si="362"/>
        <v>0.33514029405212598</v>
      </c>
      <c r="HO137" s="304">
        <f>HN137*(VLOOKUP($HL$9,各项系数!$D$1:$F$143,2,0))</f>
        <v>5.6973849988861414</v>
      </c>
      <c r="HP137" s="315">
        <f>各项系数!$F$76/4*($MV137^2-$MS137^2)*10^-2*(VLOOKUP(AN137,各项系数!$D$1:$F$143,3,0))*10^-3*10^2*各项系数!$J$4</f>
        <v>0.33821898183142873</v>
      </c>
      <c r="HQ137" s="303">
        <v>1</v>
      </c>
      <c r="HR137" s="304">
        <f t="shared" si="528"/>
        <v>0.33821898183142873</v>
      </c>
      <c r="HS137" s="304">
        <f>HR137*(VLOOKUP(AN137,各项系数!$D$1:$F$143,2,0))</f>
        <v>3.3821898183142873</v>
      </c>
      <c r="HT137" s="315">
        <f>各项系数!$F$76/4*($MW137^2-$MT137^2)*10^-2*(VLOOKUP(AN137,各项系数!$D$1:$F$143,3,0))*10^-3*10^2*各项系数!$J$4</f>
        <v>0.33976291879767256</v>
      </c>
      <c r="HU137" s="303">
        <v>1</v>
      </c>
      <c r="HV137" s="304">
        <f t="shared" si="529"/>
        <v>0.33976291879767256</v>
      </c>
      <c r="HW137" s="304">
        <f>HV137*(VLOOKUP(AN137,各项系数!$D$1:$F$143,2,0))</f>
        <v>3.3976291879767255</v>
      </c>
      <c r="HX137" s="315">
        <f>各项系数!$F$76/4*($MV137^2-$MS137^2)*10^-2*(VLOOKUP($HX$9,各项系数!$D$1:$F$143,3,0))*10^-3*10^2*各项系数!$J$4</f>
        <v>0.33821898183142873</v>
      </c>
      <c r="HY137" s="322">
        <v>1</v>
      </c>
      <c r="HZ137" s="304">
        <f t="shared" si="530"/>
        <v>0.33821898183142873</v>
      </c>
      <c r="IA137" s="304">
        <f>HZ137*(VLOOKUP($HX$9,各项系数!$D$1:$F$143,2,0))</f>
        <v>3.7204088001457158</v>
      </c>
      <c r="IB137" s="315">
        <f>各项系数!$F$76/4*($MW137^2-$MT137^2)*10^-2*(VLOOKUP($IB$9,各项系数!$D$1:$F$143,3,0))*10^-3*10^2*各项系数!$J$4</f>
        <v>0.33976291879767256</v>
      </c>
      <c r="IC137" s="322">
        <v>1</v>
      </c>
      <c r="ID137" s="304">
        <f t="shared" si="531"/>
        <v>0.33976291879767256</v>
      </c>
      <c r="IE137" s="304">
        <f>ID137*(VLOOKUP($IB$9,各项系数!$D$1:$F$143,2,0))</f>
        <v>3.737392106774398</v>
      </c>
      <c r="IF137" s="328"/>
      <c r="IG137" s="315">
        <f t="shared" si="415"/>
        <v>7.2572701227102895E-2</v>
      </c>
      <c r="IH137" s="303">
        <v>1</v>
      </c>
      <c r="II137" s="304">
        <f t="shared" si="532"/>
        <v>7.2572701227102895E-2</v>
      </c>
      <c r="IJ137" s="304">
        <f>II137*(VLOOKUP($IG$8,各项系数!$D$1:$F$143,2,0))</f>
        <v>1.8143175306775723</v>
      </c>
      <c r="IK137" s="315">
        <f>(各项系数!$F$76/4*($MX137^2-$MK137^2)*$EG137)*10^-2*(VLOOKUP($IG$8,各项系数!$D$1:$F$143,3,0))*10^-3*10^2*各项系数!$J$4</f>
        <v>6.1809537177145581E-2</v>
      </c>
      <c r="IL137" s="303">
        <f>IK137*(VLOOKUP($IG$8,各项系数!$D$1:$F$143,2,0))</f>
        <v>1.5452384294286394</v>
      </c>
      <c r="IM137" s="304">
        <f>(各项系数!$F$76/4*(($MM137+3*$X137)^2-MM137^2)*$EO137)*10^-2*(VLOOKUP($IG$8,各项系数!$D$1:$F$143,3,0))*10^-3*10^2*各项系数!$J$4</f>
        <v>1.0763164049957316E-2</v>
      </c>
      <c r="IN137" s="303">
        <f>IM137*(VLOOKUP($IG$8,各项系数!$D$1:$F$143,2,0))</f>
        <v>0.26907910124893292</v>
      </c>
      <c r="IO137" s="315">
        <f>各项系数!$F$76/4*($MZ137^2-$MX137^2)*10^-2*(VLOOKUP(L137,各项系数!$D$1:$F$143,3,0))*10^-3*10^2*$ES137*各项系数!$J$4</f>
        <v>0.23422496550576558</v>
      </c>
      <c r="IP137" s="303">
        <v>1</v>
      </c>
      <c r="IQ137" s="304">
        <f t="shared" si="533"/>
        <v>0.23422496550576558</v>
      </c>
      <c r="IR137" s="285">
        <f>IQ137*(VLOOKUP(L137,各项系数!$D$1:$F$143,2,0))</f>
        <v>2.3890946481588089</v>
      </c>
      <c r="IS137" s="315">
        <f>IF($L137&lt;&gt;$IS$9,0,各项系数!$F$76/4*($MZ137^2-$MX137^2)*10^-2*各项系数!$F$12*10^-3*10^2)*$ES137*各项系数!$J$4</f>
        <v>0</v>
      </c>
      <c r="IT137" s="303">
        <v>1</v>
      </c>
      <c r="IU137" s="304">
        <f t="shared" si="534"/>
        <v>0</v>
      </c>
      <c r="IV137" s="285">
        <f>IU137*各项系数!$E$12</f>
        <v>0</v>
      </c>
      <c r="IW137" s="302">
        <f t="shared" si="535"/>
        <v>0.23422496550576558</v>
      </c>
      <c r="IX137" s="302">
        <f t="shared" si="536"/>
        <v>2.3890946481588089</v>
      </c>
      <c r="IY137" s="339">
        <f>各项系数!$F$76/4*($NB137^2-$MZ137^2*$EG137-$NA137^2*$EO137)*10^-2</f>
        <v>2.8854765816095709</v>
      </c>
      <c r="IZ137" s="284">
        <f t="shared" si="487"/>
        <v>1</v>
      </c>
      <c r="JA137" s="285">
        <f t="shared" si="363"/>
        <v>2.8854765816095709</v>
      </c>
      <c r="JB137" s="282">
        <f>IF($DE137&lt;&gt;$JB$9,0,$JA137*各项系数!$F$32*10^-3*10^2)*各项系数!$J$4</f>
        <v>0</v>
      </c>
      <c r="JC137" s="102">
        <v>1</v>
      </c>
      <c r="JD137" s="189">
        <f t="shared" si="537"/>
        <v>0</v>
      </c>
      <c r="JE137" s="262">
        <f>JD137*各项系数!$E$32</f>
        <v>0</v>
      </c>
      <c r="JF137" s="282">
        <f>IF($DE137&lt;&gt;$JF$9,0,$JA137*VLOOKUP($JF$9,各项系数!$D$4:$F$540,2,0)*10^-3*10^2)*各项系数!$J$4</f>
        <v>1.4355245993507615</v>
      </c>
      <c r="JG137" s="102">
        <v>1</v>
      </c>
      <c r="JH137" s="189">
        <f t="shared" si="364"/>
        <v>1.4355245993507615</v>
      </c>
      <c r="JI137" s="262">
        <f>JH137*VLOOKUP($JF$9,各项系数!$D$4:$F$540,3,0)</f>
        <v>1.7226295192209138</v>
      </c>
      <c r="JJ137" s="282">
        <f t="shared" si="538"/>
        <v>1.4355245993507615</v>
      </c>
      <c r="JK137" s="189">
        <f t="shared" si="539"/>
        <v>1.7226295192209138</v>
      </c>
      <c r="JL137" s="282">
        <f>IF($DF137&lt;&gt;$JL$9,0,各项系数!$F$76/4*($NE137^2-$NC137^2)*10^-2*各项系数!$F$39*10^-3*10^2)*各项系数!$J$4</f>
        <v>3.9082344944483313E-3</v>
      </c>
      <c r="JM137" s="102">
        <v>1</v>
      </c>
      <c r="JN137" s="189">
        <f t="shared" si="540"/>
        <v>3.9082344944483313E-3</v>
      </c>
      <c r="JO137" s="262">
        <f>JN137*各项系数!$E$39</f>
        <v>7.8164689888966632E-2</v>
      </c>
      <c r="JP137" s="282">
        <f>IF($DF137&lt;&gt;$JP$9,0,各项系数!$F$76/4*($NE137^2-$NC137^2)*10^-2*各项系数!$F$36*10^-3*10^2)*各项系数!$J$4</f>
        <v>0</v>
      </c>
      <c r="JQ137" s="102">
        <v>1</v>
      </c>
      <c r="JR137" s="189">
        <f t="shared" si="541"/>
        <v>0</v>
      </c>
      <c r="JS137" s="262">
        <f>JR137*各项系数!$E$36</f>
        <v>0</v>
      </c>
      <c r="JT137" s="282">
        <f>IF($DF137&lt;&gt;$JT$9,0,各项系数!$F$76/4*($NE137^2-$NC137^2)*10^-2*各项系数!$F$40*10^-3*10^2)*各项系数!$J$4</f>
        <v>0</v>
      </c>
      <c r="JU137" s="102">
        <v>1</v>
      </c>
      <c r="JV137" s="189">
        <f t="shared" si="542"/>
        <v>0</v>
      </c>
      <c r="JW137" s="262">
        <f>JV137*各项系数!$E$40</f>
        <v>0</v>
      </c>
      <c r="JX137" s="282">
        <f>IF($DF137&lt;&gt;$JX$9,0,各项系数!$F$76/4*($NE137^2-$NC137^2)*10^-2*各项系数!$F$38*10^-3*10^2)*各项系数!$J$4</f>
        <v>0</v>
      </c>
      <c r="JY137" s="102">
        <v>1</v>
      </c>
      <c r="JZ137" s="189">
        <f t="shared" si="543"/>
        <v>0</v>
      </c>
      <c r="KA137" s="262">
        <f>JZ137*各项系数!$E$38</f>
        <v>0</v>
      </c>
      <c r="KB137" s="282">
        <f>IF($DF137&lt;&gt;$KB$9,0,各项系数!$F$76/4*($NE137^2-$NC137^2)*10^-2*各项系数!$F$41*10^-3*10^2)*各项系数!$J$4</f>
        <v>0</v>
      </c>
      <c r="KC137" s="102">
        <v>1</v>
      </c>
      <c r="KD137" s="189">
        <f t="shared" si="544"/>
        <v>0</v>
      </c>
      <c r="KE137" s="262">
        <f>KD137*各项系数!$E$41</f>
        <v>0</v>
      </c>
      <c r="KF137" s="189">
        <f t="shared" si="545"/>
        <v>3.9082344944483313E-3</v>
      </c>
      <c r="KG137" s="189">
        <f t="shared" si="546"/>
        <v>7.8164689888966632E-2</v>
      </c>
      <c r="KH137" s="235">
        <f>各项系数!$F$76/4*($NG137^2-$NE137^2)*10^-2*各项系数!$F$44*10^-3*10^2*各项系数!$J$4*0.75*$U137</f>
        <v>0.97899977897070367</v>
      </c>
      <c r="KI137" s="102">
        <v>1</v>
      </c>
      <c r="KJ137" s="189">
        <f t="shared" si="547"/>
        <v>0.97899977897070367</v>
      </c>
      <c r="KK137" s="189">
        <f>ROUND(KJ137*各项系数!$E$43,GT137)</f>
        <v>6</v>
      </c>
      <c r="KL137" s="235">
        <f>各项系数!$F$76/4*($NF137^2-$NE137^2)*10^-2*各项系数!$F$46*10^-3*10^2*各项系数!$J$4*PI()/4*R137</f>
        <v>4.8791428031691619E-2</v>
      </c>
      <c r="KM137" s="102">
        <v>1</v>
      </c>
      <c r="KN137" s="189">
        <f t="shared" si="548"/>
        <v>4.8791428031691619E-2</v>
      </c>
      <c r="KO137" s="189">
        <f>KN137*各项系数!$E$46</f>
        <v>3.2934213921391842</v>
      </c>
      <c r="KP137" s="235">
        <f>各项系数!$F$76/4*($NH137^2-$NE137^2)*10^-2*(VLOOKUP($KP$9,各项系数!$D$1:$F$143,3,0))*10^-3*10^2*各项系数!$J$4</f>
        <v>0.35170216890685824</v>
      </c>
      <c r="KQ137" s="102">
        <v>1</v>
      </c>
      <c r="KR137" s="189">
        <f t="shared" si="416"/>
        <v>0.35170216890685824</v>
      </c>
      <c r="KS137" s="189">
        <f>KR137*(VLOOKUP($KP$9,各项系数!$D$1:$F$143,2,0))</f>
        <v>5.9789368714165896</v>
      </c>
      <c r="KT137" s="235">
        <f>各项系数!$F$76/4*($NI137^2-$NF137^2)*10^-2*(VLOOKUP($KT$9,各项系数!$D$1:$F$143,3,0))*10^-3*10^2*各项系数!$J$4</f>
        <v>0.35322509992798279</v>
      </c>
      <c r="KU137" s="102">
        <v>1</v>
      </c>
      <c r="KV137" s="189">
        <f t="shared" si="417"/>
        <v>0.35322509992798279</v>
      </c>
      <c r="KW137" s="189">
        <f>KV137*(VLOOKUP($KT$9,各项系数!$D$1:$F$143,2,0))</f>
        <v>6.0048266987757071</v>
      </c>
      <c r="KX137" s="189">
        <f>各项系数!$F$76/4*($NH137^2-$NE137^2)*10^-2*(VLOOKUP($KX$9,各项系数!$D$1:$F$143,3,0))*10^-3*10^2*各项系数!$J$4</f>
        <v>0.35170216890685824</v>
      </c>
      <c r="KY137" s="353">
        <v>1</v>
      </c>
      <c r="KZ137" s="189">
        <f t="shared" si="418"/>
        <v>0.35170216890685824</v>
      </c>
      <c r="LA137" s="189">
        <f>KZ137*(VLOOKUP($KX$9,各项系数!$D$1:$F$143,2,0))</f>
        <v>5.9789368714165896</v>
      </c>
      <c r="LB137" s="189">
        <f>各项系数!$F$76/4*($NI137^2-$NF137^2)*10^-2*(VLOOKUP($LB$9,各项系数!$D$1:$F$143,3,0))*10^-3*10^2*各项系数!$J$4</f>
        <v>0.35322509992798279</v>
      </c>
      <c r="LC137" s="353">
        <v>1</v>
      </c>
      <c r="LD137" s="189">
        <f t="shared" si="419"/>
        <v>0.35322509992798279</v>
      </c>
      <c r="LE137" s="189">
        <f>LD137*(VLOOKUP($LB$9,各项系数!$D$1:$F$143,2,0))</f>
        <v>6.0048266987757071</v>
      </c>
      <c r="LF137" s="235">
        <f>各项系数!$F$76/4*($NH137^2-$NE137^2)*10^-2*(VLOOKUP(AN137,各项系数!$D$1:$F$143,3,0))*10^-3*10^2*各项系数!$J$4</f>
        <v>0.35655323330557348</v>
      </c>
      <c r="LG137" s="102">
        <v>1</v>
      </c>
      <c r="LH137" s="189">
        <f t="shared" si="549"/>
        <v>0.35655323330557348</v>
      </c>
      <c r="LI137" s="189">
        <f>LH137*(VLOOKUP(AN137,各项系数!$D$1:$F$143,2,0))</f>
        <v>3.5655323330557347</v>
      </c>
      <c r="LJ137" s="235">
        <f>各项系数!$F$76/4*($NI137^2-$NF137^2)*10^-2*(VLOOKUP(AN137,各项系数!$D$1:$F$143,3,0))*10^-3*10^2*各项系数!$J$4</f>
        <v>0.35809717027181703</v>
      </c>
      <c r="LK137" s="102">
        <v>1</v>
      </c>
      <c r="LL137" s="189">
        <f t="shared" si="550"/>
        <v>0.35809717027181703</v>
      </c>
      <c r="LM137" s="189">
        <f>LL137*(VLOOKUP(AN137,各项系数!$D$1:$F$143,2,0))</f>
        <v>3.5809717027181702</v>
      </c>
      <c r="LN137" s="189">
        <f>各项系数!$F$76/4*($NH137^2-$NE137^2)*10^-2*(VLOOKUP($LN$9,各项系数!$D$1:$F$143,3,0))*10^-3*10^2*各项系数!$J$4</f>
        <v>0.35655323330557348</v>
      </c>
      <c r="LO137" s="353">
        <v>1</v>
      </c>
      <c r="LP137" s="189">
        <f t="shared" si="551"/>
        <v>0.35655323330557348</v>
      </c>
      <c r="LQ137" s="189">
        <f>LP137*(VLOOKUP($LN$9,各项系数!$D$1:$F$143,2,0))</f>
        <v>3.9220855663613081</v>
      </c>
      <c r="LR137" s="189">
        <f>各项系数!$F$76/4*($NI137^2-$NF137^2)*10^-2*(VLOOKUP($LR$9,各项系数!$D$1:$F$143,3,0))*10^-3*10^2*各项系数!$J$4</f>
        <v>0.35809717027181703</v>
      </c>
      <c r="LS137" s="353">
        <v>1</v>
      </c>
      <c r="LT137" s="189">
        <f t="shared" si="552"/>
        <v>0.35809717027181703</v>
      </c>
      <c r="LU137" s="189">
        <f>LT137*(VLOOKUP($LR$9,各项系数!$D$1:$F$143,2,0))</f>
        <v>3.9390688729899872</v>
      </c>
      <c r="LV137" s="227">
        <f t="shared" si="420"/>
        <v>358.69013239999998</v>
      </c>
      <c r="LW137" s="227">
        <f t="shared" si="421"/>
        <v>258.2083523</v>
      </c>
      <c r="LX137" s="227">
        <f t="shared" si="422"/>
        <v>18.131770044021309</v>
      </c>
      <c r="LY137" s="227">
        <f t="shared" si="423"/>
        <v>100.48178009999998</v>
      </c>
      <c r="LZ137" s="374">
        <f t="shared" si="365"/>
        <v>1</v>
      </c>
      <c r="MA137" s="375">
        <f t="shared" si="366"/>
        <v>358.69013239999998</v>
      </c>
      <c r="MB137" s="375">
        <f t="shared" si="424"/>
        <v>10.68525223</v>
      </c>
      <c r="MC137" s="227">
        <f t="shared" si="425"/>
        <v>42.448101389999998</v>
      </c>
      <c r="MD137" s="227">
        <f t="shared" si="426"/>
        <v>33.01518987</v>
      </c>
      <c r="ME137" s="227">
        <f t="shared" si="427"/>
        <v>6.4835364824626192</v>
      </c>
      <c r="MF137" s="227">
        <f t="shared" si="428"/>
        <v>9.4329115199999976</v>
      </c>
      <c r="MG137" s="374">
        <f t="shared" si="429"/>
        <v>1</v>
      </c>
      <c r="MH137" s="375">
        <f t="shared" si="367"/>
        <v>42.448101389999998</v>
      </c>
      <c r="MI137" s="375">
        <f t="shared" si="430"/>
        <v>7.3516393606239703</v>
      </c>
      <c r="MJ137" s="189">
        <f t="shared" si="368"/>
        <v>10.68525223</v>
      </c>
      <c r="MK137" s="189">
        <f t="shared" si="431"/>
        <v>10.68525223</v>
      </c>
      <c r="ML137" s="189">
        <f t="shared" si="553"/>
        <v>7.3516393608129</v>
      </c>
      <c r="MM137" s="189">
        <f t="shared" si="369"/>
        <v>7.3516393606239703</v>
      </c>
      <c r="MN137" s="189">
        <f t="shared" si="370"/>
        <v>12.885252229999999</v>
      </c>
      <c r="MO137" s="189">
        <f t="shared" si="432"/>
        <v>9.151639360623971</v>
      </c>
      <c r="MP137" s="189">
        <f t="shared" si="433"/>
        <v>32.774030070000002</v>
      </c>
      <c r="MQ137" s="189">
        <f t="shared" si="554"/>
        <v>32.774030070000002</v>
      </c>
      <c r="MR137" s="246">
        <f t="shared" si="434"/>
        <v>32.774030070000002</v>
      </c>
      <c r="MS137" s="380">
        <f t="shared" si="371"/>
        <v>32.950030070000004</v>
      </c>
      <c r="MT137" s="380">
        <f t="shared" si="372"/>
        <v>33.110030070000001</v>
      </c>
      <c r="MU137" s="380">
        <f t="shared" si="373"/>
        <v>34.450030070000004</v>
      </c>
      <c r="MV137" s="380">
        <f t="shared" si="374"/>
        <v>37.150030070000007</v>
      </c>
      <c r="MW137" s="380">
        <f t="shared" si="375"/>
        <v>37.310030070000003</v>
      </c>
      <c r="MX137" s="254">
        <f t="shared" si="376"/>
        <v>11.285252229999999</v>
      </c>
      <c r="MY137" s="254">
        <f t="shared" si="377"/>
        <v>7.9516393606239699</v>
      </c>
      <c r="MZ137" s="189">
        <f t="shared" si="378"/>
        <v>13.48525223</v>
      </c>
      <c r="NA137" s="189">
        <f t="shared" si="379"/>
        <v>10.151639360623971</v>
      </c>
      <c r="NB137" s="189">
        <f t="shared" si="435"/>
        <v>34.610030070000001</v>
      </c>
      <c r="NC137" s="254">
        <f t="shared" si="555"/>
        <v>34.610030070000001</v>
      </c>
      <c r="ND137" s="246">
        <f t="shared" si="436"/>
        <v>34.610030070000001</v>
      </c>
      <c r="NE137" s="386">
        <f t="shared" si="437"/>
        <v>34.850030070000003</v>
      </c>
      <c r="NF137" s="380">
        <f t="shared" si="380"/>
        <v>35.010030069999999</v>
      </c>
      <c r="NG137" s="387">
        <f t="shared" si="381"/>
        <v>36.350030070000003</v>
      </c>
      <c r="NH137" s="254">
        <f t="shared" si="382"/>
        <v>39.050030070000005</v>
      </c>
      <c r="NI137" s="380">
        <f t="shared" si="383"/>
        <v>39.210030070000002</v>
      </c>
      <c r="NK137" s="388">
        <f t="shared" si="384"/>
        <v>3.4914394555053176</v>
      </c>
      <c r="NL137" s="388">
        <f t="shared" si="385"/>
        <v>177.640486848233</v>
      </c>
      <c r="NM137" s="388">
        <f t="shared" si="386"/>
        <v>3.4914394555053176</v>
      </c>
      <c r="NN137" s="388">
        <f t="shared" si="387"/>
        <v>177.97870583006443</v>
      </c>
      <c r="NO137" s="388">
        <f t="shared" si="388"/>
        <v>4.7224836406227677</v>
      </c>
      <c r="NP137" s="388">
        <f t="shared" si="389"/>
        <v>180.7241744683908</v>
      </c>
      <c r="NQ137" s="388">
        <f t="shared" si="390"/>
        <v>4.7224836406227677</v>
      </c>
      <c r="NR137" s="388">
        <f t="shared" si="391"/>
        <v>181.08072770169642</v>
      </c>
      <c r="NS137" s="388">
        <f t="shared" si="392"/>
        <v>3.5375769003290238</v>
      </c>
      <c r="NT137" s="388">
        <f t="shared" si="393"/>
        <v>3.5375769003290238</v>
      </c>
      <c r="NU137" s="388">
        <f t="shared" si="394"/>
        <v>4.7712750686544592</v>
      </c>
      <c r="NV137" s="388">
        <f t="shared" si="395"/>
        <v>4.7712750686544592</v>
      </c>
      <c r="NW137">
        <f t="shared" si="396"/>
        <v>4.1092726787725198</v>
      </c>
      <c r="NX137">
        <f>各项系数!$M$9*NK137</f>
        <v>1.0474318366515953</v>
      </c>
      <c r="NY137">
        <f t="shared" si="397"/>
        <v>3.5375769003290243</v>
      </c>
    </row>
    <row r="138" spans="1:389" ht="15" hidden="1" customHeight="1">
      <c r="A138" s="69"/>
      <c r="B138" s="70"/>
      <c r="C138" s="71"/>
      <c r="D138" s="53" t="s">
        <v>407</v>
      </c>
      <c r="E138" s="61">
        <f t="shared" si="560"/>
        <v>42.230696790000003</v>
      </c>
      <c r="F138" s="68">
        <f>$F$26</f>
        <v>245.088056587712</v>
      </c>
      <c r="G138" s="58"/>
      <c r="H138" s="62"/>
      <c r="I138" s="145">
        <f>$F$24</f>
        <v>238.573455311777</v>
      </c>
      <c r="J138" s="62"/>
      <c r="K138" s="62"/>
      <c r="L138" s="97" t="s">
        <v>467</v>
      </c>
      <c r="M138" s="103">
        <f t="shared" si="339"/>
        <v>1.1000000000000001</v>
      </c>
      <c r="N138" s="103">
        <f t="shared" si="501"/>
        <v>1</v>
      </c>
      <c r="O138" s="53">
        <f t="shared" ref="O138:O147" si="580">$O$36</f>
        <v>0.08</v>
      </c>
      <c r="P138" s="99">
        <v>0.1</v>
      </c>
      <c r="Q138" s="133">
        <f t="shared" si="578"/>
        <v>0.1</v>
      </c>
      <c r="R138" s="70">
        <v>0.8</v>
      </c>
      <c r="S138" s="142" t="str">
        <f>各项系数!$D$43</f>
        <v>钢带</v>
      </c>
      <c r="T138" s="102">
        <v>0.5</v>
      </c>
      <c r="U138" s="102">
        <v>2</v>
      </c>
      <c r="V138" s="140"/>
      <c r="W138" s="141">
        <v>2.2999999999999998</v>
      </c>
      <c r="X138" s="135">
        <f t="shared" si="579"/>
        <v>0.2</v>
      </c>
      <c r="Y138" s="135"/>
      <c r="Z138" s="168"/>
      <c r="AA138" s="153">
        <f>$AA$26</f>
        <v>1.0129999999999999</v>
      </c>
      <c r="AB138" s="153">
        <f>PI()*EJ138*EJ138/4*EH138*(1-H138)*AA138*各项系数!$F$5*各项系数!$J$4*10^-7</f>
        <v>0.80319697770872212</v>
      </c>
      <c r="AC138" s="153">
        <f t="shared" si="573"/>
        <v>245.088056587712</v>
      </c>
      <c r="AD138" s="153">
        <f t="shared" si="341"/>
        <v>90.802378338116014</v>
      </c>
      <c r="AE138" s="153">
        <f>POWER(4*EU138/PI()/EG138/10^-7/EH138/(1-H138)/各项系数!$F$5/各项系数!$J$4,0.5)</f>
        <v>246.67598485301878</v>
      </c>
      <c r="AF138" s="69">
        <f>$AA$24</f>
        <v>1.0109999999999999</v>
      </c>
      <c r="AG138" s="69">
        <f>IF(EM138=0,0,PI()*ER138*ER138/4*EP138*(1-K138)*(1+AF138)*各项系数!$F$5*各项系数!$J$4*10^-7)</f>
        <v>0.7951902287809961</v>
      </c>
      <c r="AH138" s="69">
        <f t="shared" si="574"/>
        <v>238.573455311777</v>
      </c>
      <c r="AI138" s="69">
        <f t="shared" si="398"/>
        <v>45.194467959085458</v>
      </c>
      <c r="AJ138" s="69">
        <f>IF(OR(EP138="",EP138=0),0,POWER(4*EW138/PI()/EO138/10^-7/EP138/(1-K138)/各项系数!$F$5/各项系数!$J$4,0.5))</f>
        <v>239.88202060340802</v>
      </c>
      <c r="AK138" s="69">
        <f t="shared" si="342"/>
        <v>3.6125578368903759</v>
      </c>
      <c r="AL138" s="69">
        <f t="shared" si="575"/>
        <v>252.28206506204126</v>
      </c>
      <c r="AM138" s="188">
        <f t="shared" si="576"/>
        <v>95</v>
      </c>
      <c r="AN138" s="97" t="s">
        <v>486</v>
      </c>
      <c r="AO138" s="196">
        <f>AP138+各项系数!$M$9*$NK138</f>
        <v>247.33535790396201</v>
      </c>
      <c r="AP138" s="196">
        <f>AQ138*(1+$BI138+(VLOOKUP($AM138,$A$12:$B$323,2,0))+各项系数!$J$6+各项系数!$M$5)*(1+$E$2)</f>
        <v>245.91748824618452</v>
      </c>
      <c r="AQ138" s="197">
        <f>AR138+各项系数!$L$9*$NK138</f>
        <v>250.93621249610666</v>
      </c>
      <c r="AR138" s="197">
        <f>AS138*(1+$BJ138+各项系数!$J$5+各项系数!$L$5)</f>
        <v>249.51834283832918</v>
      </c>
      <c r="AS138" s="197">
        <f t="shared" si="399"/>
        <v>244.62582631208741</v>
      </c>
      <c r="AT138" s="196">
        <f>AU138+各项系数!$M$9*$NM138</f>
        <v>250.19069249311062</v>
      </c>
      <c r="AU138" s="196">
        <f>AV138*(1+$BI138+(VLOOKUP($AM138,$A$12:$B$323,2,0))+各项系数!$J$6+各项系数!$M$5)*(1+$E$2)</f>
        <v>248.77282283533313</v>
      </c>
      <c r="AV138" s="197">
        <f>AW138+各项系数!$L$9*$NM138</f>
        <v>253.84981921972769</v>
      </c>
      <c r="AW138" s="197">
        <f>AX138*(1+$BJ138+各项系数!$J$5+各项系数!$L$5)</f>
        <v>252.4319495619502</v>
      </c>
      <c r="AX138" s="197">
        <f t="shared" si="400"/>
        <v>247.48230349210803</v>
      </c>
      <c r="AY138" s="196">
        <f>AZ138+各项系数!$M$9*$NS138</f>
        <v>250.93772798329874</v>
      </c>
      <c r="AZ138" s="196">
        <f>BA138*(1+$BI138+(VLOOKUP($AM138,$A$12:$B$214,2,0))+各项系数!$J$6+各项系数!$M$5)*(1+$E$2)</f>
        <v>249.50405565877776</v>
      </c>
      <c r="BA138" s="197">
        <f>BB138+各项系数!$L$9*$NS138</f>
        <v>254.59597516201814</v>
      </c>
      <c r="BB138" s="197">
        <f>BC138*(1+$BJ138+各项系数!$J$5+各项系数!$L$5)</f>
        <v>253.16230283749715</v>
      </c>
      <c r="BC138" s="199">
        <f t="shared" si="401"/>
        <v>248.19833611519329</v>
      </c>
      <c r="BD138" s="196">
        <f>BE138+各项系数!$M$9*$NS138</f>
        <v>253.80450373353366</v>
      </c>
      <c r="BE138" s="196">
        <f>BF138*(1+$BI138+(VLOOKUP($AM138,$A$12:$B$214,2,0))+各项系数!$J$6+各项系数!$M$5)*(1+$E$2)</f>
        <v>252.37083140901268</v>
      </c>
      <c r="BF138" s="197">
        <f>BG138+各项系数!$L$9*$NS138</f>
        <v>257.52125653980886</v>
      </c>
      <c r="BG138" s="197">
        <f>BH138*(1+$BJ138+各项系数!$J$5+各项系数!$L$5)</f>
        <v>256.0875842152879</v>
      </c>
      <c r="BH138" s="199">
        <f t="shared" si="402"/>
        <v>251.06625903459599</v>
      </c>
      <c r="BI138" s="213"/>
      <c r="BJ138" s="208"/>
      <c r="BK138" s="53" t="s">
        <v>514</v>
      </c>
      <c r="BL138" s="196">
        <f>BM138+各项系数!$M$9*$NM138</f>
        <v>250.15867012305702</v>
      </c>
      <c r="BM138" s="196">
        <f>BN138*(1+$CF138+(VLOOKUP($AM138,$A$12:$B$323,2,0))+各项系数!$J$6+各项系数!$M$5)*(1+$E$2)</f>
        <v>248.74080046527953</v>
      </c>
      <c r="BN138" s="197">
        <f>BO138+各项系数!$L$9*$NM138</f>
        <v>253.81714333191789</v>
      </c>
      <c r="BO138" s="197">
        <f>BP138*(1+$CG138+各项系数!$J$5+各项系数!$L$5)</f>
        <v>252.3992736741404</v>
      </c>
      <c r="BP138" s="197">
        <f t="shared" si="403"/>
        <v>245.04783851858292</v>
      </c>
      <c r="BQ138" s="196">
        <f>BR138+各项系数!$M$9*$NM138</f>
        <v>252.6160190673333</v>
      </c>
      <c r="BR138" s="196">
        <f>BS138*(1+$CF138+(VLOOKUP($AM138,$A$12:$B$323,2,0))+各项系数!$J$6+各项系数!$M$5)*(1+$E$2)</f>
        <v>251.19814940955581</v>
      </c>
      <c r="BS138" s="197">
        <f>BT138+各项系数!$L$9*$NM138</f>
        <v>256.32464225464878</v>
      </c>
      <c r="BT138" s="197">
        <f>BU138*(1+$CG138+各项系数!$J$5+各项系数!$L$5)</f>
        <v>254.90677259687129</v>
      </c>
      <c r="BU138" s="197">
        <f t="shared" si="404"/>
        <v>247.48230349210803</v>
      </c>
      <c r="BV138" s="196">
        <f>BW138+各项系数!$M$9*$NT138</f>
        <v>252.40085692930629</v>
      </c>
      <c r="BW138" s="196">
        <f>BX138*(1+$CF138+(VLOOKUP($AM138,$A$12:$B$214,2,0))+各项系数!$J$6+各项系数!$M$5)*(1+$E$2)</f>
        <v>250.9671846047853</v>
      </c>
      <c r="BX138" s="197">
        <f>BY138+各项系数!$L$9*$NT$12</f>
        <v>256.08896388243397</v>
      </c>
      <c r="BY138" s="197">
        <f>BZ138*(1+$CG138+各项系数!$J$5+各项系数!$L$5)</f>
        <v>256.08070047927902</v>
      </c>
      <c r="BZ138" s="199">
        <f t="shared" si="343"/>
        <v>248.62203930027087</v>
      </c>
      <c r="CA138" s="196">
        <f>CB138+各项系数!$M$9*$NT138</f>
        <v>254.86805232913406</v>
      </c>
      <c r="CB138" s="196">
        <f>CC138*(1+$CF138+(VLOOKUP($AM138,$A$12:$B$214,2,0))+各项系数!$J$6+各项系数!$M$5)*(1+$E$2)</f>
        <v>253.43438000461308</v>
      </c>
      <c r="CC138" s="197">
        <f>CD138+各项系数!$L$9*$NT$12</f>
        <v>258.60651020878885</v>
      </c>
      <c r="CD138" s="197">
        <f>CE138*(1+$CG138+各项系数!$J$5+各项系数!$L$5)</f>
        <v>258.59824680563389</v>
      </c>
      <c r="CE138" s="199">
        <f t="shared" si="405"/>
        <v>251.06625903459599</v>
      </c>
      <c r="CF138" s="213">
        <f t="shared" si="514"/>
        <v>0</v>
      </c>
      <c r="CG138" s="213">
        <f t="shared" si="344"/>
        <v>0.01</v>
      </c>
      <c r="CH138" s="102"/>
      <c r="CI138" s="196">
        <f>CJ138+各项系数!$M$9*$NO138</f>
        <v>253.20800604803799</v>
      </c>
      <c r="CJ138" s="196">
        <f>CK138*(1+$DC138+(VLOOKUP($AM138,$A$12:$B$323,2,0))+各项系数!$J$6+各项系数!$M$5)*(1+$E$2)+各项系数!$M$9*$NK138</f>
        <v>251.32352365216192</v>
      </c>
      <c r="CK138" s="197">
        <f>CL138+各项系数!$L$9*$NO138</f>
        <v>255.00576938202494</v>
      </c>
      <c r="CL138" s="197">
        <f>CM138*(1+$DD138+各项系数!$J$5+各项系数!$L$5)</f>
        <v>253.12128698614887</v>
      </c>
      <c r="CM138" s="197">
        <f t="shared" si="345"/>
        <v>248.15812449622439</v>
      </c>
      <c r="CN138" s="196">
        <f>CO138+各项系数!$M$9*$NO138</f>
        <v>255.87402679183452</v>
      </c>
      <c r="CO138" s="196">
        <f>CP138*(1+$DC138+(VLOOKUP($AM138,$A$12:$B$323,2,0))+各项系数!$J$6+各项系数!$M$5)*(1+$E$2)+各项系数!$M$9*$NK138</f>
        <v>253.98954439595843</v>
      </c>
      <c r="CP138" s="197">
        <f>CQ138+各项系数!$L$9*$NO138</f>
        <v>257.72619871242955</v>
      </c>
      <c r="CQ138" s="197">
        <f>CR138*(1+$DD138+各项系数!$J$5+各项系数!$L$5)</f>
        <v>255.84171631655349</v>
      </c>
      <c r="CR138" s="197">
        <f t="shared" si="346"/>
        <v>250.82521207505243</v>
      </c>
      <c r="CS138" s="196">
        <f>CT138+各项系数!$M$9*$NU138</f>
        <v>255.56288669361416</v>
      </c>
      <c r="CT138" s="196">
        <f t="shared" si="347"/>
        <v>253.66185069343007</v>
      </c>
      <c r="CU138" s="197">
        <f>CV138+各项系数!$L$9*$NU138</f>
        <v>258.83862315656131</v>
      </c>
      <c r="CV138" s="197">
        <f>CW138*(1+$DD138+各项系数!$J$5+各项系数!$L$5)</f>
        <v>256.93758715637722</v>
      </c>
      <c r="CW138" s="199">
        <f t="shared" si="348"/>
        <v>251.89959525135021</v>
      </c>
      <c r="CX138" s="196">
        <f>CY138+各项系数!$M$9*$NU138</f>
        <v>258.55780344801599</v>
      </c>
      <c r="CY138" s="196">
        <f t="shared" si="349"/>
        <v>256.6567674478319</v>
      </c>
      <c r="CZ138" s="197">
        <f>DA138+各项系数!$L$9*$NU138</f>
        <v>261.89466066105297</v>
      </c>
      <c r="DA138" s="197">
        <f>DB138*(1+$DD138+各项系数!$J$5+各项系数!$L$5)</f>
        <v>259.99362466086887</v>
      </c>
      <c r="DB138" s="199">
        <f t="shared" si="350"/>
        <v>254.89571045183223</v>
      </c>
      <c r="DC138" s="213">
        <f t="shared" si="571"/>
        <v>0</v>
      </c>
      <c r="DD138" s="213">
        <f t="shared" si="351"/>
        <v>0</v>
      </c>
      <c r="DE138" s="53" t="s">
        <v>498</v>
      </c>
      <c r="DF138" s="53" t="s">
        <v>513</v>
      </c>
      <c r="DG138" s="196">
        <f>DH138+各项系数!$M$9*$NQ138</f>
        <v>256.08505177568196</v>
      </c>
      <c r="DH138" s="196">
        <f>DI138*(1+$EA138+(VLOOKUP($AM138,$A$12:$B$323,2,0))+各项系数!$J$6+各项系数!$M$5)*(1+$E$2)+各项系数!$M$9*$NK138</f>
        <v>254.2005693798059</v>
      </c>
      <c r="DI138" s="197">
        <f>DJ138+各项系数!$L$9*$NQ138</f>
        <v>257.94153032860044</v>
      </c>
      <c r="DJ138" s="197">
        <f>DK138*(1+$EB138+各项系数!$J$5+各项系数!$L$5)</f>
        <v>256.05704793272434</v>
      </c>
      <c r="DK138" s="197">
        <f t="shared" si="352"/>
        <v>248.59907566283914</v>
      </c>
      <c r="DL138" s="196">
        <f>DM138+各项系数!$M$9*$NQ138</f>
        <v>258.65268102213531</v>
      </c>
      <c r="DM138" s="196">
        <f>DN138*(1+$EA138+(VLOOKUP($AM138,$A$12:$B$323,2,0))+各项系数!$J$6+各项系数!$M$5)*(1+$E$2)+各项系数!$M$9*$NK138</f>
        <v>256.76819862625922</v>
      </c>
      <c r="DN138" s="197">
        <f>DO138+各项系数!$L$9*$NQ138</f>
        <v>260.56156017192018</v>
      </c>
      <c r="DO138" s="197">
        <f>DP138*(1+$EB138+各项系数!$J$5+各项系数!$L$5)</f>
        <v>258.67707777604409</v>
      </c>
      <c r="DP138" s="197">
        <f t="shared" si="353"/>
        <v>251.14279395732433</v>
      </c>
      <c r="DQ138" s="196">
        <f>DR138+各项系数!$M$9*$NV138</f>
        <v>258.47830570843911</v>
      </c>
      <c r="DR138" s="196">
        <f t="shared" si="354"/>
        <v>256.57726970825502</v>
      </c>
      <c r="DS138" s="197">
        <f>DT138+各项系数!$L$9*$NV138</f>
        <v>261.81354051862758</v>
      </c>
      <c r="DT138" s="197">
        <f>DU138*(1+$EB138+各项系数!$J$5+各项系数!$L$5)</f>
        <v>259.91250451844348</v>
      </c>
      <c r="DU138" s="199">
        <f t="shared" si="355"/>
        <v>252.34223739654706</v>
      </c>
      <c r="DV138" s="196">
        <f>DW138+各项系数!$M$9*$NV138</f>
        <v>258.33869746250093</v>
      </c>
      <c r="DW138" s="196">
        <f t="shared" si="356"/>
        <v>256.43766146231684</v>
      </c>
      <c r="DX138" s="197">
        <f>DY138+各项系数!$L$9*$NV138</f>
        <v>261.67108312481309</v>
      </c>
      <c r="DY138" s="197">
        <f>DZ138*(1+$EB138+各项系数!$J$5+各项系数!$L$5)</f>
        <v>259.770047124629</v>
      </c>
      <c r="DZ138" s="199">
        <f t="shared" si="357"/>
        <v>252.20392924721264</v>
      </c>
      <c r="EA138" s="213">
        <f t="shared" si="559"/>
        <v>0</v>
      </c>
      <c r="EB138" s="213">
        <f t="shared" si="358"/>
        <v>0.01</v>
      </c>
      <c r="EC138" s="235" t="str">
        <f t="shared" si="408"/>
        <v>4+1</v>
      </c>
      <c r="ED138" s="235" t="str">
        <f t="shared" si="565"/>
        <v>4*95</v>
      </c>
      <c r="EE138" s="189">
        <f t="shared" si="495"/>
        <v>95</v>
      </c>
      <c r="EF138" s="189" t="str">
        <f>LOOKUP(EH138,{1,7,10,14,19,24,30,37,48,61},{1,"1+6","2+8","4+10","1+6+12","2+8+14","4+10+16","1+6+12+18","3+9+15+21","1+6+12+18+24"})</f>
        <v>1+6+12</v>
      </c>
      <c r="EG138" s="188">
        <f t="shared" si="359"/>
        <v>4</v>
      </c>
      <c r="EH138" s="197">
        <f>VLOOKUP(EE138,各项系数!$B$87:$C$124,2,0)</f>
        <v>19</v>
      </c>
      <c r="EI138" s="188">
        <f>IF(EH138=0,0,VLOOKUP(EH138,各项系数!$D$142:$E$195,2,0))*1</f>
        <v>5</v>
      </c>
      <c r="EJ138" s="238">
        <f t="shared" si="409"/>
        <v>245.088056587712</v>
      </c>
      <c r="EK138" s="189" t="str">
        <f t="shared" si="566"/>
        <v>1*50</v>
      </c>
      <c r="EL138" s="189" t="str">
        <f t="shared" si="360"/>
        <v>50</v>
      </c>
      <c r="EM138" s="189">
        <f t="shared" si="567"/>
        <v>50</v>
      </c>
      <c r="EN138" s="189" t="str">
        <f>IF(EP138=0,0,LOOKUP(EP138,{1,7,10,14,19,24,30,37,48,61},{1,"1+6","2+8","4+10","1+6+12","2+8+14","4+10+16","1+6+12+18","3+9+15+21","1+6+12+18+24"}))</f>
        <v>2+8</v>
      </c>
      <c r="EO138" s="189" t="str">
        <f t="shared" si="568"/>
        <v>1</v>
      </c>
      <c r="EP138" s="189">
        <f>IF(EM138=0,0,IF(EM138&lt;10,1,IF(AND(EM138&gt;=10,EM138&lt;=35),7,LOOKUP(EM138,{50,70,95,120,150,185,240,300},{10,14,19,24,30,37,48,61})*1)))</f>
        <v>10</v>
      </c>
      <c r="EQ138" s="189">
        <f>IF(EP138=0,0,VLOOKUP(EP138,各项系数!$D$142:$E$195,2,0))*1</f>
        <v>4</v>
      </c>
      <c r="ER138" s="189">
        <f t="shared" si="577"/>
        <v>238.573455311777</v>
      </c>
      <c r="ES138" s="235">
        <f t="shared" si="570"/>
        <v>5</v>
      </c>
      <c r="ET138" s="189">
        <f>VLOOKUP(ES138,各项系数!$D$142:$E$195,2,0)*1</f>
        <v>2.7</v>
      </c>
      <c r="EU138" s="243">
        <f>((各项系数!$F$76/4*$EJ138^2*$EG138*$EH138*1*10^-7)*(1-$H138)*AA138)*(VLOOKUP($EY$9,各项系数!$D$4:$F$143,3,0))*各项系数!$J$4</f>
        <v>3.212787910834888</v>
      </c>
      <c r="EV138" s="244">
        <f>EU138*(VLOOKUP($EY$9,各项系数!$D$4:$F$143,2,0))</f>
        <v>210.43760815968517</v>
      </c>
      <c r="EW138" s="252">
        <f>(IF($EO138=0,0,(各项系数!$F$76/4*$ER138^2*$EO138*$EP138*1*10^-7))*(1-$K138)*$AF138)*(VLOOKUP($EY$9,各项系数!$D$4:$F$143,3,0))*各项系数!$J$4</f>
        <v>0.39976992605548828</v>
      </c>
      <c r="EX138" s="253">
        <f>EW138*(VLOOKUP($EY$9,各项系数!$D$4:$F$143,2,0))</f>
        <v>26.184930156634483</v>
      </c>
      <c r="EY138" s="189">
        <f>((各项系数!$F$76/4*$EJ138^2*$EG138*$EH138*1*10^-7)*(1-$H138)*AA138+IF($EO138=0,0,(各项系数!$F$76/4*$ER138^2*$EO138*$EP138*1*10^-7))*(1-$K138)*$AF138)*(VLOOKUP($EY$9,各项系数!$D$4:$F$143,3,0))*各项系数!$J$4</f>
        <v>3.6125578368903759</v>
      </c>
      <c r="EZ138" s="102">
        <v>1</v>
      </c>
      <c r="FA138" s="189">
        <f t="shared" si="515"/>
        <v>3.6125578368903759</v>
      </c>
      <c r="FB138" s="254">
        <f>FA138*(VLOOKUP($EY$9,各项系数!$D$4:$F$143,2,0))</f>
        <v>236.62253831631963</v>
      </c>
      <c r="FC138" s="255"/>
      <c r="FD138" s="235">
        <f>各项系数!$F$76/4*($MN138^2-MK138^2)*10^-2*(VLOOKUP(L138,各项系数!$D$1:$F$143,3,0))*10^-3*10^2*$EG138*各项系数!$J$4</f>
        <v>0.20204252533927422</v>
      </c>
      <c r="FE138" s="262">
        <f>FD138*VLOOKUP(L138,各项系数!$D$1:$F$143,2,0)</f>
        <v>2.0608337584605967</v>
      </c>
      <c r="FF138" s="188">
        <f>各项系数!$F$76/4*($MO138^2-ML138^2)*10^-2*(VLOOKUP(L138,各项系数!$D$1:$F$143,3,0))*10^-3*10^2*$EO138*各项系数!$J$4</f>
        <v>3.6251610066291365E-2</v>
      </c>
      <c r="FG138" s="262">
        <f>FF138*VLOOKUP(L138,各项系数!$D$1:$F$143,2,0)</f>
        <v>0.36976642267617188</v>
      </c>
      <c r="FH138" s="235">
        <f t="shared" si="410"/>
        <v>0.2382941354055656</v>
      </c>
      <c r="FI138" s="102">
        <v>1</v>
      </c>
      <c r="FJ138" s="189">
        <f t="shared" si="516"/>
        <v>0.2382941354055656</v>
      </c>
      <c r="FK138" s="262">
        <f>FJ138*VLOOKUP(L138,各项系数!$D$1:$F$143,2,0)</f>
        <v>2.4306001811367688</v>
      </c>
      <c r="FL138" s="235"/>
      <c r="FM138" s="102"/>
      <c r="FN138" s="189"/>
      <c r="FO138" s="262"/>
      <c r="FP138" s="282">
        <f t="shared" si="517"/>
        <v>0.2382941354055656</v>
      </c>
      <c r="FQ138" s="282">
        <f t="shared" si="518"/>
        <v>2.4306001811367688</v>
      </c>
      <c r="FR138" s="283">
        <f>各项系数!$F$76/4*($MQ138^2-$MN138^2*$EG138-$MO138^2*$EO138)*10^-2</f>
        <v>3.4078099745284374</v>
      </c>
      <c r="FS138" s="284">
        <f t="shared" si="411"/>
        <v>1</v>
      </c>
      <c r="FT138" s="285">
        <f t="shared" si="361"/>
        <v>3.4078099745284374</v>
      </c>
      <c r="FU138" s="302">
        <f>$FT138*(VLOOKUP($FT$9,各项系数!$D$1:$F$143,3,0))*10^-3*10^2*各项系数!$J$55</f>
        <v>0.40689251095869539</v>
      </c>
      <c r="FV138" s="303">
        <v>1</v>
      </c>
      <c r="FW138" s="304">
        <f t="shared" si="519"/>
        <v>0.40689251095869539</v>
      </c>
      <c r="FX138" s="285">
        <f>FW138*(VLOOKUP($FT$9,各项系数!$D$1:$F$143,2,0))</f>
        <v>1.2206775328760862</v>
      </c>
      <c r="FY138" s="302">
        <f>IF($BK138&lt;&gt;$FY$9,0,各项系数!$F$76/4*($MS138^2-$MQ138^2)*10^-2*(VLOOKUP($FY$9,各项系数!$D$1:$F$143,3,0))*10^-3*10^2)*各项系数!$J$4</f>
        <v>0</v>
      </c>
      <c r="FZ138" s="303">
        <v>1</v>
      </c>
      <c r="GA138" s="304">
        <f t="shared" si="520"/>
        <v>0</v>
      </c>
      <c r="GB138" s="285">
        <f>GA138*(VLOOKUP($FY$9,各项系数!$D$1:$F$143,2,0))</f>
        <v>0</v>
      </c>
      <c r="GC138" s="302">
        <f>IF($BK138&lt;&gt;$GC$9,0,各项系数!$F$76/4*($MS138^2-$MQ138^2)*10^-2*(VLOOKUP($GC$9,各项系数!$D$1:$F$143,3,0))*10^-3*10^2)*各项系数!$J$4</f>
        <v>1.0223892775180859E-2</v>
      </c>
      <c r="GD138" s="303">
        <v>1</v>
      </c>
      <c r="GE138" s="304">
        <f t="shared" si="521"/>
        <v>1.0223892775180859E-2</v>
      </c>
      <c r="GF138" s="285">
        <f>GE138*(VLOOKUP($GC$9,各项系数!$D$1:$F$143,2,0))</f>
        <v>0.13188821679983309</v>
      </c>
      <c r="GG138" s="302">
        <f>IF($BK138&lt;&gt;$GG$9,0,各项系数!$F$76/4*($MS138^2-$MQ138^2)*10^-2*(VLOOKUP($GG$9,各项系数!$D$1:$F$143,3,0))*10^-3*10^2)*各项系数!$J$4</f>
        <v>0</v>
      </c>
      <c r="GH138" s="303">
        <v>1</v>
      </c>
      <c r="GI138" s="304">
        <f t="shared" si="522"/>
        <v>0</v>
      </c>
      <c r="GJ138" s="285">
        <f>GI138*(VLOOKUP($GG$9,各项系数!$D$1:$F$143,2,0))</f>
        <v>0</v>
      </c>
      <c r="GK138" s="302">
        <f>IF($BK138&lt;&gt;$GK$9,0,各项系数!$F$76/4*($MS138^2-$MQ138^2)*10^-2*(VLOOKUP($GK$9,各项系数!$D$1:$F$143,3,0))*10^-3*10^2)*各项系数!$J$4</f>
        <v>0</v>
      </c>
      <c r="GL138" s="303">
        <v>1</v>
      </c>
      <c r="GM138" s="304">
        <f t="shared" si="523"/>
        <v>0</v>
      </c>
      <c r="GN138" s="285">
        <f>GM138*(VLOOKUP($GK$9,各项系数!$D$1:$F$143,2,0))</f>
        <v>0</v>
      </c>
      <c r="GO138" s="304">
        <f t="shared" si="524"/>
        <v>1.0223892775180859E-2</v>
      </c>
      <c r="GP138" s="304">
        <f t="shared" si="525"/>
        <v>0.13188821679983309</v>
      </c>
      <c r="GQ138" s="315">
        <f>各项系数!$F$76/4*($MU138^2-$MS138^2)*10^-2*(VLOOKUP($S138,各项系数!$D$1:$F$143,3,0))*10^-3*10^2*各项系数!$J$4</f>
        <v>0.70364535461100886</v>
      </c>
      <c r="GR138" s="303">
        <v>1</v>
      </c>
      <c r="GS138" s="304">
        <f t="shared" si="526"/>
        <v>0.70364535461100886</v>
      </c>
      <c r="GT138" s="304">
        <f t="shared" si="457"/>
        <v>0</v>
      </c>
      <c r="GU138" s="304">
        <f>ROUND($GS138*(VLOOKUP($S138,各项系数!$D$1:$F$143,2,0))+$E$3*GS138,GT138)</f>
        <v>4</v>
      </c>
      <c r="GV138" s="315">
        <f>各项系数!$F$76/4*($MT138^2-$MS138^2)*10^-2*(VLOOKUP($GV$9,各项系数!$D$1:$F$143,3,0))*10^-3*10^2*各项系数!$J$4*PI()/4*R138</f>
        <v>5.2675555811631448E-2</v>
      </c>
      <c r="GW138" s="303">
        <v>1</v>
      </c>
      <c r="GX138" s="304">
        <f t="shared" si="527"/>
        <v>5.2675555811631448E-2</v>
      </c>
      <c r="GY138" s="304">
        <f>$GX138*(VLOOKUP($GV$9,各项系数!$D$1:$F$143,2,0))</f>
        <v>3.5556000172851228</v>
      </c>
      <c r="GZ138" s="315">
        <f>各项系数!$F$76/4*($MV138^2-$MS138^2)*10^-2*(VLOOKUP($GZ$9,各项系数!$D$1:$F$143,3,0))*10^-3*10^2*各项系数!$J$4</f>
        <v>0.41627054382209849</v>
      </c>
      <c r="HA138" s="303">
        <v>1</v>
      </c>
      <c r="HB138" s="304">
        <f t="shared" si="412"/>
        <v>0.41627054382209849</v>
      </c>
      <c r="HC138" s="304">
        <f>HB138*(VLOOKUP($GZ$9,各项系数!$D$1:$F$143,2,0))</f>
        <v>7.0765992449756743</v>
      </c>
      <c r="HD138" s="315">
        <f>各项系数!$F$76/4*($MW138^2-$MT138^2)*10^-2*(VLOOKUP($HD$9,各项系数!$D$1:$F$143,3,0))*10^-3*10^2*各项系数!$J$4</f>
        <v>0.41793851589285391</v>
      </c>
      <c r="HE138" s="303">
        <v>1</v>
      </c>
      <c r="HF138" s="304">
        <f t="shared" si="413"/>
        <v>0.41793851589285391</v>
      </c>
      <c r="HG138" s="304">
        <f>HF138*(VLOOKUP($HD$9,各项系数!$D$1:$F$143,2,0))</f>
        <v>7.1049547701785167</v>
      </c>
      <c r="HH138" s="315">
        <f>各项系数!$F$76/4*($MV138^2-$MS138^2)*10^-2*(VLOOKUP($HH$9,各项系数!$D$1:$F$143,3,0))*10^-3*10^2*各项系数!$J$4</f>
        <v>0.41627054382209849</v>
      </c>
      <c r="HI138" s="322">
        <v>1</v>
      </c>
      <c r="HJ138" s="304">
        <f t="shared" si="414"/>
        <v>0.41627054382209849</v>
      </c>
      <c r="HK138" s="304">
        <f>HJ138*(VLOOKUP($HH$9,各项系数!$D$1:$F$143,2,0))</f>
        <v>7.0765992449756743</v>
      </c>
      <c r="HL138" s="315">
        <f>各项系数!$F$76/4*($MW138^2-$MT138^2)*10^-2*(VLOOKUP($HL$9,各项系数!$D$1:$F$143,3,0))*10^-3*10^2*各项系数!$J$4</f>
        <v>0.41793851589285391</v>
      </c>
      <c r="HM138" s="322">
        <v>1</v>
      </c>
      <c r="HN138" s="304">
        <f t="shared" si="362"/>
        <v>0.41793851589285391</v>
      </c>
      <c r="HO138" s="304">
        <f>HN138*(VLOOKUP($HL$9,各项系数!$D$1:$F$143,2,0))</f>
        <v>7.1049547701785167</v>
      </c>
      <c r="HP138" s="315">
        <f>各项系数!$F$76/4*($MV138^2-$MS138^2)*10^-2*(VLOOKUP(AN138,各项系数!$D$1:$F$143,3,0))*10^-3*10^2*各项系数!$J$4</f>
        <v>0.4220122064955068</v>
      </c>
      <c r="HQ138" s="303">
        <v>1</v>
      </c>
      <c r="HR138" s="304">
        <f t="shared" si="528"/>
        <v>0.4220122064955068</v>
      </c>
      <c r="HS138" s="304">
        <f>HR138*(VLOOKUP(AN138,各项系数!$D$1:$F$143,2,0))</f>
        <v>4.2201220649550679</v>
      </c>
      <c r="HT138" s="315">
        <f>各项系数!$F$76/4*($MW138^2-$MT138^2)*10^-2*(VLOOKUP(AN138,各项系数!$D$1:$F$143,3,0))*10^-3*10^2*各项系数!$J$4</f>
        <v>0.42370318507758298</v>
      </c>
      <c r="HU138" s="303">
        <v>1</v>
      </c>
      <c r="HV138" s="304">
        <f t="shared" si="529"/>
        <v>0.42370318507758298</v>
      </c>
      <c r="HW138" s="304">
        <f>HV138*(VLOOKUP(AN138,各项系数!$D$1:$F$143,2,0))</f>
        <v>4.2370318507758302</v>
      </c>
      <c r="HX138" s="315">
        <f>各项系数!$F$76/4*($MV138^2-$MS138^2)*10^-2*(VLOOKUP($HX$9,各项系数!$D$1:$F$143,3,0))*10^-3*10^2*各项系数!$J$4</f>
        <v>0.4220122064955068</v>
      </c>
      <c r="HY138" s="322">
        <v>1</v>
      </c>
      <c r="HZ138" s="304">
        <f t="shared" si="530"/>
        <v>0.4220122064955068</v>
      </c>
      <c r="IA138" s="304">
        <f>HZ138*(VLOOKUP($HX$9,各项系数!$D$1:$F$143,2,0))</f>
        <v>4.6421342714505744</v>
      </c>
      <c r="IB138" s="315">
        <f>各项系数!$F$76/4*($MW138^2-$MT138^2)*10^-2*(VLOOKUP($IB$9,各项系数!$D$1:$F$143,3,0))*10^-3*10^2*各项系数!$J$4</f>
        <v>0.42370318507758298</v>
      </c>
      <c r="IC138" s="322">
        <v>1</v>
      </c>
      <c r="ID138" s="304">
        <f t="shared" si="531"/>
        <v>0.42370318507758298</v>
      </c>
      <c r="IE138" s="304">
        <f>ID138*(VLOOKUP($IB$9,各项系数!$D$1:$F$143,2,0))</f>
        <v>4.6607350358534125</v>
      </c>
      <c r="IF138" s="328"/>
      <c r="IG138" s="315">
        <f t="shared" si="415"/>
        <v>8.4484058636812923E-2</v>
      </c>
      <c r="IH138" s="303">
        <v>1</v>
      </c>
      <c r="II138" s="304">
        <f t="shared" si="532"/>
        <v>8.4484058636812923E-2</v>
      </c>
      <c r="IJ138" s="304">
        <f>II138*(VLOOKUP($IG$8,各项系数!$D$1:$F$143,2,0))</f>
        <v>2.1121014659203232</v>
      </c>
      <c r="IK138" s="315">
        <f>(各项系数!$F$76/4*($MX138^2-$MK138^2)*$EG138)*10^-2*(VLOOKUP($IG$8,各项系数!$D$1:$F$143,3,0))*10^-3*10^2*各项系数!$J$4</f>
        <v>7.0638508196906216E-2</v>
      </c>
      <c r="IL138" s="303">
        <f>IK138*(VLOOKUP($IG$8,各项系数!$D$1:$F$143,2,0))</f>
        <v>1.7659627049226554</v>
      </c>
      <c r="IM138" s="304">
        <f>(各项系数!$F$76/4*(($MM138+3*$X138)^2-MM138^2)*$EO138)*10^-2*(VLOOKUP($IG$8,各项系数!$D$1:$F$143,3,0))*10^-3*10^2*各项系数!$J$4</f>
        <v>1.3845550439906705E-2</v>
      </c>
      <c r="IN138" s="303">
        <f>IM138*(VLOOKUP($IG$8,各项系数!$D$1:$F$143,2,0))</f>
        <v>0.3461387609976676</v>
      </c>
      <c r="IO138" s="315">
        <f>各项系数!$F$76/4*($MZ138^2-$MX138^2)*10^-2*(VLOOKUP(L138,各项系数!$D$1:$F$143,3,0))*10^-3*10^2*$ES138*各项系数!$J$4</f>
        <v>0.26390011809996089</v>
      </c>
      <c r="IP138" s="303">
        <v>1</v>
      </c>
      <c r="IQ138" s="304">
        <f t="shared" si="533"/>
        <v>0.26390011809996089</v>
      </c>
      <c r="IR138" s="285">
        <f>IQ138*(VLOOKUP(L138,各项系数!$D$1:$F$143,2,0))</f>
        <v>2.691781204619601</v>
      </c>
      <c r="IS138" s="315">
        <f>IF($L138&lt;&gt;$IS$9,0,各项系数!$F$76/4*($MZ138^2-$MX138^2)*10^-2*各项系数!$F$12*10^-3*10^2)*$ES138*各项系数!$J$4</f>
        <v>0</v>
      </c>
      <c r="IT138" s="303">
        <v>1</v>
      </c>
      <c r="IU138" s="304">
        <f t="shared" si="534"/>
        <v>0</v>
      </c>
      <c r="IV138" s="285">
        <f>IU138*各项系数!$E$12</f>
        <v>0</v>
      </c>
      <c r="IW138" s="302">
        <f t="shared" si="535"/>
        <v>0.26390011809996089</v>
      </c>
      <c r="IX138" s="302">
        <f t="shared" si="536"/>
        <v>2.691781204619601</v>
      </c>
      <c r="IY138" s="339">
        <f>各项系数!$F$76/4*($NB138^2-$MZ138^2*$EG138-$NA138^2*$EO138)*10^-2</f>
        <v>3.7416009054012824</v>
      </c>
      <c r="IZ138" s="284">
        <f t="shared" si="487"/>
        <v>1</v>
      </c>
      <c r="JA138" s="285">
        <f t="shared" si="363"/>
        <v>3.7416009054012824</v>
      </c>
      <c r="JB138" s="282">
        <f>IF($DE138&lt;&gt;$JB$9,0,$JA138*各项系数!$F$32*10^-3*10^2)*各项系数!$J$4</f>
        <v>0</v>
      </c>
      <c r="JC138" s="102">
        <v>1</v>
      </c>
      <c r="JD138" s="189">
        <f t="shared" si="537"/>
        <v>0</v>
      </c>
      <c r="JE138" s="262">
        <f>JD138*各项系数!$E$32</f>
        <v>0</v>
      </c>
      <c r="JF138" s="282">
        <f>IF($DE138&lt;&gt;$JF$9,0,$JA138*VLOOKUP($JF$9,各项系数!$D$4:$F$540,2,0)*10^-3*10^2)*各项系数!$J$4</f>
        <v>1.8614464504371382</v>
      </c>
      <c r="JG138" s="102">
        <v>1</v>
      </c>
      <c r="JH138" s="189">
        <f t="shared" si="364"/>
        <v>1.8614464504371382</v>
      </c>
      <c r="JI138" s="262">
        <f>JH138*VLOOKUP($JF$9,各项系数!$D$4:$F$540,3,0)</f>
        <v>2.2337357405245659</v>
      </c>
      <c r="JJ138" s="282">
        <f t="shared" si="538"/>
        <v>1.8614464504371382</v>
      </c>
      <c r="JK138" s="189">
        <f t="shared" si="539"/>
        <v>2.2337357405245659</v>
      </c>
      <c r="JL138" s="282">
        <f>IF($DF138&lt;&gt;$JL$9,0,各项系数!$F$76/4*($NE138^2-$NC138^2)*10^-2*各项系数!$F$39*10^-3*10^2)*各项系数!$J$4</f>
        <v>4.4228051346320539E-3</v>
      </c>
      <c r="JM138" s="102">
        <v>1</v>
      </c>
      <c r="JN138" s="189">
        <f t="shared" si="540"/>
        <v>4.4228051346320539E-3</v>
      </c>
      <c r="JO138" s="262">
        <f>JN138*各项系数!$E$39</f>
        <v>8.8456102692641078E-2</v>
      </c>
      <c r="JP138" s="282">
        <f>IF($DF138&lt;&gt;$JP$9,0,各项系数!$F$76/4*($NE138^2-$NC138^2)*10^-2*各项系数!$F$36*10^-3*10^2)*各项系数!$J$4</f>
        <v>0</v>
      </c>
      <c r="JQ138" s="102">
        <v>1</v>
      </c>
      <c r="JR138" s="189">
        <f t="shared" si="541"/>
        <v>0</v>
      </c>
      <c r="JS138" s="262">
        <f>JR138*各项系数!$E$36</f>
        <v>0</v>
      </c>
      <c r="JT138" s="282">
        <f>IF($DF138&lt;&gt;$JT$9,0,各项系数!$F$76/4*($NE138^2-$NC138^2)*10^-2*各项系数!$F$40*10^-3*10^2)*各项系数!$J$4</f>
        <v>0</v>
      </c>
      <c r="JU138" s="102">
        <v>1</v>
      </c>
      <c r="JV138" s="189">
        <f t="shared" si="542"/>
        <v>0</v>
      </c>
      <c r="JW138" s="262">
        <f>JV138*各项系数!$E$40</f>
        <v>0</v>
      </c>
      <c r="JX138" s="282">
        <f>IF($DF138&lt;&gt;$JX$9,0,各项系数!$F$76/4*($NE138^2-$NC138^2)*10^-2*各项系数!$F$38*10^-3*10^2)*各项系数!$J$4</f>
        <v>0</v>
      </c>
      <c r="JY138" s="102">
        <v>1</v>
      </c>
      <c r="JZ138" s="189">
        <f t="shared" si="543"/>
        <v>0</v>
      </c>
      <c r="KA138" s="262">
        <f>JZ138*各项系数!$E$38</f>
        <v>0</v>
      </c>
      <c r="KB138" s="282">
        <f>IF($DF138&lt;&gt;$KB$9,0,各项系数!$F$76/4*($NE138^2-$NC138^2)*10^-2*各项系数!$F$41*10^-3*10^2)*各项系数!$J$4</f>
        <v>0</v>
      </c>
      <c r="KC138" s="102">
        <v>1</v>
      </c>
      <c r="KD138" s="189">
        <f t="shared" si="544"/>
        <v>0</v>
      </c>
      <c r="KE138" s="262">
        <f>KD138*各项系数!$E$41</f>
        <v>0</v>
      </c>
      <c r="KF138" s="189">
        <f t="shared" si="545"/>
        <v>4.4228051346320539E-3</v>
      </c>
      <c r="KG138" s="189">
        <f t="shared" si="546"/>
        <v>8.8456102692641078E-2</v>
      </c>
      <c r="KH138" s="235">
        <f>各项系数!$F$76/4*($NG138^2-$NE138^2)*10^-2*各项系数!$F$44*10^-3*10^2*各项系数!$J$4*0.75*$U138</f>
        <v>1.1047479791655999</v>
      </c>
      <c r="KI138" s="102">
        <v>1</v>
      </c>
      <c r="KJ138" s="189">
        <f t="shared" si="547"/>
        <v>1.1047479791655999</v>
      </c>
      <c r="KK138" s="189">
        <f>ROUND(KJ138*各项系数!$E$43,GT138)</f>
        <v>6</v>
      </c>
      <c r="KL138" s="235">
        <f>各项系数!$F$76/4*($NF138^2-$NE138^2)*10^-2*各项系数!$F$46*10^-3*10^2*各项系数!$J$4*PI()/4*R138</f>
        <v>5.5178681026741686E-2</v>
      </c>
      <c r="KM138" s="102">
        <v>1</v>
      </c>
      <c r="KN138" s="189">
        <f t="shared" si="548"/>
        <v>5.5178681026741686E-2</v>
      </c>
      <c r="KO138" s="189">
        <f>KN138*各项系数!$E$46</f>
        <v>3.7245609693050636</v>
      </c>
      <c r="KP138" s="235">
        <f>各项系数!$F$76/4*($NH138^2-$NE138^2)*10^-2*(VLOOKUP($KP$9,各项系数!$D$1:$F$143,3,0))*10^-3*10^2*各项系数!$J$4</f>
        <v>0.43495183101456275</v>
      </c>
      <c r="KQ138" s="102">
        <v>1</v>
      </c>
      <c r="KR138" s="189">
        <f t="shared" si="416"/>
        <v>0.43495183101456275</v>
      </c>
      <c r="KS138" s="189">
        <f>KR138*(VLOOKUP($KP$9,各项系数!$D$1:$F$143,2,0))</f>
        <v>7.3941811272475668</v>
      </c>
      <c r="KT138" s="235">
        <f>各项系数!$F$76/4*($NI138^2-$NF138^2)*10^-2*(VLOOKUP($KT$9,各项系数!$D$1:$F$143,3,0))*10^-3*10^2*各项系数!$J$4</f>
        <v>0.43661980308531823</v>
      </c>
      <c r="KU138" s="102">
        <v>1</v>
      </c>
      <c r="KV138" s="189">
        <f t="shared" si="417"/>
        <v>0.43661980308531823</v>
      </c>
      <c r="KW138" s="189">
        <f>KV138*(VLOOKUP($KT$9,各项系数!$D$1:$F$143,2,0))</f>
        <v>7.4225366524504102</v>
      </c>
      <c r="KX138" s="189">
        <f>各项系数!$F$76/4*($NH138^2-$NE138^2)*10^-2*(VLOOKUP($KX$9,各项系数!$D$1:$F$143,3,0))*10^-3*10^2*各项系数!$J$4</f>
        <v>0.43495183101456275</v>
      </c>
      <c r="KY138" s="353">
        <v>1</v>
      </c>
      <c r="KZ138" s="189">
        <f t="shared" si="418"/>
        <v>0.43495183101456275</v>
      </c>
      <c r="LA138" s="189">
        <f>KZ138*(VLOOKUP($KX$9,各项系数!$D$1:$F$143,2,0))</f>
        <v>7.3941811272475668</v>
      </c>
      <c r="LB138" s="189">
        <f>各项系数!$F$76/4*($NI138^2-$NF138^2)*10^-2*(VLOOKUP($LB$9,各项系数!$D$1:$F$143,3,0))*10^-3*10^2*各项系数!$J$4</f>
        <v>0.43661980308531823</v>
      </c>
      <c r="LC138" s="353">
        <v>1</v>
      </c>
      <c r="LD138" s="189">
        <f t="shared" si="419"/>
        <v>0.43661980308531823</v>
      </c>
      <c r="LE138" s="189">
        <f>LD138*(VLOOKUP($LB$9,各项系数!$D$1:$F$143,2,0))</f>
        <v>7.4225366524504102</v>
      </c>
      <c r="LF138" s="235">
        <f>各项系数!$F$76/4*($NH138^2-$NE138^2)*10^-2*(VLOOKUP(AN138,各项系数!$D$1:$F$143,3,0))*10^-3*10^2*各项系数!$J$4</f>
        <v>0.44095116661476369</v>
      </c>
      <c r="LG138" s="102">
        <v>1</v>
      </c>
      <c r="LH138" s="189">
        <f t="shared" si="549"/>
        <v>0.44095116661476369</v>
      </c>
      <c r="LI138" s="189">
        <f>LH138*(VLOOKUP(AN138,各项系数!$D$1:$F$143,2,0))</f>
        <v>4.4095116661476368</v>
      </c>
      <c r="LJ138" s="235">
        <f>各项系数!$F$76/4*($NI138^2-$NF138^2)*10^-2*(VLOOKUP(AN138,各项系数!$D$1:$F$143,3,0))*10^-3*10^2*各项系数!$J$4</f>
        <v>0.44264214519683986</v>
      </c>
      <c r="LK138" s="102">
        <v>1</v>
      </c>
      <c r="LL138" s="189">
        <f t="shared" si="550"/>
        <v>0.44264214519683986</v>
      </c>
      <c r="LM138" s="189">
        <f>LL138*(VLOOKUP(AN138,各项系数!$D$1:$F$143,2,0))</f>
        <v>4.4264214519683982</v>
      </c>
      <c r="LN138" s="189">
        <f>各项系数!$F$76/4*($NH138^2-$NE138^2)*10^-2*(VLOOKUP($LN$9,各项系数!$D$1:$F$143,3,0))*10^-3*10^2*各项系数!$J$4</f>
        <v>0.44095116661476369</v>
      </c>
      <c r="LO138" s="353">
        <v>1</v>
      </c>
      <c r="LP138" s="189">
        <f t="shared" si="551"/>
        <v>0.44095116661476369</v>
      </c>
      <c r="LQ138" s="189">
        <f>LP138*(VLOOKUP($LN$9,各项系数!$D$1:$F$143,2,0))</f>
        <v>4.8504628327624006</v>
      </c>
      <c r="LR138" s="189">
        <f>各项系数!$F$76/4*($NI138^2-$NF138^2)*10^-2*(VLOOKUP($LR$9,各项系数!$D$1:$F$143,3,0))*10^-3*10^2*各项系数!$J$4</f>
        <v>0.44264214519683986</v>
      </c>
      <c r="LS138" s="353">
        <v>1</v>
      </c>
      <c r="LT138" s="189">
        <f t="shared" si="552"/>
        <v>0.44264214519683986</v>
      </c>
      <c r="LU138" s="189">
        <f>LT138*(VLOOKUP($LR$9,各项系数!$D$1:$F$143,2,0))</f>
        <v>4.8690635971652387</v>
      </c>
      <c r="LV138" s="227">
        <f t="shared" si="420"/>
        <v>471.77419153</v>
      </c>
      <c r="LW138" s="227">
        <f t="shared" si="421"/>
        <v>358.54838555999999</v>
      </c>
      <c r="LX138" s="227">
        <f t="shared" si="422"/>
        <v>21.366281454570938</v>
      </c>
      <c r="LY138" s="227">
        <f t="shared" si="423"/>
        <v>113.22580597000001</v>
      </c>
      <c r="LZ138" s="374">
        <f t="shared" si="365"/>
        <v>1</v>
      </c>
      <c r="MA138" s="375">
        <f t="shared" si="366"/>
        <v>471.77419153</v>
      </c>
      <c r="MB138" s="375">
        <f t="shared" si="424"/>
        <v>12.25440285</v>
      </c>
      <c r="MC138" s="227">
        <f t="shared" si="425"/>
        <v>71.524380550000004</v>
      </c>
      <c r="MD138" s="227">
        <f t="shared" si="426"/>
        <v>44.702737730000003</v>
      </c>
      <c r="ME138" s="227">
        <f t="shared" si="427"/>
        <v>7.5443550708964242</v>
      </c>
      <c r="MF138" s="227">
        <f t="shared" si="428"/>
        <v>26.821642820000001</v>
      </c>
      <c r="MG138" s="374">
        <f t="shared" si="429"/>
        <v>1</v>
      </c>
      <c r="MH138" s="375">
        <f t="shared" si="367"/>
        <v>71.524380550000004</v>
      </c>
      <c r="MI138" s="375">
        <f t="shared" si="430"/>
        <v>9.5429382125709346</v>
      </c>
      <c r="MJ138" s="189">
        <f t="shared" si="368"/>
        <v>12.25440285</v>
      </c>
      <c r="MK138" s="189">
        <f t="shared" si="431"/>
        <v>12.25440285</v>
      </c>
      <c r="ML138" s="189">
        <f t="shared" si="553"/>
        <v>9.5429382124710802</v>
      </c>
      <c r="MM138" s="189">
        <f t="shared" si="369"/>
        <v>9.5429382125709346</v>
      </c>
      <c r="MN138" s="189">
        <f t="shared" si="370"/>
        <v>14.454402850000001</v>
      </c>
      <c r="MO138" s="189">
        <f t="shared" si="432"/>
        <v>11.542938212570935</v>
      </c>
      <c r="MP138" s="189">
        <f t="shared" si="433"/>
        <v>37.45469679</v>
      </c>
      <c r="MQ138" s="189">
        <f t="shared" si="554"/>
        <v>37.45469679</v>
      </c>
      <c r="MR138" s="246">
        <f t="shared" si="434"/>
        <v>37.45469679</v>
      </c>
      <c r="MS138" s="380">
        <f t="shared" si="371"/>
        <v>37.630696790000002</v>
      </c>
      <c r="MT138" s="380">
        <f t="shared" si="372"/>
        <v>37.790696789999998</v>
      </c>
      <c r="MU138" s="380">
        <f t="shared" si="373"/>
        <v>39.130696790000002</v>
      </c>
      <c r="MV138" s="380">
        <f t="shared" si="374"/>
        <v>42.230696790000003</v>
      </c>
      <c r="MW138" s="380">
        <f t="shared" si="375"/>
        <v>42.39069679</v>
      </c>
      <c r="MX138" s="254">
        <f t="shared" si="376"/>
        <v>12.85440285</v>
      </c>
      <c r="MY138" s="254">
        <f t="shared" si="377"/>
        <v>10.142938212570934</v>
      </c>
      <c r="MZ138" s="189">
        <f t="shared" si="378"/>
        <v>15.054402849999999</v>
      </c>
      <c r="NA138" s="189">
        <f t="shared" si="379"/>
        <v>12.342938212570935</v>
      </c>
      <c r="NB138" s="189">
        <f t="shared" si="435"/>
        <v>39.182696790000001</v>
      </c>
      <c r="NC138" s="254">
        <f t="shared" si="555"/>
        <v>39.182696790000001</v>
      </c>
      <c r="ND138" s="246">
        <f t="shared" si="436"/>
        <v>39.182696790000001</v>
      </c>
      <c r="NE138" s="386">
        <f t="shared" si="437"/>
        <v>39.422696790000003</v>
      </c>
      <c r="NF138" s="380">
        <f t="shared" si="380"/>
        <v>39.58269679</v>
      </c>
      <c r="NG138" s="387">
        <f t="shared" si="381"/>
        <v>40.922696790000003</v>
      </c>
      <c r="NH138" s="254">
        <f t="shared" si="382"/>
        <v>44.022696790000005</v>
      </c>
      <c r="NI138" s="380">
        <f t="shared" si="383"/>
        <v>44.182696790000001</v>
      </c>
      <c r="NK138" s="388">
        <f t="shared" si="384"/>
        <v>4.726232192591616</v>
      </c>
      <c r="NL138" s="388">
        <f t="shared" si="385"/>
        <v>244.99559273476359</v>
      </c>
      <c r="NM138" s="388">
        <f t="shared" si="386"/>
        <v>4.726232192591616</v>
      </c>
      <c r="NN138" s="388">
        <f t="shared" si="387"/>
        <v>245.4176049412591</v>
      </c>
      <c r="NO138" s="388">
        <f t="shared" si="388"/>
        <v>6.2816079862535901</v>
      </c>
      <c r="NP138" s="388">
        <f t="shared" si="389"/>
        <v>248.50426325722208</v>
      </c>
      <c r="NQ138" s="388">
        <f t="shared" si="390"/>
        <v>6.2816079862535901</v>
      </c>
      <c r="NR138" s="388">
        <f t="shared" si="391"/>
        <v>248.9452144238368</v>
      </c>
      <c r="NS138" s="388">
        <f t="shared" si="392"/>
        <v>4.7789077484032472</v>
      </c>
      <c r="NT138" s="388">
        <f t="shared" si="393"/>
        <v>4.7789077484032472</v>
      </c>
      <c r="NU138" s="388">
        <f t="shared" si="394"/>
        <v>6.3367866672803315</v>
      </c>
      <c r="NV138" s="388">
        <f t="shared" si="395"/>
        <v>6.3367866672803315</v>
      </c>
      <c r="NW138">
        <f t="shared" si="396"/>
        <v>5.4298775472026248</v>
      </c>
      <c r="NX138">
        <f>各项系数!$M$9*NK138</f>
        <v>1.4178696577774847</v>
      </c>
      <c r="NY138">
        <f t="shared" si="397"/>
        <v>4.7789077484032472</v>
      </c>
    </row>
    <row r="139" spans="1:389" ht="15" hidden="1" customHeight="1">
      <c r="A139" s="69"/>
      <c r="B139" s="70"/>
      <c r="C139" s="69"/>
      <c r="D139" s="102" t="s">
        <v>411</v>
      </c>
      <c r="E139" s="61">
        <f t="shared" si="560"/>
        <v>49.059815550000003</v>
      </c>
      <c r="F139" s="68">
        <f>$F$27</f>
        <v>244.921136962963</v>
      </c>
      <c r="G139" s="58"/>
      <c r="H139" s="62"/>
      <c r="I139" s="145">
        <f>$F$25</f>
        <v>242.29596858910099</v>
      </c>
      <c r="J139" s="62"/>
      <c r="K139" s="62"/>
      <c r="L139" s="97" t="s">
        <v>467</v>
      </c>
      <c r="M139" s="103">
        <f t="shared" si="339"/>
        <v>1.2</v>
      </c>
      <c r="N139" s="103">
        <f t="shared" si="501"/>
        <v>1.1000000000000001</v>
      </c>
      <c r="O139" s="53">
        <f t="shared" si="580"/>
        <v>0.08</v>
      </c>
      <c r="P139" s="99">
        <v>0.1</v>
      </c>
      <c r="Q139" s="133">
        <f t="shared" si="578"/>
        <v>0.1</v>
      </c>
      <c r="R139" s="70">
        <v>0.8</v>
      </c>
      <c r="S139" s="142" t="str">
        <f>各项系数!$D$43</f>
        <v>钢带</v>
      </c>
      <c r="T139" s="102">
        <v>0.5</v>
      </c>
      <c r="U139" s="102">
        <v>2</v>
      </c>
      <c r="V139" s="140"/>
      <c r="W139" s="141">
        <v>2.5</v>
      </c>
      <c r="X139" s="135">
        <f t="shared" si="579"/>
        <v>0.2</v>
      </c>
      <c r="Y139" s="135"/>
      <c r="Z139" s="168"/>
      <c r="AA139" s="153">
        <f>$AA$27</f>
        <v>1.0129999999999999</v>
      </c>
      <c r="AB139" s="153">
        <f>PI()*EJ139*EJ139/4*EH139*(1-H139)*AA139*各项系数!$F$5*各项系数!$J$4*10^-7</f>
        <v>1.013183115671781</v>
      </c>
      <c r="AC139" s="153">
        <f t="shared" si="573"/>
        <v>244.921136962963</v>
      </c>
      <c r="AD139" s="153">
        <f t="shared" si="341"/>
        <v>114.54156221736139</v>
      </c>
      <c r="AE139" s="153">
        <f>POWER(4*EU139/PI()/EG139/10^-7/EH139/(1-H139)/各项系数!$F$5/各项系数!$J$4,0.5)</f>
        <v>246.50798375415039</v>
      </c>
      <c r="AF139" s="69">
        <f>$AA$25</f>
        <v>1.0129999999999999</v>
      </c>
      <c r="AG139" s="69">
        <f>IF(EM139=0,0,PI()*ER139*ER139/4*EP139*(1-K139)*(1+AF139)*各项系数!$F$5*各项系数!$J$4*10^-7)</f>
        <v>1.1494204248229618</v>
      </c>
      <c r="AH139" s="69">
        <f t="shared" si="574"/>
        <v>242.29596858910099</v>
      </c>
      <c r="AI139" s="69">
        <f t="shared" si="398"/>
        <v>65.39126499722515</v>
      </c>
      <c r="AJ139" s="69">
        <f>IF(OR(EP139="",EP139=0),0,POWER(4*EW139/PI()/EO139/10^-7/EP139/(1-K139)/各项系数!$F$5/各项系数!$J$4,0.5))</f>
        <v>243.86580688497418</v>
      </c>
      <c r="AK139" s="69">
        <f t="shared" si="342"/>
        <v>4.631154166783328</v>
      </c>
      <c r="AL139" s="69">
        <f t="shared" si="575"/>
        <v>323.46691971680491</v>
      </c>
      <c r="AM139" s="188">
        <f t="shared" si="576"/>
        <v>120</v>
      </c>
      <c r="AN139" s="97" t="s">
        <v>486</v>
      </c>
      <c r="AO139" s="196">
        <f>AP139+各项系数!$M$9*$NK139</f>
        <v>317.12443109490675</v>
      </c>
      <c r="AP139" s="196">
        <f>AQ139*(1+$BI139+(VLOOKUP($AM139,$A$12:$B$323,2,0))+各项系数!$J$6+各项系数!$M$5)*(1+$E$2)</f>
        <v>315.29938450002356</v>
      </c>
      <c r="AQ139" s="197">
        <f>AR139+各项系数!$L$9*$NK139</f>
        <v>321.73406581635061</v>
      </c>
      <c r="AR139" s="197">
        <f>AS139*(1+$BJ139+各项系数!$J$5+各项系数!$L$5)</f>
        <v>319.90901922146742</v>
      </c>
      <c r="AS139" s="197">
        <f t="shared" si="399"/>
        <v>313.6362933543798</v>
      </c>
      <c r="AT139" s="196">
        <f>AU139+各项系数!$M$9*$NM139</f>
        <v>320.74330575426376</v>
      </c>
      <c r="AU139" s="196">
        <f>AV139*(1+$BI139+(VLOOKUP($AM139,$A$12:$B$323,2,0))+各项系数!$J$6+各项系数!$M$5)*(1+$E$2)</f>
        <v>318.91825915938057</v>
      </c>
      <c r="AV139" s="197">
        <f>AW139+各项系数!$L$9*$NM139</f>
        <v>325.42679506059244</v>
      </c>
      <c r="AW139" s="197">
        <f>AX139*(1+$BJ139+各项系数!$J$5+各项系数!$L$5)</f>
        <v>323.60174846570925</v>
      </c>
      <c r="AX139" s="197">
        <f t="shared" si="400"/>
        <v>317.25661614285218</v>
      </c>
      <c r="AY139" s="196">
        <f>AZ139+各项系数!$M$9*$NS139</f>
        <v>321.33954036303896</v>
      </c>
      <c r="AZ139" s="196">
        <f>BA139*(1+$BI139+(VLOOKUP($AM139,$A$12:$B$214,2,0))+各项系数!$J$6+各项系数!$M$5)*(1+$E$2)</f>
        <v>319.49599697932319</v>
      </c>
      <c r="BA139" s="197">
        <f>BB139+各项系数!$L$9*$NS139</f>
        <v>326.01632344828897</v>
      </c>
      <c r="BB139" s="197">
        <f>BC139*(1+$BJ139+各项系数!$J$5+各项系数!$L$5)</f>
        <v>324.1727800645732</v>
      </c>
      <c r="BC139" s="199">
        <f t="shared" si="401"/>
        <v>317.8164510436992</v>
      </c>
      <c r="BD139" s="196">
        <f>BE139+各项系数!$M$9*$NS139</f>
        <v>324.97085106705498</v>
      </c>
      <c r="BE139" s="196">
        <f>BF139*(1+$BI139+(VLOOKUP($AM139,$A$12:$B$214,2,0))+各项系数!$J$6+各项系数!$M$5)*(1+$E$2)</f>
        <v>323.12730768333921</v>
      </c>
      <c r="BF139" s="197">
        <f>BG139+各项系数!$L$9*$NS139</f>
        <v>329.7217425340196</v>
      </c>
      <c r="BG139" s="197">
        <f>BH139*(1+$BJ139+各项系数!$J$5+各项系数!$L$5)</f>
        <v>327.87819915030383</v>
      </c>
      <c r="BH139" s="199">
        <f t="shared" si="402"/>
        <v>321.44921485323903</v>
      </c>
      <c r="BI139" s="213"/>
      <c r="BJ139" s="208"/>
      <c r="BK139" s="53" t="s">
        <v>514</v>
      </c>
      <c r="BL139" s="196">
        <f>BM139+各项系数!$M$9*$NM139</f>
        <v>320.73795622901036</v>
      </c>
      <c r="BM139" s="196">
        <f>BN139*(1+$CF139+(VLOOKUP($AM139,$A$12:$B$323,2,0))+各项系数!$J$6+各项系数!$M$5)*(1+$E$2)</f>
        <v>318.91290963412717</v>
      </c>
      <c r="BN139" s="197">
        <f>BO139+各项系数!$L$9*$NM139</f>
        <v>325.42133636135429</v>
      </c>
      <c r="BO139" s="197">
        <f>BP139*(1+$CG139+各项系数!$J$5+各项系数!$L$5)</f>
        <v>323.5962897664711</v>
      </c>
      <c r="BP139" s="197">
        <f t="shared" si="403"/>
        <v>314.17115511307873</v>
      </c>
      <c r="BQ139" s="196">
        <f>BR139+各项系数!$M$9*$NM139</f>
        <v>323.85242059246372</v>
      </c>
      <c r="BR139" s="196">
        <f>BS139*(1+$CF139+(VLOOKUP($AM139,$A$12:$B$323,2,0))+各项系数!$J$6+各项系数!$M$5)*(1+$E$2)</f>
        <v>322.02737399758053</v>
      </c>
      <c r="BS139" s="197">
        <f>BT139+各项系数!$L$9*$NM139</f>
        <v>328.59936122202095</v>
      </c>
      <c r="BT139" s="197">
        <f>BU139*(1+$CG139+各项系数!$J$5+各项系数!$L$5)</f>
        <v>326.77431462713776</v>
      </c>
      <c r="BU139" s="197">
        <f t="shared" si="404"/>
        <v>317.25661614285218</v>
      </c>
      <c r="BV139" s="196">
        <f>BW139+各项系数!$M$9*$NT139</f>
        <v>323.19731195913607</v>
      </c>
      <c r="BW139" s="196">
        <f>BX139*(1+$CF139+(VLOOKUP($AM139,$A$12:$B$214,2,0))+各项系数!$J$6+各项系数!$M$5)*(1+$E$2)</f>
        <v>321.3537685754203</v>
      </c>
      <c r="BX139" s="197">
        <f>BY139+各项系数!$L$9*$NT$12</f>
        <v>327.91200875042887</v>
      </c>
      <c r="BY139" s="197">
        <f>BZ139*(1+$CG139+各项系数!$J$5+各项系数!$L$5)</f>
        <v>327.90374534727391</v>
      </c>
      <c r="BZ139" s="199">
        <f t="shared" si="343"/>
        <v>318.35315082259604</v>
      </c>
      <c r="CA139" s="196">
        <f>CB139+各项系数!$M$9*$NT139</f>
        <v>326.32247899166708</v>
      </c>
      <c r="CB139" s="196">
        <f>CC139*(1+$CF139+(VLOOKUP($AM139,$A$12:$B$214,2,0))+各项系数!$J$6+各项系数!$M$5)*(1+$E$2)</f>
        <v>324.47893560795131</v>
      </c>
      <c r="CC139" s="197">
        <f>CD139+各项系数!$L$9*$NT$12</f>
        <v>331.10095470199116</v>
      </c>
      <c r="CD139" s="197">
        <f>CE139*(1+$CG139+各项系数!$J$5+各项系数!$L$5)</f>
        <v>331.0926912988362</v>
      </c>
      <c r="CE139" s="199">
        <f t="shared" si="405"/>
        <v>321.44921485323903</v>
      </c>
      <c r="CF139" s="213">
        <f t="shared" si="514"/>
        <v>0</v>
      </c>
      <c r="CG139" s="213">
        <f t="shared" si="344"/>
        <v>0.01</v>
      </c>
      <c r="CH139" s="102"/>
      <c r="CI139" s="196">
        <f>CJ139+各项系数!$M$9*$NO139</f>
        <v>324.50807381661144</v>
      </c>
      <c r="CJ139" s="196">
        <f>CK139*(1+$DC139+(VLOOKUP($AM139,$A$12:$B$323,2,0))+各项系数!$J$6+各项系数!$M$5)*(1+$E$2)+各项系数!$M$9*$NK139</f>
        <v>322.06288516531714</v>
      </c>
      <c r="CK139" s="197">
        <f>CL139+各项系数!$L$9*$NO139</f>
        <v>326.77330466370813</v>
      </c>
      <c r="CL139" s="197">
        <f>CM139*(1+$DD139+各项系数!$J$5+各项系数!$L$5)</f>
        <v>324.32811601241383</v>
      </c>
      <c r="CM139" s="197">
        <f t="shared" si="345"/>
        <v>317.96874118864099</v>
      </c>
      <c r="CN139" s="196">
        <f>CO139+各项系数!$M$9*$NO139</f>
        <v>327.92117255710747</v>
      </c>
      <c r="CO139" s="196">
        <f>CP139*(1+$DC139+(VLOOKUP($AM139,$A$12:$B$323,2,0))+各项系数!$J$6+各项系数!$M$5)*(1+$E$2)+各项系数!$M$9*$NK139</f>
        <v>325.47598390581317</v>
      </c>
      <c r="CP139" s="197">
        <f>CQ139+各项系数!$L$9*$NO139</f>
        <v>330.25605848054079</v>
      </c>
      <c r="CQ139" s="197">
        <f>CR139*(1+$DD139+各项系数!$J$5+各项系数!$L$5)</f>
        <v>327.81086982924649</v>
      </c>
      <c r="CR139" s="197">
        <f t="shared" si="346"/>
        <v>321.38320571494751</v>
      </c>
      <c r="CS139" s="196">
        <f>CT139+各项系数!$M$9*$NU139</f>
        <v>327.06851671387744</v>
      </c>
      <c r="CT139" s="196">
        <f t="shared" si="347"/>
        <v>324.60408033618597</v>
      </c>
      <c r="CU139" s="197">
        <f>CV139+各项系数!$L$9*$NU139</f>
        <v>331.22865340427143</v>
      </c>
      <c r="CV139" s="197">
        <f>CW139*(1+$DD139+各项系数!$J$5+各项系数!$L$5)</f>
        <v>328.76421702657996</v>
      </c>
      <c r="CW139" s="199">
        <f t="shared" si="348"/>
        <v>322.31785982998036</v>
      </c>
      <c r="CX139" s="196">
        <f>CY139+各项系数!$M$9*$NU139</f>
        <v>330.83911111807487</v>
      </c>
      <c r="CY139" s="196">
        <f t="shared" si="349"/>
        <v>328.3746747403834</v>
      </c>
      <c r="CZ139" s="197">
        <f>DA139+各项系数!$L$9*$NU139</f>
        <v>335.07619871467693</v>
      </c>
      <c r="DA139" s="197">
        <f>DB139*(1+$DD139+各项系数!$J$5+各项系数!$L$5)</f>
        <v>332.61176233698546</v>
      </c>
      <c r="DB139" s="199">
        <f t="shared" si="350"/>
        <v>326.08996307547596</v>
      </c>
      <c r="DC139" s="213">
        <f t="shared" si="571"/>
        <v>0</v>
      </c>
      <c r="DD139" s="213">
        <f t="shared" si="351"/>
        <v>0</v>
      </c>
      <c r="DE139" s="53" t="s">
        <v>498</v>
      </c>
      <c r="DF139" s="53" t="s">
        <v>513</v>
      </c>
      <c r="DG139" s="196">
        <f>DH139+各项系数!$M$9*$NQ139</f>
        <v>328.18483627247383</v>
      </c>
      <c r="DH139" s="196">
        <f>DI139*(1+$EA139+(VLOOKUP($AM139,$A$12:$B$323,2,0))+各项系数!$J$6+各项系数!$M$5)*(1+$E$2)+各项系数!$M$9*$NK139</f>
        <v>325.73964762117953</v>
      </c>
      <c r="DI139" s="197">
        <f>DJ139+各项系数!$L$9*$NQ139</f>
        <v>330.52510308805751</v>
      </c>
      <c r="DJ139" s="197">
        <f>DK139*(1+$EB139+各项系数!$J$5+各项系数!$L$5)</f>
        <v>328.0799144367632</v>
      </c>
      <c r="DK139" s="197">
        <f t="shared" si="352"/>
        <v>318.52418877355649</v>
      </c>
      <c r="DL139" s="196">
        <f>DM139+各项系数!$M$9*$NQ139</f>
        <v>331.41917052959792</v>
      </c>
      <c r="DM139" s="196">
        <f>DN139*(1+$EA139+(VLOOKUP($AM139,$A$12:$B$323,2,0))+各项系数!$J$6+各项系数!$M$5)*(1+$E$2)+各项系数!$M$9*$NK139</f>
        <v>328.97398187830362</v>
      </c>
      <c r="DN139" s="197">
        <f>DO139+各项系数!$L$9*$NQ139</f>
        <v>333.82544416675552</v>
      </c>
      <c r="DO139" s="197">
        <f>DP139*(1+$EB139+各项系数!$J$5+各项系数!$L$5)</f>
        <v>331.38025551546122</v>
      </c>
      <c r="DP139" s="197">
        <f t="shared" si="353"/>
        <v>321.72840341306915</v>
      </c>
      <c r="DQ139" s="196">
        <f>DR139+各项系数!$M$9*$NV139</f>
        <v>330.78975583001272</v>
      </c>
      <c r="DR139" s="196">
        <f t="shared" si="354"/>
        <v>328.32531945232125</v>
      </c>
      <c r="DS139" s="197">
        <f>DT139+各项系数!$L$9*$NV139</f>
        <v>335.02583617583804</v>
      </c>
      <c r="DT139" s="197">
        <f>DU139*(1+$EB139+各项系数!$J$5+各项系数!$L$5)</f>
        <v>332.56139979814657</v>
      </c>
      <c r="DU139" s="199">
        <f t="shared" si="355"/>
        <v>322.87514543509377</v>
      </c>
      <c r="DV139" s="196">
        <f>DW139+各项系数!$M$9*$NV139</f>
        <v>330.53098924994555</v>
      </c>
      <c r="DW139" s="196">
        <f t="shared" si="356"/>
        <v>328.06655287225408</v>
      </c>
      <c r="DX139" s="197">
        <f>DY139+各项系数!$L$9*$NV139</f>
        <v>334.76178864515725</v>
      </c>
      <c r="DY139" s="197">
        <f>DZ139*(1+$EB139+各项系数!$J$5+各项系数!$L$5)</f>
        <v>332.29735226746578</v>
      </c>
      <c r="DZ139" s="199">
        <f t="shared" si="357"/>
        <v>322.61878860919006</v>
      </c>
      <c r="EA139" s="213">
        <f t="shared" ref="EA139:EA151" si="581">BI139+$EA$2</f>
        <v>0</v>
      </c>
      <c r="EB139" s="213">
        <f t="shared" si="358"/>
        <v>0.01</v>
      </c>
      <c r="EC139" s="235" t="str">
        <f t="shared" si="408"/>
        <v>4+1</v>
      </c>
      <c r="ED139" s="235" t="str">
        <f t="shared" si="565"/>
        <v>4*120</v>
      </c>
      <c r="EE139" s="189">
        <f t="shared" si="495"/>
        <v>120</v>
      </c>
      <c r="EF139" s="189" t="str">
        <f>LOOKUP(EH139,{1,7,10,14,19,24,30,37,48,61},{1,"1+6","2+8","4+10","1+6+12","2+8+14","4+10+16","1+6+12+18","3+9+15+21","1+6+12+18+24"})</f>
        <v>2+8+14</v>
      </c>
      <c r="EG139" s="188">
        <f t="shared" si="359"/>
        <v>4</v>
      </c>
      <c r="EH139" s="197">
        <f>VLOOKUP(EE139,各项系数!$B$87:$C$124,2,0)</f>
        <v>24</v>
      </c>
      <c r="EI139" s="188">
        <f>IF(EH139=0,0,VLOOKUP(EH139,各项系数!$D$142:$E$195,2,0))*1</f>
        <v>6</v>
      </c>
      <c r="EJ139" s="238">
        <f t="shared" si="409"/>
        <v>244.921136962963</v>
      </c>
      <c r="EK139" s="189" t="str">
        <f t="shared" si="566"/>
        <v>1*70</v>
      </c>
      <c r="EL139" s="189" t="str">
        <f t="shared" si="360"/>
        <v>70</v>
      </c>
      <c r="EM139" s="189">
        <f t="shared" si="567"/>
        <v>70</v>
      </c>
      <c r="EN139" s="189" t="str">
        <f>IF(EP139=0,0,LOOKUP(EP139,{1,7,10,14,19,24,30,37,48,61},{1,"1+6","2+8","4+10","1+6+12","2+8+14","4+10+16","1+6+12+18","3+9+15+21","1+6+12+18+24"}))</f>
        <v>4+10</v>
      </c>
      <c r="EO139" s="189" t="str">
        <f t="shared" si="568"/>
        <v>1</v>
      </c>
      <c r="EP139" s="189">
        <f>IF(EM139=0,0,IF(EM139&lt;10,1,IF(AND(EM139&gt;=10,EM139&lt;=35),7,LOOKUP(EM139,{50,70,95,120,150,185,240,300},{10,14,19,24,30,37,48,61})*1)))</f>
        <v>14</v>
      </c>
      <c r="EQ139" s="189">
        <f>IF(EP139=0,0,VLOOKUP(EP139,各项系数!$D$142:$E$195,2,0))*1</f>
        <v>4.41</v>
      </c>
      <c r="ER139" s="189">
        <f t="shared" si="577"/>
        <v>242.29596858910099</v>
      </c>
      <c r="ES139" s="235">
        <f t="shared" si="570"/>
        <v>5</v>
      </c>
      <c r="ET139" s="189">
        <f>VLOOKUP(ES139,各项系数!$D$142:$E$195,2,0)*1</f>
        <v>2.7</v>
      </c>
      <c r="EU139" s="243">
        <f>((各项系数!$F$76/4*$EJ139^2*$EG139*$EH139*1*10^-7)*(1-$H139)*AA139)*(VLOOKUP($EY$9,各项系数!$D$4:$F$143,3,0))*各项系数!$J$4</f>
        <v>4.0527324626871239</v>
      </c>
      <c r="EV139" s="244">
        <f>EU139*(VLOOKUP($EY$9,各项系数!$D$4:$F$143,2,0))</f>
        <v>265.45397630600661</v>
      </c>
      <c r="EW139" s="252">
        <f>(IF($EO139=0,0,(各项系数!$F$76/4*$ER139^2*$EO139*$EP139*1*10^-7))*(1-$K139)*$AF139)*(VLOOKUP($EY$9,各项系数!$D$4:$F$143,3,0))*各项系数!$J$4</f>
        <v>0.57842170409620486</v>
      </c>
      <c r="EX139" s="253">
        <f>EW139*(VLOOKUP($EY$9,各项系数!$D$4:$F$143,2,0))</f>
        <v>37.886621618301419</v>
      </c>
      <c r="EY139" s="189">
        <f>((各项系数!$F$76/4*$EJ139^2*$EG139*$EH139*1*10^-7)*(1-$H139)*AA139+IF($EO139=0,0,(各项系数!$F$76/4*$ER139^2*$EO139*$EP139*1*10^-7))*(1-$K139)*$AF139)*(VLOOKUP($EY$9,各项系数!$D$4:$F$143,3,0))*各项系数!$J$4</f>
        <v>4.631154166783328</v>
      </c>
      <c r="EZ139" s="102">
        <v>1</v>
      </c>
      <c r="FA139" s="189">
        <f t="shared" si="515"/>
        <v>4.631154166783328</v>
      </c>
      <c r="FB139" s="254">
        <f>FA139*(VLOOKUP($EY$9,各项系数!$D$4:$F$143,2,0))</f>
        <v>303.34059792430799</v>
      </c>
      <c r="FC139" s="255"/>
      <c r="FD139" s="235">
        <f>各项系数!$F$76/4*($MN139^2-MK139^2)*10^-2*(VLOOKUP(L139,各项系数!$D$1:$F$143,3,0))*10^-3*10^2*$EG139*各项系数!$J$4</f>
        <v>0.26234617504897495</v>
      </c>
      <c r="FE139" s="262">
        <f>FD139*VLOOKUP(L139,各项系数!$D$1:$F$143,2,0)</f>
        <v>2.6759309854995443</v>
      </c>
      <c r="FF139" s="188">
        <f>各项系数!$F$76/4*($MO139^2-ML139^2)*10^-2*(VLOOKUP(L139,各项系数!$D$1:$F$143,3,0))*10^-3*10^2*$EO139*各项系数!$J$4</f>
        <v>4.4575600753230624E-2</v>
      </c>
      <c r="FG139" s="262">
        <f>FF139*VLOOKUP(L139,各项系数!$D$1:$F$143,2,0)</f>
        <v>0.45467112768295231</v>
      </c>
      <c r="FH139" s="235">
        <f t="shared" si="410"/>
        <v>0.30692177580220559</v>
      </c>
      <c r="FI139" s="102">
        <v>1</v>
      </c>
      <c r="FJ139" s="189">
        <f t="shared" si="516"/>
        <v>0.30692177580220559</v>
      </c>
      <c r="FK139" s="262">
        <f>FJ139*VLOOKUP(L139,各项系数!$D$1:$F$143,2,0)</f>
        <v>3.1306021131824968</v>
      </c>
      <c r="FL139" s="235"/>
      <c r="FM139" s="102"/>
      <c r="FN139" s="189"/>
      <c r="FO139" s="262"/>
      <c r="FP139" s="282">
        <f t="shared" si="517"/>
        <v>0.30692177580220559</v>
      </c>
      <c r="FQ139" s="282">
        <f t="shared" si="518"/>
        <v>3.1306021131824968</v>
      </c>
      <c r="FR139" s="283">
        <f>各项系数!$F$76/4*($MQ139^2-$MN139^2*$EG139-$MO139^2*$EO139)*10^-2</f>
        <v>4.6398712872359305</v>
      </c>
      <c r="FS139" s="284">
        <f t="shared" si="411"/>
        <v>1</v>
      </c>
      <c r="FT139" s="285">
        <f t="shared" si="361"/>
        <v>4.6398712872359305</v>
      </c>
      <c r="FU139" s="302">
        <f>$FT139*(VLOOKUP($FT$9,各项系数!$D$1:$F$143,3,0))*10^-3*10^2*各项系数!$J$55</f>
        <v>0.55400063169597014</v>
      </c>
      <c r="FV139" s="303">
        <v>1</v>
      </c>
      <c r="FW139" s="304">
        <f t="shared" si="519"/>
        <v>0.55400063169597014</v>
      </c>
      <c r="FX139" s="285">
        <f>FW139*(VLOOKUP($FT$9,各项系数!$D$1:$F$143,2,0))</f>
        <v>1.6620018950879105</v>
      </c>
      <c r="FY139" s="302">
        <f>IF($BK139&lt;&gt;$FY$9,0,各项系数!$F$76/4*($MS139^2-$MQ139^2)*10^-2*(VLOOKUP($FY$9,各项系数!$D$1:$F$143,3,0))*10^-3*10^2)*各项系数!$J$4</f>
        <v>0</v>
      </c>
      <c r="FZ139" s="303">
        <v>1</v>
      </c>
      <c r="GA139" s="304">
        <f t="shared" si="520"/>
        <v>0</v>
      </c>
      <c r="GB139" s="285">
        <f>GA139*(VLOOKUP($FY$9,各项系数!$D$1:$F$143,2,0))</f>
        <v>0</v>
      </c>
      <c r="GC139" s="302">
        <f>IF($BK139&lt;&gt;$GC$9,0,各项系数!$F$76/4*($MS139^2-$MQ139^2)*10^-2*(VLOOKUP($GC$9,各项系数!$D$1:$F$143,3,0))*10^-3*10^2)*各项系数!$J$4</f>
        <v>1.1974715876910015E-2</v>
      </c>
      <c r="GD139" s="303">
        <v>1</v>
      </c>
      <c r="GE139" s="304">
        <f t="shared" si="521"/>
        <v>1.1974715876910015E-2</v>
      </c>
      <c r="GF139" s="285">
        <f>GE139*(VLOOKUP($GC$9,各项系数!$D$1:$F$143,2,0))</f>
        <v>0.15447383481213919</v>
      </c>
      <c r="GG139" s="302">
        <f>IF($BK139&lt;&gt;$GG$9,0,各项系数!$F$76/4*($MS139^2-$MQ139^2)*10^-2*(VLOOKUP($GG$9,各项系数!$D$1:$F$143,3,0))*10^-3*10^2)*各项系数!$J$4</f>
        <v>0</v>
      </c>
      <c r="GH139" s="303">
        <v>1</v>
      </c>
      <c r="GI139" s="304">
        <f t="shared" si="522"/>
        <v>0</v>
      </c>
      <c r="GJ139" s="285">
        <f>GI139*(VLOOKUP($GG$9,各项系数!$D$1:$F$143,2,0))</f>
        <v>0</v>
      </c>
      <c r="GK139" s="302">
        <f>IF($BK139&lt;&gt;$GK$9,0,各项系数!$F$76/4*($MS139^2-$MQ139^2)*10^-2*(VLOOKUP($GK$9,各项系数!$D$1:$F$143,3,0))*10^-3*10^2)*各项系数!$J$4</f>
        <v>0</v>
      </c>
      <c r="GL139" s="303">
        <v>1</v>
      </c>
      <c r="GM139" s="304">
        <f t="shared" si="523"/>
        <v>0</v>
      </c>
      <c r="GN139" s="285">
        <f>GM139*(VLOOKUP($GK$9,各项系数!$D$1:$F$143,2,0))</f>
        <v>0</v>
      </c>
      <c r="GO139" s="304">
        <f t="shared" si="524"/>
        <v>1.1974715876910015E-2</v>
      </c>
      <c r="GP139" s="304">
        <f t="shared" si="525"/>
        <v>0.15447383481213919</v>
      </c>
      <c r="GQ139" s="315">
        <f>各项系数!$F$76/4*($MU139^2-$MS139^2)*10^-2*(VLOOKUP($S139,各项系数!$D$1:$F$143,3,0))*10^-3*10^2*各项系数!$J$4</f>
        <v>0.82151240570881778</v>
      </c>
      <c r="GR139" s="303">
        <v>1</v>
      </c>
      <c r="GS139" s="304">
        <f t="shared" si="526"/>
        <v>0.82151240570881778</v>
      </c>
      <c r="GT139" s="304">
        <f t="shared" si="457"/>
        <v>0</v>
      </c>
      <c r="GU139" s="304">
        <f>ROUND($GS139*(VLOOKUP($S139,各项系数!$D$1:$F$143,2,0))+$E$3*GS139,GT139)</f>
        <v>5</v>
      </c>
      <c r="GV139" s="315">
        <f>各项系数!$F$76/4*($MT139^2-$MS139^2)*10^-2*(VLOOKUP($GV$9,各项系数!$D$1:$F$143,3,0))*10^-3*10^2*各项系数!$J$4*PI()/4*R139</f>
        <v>6.1655962775412292E-2</v>
      </c>
      <c r="GW139" s="303">
        <v>1</v>
      </c>
      <c r="GX139" s="304">
        <f t="shared" si="527"/>
        <v>6.1655962775412292E-2</v>
      </c>
      <c r="GY139" s="304">
        <f>$GX139*(VLOOKUP($GV$9,各项系数!$D$1:$F$143,2,0))</f>
        <v>4.1617774873403297</v>
      </c>
      <c r="GZ139" s="315">
        <f>各项系数!$F$76/4*($MV139^2-$MS139^2)*10^-2*(VLOOKUP($GZ$9,各项系数!$D$1:$F$143,3,0))*10^-3*10^2*各项系数!$J$4</f>
        <v>0.52758472796833311</v>
      </c>
      <c r="HA139" s="303">
        <v>1</v>
      </c>
      <c r="HB139" s="304">
        <f t="shared" si="412"/>
        <v>0.52758472796833311</v>
      </c>
      <c r="HC139" s="304">
        <f>HB139*(VLOOKUP($GZ$9,各项系数!$D$1:$F$143,2,0))</f>
        <v>8.9689403754616635</v>
      </c>
      <c r="HD139" s="315">
        <f>各项系数!$F$76/4*($MW139^2-$MT139^2)*10^-2*(VLOOKUP($HD$9,各项系数!$D$1:$F$143,3,0))*10^-3*10^2*各项系数!$J$4</f>
        <v>0.5293977410887194</v>
      </c>
      <c r="HE139" s="303">
        <v>1</v>
      </c>
      <c r="HF139" s="304">
        <f t="shared" si="413"/>
        <v>0.5293977410887194</v>
      </c>
      <c r="HG139" s="304">
        <f>HF139*(VLOOKUP($HD$9,各项系数!$D$1:$F$143,2,0))</f>
        <v>8.9997615985082291</v>
      </c>
      <c r="HH139" s="315">
        <f>各项系数!$F$76/4*($MV139^2-$MS139^2)*10^-2*(VLOOKUP($HH$9,各项系数!$D$1:$F$143,3,0))*10^-3*10^2*各项系数!$J$4</f>
        <v>0.52758472796833311</v>
      </c>
      <c r="HI139" s="322">
        <v>1</v>
      </c>
      <c r="HJ139" s="304">
        <f t="shared" si="414"/>
        <v>0.52758472796833311</v>
      </c>
      <c r="HK139" s="304">
        <f>HJ139*(VLOOKUP($HH$9,各项系数!$D$1:$F$143,2,0))</f>
        <v>8.9689403754616635</v>
      </c>
      <c r="HL139" s="315">
        <f>各项系数!$F$76/4*($MW139^2-$MT139^2)*10^-2*(VLOOKUP($HL$9,各项系数!$D$1:$F$143,3,0))*10^-3*10^2*各项系数!$J$4</f>
        <v>0.5293977410887194</v>
      </c>
      <c r="HM139" s="322">
        <v>1</v>
      </c>
      <c r="HN139" s="304">
        <f t="shared" si="362"/>
        <v>0.5293977410887194</v>
      </c>
      <c r="HO139" s="304">
        <f>HN139*(VLOOKUP($HL$9,各项系数!$D$1:$F$143,2,0))</f>
        <v>8.9997615985082291</v>
      </c>
      <c r="HP139" s="315">
        <f>各项系数!$F$76/4*($MV139^2-$MS139^2)*10^-2*(VLOOKUP(AN139,各项系数!$D$1:$F$143,3,0))*10^-3*10^2*各项系数!$J$4</f>
        <v>0.53486175869893082</v>
      </c>
      <c r="HQ139" s="303">
        <v>1</v>
      </c>
      <c r="HR139" s="304">
        <f t="shared" si="528"/>
        <v>0.53486175869893082</v>
      </c>
      <c r="HS139" s="304">
        <f>HR139*(VLOOKUP(AN139,各项系数!$D$1:$F$143,2,0))</f>
        <v>5.3486175869893078</v>
      </c>
      <c r="HT139" s="315">
        <f>各项系数!$F$76/4*($MW139^2-$MT139^2)*10^-2*(VLOOKUP(AN139,各项系数!$D$1:$F$143,3,0))*10^-3*10^2*各项系数!$J$4</f>
        <v>0.53669977889683962</v>
      </c>
      <c r="HU139" s="303">
        <v>1</v>
      </c>
      <c r="HV139" s="304">
        <f t="shared" si="529"/>
        <v>0.53669977889683962</v>
      </c>
      <c r="HW139" s="304">
        <f>HV139*(VLOOKUP(AN139,各项系数!$D$1:$F$143,2,0))</f>
        <v>5.366997788968396</v>
      </c>
      <c r="HX139" s="315">
        <f>各项系数!$F$76/4*($MV139^2-$MS139^2)*10^-2*(VLOOKUP($HX$9,各项系数!$D$1:$F$143,3,0))*10^-3*10^2*各项系数!$J$4</f>
        <v>0.53486175869893082</v>
      </c>
      <c r="HY139" s="322">
        <v>1</v>
      </c>
      <c r="HZ139" s="304">
        <f t="shared" si="530"/>
        <v>0.53486175869893082</v>
      </c>
      <c r="IA139" s="304">
        <f>HZ139*(VLOOKUP($HX$9,各项系数!$D$1:$F$143,2,0))</f>
        <v>5.8834793456882393</v>
      </c>
      <c r="IB139" s="315">
        <f>各项系数!$F$76/4*($MW139^2-$MT139^2)*10^-2*(VLOOKUP($IB$9,各项系数!$D$1:$F$143,3,0))*10^-3*10^2*各项系数!$J$4</f>
        <v>0.53669977889683962</v>
      </c>
      <c r="IC139" s="322">
        <v>1</v>
      </c>
      <c r="ID139" s="304">
        <f t="shared" si="531"/>
        <v>0.53669977889683962</v>
      </c>
      <c r="IE139" s="304">
        <f>ID139*(VLOOKUP($IB$9,各项系数!$D$1:$F$143,2,0))</f>
        <v>5.9036975678652359</v>
      </c>
      <c r="IF139" s="328"/>
      <c r="IG139" s="315">
        <f t="shared" si="415"/>
        <v>9.9824647113649245E-2</v>
      </c>
      <c r="IH139" s="303">
        <v>1</v>
      </c>
      <c r="II139" s="304">
        <f t="shared" si="532"/>
        <v>9.9824647113649245E-2</v>
      </c>
      <c r="IJ139" s="304">
        <f>II139*(VLOOKUP($IG$8,各项系数!$D$1:$F$143,2,0))</f>
        <v>2.4956161778412311</v>
      </c>
      <c r="IK139" s="315">
        <f>(各项系数!$F$76/4*($MX139^2-$MK139^2)*$EG139)*10^-2*(VLOOKUP($IG$8,各项系数!$D$1:$F$143,3,0))*10^-3*10^2*各项系数!$J$4</f>
        <v>8.4372262841101844E-2</v>
      </c>
      <c r="IL139" s="303">
        <f>IK139*(VLOOKUP($IG$8,各项系数!$D$1:$F$143,2,0))</f>
        <v>2.1093065710275463</v>
      </c>
      <c r="IM139" s="304">
        <f>(各项系数!$F$76/4*(($MM139+3*$X139)^2-MM139^2)*$EO139)*10^-2*(VLOOKUP($IG$8,各项系数!$D$1:$F$143,3,0))*10^-3*10^2*各项系数!$J$4</f>
        <v>1.5452384272547408E-2</v>
      </c>
      <c r="IN139" s="303">
        <f>IM139*(VLOOKUP($IG$8,各项系数!$D$1:$F$143,2,0))</f>
        <v>0.3863096068136852</v>
      </c>
      <c r="IO139" s="315">
        <f>各项系数!$F$76/4*($MZ139^2-$MX139^2)*10^-2*(VLOOKUP(L139,各项系数!$D$1:$F$143,3,0))*10^-3*10^2*$ES139*各项系数!$J$4</f>
        <v>0.34031122218489279</v>
      </c>
      <c r="IP139" s="303">
        <v>1</v>
      </c>
      <c r="IQ139" s="304">
        <f t="shared" si="533"/>
        <v>0.34031122218489279</v>
      </c>
      <c r="IR139" s="285">
        <f>IQ139*(VLOOKUP(L139,各项系数!$D$1:$F$143,2,0))</f>
        <v>3.4711744662859063</v>
      </c>
      <c r="IS139" s="315">
        <f>IF($L139&lt;&gt;$IS$9,0,各项系数!$F$76/4*($MZ139^2-$MX139^2)*10^-2*各项系数!$F$12*10^-3*10^2)*$ES139*各项系数!$J$4</f>
        <v>0</v>
      </c>
      <c r="IT139" s="303">
        <v>1</v>
      </c>
      <c r="IU139" s="304">
        <f t="shared" si="534"/>
        <v>0</v>
      </c>
      <c r="IV139" s="285">
        <f>IU139*各项系数!$E$12</f>
        <v>0</v>
      </c>
      <c r="IW139" s="302">
        <f t="shared" si="535"/>
        <v>0.34031122218489279</v>
      </c>
      <c r="IX139" s="302">
        <f t="shared" si="536"/>
        <v>3.4711744662859063</v>
      </c>
      <c r="IY139" s="339">
        <f>各项系数!$F$76/4*($NB139^2-$MZ139^2*$EG139-$NA139^2*$EO139)*10^-2</f>
        <v>5.0317438123066625</v>
      </c>
      <c r="IZ139" s="284">
        <f t="shared" si="487"/>
        <v>1</v>
      </c>
      <c r="JA139" s="285">
        <f t="shared" si="363"/>
        <v>5.0317438123066625</v>
      </c>
      <c r="JB139" s="282">
        <f>IF($DE139&lt;&gt;$JB$9,0,$JA139*各项系数!$F$32*10^-3*10^2)*各项系数!$J$4</f>
        <v>0</v>
      </c>
      <c r="JC139" s="102">
        <v>1</v>
      </c>
      <c r="JD139" s="189">
        <f t="shared" si="537"/>
        <v>0</v>
      </c>
      <c r="JE139" s="262">
        <f>JD139*各项系数!$E$32</f>
        <v>0</v>
      </c>
      <c r="JF139" s="282">
        <f>IF($DE139&lt;&gt;$JF$9,0,$JA139*VLOOKUP($JF$9,各项系数!$D$4:$F$540,2,0)*10^-3*10^2)*各项系数!$J$4</f>
        <v>2.5032925466225646</v>
      </c>
      <c r="JG139" s="102">
        <v>1</v>
      </c>
      <c r="JH139" s="189">
        <f t="shared" si="364"/>
        <v>2.5032925466225646</v>
      </c>
      <c r="JI139" s="262">
        <f>JH139*VLOOKUP($JF$9,各项系数!$D$4:$F$540,3,0)</f>
        <v>3.0039510559470775</v>
      </c>
      <c r="JJ139" s="282">
        <f t="shared" si="538"/>
        <v>2.5032925466225646</v>
      </c>
      <c r="JK139" s="189">
        <f t="shared" si="539"/>
        <v>3.0039510559470775</v>
      </c>
      <c r="JL139" s="282">
        <f>IF($DF139&lt;&gt;$JL$9,0,各项系数!$F$76/4*($NE139^2-$NC139^2)*10^-2*各项系数!$F$39*10^-3*10^2)*各项系数!$J$4</f>
        <v>5.1462857551812288E-3</v>
      </c>
      <c r="JM139" s="102">
        <v>1</v>
      </c>
      <c r="JN139" s="189">
        <f t="shared" si="540"/>
        <v>5.1462857551812288E-3</v>
      </c>
      <c r="JO139" s="262">
        <f>JN139*各项系数!$E$39</f>
        <v>0.10292571510362458</v>
      </c>
      <c r="JP139" s="282">
        <f>IF($DF139&lt;&gt;$JP$9,0,各项系数!$F$76/4*($NE139^2-$NC139^2)*10^-2*各项系数!$F$36*10^-3*10^2)*各项系数!$J$4</f>
        <v>0</v>
      </c>
      <c r="JQ139" s="102">
        <v>1</v>
      </c>
      <c r="JR139" s="189">
        <f t="shared" si="541"/>
        <v>0</v>
      </c>
      <c r="JS139" s="262">
        <f>JR139*各项系数!$E$36</f>
        <v>0</v>
      </c>
      <c r="JT139" s="282">
        <f>IF($DF139&lt;&gt;$JT$9,0,各项系数!$F$76/4*($NE139^2-$NC139^2)*10^-2*各项系数!$F$40*10^-3*10^2)*各项系数!$J$4</f>
        <v>0</v>
      </c>
      <c r="JU139" s="102">
        <v>1</v>
      </c>
      <c r="JV139" s="189">
        <f t="shared" si="542"/>
        <v>0</v>
      </c>
      <c r="JW139" s="262">
        <f>JV139*各项系数!$E$40</f>
        <v>0</v>
      </c>
      <c r="JX139" s="282">
        <f>IF($DF139&lt;&gt;$JX$9,0,各项系数!$F$76/4*($NE139^2-$NC139^2)*10^-2*各项系数!$F$38*10^-3*10^2)*各项系数!$J$4</f>
        <v>0</v>
      </c>
      <c r="JY139" s="102">
        <v>1</v>
      </c>
      <c r="JZ139" s="189">
        <f t="shared" si="543"/>
        <v>0</v>
      </c>
      <c r="KA139" s="262">
        <f>JZ139*各项系数!$E$38</f>
        <v>0</v>
      </c>
      <c r="KB139" s="282">
        <f>IF($DF139&lt;&gt;$KB$9,0,各项系数!$F$76/4*($NE139^2-$NC139^2)*10^-2*各项系数!$F$41*10^-3*10^2)*各项系数!$J$4</f>
        <v>0</v>
      </c>
      <c r="KC139" s="102">
        <v>1</v>
      </c>
      <c r="KD139" s="189">
        <f t="shared" si="544"/>
        <v>0</v>
      </c>
      <c r="KE139" s="262">
        <f>KD139*各项系数!$E$41</f>
        <v>0</v>
      </c>
      <c r="KF139" s="189">
        <f t="shared" si="545"/>
        <v>5.1462857551812288E-3</v>
      </c>
      <c r="KG139" s="189">
        <f t="shared" si="546"/>
        <v>0.10292571510362458</v>
      </c>
      <c r="KH139" s="235">
        <f>各项系数!$F$76/4*($NG139^2-$NE139^2)*10^-2*各项系数!$F$44*10^-3*10^2*各项系数!$J$4*0.75*$U139</f>
        <v>1.2815485558123174</v>
      </c>
      <c r="KI139" s="102">
        <v>1</v>
      </c>
      <c r="KJ139" s="189">
        <f t="shared" si="547"/>
        <v>1.2815485558123174</v>
      </c>
      <c r="KK139" s="189">
        <f>ROUND(KJ139*各项系数!$E$43,GT139)</f>
        <v>7</v>
      </c>
      <c r="KL139" s="235">
        <f>各项系数!$F$76/4*($NF139^2-$NE139^2)*10^-2*各项系数!$F$46*10^-3*10^2*各项系数!$J$4*PI()/4*R139</f>
        <v>6.4159087990522515E-2</v>
      </c>
      <c r="KM139" s="102">
        <v>1</v>
      </c>
      <c r="KN139" s="189">
        <f t="shared" si="548"/>
        <v>6.4159087990522515E-2</v>
      </c>
      <c r="KO139" s="189">
        <f>KN139*各项系数!$E$46</f>
        <v>4.3307384393602701</v>
      </c>
      <c r="KP139" s="235">
        <f>各项系数!$F$76/4*($NH139^2-$NE139^2)*10^-2*(VLOOKUP($KP$9,各项系数!$D$1:$F$143,3,0))*10^-3*10^2*各项系数!$J$4</f>
        <v>0.54789047491666365</v>
      </c>
      <c r="KQ139" s="102">
        <v>1</v>
      </c>
      <c r="KR139" s="189">
        <f t="shared" si="416"/>
        <v>0.54789047491666365</v>
      </c>
      <c r="KS139" s="189">
        <f>KR139*(VLOOKUP($KP$9,各项系数!$D$1:$F$143,2,0))</f>
        <v>9.3141380735832815</v>
      </c>
      <c r="KT139" s="235">
        <f>各项系数!$F$76/4*($NI139^2-$NF139^2)*10^-2*(VLOOKUP($KT$9,各项系数!$D$1:$F$143,3,0))*10^-3*10^2*各项系数!$J$4</f>
        <v>0.54970348803705071</v>
      </c>
      <c r="KU139" s="102">
        <v>1</v>
      </c>
      <c r="KV139" s="189">
        <f t="shared" si="417"/>
        <v>0.54970348803705071</v>
      </c>
      <c r="KW139" s="189">
        <f>KV139*(VLOOKUP($KT$9,各项系数!$D$1:$F$143,2,0))</f>
        <v>9.3449592966298614</v>
      </c>
      <c r="KX139" s="189">
        <f>各项系数!$F$76/4*($NH139^2-$NE139^2)*10^-2*(VLOOKUP($KX$9,各项系数!$D$1:$F$143,3,0))*10^-3*10^2*各项系数!$J$4</f>
        <v>0.54789047491666365</v>
      </c>
      <c r="KY139" s="353">
        <v>1</v>
      </c>
      <c r="KZ139" s="189">
        <f t="shared" si="418"/>
        <v>0.54789047491666365</v>
      </c>
      <c r="LA139" s="189">
        <f>KZ139*(VLOOKUP($KX$9,各项系数!$D$1:$F$143,2,0))</f>
        <v>9.3141380735832815</v>
      </c>
      <c r="LB139" s="189">
        <f>各项系数!$F$76/4*($NI139^2-$NF139^2)*10^-2*(VLOOKUP($LB$9,各项系数!$D$1:$F$143,3,0))*10^-3*10^2*各项系数!$J$4</f>
        <v>0.54970348803705071</v>
      </c>
      <c r="LC139" s="353">
        <v>1</v>
      </c>
      <c r="LD139" s="189">
        <f t="shared" si="419"/>
        <v>0.54970348803705071</v>
      </c>
      <c r="LE139" s="189">
        <f>LD139*(VLOOKUP($LB$9,各项系数!$D$1:$F$143,2,0))</f>
        <v>9.3449592966298614</v>
      </c>
      <c r="LF139" s="235">
        <f>各项系数!$F$76/4*($NH139^2-$NE139^2)*10^-2*(VLOOKUP(AN139,各项系数!$D$1:$F$143,3,0))*10^-3*10^2*各项系数!$J$4</f>
        <v>0.55544758491551416</v>
      </c>
      <c r="LG139" s="102">
        <v>1</v>
      </c>
      <c r="LH139" s="189">
        <f t="shared" si="549"/>
        <v>0.55544758491551416</v>
      </c>
      <c r="LI139" s="189">
        <f>LH139*(VLOOKUP(AN139,各项系数!$D$1:$F$143,2,0))</f>
        <v>5.5544758491551418</v>
      </c>
      <c r="LJ139" s="235">
        <f>各项系数!$F$76/4*($NI139^2-$NF139^2)*10^-2*(VLOOKUP(AN139,各项系数!$D$1:$F$143,3,0))*10^-3*10^2*各项系数!$J$4</f>
        <v>0.55728560511342395</v>
      </c>
      <c r="LK139" s="102">
        <v>1</v>
      </c>
      <c r="LL139" s="189">
        <f t="shared" si="550"/>
        <v>0.55728560511342395</v>
      </c>
      <c r="LM139" s="189">
        <f>LL139*(VLOOKUP(AN139,各项系数!$D$1:$F$143,2,0))</f>
        <v>5.5728560511342398</v>
      </c>
      <c r="LN139" s="189">
        <f>各项系数!$F$76/4*($NH139^2-$NE139^2)*10^-2*(VLOOKUP($LN$9,各项系数!$D$1:$F$143,3,0))*10^-3*10^2*各项系数!$J$4</f>
        <v>0.55544758491551416</v>
      </c>
      <c r="LO139" s="353">
        <v>1</v>
      </c>
      <c r="LP139" s="189">
        <f t="shared" si="551"/>
        <v>0.55544758491551416</v>
      </c>
      <c r="LQ139" s="189">
        <f>LP139*(VLOOKUP($LN$9,各项系数!$D$1:$F$143,2,0))</f>
        <v>6.1099234340706561</v>
      </c>
      <c r="LR139" s="189">
        <f>各项系数!$F$76/4*($NI139^2-$NF139^2)*10^-2*(VLOOKUP($LR$9,各项系数!$D$1:$F$143,3,0))*10^-3*10^2*各项系数!$J$4</f>
        <v>0.55728560511342395</v>
      </c>
      <c r="LS139" s="353">
        <v>1</v>
      </c>
      <c r="LT139" s="189">
        <f t="shared" si="552"/>
        <v>0.55728560511342395</v>
      </c>
      <c r="LU139" s="189">
        <f>LT139*(VLOOKUP($LR$9,各项系数!$D$1:$F$143,2,0))</f>
        <v>6.1301416562476634</v>
      </c>
      <c r="LV139" s="227">
        <f t="shared" si="420"/>
        <v>678.42978629000004</v>
      </c>
      <c r="LW139" s="227">
        <f t="shared" si="421"/>
        <v>452.28652419000002</v>
      </c>
      <c r="LX139" s="227">
        <f t="shared" si="422"/>
        <v>23.997272514798944</v>
      </c>
      <c r="LY139" s="227">
        <f t="shared" si="423"/>
        <v>226.14326210000002</v>
      </c>
      <c r="LZ139" s="374">
        <f t="shared" si="365"/>
        <v>1</v>
      </c>
      <c r="MA139" s="375">
        <f t="shared" si="366"/>
        <v>678.42978629000004</v>
      </c>
      <c r="MB139" s="375">
        <f t="shared" si="424"/>
        <v>14.695268220000001</v>
      </c>
      <c r="MC139" s="227">
        <f t="shared" si="425"/>
        <v>89.672532840000002</v>
      </c>
      <c r="MD139" s="227">
        <f t="shared" si="426"/>
        <v>64.552088069999996</v>
      </c>
      <c r="ME139" s="227">
        <f t="shared" si="427"/>
        <v>9.0658850216595468</v>
      </c>
      <c r="MF139" s="227">
        <f t="shared" si="428"/>
        <v>25.120444770000006</v>
      </c>
      <c r="MG139" s="374">
        <f t="shared" si="429"/>
        <v>1</v>
      </c>
      <c r="MH139" s="375">
        <f t="shared" si="367"/>
        <v>89.672532840000002</v>
      </c>
      <c r="MI139" s="375">
        <f t="shared" si="430"/>
        <v>10.685252214545548</v>
      </c>
      <c r="MJ139" s="189">
        <f t="shared" si="368"/>
        <v>14.695268220000001</v>
      </c>
      <c r="MK139" s="189">
        <f t="shared" si="431"/>
        <v>14.695268220000001</v>
      </c>
      <c r="ML139" s="189">
        <f t="shared" si="553"/>
        <v>10.685252214779355</v>
      </c>
      <c r="MM139" s="189">
        <f t="shared" si="369"/>
        <v>10.685252214545548</v>
      </c>
      <c r="MN139" s="189">
        <f t="shared" si="370"/>
        <v>17.095268220000001</v>
      </c>
      <c r="MO139" s="189">
        <f t="shared" si="432"/>
        <v>12.885252214545549</v>
      </c>
      <c r="MP139" s="189">
        <f t="shared" si="433"/>
        <v>43.883815550000001</v>
      </c>
      <c r="MQ139" s="189">
        <f t="shared" si="554"/>
        <v>43.883815550000001</v>
      </c>
      <c r="MR139" s="246">
        <f t="shared" si="434"/>
        <v>43.883815550000001</v>
      </c>
      <c r="MS139" s="380">
        <f t="shared" si="371"/>
        <v>44.059815550000003</v>
      </c>
      <c r="MT139" s="380">
        <f t="shared" si="372"/>
        <v>44.21981555</v>
      </c>
      <c r="MU139" s="380">
        <f t="shared" si="373"/>
        <v>45.559815550000003</v>
      </c>
      <c r="MV139" s="380">
        <f t="shared" si="374"/>
        <v>49.059815550000003</v>
      </c>
      <c r="MW139" s="380">
        <f t="shared" si="375"/>
        <v>49.21981555</v>
      </c>
      <c r="MX139" s="254">
        <f t="shared" si="376"/>
        <v>15.295268220000001</v>
      </c>
      <c r="MY139" s="254">
        <f t="shared" si="377"/>
        <v>11.285252214545547</v>
      </c>
      <c r="MZ139" s="189">
        <f t="shared" si="378"/>
        <v>17.695268219999999</v>
      </c>
      <c r="NA139" s="189">
        <f t="shared" si="379"/>
        <v>13.685252214545548</v>
      </c>
      <c r="NB139" s="189">
        <f t="shared" si="435"/>
        <v>45.611815550000003</v>
      </c>
      <c r="NC139" s="254">
        <f t="shared" si="555"/>
        <v>45.611815550000003</v>
      </c>
      <c r="ND139" s="246">
        <f t="shared" si="436"/>
        <v>45.611815550000003</v>
      </c>
      <c r="NE139" s="386">
        <f t="shared" si="437"/>
        <v>45.851815550000005</v>
      </c>
      <c r="NF139" s="380">
        <f t="shared" si="380"/>
        <v>46.011815550000001</v>
      </c>
      <c r="NG139" s="387">
        <f t="shared" si="381"/>
        <v>47.351815550000005</v>
      </c>
      <c r="NH139" s="254">
        <f t="shared" si="382"/>
        <v>50.851815550000005</v>
      </c>
      <c r="NI139" s="380">
        <f t="shared" si="383"/>
        <v>51.011815550000001</v>
      </c>
      <c r="NK139" s="388">
        <f t="shared" si="384"/>
        <v>6.0834886496105751</v>
      </c>
      <c r="NL139" s="388">
        <f t="shared" si="385"/>
        <v>314.09096448206276</v>
      </c>
      <c r="NM139" s="388">
        <f t="shared" si="386"/>
        <v>6.0834886496105751</v>
      </c>
      <c r="NN139" s="388">
        <f t="shared" si="387"/>
        <v>314.62582624076168</v>
      </c>
      <c r="NO139" s="388">
        <f t="shared" si="388"/>
        <v>8.1506288376476768</v>
      </c>
      <c r="NP139" s="388">
        <f t="shared" si="389"/>
        <v>318.35505079545464</v>
      </c>
      <c r="NQ139" s="388">
        <f t="shared" si="390"/>
        <v>8.1506288376476768</v>
      </c>
      <c r="NR139" s="388">
        <f t="shared" si="391"/>
        <v>318.9104983803702</v>
      </c>
      <c r="NS139" s="388">
        <f t="shared" si="392"/>
        <v>6.1451446123859874</v>
      </c>
      <c r="NT139" s="388">
        <f t="shared" si="393"/>
        <v>6.1451446123859874</v>
      </c>
      <c r="NU139" s="388">
        <f t="shared" si="394"/>
        <v>8.2147879256382002</v>
      </c>
      <c r="NV139" s="388">
        <f t="shared" si="395"/>
        <v>8.2147879256382002</v>
      </c>
      <c r="NW139">
        <f t="shared" si="396"/>
        <v>6.905001055319393</v>
      </c>
      <c r="NX139">
        <f>各项系数!$M$9*NK139</f>
        <v>1.8250465948831724</v>
      </c>
      <c r="NY139">
        <f t="shared" si="397"/>
        <v>6.1451446123859874</v>
      </c>
    </row>
    <row r="140" spans="1:389" ht="15" hidden="1" customHeight="1">
      <c r="A140" s="69"/>
      <c r="B140" s="70"/>
      <c r="C140" s="69"/>
      <c r="D140" s="102" t="s">
        <v>415</v>
      </c>
      <c r="E140" s="61">
        <f t="shared" si="560"/>
        <v>52.073347420000005</v>
      </c>
      <c r="F140" s="68">
        <f>$F$28</f>
        <v>243.33587022849699</v>
      </c>
      <c r="G140" s="58"/>
      <c r="H140" s="16"/>
      <c r="I140" s="145">
        <f>$F$25</f>
        <v>242.29596858910099</v>
      </c>
      <c r="J140" s="62"/>
      <c r="K140" s="16"/>
      <c r="L140" s="97" t="s">
        <v>467</v>
      </c>
      <c r="M140" s="103">
        <f t="shared" ref="M140:M203" si="582">VLOOKUP(EE140,$A$12:$C$46,3,0)</f>
        <v>1.4</v>
      </c>
      <c r="N140" s="103">
        <f t="shared" ref="N140:N171" si="583">IF(EM140=0,0,VLOOKUP(EM140,$A$12:$C$46,3,0))</f>
        <v>1.1000000000000001</v>
      </c>
      <c r="O140" s="53">
        <f t="shared" si="580"/>
        <v>0.08</v>
      </c>
      <c r="P140" s="99">
        <v>0.1</v>
      </c>
      <c r="Q140" s="133">
        <f t="shared" si="578"/>
        <v>0.1</v>
      </c>
      <c r="R140" s="70">
        <v>0.8</v>
      </c>
      <c r="S140" s="142" t="str">
        <f>各项系数!$D$43</f>
        <v>钢带</v>
      </c>
      <c r="T140" s="102">
        <v>0.5</v>
      </c>
      <c r="U140" s="102">
        <v>2</v>
      </c>
      <c r="V140" s="140"/>
      <c r="W140" s="141">
        <v>2.6</v>
      </c>
      <c r="X140" s="135">
        <f t="shared" si="579"/>
        <v>0.2</v>
      </c>
      <c r="Y140" s="135"/>
      <c r="Z140" s="168"/>
      <c r="AA140" s="153">
        <f>$AA$28</f>
        <v>1.0149999999999999</v>
      </c>
      <c r="AB140" s="153">
        <f>PI()*EJ140*EJ140/4*EH140*(1-H140)*AA140*各项系数!$F$5*各项系数!$J$4*10^-7</f>
        <v>1.2526054194523586</v>
      </c>
      <c r="AC140" s="153">
        <f t="shared" si="573"/>
        <v>243.33587022849699</v>
      </c>
      <c r="AD140" s="153">
        <f t="shared" ref="AD140:AD203" si="584">PI()*AE140*AE140*10^-4/4*EH140</f>
        <v>141.60853982537648</v>
      </c>
      <c r="AE140" s="153">
        <f>POWER(4*EU140/PI()/EG140/10^-7/EH140/(1-H140)/各项系数!$F$5/各项系数!$J$4,0.5)</f>
        <v>245.15409628631096</v>
      </c>
      <c r="AF140" s="69">
        <f>$AA$25</f>
        <v>1.0129999999999999</v>
      </c>
      <c r="AG140" s="69">
        <f>IF(EM140=0,0,PI()*ER140*ER140/4*EP140*(1-K140)*(1+AF140)*各项系数!$F$5*各项系数!$J$4*10^-7)</f>
        <v>1.1494204248229618</v>
      </c>
      <c r="AH140" s="69">
        <f t="shared" si="574"/>
        <v>242.29596858910099</v>
      </c>
      <c r="AI140" s="69">
        <f t="shared" si="398"/>
        <v>65.39126499722515</v>
      </c>
      <c r="AJ140" s="69">
        <f>IF(OR(EP140="",EP140=0),0,POWER(4*EW140/PI()/EO140/10^-7/EP140/(1-K140)/各项系数!$F$5/各项系数!$J$4,0.5))</f>
        <v>243.86580688497418</v>
      </c>
      <c r="AK140" s="69">
        <f t="shared" ref="AK140:AK203" si="585">IF((EG140*AB140+EO140*AG140)-EY140&lt;0.000001,"√",EY140)</f>
        <v>5.5888433819056393</v>
      </c>
      <c r="AL140" s="69">
        <f t="shared" si="575"/>
        <v>389.57759828495074</v>
      </c>
      <c r="AM140" s="188">
        <f t="shared" si="576"/>
        <v>150</v>
      </c>
      <c r="AN140" s="97" t="s">
        <v>486</v>
      </c>
      <c r="AO140" s="196">
        <f>AP140+各项系数!$M$9*$NK140</f>
        <v>381.93882184799094</v>
      </c>
      <c r="AP140" s="196">
        <f>AQ140*(1+$BI140+(VLOOKUP($AM140,$A$12:$B$323,2,0))+各项系数!$J$6+各项系数!$M$5)*(1+$E$2)</f>
        <v>379.77021932788233</v>
      </c>
      <c r="AQ140" s="197">
        <f>AR140+各项系数!$L$9*$NK140</f>
        <v>387.52063196722685</v>
      </c>
      <c r="AR140" s="197">
        <f>AS140*(1+$BJ140+各项系数!$J$5+各项系数!$L$5)</f>
        <v>385.35202944711824</v>
      </c>
      <c r="AS140" s="197">
        <f t="shared" si="399"/>
        <v>377.7961073010963</v>
      </c>
      <c r="AT140" s="196">
        <f>AU140+各项系数!$M$9*$NM140</f>
        <v>385.93796477465304</v>
      </c>
      <c r="AU140" s="196">
        <f>AV140*(1+$BI140+(VLOOKUP($AM140,$A$12:$B$323,2,0))+各项系数!$J$6+各项系数!$M$5)*(1+$E$2)</f>
        <v>383.76936225454443</v>
      </c>
      <c r="AV140" s="197">
        <f>AW140+各项系数!$L$9*$NM140</f>
        <v>391.60139005565759</v>
      </c>
      <c r="AW140" s="197">
        <f>AX140*(1+$BJ140+各项系数!$J$5+各项系数!$L$5)</f>
        <v>389.43278753554898</v>
      </c>
      <c r="AX140" s="197">
        <f t="shared" si="400"/>
        <v>381.796850525048</v>
      </c>
      <c r="AY140" s="196">
        <f>AZ140+各项系数!$M$9*$NS140</f>
        <v>386.42217171666448</v>
      </c>
      <c r="AZ140" s="196">
        <f>BA140*(1+$BI140+(VLOOKUP($AM140,$A$12:$B$214,2,0))+各项系数!$J$6+各项系数!$M$5)*(1+$E$2)</f>
        <v>384.23389339724883</v>
      </c>
      <c r="BA140" s="197">
        <f>BB140+各项系数!$L$9*$NS140</f>
        <v>392.07540142576414</v>
      </c>
      <c r="BB140" s="197">
        <f>BC140*(1+$BJ140+各项系数!$J$5+各项系数!$L$5)</f>
        <v>389.8871231063485</v>
      </c>
      <c r="BC140" s="199">
        <f t="shared" si="401"/>
        <v>382.24227755524362</v>
      </c>
      <c r="BD140" s="196">
        <f>BE140+各项系数!$M$9*$NS140</f>
        <v>390.43424812977202</v>
      </c>
      <c r="BE140" s="196">
        <f>BF140*(1+$BI140+(VLOOKUP($AM140,$A$12:$B$214,2,0))+各项系数!$J$6+各项系数!$M$5)*(1+$E$2)</f>
        <v>388.24596981035637</v>
      </c>
      <c r="BF140" s="197">
        <f>BG140+各项系数!$L$9*$NS140</f>
        <v>396.16935694934324</v>
      </c>
      <c r="BG140" s="197">
        <f>BH140*(1+$BJ140+各项系数!$J$5+各项系数!$L$5)</f>
        <v>393.98107862992759</v>
      </c>
      <c r="BH140" s="199">
        <f t="shared" si="402"/>
        <v>386.25595944110546</v>
      </c>
      <c r="BI140" s="213"/>
      <c r="BJ140" s="208"/>
      <c r="BK140" s="53" t="s">
        <v>514</v>
      </c>
      <c r="BL140" s="196">
        <f>BM140+各项系数!$M$9*$NM140</f>
        <v>386.23784428336853</v>
      </c>
      <c r="BM140" s="196">
        <f>BN140*(1+$CF140+(VLOOKUP($AM140,$A$12:$B$323,2,0))+各项系数!$J$6+各项系数!$M$5)*(1+$E$2)</f>
        <v>384.06924176325992</v>
      </c>
      <c r="BN140" s="197">
        <f>BO140+各项系数!$L$9*$NM140</f>
        <v>391.90738955434688</v>
      </c>
      <c r="BO140" s="197">
        <f>BP140*(1+$CG140+各项系数!$J$5+各项系数!$L$5)</f>
        <v>389.73878703423827</v>
      </c>
      <c r="BP140" s="197">
        <f t="shared" si="403"/>
        <v>378.38717187790121</v>
      </c>
      <c r="BQ140" s="196">
        <f>BR140+各项系数!$M$9*$NM140</f>
        <v>389.67957390979848</v>
      </c>
      <c r="BR140" s="196">
        <f>BS140*(1+$CF140+(VLOOKUP($AM140,$A$12:$B$323,2,0))+各项系数!$J$6+各项系数!$M$5)*(1+$E$2)</f>
        <v>387.51097138968987</v>
      </c>
      <c r="BS140" s="197">
        <f>BT140+各项系数!$L$9*$NM140</f>
        <v>395.41935856090805</v>
      </c>
      <c r="BT140" s="197">
        <f>BU140*(1+$CG140+各项系数!$J$5+各项系数!$L$5)</f>
        <v>393.25075604079944</v>
      </c>
      <c r="BU140" s="197">
        <f t="shared" si="404"/>
        <v>381.796850525048</v>
      </c>
      <c r="BV140" s="196">
        <f>BW140+各项系数!$M$9*$NT140</f>
        <v>388.63028151208863</v>
      </c>
      <c r="BW140" s="196">
        <f>BX140*(1+$CF140+(VLOOKUP($AM140,$A$12:$B$214,2,0))+各项系数!$J$6+各项系数!$M$5)*(1+$E$2)</f>
        <v>386.44200319267298</v>
      </c>
      <c r="BX140" s="197">
        <f>BY140+各项系数!$L$9*$NT$12</f>
        <v>394.328574686401</v>
      </c>
      <c r="BY140" s="197">
        <f>BZ140*(1+$CG140+各项系数!$J$5+各项系数!$L$5)</f>
        <v>394.32031128324604</v>
      </c>
      <c r="BZ140" s="199">
        <f t="shared" ref="BZ140:BZ203" si="586">SUM($FB140,$FQ140,$FX140,$GP140,$GY140,$IE140)</f>
        <v>382.83525367305441</v>
      </c>
      <c r="CA140" s="196">
        <f>CB140+各项系数!$M$9*$NT140</f>
        <v>392.08314191435937</v>
      </c>
      <c r="CB140" s="196">
        <f>CC140*(1+$CF140+(VLOOKUP($AM140,$A$12:$B$214,2,0))+各项系数!$J$6+各项系数!$M$5)*(1+$E$2)</f>
        <v>389.89486359494373</v>
      </c>
      <c r="CC140" s="197">
        <f>CD140+各项系数!$L$9*$NT$12</f>
        <v>397.85190162749359</v>
      </c>
      <c r="CD140" s="197">
        <f>CE140*(1+$CG140+各项系数!$J$5+各项系数!$L$5)</f>
        <v>397.84363822433863</v>
      </c>
      <c r="CE140" s="199">
        <f t="shared" si="405"/>
        <v>386.25595944110546</v>
      </c>
      <c r="CF140" s="213">
        <f t="shared" si="514"/>
        <v>0</v>
      </c>
      <c r="CG140" s="213">
        <f t="shared" ref="CG140:CG203" si="587">BJ140+$E$4</f>
        <v>0.01</v>
      </c>
      <c r="CH140" s="102"/>
      <c r="CI140" s="196">
        <f>CJ140+各项系数!$M$9*$NO140</f>
        <v>390.3740010236823</v>
      </c>
      <c r="CJ140" s="196">
        <f>CK140*(1+$DC140+(VLOOKUP($AM140,$A$12:$B$323,2,0))+各项系数!$J$6+各项系数!$M$5)*(1+$E$2)+各项系数!$M$9*$NK140</f>
        <v>387.49942905941998</v>
      </c>
      <c r="CK140" s="197">
        <f>CL140+各项系数!$L$9*$NO140</f>
        <v>393.19472095848101</v>
      </c>
      <c r="CL140" s="197">
        <f>CM140*(1+$DD140+各项系数!$J$5+各项系数!$L$5)</f>
        <v>390.3201489942187</v>
      </c>
      <c r="CM140" s="197">
        <f t="shared" ref="CM140:CM203" si="588">SUM($FB140,$IJ140,$IX140,$JK140,$KG140,$LI140)</f>
        <v>382.6668127394301</v>
      </c>
      <c r="CN140" s="196">
        <f>CO140+各项系数!$M$9*$NO140</f>
        <v>394.13334151347181</v>
      </c>
      <c r="CO140" s="196">
        <f>CP140*(1+$DC140+(VLOOKUP($AM140,$A$12:$B$323,2,0))+各项系数!$J$6+各项系数!$M$5)*(1+$E$2)+各项系数!$M$9*$NK140</f>
        <v>391.25876954920949</v>
      </c>
      <c r="CP140" s="197">
        <f>CQ140+各项系数!$L$9*$NO140</f>
        <v>397.03078268275601</v>
      </c>
      <c r="CQ140" s="197">
        <f>CR140*(1+$DD140+各项系数!$J$5+各项系数!$L$5)</f>
        <v>394.1562107184937</v>
      </c>
      <c r="CR140" s="197">
        <f t="shared" ref="CR140:CR203" si="589">SUM($FB140,$IJ140,$IX140,$JK140,$KG140,$HC140)</f>
        <v>386.42765756715067</v>
      </c>
      <c r="CS140" s="196">
        <f>CT140+各项系数!$M$9*$NU140</f>
        <v>392.87966549826626</v>
      </c>
      <c r="CT140" s="196">
        <f t="shared" ref="CT140:CT203" si="590">CU140*(1+$DC140+(VLOOKUP($AM140,$A$12:$B$323,2,0)))*(1+$E$2)+$E$3*$OM140</f>
        <v>389.98457628233666</v>
      </c>
      <c r="CU140" s="197">
        <f>CV140+各项系数!$L$9*$NU140</f>
        <v>397.94344518605783</v>
      </c>
      <c r="CV140" s="197">
        <f>CW140*(1+$DD140+各项系数!$J$5+各项系数!$L$5)</f>
        <v>395.04835597012823</v>
      </c>
      <c r="CW140" s="199">
        <f t="shared" ref="CW140:CW203" si="591">SUM($FB140,$IJ140,$IX140,$JK140,$KG140,$KO140,$LM140)</f>
        <v>387.30230977463549</v>
      </c>
      <c r="CX140" s="196">
        <f>CY140+各项系数!$M$9*$NU140</f>
        <v>397.0540571662637</v>
      </c>
      <c r="CY140" s="196">
        <f t="shared" ref="CY140:CY203" si="592">CZ140*(1+$DC140+(VLOOKUP($AM140,$A$12:$B$323,2,0)))*(1+$E$2)+$E$3*$OM140</f>
        <v>394.1589679503341</v>
      </c>
      <c r="CZ140" s="197">
        <f>DA140+各项系数!$L$9*$NU140</f>
        <v>402.20302852074911</v>
      </c>
      <c r="DA140" s="197">
        <f>DB140*(1+$DD140+各项系数!$J$5+各项系数!$L$5)</f>
        <v>399.30793930481951</v>
      </c>
      <c r="DB140" s="199">
        <f t="shared" ref="DB140:DB203" si="593">SUM($FB140,$IJ140,$IX140,$JK140,$KG140,$KO140,$KW140)</f>
        <v>391.47837186747012</v>
      </c>
      <c r="DC140" s="213">
        <f t="shared" si="571"/>
        <v>0</v>
      </c>
      <c r="DD140" s="213">
        <f t="shared" ref="DD140:DD203" si="594">BJ140+$E$5</f>
        <v>0</v>
      </c>
      <c r="DE140" s="53" t="s">
        <v>498</v>
      </c>
      <c r="DF140" s="53" t="s">
        <v>513</v>
      </c>
      <c r="DG140" s="196">
        <f>DH140+各项系数!$M$9*$NQ140</f>
        <v>394.74497171647118</v>
      </c>
      <c r="DH140" s="196">
        <f>DI140*(1+$EA140+(VLOOKUP($AM140,$A$12:$B$323,2,0))+各项系数!$J$6+各项系数!$M$5)*(1+$E$2)+各项系数!$M$9*$NK140</f>
        <v>391.87039975220887</v>
      </c>
      <c r="DI140" s="197">
        <f>DJ140+各项系数!$L$9*$NQ140</f>
        <v>397.65489513479622</v>
      </c>
      <c r="DJ140" s="197">
        <f>DK140*(1+$EB140+各项系数!$J$5+各项系数!$L$5)</f>
        <v>394.7803231705339</v>
      </c>
      <c r="DK140" s="197">
        <f t="shared" ref="DK140:DK203" si="595">SUM($FB140,$IJ140,$IX140,$JK140,$KG140,$LQ140)</f>
        <v>383.28186715585815</v>
      </c>
      <c r="DL140" s="196">
        <f>DM140+各项系数!$M$9*$NQ140</f>
        <v>398.32639257970385</v>
      </c>
      <c r="DM140" s="196">
        <f>DN140*(1+$EA140+(VLOOKUP($AM140,$A$12:$B$323,2,0))+各项系数!$J$6+各项系数!$M$5)*(1+$E$2)+各项系数!$M$9*$NK140</f>
        <v>395.45182061544153</v>
      </c>
      <c r="DN140" s="197">
        <f>DO140+各项系数!$L$9*$NQ140</f>
        <v>401.30940621972746</v>
      </c>
      <c r="DO140" s="197">
        <f>DP140*(1+$EB140+各项系数!$J$5+各项系数!$L$5)</f>
        <v>398.43483425546515</v>
      </c>
      <c r="DP140" s="197">
        <f t="shared" ref="DP140:DP203" si="596">SUM($FB140,$IJ140,$IX140,$JK140,$KG140,$LA140)</f>
        <v>386.82993617035453</v>
      </c>
      <c r="DQ140" s="196">
        <f>DR140+各项系数!$M$9*$NV140</f>
        <v>397.29799357149142</v>
      </c>
      <c r="DR140" s="196">
        <f t="shared" ref="DR140:DR203" si="597">DS140*(1+$EA140+(VLOOKUP($AM140,$A$12:$B$323,2,0)))*(1+$E$2)+$E$3*$NV140</f>
        <v>394.40290435556182</v>
      </c>
      <c r="DS140" s="197">
        <f>DT140+各项系数!$L$9*$NV140</f>
        <v>402.45194321996104</v>
      </c>
      <c r="DT140" s="197">
        <f>DU140*(1+$EB140+各项系数!$J$5+各项系数!$L$5)</f>
        <v>399.55685400403144</v>
      </c>
      <c r="DU140" s="199">
        <f t="shared" ref="DU140:DU203" si="598">SUM($FB140,IX140,$IJ140,$JK140,$KG140,$LU140,$KO140)</f>
        <v>387.91927573206937</v>
      </c>
      <c r="DV140" s="196">
        <f>DW140+各项系数!$M$9*$NV140</f>
        <v>396.52954356314177</v>
      </c>
      <c r="DW140" s="196">
        <f t="shared" ref="DW140:DW203" si="599">DX140*(1+$EA140+(VLOOKUP($AM140,$A$12:$B$323,2,0)))*(1+$E$2)+$E$3*$NV140</f>
        <v>393.63445434721217</v>
      </c>
      <c r="DX140" s="197">
        <f>DY140+各项系数!$L$9*$NV140</f>
        <v>401.66781055837976</v>
      </c>
      <c r="DY140" s="197">
        <f>DZ140*(1+$EB140+各项系数!$J$5+各项系数!$L$5)</f>
        <v>398.77272134245015</v>
      </c>
      <c r="DZ140" s="199">
        <f t="shared" ref="DZ140:DZ203" si="600">SUM($FB140,JE140,$IJ140,$JK140,$KG140,$LE140,$KO140)</f>
        <v>387.15798188587394</v>
      </c>
      <c r="EA140" s="213">
        <f t="shared" si="581"/>
        <v>0</v>
      </c>
      <c r="EB140" s="213">
        <f t="shared" ref="EB140:EB203" si="601">BJ140+$E$6</f>
        <v>0.01</v>
      </c>
      <c r="EC140" s="235" t="str">
        <f t="shared" si="408"/>
        <v>4+1</v>
      </c>
      <c r="ED140" s="235" t="str">
        <f t="shared" si="565"/>
        <v>4*150</v>
      </c>
      <c r="EE140" s="189">
        <f t="shared" si="495"/>
        <v>150</v>
      </c>
      <c r="EF140" s="189" t="str">
        <f>LOOKUP(EH140,{1,7,10,14,19,24,30,37,48,61},{1,"1+6","2+8","4+10","1+6+12","2+8+14","4+10+16","1+6+12+18","3+9+15+21","1+6+12+18+24"})</f>
        <v>4+10+16</v>
      </c>
      <c r="EG140" s="188">
        <f t="shared" ref="EG140:EG203" si="602">IF(D140="",0,MID(D140,1,FIND("*",D140)-1))*1</f>
        <v>4</v>
      </c>
      <c r="EH140" s="197">
        <f>VLOOKUP(EE140,各项系数!$B$87:$C$124,2,0)</f>
        <v>30</v>
      </c>
      <c r="EI140" s="188">
        <f>IF(EH140=0,0,VLOOKUP(EH140,各项系数!$D$142:$E$195,2,0))*1</f>
        <v>6.41</v>
      </c>
      <c r="EJ140" s="238">
        <f t="shared" si="409"/>
        <v>243.33587022849699</v>
      </c>
      <c r="EK140" s="189" t="str">
        <f t="shared" si="566"/>
        <v>1*70</v>
      </c>
      <c r="EL140" s="189" t="str">
        <f t="shared" ref="EL140:EL203" si="603">IF(COUNTIF(D140,"*+*")&gt;0,(MID(D140,FIND("#",SUBSTITUTE(D140,"*","#",2))+1,FIND("#",SUBSTITUTE(D140,"*","#",2))-1)),0)</f>
        <v>70</v>
      </c>
      <c r="EM140" s="189">
        <f t="shared" si="567"/>
        <v>70</v>
      </c>
      <c r="EN140" s="189" t="str">
        <f>IF(EP140=0,0,LOOKUP(EP140,{1,7,10,14,19,24,30,37,48,61},{1,"1+6","2+8","4+10","1+6+12","2+8+14","4+10+16","1+6+12+18","3+9+15+21","1+6+12+18+24"}))</f>
        <v>4+10</v>
      </c>
      <c r="EO140" s="189" t="str">
        <f t="shared" si="568"/>
        <v>1</v>
      </c>
      <c r="EP140" s="189">
        <f>IF(EM140=0,0,IF(EM140&lt;10,1,IF(AND(EM140&gt;=10,EM140&lt;=35),7,LOOKUP(EM140,{50,70,95,120,150,185,240,300},{10,14,19,24,30,37,48,61})*1)))</f>
        <v>14</v>
      </c>
      <c r="EQ140" s="189">
        <f>IF(EP140=0,0,VLOOKUP(EP140,各项系数!$D$142:$E$195,2,0))*1</f>
        <v>4.41</v>
      </c>
      <c r="ER140" s="189">
        <f t="shared" si="577"/>
        <v>242.29596858910099</v>
      </c>
      <c r="ES140" s="235">
        <f t="shared" si="570"/>
        <v>5</v>
      </c>
      <c r="ET140" s="189">
        <f>VLOOKUP(ES140,各项系数!$D$142:$E$195,2,0)*1</f>
        <v>2.7</v>
      </c>
      <c r="EU140" s="243">
        <f>((各项系数!$F$76/4*$EJ140^2*$EG140*$EH140*1*10^-7)*(1-$H140)*AA140)*(VLOOKUP($EY$9,各项系数!$D$4:$F$143,3,0))*各项系数!$J$4</f>
        <v>5.0104216778094344</v>
      </c>
      <c r="EV140" s="244">
        <f>EU140*(VLOOKUP($EY$9,各项系数!$D$4:$F$143,2,0))</f>
        <v>328.18261989651796</v>
      </c>
      <c r="EW140" s="252">
        <f>(IF($EO140=0,0,(各项系数!$F$76/4*$ER140^2*$EO140*$EP140*1*10^-7))*(1-$K140)*$AF140)*(VLOOKUP($EY$9,各项系数!$D$4:$F$143,3,0))*各项系数!$J$4</f>
        <v>0.57842170409620486</v>
      </c>
      <c r="EX140" s="253">
        <f>EW140*(VLOOKUP($EY$9,各项系数!$D$4:$F$143,2,0))</f>
        <v>37.886621618301419</v>
      </c>
      <c r="EY140" s="189">
        <f>((各项系数!$F$76/4*$EJ140^2*$EG140*$EH140*1*10^-7)*(1-$H140)*AA140+IF($EO140=0,0,(各项系数!$F$76/4*$ER140^2*$EO140*$EP140*1*10^-7))*(1-$K140)*$AF140)*(VLOOKUP($EY$9,各项系数!$D$4:$F$143,3,0))*各项系数!$J$4</f>
        <v>5.5888433819056393</v>
      </c>
      <c r="EZ140" s="102">
        <v>1</v>
      </c>
      <c r="FA140" s="189">
        <f t="shared" si="515"/>
        <v>5.5888433819056393</v>
      </c>
      <c r="FB140" s="254">
        <f>FA140*(VLOOKUP($EY$9,各项系数!$D$4:$F$143,2,0))</f>
        <v>366.0692415148194</v>
      </c>
      <c r="FC140" s="255"/>
      <c r="FD140" s="235">
        <f>各项系数!$F$76/4*($MN140^2-MK140^2)*10^-2*(VLOOKUP(L140,各项系数!$D$1:$F$143,3,0))*10^-3*10^2*$EG140*各项系数!$J$4</f>
        <v>0.32730084638819268</v>
      </c>
      <c r="FE140" s="262">
        <f>FD140*VLOOKUP(L140,各项系数!$D$1:$F$143,2,0)</f>
        <v>3.338468633159565</v>
      </c>
      <c r="FF140" s="188">
        <f>各项系数!$F$76/4*($MO140^2-ML140^2)*10^-2*(VLOOKUP(L140,各项系数!$D$1:$F$143,3,0))*10^-3*10^2*$EO140*各项系数!$J$4</f>
        <v>4.4575600753230624E-2</v>
      </c>
      <c r="FG140" s="262">
        <f>FF140*VLOOKUP(L140,各项系数!$D$1:$F$143,2,0)</f>
        <v>0.45467112768295231</v>
      </c>
      <c r="FH140" s="235">
        <f t="shared" si="410"/>
        <v>0.37187644714142332</v>
      </c>
      <c r="FI140" s="102">
        <v>1</v>
      </c>
      <c r="FJ140" s="189">
        <f t="shared" si="516"/>
        <v>0.37187644714142332</v>
      </c>
      <c r="FK140" s="262">
        <f>FJ140*VLOOKUP(L140,各项系数!$D$1:$F$143,2,0)</f>
        <v>3.7931397608425175</v>
      </c>
      <c r="FL140" s="235"/>
      <c r="FM140" s="102"/>
      <c r="FN140" s="189"/>
      <c r="FO140" s="262"/>
      <c r="FP140" s="282">
        <f t="shared" si="517"/>
        <v>0.37187644714142332</v>
      </c>
      <c r="FQ140" s="282">
        <f t="shared" si="518"/>
        <v>3.7931397608425175</v>
      </c>
      <c r="FR140" s="283">
        <f>各项系数!$F$76/4*($MQ140^2-$MN140^2*$EG140-$MO140^2*$EO140)*10^-2</f>
        <v>5.189063179598941</v>
      </c>
      <c r="FS140" s="284">
        <f t="shared" si="411"/>
        <v>1</v>
      </c>
      <c r="FT140" s="285">
        <f t="shared" ref="FT140:FT203" si="604">FR140*$FS140</f>
        <v>5.189063179598941</v>
      </c>
      <c r="FU140" s="302">
        <f>$FT140*(VLOOKUP($FT$9,各项系数!$D$1:$F$143,3,0))*10^-3*10^2*各项系数!$J$55</f>
        <v>0.61957414364411345</v>
      </c>
      <c r="FV140" s="303">
        <v>1</v>
      </c>
      <c r="FW140" s="304">
        <f t="shared" si="519"/>
        <v>0.61957414364411345</v>
      </c>
      <c r="FX140" s="285">
        <f>FW140*(VLOOKUP($FT$9,各项系数!$D$1:$F$143,2,0))</f>
        <v>1.8587224309323402</v>
      </c>
      <c r="FY140" s="302">
        <f>IF($BK140&lt;&gt;$FY$9,0,各项系数!$F$76/4*($MS140^2-$MQ140^2)*10^-2*(VLOOKUP($FY$9,各项系数!$D$1:$F$143,3,0))*10^-3*10^2)*各项系数!$J$4</f>
        <v>0</v>
      </c>
      <c r="FZ140" s="303">
        <v>1</v>
      </c>
      <c r="GA140" s="304">
        <f t="shared" si="520"/>
        <v>0</v>
      </c>
      <c r="GB140" s="285">
        <f>GA140*(VLOOKUP($FY$9,各项系数!$D$1:$F$143,2,0))</f>
        <v>0</v>
      </c>
      <c r="GC140" s="302">
        <f>IF($BK140&lt;&gt;$GC$9,0,各项系数!$F$76/4*($MS140^2-$MQ140^2)*10^-2*(VLOOKUP($GC$9,各项系数!$D$1:$F$143,3,0))*10^-3*10^2)*各项系数!$J$4</f>
        <v>1.2740916779294001E-2</v>
      </c>
      <c r="GD140" s="303">
        <v>1</v>
      </c>
      <c r="GE140" s="304">
        <f t="shared" si="521"/>
        <v>1.2740916779294001E-2</v>
      </c>
      <c r="GF140" s="285">
        <f>GE140*(VLOOKUP($GC$9,各项系数!$D$1:$F$143,2,0))</f>
        <v>0.16435782645289262</v>
      </c>
      <c r="GG140" s="302">
        <f>IF($BK140&lt;&gt;$GG$9,0,各项系数!$F$76/4*($MS140^2-$MQ140^2)*10^-2*(VLOOKUP($GG$9,各项系数!$D$1:$F$143,3,0))*10^-3*10^2)*各项系数!$J$4</f>
        <v>0</v>
      </c>
      <c r="GH140" s="303">
        <v>1</v>
      </c>
      <c r="GI140" s="304">
        <f t="shared" si="522"/>
        <v>0</v>
      </c>
      <c r="GJ140" s="285">
        <f>GI140*(VLOOKUP($GG$9,各项系数!$D$1:$F$143,2,0))</f>
        <v>0</v>
      </c>
      <c r="GK140" s="302">
        <f>IF($BK140&lt;&gt;$GK$9,0,各项系数!$F$76/4*($MS140^2-$MQ140^2)*10^-2*(VLOOKUP($GK$9,各项系数!$D$1:$F$143,3,0))*10^-3*10^2)*各项系数!$J$4</f>
        <v>0</v>
      </c>
      <c r="GL140" s="303">
        <v>1</v>
      </c>
      <c r="GM140" s="304">
        <f t="shared" si="523"/>
        <v>0</v>
      </c>
      <c r="GN140" s="285">
        <f>GM140*(VLOOKUP($GK$9,各项系数!$D$1:$F$143,2,0))</f>
        <v>0</v>
      </c>
      <c r="GO140" s="304">
        <f t="shared" si="524"/>
        <v>1.2740916779294001E-2</v>
      </c>
      <c r="GP140" s="304">
        <f t="shared" si="525"/>
        <v>0.16435782645289262</v>
      </c>
      <c r="GQ140" s="315">
        <f>各项系数!$F$76/4*($MU140^2-$MS140^2)*10^-2*(VLOOKUP($S140,各项系数!$D$1:$F$143,3,0))*10^-3*10^2*各项系数!$J$4</f>
        <v>0.8730937681110601</v>
      </c>
      <c r="GR140" s="303">
        <v>1</v>
      </c>
      <c r="GS140" s="304">
        <f t="shared" si="526"/>
        <v>0.8730937681110601</v>
      </c>
      <c r="GT140" s="304">
        <f t="shared" si="457"/>
        <v>0</v>
      </c>
      <c r="GU140" s="304">
        <f>ROUND($GS140*(VLOOKUP($S140,各项系数!$D$1:$F$143,2,0))+$E$3*GS140,GT140)</f>
        <v>5</v>
      </c>
      <c r="GV140" s="315">
        <f>各项系数!$F$76/4*($MT140^2-$MS140^2)*10^-2*(VLOOKUP($GV$9,各项系数!$D$1:$F$143,3,0))*10^-3*10^2*各项系数!$J$4*PI()/4*R140</f>
        <v>6.5585997690208689E-2</v>
      </c>
      <c r="GW140" s="303">
        <v>1</v>
      </c>
      <c r="GX140" s="304">
        <f t="shared" si="527"/>
        <v>6.5585997690208689E-2</v>
      </c>
      <c r="GY140" s="304">
        <f>$GX140*(VLOOKUP($GV$9,各项系数!$D$1:$F$143,2,0))</f>
        <v>4.4270548440890867</v>
      </c>
      <c r="GZ140" s="315">
        <f>各项系数!$F$76/4*($MV140^2-$MS140^2)*10^-2*(VLOOKUP($GZ$9,各项系数!$D$1:$F$143,3,0))*10^-3*10^2*各项系数!$J$4</f>
        <v>0.58302288188240259</v>
      </c>
      <c r="HA140" s="303">
        <v>1</v>
      </c>
      <c r="HB140" s="304">
        <f t="shared" si="412"/>
        <v>0.58302288188240259</v>
      </c>
      <c r="HC140" s="304">
        <f>HB140*(VLOOKUP($GZ$9,各项系数!$D$1:$F$143,2,0))</f>
        <v>9.9113889920008447</v>
      </c>
      <c r="HD140" s="315">
        <f>各项系数!$F$76/4*($MW140^2-$MT140^2)*10^-2*(VLOOKUP($HD$9,各项系数!$D$1:$F$143,3,0))*10^-3*10^2*各项系数!$J$4</f>
        <v>0.58490841552760442</v>
      </c>
      <c r="HE140" s="303">
        <v>1</v>
      </c>
      <c r="HF140" s="304">
        <f t="shared" si="413"/>
        <v>0.58490841552760442</v>
      </c>
      <c r="HG140" s="304">
        <f>HF140*(VLOOKUP($HD$9,各项系数!$D$1:$F$143,2,0))</f>
        <v>9.9434430639692746</v>
      </c>
      <c r="HH140" s="315">
        <f>各项系数!$F$76/4*($MV140^2-$MS140^2)*10^-2*(VLOOKUP($HH$9,各项系数!$D$1:$F$143,3,0))*10^-3*10^2*各项系数!$J$4</f>
        <v>0.58302288188240259</v>
      </c>
      <c r="HI140" s="322">
        <v>1</v>
      </c>
      <c r="HJ140" s="304">
        <f t="shared" si="414"/>
        <v>0.58302288188240259</v>
      </c>
      <c r="HK140" s="304">
        <f>HJ140*(VLOOKUP($HH$9,各项系数!$D$1:$F$143,2,0))</f>
        <v>9.9113889920008447</v>
      </c>
      <c r="HL140" s="315">
        <f>各项系数!$F$76/4*($MW140^2-$MT140^2)*10^-2*(VLOOKUP($HL$9,各项系数!$D$1:$F$143,3,0))*10^-3*10^2*各项系数!$J$4</f>
        <v>0.58490841552760442</v>
      </c>
      <c r="HM140" s="322">
        <v>1</v>
      </c>
      <c r="HN140" s="304">
        <f t="shared" ref="HN140:HN203" si="605">HM140*HL140</f>
        <v>0.58490841552760442</v>
      </c>
      <c r="HO140" s="304">
        <f>HN140*(VLOOKUP($HL$9,各项系数!$D$1:$F$143,2,0))</f>
        <v>9.9434430639692746</v>
      </c>
      <c r="HP140" s="315">
        <f>各项系数!$F$76/4*($MV140^2-$MS140^2)*10^-2*(VLOOKUP(AN140,各项系数!$D$1:$F$143,3,0))*10^-3*10^2*各项系数!$J$4</f>
        <v>0.59106457680491853</v>
      </c>
      <c r="HQ140" s="303">
        <v>1</v>
      </c>
      <c r="HR140" s="304">
        <f t="shared" si="528"/>
        <v>0.59106457680491853</v>
      </c>
      <c r="HS140" s="304">
        <f>HR140*(VLOOKUP(AN140,各项系数!$D$1:$F$143,2,0))</f>
        <v>5.9106457680491857</v>
      </c>
      <c r="HT140" s="315">
        <f>各项系数!$F$76/4*($MW140^2-$MT140^2)*10^-2*(VLOOKUP(AN140,各项系数!$D$1:$F$143,3,0))*10^-3*10^2*各项系数!$J$4</f>
        <v>0.59297611781074366</v>
      </c>
      <c r="HU140" s="303">
        <v>1</v>
      </c>
      <c r="HV140" s="304">
        <f t="shared" si="529"/>
        <v>0.59297611781074366</v>
      </c>
      <c r="HW140" s="304">
        <f>HV140*(VLOOKUP(AN140,各项系数!$D$1:$F$143,2,0))</f>
        <v>5.9297611781074364</v>
      </c>
      <c r="HX140" s="315">
        <f>各项系数!$F$76/4*($MV140^2-$MS140^2)*10^-2*(VLOOKUP($HX$9,各项系数!$D$1:$F$143,3,0))*10^-3*10^2*各项系数!$J$4</f>
        <v>0.59106457680491853</v>
      </c>
      <c r="HY140" s="322">
        <v>1</v>
      </c>
      <c r="HZ140" s="304">
        <f t="shared" si="530"/>
        <v>0.59106457680491853</v>
      </c>
      <c r="IA140" s="304">
        <f>HZ140*(VLOOKUP($HX$9,各项系数!$D$1:$F$143,2,0))</f>
        <v>6.5017103448541036</v>
      </c>
      <c r="IB140" s="315">
        <f>各项系数!$F$76/4*($MW140^2-$MT140^2)*10^-2*(VLOOKUP($IB$9,各项系数!$D$1:$F$143,3,0))*10^-3*10^2*各项系数!$J$4</f>
        <v>0.59297611781074366</v>
      </c>
      <c r="IC140" s="322">
        <v>1</v>
      </c>
      <c r="ID140" s="304">
        <f t="shared" si="531"/>
        <v>0.59297611781074366</v>
      </c>
      <c r="IE140" s="304">
        <f>ID140*(VLOOKUP($IB$9,各项系数!$D$1:$F$143,2,0))</f>
        <v>6.52273729591818</v>
      </c>
      <c r="IF140" s="328"/>
      <c r="IG140" s="315">
        <f t="shared" si="415"/>
        <v>0.10490299029654582</v>
      </c>
      <c r="IH140" s="303">
        <v>1</v>
      </c>
      <c r="II140" s="304">
        <f t="shared" si="532"/>
        <v>0.10490299029654582</v>
      </c>
      <c r="IJ140" s="304">
        <f>II140*(VLOOKUP($IG$8,各项系数!$D$1:$F$143,2,0))</f>
        <v>2.6225747574136453</v>
      </c>
      <c r="IK140" s="315">
        <f>(各项系数!$F$76/4*($MX140^2-$MK140^2)*$EG140)*10^-2*(VLOOKUP($IG$8,各项系数!$D$1:$F$143,3,0))*10^-3*10^2*各项系数!$J$4</f>
        <v>8.9450606023998416E-2</v>
      </c>
      <c r="IL140" s="303">
        <f>IK140*(VLOOKUP($IG$8,各项系数!$D$1:$F$143,2,0))</f>
        <v>2.2362651505999604</v>
      </c>
      <c r="IM140" s="304">
        <f>(各项系数!$F$76/4*(($MM140+3*$X140)^2-MM140^2)*$EO140)*10^-2*(VLOOKUP($IG$8,各项系数!$D$1:$F$143,3,0))*10^-3*10^2*各项系数!$J$4</f>
        <v>1.5452384272547408E-2</v>
      </c>
      <c r="IN140" s="303">
        <f>IM140*(VLOOKUP($IG$8,各项系数!$D$1:$F$143,2,0))</f>
        <v>0.3863096068136852</v>
      </c>
      <c r="IO140" s="315">
        <f>各项系数!$F$76/4*($MZ140^2-$MX140^2)*10^-2*(VLOOKUP(L140,各项系数!$D$1:$F$143,3,0))*10^-3*10^2*$ES140*各项系数!$J$4</f>
        <v>0.42356764525452795</v>
      </c>
      <c r="IP140" s="303">
        <v>1</v>
      </c>
      <c r="IQ140" s="304">
        <f t="shared" si="533"/>
        <v>0.42356764525452795</v>
      </c>
      <c r="IR140" s="285">
        <f>IQ140*(VLOOKUP(L140,各项系数!$D$1:$F$143,2,0))</f>
        <v>4.3203899815961844</v>
      </c>
      <c r="IS140" s="315">
        <f>IF($L140&lt;&gt;$IS$9,0,各项系数!$F$76/4*($MZ140^2-$MX140^2)*10^-2*各项系数!$F$12*10^-3*10^2)*$ES140*各项系数!$J$4</f>
        <v>0</v>
      </c>
      <c r="IT140" s="303">
        <v>1</v>
      </c>
      <c r="IU140" s="304">
        <f t="shared" si="534"/>
        <v>0</v>
      </c>
      <c r="IV140" s="285">
        <f>IU140*各项系数!$E$12</f>
        <v>0</v>
      </c>
      <c r="IW140" s="302">
        <f t="shared" si="535"/>
        <v>0.42356764525452795</v>
      </c>
      <c r="IX140" s="302">
        <f t="shared" si="536"/>
        <v>4.3203899815961844</v>
      </c>
      <c r="IY140" s="339">
        <f>各项系数!$F$76/4*($NB140^2-$MZ140^2*$EG140-$NA140^2*$EO140)*10^-2</f>
        <v>5.6856251754895188</v>
      </c>
      <c r="IZ140" s="284">
        <f t="shared" si="487"/>
        <v>1</v>
      </c>
      <c r="JA140" s="285">
        <f t="shared" ref="JA140:JA203" si="606">IY140*$IZ140</f>
        <v>5.6856251754895188</v>
      </c>
      <c r="JB140" s="282">
        <f>IF($DE140&lt;&gt;$JB$9,0,$JA140*各项系数!$F$32*10^-3*10^2)*各项系数!$J$4</f>
        <v>0</v>
      </c>
      <c r="JC140" s="102">
        <v>1</v>
      </c>
      <c r="JD140" s="189">
        <f t="shared" si="537"/>
        <v>0</v>
      </c>
      <c r="JE140" s="262">
        <f>JD140*各项系数!$E$32</f>
        <v>0</v>
      </c>
      <c r="JF140" s="282">
        <f>IF($DE140&lt;&gt;$JF$9,0,$JA140*VLOOKUP($JF$9,各项系数!$D$4:$F$540,2,0)*10^-3*10^2)*各项系数!$J$4</f>
        <v>2.8285985248060355</v>
      </c>
      <c r="JG140" s="102">
        <v>1</v>
      </c>
      <c r="JH140" s="189">
        <f t="shared" ref="JH140:JH203" si="607">JG140*JF140</f>
        <v>2.8285985248060355</v>
      </c>
      <c r="JI140" s="262">
        <f>JH140*VLOOKUP($JF$9,各项系数!$D$4:$F$540,3,0)</f>
        <v>3.3943182297672423</v>
      </c>
      <c r="JJ140" s="282">
        <f t="shared" si="538"/>
        <v>2.8285985248060355</v>
      </c>
      <c r="JK140" s="189">
        <f t="shared" si="539"/>
        <v>3.3943182297672423</v>
      </c>
      <c r="JL140" s="282">
        <f>IF($DF140&lt;&gt;$JL$9,0,各项系数!$F$76/4*($NE140^2-$NC140^2)*10^-2*各项系数!$F$39*10^-3*10^2)*各项系数!$J$4</f>
        <v>5.4872045776672767E-3</v>
      </c>
      <c r="JM140" s="102">
        <v>1</v>
      </c>
      <c r="JN140" s="189">
        <f t="shared" si="540"/>
        <v>5.4872045776672767E-3</v>
      </c>
      <c r="JO140" s="262">
        <f>JN140*各项系数!$E$39</f>
        <v>0.10974409155334554</v>
      </c>
      <c r="JP140" s="282">
        <f>IF($DF140&lt;&gt;$JP$9,0,各项系数!$F$76/4*($NE140^2-$NC140^2)*10^-2*各项系数!$F$36*10^-3*10^2)*各项系数!$J$4</f>
        <v>0</v>
      </c>
      <c r="JQ140" s="102">
        <v>1</v>
      </c>
      <c r="JR140" s="189">
        <f t="shared" si="541"/>
        <v>0</v>
      </c>
      <c r="JS140" s="262">
        <f>JR140*各项系数!$E$36</f>
        <v>0</v>
      </c>
      <c r="JT140" s="282">
        <f>IF($DF140&lt;&gt;$JT$9,0,各项系数!$F$76/4*($NE140^2-$NC140^2)*10^-2*各项系数!$F$40*10^-3*10^2)*各项系数!$J$4</f>
        <v>0</v>
      </c>
      <c r="JU140" s="102">
        <v>1</v>
      </c>
      <c r="JV140" s="189">
        <f t="shared" si="542"/>
        <v>0</v>
      </c>
      <c r="JW140" s="262">
        <f>JV140*各项系数!$E$40</f>
        <v>0</v>
      </c>
      <c r="JX140" s="282">
        <f>IF($DF140&lt;&gt;$JX$9,0,各项系数!$F$76/4*($NE140^2-$NC140^2)*10^-2*各项系数!$F$38*10^-3*10^2)*各项系数!$J$4</f>
        <v>0</v>
      </c>
      <c r="JY140" s="102">
        <v>1</v>
      </c>
      <c r="JZ140" s="189">
        <f t="shared" si="543"/>
        <v>0</v>
      </c>
      <c r="KA140" s="262">
        <f>JZ140*各项系数!$E$38</f>
        <v>0</v>
      </c>
      <c r="KB140" s="282">
        <f>IF($DF140&lt;&gt;$KB$9,0,各项系数!$F$76/4*($NE140^2-$NC140^2)*10^-2*各项系数!$F$41*10^-3*10^2)*各项系数!$J$4</f>
        <v>0</v>
      </c>
      <c r="KC140" s="102">
        <v>1</v>
      </c>
      <c r="KD140" s="189">
        <f t="shared" si="544"/>
        <v>0</v>
      </c>
      <c r="KE140" s="262">
        <f>KD140*各项系数!$E$41</f>
        <v>0</v>
      </c>
      <c r="KF140" s="189">
        <f t="shared" si="545"/>
        <v>5.4872045776672767E-3</v>
      </c>
      <c r="KG140" s="189">
        <f t="shared" si="546"/>
        <v>0.10974409155334554</v>
      </c>
      <c r="KH140" s="235">
        <f>各项系数!$F$76/4*($NG140^2-$NE140^2)*10^-2*各项系数!$F$44*10^-3*10^2*各项系数!$J$4*0.75*$U140</f>
        <v>1.364860593057307</v>
      </c>
      <c r="KI140" s="102">
        <v>1</v>
      </c>
      <c r="KJ140" s="189">
        <f t="shared" si="547"/>
        <v>1.364860593057307</v>
      </c>
      <c r="KK140" s="189">
        <f>ROUND(KJ140*各项系数!$E$43,GT140)</f>
        <v>8</v>
      </c>
      <c r="KL140" s="235">
        <f>各项系数!$F$76/4*($NF140^2-$NE140^2)*10^-2*各项系数!$F$46*10^-3*10^2*各项系数!$J$4*PI()/4*R140</f>
        <v>6.8390838891068381E-2</v>
      </c>
      <c r="KM140" s="102">
        <v>1</v>
      </c>
      <c r="KN140" s="189">
        <f t="shared" si="548"/>
        <v>6.8390838891068381E-2</v>
      </c>
      <c r="KO140" s="189">
        <f>KN140*各项系数!$E$46</f>
        <v>4.6163816251471159</v>
      </c>
      <c r="KP140" s="235">
        <f>各项系数!$F$76/4*($NH140^2-$NE140^2)*10^-2*(VLOOKUP($KP$9,各项系数!$D$1:$F$143,3,0))*10^-3*10^2*各项系数!$J$4</f>
        <v>0.60668632912968912</v>
      </c>
      <c r="KQ140" s="102">
        <v>1</v>
      </c>
      <c r="KR140" s="189">
        <f t="shared" si="416"/>
        <v>0.60668632912968912</v>
      </c>
      <c r="KS140" s="189">
        <f>KR140*(VLOOKUP($KP$9,各项系数!$D$1:$F$143,2,0))</f>
        <v>10.313667595204715</v>
      </c>
      <c r="KT140" s="235">
        <f>各项系数!$F$76/4*($NI140^2-$NF140^2)*10^-2*(VLOOKUP($KT$9,各项系数!$D$1:$F$143,3,0))*10^-3*10^2*各项系数!$J$4</f>
        <v>0.60857186277489095</v>
      </c>
      <c r="KU140" s="102">
        <v>1</v>
      </c>
      <c r="KV140" s="189">
        <f t="shared" si="417"/>
        <v>0.60857186277489095</v>
      </c>
      <c r="KW140" s="189">
        <f>KV140*(VLOOKUP($KT$9,各项系数!$D$1:$F$143,2,0))</f>
        <v>10.345721667173146</v>
      </c>
      <c r="KX140" s="189">
        <f>各项系数!$F$76/4*($NH140^2-$NE140^2)*10^-2*(VLOOKUP($KX$9,各项系数!$D$1:$F$143,3,0))*10^-3*10^2*各项系数!$J$4</f>
        <v>0.60668632912968912</v>
      </c>
      <c r="KY140" s="353">
        <v>1</v>
      </c>
      <c r="KZ140" s="189">
        <f t="shared" si="418"/>
        <v>0.60668632912968912</v>
      </c>
      <c r="LA140" s="189">
        <f>KZ140*(VLOOKUP($KX$9,各项系数!$D$1:$F$143,2,0))</f>
        <v>10.313667595204715</v>
      </c>
      <c r="LB140" s="189">
        <f>各项系数!$F$76/4*($NI140^2-$NF140^2)*10^-2*(VLOOKUP($LB$9,各项系数!$D$1:$F$143,3,0))*10^-3*10^2*各项系数!$J$4</f>
        <v>0.60857186277489095</v>
      </c>
      <c r="LC140" s="353">
        <v>1</v>
      </c>
      <c r="LD140" s="189">
        <f t="shared" si="419"/>
        <v>0.60857186277489095</v>
      </c>
      <c r="LE140" s="189">
        <f>LD140*(VLOOKUP($LB$9,各项系数!$D$1:$F$143,2,0))</f>
        <v>10.345721667173146</v>
      </c>
      <c r="LF140" s="235">
        <f>各项系数!$F$76/4*($NH140^2-$NE140^2)*10^-2*(VLOOKUP(AN140,各项系数!$D$1:$F$143,3,0))*10^-3*10^2*各项系数!$J$4</f>
        <v>0.61505441642802972</v>
      </c>
      <c r="LG140" s="102">
        <v>1</v>
      </c>
      <c r="LH140" s="189">
        <f t="shared" si="549"/>
        <v>0.61505441642802972</v>
      </c>
      <c r="LI140" s="189">
        <f>LH140*(VLOOKUP(AN140,各项系数!$D$1:$F$143,2,0))</f>
        <v>6.1505441642802969</v>
      </c>
      <c r="LJ140" s="235">
        <f>各项系数!$F$76/4*($NI140^2-$NF140^2)*10^-2*(VLOOKUP(AN140,各项系数!$D$1:$F$143,3,0))*10^-3*10^2*各项系数!$J$4</f>
        <v>0.61696595743385496</v>
      </c>
      <c r="LK140" s="102">
        <v>1</v>
      </c>
      <c r="LL140" s="189">
        <f t="shared" si="550"/>
        <v>0.61696595743385496</v>
      </c>
      <c r="LM140" s="189">
        <f>LL140*(VLOOKUP(AN140,各项系数!$D$1:$F$143,2,0))</f>
        <v>6.1696595743385494</v>
      </c>
      <c r="LN140" s="189">
        <f>各项系数!$F$76/4*($NH140^2-$NE140^2)*10^-2*(VLOOKUP($LN$9,各项系数!$D$1:$F$143,3,0))*10^-3*10^2*各项系数!$J$4</f>
        <v>0.61505441642802972</v>
      </c>
      <c r="LO140" s="353">
        <v>1</v>
      </c>
      <c r="LP140" s="189">
        <f t="shared" si="551"/>
        <v>0.61505441642802972</v>
      </c>
      <c r="LQ140" s="189">
        <f>LP140*(VLOOKUP($LN$9,各项系数!$D$1:$F$143,2,0))</f>
        <v>6.7655985807083265</v>
      </c>
      <c r="LR140" s="189">
        <f>各项系数!$F$76/4*($NI140^2-$NF140^2)*10^-2*(VLOOKUP($LR$9,各项系数!$D$1:$F$143,3,0))*10^-3*10^2*各项系数!$J$4</f>
        <v>0.61696595743385496</v>
      </c>
      <c r="LS140" s="353">
        <v>1</v>
      </c>
      <c r="LT140" s="189">
        <f t="shared" si="552"/>
        <v>0.61696595743385496</v>
      </c>
      <c r="LU140" s="189">
        <f>LT140*(VLOOKUP($LR$9,各项系数!$D$1:$F$143,2,0))</f>
        <v>6.7866255317724047</v>
      </c>
      <c r="LV140" s="227">
        <f t="shared" si="420"/>
        <v>764.32523303999994</v>
      </c>
      <c r="LW140" s="227">
        <f t="shared" si="421"/>
        <v>558.06321008999998</v>
      </c>
      <c r="LX140" s="227">
        <f t="shared" si="422"/>
        <v>26.656109009914314</v>
      </c>
      <c r="LY140" s="227">
        <f t="shared" si="423"/>
        <v>206.26202294999996</v>
      </c>
      <c r="LZ140" s="374">
        <f t="shared" ref="LZ140:LZ203" si="608">$LZ$8</f>
        <v>1</v>
      </c>
      <c r="MA140" s="375">
        <f t="shared" ref="MA140:MA203" si="609">LV140-LY140*(1-LZ140)</f>
        <v>764.32523303999994</v>
      </c>
      <c r="MB140" s="375">
        <f t="shared" si="424"/>
        <v>15.59782927</v>
      </c>
      <c r="MC140" s="227">
        <f t="shared" si="425"/>
        <v>89.672532840000002</v>
      </c>
      <c r="MD140" s="227">
        <f t="shared" si="426"/>
        <v>64.552088069999996</v>
      </c>
      <c r="ME140" s="227">
        <f t="shared" si="427"/>
        <v>9.0658850216595468</v>
      </c>
      <c r="MF140" s="227">
        <f t="shared" si="428"/>
        <v>25.120444770000006</v>
      </c>
      <c r="MG140" s="374">
        <f t="shared" si="429"/>
        <v>1</v>
      </c>
      <c r="MH140" s="375">
        <f t="shared" ref="MH140:MH203" si="610">MC140-MF140*(1-MG140)</f>
        <v>89.672532840000002</v>
      </c>
      <c r="MI140" s="375">
        <f t="shared" si="430"/>
        <v>10.685252214545548</v>
      </c>
      <c r="MJ140" s="189">
        <f t="shared" ref="MJ140:MJ203" si="611">ROUND(ROUND($EJ140*10^-2,8)*$EI140,8)</f>
        <v>15.59782927</v>
      </c>
      <c r="MK140" s="189">
        <f t="shared" si="431"/>
        <v>15.59782927</v>
      </c>
      <c r="ML140" s="189">
        <f t="shared" si="553"/>
        <v>10.685252214779355</v>
      </c>
      <c r="MM140" s="189">
        <f t="shared" ref="MM140:MM203" si="612">(1-$K140)^(1/2)*$MI140</f>
        <v>10.685252214545548</v>
      </c>
      <c r="MN140" s="189">
        <f t="shared" ref="MN140:MN203" si="613">MK140+M140*2</f>
        <v>18.397829269999999</v>
      </c>
      <c r="MO140" s="189">
        <f t="shared" si="432"/>
        <v>12.885252214545549</v>
      </c>
      <c r="MP140" s="189">
        <f t="shared" si="433"/>
        <v>46.69734742</v>
      </c>
      <c r="MQ140" s="189">
        <f t="shared" si="554"/>
        <v>46.69734742</v>
      </c>
      <c r="MR140" s="246">
        <f t="shared" si="434"/>
        <v>46.69734742</v>
      </c>
      <c r="MS140" s="380">
        <f t="shared" ref="MS140:MS203" si="614">MR140+2*O140*(1+P140)</f>
        <v>46.873347420000002</v>
      </c>
      <c r="MT140" s="380">
        <f t="shared" ref="MT140:MT203" si="615">MS140+(Q140*R140*2)</f>
        <v>47.033347419999998</v>
      </c>
      <c r="MU140" s="380">
        <f t="shared" ref="MU140:MU203" si="616">MS140+(T140*U140*1.5)</f>
        <v>48.373347420000002</v>
      </c>
      <c r="MV140" s="380">
        <f t="shared" ref="MV140:MV203" si="617">MS140+W140*2</f>
        <v>52.073347420000005</v>
      </c>
      <c r="MW140" s="380">
        <f t="shared" ref="MW140:MW203" si="618">MT140+W140*2</f>
        <v>52.233347420000001</v>
      </c>
      <c r="MX140" s="254">
        <f t="shared" ref="MX140:MX203" si="619">MK140+3*X140</f>
        <v>16.19782927</v>
      </c>
      <c r="MY140" s="254">
        <f t="shared" ref="MY140:MY203" si="620">IF(MM140=0,0,MM140+3*X140)</f>
        <v>11.285252214545547</v>
      </c>
      <c r="MZ140" s="189">
        <f t="shared" ref="MZ140:MZ203" si="621">MX140+M140*2</f>
        <v>18.99782927</v>
      </c>
      <c r="NA140" s="189">
        <f t="shared" ref="NA140:NA203" si="622">IF(MM140=0,0,MY140+M140*2)</f>
        <v>14.085252214545548</v>
      </c>
      <c r="NB140" s="189">
        <f t="shared" si="435"/>
        <v>48.641347420000002</v>
      </c>
      <c r="NC140" s="254">
        <f t="shared" si="555"/>
        <v>48.641347420000002</v>
      </c>
      <c r="ND140" s="246">
        <f t="shared" si="436"/>
        <v>48.641347420000002</v>
      </c>
      <c r="NE140" s="386">
        <f t="shared" si="437"/>
        <v>48.881347420000004</v>
      </c>
      <c r="NF140" s="380">
        <f t="shared" ref="NF140:NF203" si="623">NE140++(Q140*R140*2)</f>
        <v>49.041347420000001</v>
      </c>
      <c r="NG140" s="387">
        <f t="shared" ref="NG140:NG203" si="624">NE140+(T140*U140*1.5)</f>
        <v>50.381347420000004</v>
      </c>
      <c r="NH140" s="254">
        <f t="shared" ref="NH140:NH203" si="625">NE140+W140*2</f>
        <v>54.081347420000007</v>
      </c>
      <c r="NI140" s="380">
        <f t="shared" ref="NI140:NI203" si="626">NF140+W140*2</f>
        <v>54.241347420000004</v>
      </c>
      <c r="NK140" s="388">
        <f t="shared" ref="NK140:NK203" si="627">SUM(HR140,GM140,GI140,GE140,GA140,FW140,FN140,FJ140,FF140,FA140)</f>
        <v>7.2286750670286191</v>
      </c>
      <c r="NL140" s="388">
        <f t="shared" ref="NL140:NL203" si="628">SUM(FB140,FG140,FK140,FO140,FX140,GB140,GF140,GJ140,GN140,HS140)</f>
        <v>378.25077842877926</v>
      </c>
      <c r="NM140" s="388">
        <f t="shared" ref="NM140:NM203" si="629">SUM(HZ140,GM140,GI140,GE140,GA140,FW140,FN140,FJ140,FF140,FA140)</f>
        <v>7.2286750670286191</v>
      </c>
      <c r="NN140" s="388">
        <f t="shared" ref="NN140:NN203" si="630">SUM(FB140,FG140,FK140,FO140,FX140,GB140,GF140,GJ140,GN140,IA140)</f>
        <v>378.84184300558422</v>
      </c>
      <c r="NO140" s="388">
        <f t="shared" ref="NO140:NO203" si="631">SUM(LH140,KD140,JZ140,JV140,JR140,JN140,JH140,JD140,IU140,IQ140,IM140,II140,FA140)</f>
        <v>9.5819065475409921</v>
      </c>
      <c r="NP140" s="388">
        <f t="shared" ref="NP140:NP203" si="632">SUM(LI140,KE140,KA140,JW140,JS140,JO140,JI140,JE140,IV140,IR140,IN140,IJ140,FB140)</f>
        <v>383.05312234624381</v>
      </c>
      <c r="NQ140" s="388">
        <f t="shared" ref="NQ140:NQ203" si="633">SUM(LN140,KD140,JZ140,JV140,JR140,JN140,JH140,JD140,IU140,IQ140,IM140,II140,FA140)</f>
        <v>9.5819065475409921</v>
      </c>
      <c r="NR140" s="388">
        <f t="shared" ref="NR140:NR203" si="634">SUM(FB140,IJ140,IN140,IR140,IV140,JE140,JI140,JO140,JS140,JW140,KA140,KE140,LQ140)</f>
        <v>383.66817676267186</v>
      </c>
      <c r="NS140" s="388">
        <f t="shared" ref="NS140:NS203" si="635">SUM(HR140,GM140,GI140,GE140,GA140,FW140,FN140,FJ140,FF140,FA140,GV140)</f>
        <v>7.2942610647188282</v>
      </c>
      <c r="NT140" s="388">
        <f t="shared" ref="NT140:NT203" si="636">SUM(HZ140,GM140,GI140,GE140,GA140,FW140,FN140,FJ140,FF140,FA140,GV140)</f>
        <v>7.2942610647188282</v>
      </c>
      <c r="NU140" s="388">
        <f t="shared" ref="NU140:NU203" si="637">SUM(LH140,KD140,JZ140,JV140,JR140,JN140,JH140,JD140,IU140,IQ140,IM140,II140,FA140,KL140)</f>
        <v>9.6502973864320598</v>
      </c>
      <c r="NV140" s="388">
        <f t="shared" ref="NV140:NV203" si="638">SUM(LN140,KD140,JZ140,JV140,JR140,JN140,JH140,JD140,IU140,IQ140,IM140,II140,FA140,KL140)</f>
        <v>9.6502973864320598</v>
      </c>
      <c r="NW140">
        <f t="shared" ref="NW140:NW203" si="639">NK140+GS140</f>
        <v>8.1017688351396799</v>
      </c>
      <c r="NX140">
        <f>各项系数!$M$9*NK140</f>
        <v>2.1686025201085855</v>
      </c>
      <c r="NY140">
        <f t="shared" ref="NY140:NY203" si="640">SUM(HR140,GX140,GM140,GI140,GE140,GA140,FW140,FN140,FJ140,FF140,FA140)</f>
        <v>7.2942610647188282</v>
      </c>
    </row>
    <row r="141" spans="1:389" ht="15" hidden="1" customHeight="1">
      <c r="A141" s="69"/>
      <c r="B141" s="70"/>
      <c r="C141" s="69"/>
      <c r="D141" s="102" t="s">
        <v>419</v>
      </c>
      <c r="E141" s="61">
        <f t="shared" si="560"/>
        <v>57.552207680000002</v>
      </c>
      <c r="F141" s="68">
        <f>$F$29</f>
        <v>245.09808262108001</v>
      </c>
      <c r="G141" s="58"/>
      <c r="H141" s="16"/>
      <c r="I141" s="145">
        <f>$F$26</f>
        <v>245.088056587712</v>
      </c>
      <c r="J141" s="62"/>
      <c r="K141" s="16"/>
      <c r="L141" s="97" t="s">
        <v>467</v>
      </c>
      <c r="M141" s="103">
        <f t="shared" si="582"/>
        <v>1.6</v>
      </c>
      <c r="N141" s="103">
        <f t="shared" si="583"/>
        <v>1.1000000000000001</v>
      </c>
      <c r="O141" s="53">
        <f t="shared" si="580"/>
        <v>0.08</v>
      </c>
      <c r="P141" s="99">
        <v>0.1</v>
      </c>
      <c r="Q141" s="133">
        <f t="shared" si="578"/>
        <v>0.1</v>
      </c>
      <c r="R141" s="70">
        <v>0.8</v>
      </c>
      <c r="S141" s="142" t="str">
        <f>各项系数!$D$43</f>
        <v>钢带</v>
      </c>
      <c r="T141" s="102">
        <v>0.5</v>
      </c>
      <c r="U141" s="102">
        <v>2</v>
      </c>
      <c r="V141" s="140"/>
      <c r="W141" s="141">
        <v>2.8</v>
      </c>
      <c r="X141" s="135">
        <f t="shared" si="579"/>
        <v>0.2</v>
      </c>
      <c r="Y141" s="135"/>
      <c r="Z141" s="168"/>
      <c r="AA141" s="153">
        <f>$AA$29</f>
        <v>1.0149999999999999</v>
      </c>
      <c r="AB141" s="153">
        <f>PI()*EJ141*EJ141/4*EH141*(1-H141)*AA141*各项系数!$F$5*各项系数!$J$4*10^-7</f>
        <v>1.5673367508788369</v>
      </c>
      <c r="AC141" s="153">
        <f t="shared" si="573"/>
        <v>245.09808262108001</v>
      </c>
      <c r="AD141" s="153">
        <f t="shared" si="584"/>
        <v>177.18929302065297</v>
      </c>
      <c r="AE141" s="153">
        <f>POWER(4*EU141/PI()/EG141/10^-7/EH141/(1-H141)/各项系数!$F$5/各项系数!$J$4,0.5)</f>
        <v>246.92947607788284</v>
      </c>
      <c r="AF141" s="69">
        <f>$AA$26</f>
        <v>1.0129999999999999</v>
      </c>
      <c r="AG141" s="69">
        <f>IF(EM141=0,0,PI()*ER141*ER141/4*EP141*(1-K141)*(1+AF141)*各项系数!$F$5*各项系数!$J$4*10^-7)</f>
        <v>1.5960863930184181</v>
      </c>
      <c r="AH141" s="69">
        <f t="shared" si="574"/>
        <v>245.088056587712</v>
      </c>
      <c r="AI141" s="69">
        <f t="shared" ref="AI141:AI204" si="641">PI()*AJ141*AJ141*10^-4/4*EP141</f>
        <v>90.802378338116014</v>
      </c>
      <c r="AJ141" s="69">
        <f>IF(OR(EP141="",EP141=0),0,POWER(4*EW141/PI()/EO141/10^-7/EP141/(1-K141)/各项系数!$F$5/各项系数!$J$4,0.5))</f>
        <v>246.67598485301878</v>
      </c>
      <c r="AK141" s="69">
        <f t="shared" si="585"/>
        <v>7.0725439812240678</v>
      </c>
      <c r="AL141" s="69">
        <f t="shared" si="575"/>
        <v>492.34393719653673</v>
      </c>
      <c r="AM141" s="188">
        <f t="shared" si="576"/>
        <v>185</v>
      </c>
      <c r="AN141" s="97" t="s">
        <v>486</v>
      </c>
      <c r="AO141" s="196">
        <f>AP141+各项系数!$M$9*$NK141</f>
        <v>482.69013450640853</v>
      </c>
      <c r="AP141" s="196">
        <f>AQ141*(1+$BI141+(VLOOKUP($AM141,$A$12:$B$323,2,0))+各项系数!$J$6+各项系数!$M$5)*(1+$E$2)</f>
        <v>479.96959320772851</v>
      </c>
      <c r="AQ141" s="197">
        <f>AR141+各项系数!$L$9*$NK141</f>
        <v>489.76489102829441</v>
      </c>
      <c r="AR141" s="197">
        <f>AS141*(1+$BJ141+各项系数!$J$5+各项系数!$L$5)</f>
        <v>487.0443497296144</v>
      </c>
      <c r="AS141" s="197">
        <f t="shared" ref="AS141:AS204" si="642">SUM($FB141,$FQ141,$FX141,$GP141,$HS141)</f>
        <v>477.49446051922979</v>
      </c>
      <c r="AT141" s="196">
        <f>AU141+各项系数!$M$9*$NM141</f>
        <v>487.45644080564051</v>
      </c>
      <c r="AU141" s="196">
        <f>AV141*(1+$BI141+(VLOOKUP($AM141,$A$12:$B$323,2,0))+各项系数!$J$6+各项系数!$M$5)*(1+$E$2)</f>
        <v>484.73589950696049</v>
      </c>
      <c r="AV141" s="197">
        <f>AW141+各项系数!$L$9*$NM141</f>
        <v>494.62846888465356</v>
      </c>
      <c r="AW141" s="197">
        <f>AX141*(1+$BJ141+各项系数!$J$5+各项系数!$L$5)</f>
        <v>491.90792758597354</v>
      </c>
      <c r="AX141" s="197">
        <f t="shared" ref="AX141:AX204" si="643">SUM($FB141,$FQ141,$FX141,$GP141,$HC141)</f>
        <v>482.26267410389562</v>
      </c>
      <c r="AY141" s="196">
        <f>AZ141+各项系数!$M$9*$NS141</f>
        <v>487.65784334863741</v>
      </c>
      <c r="AZ141" s="196">
        <f>BA141*(1+$BI141+(VLOOKUP($AM141,$A$12:$B$214,2,0))+各项系数!$J$6+各项系数!$M$5)*(1+$E$2)</f>
        <v>484.9154979543589</v>
      </c>
      <c r="BA141" s="197">
        <f>BB141+各项系数!$L$9*$NS141</f>
        <v>494.8117326064887</v>
      </c>
      <c r="BB141" s="197">
        <f>BC141*(1+$BJ141+各项系数!$J$5+各项系数!$L$5)</f>
        <v>492.06938721221019</v>
      </c>
      <c r="BC141" s="199">
        <f t="shared" ref="BC141:BC204" si="644">SUM($FB141,$FQ141,$FX141,$GP141,$GY141,$HW141)</f>
        <v>482.42096785510802</v>
      </c>
      <c r="BD141" s="196">
        <f>BE141+各项系数!$M$9*$NS141</f>
        <v>492.43807801788745</v>
      </c>
      <c r="BE141" s="196">
        <f>BF141*(1+$BI141+(VLOOKUP($AM141,$A$12:$B$214,2,0))+各项系数!$J$6+各项系数!$M$5)*(1+$E$2)</f>
        <v>489.69573262360893</v>
      </c>
      <c r="BF141" s="197">
        <f>BG141+各项系数!$L$9*$NS141</f>
        <v>499.68952308531527</v>
      </c>
      <c r="BG141" s="197">
        <f>BH141*(1+$BJ141+各项系数!$J$5+各项系数!$L$5)</f>
        <v>496.94717769103676</v>
      </c>
      <c r="BH141" s="199">
        <f t="shared" ref="BH141:BH204" si="645">SUM($FB141,$FQ141,$FX141,$GP141,$GY141,$HO141)</f>
        <v>487.20311538336938</v>
      </c>
      <c r="BI141" s="213"/>
      <c r="BJ141" s="208"/>
      <c r="BK141" s="53" t="s">
        <v>514</v>
      </c>
      <c r="BL141" s="196">
        <f>BM141+各项系数!$M$9*$NM141</f>
        <v>488.08065169133334</v>
      </c>
      <c r="BM141" s="196">
        <f>BN141*(1+$CF141+(VLOOKUP($AM141,$A$12:$B$323,2,0))+各项系数!$J$6+各项系数!$M$5)*(1+$E$2)</f>
        <v>485.36011039265333</v>
      </c>
      <c r="BN141" s="197">
        <f>BO141+各项系数!$L$9*$NM141</f>
        <v>495.2654187680136</v>
      </c>
      <c r="BO141" s="197">
        <f>BP141*(1+$CG141+各项系数!$J$5+各项系数!$L$5)</f>
        <v>492.54487746933358</v>
      </c>
      <c r="BP141" s="197">
        <f t="shared" ref="BP141:BP204" si="646">SUM(FB141,FQ141,FX141,GP141,IA141)</f>
        <v>478.19891016440152</v>
      </c>
      <c r="BQ141" s="196">
        <f>BR141+各项系数!$M$9*$NM141</f>
        <v>492.18261501185867</v>
      </c>
      <c r="BR141" s="196">
        <f>BS141*(1+$CF141+(VLOOKUP($AM141,$A$12:$B$323,2,0))+各项系数!$J$6+各项系数!$M$5)*(1+$E$2)</f>
        <v>489.46207371317865</v>
      </c>
      <c r="BS141" s="197">
        <f>BT141+各项系数!$L$9*$NM141</f>
        <v>499.45109562569252</v>
      </c>
      <c r="BT141" s="197">
        <f>BU141*(1+$CG141+各项系数!$J$5+各项系数!$L$5)</f>
        <v>496.7305543270125</v>
      </c>
      <c r="BU141" s="197">
        <f t="shared" ref="BU141:BU204" si="647">SUM(FB141,FQ141,FX141,GP141,HK141)</f>
        <v>482.26267410389562</v>
      </c>
      <c r="BV141" s="196">
        <f>BW141+各项系数!$M$9*$NT141</f>
        <v>490.41931788745109</v>
      </c>
      <c r="BW141" s="196">
        <f>BX141*(1+$CF141+(VLOOKUP($AM141,$A$12:$B$214,2,0))+各项系数!$J$6+各项系数!$M$5)*(1+$E$2)</f>
        <v>487.67697249317257</v>
      </c>
      <c r="BX141" s="197">
        <f>BY141+各项系数!$L$9*$NT$12</f>
        <v>497.62956376854345</v>
      </c>
      <c r="BY141" s="197">
        <f>BZ141*(1+$CG141+各项系数!$J$5+各项系数!$L$5)</f>
        <v>497.62130036538849</v>
      </c>
      <c r="BZ141" s="199">
        <f t="shared" si="586"/>
        <v>483.12747608290141</v>
      </c>
      <c r="CA141" s="196">
        <f>CB141+各项系数!$M$9*$NT141</f>
        <v>494.53326819734338</v>
      </c>
      <c r="CB141" s="196">
        <f>CC141*(1+$CF141+(VLOOKUP($AM141,$A$12:$B$214,2,0))+各项系数!$J$6+各项系数!$M$5)*(1+$E$2)</f>
        <v>491.79092280306486</v>
      </c>
      <c r="CC141" s="197">
        <f>CD141+各项系数!$L$9*$NT$12</f>
        <v>501.8274722480254</v>
      </c>
      <c r="CD141" s="197">
        <f>CE141*(1+$CG141+各项系数!$J$5+各项系数!$L$5)</f>
        <v>501.81920884487045</v>
      </c>
      <c r="CE141" s="199">
        <f t="shared" ref="CE141:CE204" si="648">SUM($FB141,$FQ141,$FX141,$GP141,$GY141,$HO141)</f>
        <v>487.20311538336938</v>
      </c>
      <c r="CF141" s="213">
        <f t="shared" si="514"/>
        <v>0</v>
      </c>
      <c r="CG141" s="213">
        <f t="shared" si="587"/>
        <v>0.01</v>
      </c>
      <c r="CH141" s="102"/>
      <c r="CI141" s="196">
        <f>CJ141+各项系数!$M$9*$NO141</f>
        <v>492.86616155727506</v>
      </c>
      <c r="CJ141" s="196">
        <f>CK141*(1+$DC141+(VLOOKUP($AM141,$A$12:$B$323,2,0))+各项系数!$J$6+各项系数!$M$5)*(1+$E$2)+各项系数!$M$9*$NK141</f>
        <v>489.27418474091769</v>
      </c>
      <c r="CK141" s="197">
        <f>CL141+各项系数!$L$9*$NO141</f>
        <v>496.4833096349364</v>
      </c>
      <c r="CL141" s="197">
        <f>CM141*(1+$DD141+各项系数!$J$5+各项系数!$L$5)</f>
        <v>492.89133281857903</v>
      </c>
      <c r="CM141" s="197">
        <f t="shared" si="588"/>
        <v>483.22679688095985</v>
      </c>
      <c r="CN141" s="196">
        <f>CO141+各项系数!$M$9*$NO141</f>
        <v>497.34643932929021</v>
      </c>
      <c r="CO141" s="196">
        <f>CP141*(1+$DC141+(VLOOKUP($AM141,$A$12:$B$323,2,0))+各项系数!$J$6+各项系数!$M$5)*(1+$E$2)+各项系数!$M$9*$NK141</f>
        <v>493.75446251293283</v>
      </c>
      <c r="CP141" s="197">
        <f>CQ141+各项系数!$L$9*$NO141</f>
        <v>501.05502164719678</v>
      </c>
      <c r="CQ141" s="197">
        <f>CR141*(1+$DD141+各项系数!$J$5+各项系数!$L$5)</f>
        <v>497.46304483083941</v>
      </c>
      <c r="CR141" s="197">
        <f t="shared" si="589"/>
        <v>487.70886748121512</v>
      </c>
      <c r="CS141" s="196">
        <f>CT141+各项系数!$M$9*$NU141</f>
        <v>495.32478312884501</v>
      </c>
      <c r="CT141" s="196">
        <f t="shared" si="590"/>
        <v>491.71007024973318</v>
      </c>
      <c r="CU141" s="197">
        <f>CV141+各项系数!$L$9*$NU141</f>
        <v>501.74496964258486</v>
      </c>
      <c r="CV141" s="197">
        <f>CW141*(1+$DD141+各项系数!$J$5+各项系数!$L$5)</f>
        <v>498.13025676347303</v>
      </c>
      <c r="CW141" s="199">
        <f t="shared" si="591"/>
        <v>488.36299682693431</v>
      </c>
      <c r="CX141" s="196">
        <f>CY141+各项系数!$M$9*$NU141</f>
        <v>500.29862214134715</v>
      </c>
      <c r="CY141" s="196">
        <f t="shared" si="592"/>
        <v>496.68390926223532</v>
      </c>
      <c r="CZ141" s="197">
        <f>DA141+各项系数!$L$9*$NU141</f>
        <v>506.82031557370954</v>
      </c>
      <c r="DA141" s="197">
        <f>DB141*(1+$DD141+各项系数!$J$5+各项系数!$L$5)</f>
        <v>503.2056026945977</v>
      </c>
      <c r="DB141" s="199">
        <f t="shared" si="593"/>
        <v>493.33882617117422</v>
      </c>
      <c r="DC141" s="213">
        <f t="shared" si="571"/>
        <v>0</v>
      </c>
      <c r="DD141" s="213">
        <f t="shared" si="594"/>
        <v>0</v>
      </c>
      <c r="DE141" s="53" t="s">
        <v>498</v>
      </c>
      <c r="DF141" s="53" t="s">
        <v>513</v>
      </c>
      <c r="DG141" s="196">
        <f>DH141+各项系数!$M$9*$NQ141</f>
        <v>498.34173891139125</v>
      </c>
      <c r="DH141" s="196">
        <f>DI141*(1+$EA141+(VLOOKUP($AM141,$A$12:$B$323,2,0))+各项系数!$J$6+各项系数!$M$5)*(1+$E$2)+各项系数!$M$9*$NK141</f>
        <v>494.74976209503387</v>
      </c>
      <c r="DI141" s="197">
        <f>DJ141+各项系数!$L$9*$NQ141</f>
        <v>502.07063346566719</v>
      </c>
      <c r="DJ141" s="197">
        <f>DK141*(1+$EB141+各项系数!$J$5+各项系数!$L$5)</f>
        <v>498.47865664930981</v>
      </c>
      <c r="DK141" s="197">
        <f t="shared" si="595"/>
        <v>483.95986082457262</v>
      </c>
      <c r="DL141" s="196">
        <f>DM141+各项系数!$M$9*$NQ141</f>
        <v>502.61032138411889</v>
      </c>
      <c r="DM141" s="196">
        <f>DN141*(1+$EA141+(VLOOKUP($AM141,$A$12:$B$323,2,0))+各项系数!$J$6+各项系数!$M$5)*(1+$E$2)+各项系数!$M$9*$NK141</f>
        <v>499.01834456776152</v>
      </c>
      <c r="DN141" s="197">
        <f>DO141+各项系数!$L$9*$NQ141</f>
        <v>506.42632986640967</v>
      </c>
      <c r="DO141" s="197">
        <f>DP141*(1+$EB141+各项系数!$J$5+各项系数!$L$5)</f>
        <v>502.8343530500523</v>
      </c>
      <c r="DP141" s="197">
        <f t="shared" si="596"/>
        <v>488.18869228160418</v>
      </c>
      <c r="DQ141" s="196">
        <f>DR141+各项系数!$M$9*$NV141</f>
        <v>500.85277317572996</v>
      </c>
      <c r="DR141" s="196">
        <f t="shared" si="597"/>
        <v>497.23806029661813</v>
      </c>
      <c r="DS141" s="197">
        <f>DT141+各项系数!$L$9*$NV141</f>
        <v>507.38577581287564</v>
      </c>
      <c r="DT141" s="197">
        <f>DU141*(1+$EB141+各项系数!$J$5+各项系数!$L$5)</f>
        <v>503.7710629337638</v>
      </c>
      <c r="DU141" s="199">
        <f t="shared" si="598"/>
        <v>489.09811935316873</v>
      </c>
      <c r="DV141" s="196">
        <f>DW141+各项系数!$M$9*$NV141</f>
        <v>499.65115195615806</v>
      </c>
      <c r="DW141" s="196">
        <f t="shared" si="599"/>
        <v>496.03643907704623</v>
      </c>
      <c r="DX141" s="197">
        <f>DY141+各项系数!$L$9*$NV141</f>
        <v>506.15963171127169</v>
      </c>
      <c r="DY141" s="197">
        <f>DZ141*(1+$EB141+各项系数!$J$5+各项系数!$L$5)</f>
        <v>502.54491883215985</v>
      </c>
      <c r="DZ141" s="199">
        <f t="shared" si="600"/>
        <v>487.90768818656295</v>
      </c>
      <c r="EA141" s="213">
        <f t="shared" si="581"/>
        <v>0</v>
      </c>
      <c r="EB141" s="213">
        <f t="shared" si="601"/>
        <v>0.01</v>
      </c>
      <c r="EC141" s="235" t="str">
        <f t="shared" ref="EC141:EC204" si="649">IF(EO141=0,EG141,EG141&amp;"+"&amp;EO141)</f>
        <v>4+1</v>
      </c>
      <c r="ED141" s="235" t="str">
        <f t="shared" si="565"/>
        <v>4*185</v>
      </c>
      <c r="EE141" s="189">
        <f t="shared" si="495"/>
        <v>185</v>
      </c>
      <c r="EF141" s="189" t="str">
        <f>LOOKUP(EH141,{1,7,10,14,19,24,30,37,48,61},{1,"1+6","2+8","4+10","1+6+12","2+8+14","4+10+16","1+6+12+18","3+9+15+21","1+6+12+18+24"})</f>
        <v>1+6+12+18</v>
      </c>
      <c r="EG141" s="188">
        <f t="shared" si="602"/>
        <v>4</v>
      </c>
      <c r="EH141" s="197">
        <f>VLOOKUP(EE141,各项系数!$B$87:$C$124,2,0)</f>
        <v>37</v>
      </c>
      <c r="EI141" s="188">
        <f>IF(EH141=0,0,VLOOKUP(EH141,各项系数!$D$142:$E$195,2,0))*1</f>
        <v>7</v>
      </c>
      <c r="EJ141" s="238">
        <f t="shared" ref="EJ141:EJ204" si="650">$F141-$G141</f>
        <v>245.09808262108001</v>
      </c>
      <c r="EK141" s="189" t="str">
        <f t="shared" si="566"/>
        <v>1*95</v>
      </c>
      <c r="EL141" s="189" t="str">
        <f t="shared" si="603"/>
        <v>95</v>
      </c>
      <c r="EM141" s="189">
        <f t="shared" si="567"/>
        <v>95</v>
      </c>
      <c r="EN141" s="189" t="str">
        <f>IF(EP141=0,0,LOOKUP(EP141,{1,7,10,14,19,24,30,37,48,61},{1,"1+6","2+8","4+10","1+6+12","2+8+14","4+10+16","1+6+12+18","3+9+15+21","1+6+12+18+24"}))</f>
        <v>1+6+12</v>
      </c>
      <c r="EO141" s="189" t="str">
        <f t="shared" si="568"/>
        <v>1</v>
      </c>
      <c r="EP141" s="189">
        <f>IF(EM141=0,0,IF(EM141&lt;10,1,IF(AND(EM141&gt;=10,EM141&lt;=35),7,LOOKUP(EM141,{50,70,95,120,150,185,240,300},{10,14,19,24,30,37,48,61})*1)))</f>
        <v>19</v>
      </c>
      <c r="EQ141" s="189">
        <f>IF(EP141=0,0,VLOOKUP(EP141,各项系数!$D$142:$E$195,2,0))*1</f>
        <v>5</v>
      </c>
      <c r="ER141" s="189">
        <f t="shared" si="577"/>
        <v>245.088056587712</v>
      </c>
      <c r="ES141" s="235">
        <f t="shared" si="570"/>
        <v>5</v>
      </c>
      <c r="ET141" s="189">
        <f>VLOOKUP(ES141,各项系数!$D$142:$E$195,2,0)*1</f>
        <v>2.7</v>
      </c>
      <c r="EU141" s="243">
        <f>((各项系数!$F$76/4*$EJ141^2*$EG141*$EH141*1*10^-7)*(1-$H141)*AA141)*(VLOOKUP($EY$9,各项系数!$D$4:$F$143,3,0))*各项系数!$J$4</f>
        <v>6.2693470035153469</v>
      </c>
      <c r="EV141" s="244">
        <f>EU141*(VLOOKUP($EY$9,各项系数!$D$4:$F$143,2,0))</f>
        <v>410.64222873025523</v>
      </c>
      <c r="EW141" s="252">
        <f>(IF($EO141=0,0,(各项系数!$F$76/4*$ER141^2*$EO141*$EP141*1*10^-7))*(1-$K141)*$AF141)*(VLOOKUP($EY$9,各项系数!$D$4:$F$143,3,0))*各项系数!$J$4</f>
        <v>0.803196977708722</v>
      </c>
      <c r="EX141" s="253">
        <f>EW141*(VLOOKUP($EY$9,各项系数!$D$4:$F$143,2,0))</f>
        <v>52.609402039921292</v>
      </c>
      <c r="EY141" s="189">
        <f>((各项系数!$F$76/4*$EJ141^2*$EG141*$EH141*1*10^-7)*(1-$H141)*AA141+IF($EO141=0,0,(各项系数!$F$76/4*$ER141^2*$EO141*$EP141*1*10^-7))*(1-$K141)*$AF141)*(VLOOKUP($EY$9,各项系数!$D$4:$F$143,3,0))*各项系数!$J$4</f>
        <v>7.0725439812240678</v>
      </c>
      <c r="EZ141" s="102">
        <v>1</v>
      </c>
      <c r="FA141" s="189">
        <f t="shared" si="515"/>
        <v>7.0725439812240678</v>
      </c>
      <c r="FB141" s="254">
        <f>FA141*(VLOOKUP($EY$9,各项系数!$D$4:$F$143,2,0))</f>
        <v>463.25163077017646</v>
      </c>
      <c r="FC141" s="255"/>
      <c r="FD141" s="235">
        <f>各项系数!$F$76/4*($MN141^2-MK141^2)*10^-2*(VLOOKUP(L141,各项系数!$D$1:$F$143,3,0))*10^-3*10^2*$EG141*各项系数!$J$4</f>
        <v>0.4127678697042575</v>
      </c>
      <c r="FE141" s="262">
        <f>FD141*VLOOKUP(L141,各项系数!$D$1:$F$143,2,0)</f>
        <v>4.2102322709834263</v>
      </c>
      <c r="FF141" s="188">
        <f>各项系数!$F$76/4*($MO141^2-ML141^2)*10^-2*(VLOOKUP(L141,各项系数!$D$1:$F$143,3,0))*10^-3*10^2*$EO141*各项系数!$J$4</f>
        <v>5.0510631262692542E-2</v>
      </c>
      <c r="FG141" s="262">
        <f>FF141*VLOOKUP(L141,各项系数!$D$1:$F$143,2,0)</f>
        <v>0.51520843887946388</v>
      </c>
      <c r="FH141" s="235">
        <f t="shared" ref="FH141:FH204" si="651">FF141+FD141</f>
        <v>0.46327850096695006</v>
      </c>
      <c r="FI141" s="102">
        <v>1</v>
      </c>
      <c r="FJ141" s="189">
        <f t="shared" si="516"/>
        <v>0.46327850096695006</v>
      </c>
      <c r="FK141" s="262">
        <f>FJ141*VLOOKUP(L141,各项系数!$D$1:$F$143,2,0)</f>
        <v>4.7254407098628901</v>
      </c>
      <c r="FL141" s="235"/>
      <c r="FM141" s="102"/>
      <c r="FN141" s="189"/>
      <c r="FO141" s="262"/>
      <c r="FP141" s="282">
        <f t="shared" si="517"/>
        <v>0.46327850096695006</v>
      </c>
      <c r="FQ141" s="282">
        <f t="shared" si="518"/>
        <v>4.7254407098628901</v>
      </c>
      <c r="FR141" s="283">
        <f>各项系数!$F$76/4*($MQ141^2-$MN141^2*$EG141-$MO141^2*$EO141)*10^-2</f>
        <v>6.3950101259658725</v>
      </c>
      <c r="FS141" s="284">
        <f t="shared" ref="FS141:FS204" si="652">VLOOKUP(EC141,$A$38:$B$65,2,0)</f>
        <v>1</v>
      </c>
      <c r="FT141" s="285">
        <f t="shared" si="604"/>
        <v>6.3950101259658725</v>
      </c>
      <c r="FU141" s="302">
        <f>$FT141*(VLOOKUP($FT$9,各项系数!$D$1:$F$143,3,0))*10^-3*10^2*各项系数!$J$55</f>
        <v>0.76356420904032507</v>
      </c>
      <c r="FV141" s="303">
        <v>1</v>
      </c>
      <c r="FW141" s="304">
        <f t="shared" si="519"/>
        <v>0.76356420904032507</v>
      </c>
      <c r="FX141" s="285">
        <f>FW141*(VLOOKUP($FT$9,各项系数!$D$1:$F$143,2,0))</f>
        <v>2.2906926271209751</v>
      </c>
      <c r="FY141" s="302">
        <f>IF($BK141&lt;&gt;$FY$9,0,各项系数!$F$76/4*($MS141^2-$MQ141^2)*10^-2*(VLOOKUP($FY$9,各项系数!$D$1:$F$143,3,0))*10^-3*10^2)*各项系数!$J$4</f>
        <v>0</v>
      </c>
      <c r="FZ141" s="303">
        <v>1</v>
      </c>
      <c r="GA141" s="304">
        <f t="shared" si="520"/>
        <v>0</v>
      </c>
      <c r="GB141" s="285">
        <f>GA141*(VLOOKUP($FY$9,各项系数!$D$1:$F$143,2,0))</f>
        <v>0</v>
      </c>
      <c r="GC141" s="302">
        <f>IF($BK141&lt;&gt;$GC$9,0,各项系数!$F$76/4*($MS141^2-$MQ141^2)*10^-2*(VLOOKUP($GC$9,各项系数!$D$1:$F$143,3,0))*10^-3*10^2)*各项系数!$J$4</f>
        <v>1.4124027934276471E-2</v>
      </c>
      <c r="GD141" s="303">
        <v>1</v>
      </c>
      <c r="GE141" s="304">
        <f t="shared" si="521"/>
        <v>1.4124027934276471E-2</v>
      </c>
      <c r="GF141" s="285">
        <f>GE141*(VLOOKUP($GC$9,各项系数!$D$1:$F$143,2,0))</f>
        <v>0.18219996035216648</v>
      </c>
      <c r="GG141" s="302">
        <f>IF($BK141&lt;&gt;$GG$9,0,各项系数!$F$76/4*($MS141^2-$MQ141^2)*10^-2*(VLOOKUP($GG$9,各项系数!$D$1:$F$143,3,0))*10^-3*10^2)*各项系数!$J$4</f>
        <v>0</v>
      </c>
      <c r="GH141" s="303">
        <v>1</v>
      </c>
      <c r="GI141" s="304">
        <f t="shared" si="522"/>
        <v>0</v>
      </c>
      <c r="GJ141" s="285">
        <f>GI141*(VLOOKUP($GG$9,各项系数!$D$1:$F$143,2,0))</f>
        <v>0</v>
      </c>
      <c r="GK141" s="302">
        <f>IF($BK141&lt;&gt;$GK$9,0,各项系数!$F$76/4*($MS141^2-$MQ141^2)*10^-2*(VLOOKUP($GK$9,各项系数!$D$1:$F$143,3,0))*10^-3*10^2)*各项系数!$J$4</f>
        <v>0</v>
      </c>
      <c r="GL141" s="303">
        <v>1</v>
      </c>
      <c r="GM141" s="304">
        <f t="shared" si="523"/>
        <v>0</v>
      </c>
      <c r="GN141" s="285">
        <f>GM141*(VLOOKUP($GK$9,各项系数!$D$1:$F$143,2,0))</f>
        <v>0</v>
      </c>
      <c r="GO141" s="304">
        <f t="shared" si="524"/>
        <v>1.4124027934276471E-2</v>
      </c>
      <c r="GP141" s="304">
        <f t="shared" si="525"/>
        <v>0.18219996035216648</v>
      </c>
      <c r="GQ141" s="315">
        <f>各项系数!$F$76/4*($MU141^2-$MS141^2)*10^-2*(VLOOKUP($S141,各项系数!$D$1:$F$143,3,0))*10^-3*10^2*各项系数!$J$4</f>
        <v>0.96620610654048211</v>
      </c>
      <c r="GR141" s="303">
        <v>1</v>
      </c>
      <c r="GS141" s="304">
        <f t="shared" si="526"/>
        <v>0.96620610654048211</v>
      </c>
      <c r="GT141" s="304">
        <f t="shared" si="457"/>
        <v>0</v>
      </c>
      <c r="GU141" s="304">
        <f>ROUND($GS141*(VLOOKUP($S141,各项系数!$D$1:$F$143,2,0))+$E$3*GS141,GT141)</f>
        <v>6</v>
      </c>
      <c r="GV141" s="315">
        <f>各项系数!$F$76/4*($MT141^2-$MS141^2)*10^-2*(VLOOKUP($GV$9,各项系数!$D$1:$F$143,3,0))*10^-3*10^2*各项系数!$J$4*PI()/4*R141</f>
        <v>7.2680318661653018E-2</v>
      </c>
      <c r="GW141" s="303">
        <v>1</v>
      </c>
      <c r="GX141" s="304">
        <f t="shared" si="527"/>
        <v>7.2680318661653018E-2</v>
      </c>
      <c r="GY141" s="304">
        <f>$GX141*(VLOOKUP($GV$9,各项系数!$D$1:$F$143,2,0))</f>
        <v>4.9059215096615789</v>
      </c>
      <c r="GZ141" s="315">
        <f>各项系数!$F$76/4*($MV141^2-$MS141^2)*10^-2*(VLOOKUP($GZ$9,各项系数!$D$1:$F$143,3,0))*10^-3*10^2*各项系数!$J$4</f>
        <v>0.69486529625783067</v>
      </c>
      <c r="HA141" s="303">
        <v>1</v>
      </c>
      <c r="HB141" s="304">
        <f t="shared" ref="HB141:HB204" si="653">HA141*GZ141</f>
        <v>0.69486529625783067</v>
      </c>
      <c r="HC141" s="304">
        <f>HB141*(VLOOKUP($GZ$9,各项系数!$D$1:$F$143,2,0))</f>
        <v>11.812710036383121</v>
      </c>
      <c r="HD141" s="315">
        <f>各项系数!$F$76/4*($MW141^2-$MT141^2)*10^-2*(VLOOKUP($HD$9,各项系数!$D$1:$F$143,3,0))*10^-3*10^2*各项系数!$J$4</f>
        <v>0.6968958709526637</v>
      </c>
      <c r="HE141" s="303">
        <v>1</v>
      </c>
      <c r="HF141" s="304">
        <f t="shared" ref="HF141:HF204" si="654">HE141*HD141</f>
        <v>0.6968958709526637</v>
      </c>
      <c r="HG141" s="304">
        <f>HF141*(VLOOKUP($HD$9,各项系数!$D$1:$F$143,2,0))</f>
        <v>11.847229806195283</v>
      </c>
      <c r="HH141" s="315">
        <f>各项系数!$F$76/4*($MV141^2-$MS141^2)*10^-2*(VLOOKUP($HH$9,各项系数!$D$1:$F$143,3,0))*10^-3*10^2*各项系数!$J$4</f>
        <v>0.69486529625783067</v>
      </c>
      <c r="HI141" s="322">
        <v>1</v>
      </c>
      <c r="HJ141" s="304">
        <f t="shared" ref="HJ141:HJ204" si="655">HI141*HH141</f>
        <v>0.69486529625783067</v>
      </c>
      <c r="HK141" s="304">
        <f>HJ141*(VLOOKUP($HH$9,各项系数!$D$1:$F$143,2,0))</f>
        <v>11.812710036383121</v>
      </c>
      <c r="HL141" s="315">
        <f>各项系数!$F$76/4*($MW141^2-$MT141^2)*10^-2*(VLOOKUP($HL$9,各项系数!$D$1:$F$143,3,0))*10^-3*10^2*各项系数!$J$4</f>
        <v>0.6968958709526637</v>
      </c>
      <c r="HM141" s="322">
        <v>1</v>
      </c>
      <c r="HN141" s="304">
        <f t="shared" si="605"/>
        <v>0.6968958709526637</v>
      </c>
      <c r="HO141" s="304">
        <f>HN141*(VLOOKUP($HL$9,各项系数!$D$1:$F$143,2,0))</f>
        <v>11.847229806195283</v>
      </c>
      <c r="HP141" s="315">
        <f>各项系数!$F$76/4*($MV141^2-$MS141^2)*10^-2*(VLOOKUP(AN141,各项系数!$D$1:$F$143,3,0))*10^-3*10^2*各项系数!$J$4</f>
        <v>0.70444964517173181</v>
      </c>
      <c r="HQ141" s="303">
        <v>1</v>
      </c>
      <c r="HR141" s="304">
        <f t="shared" si="528"/>
        <v>0.70444964517173181</v>
      </c>
      <c r="HS141" s="304">
        <f>HR141*(VLOOKUP(AN141,各项系数!$D$1:$F$143,2,0))</f>
        <v>7.0444964517173183</v>
      </c>
      <c r="HT141" s="315">
        <f>各项系数!$F$76/4*($MW141^2-$MT141^2)*10^-2*(VLOOKUP(AN141,各项系数!$D$1:$F$143,3,0))*10^-3*10^2*各项系数!$J$4</f>
        <v>0.70650822779339006</v>
      </c>
      <c r="HU141" s="303">
        <v>1</v>
      </c>
      <c r="HV141" s="304">
        <f t="shared" si="529"/>
        <v>0.70650822779339006</v>
      </c>
      <c r="HW141" s="304">
        <f>HV141*(VLOOKUP(AN141,各项系数!$D$1:$F$143,2,0))</f>
        <v>7.0650822779339002</v>
      </c>
      <c r="HX141" s="315">
        <f>各项系数!$F$76/4*($MV141^2-$MS141^2)*10^-2*(VLOOKUP($HX$9,各项系数!$D$1:$F$143,3,0))*10^-3*10^2*各项系数!$J$4</f>
        <v>0.70444964517173181</v>
      </c>
      <c r="HY141" s="322">
        <v>1</v>
      </c>
      <c r="HZ141" s="304">
        <f t="shared" si="530"/>
        <v>0.70444964517173181</v>
      </c>
      <c r="IA141" s="304">
        <f>HZ141*(VLOOKUP($HX$9,各项系数!$D$1:$F$143,2,0))</f>
        <v>7.7489460968890498</v>
      </c>
      <c r="IB141" s="315">
        <f>各项系数!$F$76/4*($MW141^2-$MT141^2)*10^-2*(VLOOKUP($IB$9,各项系数!$D$1:$F$143,3,0))*10^-3*10^2*各项系数!$J$4</f>
        <v>0.70650822779339006</v>
      </c>
      <c r="IC141" s="322">
        <v>1</v>
      </c>
      <c r="ID141" s="304">
        <f t="shared" si="531"/>
        <v>0.70650822779339006</v>
      </c>
      <c r="IE141" s="304">
        <f>ID141*(VLOOKUP($IB$9,各项系数!$D$1:$F$143,2,0))</f>
        <v>7.7715905057272909</v>
      </c>
      <c r="IF141" s="328"/>
      <c r="IG141" s="315">
        <f t="shared" ref="IG141:IG204" si="656">IK141+IM141</f>
        <v>0.1158822962582275</v>
      </c>
      <c r="IH141" s="303">
        <v>1</v>
      </c>
      <c r="II141" s="304">
        <f t="shared" si="532"/>
        <v>0.1158822962582275</v>
      </c>
      <c r="IJ141" s="304">
        <f>II141*(VLOOKUP($IG$8,各项系数!$D$1:$F$143,2,0))</f>
        <v>2.8970574064556875</v>
      </c>
      <c r="IK141" s="315">
        <f>(各项系数!$F$76/4*($MX141^2-$MK141^2)*$EG141)*10^-2*(VLOOKUP($IG$8,各项系数!$D$1:$F$143,3,0))*10^-3*10^2*各项系数!$J$4</f>
        <v>9.822266923766737E-2</v>
      </c>
      <c r="IL141" s="303">
        <f>IK141*(VLOOKUP($IG$8,各项系数!$D$1:$F$143,2,0))</f>
        <v>2.4555667309416842</v>
      </c>
      <c r="IM141" s="304">
        <f>(各项系数!$F$76/4*(($MM141+3*$X141)^2-MM141^2)*$EO141)*10^-2*(VLOOKUP($IG$8,各项系数!$D$1:$F$143,3,0))*10^-3*10^2*各项系数!$J$4</f>
        <v>1.7659627020560131E-2</v>
      </c>
      <c r="IN141" s="303">
        <f>IM141*(VLOOKUP($IG$8,各项系数!$D$1:$F$143,2,0))</f>
        <v>0.44149067551400328</v>
      </c>
      <c r="IO141" s="315">
        <f>各项系数!$F$76/4*($MZ141^2-$MX141^2)*10^-2*(VLOOKUP(L141,各项系数!$D$1:$F$143,3,0))*10^-3*10^2*$ES141*各项系数!$J$4</f>
        <v>0.53246450829522141</v>
      </c>
      <c r="IP141" s="303">
        <v>1</v>
      </c>
      <c r="IQ141" s="304">
        <f t="shared" si="533"/>
        <v>0.53246450829522141</v>
      </c>
      <c r="IR141" s="285">
        <f>IQ141*(VLOOKUP(L141,各项系数!$D$1:$F$143,2,0))</f>
        <v>5.431137984611258</v>
      </c>
      <c r="IS141" s="315">
        <f>IF($L141&lt;&gt;$IS$9,0,各项系数!$F$76/4*($MZ141^2-$MX141^2)*10^-2*各项系数!$F$12*10^-3*10^2)*$ES141*各项系数!$J$4</f>
        <v>0</v>
      </c>
      <c r="IT141" s="303">
        <v>1</v>
      </c>
      <c r="IU141" s="304">
        <f t="shared" si="534"/>
        <v>0</v>
      </c>
      <c r="IV141" s="285">
        <f>IU141*各项系数!$E$12</f>
        <v>0</v>
      </c>
      <c r="IW141" s="302">
        <f t="shared" si="535"/>
        <v>0.53246450829522141</v>
      </c>
      <c r="IX141" s="302">
        <f t="shared" si="536"/>
        <v>5.431137984611258</v>
      </c>
      <c r="IY141" s="339">
        <f>各项系数!$F$76/4*($NB141^2-$MZ141^2*$EG141-$NA141^2*$EO141)*10^-2</f>
        <v>7.0262485489880806</v>
      </c>
      <c r="IZ141" s="284">
        <f t="shared" si="487"/>
        <v>1</v>
      </c>
      <c r="JA141" s="285">
        <f t="shared" si="606"/>
        <v>7.0262485489880806</v>
      </c>
      <c r="JB141" s="282">
        <f>IF($DE141&lt;&gt;$JB$9,0,$JA141*各项系数!$F$32*10^-3*10^2)*各项系数!$J$4</f>
        <v>0</v>
      </c>
      <c r="JC141" s="102">
        <v>1</v>
      </c>
      <c r="JD141" s="189">
        <f t="shared" si="537"/>
        <v>0</v>
      </c>
      <c r="JE141" s="262">
        <f>JD141*各项系数!$E$32</f>
        <v>0</v>
      </c>
      <c r="JF141" s="282">
        <f>IF($DE141&lt;&gt;$JF$9,0,$JA141*VLOOKUP($JF$9,各项系数!$D$4:$F$540,2,0)*10^-3*10^2)*各项系数!$J$4</f>
        <v>3.4955586531215701</v>
      </c>
      <c r="JG141" s="102">
        <v>1</v>
      </c>
      <c r="JH141" s="189">
        <f t="shared" si="607"/>
        <v>3.4955586531215701</v>
      </c>
      <c r="JI141" s="262">
        <f>JH141*VLOOKUP($JF$9,各项系数!$D$4:$F$540,3,0)</f>
        <v>4.1946703837458843</v>
      </c>
      <c r="JJ141" s="282">
        <f t="shared" si="538"/>
        <v>3.4955586531215701</v>
      </c>
      <c r="JK141" s="189">
        <f t="shared" si="539"/>
        <v>4.1946703837458843</v>
      </c>
      <c r="JL141" s="282">
        <f>IF($DF141&lt;&gt;$JL$9,0,各项系数!$F$76/4*($NE141^2-$NC141^2)*10^-2*各项系数!$F$39*10^-3*10^2)*各项系数!$J$4</f>
        <v>6.0830449921357296E-3</v>
      </c>
      <c r="JM141" s="102">
        <v>1</v>
      </c>
      <c r="JN141" s="189">
        <f t="shared" si="540"/>
        <v>6.0830449921357296E-3</v>
      </c>
      <c r="JO141" s="262">
        <f>JN141*各项系数!$E$39</f>
        <v>0.1216608998427146</v>
      </c>
      <c r="JP141" s="282">
        <f>IF($DF141&lt;&gt;$JP$9,0,各项系数!$F$76/4*($NE141^2-$NC141^2)*10^-2*各项系数!$F$36*10^-3*10^2)*各项系数!$J$4</f>
        <v>0</v>
      </c>
      <c r="JQ141" s="102">
        <v>1</v>
      </c>
      <c r="JR141" s="189">
        <f t="shared" si="541"/>
        <v>0</v>
      </c>
      <c r="JS141" s="262">
        <f>JR141*各项系数!$E$36</f>
        <v>0</v>
      </c>
      <c r="JT141" s="282">
        <f>IF($DF141&lt;&gt;$JT$9,0,各项系数!$F$76/4*($NE141^2-$NC141^2)*10^-2*各项系数!$F$40*10^-3*10^2)*各项系数!$J$4</f>
        <v>0</v>
      </c>
      <c r="JU141" s="102">
        <v>1</v>
      </c>
      <c r="JV141" s="189">
        <f t="shared" si="542"/>
        <v>0</v>
      </c>
      <c r="JW141" s="262">
        <f>JV141*各项系数!$E$40</f>
        <v>0</v>
      </c>
      <c r="JX141" s="282">
        <f>IF($DF141&lt;&gt;$JX$9,0,各项系数!$F$76/4*($NE141^2-$NC141^2)*10^-2*各项系数!$F$38*10^-3*10^2)*各项系数!$J$4</f>
        <v>0</v>
      </c>
      <c r="JY141" s="102">
        <v>1</v>
      </c>
      <c r="JZ141" s="189">
        <f t="shared" si="543"/>
        <v>0</v>
      </c>
      <c r="KA141" s="262">
        <f>JZ141*各项系数!$E$38</f>
        <v>0</v>
      </c>
      <c r="KB141" s="282">
        <f>IF($DF141&lt;&gt;$KB$9,0,各项系数!$F$76/4*($NE141^2-$NC141^2)*10^-2*各项系数!$F$41*10^-3*10^2)*各项系数!$J$4</f>
        <v>0</v>
      </c>
      <c r="KC141" s="102">
        <v>1</v>
      </c>
      <c r="KD141" s="189">
        <f t="shared" si="544"/>
        <v>0</v>
      </c>
      <c r="KE141" s="262">
        <f>KD141*各项系数!$E$41</f>
        <v>0</v>
      </c>
      <c r="KF141" s="189">
        <f t="shared" si="545"/>
        <v>6.0830449921357296E-3</v>
      </c>
      <c r="KG141" s="189">
        <f t="shared" si="546"/>
        <v>0.1216608998427146</v>
      </c>
      <c r="KH141" s="235">
        <f>各项系数!$F$76/4*($NG141^2-$NE141^2)*10^-2*各项系数!$F$44*10^-3*10^2*各项系数!$J$4*0.75*$U141</f>
        <v>1.5104690943430719</v>
      </c>
      <c r="KI141" s="102">
        <v>1</v>
      </c>
      <c r="KJ141" s="189">
        <f t="shared" si="547"/>
        <v>1.5104690943430719</v>
      </c>
      <c r="KK141" s="189">
        <f>ROUND(KJ141*各项系数!$E$43,GT141)</f>
        <v>9</v>
      </c>
      <c r="KL141" s="235">
        <f>各项系数!$F$76/4*($NF141^2-$NE141^2)*10^-2*各项系数!$F$46*10^-3*10^2*各项系数!$J$4*PI()/4*R141</f>
        <v>7.5786875848265156E-2</v>
      </c>
      <c r="KM141" s="102">
        <v>1</v>
      </c>
      <c r="KN141" s="189">
        <f t="shared" si="548"/>
        <v>7.5786875848265156E-2</v>
      </c>
      <c r="KO141" s="189">
        <f>KN141*各项系数!$E$46</f>
        <v>5.1156141197578977</v>
      </c>
      <c r="KP141" s="235">
        <f>各项系数!$F$76/4*($NH141^2-$NE141^2)*10^-2*(VLOOKUP($KP$9,各项系数!$D$1:$F$143,3,0))*10^-3*10^2*各项系数!$J$4</f>
        <v>0.72309028451601054</v>
      </c>
      <c r="KQ141" s="102">
        <v>1</v>
      </c>
      <c r="KR141" s="189">
        <f t="shared" ref="KR141:KR204" si="657">KQ141*KP141</f>
        <v>0.72309028451601054</v>
      </c>
      <c r="KS141" s="189">
        <f>KR141*(VLOOKUP($KP$9,各项系数!$D$1:$F$143,2,0))</f>
        <v>12.292534836772179</v>
      </c>
      <c r="KT141" s="235">
        <f>各项系数!$F$76/4*($NI141^2-$NF141^2)*10^-2*(VLOOKUP($KT$9,各项系数!$D$1:$F$143,3,0))*10^-3*10^2*各项系数!$J$4</f>
        <v>0.72512085921084302</v>
      </c>
      <c r="KU141" s="102">
        <v>1</v>
      </c>
      <c r="KV141" s="189">
        <f t="shared" ref="KV141:KV204" si="658">KU141*KT141</f>
        <v>0.72512085921084302</v>
      </c>
      <c r="KW141" s="189">
        <f>KV141*(VLOOKUP($KT$9,各项系数!$D$1:$F$143,2,0))</f>
        <v>12.327054606584332</v>
      </c>
      <c r="KX141" s="189">
        <f>各项系数!$F$76/4*($NH141^2-$NE141^2)*10^-2*(VLOOKUP($KX$9,各项系数!$D$1:$F$143,3,0))*10^-3*10^2*各项系数!$J$4</f>
        <v>0.72309028451601054</v>
      </c>
      <c r="KY141" s="353">
        <v>1</v>
      </c>
      <c r="KZ141" s="189">
        <f t="shared" ref="KZ141:KZ204" si="659">KY141*KX141</f>
        <v>0.72309028451601054</v>
      </c>
      <c r="LA141" s="189">
        <f>KZ141*(VLOOKUP($KX$9,各项系数!$D$1:$F$143,2,0))</f>
        <v>12.292534836772179</v>
      </c>
      <c r="LB141" s="189">
        <f>各项系数!$F$76/4*($NI141^2-$NF141^2)*10^-2*(VLOOKUP($LB$9,各项系数!$D$1:$F$143,3,0))*10^-3*10^2*各项系数!$J$4</f>
        <v>0.72512085921084302</v>
      </c>
      <c r="LC141" s="353">
        <v>1</v>
      </c>
      <c r="LD141" s="189">
        <f t="shared" ref="LD141:LD204" si="660">LC141*LB141</f>
        <v>0.72512085921084302</v>
      </c>
      <c r="LE141" s="189">
        <f>LD141*(VLOOKUP($LB$9,各项系数!$D$1:$F$143,2,0))</f>
        <v>12.327054606584332</v>
      </c>
      <c r="LF141" s="235">
        <f>各项系数!$F$76/4*($NH141^2-$NE141^2)*10^-2*(VLOOKUP(AN141,各项系数!$D$1:$F$143,3,0))*10^-3*10^2*各项系数!$J$4</f>
        <v>0.73306394361278315</v>
      </c>
      <c r="LG141" s="102">
        <v>1</v>
      </c>
      <c r="LH141" s="189">
        <f t="shared" si="549"/>
        <v>0.73306394361278315</v>
      </c>
      <c r="LI141" s="189">
        <f>LH141*(VLOOKUP(AN141,各项系数!$D$1:$F$143,2,0))</f>
        <v>7.3306394361278313</v>
      </c>
      <c r="LJ141" s="235">
        <f>各项系数!$F$76/4*($NI141^2-$NF141^2)*10^-2*(VLOOKUP(AN141,各项系数!$D$1:$F$143,3,0))*10^-3*10^2*各项系数!$J$4</f>
        <v>0.73512252623444085</v>
      </c>
      <c r="LK141" s="102">
        <v>1</v>
      </c>
      <c r="LL141" s="189">
        <f t="shared" si="550"/>
        <v>0.73512252623444085</v>
      </c>
      <c r="LM141" s="189">
        <f>LL141*(VLOOKUP(AN141,各项系数!$D$1:$F$143,2,0))</f>
        <v>7.3512252623444088</v>
      </c>
      <c r="LN141" s="189">
        <f>各项系数!$F$76/4*($NH141^2-$NE141^2)*10^-2*(VLOOKUP($LN$9,各项系数!$D$1:$F$143,3,0))*10^-3*10^2*各项系数!$J$4</f>
        <v>0.73306394361278315</v>
      </c>
      <c r="LO141" s="353">
        <v>1</v>
      </c>
      <c r="LP141" s="189">
        <f t="shared" si="551"/>
        <v>0.73306394361278315</v>
      </c>
      <c r="LQ141" s="189">
        <f>LP141*(VLOOKUP($LN$9,各项系数!$D$1:$F$143,2,0))</f>
        <v>8.0637033797406144</v>
      </c>
      <c r="LR141" s="189">
        <f>各项系数!$F$76/4*($NI141^2-$NF141^2)*10^-2*(VLOOKUP($LR$9,各项系数!$D$1:$F$143,3,0))*10^-3*10^2*各项系数!$J$4</f>
        <v>0.73512252623444085</v>
      </c>
      <c r="LS141" s="353">
        <v>1</v>
      </c>
      <c r="LT141" s="189">
        <f t="shared" si="552"/>
        <v>0.73512252623444085</v>
      </c>
      <c r="LU141" s="189">
        <f>LT141*(VLOOKUP($LR$9,各项系数!$D$1:$F$143,2,0))</f>
        <v>8.0863477885788502</v>
      </c>
      <c r="LV141" s="227">
        <f t="shared" ref="LV141:LV204" si="661">ROUND(PI()*MJ141*MJ141/4*EG141,8)</f>
        <v>924.75306988</v>
      </c>
      <c r="LW141" s="227">
        <f t="shared" ref="LW141:LW204" si="662">ROUND(PI()*ROUND($EJ141*10^-2,8)^2/4*$EG141*$EH141,8)</f>
        <v>698.28293031999999</v>
      </c>
      <c r="LX141" s="227">
        <f t="shared" ref="LX141:LX204" si="663">SQRT(LW141/PI()*4)</f>
        <v>29.817468710421615</v>
      </c>
      <c r="LY141" s="227">
        <f t="shared" ref="LY141:LY204" si="664">LV141-LW141</f>
        <v>226.47013956000001</v>
      </c>
      <c r="LZ141" s="374">
        <f t="shared" si="608"/>
        <v>1</v>
      </c>
      <c r="MA141" s="375">
        <f t="shared" si="609"/>
        <v>924.75306988</v>
      </c>
      <c r="MB141" s="375">
        <f t="shared" ref="MB141:MB204" si="665">ROUND(SQRT(MA141/EG141/PI()*4),8)</f>
        <v>17.156865809999999</v>
      </c>
      <c r="MC141" s="227">
        <f t="shared" ref="MC141:MC204" si="666">ROUND(PI()*ML141*ML141/4*EO141,8)</f>
        <v>117.94354749</v>
      </c>
      <c r="MD141" s="227">
        <f t="shared" ref="MD141:MD204" si="667">ROUND(PI()*ROUND($ER141*10^-2,8)^2/4*$EO141*$EP141,8)</f>
        <v>89.637096389999996</v>
      </c>
      <c r="ME141" s="227">
        <f t="shared" ref="ME141:ME204" si="668">SQRT(MD141/PI()*4)</f>
        <v>10.683140727285469</v>
      </c>
      <c r="MF141" s="227">
        <f t="shared" ref="MF141:MF204" si="669">MC141-MD141</f>
        <v>28.306451100000004</v>
      </c>
      <c r="MG141" s="374">
        <f t="shared" ref="MG141:MG204" si="670">$MG$8</f>
        <v>1</v>
      </c>
      <c r="MH141" s="375">
        <f t="shared" si="610"/>
        <v>117.94354749</v>
      </c>
      <c r="MI141" s="375">
        <f t="shared" ref="MI141:MI204" si="671">IF(EK141=0,0,SQRT(MH141/EO141/PI()*4))</f>
        <v>12.254402829620775</v>
      </c>
      <c r="MJ141" s="189">
        <f t="shared" si="611"/>
        <v>17.156865809999999</v>
      </c>
      <c r="MK141" s="189">
        <f t="shared" ref="MK141:MK204" si="672">ROUND((1-$H141)^(1/2)*$MB141,8)</f>
        <v>17.156865809999999</v>
      </c>
      <c r="ML141" s="189">
        <f t="shared" si="553"/>
        <v>12.254402829385599</v>
      </c>
      <c r="MM141" s="189">
        <f t="shared" si="612"/>
        <v>12.254402829620775</v>
      </c>
      <c r="MN141" s="189">
        <f t="shared" si="613"/>
        <v>20.356865809999999</v>
      </c>
      <c r="MO141" s="189">
        <f t="shared" ref="MO141:MO204" si="673">IF(MM141=0,0,MM141+N141*2)</f>
        <v>14.454402829620776</v>
      </c>
      <c r="MP141" s="189">
        <f t="shared" ref="MP141:MP204" si="674">ROUND($ET141*($EG141*MN141+$EO141*MO141)/$ES141,8)</f>
        <v>51.776207679999999</v>
      </c>
      <c r="MQ141" s="189">
        <f t="shared" si="554"/>
        <v>51.776207679999999</v>
      </c>
      <c r="MR141" s="246">
        <f t="shared" ref="MR141:MR204" si="675">IF(FR141=0,MQ141,ROUND(SQRT((PI()*MQ141*MQ141/4-(FR141-FT141))*4/PI()),8))</f>
        <v>51.776207679999999</v>
      </c>
      <c r="MS141" s="380">
        <f t="shared" si="614"/>
        <v>51.952207680000001</v>
      </c>
      <c r="MT141" s="380">
        <f t="shared" si="615"/>
        <v>52.112207679999997</v>
      </c>
      <c r="MU141" s="380">
        <f t="shared" si="616"/>
        <v>53.452207680000001</v>
      </c>
      <c r="MV141" s="380">
        <f t="shared" si="617"/>
        <v>57.552207680000002</v>
      </c>
      <c r="MW141" s="380">
        <f t="shared" si="618"/>
        <v>57.712207679999999</v>
      </c>
      <c r="MX141" s="254">
        <f t="shared" si="619"/>
        <v>17.756865810000001</v>
      </c>
      <c r="MY141" s="254">
        <f t="shared" si="620"/>
        <v>12.854402829620774</v>
      </c>
      <c r="MZ141" s="189">
        <f t="shared" si="621"/>
        <v>20.95686581</v>
      </c>
      <c r="NA141" s="189">
        <f t="shared" si="622"/>
        <v>16.054402829620773</v>
      </c>
      <c r="NB141" s="189">
        <f t="shared" ref="NB141:NB204" si="676">ROUND($ET141*($EG141*MZ141+$EO141*NA141)/$ES141,8)</f>
        <v>53.936207680000003</v>
      </c>
      <c r="NC141" s="254">
        <f t="shared" si="555"/>
        <v>53.936207680000003</v>
      </c>
      <c r="ND141" s="246">
        <f t="shared" ref="ND141:ND204" si="677">IF(IY141=0,NC141,ROUND(SQRT((PI()*NC141*NC141/4-(IY141-JA141))*4/PI()),8))</f>
        <v>53.936207680000003</v>
      </c>
      <c r="NE141" s="386">
        <f t="shared" ref="NE141:NE204" si="678">ND141+3*O141</f>
        <v>54.176207680000005</v>
      </c>
      <c r="NF141" s="380">
        <f t="shared" si="623"/>
        <v>54.336207680000001</v>
      </c>
      <c r="NG141" s="387">
        <f t="shared" si="624"/>
        <v>55.676207680000005</v>
      </c>
      <c r="NH141" s="254">
        <f t="shared" si="625"/>
        <v>59.776207680000006</v>
      </c>
      <c r="NI141" s="380">
        <f t="shared" si="626"/>
        <v>59.936207680000003</v>
      </c>
      <c r="NK141" s="388">
        <f t="shared" si="627"/>
        <v>9.0684709956000447</v>
      </c>
      <c r="NL141" s="388">
        <f t="shared" si="628"/>
        <v>478.00966895810927</v>
      </c>
      <c r="NM141" s="388">
        <f t="shared" si="629"/>
        <v>9.0684709956000447</v>
      </c>
      <c r="NN141" s="388">
        <f t="shared" si="630"/>
        <v>478.71411860328101</v>
      </c>
      <c r="NO141" s="388">
        <f t="shared" si="631"/>
        <v>11.973256054524565</v>
      </c>
      <c r="NP141" s="388">
        <f t="shared" si="632"/>
        <v>483.66828755647384</v>
      </c>
      <c r="NQ141" s="388">
        <f t="shared" si="633"/>
        <v>11.973256054524565</v>
      </c>
      <c r="NR141" s="388">
        <f t="shared" si="634"/>
        <v>484.40135150008661</v>
      </c>
      <c r="NS141" s="388">
        <f t="shared" si="635"/>
        <v>9.1411513142616982</v>
      </c>
      <c r="NT141" s="388">
        <f t="shared" si="636"/>
        <v>9.1411513142616982</v>
      </c>
      <c r="NU141" s="388">
        <f t="shared" si="637"/>
        <v>12.049042930372831</v>
      </c>
      <c r="NV141" s="388">
        <f t="shared" si="638"/>
        <v>12.049042930372831</v>
      </c>
      <c r="NW141">
        <f t="shared" si="639"/>
        <v>10.034677102140527</v>
      </c>
      <c r="NX141">
        <f>各项系数!$M$9*NK141</f>
        <v>2.7205412986800135</v>
      </c>
      <c r="NY141">
        <f t="shared" si="640"/>
        <v>9.1411513142616965</v>
      </c>
    </row>
    <row r="142" spans="1:389" ht="15" hidden="1" customHeight="1">
      <c r="A142" s="69"/>
      <c r="B142" s="70"/>
      <c r="C142" s="69"/>
      <c r="D142" s="102" t="s">
        <v>423</v>
      </c>
      <c r="E142" s="61">
        <f t="shared" ref="E142:E147" si="679">MV142</f>
        <v>66.380729009999996</v>
      </c>
      <c r="F142" s="68">
        <f>$F$30</f>
        <v>246.701228113631</v>
      </c>
      <c r="G142" s="58"/>
      <c r="H142" s="16"/>
      <c r="I142" s="145">
        <f>$F$27</f>
        <v>244.921136962963</v>
      </c>
      <c r="J142" s="62"/>
      <c r="K142" s="16"/>
      <c r="L142" s="97" t="s">
        <v>467</v>
      </c>
      <c r="M142" s="103">
        <f t="shared" si="582"/>
        <v>1.7</v>
      </c>
      <c r="N142" s="103">
        <f t="shared" si="583"/>
        <v>1.2</v>
      </c>
      <c r="O142" s="53">
        <f t="shared" si="580"/>
        <v>0.08</v>
      </c>
      <c r="P142" s="99">
        <v>0.1</v>
      </c>
      <c r="Q142" s="133">
        <f t="shared" si="578"/>
        <v>0.1</v>
      </c>
      <c r="R142" s="70">
        <v>0.8</v>
      </c>
      <c r="S142" s="142" t="str">
        <f>各项系数!$D$43</f>
        <v>钢带</v>
      </c>
      <c r="T142" s="102">
        <v>0.5</v>
      </c>
      <c r="U142" s="102">
        <v>2</v>
      </c>
      <c r="V142" s="140"/>
      <c r="W142" s="141">
        <v>3.1</v>
      </c>
      <c r="X142" s="135">
        <f t="shared" si="579"/>
        <v>0.2</v>
      </c>
      <c r="Y142" s="135"/>
      <c r="Z142" s="168"/>
      <c r="AA142" s="153">
        <f>$AA$30</f>
        <v>1.0149999999999999</v>
      </c>
      <c r="AB142" s="153">
        <f>PI()*EJ142*EJ142/4*EH142*(1-H142)*AA142*各项系数!$F$5*各项系数!$J$4*10^-7</f>
        <v>2.05998769246807</v>
      </c>
      <c r="AC142" s="153">
        <f t="shared" si="573"/>
        <v>246.701228113631</v>
      </c>
      <c r="AD142" s="153">
        <f t="shared" si="584"/>
        <v>232.88407080035392</v>
      </c>
      <c r="AE142" s="153">
        <f>POWER(4*EU142/PI()/EG142/10^-7/EH142/(1-H142)/各项系数!$F$5/各项系数!$J$4,0.5)</f>
        <v>248.54460040818714</v>
      </c>
      <c r="AF142" s="69">
        <f>$AA$27</f>
        <v>1.0129999999999999</v>
      </c>
      <c r="AG142" s="69">
        <f>IF(EM142=0,0,PI()*ER142*ER142/4*EP142*(1-K142)*(1+AF142)*各项系数!$F$5*各项系数!$J$4*10^-7)</f>
        <v>2.0133638813892349</v>
      </c>
      <c r="AH142" s="69">
        <f t="shared" si="574"/>
        <v>244.921136962963</v>
      </c>
      <c r="AI142" s="69">
        <f t="shared" si="641"/>
        <v>114.54156221736139</v>
      </c>
      <c r="AJ142" s="69">
        <f>IF(OR(EP142="",EP142=0),0,POWER(4*EW142/PI()/EO142/10^-7/EP142/(1-K142)/各项系数!$F$5/各项系数!$J$4,0.5))</f>
        <v>246.50798375415039</v>
      </c>
      <c r="AK142" s="69">
        <f t="shared" si="585"/>
        <v>9.2531338855440612</v>
      </c>
      <c r="AL142" s="69">
        <f t="shared" si="575"/>
        <v>643.66982285977235</v>
      </c>
      <c r="AM142" s="188">
        <f t="shared" si="576"/>
        <v>240</v>
      </c>
      <c r="AN142" s="97" t="s">
        <v>486</v>
      </c>
      <c r="AO142" s="196">
        <f>AP142+各项系数!$M$9*$NK142</f>
        <v>631.04884594095324</v>
      </c>
      <c r="AP142" s="196">
        <f>AQ142*(1+$BI142+(VLOOKUP($AM142,$A$12:$B$323,2,0))+各项系数!$J$6+各项系数!$M$5)*(1+$E$2)</f>
        <v>627.49631602749139</v>
      </c>
      <c r="AQ142" s="197">
        <f>AR142+各项系数!$L$9*$NK142</f>
        <v>640.30236329335855</v>
      </c>
      <c r="AR142" s="197">
        <f>AS142*(1+$BJ142+各项系数!$J$5+各项系数!$L$5)</f>
        <v>636.7498333798967</v>
      </c>
      <c r="AS142" s="197">
        <f t="shared" si="642"/>
        <v>624.26454252931046</v>
      </c>
      <c r="AT142" s="196">
        <f>AU142+各项系数!$M$9*$NM142</f>
        <v>637.14780122415357</v>
      </c>
      <c r="AU142" s="196">
        <f>AV142*(1+$BI142+(VLOOKUP($AM142,$A$12:$B$323,2,0))+各项系数!$J$6+各项系数!$M$5)*(1+$E$2)</f>
        <v>633.59527131069171</v>
      </c>
      <c r="AV142" s="197">
        <f>AW142+各项系数!$L$9*$NM142</f>
        <v>646.5257870517263</v>
      </c>
      <c r="AW142" s="197">
        <f>AX142*(1+$BJ142+各项系数!$J$5+各项系数!$L$5)</f>
        <v>642.97325713826444</v>
      </c>
      <c r="AX142" s="197">
        <f t="shared" si="643"/>
        <v>630.36593837084752</v>
      </c>
      <c r="AY142" s="196">
        <f>AZ142+各项系数!$M$9*$NS142</f>
        <v>636.80111293339166</v>
      </c>
      <c r="AZ142" s="196">
        <f>BA142*(1+$BI142+(VLOOKUP($AM142,$A$12:$B$214,2,0))+各项系数!$J$6+各项系数!$M$5)*(1+$E$2)</f>
        <v>633.22333076263089</v>
      </c>
      <c r="BA142" s="197">
        <f>BB142+各项系数!$L$9*$NS142</f>
        <v>646.14625588023557</v>
      </c>
      <c r="BB142" s="197">
        <f>BC142*(1+$BJ142+各项系数!$J$5+各项系数!$L$5)</f>
        <v>642.5684737094748</v>
      </c>
      <c r="BC142" s="199">
        <f t="shared" si="644"/>
        <v>629.96909187203414</v>
      </c>
      <c r="BD142" s="196">
        <f>BE142+各项系数!$M$9*$NS142</f>
        <v>642.91548891196919</v>
      </c>
      <c r="BE142" s="196">
        <f>BF142*(1+$BI142+(VLOOKUP($AM142,$A$12:$B$214,2,0))+各项系数!$J$6+各项系数!$M$5)*(1+$E$2)</f>
        <v>639.33770674120842</v>
      </c>
      <c r="BF142" s="197">
        <f>BG142+各项系数!$L$9*$NS142</f>
        <v>652.38541504204943</v>
      </c>
      <c r="BG142" s="197">
        <f>BH142*(1+$BJ142+各项系数!$J$5+各项系数!$L$5)</f>
        <v>648.80763287128866</v>
      </c>
      <c r="BH142" s="199">
        <f t="shared" si="645"/>
        <v>636.08591457969476</v>
      </c>
      <c r="BI142" s="213"/>
      <c r="BJ142" s="208"/>
      <c r="BK142" s="53" t="s">
        <v>514</v>
      </c>
      <c r="BL142" s="196">
        <f>BM142+各项系数!$M$9*$NM142</f>
        <v>638.07652398284574</v>
      </c>
      <c r="BM142" s="196">
        <f>BN142*(1+$CF142+(VLOOKUP($AM142,$A$12:$B$323,2,0))+各项系数!$J$6+各项系数!$M$5)*(1+$E$2)</f>
        <v>634.52399406938389</v>
      </c>
      <c r="BN142" s="197">
        <f>BO142+各项系数!$L$9*$NM142</f>
        <v>647.47346333610608</v>
      </c>
      <c r="BO142" s="197">
        <f>BP142*(1+$CG142+各项系数!$J$5+各项系数!$L$5)</f>
        <v>643.92093342264423</v>
      </c>
      <c r="BP142" s="197">
        <f t="shared" si="646"/>
        <v>625.16595477926626</v>
      </c>
      <c r="BQ142" s="196">
        <f>BR142+各项系数!$M$9*$NM142</f>
        <v>643.32538742018789</v>
      </c>
      <c r="BR142" s="196">
        <f>BS142*(1+$CF142+(VLOOKUP($AM142,$A$12:$B$323,2,0))+各项系数!$J$6+各项系数!$M$5)*(1+$E$2)</f>
        <v>639.77285750672604</v>
      </c>
      <c r="BS142" s="197">
        <f>BT142+各项系数!$L$9*$NM142</f>
        <v>652.82944643543476</v>
      </c>
      <c r="BT142" s="197">
        <f>BU142*(1+$CG142+各项系数!$J$5+各项系数!$L$5)</f>
        <v>649.27691652197291</v>
      </c>
      <c r="BU142" s="197">
        <f t="shared" si="647"/>
        <v>630.36593837084752</v>
      </c>
      <c r="BV142" s="196">
        <f>BW142+各项系数!$M$9*$NT142</f>
        <v>640.38886773559784</v>
      </c>
      <c r="BW142" s="196">
        <f>BX142*(1+$CF142+(VLOOKUP($AM142,$A$12:$B$214,2,0))+各项系数!$J$6+各项系数!$M$5)*(1+$E$2)</f>
        <v>636.81108556483707</v>
      </c>
      <c r="BX142" s="197">
        <f>BY142+各项系数!$L$9*$NT$12</f>
        <v>649.80723016820116</v>
      </c>
      <c r="BY142" s="197">
        <f>BZ142*(1+$CG142+各项系数!$J$5+各项系数!$L$5)</f>
        <v>649.7989667650462</v>
      </c>
      <c r="BZ142" s="199">
        <f t="shared" si="586"/>
        <v>630.87278326703517</v>
      </c>
      <c r="CA142" s="196">
        <f>CB142+各项系数!$M$9*$NT142</f>
        <v>645.6510024825966</v>
      </c>
      <c r="CB142" s="196">
        <f>CC142*(1+$CF142+(VLOOKUP($AM142,$A$12:$B$214,2,0))+各项系数!$J$6+各项系数!$M$5)*(1+$E$2)</f>
        <v>642.07322031183583</v>
      </c>
      <c r="CC142" s="197">
        <f>CD142+各项系数!$L$9*$NT$12</f>
        <v>655.17675542024062</v>
      </c>
      <c r="CD142" s="197">
        <f>CE142*(1+$CG142+各项系数!$J$5+各项系数!$L$5)</f>
        <v>655.16849201708567</v>
      </c>
      <c r="CE142" s="199">
        <f t="shared" si="648"/>
        <v>636.08591457969476</v>
      </c>
      <c r="CF142" s="213">
        <f t="shared" si="514"/>
        <v>0</v>
      </c>
      <c r="CG142" s="213">
        <f t="shared" si="587"/>
        <v>0.01</v>
      </c>
      <c r="CH142" s="102"/>
      <c r="CI142" s="196">
        <f>CJ142+各项系数!$M$9*$NO142</f>
        <v>643.81109274157484</v>
      </c>
      <c r="CJ142" s="196">
        <f>CK142*(1+$DC142+(VLOOKUP($AM142,$A$12:$B$323,2,0))+各项系数!$J$6+各项系数!$M$5)*(1+$E$2)+各项系数!$M$9*$NK142</f>
        <v>639.1140324317945</v>
      </c>
      <c r="CK142" s="197">
        <f>CL142+各项系数!$L$9*$NO142</f>
        <v>648.5321454268701</v>
      </c>
      <c r="CL142" s="197">
        <f>CM142*(1+$DD142+各项系数!$J$5+各项系数!$L$5)</f>
        <v>643.83508511708976</v>
      </c>
      <c r="CM142" s="197">
        <f t="shared" si="588"/>
        <v>631.21086776185268</v>
      </c>
      <c r="CN142" s="196">
        <f>CO142+各项系数!$M$9*$NO142</f>
        <v>649.59337358392827</v>
      </c>
      <c r="CO142" s="196">
        <f>CP142*(1+$DC142+(VLOOKUP($AM142,$A$12:$B$323,2,0))+各项系数!$J$6+各项系数!$M$5)*(1+$E$2)+各项系数!$M$9*$NK142</f>
        <v>644.89631327414793</v>
      </c>
      <c r="CP142" s="197">
        <f>CQ142+各项系数!$L$9*$NO142</f>
        <v>654.43243200070003</v>
      </c>
      <c r="CQ142" s="197">
        <f>CR142*(1+$DD142+各项系数!$J$5+各项系数!$L$5)</f>
        <v>649.73537169091969</v>
      </c>
      <c r="CR142" s="197">
        <f t="shared" si="589"/>
        <v>636.99546244207806</v>
      </c>
      <c r="CS142" s="196">
        <f>CT142+各项系数!$M$9*$NU142</f>
        <v>646.22228384857272</v>
      </c>
      <c r="CT142" s="196">
        <f t="shared" si="590"/>
        <v>641.49903931433732</v>
      </c>
      <c r="CU142" s="197">
        <f>CV142+各项系数!$L$9*$NU142</f>
        <v>654.59085644320135</v>
      </c>
      <c r="CV142" s="197">
        <f>CW142*(1+$DD142+各项系数!$J$5+各项系数!$L$5)</f>
        <v>649.86761190896596</v>
      </c>
      <c r="CW142" s="199">
        <f t="shared" si="591"/>
        <v>637.12510971467248</v>
      </c>
      <c r="CX142" s="196">
        <f>CY142+各项系数!$M$9*$NU142</f>
        <v>652.55100749289375</v>
      </c>
      <c r="CY142" s="196">
        <f t="shared" si="592"/>
        <v>647.82776295865835</v>
      </c>
      <c r="CZ142" s="197">
        <f>DA142+各项系数!$L$9*$NU142</f>
        <v>661.0487377129167</v>
      </c>
      <c r="DA142" s="197">
        <f>DB142*(1+$DD142+各项系数!$J$5+各项系数!$L$5)</f>
        <v>656.32549317868131</v>
      </c>
      <c r="DB142" s="199">
        <f t="shared" si="593"/>
        <v>643.45636586145224</v>
      </c>
      <c r="DC142" s="213">
        <f t="shared" si="571"/>
        <v>0</v>
      </c>
      <c r="DD142" s="213">
        <f t="shared" si="594"/>
        <v>0</v>
      </c>
      <c r="DE142" s="53" t="s">
        <v>498</v>
      </c>
      <c r="DF142" s="53" t="s">
        <v>513</v>
      </c>
      <c r="DG142" s="196">
        <f>DH142+各项系数!$M$9*$NQ142</f>
        <v>650.93882267996912</v>
      </c>
      <c r="DH142" s="196">
        <f>DI142*(1+$EA142+(VLOOKUP($AM142,$A$12:$B$323,2,0))+各项系数!$J$6+各项系数!$M$5)*(1+$E$2)+各项系数!$M$9*$NK142</f>
        <v>646.24176237018878</v>
      </c>
      <c r="DI142" s="197">
        <f>DJ142+各项系数!$L$9*$NQ142</f>
        <v>655.80533924155804</v>
      </c>
      <c r="DJ142" s="197">
        <f>DK142*(1+$EB142+各项系数!$J$5+各项系数!$L$5)</f>
        <v>651.1082789317777</v>
      </c>
      <c r="DK142" s="197">
        <f t="shared" si="595"/>
        <v>632.14396012793952</v>
      </c>
      <c r="DL142" s="196">
        <f>DM142+各项系数!$M$9*$NQ142</f>
        <v>656.37215732153527</v>
      </c>
      <c r="DM142" s="196">
        <f>DN142*(1+$EA142+(VLOOKUP($AM142,$A$12:$B$323,2,0))+各项系数!$J$6+各项系数!$M$5)*(1+$E$2)+各项系数!$M$9*$NK142</f>
        <v>651.67509701175493</v>
      </c>
      <c r="DN142" s="197">
        <f>DO142+各项系数!$L$9*$NQ142</f>
        <v>661.3495582635644</v>
      </c>
      <c r="DO142" s="197">
        <f>DP142*(1+$EB142+各项系数!$J$5+各项系数!$L$5)</f>
        <v>656.65249795378406</v>
      </c>
      <c r="DP142" s="197">
        <f t="shared" si="596"/>
        <v>637.52669704250877</v>
      </c>
      <c r="DQ142" s="196">
        <f>DR142+各项系数!$M$9*$NV142</f>
        <v>653.41027392711351</v>
      </c>
      <c r="DR142" s="196">
        <f t="shared" si="597"/>
        <v>648.68702939287812</v>
      </c>
      <c r="DS142" s="197">
        <f>DT142+各项系数!$L$9*$NV142</f>
        <v>661.92554019681438</v>
      </c>
      <c r="DT142" s="197">
        <f>DU142*(1+$EB142+各项系数!$J$5+各项系数!$L$5)</f>
        <v>657.20229566257899</v>
      </c>
      <c r="DU142" s="199">
        <f t="shared" si="598"/>
        <v>638.06048122580478</v>
      </c>
      <c r="DV142" s="196">
        <f>DW142+各项系数!$M$9*$NV142</f>
        <v>652.11446803023796</v>
      </c>
      <c r="DW142" s="196">
        <f t="shared" si="599"/>
        <v>647.39122349600257</v>
      </c>
      <c r="DX142" s="197">
        <f>DY142+各项系数!$L$9*$NV142</f>
        <v>660.60328928163528</v>
      </c>
      <c r="DY142" s="197">
        <f>DZ142*(1+$EB142+各项系数!$J$5+各项系数!$L$5)</f>
        <v>655.88004474739989</v>
      </c>
      <c r="DZ142" s="199">
        <f t="shared" si="600"/>
        <v>636.77674247320374</v>
      </c>
      <c r="EA142" s="213">
        <f t="shared" si="581"/>
        <v>0</v>
      </c>
      <c r="EB142" s="213">
        <f t="shared" si="601"/>
        <v>0.01</v>
      </c>
      <c r="EC142" s="235" t="str">
        <f t="shared" si="649"/>
        <v>4+1</v>
      </c>
      <c r="ED142" s="235" t="str">
        <f t="shared" ref="ED142:ED157" si="680">IF(COUNTIF($D142,"*+*")&gt;0,MID($D142,1,FIND("+",$D142)-1),MID($D142,1,LEN($D142)))</f>
        <v>4*240</v>
      </c>
      <c r="EE142" s="189">
        <f t="shared" si="495"/>
        <v>240</v>
      </c>
      <c r="EF142" s="189" t="str">
        <f>LOOKUP(EH142,{1,7,10,14,19,24,30,37,48,61},{1,"1+6","2+8","4+10","1+6+12","2+8+14","4+10+16","1+6+12+18","3+9+15+21","1+6+12+18+24"})</f>
        <v>3+9+15+21</v>
      </c>
      <c r="EG142" s="188">
        <f t="shared" si="602"/>
        <v>4</v>
      </c>
      <c r="EH142" s="197">
        <f>VLOOKUP(EE142,各项系数!$B$87:$C$124,2,0)</f>
        <v>48</v>
      </c>
      <c r="EI142" s="188">
        <f>IF(EH142=0,0,VLOOKUP(EH142,各项系数!$D$142:$E$195,2,0))*1</f>
        <v>8.15</v>
      </c>
      <c r="EJ142" s="238">
        <f t="shared" si="650"/>
        <v>246.701228113631</v>
      </c>
      <c r="EK142" s="189" t="str">
        <f t="shared" ref="EK142:EK147" si="681">IF(COUNTIF($D142,"*+*")&gt;0,MID($D142,FIND("+",$D142)+1,LEN($D142)),0)</f>
        <v>1*120</v>
      </c>
      <c r="EL142" s="189" t="str">
        <f t="shared" si="603"/>
        <v>120</v>
      </c>
      <c r="EM142" s="189">
        <f t="shared" ref="EM142:EM147" si="682">EL142/1</f>
        <v>120</v>
      </c>
      <c r="EN142" s="189" t="str">
        <f>IF(EP142=0,0,LOOKUP(EP142,{1,7,10,14,19,24,30,37,48,61},{1,"1+6","2+8","4+10","1+6+12","2+8+14","4+10+16","1+6+12+18","3+9+15+21","1+6+12+18+24"}))</f>
        <v>2+8+14</v>
      </c>
      <c r="EO142" s="189" t="str">
        <f t="shared" ref="EO142:EO147" si="683">IF(EK142=0,0,MID(EK142,1,1))</f>
        <v>1</v>
      </c>
      <c r="EP142" s="189">
        <f>IF(EM142=0,0,IF(EM142&lt;10,1,IF(AND(EM142&gt;=10,EM142&lt;=35),7,LOOKUP(EM142,{50,70,95,120,150,185,240,300},{10,14,19,24,30,37,48,61})*1)))</f>
        <v>24</v>
      </c>
      <c r="EQ142" s="189">
        <f>IF(EP142=0,0,VLOOKUP(EP142,各项系数!$D$142:$E$195,2,0))*1</f>
        <v>6</v>
      </c>
      <c r="ER142" s="189">
        <f t="shared" si="577"/>
        <v>244.921136962963</v>
      </c>
      <c r="ES142" s="235">
        <f t="shared" ref="ES142:ES147" si="684">EO142+EG142</f>
        <v>5</v>
      </c>
      <c r="ET142" s="189">
        <f>VLOOKUP(ES142,各项系数!$D$142:$E$195,2,0)*1</f>
        <v>2.7</v>
      </c>
      <c r="EU142" s="243">
        <f>((各项系数!$F$76/4*$EJ142^2*$EG142*$EH142*1*10^-7)*(1-$H142)*AA142)*(VLOOKUP($EY$9,各项系数!$D$4:$F$143,3,0))*各项系数!$J$4</f>
        <v>8.23995076987228</v>
      </c>
      <c r="EV142" s="244">
        <f>EU142*(VLOOKUP($EY$9,各项系数!$D$4:$F$143,2,0))</f>
        <v>539.71677542663429</v>
      </c>
      <c r="EW142" s="252">
        <f>(IF($EO142=0,0,(各项系数!$F$76/4*$ER142^2*$EO142*$EP142*1*10^-7))*(1-$K142)*$AF142)*(VLOOKUP($EY$9,各项系数!$D$4:$F$143,3,0))*各项系数!$J$4</f>
        <v>1.013183115671781</v>
      </c>
      <c r="EX142" s="253">
        <f>EW142*(VLOOKUP($EY$9,各项系数!$D$4:$F$143,2,0))</f>
        <v>66.363494076501652</v>
      </c>
      <c r="EY142" s="189">
        <f>((各项系数!$F$76/4*$EJ142^2*$EG142*$EH142*1*10^-7)*(1-$H142)*AA142+IF($EO142=0,0,(各项系数!$F$76/4*$ER142^2*$EO142*$EP142*1*10^-7))*(1-$K142)*$AF142)*(VLOOKUP($EY$9,各项系数!$D$4:$F$143,3,0))*各项系数!$J$4</f>
        <v>9.2531338855440612</v>
      </c>
      <c r="EZ142" s="102">
        <v>1</v>
      </c>
      <c r="FA142" s="189">
        <f t="shared" si="515"/>
        <v>9.2531338855440612</v>
      </c>
      <c r="FB142" s="254">
        <f>FA142*(VLOOKUP($EY$9,各项系数!$D$4:$F$143,2,0))</f>
        <v>606.08026950313604</v>
      </c>
      <c r="FC142" s="255"/>
      <c r="FD142" s="235">
        <f>各项系数!$F$76/4*($MN142^2-MK142^2)*10^-2*(VLOOKUP(L142,各项系数!$D$1:$F$143,3,0))*10^-3*10^2*$EG142*各项系数!$J$4</f>
        <v>0.5098630599606947</v>
      </c>
      <c r="FE142" s="262">
        <f>FD142*VLOOKUP(L142,各项系数!$D$1:$F$143,2,0)</f>
        <v>5.2006032115990859</v>
      </c>
      <c r="FF142" s="188">
        <f>各项系数!$F$76/4*($MO142^2-ML142^2)*10^-2*(VLOOKUP(L142,各项系数!$D$1:$F$143,3,0))*10^-3*10^2*$EO142*各项系数!$J$4</f>
        <v>6.5586543751462958E-2</v>
      </c>
      <c r="FG142" s="262">
        <f>FF142*VLOOKUP(L142,各项系数!$D$1:$F$143,2,0)</f>
        <v>0.66898274626492216</v>
      </c>
      <c r="FH142" s="235">
        <f t="shared" si="651"/>
        <v>0.5754496037121577</v>
      </c>
      <c r="FI142" s="102">
        <v>1</v>
      </c>
      <c r="FJ142" s="189">
        <f t="shared" si="516"/>
        <v>0.5754496037121577</v>
      </c>
      <c r="FK142" s="262">
        <f>FJ142*VLOOKUP(L142,各项系数!$D$1:$F$143,2,0)</f>
        <v>5.8695859578640084</v>
      </c>
      <c r="FL142" s="235"/>
      <c r="FM142" s="102"/>
      <c r="FN142" s="189"/>
      <c r="FO142" s="262"/>
      <c r="FP142" s="282">
        <f t="shared" si="517"/>
        <v>0.5754496037121577</v>
      </c>
      <c r="FQ142" s="282">
        <f t="shared" si="518"/>
        <v>5.8695859578640084</v>
      </c>
      <c r="FR142" s="283">
        <f>各项系数!$F$76/4*($MQ142^2-$MN142^2*$EG142-$MO142^2*$EO142)*10^-2</f>
        <v>8.6249515759591979</v>
      </c>
      <c r="FS142" s="284">
        <f t="shared" si="652"/>
        <v>1</v>
      </c>
      <c r="FT142" s="285">
        <f t="shared" si="604"/>
        <v>8.6249515759591979</v>
      </c>
      <c r="FU142" s="302">
        <f>$FT142*(VLOOKUP($FT$9,各项系数!$D$1:$F$143,3,0))*10^-3*10^2*各项系数!$J$55</f>
        <v>1.029819218169528</v>
      </c>
      <c r="FV142" s="303">
        <v>1</v>
      </c>
      <c r="FW142" s="304">
        <f t="shared" si="519"/>
        <v>1.029819218169528</v>
      </c>
      <c r="FX142" s="285">
        <f>FW142*(VLOOKUP($FT$9,各项系数!$D$1:$F$143,2,0))</f>
        <v>3.0894576545085841</v>
      </c>
      <c r="FY142" s="302">
        <f>IF($BK142&lt;&gt;$FY$9,0,各项系数!$F$76/4*($MS142^2-$MQ142^2)*10^-2*(VLOOKUP($FY$9,各项系数!$D$1:$F$143,3,0))*10^-3*10^2)*各项系数!$J$4</f>
        <v>0</v>
      </c>
      <c r="FZ142" s="303">
        <v>1</v>
      </c>
      <c r="GA142" s="304">
        <f t="shared" si="520"/>
        <v>0</v>
      </c>
      <c r="GB142" s="285">
        <f>GA142*(VLOOKUP($FY$9,各项系数!$D$1:$F$143,2,0))</f>
        <v>0</v>
      </c>
      <c r="GC142" s="302">
        <f>IF($BK142&lt;&gt;$GC$9,0,各项系数!$F$76/4*($MS142^2-$MQ142^2)*10^-2*(VLOOKUP($GC$9,各项系数!$D$1:$F$143,3,0))*10^-3*10^2)*各项系数!$J$4</f>
        <v>1.6364877073239331E-2</v>
      </c>
      <c r="GD142" s="303">
        <v>1</v>
      </c>
      <c r="GE142" s="304">
        <f t="shared" si="521"/>
        <v>1.6364877073239331E-2</v>
      </c>
      <c r="GF142" s="285">
        <f>GE142*(VLOOKUP($GC$9,各项系数!$D$1:$F$143,2,0))</f>
        <v>0.21110691424478739</v>
      </c>
      <c r="GG142" s="302">
        <f>IF($BK142&lt;&gt;$GG$9,0,各项系数!$F$76/4*($MS142^2-$MQ142^2)*10^-2*(VLOOKUP($GG$9,各项系数!$D$1:$F$143,3,0))*10^-3*10^2)*各项系数!$J$4</f>
        <v>0</v>
      </c>
      <c r="GH142" s="303">
        <v>1</v>
      </c>
      <c r="GI142" s="304">
        <f t="shared" si="522"/>
        <v>0</v>
      </c>
      <c r="GJ142" s="285">
        <f>GI142*(VLOOKUP($GG$9,各项系数!$D$1:$F$143,2,0))</f>
        <v>0</v>
      </c>
      <c r="GK142" s="302">
        <f>IF($BK142&lt;&gt;$GK$9,0,各项系数!$F$76/4*($MS142^2-$MQ142^2)*10^-2*(VLOOKUP($GK$9,各项系数!$D$1:$F$143,3,0))*10^-3*10^2)*各项系数!$J$4</f>
        <v>0</v>
      </c>
      <c r="GL142" s="303">
        <v>1</v>
      </c>
      <c r="GM142" s="304">
        <f t="shared" si="523"/>
        <v>0</v>
      </c>
      <c r="GN142" s="285">
        <f>GM142*(VLOOKUP($GK$9,各项系数!$D$1:$F$143,2,0))</f>
        <v>0</v>
      </c>
      <c r="GO142" s="304">
        <f t="shared" si="524"/>
        <v>1.6364877073239331E-2</v>
      </c>
      <c r="GP142" s="304">
        <f t="shared" si="525"/>
        <v>0.21110691424478739</v>
      </c>
      <c r="GQ142" s="315">
        <f>各项系数!$F$76/4*($MU142^2-$MS142^2)*10^-2*(VLOOKUP($S142,各项系数!$D$1:$F$143,3,0))*10^-3*10^2*各项系数!$J$4</f>
        <v>1.1170621694424079</v>
      </c>
      <c r="GR142" s="303">
        <v>1</v>
      </c>
      <c r="GS142" s="304">
        <f t="shared" si="526"/>
        <v>1.1170621694424079</v>
      </c>
      <c r="GT142" s="304">
        <f t="shared" si="457"/>
        <v>0</v>
      </c>
      <c r="GU142" s="304">
        <f>ROUND($GS142*(VLOOKUP($S142,各项系数!$D$1:$F$143,2,0))+$E$3*GS142,GT142)</f>
        <v>6</v>
      </c>
      <c r="GV142" s="315">
        <f>各项系数!$F$76/4*($MT142^2-$MS142^2)*10^-2*(VLOOKUP($GV$9,各项系数!$D$1:$F$143,3,0))*10^-3*10^2*各项系数!$J$4*PI()/4*R142</f>
        <v>8.417419099658531E-2</v>
      </c>
      <c r="GW142" s="303">
        <v>1</v>
      </c>
      <c r="GX142" s="304">
        <f t="shared" si="527"/>
        <v>8.417419099658531E-2</v>
      </c>
      <c r="GY142" s="304">
        <f>$GX142*(VLOOKUP($GV$9,各项系数!$D$1:$F$143,2,0))</f>
        <v>5.6817578922695082</v>
      </c>
      <c r="GZ142" s="315">
        <f>各项系数!$F$76/4*($MV142^2-$MS142^2)*10^-2*(VLOOKUP($GZ$9,各项系数!$D$1:$F$143,3,0))*10^-3*10^2*各项系数!$J$4</f>
        <v>0.88914813771141554</v>
      </c>
      <c r="HA142" s="303">
        <v>1</v>
      </c>
      <c r="HB142" s="304">
        <f t="shared" si="653"/>
        <v>0.88914813771141554</v>
      </c>
      <c r="HC142" s="304">
        <f>HB142*(VLOOKUP($GZ$9,各项系数!$D$1:$F$143,2,0))</f>
        <v>15.115518341094065</v>
      </c>
      <c r="HD142" s="315">
        <f>各项系数!$F$76/4*($MW142^2-$MT142^2)*10^-2*(VLOOKUP($HD$9,各项系数!$D$1:$F$143,3,0))*10^-3*10^2*各项系数!$J$4</f>
        <v>0.89139627398069488</v>
      </c>
      <c r="HE142" s="303">
        <v>1</v>
      </c>
      <c r="HF142" s="304">
        <f t="shared" si="654"/>
        <v>0.89139627398069488</v>
      </c>
      <c r="HG142" s="304">
        <f>HF142*(VLOOKUP($HD$9,各项系数!$D$1:$F$143,2,0))</f>
        <v>15.153736657671812</v>
      </c>
      <c r="HH142" s="315">
        <f>各项系数!$F$76/4*($MV142^2-$MS142^2)*10^-2*(VLOOKUP($HH$9,各项系数!$D$1:$F$143,3,0))*10^-3*10^2*各项系数!$J$4</f>
        <v>0.88914813771141554</v>
      </c>
      <c r="HI142" s="322">
        <v>1</v>
      </c>
      <c r="HJ142" s="304">
        <f t="shared" si="655"/>
        <v>0.88914813771141554</v>
      </c>
      <c r="HK142" s="304">
        <f>HJ142*(VLOOKUP($HH$9,各项系数!$D$1:$F$143,2,0))</f>
        <v>15.115518341094065</v>
      </c>
      <c r="HL142" s="315">
        <f>各项系数!$F$76/4*($MW142^2-$MT142^2)*10^-2*(VLOOKUP($HL$9,各项系数!$D$1:$F$143,3,0))*10^-3*10^2*各项系数!$J$4</f>
        <v>0.89139627398069488</v>
      </c>
      <c r="HM142" s="322">
        <v>1</v>
      </c>
      <c r="HN142" s="304">
        <f t="shared" si="605"/>
        <v>0.89139627398069488</v>
      </c>
      <c r="HO142" s="304">
        <f>HN142*(VLOOKUP($HL$9,各项系数!$D$1:$F$143,2,0))</f>
        <v>15.153736657671812</v>
      </c>
      <c r="HP142" s="315">
        <f>各项系数!$F$76/4*($MV142^2-$MS142^2)*10^-2*(VLOOKUP(AN142,各项系数!$D$1:$F$143,3,0))*10^-3*10^2*各项系数!$J$4</f>
        <v>0.90141224995571101</v>
      </c>
      <c r="HQ142" s="303">
        <v>1</v>
      </c>
      <c r="HR142" s="304">
        <f t="shared" si="528"/>
        <v>0.90141224995571101</v>
      </c>
      <c r="HS142" s="304">
        <f>HR142*(VLOOKUP(AN142,各项系数!$D$1:$F$143,2,0))</f>
        <v>9.0141224995571108</v>
      </c>
      <c r="HT142" s="315">
        <f>各项系数!$F$76/4*($MW142^2-$MT142^2)*10^-2*(VLOOKUP(AN142,各项系数!$D$1:$F$143,3,0))*10^-3*10^2*各项系数!$J$4</f>
        <v>0.90369139500111828</v>
      </c>
      <c r="HU142" s="303">
        <v>1</v>
      </c>
      <c r="HV142" s="304">
        <f t="shared" si="529"/>
        <v>0.90369139500111828</v>
      </c>
      <c r="HW142" s="304">
        <f>HV142*(VLOOKUP(AN142,各项系数!$D$1:$F$143,2,0))</f>
        <v>9.0369139500111828</v>
      </c>
      <c r="HX142" s="315">
        <f>各项系数!$F$76/4*($MV142^2-$MS142^2)*10^-2*(VLOOKUP($HX$9,各项系数!$D$1:$F$143,3,0))*10^-3*10^2*各项系数!$J$4</f>
        <v>0.90141224995571101</v>
      </c>
      <c r="HY142" s="322">
        <v>1</v>
      </c>
      <c r="HZ142" s="304">
        <f t="shared" si="530"/>
        <v>0.90141224995571101</v>
      </c>
      <c r="IA142" s="304">
        <f>HZ142*(VLOOKUP($HX$9,各项系数!$D$1:$F$143,2,0))</f>
        <v>9.9155347495128208</v>
      </c>
      <c r="IB142" s="315">
        <f>各项系数!$F$76/4*($MW142^2-$MT142^2)*10^-2*(VLOOKUP($IB$9,各项系数!$D$1:$F$143,3,0))*10^-3*10^2*各项系数!$J$4</f>
        <v>0.90369139500111828</v>
      </c>
      <c r="IC142" s="322">
        <v>1</v>
      </c>
      <c r="ID142" s="304">
        <f t="shared" si="531"/>
        <v>0.90369139500111828</v>
      </c>
      <c r="IE142" s="304">
        <f>ID142*(VLOOKUP($IB$9,各项系数!$D$1:$F$143,2,0))</f>
        <v>9.9406053450123011</v>
      </c>
      <c r="IF142" s="328"/>
      <c r="IG142" s="315">
        <f t="shared" si="656"/>
        <v>0.13591015552934027</v>
      </c>
      <c r="IH142" s="303">
        <v>1</v>
      </c>
      <c r="II142" s="304">
        <f t="shared" si="532"/>
        <v>0.13591015552934027</v>
      </c>
      <c r="IJ142" s="304">
        <f>II142*(VLOOKUP($IG$8,各项系数!$D$1:$F$143,2,0))</f>
        <v>3.397753888233507</v>
      </c>
      <c r="IK142" s="315">
        <f>(各项系数!$F$76/4*($MX142^2-$MK142^2)*$EG142)*10^-2*(VLOOKUP($IG$8,各项系数!$D$1:$F$143,3,0))*10^-3*10^2*各项系数!$J$4</f>
        <v>0.11481708982226782</v>
      </c>
      <c r="IL142" s="303">
        <f>IK142*(VLOOKUP($IG$8,各项系数!$D$1:$F$143,2,0))</f>
        <v>2.8704272455566957</v>
      </c>
      <c r="IM142" s="304">
        <f>(各项系数!$F$76/4*(($MM142+3*$X142)^2-MM142^2)*$EO142)*10^-2*(VLOOKUP($IG$8,各项系数!$D$1:$F$143,3,0))*10^-3*10^2*各项系数!$J$4</f>
        <v>2.109306570707245E-2</v>
      </c>
      <c r="IN142" s="303">
        <f>IM142*(VLOOKUP($IG$8,各项系数!$D$1:$F$143,2,0))</f>
        <v>0.52732664267681129</v>
      </c>
      <c r="IO142" s="315">
        <f>各项系数!$F$76/4*($MZ142^2-$MX142^2)*10^-2*(VLOOKUP(L142,各项系数!$D$1:$F$143,3,0))*10^-3*10^2*$ES142*各项系数!$J$4</f>
        <v>0.65486503806357399</v>
      </c>
      <c r="IP142" s="303">
        <v>1</v>
      </c>
      <c r="IQ142" s="304">
        <f t="shared" si="533"/>
        <v>0.65486503806357399</v>
      </c>
      <c r="IR142" s="285">
        <f>IQ142*(VLOOKUP(L142,各项系数!$D$1:$F$143,2,0))</f>
        <v>6.6796233882484541</v>
      </c>
      <c r="IS142" s="315">
        <f>IF($L142&lt;&gt;$IS$9,0,各项系数!$F$76/4*($MZ142^2-$MX142^2)*10^-2*各项系数!$F$12*10^-3*10^2)*$ES142*各项系数!$J$4</f>
        <v>0</v>
      </c>
      <c r="IT142" s="303">
        <v>1</v>
      </c>
      <c r="IU142" s="304">
        <f t="shared" si="534"/>
        <v>0</v>
      </c>
      <c r="IV142" s="285">
        <f>IU142*各项系数!$E$12</f>
        <v>0</v>
      </c>
      <c r="IW142" s="302">
        <f t="shared" si="535"/>
        <v>0.65486503806357399</v>
      </c>
      <c r="IX142" s="302">
        <f t="shared" si="536"/>
        <v>6.6796233882484541</v>
      </c>
      <c r="IY142" s="339">
        <f>各项系数!$F$76/4*($NB142^2-$MZ142^2*$EG142-$NA142^2*$EO142)*10^-2</f>
        <v>9.3502797439725178</v>
      </c>
      <c r="IZ142" s="284">
        <f t="shared" si="487"/>
        <v>1</v>
      </c>
      <c r="JA142" s="285">
        <f t="shared" si="606"/>
        <v>9.3502797439725178</v>
      </c>
      <c r="JB142" s="282">
        <f>IF($DE142&lt;&gt;$JB$9,0,$JA142*各项系数!$F$32*10^-3*10^2)*各项系数!$J$4</f>
        <v>0</v>
      </c>
      <c r="JC142" s="102">
        <v>1</v>
      </c>
      <c r="JD142" s="189">
        <f t="shared" si="537"/>
        <v>0</v>
      </c>
      <c r="JE142" s="262">
        <f>JD142*各项系数!$E$32</f>
        <v>0</v>
      </c>
      <c r="JF142" s="282">
        <f>IF($DE142&lt;&gt;$JF$9,0,$JA142*VLOOKUP($JF$9,各项系数!$D$4:$F$540,2,0)*10^-3*10^2)*各项系数!$J$4</f>
        <v>4.6517641726263275</v>
      </c>
      <c r="JG142" s="102">
        <v>1</v>
      </c>
      <c r="JH142" s="189">
        <f t="shared" si="607"/>
        <v>4.6517641726263275</v>
      </c>
      <c r="JI142" s="262">
        <f>JH142*VLOOKUP($JF$9,各项系数!$D$4:$F$540,3,0)</f>
        <v>5.5821170071515924</v>
      </c>
      <c r="JJ142" s="282">
        <f t="shared" si="538"/>
        <v>4.6517641726263275</v>
      </c>
      <c r="JK142" s="189">
        <f t="shared" si="539"/>
        <v>5.5821170071515924</v>
      </c>
      <c r="JL142" s="282">
        <f>IF($DF142&lt;&gt;$JL$9,0,各项系数!$F$76/4*($NE142^2-$NC142^2)*10^-2*各项系数!$F$39*10^-3*10^2)*各项系数!$J$4</f>
        <v>7.0090157107154166E-3</v>
      </c>
      <c r="JM142" s="102">
        <v>1</v>
      </c>
      <c r="JN142" s="189">
        <f t="shared" si="540"/>
        <v>7.0090157107154166E-3</v>
      </c>
      <c r="JO142" s="262">
        <f>JN142*各项系数!$E$39</f>
        <v>0.14018031421430832</v>
      </c>
      <c r="JP142" s="282">
        <f>IF($DF142&lt;&gt;$JP$9,0,各项系数!$F$76/4*($NE142^2-$NC142^2)*10^-2*各项系数!$F$36*10^-3*10^2)*各项系数!$J$4</f>
        <v>0</v>
      </c>
      <c r="JQ142" s="102">
        <v>1</v>
      </c>
      <c r="JR142" s="189">
        <f t="shared" si="541"/>
        <v>0</v>
      </c>
      <c r="JS142" s="262">
        <f>JR142*各项系数!$E$36</f>
        <v>0</v>
      </c>
      <c r="JT142" s="282">
        <f>IF($DF142&lt;&gt;$JT$9,0,各项系数!$F$76/4*($NE142^2-$NC142^2)*10^-2*各项系数!$F$40*10^-3*10^2)*各项系数!$J$4</f>
        <v>0</v>
      </c>
      <c r="JU142" s="102">
        <v>1</v>
      </c>
      <c r="JV142" s="189">
        <f t="shared" si="542"/>
        <v>0</v>
      </c>
      <c r="JW142" s="262">
        <f>JV142*各项系数!$E$40</f>
        <v>0</v>
      </c>
      <c r="JX142" s="282">
        <f>IF($DF142&lt;&gt;$JX$9,0,各项系数!$F$76/4*($NE142^2-$NC142^2)*10^-2*各项系数!$F$38*10^-3*10^2)*各项系数!$J$4</f>
        <v>0</v>
      </c>
      <c r="JY142" s="102">
        <v>1</v>
      </c>
      <c r="JZ142" s="189">
        <f t="shared" si="543"/>
        <v>0</v>
      </c>
      <c r="KA142" s="262">
        <f>JZ142*各项系数!$E$38</f>
        <v>0</v>
      </c>
      <c r="KB142" s="282">
        <f>IF($DF142&lt;&gt;$KB$9,0,各项系数!$F$76/4*($NE142^2-$NC142^2)*10^-2*各项系数!$F$41*10^-3*10^2)*各项系数!$J$4</f>
        <v>0</v>
      </c>
      <c r="KC142" s="102">
        <v>1</v>
      </c>
      <c r="KD142" s="189">
        <f t="shared" si="544"/>
        <v>0</v>
      </c>
      <c r="KE142" s="262">
        <f>KD142*各项系数!$E$41</f>
        <v>0</v>
      </c>
      <c r="KF142" s="189">
        <f t="shared" si="545"/>
        <v>7.0090157107154166E-3</v>
      </c>
      <c r="KG142" s="189">
        <f t="shared" si="546"/>
        <v>0.14018031421430832</v>
      </c>
      <c r="KH142" s="235">
        <f>各项系数!$F$76/4*($NG142^2-$NE142^2)*10^-2*各项系数!$F$44*10^-3*10^2*各项系数!$J$4*0.75*$U142</f>
        <v>1.7367531886959608</v>
      </c>
      <c r="KI142" s="102">
        <v>1</v>
      </c>
      <c r="KJ142" s="189">
        <f t="shared" si="547"/>
        <v>1.7367531886959608</v>
      </c>
      <c r="KK142" s="189">
        <f>ROUND(KJ142*各项系数!$E$43,GT142)</f>
        <v>10</v>
      </c>
      <c r="KL142" s="235">
        <f>各项系数!$F$76/4*($NF142^2-$NE142^2)*10^-2*各项系数!$F$46*10^-3*10^2*各项系数!$J$4*PI()/4*R142</f>
        <v>8.7280748183195478E-2</v>
      </c>
      <c r="KM142" s="102">
        <v>1</v>
      </c>
      <c r="KN142" s="189">
        <f t="shared" si="548"/>
        <v>8.7280748183195478E-2</v>
      </c>
      <c r="KO142" s="189">
        <f>KN142*各项系数!$E$46</f>
        <v>5.8914505023656947</v>
      </c>
      <c r="KP142" s="235">
        <f>各项系数!$F$76/4*($NH142^2-$NE142^2)*10^-2*(VLOOKUP($KP$9,各项系数!$D$1:$F$143,3,0))*10^-3*10^2*各项系数!$J$4</f>
        <v>0.92039723185440003</v>
      </c>
      <c r="KQ142" s="102">
        <v>1</v>
      </c>
      <c r="KR142" s="189">
        <f t="shared" si="657"/>
        <v>0.92039723185440003</v>
      </c>
      <c r="KS142" s="189">
        <f>KR142*(VLOOKUP($KP$9,各项系数!$D$1:$F$143,2,0))</f>
        <v>15.646752941524801</v>
      </c>
      <c r="KT142" s="235">
        <f>各项系数!$F$76/4*($NI142^2-$NF142^2)*10^-2*(VLOOKUP($KT$9,各项系数!$D$1:$F$143,3,0))*10^-3*10^2*各项系数!$J$4</f>
        <v>0.9226453681236797</v>
      </c>
      <c r="KU142" s="102">
        <v>1</v>
      </c>
      <c r="KV142" s="189">
        <f t="shared" si="658"/>
        <v>0.9226453681236797</v>
      </c>
      <c r="KW142" s="189">
        <f>KV142*(VLOOKUP($KT$9,各项系数!$D$1:$F$143,2,0))</f>
        <v>15.684971258102555</v>
      </c>
      <c r="KX142" s="189">
        <f>各项系数!$F$76/4*($NH142^2-$NE142^2)*10^-2*(VLOOKUP($KX$9,各项系数!$D$1:$F$143,3,0))*10^-3*10^2*各项系数!$J$4</f>
        <v>0.92039723185440003</v>
      </c>
      <c r="KY142" s="353">
        <v>1</v>
      </c>
      <c r="KZ142" s="189">
        <f t="shared" si="659"/>
        <v>0.92039723185440003</v>
      </c>
      <c r="LA142" s="189">
        <f>KZ142*(VLOOKUP($KX$9,各项系数!$D$1:$F$143,2,0))</f>
        <v>15.646752941524801</v>
      </c>
      <c r="LB142" s="189">
        <f>各项系数!$F$76/4*($NI142^2-$NF142^2)*10^-2*(VLOOKUP($LB$9,各项系数!$D$1:$F$143,3,0))*10^-3*10^2*各项系数!$J$4</f>
        <v>0.9226453681236797</v>
      </c>
      <c r="LC142" s="353">
        <v>1</v>
      </c>
      <c r="LD142" s="189">
        <f t="shared" si="660"/>
        <v>0.9226453681236797</v>
      </c>
      <c r="LE142" s="189">
        <f>LD142*(VLOOKUP($LB$9,各项系数!$D$1:$F$143,2,0))</f>
        <v>15.684971258102555</v>
      </c>
      <c r="LF142" s="235">
        <f>各项系数!$F$76/4*($NH142^2-$NE142^2)*10^-2*(VLOOKUP(AN142,各项系数!$D$1:$F$143,3,0))*10^-3*10^2*各项系数!$J$4</f>
        <v>0.9330923660868744</v>
      </c>
      <c r="LG142" s="102">
        <v>1</v>
      </c>
      <c r="LH142" s="189">
        <f t="shared" si="549"/>
        <v>0.9330923660868744</v>
      </c>
      <c r="LI142" s="189">
        <f>LH142*(VLOOKUP(AN142,各项系数!$D$1:$F$143,2,0))</f>
        <v>9.3309236608687449</v>
      </c>
      <c r="LJ142" s="235">
        <f>各项系数!$F$76/4*($NI142^2-$NF142^2)*10^-2*(VLOOKUP(AN142,各项系数!$D$1:$F$143,3,0))*10^-3*10^2*各项系数!$J$4</f>
        <v>0.93537151113228212</v>
      </c>
      <c r="LK142" s="102">
        <v>1</v>
      </c>
      <c r="LL142" s="189">
        <f t="shared" si="550"/>
        <v>0.93537151113228212</v>
      </c>
      <c r="LM142" s="189">
        <f>LL142*(VLOOKUP(AN142,各项系数!$D$1:$F$143,2,0))</f>
        <v>9.3537151113228205</v>
      </c>
      <c r="LN142" s="189">
        <f>各项系数!$F$76/4*($NH142^2-$NE142^2)*10^-2*(VLOOKUP($LN$9,各项系数!$D$1:$F$143,3,0))*10^-3*10^2*各项系数!$J$4</f>
        <v>0.9330923660868744</v>
      </c>
      <c r="LO142" s="353">
        <v>1</v>
      </c>
      <c r="LP142" s="189">
        <f t="shared" si="551"/>
        <v>0.9330923660868744</v>
      </c>
      <c r="LQ142" s="189">
        <f>LP142*(VLOOKUP($LN$9,各项系数!$D$1:$F$143,2,0))</f>
        <v>10.264016026955618</v>
      </c>
      <c r="LR142" s="189">
        <f>各项系数!$F$76/4*($NI142^2-$NF142^2)*10^-2*(VLOOKUP($LR$9,各项系数!$D$1:$F$143,3,0))*10^-3*10^2*各项系数!$J$4</f>
        <v>0.93537151113228212</v>
      </c>
      <c r="LS142" s="353">
        <v>1</v>
      </c>
      <c r="LT142" s="189">
        <f t="shared" si="552"/>
        <v>0.93537151113228212</v>
      </c>
      <c r="LU142" s="189">
        <f>LT142*(VLOOKUP($LR$9,各项系数!$D$1:$F$143,2,0))</f>
        <v>10.289086622455104</v>
      </c>
      <c r="LV142" s="227">
        <f t="shared" si="661"/>
        <v>1270.0116728600001</v>
      </c>
      <c r="LW142" s="227">
        <f t="shared" si="662"/>
        <v>917.76973629999998</v>
      </c>
      <c r="LX142" s="227">
        <f t="shared" si="663"/>
        <v>34.183924894873059</v>
      </c>
      <c r="LY142" s="227">
        <f t="shared" si="664"/>
        <v>352.24193656000011</v>
      </c>
      <c r="LZ142" s="374">
        <f t="shared" si="608"/>
        <v>1</v>
      </c>
      <c r="MA142" s="375">
        <f t="shared" si="609"/>
        <v>1270.0116728600001</v>
      </c>
      <c r="MB142" s="375">
        <f t="shared" si="665"/>
        <v>20.106150079999999</v>
      </c>
      <c r="MC142" s="227">
        <f t="shared" si="666"/>
        <v>169.60744652</v>
      </c>
      <c r="MD142" s="227">
        <f t="shared" si="667"/>
        <v>113.07163104999999</v>
      </c>
      <c r="ME142" s="227">
        <f t="shared" si="668"/>
        <v>11.998636257532116</v>
      </c>
      <c r="MF142" s="227">
        <f t="shared" si="669"/>
        <v>56.535815470000003</v>
      </c>
      <c r="MG142" s="374">
        <f t="shared" si="670"/>
        <v>1</v>
      </c>
      <c r="MH142" s="375">
        <f t="shared" si="610"/>
        <v>169.60744652</v>
      </c>
      <c r="MI142" s="375">
        <f t="shared" si="671"/>
        <v>14.695268217722949</v>
      </c>
      <c r="MJ142" s="189">
        <f t="shared" si="611"/>
        <v>20.106150079999999</v>
      </c>
      <c r="MK142" s="189">
        <f t="shared" si="672"/>
        <v>20.106150079999999</v>
      </c>
      <c r="ML142" s="189">
        <f t="shared" si="553"/>
        <v>14.69526821777778</v>
      </c>
      <c r="MM142" s="189">
        <f t="shared" si="612"/>
        <v>14.695268217722949</v>
      </c>
      <c r="MN142" s="189">
        <f t="shared" si="613"/>
        <v>23.506150079999998</v>
      </c>
      <c r="MO142" s="189">
        <f t="shared" si="673"/>
        <v>17.09526821772295</v>
      </c>
      <c r="MP142" s="189">
        <f t="shared" si="674"/>
        <v>60.004729009999998</v>
      </c>
      <c r="MQ142" s="189">
        <f t="shared" si="554"/>
        <v>60.004729009999998</v>
      </c>
      <c r="MR142" s="246">
        <f t="shared" si="675"/>
        <v>60.004729009999998</v>
      </c>
      <c r="MS142" s="380">
        <f t="shared" si="614"/>
        <v>60.18072901</v>
      </c>
      <c r="MT142" s="380">
        <f t="shared" si="615"/>
        <v>60.340729009999997</v>
      </c>
      <c r="MU142" s="380">
        <f t="shared" si="616"/>
        <v>61.68072901</v>
      </c>
      <c r="MV142" s="380">
        <f t="shared" si="617"/>
        <v>66.380729009999996</v>
      </c>
      <c r="MW142" s="380">
        <f t="shared" si="618"/>
        <v>66.540729009999993</v>
      </c>
      <c r="MX142" s="254">
        <f t="shared" si="619"/>
        <v>20.70615008</v>
      </c>
      <c r="MY142" s="254">
        <f t="shared" si="620"/>
        <v>15.295268217722949</v>
      </c>
      <c r="MZ142" s="189">
        <f t="shared" si="621"/>
        <v>24.106150079999999</v>
      </c>
      <c r="NA142" s="189">
        <f t="shared" si="622"/>
        <v>18.695268217722948</v>
      </c>
      <c r="NB142" s="189">
        <f t="shared" si="676"/>
        <v>62.164729010000002</v>
      </c>
      <c r="NC142" s="254">
        <f t="shared" si="555"/>
        <v>62.164729010000002</v>
      </c>
      <c r="ND142" s="246">
        <f t="shared" si="677"/>
        <v>62.164729010000002</v>
      </c>
      <c r="NE142" s="386">
        <f t="shared" si="678"/>
        <v>62.404729010000004</v>
      </c>
      <c r="NF142" s="380">
        <f t="shared" si="623"/>
        <v>62.564729010000001</v>
      </c>
      <c r="NG142" s="387">
        <f t="shared" si="624"/>
        <v>63.904729010000004</v>
      </c>
      <c r="NH142" s="254">
        <f t="shared" si="625"/>
        <v>68.60472901</v>
      </c>
      <c r="NI142" s="380">
        <f t="shared" si="626"/>
        <v>68.764729009999996</v>
      </c>
      <c r="NK142" s="388">
        <f t="shared" si="627"/>
        <v>11.84176637820616</v>
      </c>
      <c r="NL142" s="388">
        <f t="shared" si="628"/>
        <v>624.93352527557533</v>
      </c>
      <c r="NM142" s="388">
        <f t="shared" si="629"/>
        <v>11.84176637820616</v>
      </c>
      <c r="NN142" s="388">
        <f t="shared" si="630"/>
        <v>625.83493752553113</v>
      </c>
      <c r="NO142" s="388">
        <f t="shared" si="631"/>
        <v>15.656867699267965</v>
      </c>
      <c r="NP142" s="388">
        <f t="shared" si="632"/>
        <v>631.73819440452951</v>
      </c>
      <c r="NQ142" s="388">
        <f t="shared" si="633"/>
        <v>15.656867699267965</v>
      </c>
      <c r="NR142" s="388">
        <f t="shared" si="634"/>
        <v>632.67128677061635</v>
      </c>
      <c r="NS142" s="388">
        <f t="shared" si="635"/>
        <v>11.925940569202744</v>
      </c>
      <c r="NT142" s="388">
        <f t="shared" si="636"/>
        <v>11.925940569202744</v>
      </c>
      <c r="NU142" s="388">
        <f t="shared" si="637"/>
        <v>15.74414844745116</v>
      </c>
      <c r="NV142" s="388">
        <f t="shared" si="638"/>
        <v>15.74414844745116</v>
      </c>
      <c r="NW142">
        <f t="shared" si="639"/>
        <v>12.958828547648567</v>
      </c>
      <c r="NX142">
        <f>各项系数!$M$9*NK142</f>
        <v>3.5525299134618478</v>
      </c>
      <c r="NY142">
        <f t="shared" si="640"/>
        <v>11.925940569202746</v>
      </c>
    </row>
    <row r="143" spans="1:389" ht="15" hidden="1" customHeight="1">
      <c r="A143" s="69"/>
      <c r="B143" s="70"/>
      <c r="C143" s="69"/>
      <c r="D143" s="102" t="s">
        <v>425</v>
      </c>
      <c r="E143" s="61">
        <f t="shared" si="679"/>
        <v>72.137793840000001</v>
      </c>
      <c r="F143" s="68">
        <f>$F$31</f>
        <v>245.118138379664</v>
      </c>
      <c r="G143" s="58"/>
      <c r="H143" s="16"/>
      <c r="I143" s="145">
        <f>$F$28</f>
        <v>243.33587022849699</v>
      </c>
      <c r="J143" s="62"/>
      <c r="K143" s="16"/>
      <c r="L143" s="97" t="s">
        <v>467</v>
      </c>
      <c r="M143" s="103">
        <f t="shared" si="582"/>
        <v>1.8</v>
      </c>
      <c r="N143" s="103">
        <f t="shared" si="583"/>
        <v>1.4</v>
      </c>
      <c r="O143" s="53">
        <f t="shared" si="580"/>
        <v>0.08</v>
      </c>
      <c r="P143" s="99">
        <v>0.1</v>
      </c>
      <c r="Q143" s="133">
        <f t="shared" si="578"/>
        <v>0.1</v>
      </c>
      <c r="R143" s="70">
        <v>0.8</v>
      </c>
      <c r="S143" s="142" t="str">
        <f>各项系数!$D$43</f>
        <v>钢带</v>
      </c>
      <c r="T143" s="102">
        <v>0.5</v>
      </c>
      <c r="U143" s="102">
        <v>2</v>
      </c>
      <c r="V143" s="140"/>
      <c r="W143" s="141">
        <v>3.3</v>
      </c>
      <c r="X143" s="135">
        <f t="shared" si="579"/>
        <v>0.2</v>
      </c>
      <c r="Y143" s="135"/>
      <c r="Z143" s="168"/>
      <c r="AA143" s="153">
        <f>$AA$31</f>
        <v>1.02</v>
      </c>
      <c r="AB143" s="153">
        <f>PI()*EJ143*EJ143/4*EH143*(1-H143)*AA143*各项系数!$F$5*各项系数!$J$4*10^-7</f>
        <v>2.5971416022939482</v>
      </c>
      <c r="AC143" s="153">
        <f t="shared" si="573"/>
        <v>245.118138379664</v>
      </c>
      <c r="AD143" s="153">
        <f t="shared" si="584"/>
        <v>293.60996233065771</v>
      </c>
      <c r="AE143" s="153">
        <f>POWER(4*EU143/PI()/EG143/10^-7/EH143/(1-H143)/各项系数!$F$5/各项系数!$J$4,0.5)</f>
        <v>247.5571849047536</v>
      </c>
      <c r="AF143" s="69">
        <f>$AA$28</f>
        <v>1.0149999999999999</v>
      </c>
      <c r="AG143" s="69">
        <f>IF(EM143=0,0,PI()*ER143*ER143/4*EP143*(1-K143)*(1+AF143)*各项系数!$F$5*各项系数!$J$4*10^-7)</f>
        <v>2.4866994287650264</v>
      </c>
      <c r="AH143" s="69">
        <f t="shared" si="574"/>
        <v>243.33587022849699</v>
      </c>
      <c r="AI143" s="69">
        <f t="shared" si="641"/>
        <v>141.60853982537648</v>
      </c>
      <c r="AJ143" s="69">
        <f>IF(OR(EP143="",EP143=0),0,POWER(4*EW143/PI()/EO143/10^-7/EP143/(1-K143)/各项系数!$F$5/各项系数!$J$4,0.5))</f>
        <v>245.15409628631096</v>
      </c>
      <c r="AK143" s="69">
        <f t="shared" si="585"/>
        <v>11.641171828628149</v>
      </c>
      <c r="AL143" s="69">
        <f t="shared" si="575"/>
        <v>807.92756634050204</v>
      </c>
      <c r="AM143" s="188">
        <f t="shared" si="576"/>
        <v>300</v>
      </c>
      <c r="AN143" s="97" t="s">
        <v>486</v>
      </c>
      <c r="AO143" s="196">
        <f>AP143+各项系数!$M$9*$NK143</f>
        <v>792.08584935343333</v>
      </c>
      <c r="AP143" s="196">
        <f>AQ143*(1+$BI143+(VLOOKUP($AM143,$A$12:$B$323,2,0))+各项系数!$J$6+各项系数!$M$5)*(1+$E$2)</f>
        <v>787.68301464638716</v>
      </c>
      <c r="AQ143" s="197">
        <f>AR143+各项系数!$L$9*$NK143</f>
        <v>803.75817821059911</v>
      </c>
      <c r="AR143" s="197">
        <f>AS143*(1+$BJ143+各项系数!$J$5+各项系数!$L$5)</f>
        <v>799.35534350355294</v>
      </c>
      <c r="AS143" s="197">
        <f t="shared" si="642"/>
        <v>783.68170931720874</v>
      </c>
      <c r="AT143" s="196">
        <f>AU143+各项系数!$M$9*$NM143</f>
        <v>799.14842585043948</v>
      </c>
      <c r="AU143" s="196">
        <f>AV143*(1+$BI143+(VLOOKUP($AM143,$A$12:$B$323,2,0))+各项系数!$J$6+各项系数!$M$5)*(1+$E$2)</f>
        <v>794.74559114339331</v>
      </c>
      <c r="AV143" s="197">
        <f>AW143+各项系数!$L$9*$NM143</f>
        <v>810.96488892182992</v>
      </c>
      <c r="AW143" s="197">
        <f>AX143*(1+$BJ143+各项系数!$J$5+各项系数!$L$5)</f>
        <v>806.56205421478376</v>
      </c>
      <c r="AX143" s="197">
        <f t="shared" si="643"/>
        <v>790.74711197527813</v>
      </c>
      <c r="AY143" s="196">
        <f>AZ143+各项系数!$M$9*$NS143</f>
        <v>798.34892652308758</v>
      </c>
      <c r="AZ143" s="196">
        <f>BA143*(1+$BI143+(VLOOKUP($AM143,$A$12:$B$214,2,0))+各项系数!$J$6+各项系数!$M$5)*(1+$E$2)</f>
        <v>793.91859468083135</v>
      </c>
      <c r="BA143" s="197">
        <f>BB143+各项系数!$L$9*$NS143</f>
        <v>810.12101498044012</v>
      </c>
      <c r="BB143" s="197">
        <f>BC143*(1+$BJ143+各项系数!$J$5+各项系数!$L$5)</f>
        <v>805.69068313818389</v>
      </c>
      <c r="BC143" s="199">
        <f t="shared" si="644"/>
        <v>789.89282660606261</v>
      </c>
      <c r="BD143" s="196">
        <f>BE143+各项系数!$M$9*$NS143</f>
        <v>805.42791859904366</v>
      </c>
      <c r="BE143" s="196">
        <f>BF143*(1+$BI143+(VLOOKUP($AM143,$A$12:$B$214,2,0))+各项系数!$J$6+各项系数!$M$5)*(1+$E$2)</f>
        <v>800.99758675678743</v>
      </c>
      <c r="BF143" s="197">
        <f>BG143+各项系数!$L$9*$NS143</f>
        <v>817.34447628243618</v>
      </c>
      <c r="BG143" s="197">
        <f>BH143*(1+$BJ143+各项系数!$J$5+各项系数!$L$5)</f>
        <v>812.91414444017994</v>
      </c>
      <c r="BH143" s="199">
        <f t="shared" si="645"/>
        <v>796.97465141194107</v>
      </c>
      <c r="BI143" s="213"/>
      <c r="BJ143" s="208"/>
      <c r="BK143" s="53" t="s">
        <v>514</v>
      </c>
      <c r="BL143" s="196">
        <f>BM143+各项系数!$M$9*$NM143</f>
        <v>800.81957549582637</v>
      </c>
      <c r="BM143" s="196">
        <f>BN143*(1+$CF143+(VLOOKUP($AM143,$A$12:$B$323,2,0))+各项系数!$J$6+各项系数!$M$5)*(1+$E$2)</f>
        <v>796.4167407887802</v>
      </c>
      <c r="BN143" s="197">
        <f>BO143+各项系数!$L$9*$NM143</f>
        <v>812.67014366202068</v>
      </c>
      <c r="BO143" s="197">
        <f>BP143*(1+$CG143+各项系数!$J$5+各项系数!$L$5)</f>
        <v>808.26730895497451</v>
      </c>
      <c r="BP143" s="197">
        <f t="shared" si="646"/>
        <v>784.72554267473254</v>
      </c>
      <c r="BQ143" s="196">
        <f>BR143+各项系数!$M$9*$NM143</f>
        <v>806.89774754779717</v>
      </c>
      <c r="BR143" s="196">
        <f>BS143*(1+$CF143+(VLOOKUP($AM143,$A$12:$B$323,2,0))+各项系数!$J$6+各项系数!$M$5)*(1+$E$2)</f>
        <v>802.494912840751</v>
      </c>
      <c r="BS143" s="197">
        <f>BT143+各项系数!$L$9*$NM143</f>
        <v>818.87236004158262</v>
      </c>
      <c r="BT143" s="197">
        <f>BU143*(1+$CG143+各项系数!$J$5+各项系数!$L$5)</f>
        <v>814.46952533453646</v>
      </c>
      <c r="BU143" s="197">
        <f t="shared" si="647"/>
        <v>790.74711197527813</v>
      </c>
      <c r="BV143" s="196">
        <f>BW143+各项系数!$M$9*$NT143</f>
        <v>802.81234353740808</v>
      </c>
      <c r="BW143" s="196">
        <f>BX143*(1+$CF143+(VLOOKUP($AM143,$A$12:$B$214,2,0))+各项系数!$J$6+各项系数!$M$5)*(1+$E$2)</f>
        <v>798.38201169515185</v>
      </c>
      <c r="BX143" s="197">
        <f>BY143+各项系数!$L$9*$NT$12</f>
        <v>814.67552213791009</v>
      </c>
      <c r="BY143" s="197">
        <f>BZ143*(1+$CG143+各项系数!$J$5+各项系数!$L$5)</f>
        <v>814.66725873475514</v>
      </c>
      <c r="BZ143" s="199">
        <f t="shared" si="586"/>
        <v>790.9390861502477</v>
      </c>
      <c r="CA143" s="196">
        <f>CB143+各项系数!$M$9*$NT143</f>
        <v>808.90464311256142</v>
      </c>
      <c r="CB143" s="196">
        <f>CC143*(1+$CF143+(VLOOKUP($AM143,$A$12:$B$214,2,0))+各项系数!$J$6+各项系数!$M$5)*(1+$E$2)</f>
        <v>804.47431127030518</v>
      </c>
      <c r="CC143" s="197">
        <f>CD143+各项系数!$L$9*$NT$12</f>
        <v>820.89215435745427</v>
      </c>
      <c r="CD143" s="197">
        <f>CE143*(1+$CG143+各项系数!$J$5+各项系数!$L$5)</f>
        <v>820.88389095429932</v>
      </c>
      <c r="CE143" s="199">
        <f t="shared" si="648"/>
        <v>796.97465141194107</v>
      </c>
      <c r="CF143" s="213">
        <f t="shared" si="514"/>
        <v>0</v>
      </c>
      <c r="CG143" s="213">
        <f t="shared" si="587"/>
        <v>0.01</v>
      </c>
      <c r="CH143" s="102"/>
      <c r="CI143" s="196">
        <f>CJ143+各项系数!$M$9*$NO143</f>
        <v>806.80203437961495</v>
      </c>
      <c r="CJ143" s="196">
        <f>CK143*(1+$DC143+(VLOOKUP($AM143,$A$12:$B$323,2,0))+各项系数!$J$6+各项系数!$M$5)*(1+$E$2)+各项系数!$M$9*$NK143</f>
        <v>801.07210575158456</v>
      </c>
      <c r="CK143" s="197">
        <f>CL143+各项系数!$L$9*$NO143</f>
        <v>812.92782759646775</v>
      </c>
      <c r="CL143" s="197">
        <f>CM143*(1+$DD143+各项系数!$J$5+各项系数!$L$5)</f>
        <v>807.19789896843736</v>
      </c>
      <c r="CM143" s="197">
        <f t="shared" si="588"/>
        <v>791.3704891847425</v>
      </c>
      <c r="CN143" s="196">
        <f>CO143+各项系数!$M$9*$NO143</f>
        <v>813.54387603594648</v>
      </c>
      <c r="CO143" s="196">
        <f>CP143*(1+$DC143+(VLOOKUP($AM143,$A$12:$B$323,2,0))+各项系数!$J$6+各项系数!$M$5)*(1+$E$2)+各项系数!$M$9*$NK143</f>
        <v>807.81394740791609</v>
      </c>
      <c r="CP143" s="197">
        <f>CQ143+各项系数!$L$9*$NO143</f>
        <v>819.80725785803054</v>
      </c>
      <c r="CQ143" s="197">
        <f>CR143*(1+$DD143+各项系数!$J$5+各项系数!$L$5)</f>
        <v>814.07732923000015</v>
      </c>
      <c r="CR143" s="197">
        <f t="shared" si="589"/>
        <v>798.11502865686282</v>
      </c>
      <c r="CS143" s="196">
        <f>CT143+各项系数!$M$9*$NU143</f>
        <v>808.86346241924286</v>
      </c>
      <c r="CT143" s="196">
        <f t="shared" si="590"/>
        <v>803.10514994624441</v>
      </c>
      <c r="CU143" s="197">
        <f>CV143+各项系数!$L$9*$NU143</f>
        <v>819.49505096555549</v>
      </c>
      <c r="CV143" s="197">
        <f>CW143*(1+$DD143+各项系数!$J$5+各项系数!$L$5)</f>
        <v>813.73673849255704</v>
      </c>
      <c r="CW143" s="199">
        <f t="shared" si="591"/>
        <v>797.78111616917352</v>
      </c>
      <c r="CX143" s="196">
        <f>CY143+各项系数!$M$9*$NU143</f>
        <v>816.15955052681193</v>
      </c>
      <c r="CY143" s="196">
        <f t="shared" si="592"/>
        <v>810.40123805381347</v>
      </c>
      <c r="CZ143" s="197">
        <f>DA143+各项系数!$L$9*$NU143</f>
        <v>826.94003883042194</v>
      </c>
      <c r="DA143" s="197">
        <f>DB143*(1+$DD143+各项系数!$J$5+各项系数!$L$5)</f>
        <v>821.18172635742349</v>
      </c>
      <c r="DB143" s="199">
        <f t="shared" si="593"/>
        <v>805.08012387982694</v>
      </c>
      <c r="DC143" s="213">
        <f t="shared" si="571"/>
        <v>0</v>
      </c>
      <c r="DD143" s="213">
        <f t="shared" si="594"/>
        <v>0</v>
      </c>
      <c r="DE143" s="53" t="s">
        <v>498</v>
      </c>
      <c r="DF143" s="53" t="s">
        <v>513</v>
      </c>
      <c r="DG143" s="196">
        <f>DH143+各项系数!$M$9*$NQ143</f>
        <v>815.64349849469954</v>
      </c>
      <c r="DH143" s="196">
        <f>DI143*(1+$EA143+(VLOOKUP($AM143,$A$12:$B$323,2,0))+各项系数!$J$6+各项系数!$M$5)*(1+$E$2)+各项系数!$M$9*$NK143</f>
        <v>809.91356986666915</v>
      </c>
      <c r="DI143" s="197">
        <f>DJ143+各项系数!$L$9*$NQ143</f>
        <v>821.9497297547174</v>
      </c>
      <c r="DJ143" s="197">
        <f>DK143*(1+$EB143+各项系数!$J$5+各项系数!$L$5)</f>
        <v>816.219801126687</v>
      </c>
      <c r="DK143" s="197">
        <f t="shared" si="595"/>
        <v>792.4464088608612</v>
      </c>
      <c r="DL143" s="196">
        <f>DM143+各项系数!$M$9*$NQ143</f>
        <v>821.90850704076058</v>
      </c>
      <c r="DM143" s="196">
        <f>DN143*(1+$EA143+(VLOOKUP($AM143,$A$12:$B$323,2,0))+各项系数!$J$6+各项系数!$M$5)*(1+$E$2)+各项系数!$M$9*$NK143</f>
        <v>816.17857841273019</v>
      </c>
      <c r="DN143" s="197">
        <f>DO143+各项系数!$L$9*$NQ143</f>
        <v>828.34259561804492</v>
      </c>
      <c r="DO143" s="197">
        <f>DP143*(1+$EB143+各项系数!$J$5+各项系数!$L$5)</f>
        <v>822.61266699001453</v>
      </c>
      <c r="DP143" s="197">
        <f t="shared" si="596"/>
        <v>798.65307474758686</v>
      </c>
      <c r="DQ143" s="196">
        <f>DR143+各项系数!$M$9*$NV143</f>
        <v>817.77019967159072</v>
      </c>
      <c r="DR143" s="196">
        <f t="shared" si="597"/>
        <v>812.01188719859226</v>
      </c>
      <c r="DS143" s="197">
        <f>DT143+各项系数!$L$9*$NV143</f>
        <v>828.58355836591045</v>
      </c>
      <c r="DT143" s="197">
        <f>DU143*(1+$EB143+各项系数!$J$5+各项系数!$L$5)</f>
        <v>822.82524589291199</v>
      </c>
      <c r="DU143" s="199">
        <f t="shared" si="598"/>
        <v>798.8594620319534</v>
      </c>
      <c r="DV143" s="196">
        <f>DW143+各项系数!$M$9*$NV143</f>
        <v>816.25571439782038</v>
      </c>
      <c r="DW143" s="196">
        <f t="shared" si="599"/>
        <v>810.49740192482193</v>
      </c>
      <c r="DX143" s="197">
        <f>DY143+各项系数!$L$9*$NV143</f>
        <v>827.0381652294102</v>
      </c>
      <c r="DY143" s="197">
        <f>DZ143*(1+$EB143+各项系数!$J$5+各项系数!$L$5)</f>
        <v>821.27985275641174</v>
      </c>
      <c r="DZ143" s="199">
        <f t="shared" si="600"/>
        <v>797.35908034603085</v>
      </c>
      <c r="EA143" s="213">
        <f t="shared" si="581"/>
        <v>0</v>
      </c>
      <c r="EB143" s="213">
        <f t="shared" si="601"/>
        <v>0.01</v>
      </c>
      <c r="EC143" s="235" t="str">
        <f t="shared" si="649"/>
        <v>4+1</v>
      </c>
      <c r="ED143" s="235" t="str">
        <f t="shared" si="680"/>
        <v>4*300</v>
      </c>
      <c r="EE143" s="189">
        <f t="shared" si="495"/>
        <v>300</v>
      </c>
      <c r="EF143" s="189" t="str">
        <f>LOOKUP(EH143,{1,7,10,14,19,24,30,37,48,61},{1,"1+6","2+8","4+10","1+6+12","2+8+14","4+10+16","1+6+12+18","3+9+15+21","1+6+12+18+24"})</f>
        <v>1+6+12+18+24</v>
      </c>
      <c r="EG143" s="188">
        <f t="shared" si="602"/>
        <v>4</v>
      </c>
      <c r="EH143" s="197">
        <f>VLOOKUP(EE143,各项系数!$B$87:$C$124,2,0)</f>
        <v>61</v>
      </c>
      <c r="EI143" s="188">
        <f>IF(EH143=0,0,VLOOKUP(EH143,各项系数!$D$142:$E$195,2,0))*1</f>
        <v>9</v>
      </c>
      <c r="EJ143" s="238">
        <f t="shared" si="650"/>
        <v>245.118138379664</v>
      </c>
      <c r="EK143" s="189" t="str">
        <f t="shared" si="681"/>
        <v>1*150</v>
      </c>
      <c r="EL143" s="189" t="str">
        <f t="shared" si="603"/>
        <v>150</v>
      </c>
      <c r="EM143" s="189">
        <f t="shared" si="682"/>
        <v>150</v>
      </c>
      <c r="EN143" s="189" t="str">
        <f>IF(EP143=0,0,LOOKUP(EP143,{1,7,10,14,19,24,30,37,48,61},{1,"1+6","2+8","4+10","1+6+12","2+8+14","4+10+16","1+6+12+18","3+9+15+21","1+6+12+18+24"}))</f>
        <v>4+10+16</v>
      </c>
      <c r="EO143" s="189" t="str">
        <f t="shared" si="683"/>
        <v>1</v>
      </c>
      <c r="EP143" s="189">
        <f>IF(EM143=0,0,IF(EM143&lt;10,1,IF(AND(EM143&gt;=10,EM143&lt;=35),7,LOOKUP(EM143,{50,70,95,120,150,185,240,300},{10,14,19,24,30,37,48,61})*1)))</f>
        <v>30</v>
      </c>
      <c r="EQ143" s="189">
        <f>IF(EP143=0,0,VLOOKUP(EP143,各项系数!$D$142:$E$195,2,0))*1</f>
        <v>6.41</v>
      </c>
      <c r="ER143" s="189">
        <f t="shared" si="577"/>
        <v>243.33587022849699</v>
      </c>
      <c r="ES143" s="235">
        <f t="shared" si="684"/>
        <v>5</v>
      </c>
      <c r="ET143" s="189">
        <f>VLOOKUP(ES143,各项系数!$D$142:$E$195,2,0)*1</f>
        <v>2.7</v>
      </c>
      <c r="EU143" s="243">
        <f>((各项系数!$F$76/4*$EJ143^2*$EG143*$EH143*1*10^-7)*(1-$H143)*AA143)*(VLOOKUP($EY$9,各项系数!$D$4:$F$143,3,0))*各项系数!$J$4</f>
        <v>10.388566409175793</v>
      </c>
      <c r="EV143" s="244">
        <f>EU143*(VLOOKUP($EY$9,各项系数!$D$4:$F$143,2,0))</f>
        <v>680.45109980101438</v>
      </c>
      <c r="EW143" s="252">
        <f>(IF($EO143=0,0,(各项系数!$F$76/4*$ER143^2*$EO143*$EP143*1*10^-7))*(1-$K143)*$AF143)*(VLOOKUP($EY$9,各项系数!$D$4:$F$143,3,0))*各项系数!$J$4</f>
        <v>1.2526054194523586</v>
      </c>
      <c r="EX143" s="253">
        <f>EW143*(VLOOKUP($EY$9,各项系数!$D$4:$F$143,2,0))</f>
        <v>82.045654974129491</v>
      </c>
      <c r="EY143" s="189">
        <f>((各项系数!$F$76/4*$EJ143^2*$EG143*$EH143*1*10^-7)*(1-$H143)*AA143+IF($EO143=0,0,(各项系数!$F$76/4*$ER143^2*$EO143*$EP143*1*10^-7))*(1-$K143)*$AF143)*(VLOOKUP($EY$9,各项系数!$D$4:$F$143,3,0))*各项系数!$J$4</f>
        <v>11.641171828628149</v>
      </c>
      <c r="EZ143" s="102">
        <v>1</v>
      </c>
      <c r="FA143" s="189">
        <f t="shared" si="515"/>
        <v>11.641171828628149</v>
      </c>
      <c r="FB143" s="254">
        <f>FA143*(VLOOKUP($EY$9,各项系数!$D$4:$F$143,2,0))</f>
        <v>762.49675477514381</v>
      </c>
      <c r="FC143" s="255"/>
      <c r="FD143" s="235">
        <f>各项系数!$F$76/4*($MN143^2-MK143^2)*10^-2*(VLOOKUP(L143,各项系数!$D$1:$F$143,3,0))*10^-3*10^2*$EG143*各项系数!$J$4</f>
        <v>0.59071783781795473</v>
      </c>
      <c r="FE143" s="262">
        <f>FD143*VLOOKUP(L143,各项系数!$D$1:$F$143,2,0)</f>
        <v>6.025321945743138</v>
      </c>
      <c r="FF143" s="188">
        <f>各项系数!$F$76/4*($MO143^2-ML143^2)*10^-2*(VLOOKUP(L143,各项系数!$D$1:$F$143,3,0))*10^-3*10^2*$EO143*各项系数!$J$4</f>
        <v>8.1825211659407343E-2</v>
      </c>
      <c r="FG143" s="262">
        <f>FF143*VLOOKUP(L143,各项系数!$D$1:$F$143,2,0)</f>
        <v>0.83461715892595489</v>
      </c>
      <c r="FH143" s="235">
        <f t="shared" si="651"/>
        <v>0.6725430494773621</v>
      </c>
      <c r="FI143" s="102">
        <v>1</v>
      </c>
      <c r="FJ143" s="189">
        <f t="shared" si="516"/>
        <v>0.6725430494773621</v>
      </c>
      <c r="FK143" s="262">
        <f>FJ143*VLOOKUP(L143,各项系数!$D$1:$F$143,2,0)</f>
        <v>6.8599391046690927</v>
      </c>
      <c r="FL143" s="235"/>
      <c r="FM143" s="102"/>
      <c r="FN143" s="189"/>
      <c r="FO143" s="262"/>
      <c r="FP143" s="282">
        <f t="shared" si="517"/>
        <v>0.6725430494773621</v>
      </c>
      <c r="FQ143" s="282">
        <f t="shared" si="518"/>
        <v>6.8599391046690927</v>
      </c>
      <c r="FR143" s="283">
        <f>各项系数!$F$76/4*($MQ143^2-$MN143^2*$EG143-$MO143^2*$EO143)*10^-2</f>
        <v>10.208697587944215</v>
      </c>
      <c r="FS143" s="284">
        <f t="shared" si="652"/>
        <v>1</v>
      </c>
      <c r="FT143" s="285">
        <f t="shared" si="604"/>
        <v>10.208697587944215</v>
      </c>
      <c r="FU143" s="302">
        <f>$FT143*(VLOOKUP($FT$9,各项系数!$D$1:$F$143,3,0))*10^-3*10^2*各项系数!$J$55</f>
        <v>1.2189184920005394</v>
      </c>
      <c r="FV143" s="303">
        <v>1</v>
      </c>
      <c r="FW143" s="304">
        <f t="shared" si="519"/>
        <v>1.2189184920005394</v>
      </c>
      <c r="FX143" s="285">
        <f>FW143*(VLOOKUP($FT$9,各项系数!$D$1:$F$143,2,0))</f>
        <v>3.6567554760016181</v>
      </c>
      <c r="FY143" s="302">
        <f>IF($BK143&lt;&gt;$FY$9,0,各项系数!$F$76/4*($MS143^2-$MQ143^2)*10^-2*(VLOOKUP($FY$9,各项系数!$D$1:$F$143,3,0))*10^-3*10^2)*各项系数!$J$4</f>
        <v>0</v>
      </c>
      <c r="FZ143" s="303">
        <v>1</v>
      </c>
      <c r="GA143" s="304">
        <f t="shared" si="520"/>
        <v>0</v>
      </c>
      <c r="GB143" s="285">
        <f>GA143*(VLOOKUP($FY$9,各项系数!$D$1:$F$143,2,0))</f>
        <v>0</v>
      </c>
      <c r="GC143" s="302">
        <f>IF($BK143&lt;&gt;$GC$9,0,各项系数!$F$76/4*($MS143^2-$MQ143^2)*10^-2*(VLOOKUP($GC$9,各项系数!$D$1:$F$143,3,0))*10^-3*10^2)*各项系数!$J$4</f>
        <v>1.7823750864805036E-2</v>
      </c>
      <c r="GD143" s="303">
        <v>1</v>
      </c>
      <c r="GE143" s="304">
        <f t="shared" si="521"/>
        <v>1.7823750864805036E-2</v>
      </c>
      <c r="GF143" s="285">
        <f>GE143*(VLOOKUP($GC$9,各项系数!$D$1:$F$143,2,0))</f>
        <v>0.22992638615598496</v>
      </c>
      <c r="GG143" s="302">
        <f>IF($BK143&lt;&gt;$GG$9,0,各项系数!$F$76/4*($MS143^2-$MQ143^2)*10^-2*(VLOOKUP($GG$9,各项系数!$D$1:$F$143,3,0))*10^-3*10^2)*各项系数!$J$4</f>
        <v>0</v>
      </c>
      <c r="GH143" s="303">
        <v>1</v>
      </c>
      <c r="GI143" s="304">
        <f t="shared" si="522"/>
        <v>0</v>
      </c>
      <c r="GJ143" s="285">
        <f>GI143*(VLOOKUP($GG$9,各项系数!$D$1:$F$143,2,0))</f>
        <v>0</v>
      </c>
      <c r="GK143" s="302">
        <f>IF($BK143&lt;&gt;$GK$9,0,各项系数!$F$76/4*($MS143^2-$MQ143^2)*10^-2*(VLOOKUP($GK$9,各项系数!$D$1:$F$143,3,0))*10^-3*10^2)*各项系数!$J$4</f>
        <v>0</v>
      </c>
      <c r="GL143" s="303">
        <v>1</v>
      </c>
      <c r="GM143" s="304">
        <f t="shared" si="523"/>
        <v>0</v>
      </c>
      <c r="GN143" s="285">
        <f>GM143*(VLOOKUP($GK$9,各项系数!$D$1:$F$143,2,0))</f>
        <v>0</v>
      </c>
      <c r="GO143" s="304">
        <f t="shared" si="524"/>
        <v>1.7823750864805036E-2</v>
      </c>
      <c r="GP143" s="304">
        <f t="shared" si="525"/>
        <v>0.22992638615598496</v>
      </c>
      <c r="GQ143" s="315">
        <f>各项系数!$F$76/4*($MU143^2-$MS143^2)*10^-2*(VLOOKUP($S143,各项系数!$D$1:$F$143,3,0))*10^-3*10^2*各项系数!$J$4</f>
        <v>1.2152749195288455</v>
      </c>
      <c r="GR143" s="303">
        <v>1</v>
      </c>
      <c r="GS143" s="304">
        <f t="shared" si="526"/>
        <v>1.2152749195288455</v>
      </c>
      <c r="GT143" s="304">
        <f t="shared" si="457"/>
        <v>0</v>
      </c>
      <c r="GU143" s="304">
        <f>ROUND($GS143*(VLOOKUP($S143,各项系数!$D$1:$F$143,2,0))+$E$3*GS143,GT143)</f>
        <v>7</v>
      </c>
      <c r="GV143" s="315">
        <f>各项系数!$F$76/4*($MT143^2-$MS143^2)*10^-2*(VLOOKUP($GV$9,各项系数!$D$1:$F$143,3,0))*10^-3*10^2*各项系数!$J$4*PI()/4*R143</f>
        <v>9.1657117366539712E-2</v>
      </c>
      <c r="GW143" s="303">
        <v>1</v>
      </c>
      <c r="GX143" s="304">
        <f t="shared" si="527"/>
        <v>9.1657117366539712E-2</v>
      </c>
      <c r="GY143" s="304">
        <f>$GX143*(VLOOKUP($GV$9,各项系数!$D$1:$F$143,2,0))</f>
        <v>6.1868554222414307</v>
      </c>
      <c r="GZ143" s="315">
        <f>各项系数!$F$76/4*($MV143^2-$MS143^2)*10^-2*(VLOOKUP($GZ$9,各项系数!$D$1:$F$143,3,0))*10^-3*10^2*各项系数!$J$4</f>
        <v>1.0296315431357388</v>
      </c>
      <c r="HA143" s="303">
        <v>1</v>
      </c>
      <c r="HB143" s="304">
        <f t="shared" si="653"/>
        <v>1.0296315431357388</v>
      </c>
      <c r="HC143" s="304">
        <f>HB143*(VLOOKUP($GZ$9,各项系数!$D$1:$F$143,2,0))</f>
        <v>17.50373623330756</v>
      </c>
      <c r="HD143" s="315">
        <f>各项系数!$F$76/4*($MW143^2-$MT143^2)*10^-2*(VLOOKUP($HD$9,各项系数!$D$1:$F$143,3,0))*10^-3*10^2*各项系数!$J$4</f>
        <v>1.032024720454648</v>
      </c>
      <c r="HE143" s="303">
        <v>1</v>
      </c>
      <c r="HF143" s="304">
        <f t="shared" si="654"/>
        <v>1.032024720454648</v>
      </c>
      <c r="HG143" s="304">
        <f>HF143*(VLOOKUP($HD$9,各项系数!$D$1:$F$143,2,0))</f>
        <v>17.544420247729015</v>
      </c>
      <c r="HH143" s="315">
        <f>各项系数!$F$76/4*($MV143^2-$MS143^2)*10^-2*(VLOOKUP($HH$9,各项系数!$D$1:$F$143,3,0))*10^-3*10^2*各项系数!$J$4</f>
        <v>1.0296315431357388</v>
      </c>
      <c r="HI143" s="322">
        <v>1</v>
      </c>
      <c r="HJ143" s="304">
        <f t="shared" si="655"/>
        <v>1.0296315431357388</v>
      </c>
      <c r="HK143" s="304">
        <f>HJ143*(VLOOKUP($HH$9,各项系数!$D$1:$F$143,2,0))</f>
        <v>17.50373623330756</v>
      </c>
      <c r="HL143" s="315">
        <f>各项系数!$F$76/4*($MW143^2-$MT143^2)*10^-2*(VLOOKUP($HL$9,各项系数!$D$1:$F$143,3,0))*10^-3*10^2*各项系数!$J$4</f>
        <v>1.032024720454648</v>
      </c>
      <c r="HM143" s="322">
        <v>1</v>
      </c>
      <c r="HN143" s="304">
        <f t="shared" si="605"/>
        <v>1.032024720454648</v>
      </c>
      <c r="HO143" s="304">
        <f>HN143*(VLOOKUP($HL$9,各项系数!$D$1:$F$143,2,0))</f>
        <v>17.544420247729015</v>
      </c>
      <c r="HP143" s="315">
        <f>各项系数!$F$76/4*($MV143^2-$MS143^2)*10^-2*(VLOOKUP(AN143,各项系数!$D$1:$F$143,3,0))*10^-3*10^2*各项系数!$J$4</f>
        <v>1.0438333575238177</v>
      </c>
      <c r="HQ143" s="303">
        <v>1</v>
      </c>
      <c r="HR143" s="304">
        <f t="shared" si="528"/>
        <v>1.0438333575238177</v>
      </c>
      <c r="HS143" s="304">
        <f>HR143*(VLOOKUP(AN143,各项系数!$D$1:$F$143,2,0))</f>
        <v>10.438333575238177</v>
      </c>
      <c r="HT143" s="315">
        <f>各项系数!$F$76/4*($MW143^2-$MT143^2)*10^-2*(VLOOKUP(AN143,各项系数!$D$1:$F$143,3,0))*10^-3*10^2*各项系数!$J$4</f>
        <v>1.0462595441850571</v>
      </c>
      <c r="HU143" s="303">
        <v>1</v>
      </c>
      <c r="HV143" s="304">
        <f t="shared" si="529"/>
        <v>1.0462595441850571</v>
      </c>
      <c r="HW143" s="304">
        <f>HV143*(VLOOKUP(AN143,各项系数!$D$1:$F$143,2,0))</f>
        <v>10.462595441850571</v>
      </c>
      <c r="HX143" s="315">
        <f>各项系数!$F$76/4*($MV143^2-$MS143^2)*10^-2*(VLOOKUP($HX$9,各项系数!$D$1:$F$143,3,0))*10^-3*10^2*各项系数!$J$4</f>
        <v>1.0438333575238177</v>
      </c>
      <c r="HY143" s="322">
        <v>1</v>
      </c>
      <c r="HZ143" s="304">
        <f t="shared" si="530"/>
        <v>1.0438333575238177</v>
      </c>
      <c r="IA143" s="304">
        <f>HZ143*(VLOOKUP($HX$9,各项系数!$D$1:$F$143,2,0))</f>
        <v>11.482166932761995</v>
      </c>
      <c r="IB143" s="315">
        <f>各项系数!$F$76/4*($MW143^2-$MT143^2)*10^-2*(VLOOKUP($IB$9,各项系数!$D$1:$F$143,3,0))*10^-3*10^2*各项系数!$J$4</f>
        <v>1.0462595441850571</v>
      </c>
      <c r="IC143" s="322">
        <v>1</v>
      </c>
      <c r="ID143" s="304">
        <f t="shared" si="531"/>
        <v>1.0462595441850571</v>
      </c>
      <c r="IE143" s="304">
        <f>ID143*(VLOOKUP($IB$9,各项系数!$D$1:$F$143,2,0))</f>
        <v>11.508854986035628</v>
      </c>
      <c r="IF143" s="328"/>
      <c r="IG143" s="315">
        <f t="shared" si="656"/>
        <v>0.14817681690832832</v>
      </c>
      <c r="IH143" s="303">
        <v>1</v>
      </c>
      <c r="II143" s="304">
        <f t="shared" si="532"/>
        <v>0.14817681690832832</v>
      </c>
      <c r="IJ143" s="304">
        <f>II143*(VLOOKUP($IG$8,各项系数!$D$1:$F$143,2,0))</f>
        <v>3.7044204227082078</v>
      </c>
      <c r="IK143" s="315">
        <f>(各项系数!$F$76/4*($MX143^2-$MK143^2)*$EG143)*10^-2*(VLOOKUP($IG$8,各项系数!$D$1:$F$143,3,0))*10^-3*10^2*各项系数!$J$4</f>
        <v>0.12581416538566612</v>
      </c>
      <c r="IL143" s="303">
        <f>IK143*(VLOOKUP($IG$8,各项系数!$D$1:$F$143,2,0))</f>
        <v>3.1453541346416527</v>
      </c>
      <c r="IM143" s="304">
        <f>(各项系数!$F$76/4*(($MM143+3*$X143)^2-MM143^2)*$EO143)*10^-2*(VLOOKUP($IG$8,各项系数!$D$1:$F$143,3,0))*10^-3*10^2*各项系数!$J$4</f>
        <v>2.2362651522662192E-2</v>
      </c>
      <c r="IN143" s="303">
        <f>IM143*(VLOOKUP($IG$8,各项系数!$D$1:$F$143,2,0))</f>
        <v>0.55906628806655478</v>
      </c>
      <c r="IO143" s="315">
        <f>各项系数!$F$76/4*($MZ143^2-$MX143^2)*10^-2*(VLOOKUP(L143,各项系数!$D$1:$F$143,3,0))*10^-3*10^2*$ES143*各项系数!$J$4</f>
        <v>0.7569650523329553</v>
      </c>
      <c r="IP143" s="303">
        <v>1</v>
      </c>
      <c r="IQ143" s="304">
        <f t="shared" si="533"/>
        <v>0.7569650523329553</v>
      </c>
      <c r="IR143" s="285">
        <f>IQ143*(VLOOKUP(L143,各项系数!$D$1:$F$143,2,0))</f>
        <v>7.7210435337961432</v>
      </c>
      <c r="IS143" s="315">
        <f>IF($L143&lt;&gt;$IS$9,0,各项系数!$F$76/4*($MZ143^2-$MX143^2)*10^-2*各项系数!$F$12*10^-3*10^2)*$ES143*各项系数!$J$4</f>
        <v>0</v>
      </c>
      <c r="IT143" s="303">
        <v>1</v>
      </c>
      <c r="IU143" s="304">
        <f t="shared" si="534"/>
        <v>0</v>
      </c>
      <c r="IV143" s="285">
        <f>IU143*各项系数!$E$12</f>
        <v>0</v>
      </c>
      <c r="IW143" s="302">
        <f t="shared" si="535"/>
        <v>0.7569650523329553</v>
      </c>
      <c r="IX143" s="302">
        <f t="shared" si="536"/>
        <v>7.7210435337961432</v>
      </c>
      <c r="IY143" s="339">
        <f>各项系数!$F$76/4*($NB143^2-$MZ143^2*$EG143-$NA143^2*$EO143)*10^-2</f>
        <v>10.94988214119198</v>
      </c>
      <c r="IZ143" s="284">
        <f t="shared" si="487"/>
        <v>1</v>
      </c>
      <c r="JA143" s="285">
        <f t="shared" si="606"/>
        <v>10.94988214119198</v>
      </c>
      <c r="JB143" s="282">
        <f>IF($DE143&lt;&gt;$JB$9,0,$JA143*各项系数!$F$32*10^-3*10^2)*各项系数!$J$4</f>
        <v>0</v>
      </c>
      <c r="JC143" s="102">
        <v>1</v>
      </c>
      <c r="JD143" s="189">
        <f t="shared" si="537"/>
        <v>0</v>
      </c>
      <c r="JE143" s="262">
        <f>JD143*各项系数!$E$32</f>
        <v>0</v>
      </c>
      <c r="JF143" s="282">
        <f>IF($DE143&lt;&gt;$JF$9,0,$JA143*VLOOKUP($JF$9,各项系数!$D$4:$F$540,2,0)*10^-3*10^2)*各项系数!$J$4</f>
        <v>5.4475663652430102</v>
      </c>
      <c r="JG143" s="102">
        <v>1</v>
      </c>
      <c r="JH143" s="189">
        <f t="shared" si="607"/>
        <v>5.4475663652430102</v>
      </c>
      <c r="JI143" s="262">
        <f>JH143*VLOOKUP($JF$9,各项系数!$D$4:$F$540,3,0)</f>
        <v>6.5370796382916119</v>
      </c>
      <c r="JJ143" s="282">
        <f t="shared" si="538"/>
        <v>5.4475663652430102</v>
      </c>
      <c r="JK143" s="189">
        <f t="shared" si="539"/>
        <v>6.5370796382916119</v>
      </c>
      <c r="JL143" s="282">
        <f>IF($DF143&lt;&gt;$JL$9,0,各项系数!$F$76/4*($NE143^2-$NC143^2)*10^-2*各项系数!$F$39*10^-3*10^2)*各项系数!$J$4</f>
        <v>7.5997026807767655E-3</v>
      </c>
      <c r="JM143" s="102">
        <v>1</v>
      </c>
      <c r="JN143" s="189">
        <f t="shared" si="540"/>
        <v>7.5997026807767655E-3</v>
      </c>
      <c r="JO143" s="262">
        <f>JN143*各项系数!$E$39</f>
        <v>0.15199405361553531</v>
      </c>
      <c r="JP143" s="282">
        <f>IF($DF143&lt;&gt;$JP$9,0,各项系数!$F$76/4*($NE143^2-$NC143^2)*10^-2*各项系数!$F$36*10^-3*10^2)*各项系数!$J$4</f>
        <v>0</v>
      </c>
      <c r="JQ143" s="102">
        <v>1</v>
      </c>
      <c r="JR143" s="189">
        <f t="shared" si="541"/>
        <v>0</v>
      </c>
      <c r="JS143" s="262">
        <f>JR143*各项系数!$E$36</f>
        <v>0</v>
      </c>
      <c r="JT143" s="282">
        <f>IF($DF143&lt;&gt;$JT$9,0,各项系数!$F$76/4*($NE143^2-$NC143^2)*10^-2*各项系数!$F$40*10^-3*10^2)*各项系数!$J$4</f>
        <v>0</v>
      </c>
      <c r="JU143" s="102">
        <v>1</v>
      </c>
      <c r="JV143" s="189">
        <f t="shared" si="542"/>
        <v>0</v>
      </c>
      <c r="JW143" s="262">
        <f>JV143*各项系数!$E$40</f>
        <v>0</v>
      </c>
      <c r="JX143" s="282">
        <f>IF($DF143&lt;&gt;$JX$9,0,各项系数!$F$76/4*($NE143^2-$NC143^2)*10^-2*各项系数!$F$38*10^-3*10^2)*各项系数!$J$4</f>
        <v>0</v>
      </c>
      <c r="JY143" s="102">
        <v>1</v>
      </c>
      <c r="JZ143" s="189">
        <f t="shared" si="543"/>
        <v>0</v>
      </c>
      <c r="KA143" s="262">
        <f>JZ143*各项系数!$E$38</f>
        <v>0</v>
      </c>
      <c r="KB143" s="282">
        <f>IF($DF143&lt;&gt;$KB$9,0,各项系数!$F$76/4*($NE143^2-$NC143^2)*10^-2*各项系数!$F$41*10^-3*10^2)*各项系数!$J$4</f>
        <v>0</v>
      </c>
      <c r="KC143" s="102">
        <v>1</v>
      </c>
      <c r="KD143" s="189">
        <f t="shared" si="544"/>
        <v>0</v>
      </c>
      <c r="KE143" s="262">
        <f>KD143*各项系数!$E$41</f>
        <v>0</v>
      </c>
      <c r="KF143" s="189">
        <f t="shared" si="545"/>
        <v>7.5997026807767655E-3</v>
      </c>
      <c r="KG143" s="189">
        <f t="shared" si="546"/>
        <v>0.15199405361553531</v>
      </c>
      <c r="KH143" s="235">
        <f>各项系数!$F$76/4*($NG143^2-$NE143^2)*10^-2*各项系数!$F$44*10^-3*10^2*各项系数!$J$4*0.75*$U143</f>
        <v>1.8811023170048013</v>
      </c>
      <c r="KI143" s="102">
        <v>1</v>
      </c>
      <c r="KJ143" s="189">
        <f t="shared" si="547"/>
        <v>1.8811023170048013</v>
      </c>
      <c r="KK143" s="189">
        <f>ROUND(KJ143*各项系数!$E$43,GT143)</f>
        <v>11</v>
      </c>
      <c r="KL143" s="235">
        <f>各项系数!$F$76/4*($NF143^2-$NE143^2)*10^-2*各项系数!$F$46*10^-3*10^2*各项系数!$J$4*PI()/4*R143</f>
        <v>9.4612816560276647E-2</v>
      </c>
      <c r="KM143" s="102">
        <v>1</v>
      </c>
      <c r="KN143" s="189">
        <f t="shared" si="548"/>
        <v>9.4612816560276647E-2</v>
      </c>
      <c r="KO143" s="189">
        <f>KN143*各项系数!$E$46</f>
        <v>6.3863651178186736</v>
      </c>
      <c r="KP143" s="235">
        <f>各项系数!$F$76/4*($NH143^2-$NE143^2)*10^-2*(VLOOKUP($KP$9,各项系数!$D$1:$F$143,3,0))*10^-3*10^2*各项系数!$J$4</f>
        <v>1.0612813131783287</v>
      </c>
      <c r="KQ143" s="102">
        <v>1</v>
      </c>
      <c r="KR143" s="189">
        <f t="shared" si="657"/>
        <v>1.0612813131783287</v>
      </c>
      <c r="KS143" s="189">
        <f>KR143*(VLOOKUP($KP$9,各项系数!$D$1:$F$143,2,0))</f>
        <v>18.041782324031587</v>
      </c>
      <c r="KT143" s="235">
        <f>各项系数!$F$76/4*($NI143^2-$NF143^2)*10^-2*(VLOOKUP($KT$9,各项系数!$D$1:$F$143,3,0))*10^-3*10^2*各项系数!$J$4</f>
        <v>1.0636744904972382</v>
      </c>
      <c r="KU143" s="102">
        <v>1</v>
      </c>
      <c r="KV143" s="189">
        <f t="shared" si="658"/>
        <v>1.0636744904972382</v>
      </c>
      <c r="KW143" s="189">
        <f>KV143*(VLOOKUP($KT$9,各项系数!$D$1:$F$143,2,0))</f>
        <v>18.082466338453049</v>
      </c>
      <c r="KX143" s="189">
        <f>各项系数!$F$76/4*($NH143^2-$NE143^2)*10^-2*(VLOOKUP($KX$9,各项系数!$D$1:$F$143,3,0))*10^-3*10^2*各项系数!$J$4</f>
        <v>1.0612813131783287</v>
      </c>
      <c r="KY143" s="353">
        <v>1</v>
      </c>
      <c r="KZ143" s="189">
        <f t="shared" si="659"/>
        <v>1.0612813131783287</v>
      </c>
      <c r="LA143" s="189">
        <f>KZ143*(VLOOKUP($KX$9,各项系数!$D$1:$F$143,2,0))</f>
        <v>18.041782324031587</v>
      </c>
      <c r="LB143" s="189">
        <f>各项系数!$F$76/4*($NI143^2-$NF143^2)*10^-2*(VLOOKUP($LB$9,各项系数!$D$1:$F$143,3,0))*10^-3*10^2*各项系数!$J$4</f>
        <v>1.0636744904972382</v>
      </c>
      <c r="LC143" s="353">
        <v>1</v>
      </c>
      <c r="LD143" s="189">
        <f t="shared" si="660"/>
        <v>1.0636744904972382</v>
      </c>
      <c r="LE143" s="189">
        <f>LD143*(VLOOKUP($LB$9,各项系数!$D$1:$F$143,2,0))</f>
        <v>18.082466338453049</v>
      </c>
      <c r="LF143" s="235">
        <f>各项系数!$F$76/4*($NH143^2-$NE143^2)*10^-2*(VLOOKUP(AN143,各项系数!$D$1:$F$143,3,0))*10^-3*10^2*各项系数!$J$4</f>
        <v>1.0759196761187195</v>
      </c>
      <c r="LG143" s="102">
        <v>1</v>
      </c>
      <c r="LH143" s="189">
        <f t="shared" si="549"/>
        <v>1.0759196761187195</v>
      </c>
      <c r="LI143" s="189">
        <f>LH143*(VLOOKUP(AN143,各项系数!$D$1:$F$143,2,0))</f>
        <v>10.759196761187194</v>
      </c>
      <c r="LJ143" s="235">
        <f>各项系数!$F$76/4*($NI143^2-$NF143^2)*10^-2*(VLOOKUP(AN143,各项系数!$D$1:$F$143,3,0))*10^-3*10^2*各项系数!$J$4</f>
        <v>1.0783458627799587</v>
      </c>
      <c r="LK143" s="102">
        <v>1</v>
      </c>
      <c r="LL143" s="189">
        <f t="shared" si="550"/>
        <v>1.0783458627799587</v>
      </c>
      <c r="LM143" s="189">
        <f>LL143*(VLOOKUP(AN143,各项系数!$D$1:$F$143,2,0))</f>
        <v>10.783458627799586</v>
      </c>
      <c r="LN143" s="189">
        <f>各项系数!$F$76/4*($NH143^2-$NE143^2)*10^-2*(VLOOKUP($LN$9,各项系数!$D$1:$F$143,3,0))*10^-3*10^2*各项系数!$J$4</f>
        <v>1.0759196761187195</v>
      </c>
      <c r="LO143" s="353">
        <v>1</v>
      </c>
      <c r="LP143" s="189">
        <f t="shared" si="551"/>
        <v>1.0759196761187195</v>
      </c>
      <c r="LQ143" s="189">
        <f>LP143*(VLOOKUP($LN$9,各项系数!$D$1:$F$143,2,0))</f>
        <v>11.835116437305915</v>
      </c>
      <c r="LR143" s="189">
        <f>各项系数!$F$76/4*($NI143^2-$NF143^2)*10^-2*(VLOOKUP($LR$9,各项系数!$D$1:$F$143,3,0))*10^-3*10^2*各项系数!$J$4</f>
        <v>1.0783458627799587</v>
      </c>
      <c r="LS143" s="353">
        <v>1</v>
      </c>
      <c r="LT143" s="189">
        <f t="shared" si="552"/>
        <v>1.0783458627799587</v>
      </c>
      <c r="LU143" s="189">
        <f>LT143*(VLOOKUP($LR$9,各项系数!$D$1:$F$143,2,0))</f>
        <v>11.861804490579546</v>
      </c>
      <c r="LV143" s="227">
        <f t="shared" si="661"/>
        <v>1528.92361781</v>
      </c>
      <c r="LW143" s="227">
        <f t="shared" si="662"/>
        <v>1151.4116134200001</v>
      </c>
      <c r="LX143" s="227">
        <f t="shared" si="663"/>
        <v>38.288677157531311</v>
      </c>
      <c r="LY143" s="227">
        <f t="shared" si="664"/>
        <v>377.5120043899999</v>
      </c>
      <c r="LZ143" s="374">
        <f t="shared" si="608"/>
        <v>1</v>
      </c>
      <c r="MA143" s="375">
        <f t="shared" si="609"/>
        <v>1528.92361781</v>
      </c>
      <c r="MB143" s="375">
        <f t="shared" si="665"/>
        <v>22.060632420000001</v>
      </c>
      <c r="MC143" s="227">
        <f t="shared" si="666"/>
        <v>191.08130854999999</v>
      </c>
      <c r="MD143" s="227">
        <f t="shared" si="667"/>
        <v>139.51580251999999</v>
      </c>
      <c r="ME143" s="227">
        <f t="shared" si="668"/>
        <v>13.328054504837743</v>
      </c>
      <c r="MF143" s="227">
        <f t="shared" si="669"/>
        <v>51.565506029999995</v>
      </c>
      <c r="MG143" s="374">
        <f t="shared" si="670"/>
        <v>1</v>
      </c>
      <c r="MH143" s="375">
        <f t="shared" si="610"/>
        <v>191.08130854999999</v>
      </c>
      <c r="MI143" s="375">
        <f t="shared" si="671"/>
        <v>15.597829281845636</v>
      </c>
      <c r="MJ143" s="189">
        <f t="shared" si="611"/>
        <v>22.060632420000001</v>
      </c>
      <c r="MK143" s="189">
        <f t="shared" si="672"/>
        <v>22.060632420000001</v>
      </c>
      <c r="ML143" s="189">
        <f t="shared" si="553"/>
        <v>15.597829281646657</v>
      </c>
      <c r="MM143" s="189">
        <f t="shared" si="612"/>
        <v>15.597829281845636</v>
      </c>
      <c r="MN143" s="189">
        <f t="shared" si="613"/>
        <v>25.660632420000002</v>
      </c>
      <c r="MO143" s="189">
        <f t="shared" si="673"/>
        <v>18.397829281845635</v>
      </c>
      <c r="MP143" s="189">
        <f t="shared" si="674"/>
        <v>65.361793840000004</v>
      </c>
      <c r="MQ143" s="189">
        <f t="shared" si="554"/>
        <v>65.361793840000004</v>
      </c>
      <c r="MR143" s="246">
        <f t="shared" si="675"/>
        <v>65.361793840000004</v>
      </c>
      <c r="MS143" s="380">
        <f t="shared" si="614"/>
        <v>65.537793840000006</v>
      </c>
      <c r="MT143" s="380">
        <f t="shared" si="615"/>
        <v>65.697793840000003</v>
      </c>
      <c r="MU143" s="380">
        <f t="shared" si="616"/>
        <v>67.037793840000006</v>
      </c>
      <c r="MV143" s="380">
        <f t="shared" si="617"/>
        <v>72.137793840000001</v>
      </c>
      <c r="MW143" s="380">
        <f t="shared" si="618"/>
        <v>72.297793839999997</v>
      </c>
      <c r="MX143" s="254">
        <f t="shared" si="619"/>
        <v>22.660632420000002</v>
      </c>
      <c r="MY143" s="254">
        <f t="shared" si="620"/>
        <v>16.197829281845635</v>
      </c>
      <c r="MZ143" s="189">
        <f t="shared" si="621"/>
        <v>26.260632420000004</v>
      </c>
      <c r="NA143" s="189">
        <f t="shared" si="622"/>
        <v>19.797829281845637</v>
      </c>
      <c r="NB143" s="189">
        <f t="shared" si="676"/>
        <v>67.413793839999997</v>
      </c>
      <c r="NC143" s="254">
        <f t="shared" si="555"/>
        <v>67.413793839999997</v>
      </c>
      <c r="ND143" s="246">
        <f t="shared" si="677"/>
        <v>67.413793839999997</v>
      </c>
      <c r="NE143" s="386">
        <f t="shared" si="678"/>
        <v>67.653793839999992</v>
      </c>
      <c r="NF143" s="380">
        <f t="shared" si="623"/>
        <v>67.813793839999988</v>
      </c>
      <c r="NG143" s="387">
        <f t="shared" si="624"/>
        <v>69.153793839999992</v>
      </c>
      <c r="NH143" s="254">
        <f t="shared" si="625"/>
        <v>74.253793839999986</v>
      </c>
      <c r="NI143" s="380">
        <f t="shared" si="626"/>
        <v>74.413793839999983</v>
      </c>
      <c r="NK143" s="388">
        <f t="shared" si="627"/>
        <v>14.676115690154081</v>
      </c>
      <c r="NL143" s="388">
        <f t="shared" si="628"/>
        <v>784.51632647613474</v>
      </c>
      <c r="NM143" s="388">
        <f t="shared" si="629"/>
        <v>14.676115690154081</v>
      </c>
      <c r="NN143" s="388">
        <f t="shared" si="630"/>
        <v>785.56015983365853</v>
      </c>
      <c r="NO143" s="388">
        <f t="shared" si="631"/>
        <v>19.099762093434599</v>
      </c>
      <c r="NP143" s="388">
        <f t="shared" si="632"/>
        <v>791.92955547280906</v>
      </c>
      <c r="NQ143" s="388">
        <f t="shared" si="633"/>
        <v>19.099762093434599</v>
      </c>
      <c r="NR143" s="388">
        <f t="shared" si="634"/>
        <v>793.00547514892776</v>
      </c>
      <c r="NS143" s="388">
        <f t="shared" si="635"/>
        <v>14.76777280752062</v>
      </c>
      <c r="NT143" s="388">
        <f t="shared" si="636"/>
        <v>14.76777280752062</v>
      </c>
      <c r="NU143" s="388">
        <f t="shared" si="637"/>
        <v>19.194374909994874</v>
      </c>
      <c r="NV143" s="388">
        <f t="shared" si="638"/>
        <v>19.194374909994874</v>
      </c>
      <c r="NW143">
        <f t="shared" si="639"/>
        <v>15.891390609682926</v>
      </c>
      <c r="NX143">
        <f>各项系数!$M$9*NK143</f>
        <v>4.4028347070462237</v>
      </c>
      <c r="NY143">
        <f t="shared" si="640"/>
        <v>14.76777280752062</v>
      </c>
    </row>
    <row r="144" spans="1:389" ht="15" hidden="1" customHeight="1">
      <c r="A144" s="69"/>
      <c r="B144" s="70"/>
      <c r="C144" s="69"/>
      <c r="D144" s="69" t="s">
        <v>428</v>
      </c>
      <c r="E144" s="61">
        <f t="shared" si="679"/>
        <v>80.892731050000009</v>
      </c>
      <c r="F144" s="68">
        <f>$F$32</f>
        <v>277.18119106381198</v>
      </c>
      <c r="G144" s="16"/>
      <c r="H144" s="16"/>
      <c r="I144" s="145">
        <f>$F$29</f>
        <v>245.09808262108001</v>
      </c>
      <c r="J144" s="62"/>
      <c r="K144" s="16"/>
      <c r="L144" s="97" t="s">
        <v>467</v>
      </c>
      <c r="M144" s="103">
        <f t="shared" si="582"/>
        <v>2</v>
      </c>
      <c r="N144" s="103">
        <f t="shared" si="583"/>
        <v>1.6</v>
      </c>
      <c r="O144" s="53">
        <f t="shared" si="580"/>
        <v>0.08</v>
      </c>
      <c r="P144" s="99">
        <v>0.1</v>
      </c>
      <c r="Q144" s="133">
        <f t="shared" ref="Q144:Q153" si="685">$Q$12</f>
        <v>0.1</v>
      </c>
      <c r="R144" s="70">
        <v>0.8</v>
      </c>
      <c r="S144" s="142" t="str">
        <f>各项系数!$D$43</f>
        <v>钢带</v>
      </c>
      <c r="T144" s="62">
        <v>0.5</v>
      </c>
      <c r="U144" s="62">
        <v>2</v>
      </c>
      <c r="V144" s="143"/>
      <c r="W144" s="141">
        <v>3.6</v>
      </c>
      <c r="X144" s="135">
        <f t="shared" ref="X144:X153" si="686">$X$12</f>
        <v>0.2</v>
      </c>
      <c r="Y144" s="135"/>
      <c r="Z144" s="168"/>
      <c r="AA144" s="153">
        <f>$AA$32</f>
        <v>1.02</v>
      </c>
      <c r="AB144" s="153">
        <f>PI()*EJ144*EJ144/4*EH144*(1-H144)*AA144*各项系数!$F$5*各项系数!$J$4*10^-7</f>
        <v>3.3210257510184449</v>
      </c>
      <c r="AC144" s="153">
        <f t="shared" si="573"/>
        <v>277.18119106381198</v>
      </c>
      <c r="AD144" s="153">
        <f t="shared" si="584"/>
        <v>375.44593055473609</v>
      </c>
      <c r="AE144" s="153">
        <f>POWER(4*EU144/PI()/EG144/10^-7/EH144/(1-H144)/各项系数!$F$5/各项系数!$J$4,0.5)</f>
        <v>279.93928079700521</v>
      </c>
      <c r="AF144" s="69">
        <f>$AA$29</f>
        <v>1.0149999999999999</v>
      </c>
      <c r="AG144" s="69">
        <f>IF(EM144=0,0,PI()*ER144*ER144/4*EP144*(1-K144)*(1+AF144)*各项系数!$F$5*各项系数!$J$4*10^-7)</f>
        <v>3.1115108896757202</v>
      </c>
      <c r="AH144" s="69">
        <f t="shared" si="574"/>
        <v>245.09808262108001</v>
      </c>
      <c r="AI144" s="69">
        <f t="shared" si="641"/>
        <v>177.18929302065297</v>
      </c>
      <c r="AJ144" s="69">
        <f>IF(OR(EP144="",EP144=0),0,POWER(4*EW144/PI()/EO144/10^-7/EP144/(1-K144)/各项系数!$F$5/各项系数!$J$4,0.5))</f>
        <v>246.92947607788284</v>
      </c>
      <c r="AK144" s="69">
        <f t="shared" si="585"/>
        <v>14.851439754952613</v>
      </c>
      <c r="AL144" s="69">
        <f t="shared" si="575"/>
        <v>1029.9005998158764</v>
      </c>
      <c r="AM144" s="188">
        <f t="shared" si="576"/>
        <v>400</v>
      </c>
      <c r="AN144" s="97" t="s">
        <v>486</v>
      </c>
      <c r="AO144" s="196">
        <f>AP144+各项系数!$M$9*$NK144</f>
        <v>1009.7064704077219</v>
      </c>
      <c r="AP144" s="196">
        <f>AQ144*(1+$BI144+(VLOOKUP($AM144,$A$12:$B$323,2,0))+各项系数!$J$6+各项系数!$M$5)*(1+$E$2)</f>
        <v>1004.1161330896927</v>
      </c>
      <c r="AQ144" s="197">
        <f>AR144+各项系数!$L$9*$NK144</f>
        <v>1024.608299071115</v>
      </c>
      <c r="AR144" s="197">
        <f>AS144*(1+$BJ144+各项系数!$J$5+各项系数!$L$5)</f>
        <v>1019.0179617530857</v>
      </c>
      <c r="AS144" s="197">
        <f t="shared" si="642"/>
        <v>999.037217404986</v>
      </c>
      <c r="AT144" s="196">
        <f>AU144+各项系数!$M$9*$NM144</f>
        <v>1018.3574131041443</v>
      </c>
      <c r="AU144" s="196">
        <f>AV144*(1+$BI144+(VLOOKUP($AM144,$A$12:$B$323,2,0))+各项系数!$J$6+各项系数!$M$5)*(1+$E$2)</f>
        <v>1012.767075786115</v>
      </c>
      <c r="AV144" s="197">
        <f>AW144+各项系数!$L$9*$NM144</f>
        <v>1033.4357916184847</v>
      </c>
      <c r="AW144" s="197">
        <f>AX144*(1+$BJ144+各项系数!$J$5+各项系数!$L$5)</f>
        <v>1027.8454543004555</v>
      </c>
      <c r="AX144" s="197">
        <f t="shared" si="643"/>
        <v>1007.6916218631917</v>
      </c>
      <c r="AY144" s="196">
        <f>AZ144+各项系数!$M$9*$NS144</f>
        <v>1016.7471094782275</v>
      </c>
      <c r="AZ144" s="196">
        <f>BA144*(1+$BI144+(VLOOKUP($AM144,$A$12:$B$214,2,0))+各项系数!$J$6+各项系数!$M$5)*(1+$E$2)</f>
        <v>1011.1258576987118</v>
      </c>
      <c r="BA144" s="197">
        <f>BB144+各项系数!$L$9*$NS144</f>
        <v>1031.7610792843998</v>
      </c>
      <c r="BB144" s="197">
        <f>BC144*(1+$BJ144+各项系数!$J$5+各项系数!$L$5)</f>
        <v>1026.1398275048841</v>
      </c>
      <c r="BC144" s="199">
        <f t="shared" si="644"/>
        <v>1006.0194387302785</v>
      </c>
      <c r="BD144" s="196">
        <f>BE144+各项系数!$M$9*$NS144</f>
        <v>1025.4159600789587</v>
      </c>
      <c r="BE144" s="196">
        <f>BF144*(1+$BI144+(VLOOKUP($AM144,$A$12:$B$214,2,0))+各项系数!$J$6+各项系数!$M$5)*(1+$E$2)</f>
        <v>1019.7947082994431</v>
      </c>
      <c r="BF144" s="197">
        <f>BG144+各项系数!$L$9*$NS144</f>
        <v>1040.6068452035133</v>
      </c>
      <c r="BG144" s="197">
        <f>BH144*(1+$BJ144+各项系数!$J$5+各项系数!$L$5)</f>
        <v>1034.9855934239977</v>
      </c>
      <c r="BH144" s="199">
        <f t="shared" si="645"/>
        <v>1014.6917582588213</v>
      </c>
      <c r="BI144" s="213"/>
      <c r="BJ144" s="208"/>
      <c r="BK144" s="102" t="s">
        <v>514</v>
      </c>
      <c r="BL144" s="196">
        <f>BM144+各项系数!$M$9*$NM144</f>
        <v>1020.7876442955136</v>
      </c>
      <c r="BM144" s="196">
        <f>BN144*(1+$CF144+(VLOOKUP($AM144,$A$12:$B$323,2,0))+各项系数!$J$6+各项系数!$M$5)*(1+$E$2)</f>
        <v>1015.1973069774843</v>
      </c>
      <c r="BN144" s="197">
        <f>BO144+各项系数!$L$9*$NM144</f>
        <v>1035.91561936478</v>
      </c>
      <c r="BO144" s="197">
        <f>BP144*(1+$CG144+各项系数!$J$5+各项系数!$L$5)</f>
        <v>1030.3252820467508</v>
      </c>
      <c r="BP144" s="197">
        <f t="shared" si="646"/>
        <v>1000.3158078123793</v>
      </c>
      <c r="BQ144" s="196">
        <f>BR144+各项系数!$M$9*$NM144</f>
        <v>1028.2327909984037</v>
      </c>
      <c r="BR144" s="196">
        <f>BS144*(1+$CF144+(VLOOKUP($AM144,$A$12:$B$323,2,0))+各项系数!$J$6+各项系数!$M$5)*(1+$E$2)</f>
        <v>1022.6424536803744</v>
      </c>
      <c r="BS144" s="197">
        <f>BT144+各项系数!$L$9*$NM144</f>
        <v>1043.5127078371167</v>
      </c>
      <c r="BT144" s="197">
        <f>BU144*(1+$CG144+各项系数!$J$5+各项系数!$L$5)</f>
        <v>1037.9223705190875</v>
      </c>
      <c r="BU144" s="197">
        <f t="shared" si="647"/>
        <v>1007.6916218631917</v>
      </c>
      <c r="BV144" s="196">
        <f>BW144+各项系数!$M$9*$NT144</f>
        <v>1022.3986521546998</v>
      </c>
      <c r="BW144" s="196">
        <f>BX144*(1+$CF144+(VLOOKUP($AM144,$A$12:$B$214,2,0))+各项系数!$J$6+各项系数!$M$5)*(1+$E$2)</f>
        <v>1016.7774003751841</v>
      </c>
      <c r="BX144" s="197">
        <f>BY144+各项系数!$L$9*$NT$12</f>
        <v>1037.5279595665145</v>
      </c>
      <c r="BY144" s="197">
        <f>BZ144*(1+$CG144+各项系数!$J$5+各项系数!$L$5)</f>
        <v>1037.5196961633594</v>
      </c>
      <c r="BZ144" s="199">
        <f t="shared" si="586"/>
        <v>1007.3006758867566</v>
      </c>
      <c r="CA144" s="196">
        <f>CB144+各项系数!$M$9*$NT144</f>
        <v>1029.8592107010618</v>
      </c>
      <c r="CB144" s="196">
        <f>CC144*(1+$CF144+(VLOOKUP($AM144,$A$12:$B$214,2,0))+各项系数!$J$6+各项系数!$M$5)*(1+$E$2)</f>
        <v>1024.2379589215461</v>
      </c>
      <c r="CC144" s="197">
        <f>CD144+各项系数!$L$9*$NT$12</f>
        <v>1045.140774409741</v>
      </c>
      <c r="CD144" s="197">
        <f>CE144*(1+$CG144+各项系数!$J$5+各项系数!$L$5)</f>
        <v>1045.1325110065859</v>
      </c>
      <c r="CE144" s="199">
        <f t="shared" si="648"/>
        <v>1014.6917582588213</v>
      </c>
      <c r="CF144" s="213">
        <f t="shared" si="514"/>
        <v>0</v>
      </c>
      <c r="CG144" s="213">
        <f t="shared" si="587"/>
        <v>0.01</v>
      </c>
      <c r="CH144" s="102"/>
      <c r="CI144" s="196">
        <f>CJ144+各项系数!$M$9*$NO144</f>
        <v>1027.6067102021157</v>
      </c>
      <c r="CJ144" s="196">
        <f>CK144*(1+$DC144+(VLOOKUP($AM144,$A$12:$B$323,2,0))+各项系数!$J$6+各项系数!$M$5)*(1+$E$2)+各项系数!$M$9*$NK144</f>
        <v>1020.3672513564411</v>
      </c>
      <c r="CK144" s="197">
        <f>CL144+各项系数!$L$9*$NO144</f>
        <v>1035.4866469779713</v>
      </c>
      <c r="CL144" s="197">
        <f>CM144*(1+$DD144+各项系数!$J$5+各项系数!$L$5)</f>
        <v>1028.2471881322967</v>
      </c>
      <c r="CM144" s="197">
        <f t="shared" si="588"/>
        <v>1008.0854785610752</v>
      </c>
      <c r="CN144" s="196">
        <f>CO144+各项系数!$M$9*$NO144</f>
        <v>1035.9077603450746</v>
      </c>
      <c r="CO144" s="196">
        <f>CP144*(1+$DC144+(VLOOKUP($AM144,$A$12:$B$323,2,0))+各项系数!$J$6+各项系数!$M$5)*(1+$E$2)+各项系数!$M$9*$NK144</f>
        <v>1028.6683014994003</v>
      </c>
      <c r="CP144" s="197">
        <f>CQ144+各项系数!$L$9*$NO144</f>
        <v>1043.9571063075214</v>
      </c>
      <c r="CQ144" s="197">
        <f>CR144*(1+$DD144+各项系数!$J$5+各项系数!$L$5)</f>
        <v>1036.7176474618468</v>
      </c>
      <c r="CR144" s="197">
        <f t="shared" si="589"/>
        <v>1016.3898504527911</v>
      </c>
      <c r="CS144" s="196">
        <f>CT144+各项系数!$M$9*$NU144</f>
        <v>1029.2581975316116</v>
      </c>
      <c r="CT144" s="196">
        <f t="shared" si="590"/>
        <v>1021.9869375146926</v>
      </c>
      <c r="CU144" s="197">
        <f>CV144+各项系数!$L$9*$NU144</f>
        <v>1042.8438137905027</v>
      </c>
      <c r="CV144" s="197">
        <f>CW144*(1+$DD144+各项系数!$J$5+各项系数!$L$5)</f>
        <v>1035.5725537735836</v>
      </c>
      <c r="CW144" s="199">
        <f t="shared" si="591"/>
        <v>1015.2672095819448</v>
      </c>
      <c r="CX144" s="196">
        <f>CY144+各项系数!$M$9*$NU144</f>
        <v>1038.1638801668303</v>
      </c>
      <c r="CY144" s="196">
        <f t="shared" si="592"/>
        <v>1030.8926201499112</v>
      </c>
      <c r="CZ144" s="197">
        <f>DA144+各项系数!$L$9*$NU144</f>
        <v>1051.9312450509299</v>
      </c>
      <c r="DA144" s="197">
        <f>DB144*(1+$DD144+各项系数!$J$5+各项系数!$L$5)</f>
        <v>1044.6599850340108</v>
      </c>
      <c r="DB144" s="199">
        <f t="shared" si="593"/>
        <v>1024.1764559156968</v>
      </c>
      <c r="DC144" s="213">
        <f t="shared" si="571"/>
        <v>0</v>
      </c>
      <c r="DD144" s="213">
        <f t="shared" si="594"/>
        <v>0</v>
      </c>
      <c r="DE144" s="53" t="s">
        <v>498</v>
      </c>
      <c r="DF144" s="53" t="s">
        <v>513</v>
      </c>
      <c r="DG144" s="196">
        <f>DH144+各项系数!$M$9*$NQ144</f>
        <v>1038.8118893364981</v>
      </c>
      <c r="DH144" s="196">
        <f>DI144*(1+$EA144+(VLOOKUP($AM144,$A$12:$B$323,2,0))+各项系数!$J$6+各项系数!$M$5)*(1+$E$2)+各项系数!$M$9*$NK144</f>
        <v>1031.5724304908235</v>
      </c>
      <c r="DI144" s="197">
        <f>DJ144+各项系数!$L$9*$NQ144</f>
        <v>1046.9205032375453</v>
      </c>
      <c r="DJ144" s="197">
        <f>DK144*(1+$EB144+各项系数!$J$5+各项系数!$L$5)</f>
        <v>1039.681044391871</v>
      </c>
      <c r="DK144" s="197">
        <f t="shared" si="595"/>
        <v>1009.3990722251174</v>
      </c>
      <c r="DL144" s="196">
        <f>DM144+各项系数!$M$9*$NQ144</f>
        <v>1046.4608576693049</v>
      </c>
      <c r="DM144" s="196">
        <f>DN144*(1+$EA144+(VLOOKUP($AM144,$A$12:$B$323,2,0))+各项系数!$J$6+各项系数!$M$5)*(1+$E$2)+各项系数!$M$9*$NK144</f>
        <v>1039.2213988236304</v>
      </c>
      <c r="DN144" s="197">
        <f>DO144+各项系数!$L$9*$NQ144</f>
        <v>1054.7255729648991</v>
      </c>
      <c r="DO144" s="197">
        <f>DP144*(1+$EB144+各项系数!$J$5+各项系数!$L$5)</f>
        <v>1047.4861141192248</v>
      </c>
      <c r="DP144" s="197">
        <f t="shared" si="596"/>
        <v>1016.97680982449</v>
      </c>
      <c r="DQ144" s="196">
        <f>DR144+各项系数!$M$9*$NV144</f>
        <v>1040.5364292585255</v>
      </c>
      <c r="DR144" s="196">
        <f t="shared" si="597"/>
        <v>1033.2651692416064</v>
      </c>
      <c r="DS144" s="197">
        <f>DT144+各项系数!$L$9*$NV144</f>
        <v>1054.3522135118433</v>
      </c>
      <c r="DT144" s="197">
        <f>DU144*(1+$EB144+各项系数!$J$5+各项系数!$L$5)</f>
        <v>1047.0809534949242</v>
      </c>
      <c r="DU144" s="199">
        <f t="shared" si="598"/>
        <v>1016.5834499950721</v>
      </c>
      <c r="DV144" s="196">
        <f>DW144+各项系数!$M$9*$NV144</f>
        <v>1038.448836280056</v>
      </c>
      <c r="DW144" s="196">
        <f t="shared" si="599"/>
        <v>1031.1775762631369</v>
      </c>
      <c r="DX144" s="197">
        <f>DY144+各项系数!$L$9*$NV144</f>
        <v>1052.2220165950378</v>
      </c>
      <c r="DY144" s="197">
        <f>DZ144*(1+$EB144+各项系数!$J$5+各项系数!$L$5)</f>
        <v>1044.9507565781187</v>
      </c>
      <c r="DZ144" s="199">
        <f t="shared" si="600"/>
        <v>1014.5152976486589</v>
      </c>
      <c r="EA144" s="213">
        <f t="shared" si="581"/>
        <v>0</v>
      </c>
      <c r="EB144" s="213">
        <f t="shared" si="601"/>
        <v>0.01</v>
      </c>
      <c r="EC144" s="235" t="str">
        <f t="shared" si="649"/>
        <v>4+1</v>
      </c>
      <c r="ED144" s="235" t="str">
        <f t="shared" si="680"/>
        <v>4*400</v>
      </c>
      <c r="EE144" s="189">
        <f t="shared" si="495"/>
        <v>400</v>
      </c>
      <c r="EF144" s="189" t="str">
        <f>LOOKUP(EH144,{1,7,10,14,19,24,30,37,48,61},{1,"1+6","2+8","4+10","1+6+12","2+8+14","4+10+16","1+6+12+18","3+9+15+21","1+6+12+18+24"})</f>
        <v>1+6+12+18+24</v>
      </c>
      <c r="EG144" s="188">
        <f t="shared" si="602"/>
        <v>4</v>
      </c>
      <c r="EH144" s="197">
        <f>VLOOKUP(EE144,各项系数!$B$87:$C$124,2,0)</f>
        <v>61</v>
      </c>
      <c r="EI144" s="188">
        <f>IF(EH144=0,0,VLOOKUP(EH144,各项系数!$D$142:$E$195,2,0))*1</f>
        <v>9</v>
      </c>
      <c r="EJ144" s="238">
        <f t="shared" si="650"/>
        <v>277.18119106381198</v>
      </c>
      <c r="EK144" s="189" t="str">
        <f t="shared" si="681"/>
        <v>1*185</v>
      </c>
      <c r="EL144" s="189" t="str">
        <f t="shared" si="603"/>
        <v>185</v>
      </c>
      <c r="EM144" s="189">
        <f t="shared" si="682"/>
        <v>185</v>
      </c>
      <c r="EN144" s="189" t="str">
        <f>IF(EP144=0,0,LOOKUP(EP144,{1,7,10,14,19,24,30,37,48,61},{1,"1+6","2+8","4+10","1+6+12","2+8+14","4+10+16","1+6+12+18","3+9+15+21","1+6+12+18+24"}))</f>
        <v>1+6+12+18</v>
      </c>
      <c r="EO144" s="189" t="str">
        <f t="shared" si="683"/>
        <v>1</v>
      </c>
      <c r="EP144" s="189">
        <f>IF(EM144=0,0,IF(EM144&lt;10,1,IF(AND(EM144&gt;=10,EM144&lt;=35),7,LOOKUP(EM144,{50,70,95,120,150,185,240,300},{10,14,19,24,30,37,48,61})*1)))</f>
        <v>37</v>
      </c>
      <c r="EQ144" s="189">
        <f>IF(EP144=0,0,VLOOKUP(EP144,各项系数!$D$142:$E$195,2,0))*1</f>
        <v>7</v>
      </c>
      <c r="ER144" s="53">
        <f t="shared" si="577"/>
        <v>245.09808262108001</v>
      </c>
      <c r="ES144" s="412">
        <f t="shared" si="684"/>
        <v>5</v>
      </c>
      <c r="ET144" s="189">
        <f>VLOOKUP(ES144,各项系数!$D$142:$E$195,2,0)*1</f>
        <v>2.7</v>
      </c>
      <c r="EU144" s="243">
        <f>((各项系数!$F$76/4*$EJ144^2*$EG144*$EH144*1*10^-7)*(1-$H144)*AA144)*(VLOOKUP($EY$9,各项系数!$D$4:$F$143,3,0))*各项系数!$J$4</f>
        <v>13.284103004073778</v>
      </c>
      <c r="EV144" s="244">
        <f>EU144*(VLOOKUP($EY$9,各项系数!$D$4:$F$143,2,0))</f>
        <v>870.1087467668325</v>
      </c>
      <c r="EW144" s="252">
        <f>(IF($EO144=0,0,(各项系数!$F$76/4*$ER144^2*$EO144*$EP144*1*10^-7))*(1-$K144)*$AF144)*(VLOOKUP($EY$9,各项系数!$D$4:$F$143,3,0))*各项系数!$J$4</f>
        <v>1.5673367508788367</v>
      </c>
      <c r="EX144" s="253">
        <f>EW144*(VLOOKUP($EY$9,各项系数!$D$4:$F$143,2,0))</f>
        <v>102.66055718256381</v>
      </c>
      <c r="EY144" s="189">
        <f>((各项系数!$F$76/4*$EJ144^2*$EG144*$EH144*1*10^-7)*(1-$H144)*AA144+IF($EO144=0,0,(各项系数!$F$76/4*$ER144^2*$EO144*$EP144*1*10^-7))*(1-$K144)*$AF144)*(VLOOKUP($EY$9,各项系数!$D$4:$F$143,3,0))*各项系数!$J$4</f>
        <v>14.851439754952613</v>
      </c>
      <c r="EZ144" s="102">
        <v>1</v>
      </c>
      <c r="FA144" s="189">
        <f t="shared" si="515"/>
        <v>14.851439754952613</v>
      </c>
      <c r="FB144" s="254">
        <f>FA144*(VLOOKUP($EY$9,各项系数!$D$4:$F$143,2,0))</f>
        <v>972.7693039493962</v>
      </c>
      <c r="FC144" s="255"/>
      <c r="FD144" s="235">
        <f>各项系数!$F$76/4*($MN144^2-MK144^2)*10^-2*(VLOOKUP(L144,各项系数!$D$1:$F$143,3,0))*10^-3*10^2*$EG144*各项系数!$J$4</f>
        <v>0.74123323213218784</v>
      </c>
      <c r="FE144" s="262">
        <f>FD144*VLOOKUP(L144,各项系数!$D$1:$F$143,2,0)</f>
        <v>7.5605789677483157</v>
      </c>
      <c r="FF144" s="188">
        <f>各项系数!$F$76/4*($MO144^2-ML144^2)*10^-2*(VLOOKUP(L144,各项系数!$D$1:$F$143,3,0))*10^-3*10^2*$EO144*各项系数!$J$4</f>
        <v>0.10319196728566483</v>
      </c>
      <c r="FG144" s="262">
        <f>FF144*VLOOKUP(L144,各项系数!$D$1:$F$143,2,0)</f>
        <v>1.0525580663137812</v>
      </c>
      <c r="FH144" s="235">
        <f t="shared" si="651"/>
        <v>0.84442519941785266</v>
      </c>
      <c r="FI144" s="102">
        <v>1</v>
      </c>
      <c r="FJ144" s="189">
        <f t="shared" si="516"/>
        <v>0.84442519941785266</v>
      </c>
      <c r="FK144" s="262">
        <f>FJ144*VLOOKUP(L144,各项系数!$D$1:$F$143,2,0)</f>
        <v>8.6131370340620972</v>
      </c>
      <c r="FL144" s="235"/>
      <c r="FM144" s="102"/>
      <c r="FN144" s="189"/>
      <c r="FO144" s="262"/>
      <c r="FP144" s="282">
        <f t="shared" si="517"/>
        <v>0.84442519941785266</v>
      </c>
      <c r="FQ144" s="282">
        <f t="shared" si="518"/>
        <v>8.6131370340620972</v>
      </c>
      <c r="FR144" s="283">
        <f>各项系数!$F$76/4*($MQ144^2-$MN144^2*$EG144-$MO144^2*$EO144)*10^-2</f>
        <v>12.870735650412502</v>
      </c>
      <c r="FS144" s="284">
        <f t="shared" si="652"/>
        <v>1</v>
      </c>
      <c r="FT144" s="285">
        <f t="shared" si="604"/>
        <v>12.870735650412502</v>
      </c>
      <c r="FU144" s="302">
        <f>$FT144*(VLOOKUP($FT$9,各项系数!$D$1:$F$143,3,0))*10^-3*10^2*各项系数!$J$55</f>
        <v>1.5367658366592527</v>
      </c>
      <c r="FV144" s="303">
        <v>1</v>
      </c>
      <c r="FW144" s="304">
        <f t="shared" si="519"/>
        <v>1.5367658366592527</v>
      </c>
      <c r="FX144" s="285">
        <f>FW144*(VLOOKUP($FT$9,各项系数!$D$1:$F$143,2,0))</f>
        <v>4.6102975099777579</v>
      </c>
      <c r="FY144" s="302">
        <f>IF($BK144&lt;&gt;$FY$9,0,各项系数!$F$76/4*($MS144^2-$MQ144^2)*10^-2*(VLOOKUP($FY$9,各项系数!$D$1:$F$143,3,0))*10^-3*10^2)*各项系数!$J$4</f>
        <v>0</v>
      </c>
      <c r="FZ144" s="303">
        <v>1</v>
      </c>
      <c r="GA144" s="304">
        <f t="shared" si="520"/>
        <v>0</v>
      </c>
      <c r="GB144" s="285">
        <f>GA144*(VLOOKUP($FY$9,各项系数!$D$1:$F$143,2,0))</f>
        <v>0</v>
      </c>
      <c r="GC144" s="302">
        <f>IF($BK144&lt;&gt;$GC$9,0,各项系数!$F$76/4*($MS144^2-$MQ144^2)*10^-2*(VLOOKUP($GC$9,各项系数!$D$1:$F$143,3,0))*10^-3*10^2)*各项系数!$J$4</f>
        <v>2.004456105565848E-2</v>
      </c>
      <c r="GD144" s="303">
        <v>1</v>
      </c>
      <c r="GE144" s="304">
        <f t="shared" si="521"/>
        <v>2.004456105565848E-2</v>
      </c>
      <c r="GF144" s="285">
        <f>GE144*(VLOOKUP($GC$9,各项系数!$D$1:$F$143,2,0))</f>
        <v>0.25857483761799438</v>
      </c>
      <c r="GG144" s="302">
        <f>IF($BK144&lt;&gt;$GG$9,0,各项系数!$F$76/4*($MS144^2-$MQ144^2)*10^-2*(VLOOKUP($GG$9,各项系数!$D$1:$F$143,3,0))*10^-3*10^2)*各项系数!$J$4</f>
        <v>0</v>
      </c>
      <c r="GH144" s="303">
        <v>1</v>
      </c>
      <c r="GI144" s="304">
        <f t="shared" si="522"/>
        <v>0</v>
      </c>
      <c r="GJ144" s="285">
        <f>GI144*(VLOOKUP($GG$9,各项系数!$D$1:$F$143,2,0))</f>
        <v>0</v>
      </c>
      <c r="GK144" s="302">
        <f>IF($BK144&lt;&gt;$GK$9,0,各项系数!$F$76/4*($MS144^2-$MQ144^2)*10^-2*(VLOOKUP($GK$9,各项系数!$D$1:$F$143,3,0))*10^-3*10^2)*各项系数!$J$4</f>
        <v>0</v>
      </c>
      <c r="GL144" s="303">
        <v>1</v>
      </c>
      <c r="GM144" s="304">
        <f t="shared" si="523"/>
        <v>0</v>
      </c>
      <c r="GN144" s="285">
        <f>GM144*(VLOOKUP($GK$9,各项系数!$D$1:$F$143,2,0))</f>
        <v>0</v>
      </c>
      <c r="GO144" s="304">
        <f t="shared" si="524"/>
        <v>2.004456105565848E-2</v>
      </c>
      <c r="GP144" s="304">
        <f t="shared" si="525"/>
        <v>0.25857483761799438</v>
      </c>
      <c r="GQ144" s="315">
        <f>各项系数!$F$76/4*($MU144^2-$MS144^2)*10^-2*(VLOOKUP($S144,各项系数!$D$1:$F$143,3,0))*10^-3*10^2*各项系数!$J$4</f>
        <v>1.3647819416748301</v>
      </c>
      <c r="GR144" s="303">
        <v>1</v>
      </c>
      <c r="GS144" s="304">
        <f t="shared" si="526"/>
        <v>1.3647819416748301</v>
      </c>
      <c r="GT144" s="304">
        <f t="shared" si="457"/>
        <v>0</v>
      </c>
      <c r="GU144" s="304">
        <f>ROUND($GS144*(VLOOKUP($S144,各项系数!$D$1:$F$143,2,0))+$E$3*GS144,GT144)</f>
        <v>8</v>
      </c>
      <c r="GV144" s="315">
        <f>各项系数!$F$76/4*($MT144^2-$MS144^2)*10^-2*(VLOOKUP($GV$9,各项系数!$D$1:$F$143,3,0))*10^-3*10^2*各项系数!$J$4*PI()/4*R144</f>
        <v>0.10304820495470297</v>
      </c>
      <c r="GW144" s="303">
        <v>1</v>
      </c>
      <c r="GX144" s="304">
        <f t="shared" si="527"/>
        <v>0.10304820495470297</v>
      </c>
      <c r="GY144" s="304">
        <f>$GX144*(VLOOKUP($GV$9,各项系数!$D$1:$F$143,2,0))</f>
        <v>6.9557538344424508</v>
      </c>
      <c r="GZ144" s="315">
        <f>各项系数!$F$76/4*($MV144^2-$MS144^2)*10^-2*(VLOOKUP($GZ$9,各项系数!$D$1:$F$143,3,0))*10^-3*10^2*各项系数!$J$4</f>
        <v>1.2611946195375141</v>
      </c>
      <c r="HA144" s="303">
        <v>1</v>
      </c>
      <c r="HB144" s="304">
        <f t="shared" si="653"/>
        <v>1.2611946195375141</v>
      </c>
      <c r="HC144" s="304">
        <f>HB144*(VLOOKUP($GZ$9,各项系数!$D$1:$F$143,2,0))</f>
        <v>21.440308532137738</v>
      </c>
      <c r="HD144" s="315">
        <f>各项系数!$F$76/4*($MW144^2-$MT144^2)*10^-2*(VLOOKUP($HD$9,各项系数!$D$1:$F$143,3,0))*10^-3*10^2*各项系数!$J$4</f>
        <v>1.2638053584308711</v>
      </c>
      <c r="HE144" s="303">
        <v>1</v>
      </c>
      <c r="HF144" s="304">
        <f t="shared" si="654"/>
        <v>1.2638053584308711</v>
      </c>
      <c r="HG144" s="304">
        <f>HF144*(VLOOKUP($HD$9,各项系数!$D$1:$F$143,2,0))</f>
        <v>21.484691093324809</v>
      </c>
      <c r="HH144" s="315">
        <f>各项系数!$F$76/4*($MV144^2-$MS144^2)*10^-2*(VLOOKUP($HH$9,各项系数!$D$1:$F$143,3,0))*10^-3*10^2*各项系数!$J$4</f>
        <v>1.2611946195375141</v>
      </c>
      <c r="HI144" s="322">
        <v>1</v>
      </c>
      <c r="HJ144" s="304">
        <f t="shared" si="655"/>
        <v>1.2611946195375141</v>
      </c>
      <c r="HK144" s="304">
        <f>HJ144*(VLOOKUP($HH$9,各项系数!$D$1:$F$143,2,0))</f>
        <v>21.440308532137738</v>
      </c>
      <c r="HL144" s="315">
        <f>各项系数!$F$76/4*($MW144^2-$MT144^2)*10^-2*(VLOOKUP($HL$9,各项系数!$D$1:$F$143,3,0))*10^-3*10^2*各项系数!$J$4</f>
        <v>1.2638053584308711</v>
      </c>
      <c r="HM144" s="322">
        <v>1</v>
      </c>
      <c r="HN144" s="304">
        <f t="shared" si="605"/>
        <v>1.2638053584308711</v>
      </c>
      <c r="HO144" s="304">
        <f>HN144*(VLOOKUP($HL$9,各项系数!$D$1:$F$143,2,0))</f>
        <v>21.484691093324809</v>
      </c>
      <c r="HP144" s="315">
        <f>各项系数!$F$76/4*($MV144^2-$MS144^2)*10^-2*(VLOOKUP(AN144,各项系数!$D$1:$F$143,3,0))*10^-3*10^2*各项系数!$J$4</f>
        <v>1.2785904073932037</v>
      </c>
      <c r="HQ144" s="303">
        <v>1</v>
      </c>
      <c r="HR144" s="304">
        <f t="shared" si="528"/>
        <v>1.2785904073932037</v>
      </c>
      <c r="HS144" s="304">
        <f>HR144*(VLOOKUP(AN144,各项系数!$D$1:$F$143,2,0))</f>
        <v>12.785904073932038</v>
      </c>
      <c r="HT144" s="315">
        <f>各项系数!$F$76/4*($MW144^2-$MT144^2)*10^-2*(VLOOKUP(AN144,各项系数!$D$1:$F$143,3,0))*10^-3*10^2*各项系数!$J$4</f>
        <v>1.2812371564781935</v>
      </c>
      <c r="HU144" s="303">
        <v>1</v>
      </c>
      <c r="HV144" s="304">
        <f t="shared" si="529"/>
        <v>1.2812371564781935</v>
      </c>
      <c r="HW144" s="304">
        <f>HV144*(VLOOKUP(AN144,各项系数!$D$1:$F$143,2,0))</f>
        <v>12.812371564781934</v>
      </c>
      <c r="HX144" s="315">
        <f>各项系数!$F$76/4*($MV144^2-$MS144^2)*10^-2*(VLOOKUP($HX$9,各项系数!$D$1:$F$143,3,0))*10^-3*10^2*各项系数!$J$4</f>
        <v>1.2785904073932037</v>
      </c>
      <c r="HY144" s="322">
        <v>1</v>
      </c>
      <c r="HZ144" s="304">
        <f t="shared" si="530"/>
        <v>1.2785904073932037</v>
      </c>
      <c r="IA144" s="304">
        <f>HZ144*(VLOOKUP($HX$9,各项系数!$D$1:$F$143,2,0))</f>
        <v>14.064494481325241</v>
      </c>
      <c r="IB144" s="315">
        <f>各项系数!$F$76/4*($MW144^2-$MT144^2)*10^-2*(VLOOKUP($IB$9,各项系数!$D$1:$F$143,3,0))*10^-3*10^2*各项系数!$J$4</f>
        <v>1.2812371564781935</v>
      </c>
      <c r="IC144" s="322">
        <v>1</v>
      </c>
      <c r="ID144" s="304">
        <f t="shared" si="531"/>
        <v>1.2812371564781935</v>
      </c>
      <c r="IE144" s="304">
        <f>ID144*(VLOOKUP($IB$9,各项系数!$D$1:$F$143,2,0))</f>
        <v>14.093608721260129</v>
      </c>
      <c r="IF144" s="328"/>
      <c r="IG144" s="315">
        <f t="shared" si="656"/>
        <v>0.16660634851061873</v>
      </c>
      <c r="IH144" s="303">
        <v>1</v>
      </c>
      <c r="II144" s="304">
        <f t="shared" si="532"/>
        <v>0.16660634851061873</v>
      </c>
      <c r="IJ144" s="304">
        <f>II144*(VLOOKUP($IG$8,各项系数!$D$1:$F$143,2,0))</f>
        <v>4.1651587127654679</v>
      </c>
      <c r="IK144" s="315">
        <f>(各项系数!$F$76/4*($MX144^2-$MK144^2)*$EG144)*10^-2*(VLOOKUP($IG$8,各项系数!$D$1:$F$143,3,0))*10^-3*10^2*各项系数!$J$4</f>
        <v>0.14205068123829026</v>
      </c>
      <c r="IL144" s="303">
        <f>IK144*(VLOOKUP($IG$8,各项系数!$D$1:$F$143,2,0))</f>
        <v>3.5512670309572565</v>
      </c>
      <c r="IM144" s="304">
        <f>(各项系数!$F$76/4*(($MM144+3*$X144)^2-MM144^2)*$EO144)*10^-2*(VLOOKUP($IG$8,各项系数!$D$1:$F$143,3,0))*10^-3*10^2*各项系数!$J$4</f>
        <v>2.4555667272328472E-2</v>
      </c>
      <c r="IN144" s="303">
        <f>IM144*(VLOOKUP($IG$8,各项系数!$D$1:$F$143,2,0))</f>
        <v>0.61389168180821185</v>
      </c>
      <c r="IO144" s="315">
        <f>各项系数!$F$76/4*($MZ144^2-$MX144^2)*10^-2*(VLOOKUP(L144,各项系数!$D$1:$F$143,3,0))*10^-3*10^2*$ES144*各项系数!$J$4</f>
        <v>0.94717237912135877</v>
      </c>
      <c r="IP144" s="303">
        <v>1</v>
      </c>
      <c r="IQ144" s="304">
        <f t="shared" si="533"/>
        <v>0.94717237912135877</v>
      </c>
      <c r="IR144" s="285">
        <f>IQ144*(VLOOKUP(L144,各项系数!$D$1:$F$143,2,0))</f>
        <v>9.6611582670378588</v>
      </c>
      <c r="IS144" s="315">
        <f>IF($L144&lt;&gt;$IS$9,0,各项系数!$F$76/4*($MZ144^2-$MX144^2)*10^-2*各项系数!$F$12*10^-3*10^2)*$ES144*各项系数!$J$4</f>
        <v>0</v>
      </c>
      <c r="IT144" s="303">
        <v>1</v>
      </c>
      <c r="IU144" s="304">
        <f t="shared" si="534"/>
        <v>0</v>
      </c>
      <c r="IV144" s="285">
        <f>IU144*各项系数!$E$12</f>
        <v>0</v>
      </c>
      <c r="IW144" s="302">
        <f t="shared" si="535"/>
        <v>0.94717237912135877</v>
      </c>
      <c r="IX144" s="302">
        <f t="shared" si="536"/>
        <v>9.6611582670378588</v>
      </c>
      <c r="IY144" s="339">
        <f>各项系数!$F$76/4*($NB144^2-$MZ144^2*$EG144-$NA144^2*$EO144)*10^-2</f>
        <v>13.707827696161004</v>
      </c>
      <c r="IZ144" s="284">
        <f t="shared" si="487"/>
        <v>1</v>
      </c>
      <c r="JA144" s="285">
        <f t="shared" si="606"/>
        <v>13.707827696161004</v>
      </c>
      <c r="JB144" s="282">
        <f>IF($DE144&lt;&gt;$JB$9,0,$JA144*各项系数!$F$32*10^-3*10^2)*各项系数!$J$4</f>
        <v>0</v>
      </c>
      <c r="JC144" s="102">
        <v>1</v>
      </c>
      <c r="JD144" s="189">
        <f t="shared" si="537"/>
        <v>0</v>
      </c>
      <c r="JE144" s="262">
        <f>JD144*各项系数!$E$32</f>
        <v>0</v>
      </c>
      <c r="JF144" s="282">
        <f>IF($DE144&lt;&gt;$JF$9,0,$JA144*VLOOKUP($JF$9,各项系数!$D$4:$F$540,2,0)*10^-3*10^2)*各项系数!$J$4</f>
        <v>6.8196442788400997</v>
      </c>
      <c r="JG144" s="102">
        <v>1</v>
      </c>
      <c r="JH144" s="189">
        <f t="shared" si="607"/>
        <v>6.8196442788400997</v>
      </c>
      <c r="JI144" s="262">
        <f>JH144*VLOOKUP($JF$9,各项系数!$D$4:$F$540,3,0)</f>
        <v>8.1835731346081193</v>
      </c>
      <c r="JJ144" s="282">
        <f t="shared" si="538"/>
        <v>6.8196442788400997</v>
      </c>
      <c r="JK144" s="189">
        <f t="shared" si="539"/>
        <v>8.1835731346081193</v>
      </c>
      <c r="JL144" s="282">
        <f>IF($DF144&lt;&gt;$JL$9,0,各项系数!$F$76/4*($NE144^2-$NC144^2)*10^-2*各项系数!$F$39*10^-3*10^2)*各项系数!$J$4</f>
        <v>8.5173928422867633E-3</v>
      </c>
      <c r="JM144" s="102">
        <v>1</v>
      </c>
      <c r="JN144" s="189">
        <f t="shared" si="540"/>
        <v>8.5173928422867633E-3</v>
      </c>
      <c r="JO144" s="262">
        <f>JN144*各项系数!$E$39</f>
        <v>0.17034785684573528</v>
      </c>
      <c r="JP144" s="282">
        <f>IF($DF144&lt;&gt;$JP$9,0,各项系数!$F$76/4*($NE144^2-$NC144^2)*10^-2*各项系数!$F$36*10^-3*10^2)*各项系数!$J$4</f>
        <v>0</v>
      </c>
      <c r="JQ144" s="102">
        <v>1</v>
      </c>
      <c r="JR144" s="189">
        <f t="shared" si="541"/>
        <v>0</v>
      </c>
      <c r="JS144" s="262">
        <f>JR144*各项系数!$E$36</f>
        <v>0</v>
      </c>
      <c r="JT144" s="282">
        <f>IF($DF144&lt;&gt;$JT$9,0,各项系数!$F$76/4*($NE144^2-$NC144^2)*10^-2*各项系数!$F$40*10^-3*10^2)*各项系数!$J$4</f>
        <v>0</v>
      </c>
      <c r="JU144" s="102">
        <v>1</v>
      </c>
      <c r="JV144" s="189">
        <f t="shared" si="542"/>
        <v>0</v>
      </c>
      <c r="JW144" s="262">
        <f>JV144*各项系数!$E$40</f>
        <v>0</v>
      </c>
      <c r="JX144" s="282">
        <f>IF($DF144&lt;&gt;$JX$9,0,各项系数!$F$76/4*($NE144^2-$NC144^2)*10^-2*各项系数!$F$38*10^-3*10^2)*各项系数!$J$4</f>
        <v>0</v>
      </c>
      <c r="JY144" s="102">
        <v>1</v>
      </c>
      <c r="JZ144" s="189">
        <f t="shared" si="543"/>
        <v>0</v>
      </c>
      <c r="KA144" s="262">
        <f>JZ144*各项系数!$E$38</f>
        <v>0</v>
      </c>
      <c r="KB144" s="282">
        <f>IF($DF144&lt;&gt;$KB$9,0,各项系数!$F$76/4*($NE144^2-$NC144^2)*10^-2*各项系数!$F$41*10^-3*10^2)*各项系数!$J$4</f>
        <v>0</v>
      </c>
      <c r="KC144" s="102">
        <v>1</v>
      </c>
      <c r="KD144" s="189">
        <f t="shared" si="544"/>
        <v>0</v>
      </c>
      <c r="KE144" s="262">
        <f>KD144*各项系数!$E$41</f>
        <v>0</v>
      </c>
      <c r="KF144" s="189">
        <f t="shared" si="545"/>
        <v>8.5173928422867633E-3</v>
      </c>
      <c r="KG144" s="189">
        <f t="shared" si="546"/>
        <v>0.17034785684573528</v>
      </c>
      <c r="KH144" s="235">
        <f>各项系数!$F$76/4*($NG144^2-$NE144^2)*10^-2*各项系数!$F$44*10^-3*10^2*各项系数!$J$4*0.75*$U144</f>
        <v>2.105362850223778</v>
      </c>
      <c r="KI144" s="102">
        <v>1</v>
      </c>
      <c r="KJ144" s="189">
        <f t="shared" si="547"/>
        <v>2.105362850223778</v>
      </c>
      <c r="KK144" s="189">
        <f>ROUND(KJ144*各项系数!$E$43,GT144)</f>
        <v>12</v>
      </c>
      <c r="KL144" s="235">
        <f>各项系数!$F$76/4*($NF144^2-$NE144^2)*10^-2*各项系数!$F$46*10^-3*10^2*各项系数!$J$4*PI()/4*R144</f>
        <v>0.10600390414843985</v>
      </c>
      <c r="KM144" s="102">
        <v>1</v>
      </c>
      <c r="KN144" s="189">
        <f t="shared" si="548"/>
        <v>0.10600390414843985</v>
      </c>
      <c r="KO144" s="189">
        <f>KN144*各项系数!$E$46</f>
        <v>7.1552635300196901</v>
      </c>
      <c r="KP144" s="235">
        <f>各项系数!$F$76/4*($NH144^2-$NE144^2)*10^-2*(VLOOKUP($KP$9,各项系数!$D$1:$F$143,3,0))*10^-3*10^2*各项系数!$J$4</f>
        <v>1.2957216414021566</v>
      </c>
      <c r="KQ144" s="102">
        <v>1</v>
      </c>
      <c r="KR144" s="189">
        <f t="shared" si="657"/>
        <v>1.2957216414021566</v>
      </c>
      <c r="KS144" s="189">
        <f>KR144*(VLOOKUP($KP$9,各项系数!$D$1:$F$143,2,0))</f>
        <v>22.027267903836663</v>
      </c>
      <c r="KT144" s="235">
        <f>各项系数!$F$76/4*($NI144^2-$NF144^2)*10^-2*(VLOOKUP($KT$9,各项系数!$D$1:$F$143,3,0))*10^-3*10^2*各项系数!$J$4</f>
        <v>1.2983323802955147</v>
      </c>
      <c r="KU144" s="102">
        <v>1</v>
      </c>
      <c r="KV144" s="189">
        <f t="shared" si="658"/>
        <v>1.2983323802955147</v>
      </c>
      <c r="KW144" s="189">
        <f>KV144*(VLOOKUP($KT$9,各项系数!$D$1:$F$143,2,0))</f>
        <v>22.071650465023751</v>
      </c>
      <c r="KX144" s="189">
        <f>各项系数!$F$76/4*($NH144^2-$NE144^2)*10^-2*(VLOOKUP($KX$9,各项系数!$D$1:$F$143,3,0))*10^-3*10^2*各项系数!$J$4</f>
        <v>1.2957216414021566</v>
      </c>
      <c r="KY144" s="353">
        <v>1</v>
      </c>
      <c r="KZ144" s="189">
        <f t="shared" si="659"/>
        <v>1.2957216414021566</v>
      </c>
      <c r="LA144" s="189">
        <f>KZ144*(VLOOKUP($KX$9,各项系数!$D$1:$F$143,2,0))</f>
        <v>22.027267903836663</v>
      </c>
      <c r="LB144" s="189">
        <f>各项系数!$F$76/4*($NI144^2-$NF144^2)*10^-2*(VLOOKUP($LB$9,各项系数!$D$1:$F$143,3,0))*10^-3*10^2*各项系数!$J$4</f>
        <v>1.2983323802955147</v>
      </c>
      <c r="LC144" s="353">
        <v>1</v>
      </c>
      <c r="LD144" s="189">
        <f t="shared" si="660"/>
        <v>1.2983323802955147</v>
      </c>
      <c r="LE144" s="189">
        <f>LD144*(VLOOKUP($LB$9,各项系数!$D$1:$F$143,2,0))</f>
        <v>22.071650465023751</v>
      </c>
      <c r="LF144" s="235">
        <f>各项系数!$F$76/4*($NH144^2-$NE144^2)*10^-2*(VLOOKUP(AN144,各项系数!$D$1:$F$143,3,0))*10^-3*10^2*各项系数!$J$4</f>
        <v>1.3135936640421864</v>
      </c>
      <c r="LG144" s="102">
        <v>1</v>
      </c>
      <c r="LH144" s="189">
        <f t="shared" si="549"/>
        <v>1.3135936640421864</v>
      </c>
      <c r="LI144" s="189">
        <f>LH144*(VLOOKUP(AN144,各项系数!$D$1:$F$143,2,0))</f>
        <v>13.135936640421864</v>
      </c>
      <c r="LJ144" s="235">
        <f>各项系数!$F$76/4*($NI144^2-$NF144^2)*10^-2*(VLOOKUP(AN144,各项系数!$D$1:$F$143,3,0))*10^-3*10^2*各项系数!$J$4</f>
        <v>1.3162404131271772</v>
      </c>
      <c r="LK144" s="102">
        <v>1</v>
      </c>
      <c r="LL144" s="189">
        <f t="shared" si="550"/>
        <v>1.3162404131271772</v>
      </c>
      <c r="LM144" s="189">
        <f>LL144*(VLOOKUP(AN144,各项系数!$D$1:$F$143,2,0))</f>
        <v>13.162404131271773</v>
      </c>
      <c r="LN144" s="189">
        <f>各项系数!$F$76/4*($NH144^2-$NE144^2)*10^-2*(VLOOKUP($LN$9,各项系数!$D$1:$F$143,3,0))*10^-3*10^2*各项系数!$J$4</f>
        <v>1.3135936640421864</v>
      </c>
      <c r="LO144" s="353">
        <v>1</v>
      </c>
      <c r="LP144" s="189">
        <f t="shared" si="551"/>
        <v>1.3135936640421864</v>
      </c>
      <c r="LQ144" s="189">
        <f>LP144*(VLOOKUP($LN$9,各项系数!$D$1:$F$143,2,0))</f>
        <v>14.44953030446405</v>
      </c>
      <c r="LR144" s="189">
        <f>各项系数!$F$76/4*($NI144^2-$NF144^2)*10^-2*(VLOOKUP($LR$9,各项系数!$D$1:$F$143,3,0))*10^-3*10^2*各项系数!$J$4</f>
        <v>1.3162404131271772</v>
      </c>
      <c r="LS144" s="353">
        <v>1</v>
      </c>
      <c r="LT144" s="189">
        <f t="shared" si="552"/>
        <v>1.3162404131271772</v>
      </c>
      <c r="LU144" s="189">
        <f>LT144*(VLOOKUP($LR$9,各项系数!$D$1:$F$143,2,0))</f>
        <v>14.47864454439895</v>
      </c>
      <c r="LV144" s="227">
        <f t="shared" si="661"/>
        <v>1955.0704185699999</v>
      </c>
      <c r="LW144" s="227">
        <f t="shared" si="662"/>
        <v>1472.3369818900001</v>
      </c>
      <c r="LX144" s="227">
        <f t="shared" si="663"/>
        <v>43.297086143508174</v>
      </c>
      <c r="LY144" s="227">
        <f t="shared" si="664"/>
        <v>482.73343667999984</v>
      </c>
      <c r="LZ144" s="374">
        <f t="shared" si="608"/>
        <v>1</v>
      </c>
      <c r="MA144" s="375">
        <f t="shared" si="609"/>
        <v>1955.0704185699999</v>
      </c>
      <c r="MB144" s="375">
        <f t="shared" si="665"/>
        <v>24.946307189999999</v>
      </c>
      <c r="MC144" s="227">
        <f t="shared" si="666"/>
        <v>231.18826676</v>
      </c>
      <c r="MD144" s="227">
        <f t="shared" si="667"/>
        <v>174.57073258</v>
      </c>
      <c r="ME144" s="227">
        <f t="shared" si="668"/>
        <v>14.908734355210807</v>
      </c>
      <c r="MF144" s="227">
        <f t="shared" si="669"/>
        <v>56.617534180000007</v>
      </c>
      <c r="MG144" s="374">
        <f t="shared" si="670"/>
        <v>1</v>
      </c>
      <c r="MH144" s="375">
        <f t="shared" si="610"/>
        <v>231.18826676</v>
      </c>
      <c r="MI144" s="375">
        <f t="shared" si="671"/>
        <v>17.156865783633492</v>
      </c>
      <c r="MJ144" s="189">
        <f t="shared" si="611"/>
        <v>24.946307189999999</v>
      </c>
      <c r="MK144" s="189">
        <f t="shared" si="672"/>
        <v>24.946307189999999</v>
      </c>
      <c r="ML144" s="189">
        <f t="shared" si="553"/>
        <v>17.156865783475602</v>
      </c>
      <c r="MM144" s="189">
        <f t="shared" si="612"/>
        <v>17.156865783633492</v>
      </c>
      <c r="MN144" s="189">
        <f t="shared" si="613"/>
        <v>28.946307189999999</v>
      </c>
      <c r="MO144" s="189">
        <f t="shared" si="673"/>
        <v>20.356865783633491</v>
      </c>
      <c r="MP144" s="189">
        <f t="shared" si="674"/>
        <v>73.516731050000004</v>
      </c>
      <c r="MQ144" s="189">
        <f t="shared" si="554"/>
        <v>73.516731050000004</v>
      </c>
      <c r="MR144" s="246">
        <f t="shared" si="675"/>
        <v>73.516731050000004</v>
      </c>
      <c r="MS144" s="380">
        <f t="shared" si="614"/>
        <v>73.692731050000006</v>
      </c>
      <c r="MT144" s="380">
        <f t="shared" si="615"/>
        <v>73.852731050000003</v>
      </c>
      <c r="MU144" s="380">
        <f t="shared" si="616"/>
        <v>75.192731050000006</v>
      </c>
      <c r="MV144" s="380">
        <f t="shared" si="617"/>
        <v>80.892731050000009</v>
      </c>
      <c r="MW144" s="380">
        <f t="shared" si="618"/>
        <v>81.052731050000006</v>
      </c>
      <c r="MX144" s="254">
        <f t="shared" si="619"/>
        <v>25.54630719</v>
      </c>
      <c r="MY144" s="254">
        <f t="shared" si="620"/>
        <v>17.756865783633494</v>
      </c>
      <c r="MZ144" s="189">
        <f t="shared" si="621"/>
        <v>29.54630719</v>
      </c>
      <c r="NA144" s="189">
        <f t="shared" si="622"/>
        <v>21.756865783633494</v>
      </c>
      <c r="NB144" s="189">
        <f t="shared" si="676"/>
        <v>75.568731049999997</v>
      </c>
      <c r="NC144" s="254">
        <f t="shared" si="555"/>
        <v>75.568731049999997</v>
      </c>
      <c r="ND144" s="246">
        <f t="shared" si="677"/>
        <v>75.568731049999997</v>
      </c>
      <c r="NE144" s="386">
        <f t="shared" si="678"/>
        <v>75.808731049999992</v>
      </c>
      <c r="NF144" s="380">
        <f t="shared" si="623"/>
        <v>75.968731049999988</v>
      </c>
      <c r="NG144" s="387">
        <f t="shared" si="624"/>
        <v>77.308731049999992</v>
      </c>
      <c r="NH144" s="254">
        <f t="shared" si="625"/>
        <v>83.008731049999994</v>
      </c>
      <c r="NI144" s="380">
        <f t="shared" si="626"/>
        <v>83.168731049999991</v>
      </c>
      <c r="NK144" s="388">
        <f t="shared" si="627"/>
        <v>18.634457726764246</v>
      </c>
      <c r="NL144" s="388">
        <f t="shared" si="628"/>
        <v>1000.0897754712997</v>
      </c>
      <c r="NM144" s="388">
        <f t="shared" si="629"/>
        <v>18.634457726764246</v>
      </c>
      <c r="NN144" s="388">
        <f t="shared" si="630"/>
        <v>1001.368365878693</v>
      </c>
      <c r="NO144" s="388">
        <f t="shared" si="631"/>
        <v>24.131529485581495</v>
      </c>
      <c r="NP144" s="388">
        <f t="shared" si="632"/>
        <v>1008.6993702428834</v>
      </c>
      <c r="NQ144" s="388">
        <f t="shared" si="633"/>
        <v>24.131529485581495</v>
      </c>
      <c r="NR144" s="388">
        <f t="shared" si="634"/>
        <v>1010.0129639069256</v>
      </c>
      <c r="NS144" s="388">
        <f t="shared" si="635"/>
        <v>18.73750593171895</v>
      </c>
      <c r="NT144" s="388">
        <f t="shared" si="636"/>
        <v>18.73750593171895</v>
      </c>
      <c r="NU144" s="388">
        <f t="shared" si="637"/>
        <v>24.237533389729936</v>
      </c>
      <c r="NV144" s="388">
        <f t="shared" si="638"/>
        <v>24.237533389729936</v>
      </c>
      <c r="NW144">
        <f t="shared" si="639"/>
        <v>19.999239668439078</v>
      </c>
      <c r="NX144">
        <f>各项系数!$M$9*NK144</f>
        <v>5.5903373180292739</v>
      </c>
      <c r="NY144">
        <f t="shared" si="640"/>
        <v>18.73750593171895</v>
      </c>
    </row>
    <row r="145" spans="1:389" ht="15" hidden="1" customHeight="1">
      <c r="A145" s="16"/>
      <c r="B145" s="151"/>
      <c r="C145" s="198"/>
      <c r="D145" s="198" t="s">
        <v>937</v>
      </c>
      <c r="E145" s="61">
        <f t="shared" si="679"/>
        <v>91.234952410000005</v>
      </c>
      <c r="F145" s="68">
        <f>$F$33</f>
        <v>314.10304232929502</v>
      </c>
      <c r="G145" s="58"/>
      <c r="H145" s="16"/>
      <c r="I145" s="145">
        <f>$F$30</f>
        <v>246.701228113631</v>
      </c>
      <c r="J145" s="62"/>
      <c r="K145" s="16"/>
      <c r="L145" s="97" t="s">
        <v>467</v>
      </c>
      <c r="M145" s="103">
        <f t="shared" si="582"/>
        <v>2.2000000000000002</v>
      </c>
      <c r="N145" s="103">
        <f t="shared" si="583"/>
        <v>1.7</v>
      </c>
      <c r="O145" s="53">
        <f t="shared" si="580"/>
        <v>0.08</v>
      </c>
      <c r="P145" s="99">
        <v>0.1</v>
      </c>
      <c r="Q145" s="133">
        <f t="shared" si="685"/>
        <v>0.1</v>
      </c>
      <c r="R145" s="70">
        <v>0.8</v>
      </c>
      <c r="S145" s="142" t="str">
        <f>各项系数!$D$43</f>
        <v>钢带</v>
      </c>
      <c r="T145" s="62">
        <v>0.5</v>
      </c>
      <c r="U145" s="62">
        <v>2</v>
      </c>
      <c r="V145" s="143"/>
      <c r="W145" s="145">
        <v>3.9</v>
      </c>
      <c r="X145" s="135">
        <f t="shared" si="686"/>
        <v>0.2</v>
      </c>
      <c r="Y145" s="135"/>
      <c r="Z145" s="168"/>
      <c r="AA145" s="153">
        <f>$AA$33</f>
        <v>1.02</v>
      </c>
      <c r="AB145" s="153">
        <f>PI()*EJ145*EJ145/4*EH145*(1-H145)*AA145*各项系数!$F$5*各项系数!$J$4*10^-7</f>
        <v>4.2647051993952481</v>
      </c>
      <c r="AC145" s="153">
        <f t="shared" si="573"/>
        <v>314.10304232929502</v>
      </c>
      <c r="AD145" s="153">
        <f t="shared" si="584"/>
        <v>482.13002011127043</v>
      </c>
      <c r="AE145" s="153">
        <f>POWER(4*EU145/PI()/EG145/10^-7/EH145/(1-H145)/各项系数!$F$5/各项系数!$J$4,0.5)</f>
        <v>317.22852271592683</v>
      </c>
      <c r="AF145" s="69">
        <f>$AA$30</f>
        <v>1.0149999999999999</v>
      </c>
      <c r="AG145" s="69">
        <f>IF(EM145=0,0,PI()*ER145*ER145/4*EP145*(1-K145)*(1+AF145)*各项系数!$F$5*各项系数!$J$4*10^-7)</f>
        <v>4.0895322170671538</v>
      </c>
      <c r="AH145" s="69">
        <f t="shared" si="574"/>
        <v>246.701228113631</v>
      </c>
      <c r="AI145" s="69">
        <f t="shared" si="641"/>
        <v>232.88407080035392</v>
      </c>
      <c r="AJ145" s="69">
        <f>IF(OR(EP145="",EP145=0),0,POWER(4*EW145/PI()/EO145/10^-7/EP145/(1-K145)/各项系数!$F$5/各项系数!$J$4,0.5))</f>
        <v>248.54460040818714</v>
      </c>
      <c r="AK145" s="69">
        <f t="shared" si="585"/>
        <v>19.118808490049059</v>
      </c>
      <c r="AL145" s="69">
        <f t="shared" si="575"/>
        <v>1324.4979964833128</v>
      </c>
      <c r="AM145" s="106">
        <f t="shared" si="576"/>
        <v>500</v>
      </c>
      <c r="AN145" s="97" t="s">
        <v>486</v>
      </c>
      <c r="AO145" s="196">
        <f>AP145+各项系数!$M$9*$NK145</f>
        <v>1298.5274475326596</v>
      </c>
      <c r="AP145" s="196">
        <f>AQ145*(1+$BI145+(VLOOKUP($AM145,$A$12:$B$323,2,0))+各项系数!$J$6+各项系数!$M$5)*(1+$E$2)</f>
        <v>1291.3686835999338</v>
      </c>
      <c r="AQ145" s="197">
        <f>AR145+各项系数!$L$9*$NK145</f>
        <v>1317.7231465305447</v>
      </c>
      <c r="AR145" s="197">
        <f>AS145*(1+$BJ145+各项系数!$J$5+各项系数!$L$5)</f>
        <v>1310.5643825978188</v>
      </c>
      <c r="AS145" s="197">
        <f t="shared" si="642"/>
        <v>1284.8670417625674</v>
      </c>
      <c r="AT145" s="196">
        <f>AU145+各项系数!$M$9*$NM145</f>
        <v>1309.1169358752138</v>
      </c>
      <c r="AU145" s="196">
        <f>AV145*(1+$BI145+(VLOOKUP($AM145,$A$12:$B$323,2,0))+各项系数!$J$6+各项系数!$M$5)*(1+$E$2)</f>
        <v>1301.958171942488</v>
      </c>
      <c r="AV145" s="197">
        <f>AW145+各项系数!$L$9*$NM145</f>
        <v>1328.5287468800898</v>
      </c>
      <c r="AW145" s="197">
        <f>AX145*(1+$BJ145+各项系数!$J$5+各项系数!$L$5)</f>
        <v>1321.369982947364</v>
      </c>
      <c r="AX145" s="197">
        <f t="shared" si="643"/>
        <v>1295.4607675954549</v>
      </c>
      <c r="AY145" s="196">
        <f>AZ145+各项系数!$M$9*$NS145</f>
        <v>1306.4965647032666</v>
      </c>
      <c r="AZ145" s="196">
        <f>BA145*(1+$BI145+(VLOOKUP($AM145,$A$12:$B$214,2,0))+各项系数!$J$6+各项系数!$M$5)*(1+$E$2)</f>
        <v>1299.3028038313862</v>
      </c>
      <c r="BA145" s="197">
        <f>BB145+各项系数!$L$9*$NS145</f>
        <v>1325.8191875830471</v>
      </c>
      <c r="BB145" s="197">
        <f>BC145*(1+$BJ145+各项系数!$J$5+各项系数!$L$5)</f>
        <v>1318.6254267111667</v>
      </c>
      <c r="BC145" s="199">
        <f t="shared" si="644"/>
        <v>1292.7700261874184</v>
      </c>
      <c r="BD145" s="196">
        <f>BE145+各项系数!$M$9*$NS145</f>
        <v>1317.1054532754888</v>
      </c>
      <c r="BE145" s="196">
        <f>BF145*(1+$BI145+(VLOOKUP($AM145,$A$12:$B$214,2,0))+各项系数!$J$6+各项系数!$M$5)*(1+$E$2)</f>
        <v>1309.9116924036084</v>
      </c>
      <c r="BF145" s="408">
        <f>BG145+各项系数!$L$9*$NS145</f>
        <v>1336.6445840853148</v>
      </c>
      <c r="BG145" s="197">
        <f>BH145*(1+$BJ145+各项系数!$J$5+各项系数!$L$5)</f>
        <v>1329.4508232134344</v>
      </c>
      <c r="BH145" s="199">
        <f t="shared" si="645"/>
        <v>1303.3831600131709</v>
      </c>
      <c r="BI145" s="213"/>
      <c r="BJ145" s="208"/>
      <c r="BK145" s="102" t="s">
        <v>514</v>
      </c>
      <c r="BL145" s="196">
        <f>BM145+各项系数!$M$9*$NM145</f>
        <v>1312.6989597256415</v>
      </c>
      <c r="BM145" s="196">
        <f>BN145*(1+$CF145+(VLOOKUP($AM145,$A$12:$B$323,2,0))+各项系数!$J$6+各项系数!$M$5)*(1+$E$2)</f>
        <v>1305.5401957929157</v>
      </c>
      <c r="BN145" s="197">
        <f>BO145+各项系数!$L$9*$NM145</f>
        <v>1332.1838732580773</v>
      </c>
      <c r="BO145" s="197">
        <f>BP145*(1+$CG145+各项系数!$J$5+各项系数!$L$5)</f>
        <v>1325.0251093253514</v>
      </c>
      <c r="BP145" s="197">
        <f t="shared" si="646"/>
        <v>1286.4321449760694</v>
      </c>
      <c r="BQ145" s="196">
        <f>BR145+各项系数!$M$9*$NM145</f>
        <v>1321.8124513976493</v>
      </c>
      <c r="BR145" s="196">
        <f>BS145*(1+$CF145+(VLOOKUP($AM145,$A$12:$B$323,2,0))+各项系数!$J$6+各项系数!$M$5)*(1+$E$2)</f>
        <v>1314.6536874649235</v>
      </c>
      <c r="BS145" s="197">
        <f>BT145+各项系数!$L$9*$NM145</f>
        <v>1341.4833545560443</v>
      </c>
      <c r="BT145" s="197">
        <f>BU145*(1+$CG145+各项系数!$J$5+各项系数!$L$5)</f>
        <v>1334.3245906233185</v>
      </c>
      <c r="BU145" s="197">
        <f t="shared" si="647"/>
        <v>1295.4607675954549</v>
      </c>
      <c r="BV145" s="196">
        <f>BW145+各项系数!$M$9*$NT145</f>
        <v>1313.7066328884982</v>
      </c>
      <c r="BW145" s="196">
        <f>BX145*(1+$CF145+(VLOOKUP($AM145,$A$12:$B$214,2,0))+各项系数!$J$6+各项系数!$M$5)*(1+$E$2)</f>
        <v>1306.5128720166178</v>
      </c>
      <c r="BX145" s="197">
        <f>BY145+各项系数!$L$9*$NT$12</f>
        <v>1333.1764000169569</v>
      </c>
      <c r="BY145" s="197">
        <f>BZ145*(1+$CG145+各项系数!$J$5+各项系数!$L$5)</f>
        <v>1333.1681366138018</v>
      </c>
      <c r="BZ145" s="199">
        <f t="shared" si="586"/>
        <v>1294.337996712429</v>
      </c>
      <c r="CA145" s="196">
        <f>CB145+各项系数!$M$9*$NT145</f>
        <v>1322.836820724267</v>
      </c>
      <c r="CB145" s="196">
        <f>CC145*(1+$CF145+(VLOOKUP($AM145,$A$12:$B$214,2,0))+各项系数!$J$6+各项系数!$M$5)*(1+$E$2)</f>
        <v>1315.6430598523866</v>
      </c>
      <c r="CC145" s="197">
        <f>CD145+各项系数!$L$9*$NT$12</f>
        <v>1342.4929182167211</v>
      </c>
      <c r="CD145" s="197">
        <f>CE145*(1+$CG145+各项系数!$J$5+各项系数!$L$5)</f>
        <v>1342.4846548135661</v>
      </c>
      <c r="CE145" s="199">
        <f t="shared" si="648"/>
        <v>1303.3831600131709</v>
      </c>
      <c r="CF145" s="213">
        <f t="shared" si="514"/>
        <v>0</v>
      </c>
      <c r="CG145" s="213">
        <f t="shared" si="587"/>
        <v>0.01</v>
      </c>
      <c r="CH145" s="106"/>
      <c r="CI145" s="196">
        <f>CJ145+各项系数!$M$9*$NO145</f>
        <v>1320.7233362577742</v>
      </c>
      <c r="CJ145" s="196">
        <f>CK145*(1+$DC145+(VLOOKUP($AM145,$A$12:$B$323,2,0))+各项系数!$J$6+各项系数!$M$5)*(1+$E$2)+各项系数!$M$9*$NK145</f>
        <v>1311.4611099103358</v>
      </c>
      <c r="CK145" s="197">
        <f>CL145+各项系数!$L$9*$NO145</f>
        <v>1330.9207612016428</v>
      </c>
      <c r="CL145" s="197">
        <f>CM145*(1+$DD145+各项系数!$J$5+各项系数!$L$5)</f>
        <v>1321.6585348542044</v>
      </c>
      <c r="CM145" s="197">
        <f t="shared" si="588"/>
        <v>1295.743661621769</v>
      </c>
      <c r="CN145" s="196">
        <f>CO145+各项系数!$M$9*$NO145</f>
        <v>1330.9144277231339</v>
      </c>
      <c r="CO145" s="196">
        <f>CP145*(1+$DC145+(VLOOKUP($AM145,$A$12:$B$323,2,0))+各项系数!$J$6+各项系数!$M$5)*(1+$E$2)+各项系数!$M$9*$NK145</f>
        <v>1321.6522013756955</v>
      </c>
      <c r="CP145" s="197">
        <f>CQ145+各项系数!$L$9*$NO145</f>
        <v>1341.3198341254792</v>
      </c>
      <c r="CQ145" s="197">
        <f>CR145*(1+$DD145+各项系数!$J$5+各项系数!$L$5)</f>
        <v>1332.0576077780408</v>
      </c>
      <c r="CR145" s="197">
        <f t="shared" si="589"/>
        <v>1305.9388311549419</v>
      </c>
      <c r="CS145" s="196">
        <f>CT145+各项系数!$M$9*$NU145</f>
        <v>1321.7451435236767</v>
      </c>
      <c r="CT145" s="196">
        <f t="shared" si="590"/>
        <v>1312.4469882699277</v>
      </c>
      <c r="CU145" s="197">
        <f>CV145+各项系数!$L$9*$NU145</f>
        <v>1339.2316206835997</v>
      </c>
      <c r="CV145" s="197">
        <f>CW145*(1+$DD145+各项系数!$J$5+各项系数!$L$5)</f>
        <v>1329.9334654298507</v>
      </c>
      <c r="CW145" s="199">
        <f t="shared" si="591"/>
        <v>1303.8563386567164</v>
      </c>
      <c r="CX145" s="196">
        <f>CY145+各项系数!$M$9*$NU145</f>
        <v>1332.6236952882862</v>
      </c>
      <c r="CY145" s="196">
        <f t="shared" si="592"/>
        <v>1323.3255400345372</v>
      </c>
      <c r="CZ145" s="197">
        <f>DA145+各项系数!$L$9*$NU145</f>
        <v>1350.3321837087115</v>
      </c>
      <c r="DA145" s="197">
        <f>DB145*(1+$DD145+各项系数!$J$5+各项系数!$L$5)</f>
        <v>1341.0340284549625</v>
      </c>
      <c r="DB145" s="199">
        <f t="shared" si="593"/>
        <v>1314.7392435832965</v>
      </c>
      <c r="DC145" s="213">
        <f t="shared" si="571"/>
        <v>0</v>
      </c>
      <c r="DD145" s="213">
        <f t="shared" si="594"/>
        <v>0</v>
      </c>
      <c r="DE145" s="53" t="s">
        <v>498</v>
      </c>
      <c r="DF145" s="53" t="s">
        <v>513</v>
      </c>
      <c r="DG145" s="196">
        <f>DH145+各项系数!$M$9*$NQ145</f>
        <v>1335.0416695982697</v>
      </c>
      <c r="DH145" s="196">
        <f>DI145*(1+$EA145+(VLOOKUP($AM145,$A$12:$B$323,2,0))+各项系数!$J$6+各项系数!$M$5)*(1+$E$2)+各项系数!$M$9*$NK145</f>
        <v>1325.7794432508313</v>
      </c>
      <c r="DI145" s="197">
        <f>DJ145+各项系数!$L$9*$NQ145</f>
        <v>1345.5313054266383</v>
      </c>
      <c r="DJ145" s="197">
        <f>DK145*(1+$EB145+各项系数!$J$5+各项系数!$L$5)</f>
        <v>1336.2690790791999</v>
      </c>
      <c r="DK145" s="197">
        <f t="shared" si="595"/>
        <v>1297.3486204652424</v>
      </c>
      <c r="DL145" s="196">
        <f>DM145+各项系数!$M$9*$NQ145</f>
        <v>1344.3872379465595</v>
      </c>
      <c r="DM145" s="196">
        <f>DN145*(1+$EA145+(VLOOKUP($AM145,$A$12:$B$323,2,0))+各项系数!$J$6+各项系数!$M$5)*(1+$E$2)+各项系数!$M$9*$NK145</f>
        <v>1335.1250115991211</v>
      </c>
      <c r="DN145" s="197">
        <f>DO145+各项系数!$L$9*$NQ145</f>
        <v>1355.0675996595869</v>
      </c>
      <c r="DO145" s="197">
        <f>DP145*(1+$EB145+各项系数!$J$5+各项系数!$L$5)</f>
        <v>1345.8053733121485</v>
      </c>
      <c r="DP145" s="197">
        <f t="shared" si="596"/>
        <v>1306.6071585554839</v>
      </c>
      <c r="DQ145" s="196">
        <f>DR145+各项系数!$M$9*$NV145</f>
        <v>1336.1458753633515</v>
      </c>
      <c r="DR145" s="196">
        <f t="shared" si="597"/>
        <v>1326.8477201096025</v>
      </c>
      <c r="DS145" s="197">
        <f>DT145+各项系数!$L$9*$NV145</f>
        <v>1353.9262450097985</v>
      </c>
      <c r="DT145" s="197">
        <f>DU145*(1+$EB145+各项系数!$J$5+各项系数!$L$5)</f>
        <v>1344.6280897560496</v>
      </c>
      <c r="DU145" s="199">
        <f t="shared" si="598"/>
        <v>1305.4641648116985</v>
      </c>
      <c r="DV145" s="196">
        <f>DW145+各项系数!$M$9*$NV145</f>
        <v>1333.4090445619995</v>
      </c>
      <c r="DW145" s="196">
        <f t="shared" si="599"/>
        <v>1324.1108893082505</v>
      </c>
      <c r="DX145" s="197">
        <f>DY145+各项系数!$L$9*$NV145</f>
        <v>1351.133560518623</v>
      </c>
      <c r="DY145" s="197">
        <f>DZ145*(1+$EB145+各项系数!$J$5+各项系数!$L$5)</f>
        <v>1341.835405264874</v>
      </c>
      <c r="DZ145" s="199">
        <f t="shared" si="600"/>
        <v>1302.7528206455088</v>
      </c>
      <c r="EA145" s="213">
        <f t="shared" si="581"/>
        <v>0</v>
      </c>
      <c r="EB145" s="213">
        <f t="shared" si="601"/>
        <v>0.01</v>
      </c>
      <c r="EC145" s="235" t="str">
        <f t="shared" si="649"/>
        <v>4+1</v>
      </c>
      <c r="ED145" s="237" t="str">
        <f t="shared" si="680"/>
        <v>4*500</v>
      </c>
      <c r="EE145" s="189">
        <f t="shared" si="495"/>
        <v>500</v>
      </c>
      <c r="EF145" s="78" t="str">
        <f>LOOKUP(EH145,{1,7,10,14,19,24,30,37,48,61},{1,"1+6","2+8","4+10","1+6+12","2+8+14","4+10+16","1+6+12+18","3+9+15+21","1+6+12+18+24"})</f>
        <v>1+6+12+18+24</v>
      </c>
      <c r="EG145" s="188">
        <f t="shared" si="602"/>
        <v>4</v>
      </c>
      <c r="EH145" s="197">
        <f>VLOOKUP(EE145,各项系数!$B$87:$C$124,2,0)</f>
        <v>61</v>
      </c>
      <c r="EI145" s="188">
        <f>IF(EH145=0,0,VLOOKUP(EH145,各项系数!$D$142:$E$195,2,0))*1</f>
        <v>9</v>
      </c>
      <c r="EJ145" s="238">
        <f t="shared" si="650"/>
        <v>314.10304232929502</v>
      </c>
      <c r="EK145" s="78" t="str">
        <f t="shared" si="681"/>
        <v>1*240</v>
      </c>
      <c r="EL145" s="189" t="str">
        <f t="shared" si="603"/>
        <v>240</v>
      </c>
      <c r="EM145" s="78">
        <f t="shared" si="682"/>
        <v>240</v>
      </c>
      <c r="EN145" s="78" t="str">
        <f>IF(EP145=0,0,LOOKUP(EP145,{1,7,10,14,19,24,30,37,48,61},{1,"1+6","2+8","4+10","1+6+12","2+8+14","4+10+16","1+6+12+18","3+9+15+21","1+6+12+18+24"}))</f>
        <v>3+9+15+21</v>
      </c>
      <c r="EO145" s="78" t="str">
        <f t="shared" si="683"/>
        <v>1</v>
      </c>
      <c r="EP145" s="78">
        <f>IF(EM145=0,0,IF(EM145&lt;10,1,IF(AND(EM145&gt;=10,EM145&lt;=35),7,LOOKUP(EM145,{50,70,95,120,150,185,240,300},{10,14,19,24,30,37,48,61})*1)))</f>
        <v>48</v>
      </c>
      <c r="EQ145" s="189">
        <f>IF(EP145=0,0,VLOOKUP(EP145,各项系数!$D$142:$E$195,2,0))*1</f>
        <v>8.15</v>
      </c>
      <c r="ER145" s="78">
        <f t="shared" si="577"/>
        <v>246.701228113631</v>
      </c>
      <c r="ES145" s="237">
        <f t="shared" si="684"/>
        <v>5</v>
      </c>
      <c r="ET145" s="189">
        <f>VLOOKUP(ES145,各项系数!$D$142:$E$195,2,0)*1</f>
        <v>2.7</v>
      </c>
      <c r="EU145" s="243">
        <f>((各项系数!$F$76/4*$EJ145^2*$EG145*$EH145*1*10^-7)*(1-$H145)*AA145)*(VLOOKUP($EY$9,各项系数!$D$4:$F$143,3,0))*各项系数!$J$4</f>
        <v>17.058820797580989</v>
      </c>
      <c r="EV145" s="244">
        <f>EU145*(VLOOKUP($EY$9,各项系数!$D$4:$F$143,2,0))</f>
        <v>1117.3527622415547</v>
      </c>
      <c r="EW145" s="252">
        <f>(IF($EO145=0,0,(各项系数!$F$76/4*$ER145^2*$EO145*$EP145*1*10^-7))*(1-$K145)*$AF145)*(VLOOKUP($EY$9,各项系数!$D$4:$F$143,3,0))*各项系数!$J$4</f>
        <v>2.05998769246807</v>
      </c>
      <c r="EX145" s="253">
        <f>EW145*(VLOOKUP($EY$9,各项系数!$D$4:$F$143,2,0))</f>
        <v>134.92919385665857</v>
      </c>
      <c r="EY145" s="189">
        <f>((各项系数!$F$76/4*$EJ145^2*$EG145*$EH145*1*10^-7)*(1-$H145)*AA145+IF($EO145=0,0,(各项系数!$F$76/4*$ER145^2*$EO145*$EP145*1*10^-7))*(1-$K145)*$AF145)*(VLOOKUP($EY$9,各项系数!$D$4:$F$143,3,0))*各项系数!$J$4</f>
        <v>19.118808490049059</v>
      </c>
      <c r="EZ145" s="102">
        <v>1</v>
      </c>
      <c r="FA145" s="189">
        <f t="shared" si="515"/>
        <v>19.118808490049059</v>
      </c>
      <c r="FB145" s="254">
        <f>FA145*(VLOOKUP($EY$9,各项系数!$D$4:$F$143,2,0))</f>
        <v>1252.2819560982134</v>
      </c>
      <c r="FC145" s="257"/>
      <c r="FD145" s="235">
        <f>各项系数!$F$76/4*($MN145^2-MK145^2)*10^-2*(VLOOKUP(L145,各项系数!$D$1:$F$143,3,0))*10^-3*10^2*$EG145*各项系数!$J$4</f>
        <v>0.9219564646823466</v>
      </c>
      <c r="FE145" s="262">
        <f>FD145*VLOOKUP(L145,各项系数!$D$1:$F$143,2,0)</f>
        <v>9.4039559397599355</v>
      </c>
      <c r="FF145" s="188">
        <f>各项系数!$F$76/4*($MO145^2-ML145^2)*10^-2*(VLOOKUP(L145,各项系数!$D$1:$F$143,3,0))*10^-3*10^2*$EO145*各项系数!$J$4</f>
        <v>0.12746576505583809</v>
      </c>
      <c r="FG145" s="262">
        <f>FF145*VLOOKUP(L145,各项系数!$D$1:$F$143,2,0)</f>
        <v>1.3001508035695484</v>
      </c>
      <c r="FH145" s="235">
        <f t="shared" si="651"/>
        <v>1.0494222297381848</v>
      </c>
      <c r="FI145" s="102">
        <v>1</v>
      </c>
      <c r="FJ145" s="189">
        <f t="shared" si="516"/>
        <v>1.0494222297381848</v>
      </c>
      <c r="FK145" s="262">
        <f>FJ145*VLOOKUP(L145,各项系数!$D$1:$F$143,2,0)</f>
        <v>10.704106743329485</v>
      </c>
      <c r="FL145" s="237"/>
      <c r="FM145" s="106"/>
      <c r="FN145" s="189"/>
      <c r="FO145" s="262"/>
      <c r="FP145" s="282">
        <f t="shared" si="517"/>
        <v>1.0494222297381848</v>
      </c>
      <c r="FQ145" s="282">
        <f t="shared" si="518"/>
        <v>10.704106743329485</v>
      </c>
      <c r="FR145" s="283">
        <f>各项系数!$F$76/4*($MQ145^2-$MN145^2*$EG145-$MO145^2*$EO145)*10^-2</f>
        <v>16.574950689946817</v>
      </c>
      <c r="FS145" s="284">
        <f t="shared" si="652"/>
        <v>1</v>
      </c>
      <c r="FT145" s="285">
        <f t="shared" si="604"/>
        <v>16.574950689946817</v>
      </c>
      <c r="FU145" s="302">
        <f>$FT145*(VLOOKUP($FT$9,各项系数!$D$1:$F$143,3,0))*10^-3*10^2*各项系数!$J$55</f>
        <v>1.9790491123796499</v>
      </c>
      <c r="FV145" s="303">
        <v>1</v>
      </c>
      <c r="FW145" s="304">
        <f t="shared" si="519"/>
        <v>1.9790491123796499</v>
      </c>
      <c r="FX145" s="285">
        <f>FW145*(VLOOKUP($FT$9,各项系数!$D$1:$F$143,2,0))</f>
        <v>5.9371473371389492</v>
      </c>
      <c r="FY145" s="302">
        <f>IF($BK145&lt;&gt;$FY$9,0,各项系数!$F$76/4*($MS145^2-$MQ145^2)*10^-2*(VLOOKUP($FY$9,各项系数!$D$1:$F$143,3,0))*10^-3*10^2)*各项系数!$J$4</f>
        <v>0</v>
      </c>
      <c r="FZ145" s="303">
        <v>1</v>
      </c>
      <c r="GA145" s="304">
        <f t="shared" si="520"/>
        <v>0</v>
      </c>
      <c r="GB145" s="285">
        <f>GA145*(VLOOKUP($FY$9,各项系数!$D$1:$F$143,2,0))</f>
        <v>0</v>
      </c>
      <c r="GC145" s="302">
        <f>IF($BK145&lt;&gt;$GC$9,0,各项系数!$F$76/4*($MS145^2-$MQ145^2)*10^-2*(VLOOKUP($GC$9,各项系数!$D$1:$F$143,3,0))*10^-3*10^2)*各项系数!$J$4</f>
        <v>2.2697631695038991E-2</v>
      </c>
      <c r="GD145" s="303">
        <v>1</v>
      </c>
      <c r="GE145" s="304">
        <f t="shared" si="521"/>
        <v>2.2697631695038991E-2</v>
      </c>
      <c r="GF145" s="285">
        <f>GE145*(VLOOKUP($GC$9,各项系数!$D$1:$F$143,2,0))</f>
        <v>0.29279944886600301</v>
      </c>
      <c r="GG145" s="302">
        <f>IF($BK145&lt;&gt;$GG$9,0,各项系数!$F$76/4*($MS145^2-$MQ145^2)*10^-2*(VLOOKUP($GG$9,各项系数!$D$1:$F$143,3,0))*10^-3*10^2)*各项系数!$J$4</f>
        <v>0</v>
      </c>
      <c r="GH145" s="303">
        <v>1</v>
      </c>
      <c r="GI145" s="304">
        <f t="shared" si="522"/>
        <v>0</v>
      </c>
      <c r="GJ145" s="285">
        <f>GI145*(VLOOKUP($GG$9,各项系数!$D$1:$F$143,2,0))</f>
        <v>0</v>
      </c>
      <c r="GK145" s="302">
        <f>IF($BK145&lt;&gt;$GK$9,0,各项系数!$F$76/4*($MS145^2-$MQ145^2)*10^-2*(VLOOKUP($GK$9,各项系数!$D$1:$F$143,3,0))*10^-3*10^2)*各项系数!$J$4</f>
        <v>0</v>
      </c>
      <c r="GL145" s="303">
        <v>1</v>
      </c>
      <c r="GM145" s="304">
        <f t="shared" si="523"/>
        <v>0</v>
      </c>
      <c r="GN145" s="285">
        <f>GM145*(VLOOKUP($GK$9,各项系数!$D$1:$F$143,2,0))</f>
        <v>0</v>
      </c>
      <c r="GO145" s="304">
        <f t="shared" si="524"/>
        <v>2.2697631695038991E-2</v>
      </c>
      <c r="GP145" s="304">
        <f t="shared" si="525"/>
        <v>0.29279944886600301</v>
      </c>
      <c r="GQ145" s="315">
        <f>各项系数!$F$76/4*($MU145^2-$MS145^2)*10^-2*(VLOOKUP($S145,各项系数!$D$1:$F$143,3,0))*10^-3*10^2*各项系数!$J$4</f>
        <v>1.5433891420876791</v>
      </c>
      <c r="GR145" s="303">
        <v>1</v>
      </c>
      <c r="GS145" s="304">
        <f t="shared" si="526"/>
        <v>1.5433891420876791</v>
      </c>
      <c r="GT145" s="304">
        <f t="shared" si="457"/>
        <v>0</v>
      </c>
      <c r="GU145" s="304">
        <f>ROUND($GS145*(VLOOKUP($S145,各项系数!$D$1:$F$143,2,0))+$E$3*GS145,GT145)</f>
        <v>9</v>
      </c>
      <c r="GV145" s="315">
        <f>各项系数!$F$76/4*($MT145^2-$MS145^2)*10^-2*(VLOOKUP($GV$9,各项系数!$D$1:$F$143,3,0))*10^-3*10^2*各项系数!$J$4*PI()/4*R145</f>
        <v>0.11665646384834855</v>
      </c>
      <c r="GW145" s="303">
        <v>1</v>
      </c>
      <c r="GX145" s="304">
        <f t="shared" si="527"/>
        <v>0.11665646384834855</v>
      </c>
      <c r="GY145" s="304">
        <f>$GX145*(VLOOKUP($GV$9,各项系数!$D$1:$F$143,2,0))</f>
        <v>7.8743113097635264</v>
      </c>
      <c r="GZ145" s="315">
        <f>各项系数!$F$76/4*($MV145^2-$MS145^2)*10^-2*(VLOOKUP($GZ$9,各项系数!$D$1:$F$143,3,0))*10^-3*10^2*各项系数!$J$4</f>
        <v>1.543809292229835</v>
      </c>
      <c r="HA145" s="303">
        <v>1</v>
      </c>
      <c r="HB145" s="304">
        <f t="shared" si="653"/>
        <v>1.543809292229835</v>
      </c>
      <c r="HC145" s="304">
        <f>HB145*(VLOOKUP($GZ$9,各项系数!$D$1:$F$143,2,0))</f>
        <v>26.244757967907194</v>
      </c>
      <c r="HD145" s="315">
        <f>各项系数!$F$76/4*($MW145^2-$MT145^2)*10^-2*(VLOOKUP($HD$9,各项系数!$D$1:$F$143,3,0))*10^-3*10^2*各项系数!$J$4</f>
        <v>1.5466375926976383</v>
      </c>
      <c r="HE145" s="303">
        <v>1</v>
      </c>
      <c r="HF145" s="304">
        <f t="shared" si="654"/>
        <v>1.5466375926976383</v>
      </c>
      <c r="HG145" s="304">
        <f>HF145*(VLOOKUP($HD$9,各项系数!$D$1:$F$143,2,0))</f>
        <v>26.292839075859852</v>
      </c>
      <c r="HH145" s="315">
        <f>各项系数!$F$76/4*($MV145^2-$MS145^2)*10^-2*(VLOOKUP($HH$9,各项系数!$D$1:$F$143,3,0))*10^-3*10^2*各项系数!$J$4</f>
        <v>1.543809292229835</v>
      </c>
      <c r="HI145" s="322">
        <v>1</v>
      </c>
      <c r="HJ145" s="304">
        <f t="shared" si="655"/>
        <v>1.543809292229835</v>
      </c>
      <c r="HK145" s="304">
        <f>HJ145*(VLOOKUP($HH$9,各项系数!$D$1:$F$143,2,0))</f>
        <v>26.244757967907194</v>
      </c>
      <c r="HL145" s="315">
        <f>各项系数!$F$76/4*($MW145^2-$MT145^2)*10^-2*(VLOOKUP($HL$9,各项系数!$D$1:$F$143,3,0))*10^-3*10^2*各项系数!$J$4</f>
        <v>1.5466375926976383</v>
      </c>
      <c r="HM145" s="322">
        <v>1</v>
      </c>
      <c r="HN145" s="304">
        <f t="shared" si="605"/>
        <v>1.5466375926976383</v>
      </c>
      <c r="HO145" s="304">
        <f>HN145*(VLOOKUP($HL$9,各项系数!$D$1:$F$143,2,0))</f>
        <v>26.292839075859852</v>
      </c>
      <c r="HP145" s="315">
        <f>各项系数!$F$76/4*($MV145^2-$MS145^2)*10^-2*(VLOOKUP(AN145,各项系数!$D$1:$F$143,3,0))*10^-3*10^2*各项系数!$J$4</f>
        <v>1.5651032135019705</v>
      </c>
      <c r="HQ145" s="303">
        <v>1</v>
      </c>
      <c r="HR145" s="304">
        <f t="shared" si="528"/>
        <v>1.5651032135019705</v>
      </c>
      <c r="HS145" s="304">
        <f>HR145*(VLOOKUP(AN145,各项系数!$D$1:$F$143,2,0))</f>
        <v>15.651032135019705</v>
      </c>
      <c r="HT145" s="315">
        <f>各项系数!$F$76/4*($MW145^2-$MT145^2)*10^-2*(VLOOKUP(AN145,各项系数!$D$1:$F$143,3,0))*10^-3*10^2*各项系数!$J$4</f>
        <v>1.567970525010709</v>
      </c>
      <c r="HU145" s="303">
        <v>1</v>
      </c>
      <c r="HV145" s="304">
        <f t="shared" si="529"/>
        <v>1.567970525010709</v>
      </c>
      <c r="HW145" s="304">
        <f>HV145*(VLOOKUP(AN145,各项系数!$D$1:$F$143,2,0))</f>
        <v>15.679705250107091</v>
      </c>
      <c r="HX145" s="315">
        <f>各项系数!$F$76/4*($MV145^2-$MS145^2)*10^-2*(VLOOKUP($HX$9,各项系数!$D$1:$F$143,3,0))*10^-3*10^2*各项系数!$J$4</f>
        <v>1.5651032135019705</v>
      </c>
      <c r="HY145" s="322">
        <v>1</v>
      </c>
      <c r="HZ145" s="304">
        <f t="shared" si="530"/>
        <v>1.5651032135019705</v>
      </c>
      <c r="IA145" s="304">
        <f>HZ145*(VLOOKUP($HX$9,各项系数!$D$1:$F$143,2,0))</f>
        <v>17.216135348521675</v>
      </c>
      <c r="IB145" s="315">
        <f>各项系数!$F$76/4*($MW145^2-$MT145^2)*10^-2*(VLOOKUP($IB$9,各项系数!$D$1:$F$143,3,0))*10^-3*10^2*各项系数!$J$4</f>
        <v>1.567970525010709</v>
      </c>
      <c r="IC145" s="322">
        <v>1</v>
      </c>
      <c r="ID145" s="304">
        <f t="shared" si="531"/>
        <v>1.567970525010709</v>
      </c>
      <c r="IE145" s="304">
        <f>ID145*(VLOOKUP($IB$9,各项系数!$D$1:$F$143,2,0))</f>
        <v>17.247675775117798</v>
      </c>
      <c r="IF145" s="309"/>
      <c r="IG145" s="315">
        <f t="shared" si="656"/>
        <v>0.1894519324119292</v>
      </c>
      <c r="IH145" s="303">
        <v>1</v>
      </c>
      <c r="II145" s="304">
        <f t="shared" si="532"/>
        <v>0.1894519324119292</v>
      </c>
      <c r="IJ145" s="304">
        <f>II145*(VLOOKUP($IG$8,各项系数!$D$1:$F$143,2,0))</f>
        <v>4.7362983102982303</v>
      </c>
      <c r="IK145" s="315">
        <f>(各项系数!$F$76/4*($MX145^2-$MK145^2)*$EG145)*10^-2*(VLOOKUP($IG$8,各项系数!$D$1:$F$143,3,0))*10^-3*10^2*各项系数!$J$4</f>
        <v>0.16074765994052775</v>
      </c>
      <c r="IL145" s="303">
        <f>IK145*(VLOOKUP($IG$8,各项系数!$D$1:$F$143,2,0))</f>
        <v>4.0186914985131938</v>
      </c>
      <c r="IM145" s="304">
        <f>(各项系数!$F$76/4*(($MM145+3*$X145)^2-MM145^2)*$EO145)*10^-2*(VLOOKUP($IG$8,各项系数!$D$1:$F$143,3,0))*10^-3*10^2*各项系数!$J$4</f>
        <v>2.8704272471401442E-2</v>
      </c>
      <c r="IN145" s="303">
        <f>IM145*(VLOOKUP($IG$8,各项系数!$D$1:$F$143,2,0))</f>
        <v>0.71760681178503605</v>
      </c>
      <c r="IO145" s="315">
        <f>各项系数!$F$76/4*($MZ145^2-$MX145^2)*10^-2*(VLOOKUP(L145,各项系数!$D$1:$F$143,3,0))*10^-3*10^2*$ES145*各项系数!$J$4</f>
        <v>1.1751395037046708</v>
      </c>
      <c r="IP145" s="303">
        <v>1</v>
      </c>
      <c r="IQ145" s="304">
        <f t="shared" si="533"/>
        <v>1.1751395037046708</v>
      </c>
      <c r="IR145" s="285">
        <f>IQ145*(VLOOKUP(L145,各项系数!$D$1:$F$143,2,0))</f>
        <v>11.986422937787641</v>
      </c>
      <c r="IS145" s="315">
        <f>IF($L145&lt;&gt;$IS$9,0,各项系数!$F$76/4*($MZ145^2-$MX145^2)*10^-2*各项系数!$F$12*10^-3*10^2)*$ES145*各项系数!$J$4</f>
        <v>0</v>
      </c>
      <c r="IT145" s="310">
        <v>1</v>
      </c>
      <c r="IU145" s="304">
        <f t="shared" si="534"/>
        <v>0</v>
      </c>
      <c r="IV145" s="285">
        <f>IU145*各项系数!$E$12</f>
        <v>0</v>
      </c>
      <c r="IW145" s="302">
        <f t="shared" si="535"/>
        <v>1.1751395037046708</v>
      </c>
      <c r="IX145" s="302">
        <f t="shared" si="536"/>
        <v>11.986422937787641</v>
      </c>
      <c r="IY145" s="339">
        <f>各项系数!$F$76/4*($NB145^2-$MZ145^2*$EG145-$NA145^2*$EO145)*10^-2</f>
        <v>17.582711409488908</v>
      </c>
      <c r="IZ145" s="284">
        <f t="shared" si="487"/>
        <v>1</v>
      </c>
      <c r="JA145" s="285">
        <f t="shared" si="606"/>
        <v>17.582711409488908</v>
      </c>
      <c r="JB145" s="282">
        <f>IF($DE145&lt;&gt;$JB$9,0,$JA145*各项系数!$F$32*10^-3*10^2)*各项系数!$J$4</f>
        <v>0</v>
      </c>
      <c r="JC145" s="102">
        <v>1</v>
      </c>
      <c r="JD145" s="189">
        <f t="shared" si="537"/>
        <v>0</v>
      </c>
      <c r="JE145" s="262">
        <f>JD145*各项系数!$E$32</f>
        <v>0</v>
      </c>
      <c r="JF145" s="282">
        <f>IF($DE145&lt;&gt;$JF$9,0,$JA145*VLOOKUP($JF$9,各项系数!$D$4:$F$540,2,0)*10^-3*10^2)*各项系数!$J$4</f>
        <v>8.7473989262207326</v>
      </c>
      <c r="JG145" s="102">
        <v>1</v>
      </c>
      <c r="JH145" s="189">
        <f t="shared" si="607"/>
        <v>8.7473989262207326</v>
      </c>
      <c r="JI145" s="262">
        <f>JH145*VLOOKUP($JF$9,各项系数!$D$4:$F$540,3,0)</f>
        <v>10.496878711464879</v>
      </c>
      <c r="JJ145" s="282">
        <f t="shared" si="538"/>
        <v>8.7473989262207326</v>
      </c>
      <c r="JK145" s="189">
        <f t="shared" si="539"/>
        <v>10.496878711464879</v>
      </c>
      <c r="JL145" s="282">
        <f>IF($DF145&lt;&gt;$JL$9,0,各项系数!$F$76/4*($NE145^2-$NC145^2)*10^-2*各项系数!$F$39*10^-3*10^2)*各项系数!$J$4</f>
        <v>9.6258564635249497E-3</v>
      </c>
      <c r="JM145" s="102">
        <v>1</v>
      </c>
      <c r="JN145" s="189">
        <f t="shared" si="540"/>
        <v>9.6258564635249497E-3</v>
      </c>
      <c r="JO145" s="262">
        <f>JN145*各项系数!$E$39</f>
        <v>0.19251712927049899</v>
      </c>
      <c r="JP145" s="282">
        <f>IF($DF145&lt;&gt;$JP$9,0,各项系数!$F$76/4*($NE145^2-$NC145^2)*10^-2*各项系数!$F$36*10^-3*10^2)*各项系数!$J$4</f>
        <v>0</v>
      </c>
      <c r="JQ145" s="102">
        <v>1</v>
      </c>
      <c r="JR145" s="189">
        <f t="shared" si="541"/>
        <v>0</v>
      </c>
      <c r="JS145" s="262">
        <f>JR145*各项系数!$E$36</f>
        <v>0</v>
      </c>
      <c r="JT145" s="282">
        <f>IF($DF145&lt;&gt;$JT$9,0,各项系数!$F$76/4*($NE145^2-$NC145^2)*10^-2*各项系数!$F$40*10^-3*10^2)*各项系数!$J$4</f>
        <v>0</v>
      </c>
      <c r="JU145" s="102">
        <v>1</v>
      </c>
      <c r="JV145" s="189">
        <f t="shared" si="542"/>
        <v>0</v>
      </c>
      <c r="JW145" s="262">
        <f>JV145*各项系数!$E$40</f>
        <v>0</v>
      </c>
      <c r="JX145" s="282">
        <f>IF($DF145&lt;&gt;$JX$9,0,各项系数!$F$76/4*($NE145^2-$NC145^2)*10^-2*各项系数!$F$38*10^-3*10^2)*各项系数!$J$4</f>
        <v>0</v>
      </c>
      <c r="JY145" s="102">
        <v>1</v>
      </c>
      <c r="JZ145" s="189">
        <f t="shared" si="543"/>
        <v>0</v>
      </c>
      <c r="KA145" s="262">
        <f>JZ145*各项系数!$E$38</f>
        <v>0</v>
      </c>
      <c r="KB145" s="282">
        <f>IF($DF145&lt;&gt;$KB$9,0,各项系数!$F$76/4*($NE145^2-$NC145^2)*10^-2*各项系数!$F$41*10^-3*10^2)*各项系数!$J$4</f>
        <v>0</v>
      </c>
      <c r="KC145" s="102">
        <v>1</v>
      </c>
      <c r="KD145" s="189">
        <f t="shared" si="544"/>
        <v>0</v>
      </c>
      <c r="KE145" s="262">
        <f>KD145*各项系数!$E$41</f>
        <v>0</v>
      </c>
      <c r="KF145" s="189">
        <f t="shared" si="545"/>
        <v>9.6258564635249497E-3</v>
      </c>
      <c r="KG145" s="189">
        <f t="shared" si="546"/>
        <v>0.19251712927049899</v>
      </c>
      <c r="KH145" s="235">
        <f>各项系数!$F$76/4*($NG145^2-$NE145^2)*10^-2*各项系数!$F$44*10^-3*10^2*各项系数!$J$4*0.75*$U145</f>
        <v>2.376243647663872</v>
      </c>
      <c r="KI145" s="102">
        <v>1</v>
      </c>
      <c r="KJ145" s="189">
        <f t="shared" si="547"/>
        <v>2.376243647663872</v>
      </c>
      <c r="KK145" s="189">
        <f>ROUND(KJ145*各项系数!$E$43,GT145)</f>
        <v>14</v>
      </c>
      <c r="KL145" s="235">
        <f>各项系数!$F$76/4*($NF145^2-$NE145^2)*10^-2*各项系数!$F$46*10^-3*10^2*各项系数!$J$4*PI()/4*R145</f>
        <v>0.11976302103496068</v>
      </c>
      <c r="KM145" s="102">
        <v>1</v>
      </c>
      <c r="KN145" s="189">
        <f t="shared" si="548"/>
        <v>0.11976302103496068</v>
      </c>
      <c r="KO145" s="189">
        <f>KN145*各项系数!$E$46</f>
        <v>8.0840039198598461</v>
      </c>
      <c r="KP145" s="235">
        <f>各项系数!$F$76/4*($NH145^2-$NE145^2)*10^-2*(VLOOKUP($KP$9,各项系数!$D$1:$F$143,3,0))*10^-3*10^2*各项系数!$J$4</f>
        <v>1.5831226687322988</v>
      </c>
      <c r="KQ145" s="102">
        <v>1</v>
      </c>
      <c r="KR145" s="189">
        <f t="shared" si="657"/>
        <v>1.5831226687322988</v>
      </c>
      <c r="KS145" s="189">
        <f>KR145*(VLOOKUP($KP$9,各项系数!$D$1:$F$143,2,0))</f>
        <v>26.913085368449078</v>
      </c>
      <c r="KT145" s="235">
        <f>各项系数!$F$76/4*($NI145^2-$NF145^2)*10^-2*(VLOOKUP($KT$9,各项系数!$D$1:$F$143,3,0))*10^-3*10^2*各项系数!$J$4</f>
        <v>1.5859509692001024</v>
      </c>
      <c r="KU145" s="102">
        <v>1</v>
      </c>
      <c r="KV145" s="189">
        <f t="shared" si="658"/>
        <v>1.5859509692001024</v>
      </c>
      <c r="KW145" s="189">
        <f>KV145*(VLOOKUP($KT$9,各项系数!$D$1:$F$143,2,0))</f>
        <v>26.96116647640174</v>
      </c>
      <c r="KX145" s="189">
        <f>各项系数!$F$76/4*($NH145^2-$NE145^2)*10^-2*(VLOOKUP($KX$9,各项系数!$D$1:$F$143,3,0))*10^-3*10^2*各项系数!$J$4</f>
        <v>1.5831226687322988</v>
      </c>
      <c r="KY145" s="353">
        <v>1</v>
      </c>
      <c r="KZ145" s="189">
        <f t="shared" si="659"/>
        <v>1.5831226687322988</v>
      </c>
      <c r="LA145" s="189">
        <f>KZ145*(VLOOKUP($KX$9,各项系数!$D$1:$F$143,2,0))</f>
        <v>26.913085368449078</v>
      </c>
      <c r="LB145" s="189">
        <f>各项系数!$F$76/4*($NI145^2-$NF145^2)*10^-2*(VLOOKUP($LB$9,各项系数!$D$1:$F$143,3,0))*10^-3*10^2*各项系数!$J$4</f>
        <v>1.5859509692001024</v>
      </c>
      <c r="LC145" s="353">
        <v>1</v>
      </c>
      <c r="LD145" s="189">
        <f t="shared" si="660"/>
        <v>1.5859509692001024</v>
      </c>
      <c r="LE145" s="189">
        <f>LD145*(VLOOKUP($LB$9,各项系数!$D$1:$F$143,2,0))</f>
        <v>26.96116647640174</v>
      </c>
      <c r="LF145" s="235">
        <f>各项系数!$F$76/4*($NH145^2-$NE145^2)*10^-2*(VLOOKUP(AN145,各项系数!$D$1:$F$143,3,0))*10^-3*10^2*各项系数!$J$4</f>
        <v>1.6049588434734336</v>
      </c>
      <c r="LG145" s="102">
        <v>1</v>
      </c>
      <c r="LH145" s="189">
        <f t="shared" si="549"/>
        <v>1.6049588434734336</v>
      </c>
      <c r="LI145" s="189">
        <f>LH145*(VLOOKUP(AN145,各项系数!$D$1:$F$143,2,0))</f>
        <v>16.049588434734336</v>
      </c>
      <c r="LJ145" s="235">
        <f>各项系数!$F$76/4*($NI145^2-$NF145^2)*10^-2*(VLOOKUP(AN145,各项系数!$D$1:$F$143,3,0))*10^-3*10^2*各项系数!$J$4</f>
        <v>1.6078261549821726</v>
      </c>
      <c r="LK145" s="102">
        <v>1</v>
      </c>
      <c r="LL145" s="189">
        <f t="shared" si="550"/>
        <v>1.6078261549821726</v>
      </c>
      <c r="LM145" s="189">
        <f>LL145*(VLOOKUP(AN145,各项系数!$D$1:$F$143,2,0))</f>
        <v>16.078261549821725</v>
      </c>
      <c r="LN145" s="189">
        <f>各项系数!$F$76/4*($NH145^2-$NE145^2)*10^-2*(VLOOKUP($LN$9,各项系数!$D$1:$F$143,3,0))*10^-3*10^2*各项系数!$J$4</f>
        <v>1.6049588434734336</v>
      </c>
      <c r="LO145" s="353">
        <v>1</v>
      </c>
      <c r="LP145" s="189">
        <f t="shared" si="551"/>
        <v>1.6049588434734336</v>
      </c>
      <c r="LQ145" s="189">
        <f>LP145*(VLOOKUP($LN$9,各项系数!$D$1:$F$143,2,0))</f>
        <v>17.654547278207769</v>
      </c>
      <c r="LR145" s="189">
        <f>各项系数!$F$76/4*($NI145^2-$NF145^2)*10^-2*(VLOOKUP($LR$9,各项系数!$D$1:$F$143,3,0))*10^-3*10^2*各项系数!$J$4</f>
        <v>1.6078261549821726</v>
      </c>
      <c r="LS145" s="353">
        <v>1</v>
      </c>
      <c r="LT145" s="189">
        <f t="shared" si="552"/>
        <v>1.6078261549821726</v>
      </c>
      <c r="LU145" s="189">
        <f>LT145*(VLOOKUP($LR$9,各项系数!$D$1:$F$143,2,0))</f>
        <v>17.686087704803899</v>
      </c>
      <c r="LV145" s="227">
        <f t="shared" si="661"/>
        <v>2510.6095498</v>
      </c>
      <c r="LW145" s="227">
        <f t="shared" si="662"/>
        <v>1890.7059572600001</v>
      </c>
      <c r="LX145" s="227">
        <f t="shared" si="663"/>
        <v>49.064463639683076</v>
      </c>
      <c r="LY145" s="227">
        <f t="shared" si="664"/>
        <v>619.90359253999986</v>
      </c>
      <c r="LZ145" s="374">
        <f t="shared" si="608"/>
        <v>1</v>
      </c>
      <c r="MA145" s="375">
        <f t="shared" si="609"/>
        <v>2510.6095498</v>
      </c>
      <c r="MB145" s="375">
        <f t="shared" si="665"/>
        <v>28.269273779999999</v>
      </c>
      <c r="MC145" s="227">
        <f t="shared" si="666"/>
        <v>317.50291857000002</v>
      </c>
      <c r="MD145" s="227">
        <f t="shared" si="667"/>
        <v>229.44243406999999</v>
      </c>
      <c r="ME145" s="227">
        <f t="shared" si="668"/>
        <v>17.091962447250296</v>
      </c>
      <c r="MF145" s="227">
        <f t="shared" si="669"/>
        <v>88.06048450000003</v>
      </c>
      <c r="MG145" s="374">
        <f t="shared" si="670"/>
        <v>1</v>
      </c>
      <c r="MH145" s="375">
        <f t="shared" si="610"/>
        <v>317.50291857000002</v>
      </c>
      <c r="MI145" s="375">
        <f t="shared" si="671"/>
        <v>20.106150091256961</v>
      </c>
      <c r="MJ145" s="189">
        <f t="shared" si="611"/>
        <v>28.269273779999999</v>
      </c>
      <c r="MK145" s="189">
        <f t="shared" si="672"/>
        <v>28.269273779999999</v>
      </c>
      <c r="ML145" s="189">
        <f t="shared" si="553"/>
        <v>20.106150091260925</v>
      </c>
      <c r="MM145" s="189">
        <f t="shared" si="612"/>
        <v>20.106150091256961</v>
      </c>
      <c r="MN145" s="189">
        <f t="shared" si="613"/>
        <v>32.669273779999997</v>
      </c>
      <c r="MO145" s="189">
        <f t="shared" si="673"/>
        <v>23.506150091256959</v>
      </c>
      <c r="MP145" s="189">
        <f t="shared" si="674"/>
        <v>83.258952410000006</v>
      </c>
      <c r="MQ145" s="189">
        <f t="shared" si="554"/>
        <v>83.258952410000006</v>
      </c>
      <c r="MR145" s="246">
        <f t="shared" si="675"/>
        <v>83.258952410000006</v>
      </c>
      <c r="MS145" s="380">
        <f t="shared" si="614"/>
        <v>83.434952410000008</v>
      </c>
      <c r="MT145" s="380">
        <f t="shared" si="615"/>
        <v>83.594952410000005</v>
      </c>
      <c r="MU145" s="380">
        <f t="shared" si="616"/>
        <v>84.934952410000008</v>
      </c>
      <c r="MV145" s="380">
        <f t="shared" si="617"/>
        <v>91.234952410000005</v>
      </c>
      <c r="MW145" s="380">
        <f t="shared" si="618"/>
        <v>91.394952410000002</v>
      </c>
      <c r="MX145" s="254">
        <f t="shared" si="619"/>
        <v>28.86927378</v>
      </c>
      <c r="MY145" s="254">
        <f t="shared" si="620"/>
        <v>20.706150091256962</v>
      </c>
      <c r="MZ145" s="189">
        <f t="shared" si="621"/>
        <v>33.269273779999999</v>
      </c>
      <c r="NA145" s="189">
        <f t="shared" si="622"/>
        <v>25.106150091256964</v>
      </c>
      <c r="NB145" s="189">
        <f t="shared" si="676"/>
        <v>85.418952410000003</v>
      </c>
      <c r="NC145" s="254">
        <f t="shared" si="555"/>
        <v>85.418952410000003</v>
      </c>
      <c r="ND145" s="246">
        <f t="shared" si="677"/>
        <v>85.418952410000003</v>
      </c>
      <c r="NE145" s="386">
        <f t="shared" si="678"/>
        <v>85.658952409999998</v>
      </c>
      <c r="NF145" s="380">
        <f t="shared" si="623"/>
        <v>85.818952409999994</v>
      </c>
      <c r="NG145" s="387">
        <f t="shared" si="624"/>
        <v>87.158952409999998</v>
      </c>
      <c r="NH145" s="254">
        <f t="shared" si="625"/>
        <v>93.458952409999995</v>
      </c>
      <c r="NI145" s="380">
        <f t="shared" si="626"/>
        <v>93.618952409999991</v>
      </c>
      <c r="NK145" s="388">
        <f t="shared" si="627"/>
        <v>23.862546442419742</v>
      </c>
      <c r="NL145" s="388">
        <f t="shared" si="628"/>
        <v>1286.1671925661369</v>
      </c>
      <c r="NM145" s="388">
        <f t="shared" si="629"/>
        <v>23.862546442419742</v>
      </c>
      <c r="NN145" s="388">
        <f t="shared" si="630"/>
        <v>1287.7322957796389</v>
      </c>
      <c r="NO145" s="388">
        <f t="shared" si="631"/>
        <v>30.874087824794749</v>
      </c>
      <c r="NP145" s="388">
        <f t="shared" si="632"/>
        <v>1296.4612684335541</v>
      </c>
      <c r="NQ145" s="388">
        <f t="shared" si="633"/>
        <v>30.874087824794749</v>
      </c>
      <c r="NR145" s="388">
        <f t="shared" si="634"/>
        <v>1298.0662272770276</v>
      </c>
      <c r="NS145" s="388">
        <f t="shared" si="635"/>
        <v>23.979202906268089</v>
      </c>
      <c r="NT145" s="388">
        <f t="shared" si="636"/>
        <v>23.979202906268089</v>
      </c>
      <c r="NU145" s="388">
        <f t="shared" si="637"/>
        <v>30.993850845829709</v>
      </c>
      <c r="NV145" s="388">
        <f t="shared" si="638"/>
        <v>30.993850845829709</v>
      </c>
      <c r="NW145">
        <f t="shared" si="639"/>
        <v>25.405935584507422</v>
      </c>
      <c r="NX145">
        <f>各项系数!$M$9*NK145</f>
        <v>7.1587639327259227</v>
      </c>
      <c r="NY145">
        <f t="shared" si="640"/>
        <v>23.979202906268089</v>
      </c>
    </row>
    <row r="146" spans="1:389" ht="15" hidden="1" customHeight="1">
      <c r="A146" s="16"/>
      <c r="B146" s="151"/>
      <c r="C146" s="198"/>
      <c r="D146" s="198" t="s">
        <v>938</v>
      </c>
      <c r="E146" s="61">
        <f t="shared" si="679"/>
        <v>102.0417034</v>
      </c>
      <c r="F146" s="68">
        <f>$F$34</f>
        <v>357.20659441456399</v>
      </c>
      <c r="G146" s="58"/>
      <c r="H146" s="16"/>
      <c r="I146" s="145">
        <f>$F$31</f>
        <v>245.118138379664</v>
      </c>
      <c r="J146" s="62"/>
      <c r="K146" s="16"/>
      <c r="L146" s="97" t="s">
        <v>467</v>
      </c>
      <c r="M146" s="103">
        <f t="shared" si="582"/>
        <v>2.4</v>
      </c>
      <c r="N146" s="103">
        <f t="shared" si="583"/>
        <v>1.8</v>
      </c>
      <c r="O146" s="53">
        <f t="shared" si="580"/>
        <v>0.08</v>
      </c>
      <c r="P146" s="99">
        <v>0.1</v>
      </c>
      <c r="Q146" s="133">
        <f t="shared" si="685"/>
        <v>0.1</v>
      </c>
      <c r="R146" s="70">
        <v>0.8</v>
      </c>
      <c r="S146" s="142" t="str">
        <f>各项系数!$D$43</f>
        <v>钢带</v>
      </c>
      <c r="T146" s="62">
        <v>0.5</v>
      </c>
      <c r="U146" s="62">
        <v>2</v>
      </c>
      <c r="V146" s="143"/>
      <c r="W146" s="145">
        <v>4.0999999999999996</v>
      </c>
      <c r="X146" s="135">
        <f t="shared" si="686"/>
        <v>0.2</v>
      </c>
      <c r="Y146" s="135"/>
      <c r="Z146" s="168"/>
      <c r="AA146" s="153">
        <f>$AA$34</f>
        <v>1.03</v>
      </c>
      <c r="AB146" s="153">
        <f>PI()*EJ146*EJ146/4*EH146*(1-H146)*AA146*各项系数!$F$5*各项系数!$J$4*10^-7</f>
        <v>5.5695578399086223</v>
      </c>
      <c r="AC146" s="153">
        <f t="shared" si="573"/>
        <v>357.20659441456399</v>
      </c>
      <c r="AD146" s="153">
        <f t="shared" si="584"/>
        <v>629.64517072523745</v>
      </c>
      <c r="AE146" s="153">
        <f>POWER(4*EU146/PI()/EG146/10^-7/EH146/(1-H146)/各项系数!$F$5/各项系数!$J$4,0.5)</f>
        <v>362.52509930492863</v>
      </c>
      <c r="AF146" s="69">
        <f>$AA$31</f>
        <v>1.02</v>
      </c>
      <c r="AG146" s="69">
        <f>IF(EM146=0,0,PI()*ER146*ER146/4*EP146*(1-K146)*(1+AF146)*各项系数!$F$5*各项系数!$J$4*10^-7)</f>
        <v>5.143358859444878</v>
      </c>
      <c r="AH146" s="69">
        <f t="shared" si="574"/>
        <v>245.118138379664</v>
      </c>
      <c r="AI146" s="69">
        <f t="shared" si="641"/>
        <v>293.60996233065771</v>
      </c>
      <c r="AJ146" s="69">
        <f>IF(OR(EP146="",EP146=0),0,POWER(4*EW146/PI()/EO146/10^-7/EP146/(1-K146)/各项系数!$F$5/各项系数!$J$4,0.5))</f>
        <v>247.5571849047536</v>
      </c>
      <c r="AK146" s="69">
        <f t="shared" si="585"/>
        <v>24.875372961928441</v>
      </c>
      <c r="AL146" s="69">
        <f t="shared" si="575"/>
        <v>1719.9997905314738</v>
      </c>
      <c r="AM146" s="106">
        <f t="shared" si="576"/>
        <v>630</v>
      </c>
      <c r="AN146" s="97" t="s">
        <v>486</v>
      </c>
      <c r="AO146" s="196">
        <f>AP146+各项系数!$M$9*$NK146</f>
        <v>1686.2743044426213</v>
      </c>
      <c r="AP146" s="196">
        <f>AQ146*(1+$BI146+(VLOOKUP($AM146,$A$12:$B$323,2,0))+各项系数!$J$6+各项系数!$M$5)*(1+$E$2)</f>
        <v>1677.0730902771684</v>
      </c>
      <c r="AQ146" s="197">
        <f>AR146+各项系数!$L$9*$NK146</f>
        <v>1711.2990717113964</v>
      </c>
      <c r="AR146" s="197">
        <f>AS146*(1+$BJ146+各项系数!$J$5+各项系数!$L$5)</f>
        <v>1702.0978575459435</v>
      </c>
      <c r="AS146" s="197">
        <f t="shared" si="642"/>
        <v>1668.723389750925</v>
      </c>
      <c r="AT146" s="196">
        <f>AU146+各项系数!$M$9*$NM146</f>
        <v>1698.7588802666503</v>
      </c>
      <c r="AU146" s="196">
        <f>AV146*(1+$BI146+(VLOOKUP($AM146,$A$12:$B$323,2,0))+各项系数!$J$6+各项系数!$M$5)*(1+$E$2)</f>
        <v>1689.5576661011974</v>
      </c>
      <c r="AV146" s="197">
        <f>AW146+各项系数!$L$9*$NM146</f>
        <v>1724.0384347971401</v>
      </c>
      <c r="AW146" s="197">
        <f>AX146*(1+$BJ146+各项系数!$J$5+各项系数!$L$5)</f>
        <v>1714.8372206316872</v>
      </c>
      <c r="AX146" s="197">
        <f t="shared" si="643"/>
        <v>1681.2129614036148</v>
      </c>
      <c r="AY146" s="196">
        <f>AZ146+各项系数!$M$9*$NS146</f>
        <v>1695.2343471136328</v>
      </c>
      <c r="AZ146" s="196">
        <f>BA146*(1+$BI146+(VLOOKUP($AM146,$A$12:$B$214,2,0))+各项系数!$J$6+各项系数!$M$5)*(1+$E$2)</f>
        <v>1685.9937750602292</v>
      </c>
      <c r="BA146" s="197">
        <f>BB146+各项系数!$L$9*$NS146</f>
        <v>1720.401811285948</v>
      </c>
      <c r="BB146" s="197">
        <f>BC146*(1+$BJ146+各项系数!$J$5+各项系数!$L$5)</f>
        <v>1711.1612392325444</v>
      </c>
      <c r="BC146" s="199">
        <f t="shared" si="644"/>
        <v>1677.609058071122</v>
      </c>
      <c r="BD146" s="196">
        <f>BE146+各项系数!$M$9*$NS146</f>
        <v>1707.7393180509023</v>
      </c>
      <c r="BE146" s="196">
        <f>BF146*(1+$BI146+(VLOOKUP($AM146,$A$12:$B$214,2,0))+各项系数!$J$6+各项系数!$M$5)*(1+$E$2)</f>
        <v>1698.4987459974986</v>
      </c>
      <c r="BF146" s="197">
        <f>BG146+各项系数!$L$9*$NS146</f>
        <v>1733.1619857117335</v>
      </c>
      <c r="BG146" s="197">
        <f>BH146*(1+$BJ146+各项系数!$J$5+各项系数!$L$5)</f>
        <v>1723.9214136583298</v>
      </c>
      <c r="BH146" s="199">
        <f t="shared" si="645"/>
        <v>1690.1190329983626</v>
      </c>
      <c r="BI146" s="213"/>
      <c r="BJ146" s="208"/>
      <c r="BK146" s="102" t="s">
        <v>514</v>
      </c>
      <c r="BL146" s="196">
        <f>BM146+各项系数!$M$9*$NM146</f>
        <v>1704.4903314742962</v>
      </c>
      <c r="BM146" s="196">
        <f>BN146*(1+$CF146+(VLOOKUP($AM146,$A$12:$B$323,2,0))+各项系数!$J$6+各项系数!$M$5)*(1+$E$2)</f>
        <v>1695.2891173088433</v>
      </c>
      <c r="BN146" s="197">
        <f>BO146+各项系数!$L$9*$NM146</f>
        <v>1729.886854396779</v>
      </c>
      <c r="BO146" s="197">
        <f>BP146*(1+$CG146+各项系数!$J$5+各项系数!$L$5)</f>
        <v>1720.685640231326</v>
      </c>
      <c r="BP146" s="197">
        <f t="shared" si="646"/>
        <v>1670.5685827488601</v>
      </c>
      <c r="BQ146" s="196">
        <f>BR146+各项系数!$M$9*$NM146</f>
        <v>1715.2347672884057</v>
      </c>
      <c r="BR146" s="196">
        <f>BS146*(1+$CF146+(VLOOKUP($AM146,$A$12:$B$323,2,0))+各项系数!$J$6+各项系数!$M$5)*(1+$E$2)</f>
        <v>1706.0335531229528</v>
      </c>
      <c r="BS146" s="197">
        <f>BT146+各项系数!$L$9*$NM146</f>
        <v>1740.8505644111763</v>
      </c>
      <c r="BT146" s="197">
        <f>BU146*(1+$CG146+各项系数!$J$5+各项系数!$L$5)</f>
        <v>1731.6493502457233</v>
      </c>
      <c r="BU146" s="197">
        <f t="shared" si="647"/>
        <v>1681.2129614036148</v>
      </c>
      <c r="BV146" s="196">
        <f>BW146+各项系数!$M$9*$NT146</f>
        <v>1704.492833905646</v>
      </c>
      <c r="BW146" s="196">
        <f>BX146*(1+$CF146+(VLOOKUP($AM146,$A$12:$B$214,2,0))+各项系数!$J$6+各项系数!$M$5)*(1+$E$2)</f>
        <v>1695.2522618522423</v>
      </c>
      <c r="BX146" s="197">
        <f>BY146+各项系数!$L$9*$NT$12</f>
        <v>1729.8492467880023</v>
      </c>
      <c r="BY146" s="197">
        <f>BZ146*(1+$CG146+各项系数!$J$5+各项系数!$L$5)</f>
        <v>1729.8409833848473</v>
      </c>
      <c r="BZ146" s="199">
        <f t="shared" si="586"/>
        <v>1679.4572654221818</v>
      </c>
      <c r="CA146" s="196">
        <f>CB146+各项系数!$M$9*$NT146</f>
        <v>1715.254822097043</v>
      </c>
      <c r="CB146" s="196">
        <f>CC146*(1+$CF146+(VLOOKUP($AM146,$A$12:$B$214,2,0))+各项系数!$J$6+各项系数!$M$5)*(1+$E$2)</f>
        <v>1706.0142500436393</v>
      </c>
      <c r="CC146" s="197">
        <f>CD146+各项系数!$L$9*$NT$12</f>
        <v>1740.8308673914687</v>
      </c>
      <c r="CD146" s="197">
        <f>CE146*(1+$CG146+各项系数!$J$5+各项系数!$L$5)</f>
        <v>1740.8226039883136</v>
      </c>
      <c r="CE146" s="199">
        <f t="shared" si="648"/>
        <v>1690.1190329983626</v>
      </c>
      <c r="CF146" s="213">
        <f t="shared" si="514"/>
        <v>0</v>
      </c>
      <c r="CG146" s="213">
        <f t="shared" si="587"/>
        <v>0.01</v>
      </c>
      <c r="CH146" s="106"/>
      <c r="CI146" s="196">
        <f>CJ146+各项系数!$M$9*$NO146</f>
        <v>1713.7231213655193</v>
      </c>
      <c r="CJ146" s="196">
        <f>CK146*(1+$DC146+(VLOOKUP($AM146,$A$12:$B$323,2,0))+各项系数!$J$6+各项系数!$M$5)*(1+$E$2)+各项系数!$M$9*$NK146</f>
        <v>1701.8883629571239</v>
      </c>
      <c r="CK146" s="197">
        <f>CL146+各项系数!$L$9*$NO146</f>
        <v>1727.2317844812969</v>
      </c>
      <c r="CL146" s="197">
        <f>CM146*(1+$DD146+各项系数!$J$5+各项系数!$L$5)</f>
        <v>1715.3970260729016</v>
      </c>
      <c r="CM146" s="197">
        <f t="shared" si="588"/>
        <v>1681.7617902675506</v>
      </c>
      <c r="CN146" s="196">
        <f>CO146+各项系数!$M$9*$NO146</f>
        <v>1725.7685309584292</v>
      </c>
      <c r="CO146" s="196">
        <f>CP146*(1+$DC146+(VLOOKUP($AM146,$A$12:$B$323,2,0))+各项系数!$J$6+各项系数!$M$5)*(1+$E$2)+各项系数!$M$9*$NK146</f>
        <v>1713.9337725500338</v>
      </c>
      <c r="CP146" s="197">
        <f>CQ146+各项系数!$L$9*$NO146</f>
        <v>1739.5230187597765</v>
      </c>
      <c r="CQ146" s="197">
        <f>CR146*(1+$DD146+各项系数!$J$5+各项系数!$L$5)</f>
        <v>1727.6882603513811</v>
      </c>
      <c r="CR146" s="197">
        <f t="shared" si="589"/>
        <v>1693.8120199523344</v>
      </c>
      <c r="CS146" s="196">
        <f>CT146+各项系数!$M$9*$NU146</f>
        <v>1713.7036723501003</v>
      </c>
      <c r="CT146" s="196">
        <f t="shared" si="590"/>
        <v>1701.8285788292003</v>
      </c>
      <c r="CU146" s="197">
        <f>CV146+各项系数!$L$9*$NU146</f>
        <v>1736.5597743155106</v>
      </c>
      <c r="CV146" s="197">
        <f>CW146*(1+$DD146+各项系数!$J$5+各项系数!$L$5)</f>
        <v>1724.6846807946106</v>
      </c>
      <c r="CW146" s="199">
        <f t="shared" si="591"/>
        <v>1690.8673341123633</v>
      </c>
      <c r="CX146" s="196">
        <f>CY146+各项系数!$M$9*$NU146</f>
        <v>1726.5059020628553</v>
      </c>
      <c r="CY146" s="196">
        <f t="shared" si="592"/>
        <v>1714.6308085419553</v>
      </c>
      <c r="CZ146" s="197">
        <f>DA146+各项系数!$L$9*$NU146</f>
        <v>1749.6232740224034</v>
      </c>
      <c r="DA146" s="197">
        <f>DB146*(1+$DD146+各项系数!$J$5+各项系数!$L$5)</f>
        <v>1737.7481805015034</v>
      </c>
      <c r="DB146" s="199">
        <f t="shared" si="593"/>
        <v>1703.6746867661798</v>
      </c>
      <c r="DC146" s="213">
        <f t="shared" si="571"/>
        <v>0</v>
      </c>
      <c r="DD146" s="213">
        <f t="shared" si="594"/>
        <v>0</v>
      </c>
      <c r="DE146" s="53" t="s">
        <v>498</v>
      </c>
      <c r="DF146" s="53" t="s">
        <v>513</v>
      </c>
      <c r="DG146" s="196">
        <f>DH146+各项系数!$M$9*$NQ146</f>
        <v>1732.1112719004977</v>
      </c>
      <c r="DH146" s="196">
        <f>DI146*(1+$EA146+(VLOOKUP($AM146,$A$12:$B$323,2,0))+各项系数!$J$6+各项系数!$M$5)*(1+$E$2)+各项系数!$M$9*$NK146</f>
        <v>1720.2765134921024</v>
      </c>
      <c r="DI146" s="197">
        <f>DJ146+各项系数!$L$9*$NQ146</f>
        <v>1745.9952033945403</v>
      </c>
      <c r="DJ146" s="197">
        <f>DK146*(1+$EB146+各项系数!$J$5+各项系数!$L$5)</f>
        <v>1734.160444986145</v>
      </c>
      <c r="DK146" s="197">
        <f t="shared" si="595"/>
        <v>1683.6509174622765</v>
      </c>
      <c r="DL146" s="196">
        <f>DM146+各项系数!$M$9*$NQ146</f>
        <v>1743.1115336135724</v>
      </c>
      <c r="DM146" s="196">
        <f>DN146*(1+$EA146+(VLOOKUP($AM146,$A$12:$B$323,2,0))+各项系数!$J$6+各项系数!$M$5)*(1+$E$2)+各项系数!$M$9*$NK146</f>
        <v>1731.276775205177</v>
      </c>
      <c r="DN146" s="197">
        <f>DO146+各项系数!$L$9*$NQ146</f>
        <v>1757.2199602446165</v>
      </c>
      <c r="DO146" s="197">
        <f>DP146*(1+$EB146+各项系数!$J$5+各项系数!$L$5)</f>
        <v>1745.3852018362211</v>
      </c>
      <c r="DP146" s="197">
        <f t="shared" si="596"/>
        <v>1694.5487396468166</v>
      </c>
      <c r="DQ146" s="196">
        <f>DR146+各项系数!$M$9*$NV146</f>
        <v>1732.1840999028016</v>
      </c>
      <c r="DR146" s="196">
        <f t="shared" si="597"/>
        <v>1720.3090063819016</v>
      </c>
      <c r="DS146" s="197">
        <f>DT146+各项系数!$L$9*$NV146</f>
        <v>1755.41735345092</v>
      </c>
      <c r="DT146" s="197">
        <f>DU146*(1+$EB146+各项系数!$J$5+各项系数!$L$5)</f>
        <v>1743.54225993002</v>
      </c>
      <c r="DU146" s="199">
        <f t="shared" si="598"/>
        <v>1692.7594756602136</v>
      </c>
      <c r="DV146" s="196">
        <f>DW146+各项系数!$M$9*$NV146</f>
        <v>1728.2699027808515</v>
      </c>
      <c r="DW146" s="196">
        <f t="shared" si="599"/>
        <v>1716.3948092599514</v>
      </c>
      <c r="DX146" s="197">
        <f>DY146+各项系数!$L$9*$NV146</f>
        <v>1751.4232747550525</v>
      </c>
      <c r="DY146" s="197">
        <f>DZ146*(1+$EB146+各项系数!$J$5+各项系数!$L$5)</f>
        <v>1739.5481812341525</v>
      </c>
      <c r="DZ146" s="199">
        <f t="shared" si="600"/>
        <v>1688.881729353546</v>
      </c>
      <c r="EA146" s="213">
        <f t="shared" si="581"/>
        <v>0</v>
      </c>
      <c r="EB146" s="213">
        <f t="shared" si="601"/>
        <v>0.01</v>
      </c>
      <c r="EC146" s="235" t="str">
        <f t="shared" si="649"/>
        <v>4+1</v>
      </c>
      <c r="ED146" s="237" t="str">
        <f t="shared" si="680"/>
        <v>4*630</v>
      </c>
      <c r="EE146" s="189">
        <f t="shared" si="495"/>
        <v>630</v>
      </c>
      <c r="EF146" s="78" t="str">
        <f>LOOKUP(EH146,{1,7,10,14,19,24,30,37,48,61},{1,"1+6","2+8","4+10","1+6+12","2+8+14","4+10+16","1+6+12+18","3+9+15+21","1+6+12+18+24"})</f>
        <v>1+6+12+18+24</v>
      </c>
      <c r="EG146" s="188">
        <f t="shared" si="602"/>
        <v>4</v>
      </c>
      <c r="EH146" s="197">
        <f>VLOOKUP(EE146,各项系数!$B$87:$C$124,2,0)</f>
        <v>61</v>
      </c>
      <c r="EI146" s="188">
        <f>IF(EH146=0,0,VLOOKUP(EH146,各项系数!$D$142:$E$195,2,0))*1</f>
        <v>9</v>
      </c>
      <c r="EJ146" s="238">
        <f t="shared" si="650"/>
        <v>357.20659441456399</v>
      </c>
      <c r="EK146" s="78" t="str">
        <f t="shared" si="681"/>
        <v>1*300</v>
      </c>
      <c r="EL146" s="189" t="str">
        <f t="shared" si="603"/>
        <v>300</v>
      </c>
      <c r="EM146" s="78">
        <f t="shared" si="682"/>
        <v>300</v>
      </c>
      <c r="EN146" s="78" t="str">
        <f>IF(EP146=0,0,LOOKUP(EP146,{1,7,10,14,19,24,30,37,48,61},{1,"1+6","2+8","4+10","1+6+12","2+8+14","4+10+16","1+6+12+18","3+9+15+21","1+6+12+18+24"}))</f>
        <v>1+6+12+18+24</v>
      </c>
      <c r="EO146" s="78" t="str">
        <f t="shared" si="683"/>
        <v>1</v>
      </c>
      <c r="EP146" s="78">
        <f>IF(EM146=0,0,IF(EM146&lt;10,1,IF(AND(EM146&gt;=10,EM146&lt;=35),7,LOOKUP(EM146,{50,70,95,120,150,185,240,300},{10,14,19,24,30,37,48,61})*1)))</f>
        <v>61</v>
      </c>
      <c r="EQ146" s="189">
        <f>IF(EP146=0,0,VLOOKUP(EP146,各项系数!$D$142:$E$195,2,0))*1</f>
        <v>9</v>
      </c>
      <c r="ER146" s="78">
        <f t="shared" si="577"/>
        <v>245.118138379664</v>
      </c>
      <c r="ES146" s="237">
        <f t="shared" si="684"/>
        <v>5</v>
      </c>
      <c r="ET146" s="189">
        <f>VLOOKUP(ES146,各项系数!$D$142:$E$195,2,0)*1</f>
        <v>2.7</v>
      </c>
      <c r="EU146" s="243">
        <f>((各项系数!$F$76/4*$EJ146^2*$EG146*$EH146*1*10^-7)*(1-$H146)*AA146)*(VLOOKUP($EY$9,各项系数!$D$4:$F$143,3,0))*各项系数!$J$4</f>
        <v>22.278231359634489</v>
      </c>
      <c r="EV146" s="244">
        <f>EU146*(VLOOKUP($EY$9,各项系数!$D$4:$F$143,2,0))</f>
        <v>1459.224154056059</v>
      </c>
      <c r="EW146" s="252">
        <f>(IF($EO146=0,0,(各项系数!$F$76/4*$ER146^2*$EO146*$EP146*1*10^-7))*(1-$K146)*$AF146)*(VLOOKUP($EY$9,各项系数!$D$4:$F$143,3,0))*各项系数!$J$4</f>
        <v>2.5971416022939482</v>
      </c>
      <c r="EX146" s="253">
        <f>EW146*(VLOOKUP($EY$9,各项系数!$D$4:$F$143,2,0))</f>
        <v>170.11277495025359</v>
      </c>
      <c r="EY146" s="189">
        <f>((各项系数!$F$76/4*$EJ146^2*$EG146*$EH146*1*10^-7)*(1-$H146)*AA146+IF($EO146=0,0,(各项系数!$F$76/4*$ER146^2*$EO146*$EP146*1*10^-7))*(1-$K146)*$AF146)*(VLOOKUP($EY$9,各项系数!$D$4:$F$143,3,0))*各项系数!$J$4</f>
        <v>24.875372961928441</v>
      </c>
      <c r="EZ146" s="102">
        <v>1</v>
      </c>
      <c r="FA146" s="189">
        <f t="shared" si="515"/>
        <v>24.875372961928441</v>
      </c>
      <c r="FB146" s="254">
        <f>FA146*(VLOOKUP($EY$9,各项系数!$D$4:$F$143,2,0))</f>
        <v>1629.3369290063129</v>
      </c>
      <c r="FC146" s="257"/>
      <c r="FD146" s="235">
        <f>各项系数!$F$76/4*($MN146^2-MK146^2)*10^-2*(VLOOKUP(L146,各项系数!$D$1:$F$143,3,0))*10^-3*10^2*$EG146*各项系数!$J$4</f>
        <v>1.1404263485341837</v>
      </c>
      <c r="FE146" s="262">
        <f>FD146*VLOOKUP(L146,各项系数!$D$1:$F$143,2,0)</f>
        <v>11.632348755048673</v>
      </c>
      <c r="FF146" s="188">
        <f>各项系数!$F$76/4*($MO146^2-ML146^2)*10^-2*(VLOOKUP(L146,各项系数!$D$1:$F$143,3,0))*10^-3*10^2*$EO146*各项系数!$J$4</f>
        <v>0.14767945966878815</v>
      </c>
      <c r="FG146" s="262">
        <f>FF146*VLOOKUP(L146,各项系数!$D$1:$F$143,2,0)</f>
        <v>1.5063304886216391</v>
      </c>
      <c r="FH146" s="235">
        <f t="shared" si="651"/>
        <v>1.2881058082029719</v>
      </c>
      <c r="FI146" s="102">
        <v>1</v>
      </c>
      <c r="FJ146" s="189">
        <f t="shared" si="516"/>
        <v>1.2881058082029719</v>
      </c>
      <c r="FK146" s="262">
        <f>FJ146*VLOOKUP(L146,各项系数!$D$1:$F$143,2,0)</f>
        <v>13.138679243670312</v>
      </c>
      <c r="FL146" s="237"/>
      <c r="FM146" s="106"/>
      <c r="FN146" s="189"/>
      <c r="FO146" s="262"/>
      <c r="FP146" s="282">
        <f t="shared" si="517"/>
        <v>1.2881058082029719</v>
      </c>
      <c r="FQ146" s="282">
        <f t="shared" si="518"/>
        <v>13.138679243670312</v>
      </c>
      <c r="FR146" s="283">
        <f>各项系数!$F$76/4*($MQ146^2-$MN146^2*$EG146-$MO146^2*$EO146)*10^-2</f>
        <v>20.844480614432438</v>
      </c>
      <c r="FS146" s="284">
        <f t="shared" si="652"/>
        <v>1</v>
      </c>
      <c r="FT146" s="285">
        <f t="shared" si="604"/>
        <v>20.844480614432438</v>
      </c>
      <c r="FU146" s="302">
        <f>$FT146*(VLOOKUP($FT$9,各项系数!$D$1:$F$143,3,0))*10^-3*10^2*各项系数!$J$55</f>
        <v>2.4888309853632329</v>
      </c>
      <c r="FV146" s="303">
        <v>1</v>
      </c>
      <c r="FW146" s="304">
        <f t="shared" si="519"/>
        <v>2.4888309853632329</v>
      </c>
      <c r="FX146" s="285">
        <f>FW146*(VLOOKUP($FT$9,各项系数!$D$1:$F$143,2,0))</f>
        <v>7.4664929560896987</v>
      </c>
      <c r="FY146" s="302">
        <f>IF($BK146&lt;&gt;$FY$9,0,各项系数!$F$76/4*($MS146^2-$MQ146^2)*10^-2*(VLOOKUP($FY$9,各项系数!$D$1:$F$143,3,0))*10^-3*10^2)*各项系数!$J$4</f>
        <v>0</v>
      </c>
      <c r="FZ146" s="303">
        <v>1</v>
      </c>
      <c r="GA146" s="304">
        <f t="shared" si="520"/>
        <v>0</v>
      </c>
      <c r="GB146" s="285">
        <f>GA146*(VLOOKUP($FY$9,各项系数!$D$1:$F$143,2,0))</f>
        <v>0</v>
      </c>
      <c r="GC146" s="302">
        <f>IF($BK146&lt;&gt;$GC$9,0,各项系数!$F$76/4*($MS146^2-$MQ146^2)*10^-2*(VLOOKUP($GC$9,各项系数!$D$1:$F$143,3,0))*10^-3*10^2)*各项系数!$J$4</f>
        <v>2.5531671744290656E-2</v>
      </c>
      <c r="GD146" s="303">
        <v>1</v>
      </c>
      <c r="GE146" s="304">
        <f t="shared" si="521"/>
        <v>2.5531671744290656E-2</v>
      </c>
      <c r="GF146" s="285">
        <f>GE146*(VLOOKUP($GC$9,各项系数!$D$1:$F$143,2,0))</f>
        <v>0.32935856550134945</v>
      </c>
      <c r="GG146" s="302">
        <f>IF($BK146&lt;&gt;$GG$9,0,各项系数!$F$76/4*($MS146^2-$MQ146^2)*10^-2*(VLOOKUP($GG$9,各项系数!$D$1:$F$143,3,0))*10^-3*10^2)*各项系数!$J$4</f>
        <v>0</v>
      </c>
      <c r="GH146" s="303">
        <v>1</v>
      </c>
      <c r="GI146" s="304">
        <f t="shared" si="522"/>
        <v>0</v>
      </c>
      <c r="GJ146" s="285">
        <f>GI146*(VLOOKUP($GG$9,各项系数!$D$1:$F$143,2,0))</f>
        <v>0</v>
      </c>
      <c r="GK146" s="302">
        <f>IF($BK146&lt;&gt;$GK$9,0,各项系数!$F$76/4*($MS146^2-$MQ146^2)*10^-2*(VLOOKUP($GK$9,各项系数!$D$1:$F$143,3,0))*10^-3*10^2)*各项系数!$J$4</f>
        <v>0</v>
      </c>
      <c r="GL146" s="303">
        <v>1</v>
      </c>
      <c r="GM146" s="304">
        <f t="shared" si="523"/>
        <v>0</v>
      </c>
      <c r="GN146" s="285">
        <f>GM146*(VLOOKUP($GK$9,各项系数!$D$1:$F$143,2,0))</f>
        <v>0</v>
      </c>
      <c r="GO146" s="304">
        <f t="shared" si="524"/>
        <v>2.5531671744290656E-2</v>
      </c>
      <c r="GP146" s="304">
        <f t="shared" si="525"/>
        <v>0.32935856550134945</v>
      </c>
      <c r="GQ146" s="315">
        <f>各项系数!$F$76/4*($MU146^2-$MS146^2)*10^-2*(VLOOKUP($S146,各项系数!$D$1:$F$143,3,0))*10^-3*10^2*各项系数!$J$4</f>
        <v>1.7341793726760644</v>
      </c>
      <c r="GR146" s="303">
        <v>1</v>
      </c>
      <c r="GS146" s="304">
        <f t="shared" si="526"/>
        <v>1.7341793726760644</v>
      </c>
      <c r="GT146" s="304">
        <f t="shared" si="457"/>
        <v>0</v>
      </c>
      <c r="GU146" s="304">
        <f>ROUND($GS146*(VLOOKUP($S146,各项系数!$D$1:$F$143,2,0))+$E$3*GS146,GT146)</f>
        <v>10</v>
      </c>
      <c r="GV146" s="315">
        <f>各项系数!$F$76/4*($MT146^2-$MS146^2)*10^-2*(VLOOKUP($GV$9,各项系数!$D$1:$F$143,3,0))*10^-3*10^2*各项系数!$J$4*PI()/4*R146</f>
        <v>0.13119295983631832</v>
      </c>
      <c r="GW146" s="303">
        <v>1</v>
      </c>
      <c r="GX146" s="304">
        <f t="shared" si="527"/>
        <v>0.13119295983631832</v>
      </c>
      <c r="GY146" s="304">
        <f>$GX146*(VLOOKUP($GV$9,各项系数!$D$1:$F$143,2,0))</f>
        <v>8.8555247889514863</v>
      </c>
      <c r="GZ146" s="315">
        <f>各项系数!$F$76/4*($MV146^2-$MS146^2)*10^-2*(VLOOKUP($GZ$9,各项系数!$D$1:$F$143,3,0))*10^-3*10^2*各项系数!$J$4</f>
        <v>1.8200883312965037</v>
      </c>
      <c r="HA146" s="303">
        <v>1</v>
      </c>
      <c r="HB146" s="304">
        <f t="shared" si="653"/>
        <v>1.8200883312965037</v>
      </c>
      <c r="HC146" s="304">
        <f>HB146*(VLOOKUP($GZ$9,各项系数!$D$1:$F$143,2,0))</f>
        <v>30.941501632040563</v>
      </c>
      <c r="HD146" s="315">
        <f>各项系数!$F$76/4*($MW146^2-$MT146^2)*10^-2*(VLOOKUP($HD$9,各项系数!$D$1:$F$143,3,0))*10^-3*10^2*各项系数!$J$4</f>
        <v>1.8230616728139377</v>
      </c>
      <c r="HE146" s="303">
        <v>1</v>
      </c>
      <c r="HF146" s="304">
        <f t="shared" si="654"/>
        <v>1.8230616728139377</v>
      </c>
      <c r="HG146" s="304">
        <f>HF146*(VLOOKUP($HD$9,各项系数!$D$1:$F$143,2,0))</f>
        <v>30.992048437836942</v>
      </c>
      <c r="HH146" s="315">
        <f>各项系数!$F$76/4*($MV146^2-$MS146^2)*10^-2*(VLOOKUP($HH$9,各项系数!$D$1:$F$143,3,0))*10^-3*10^2*各项系数!$J$4</f>
        <v>1.8200883312965037</v>
      </c>
      <c r="HI146" s="322">
        <v>1</v>
      </c>
      <c r="HJ146" s="304">
        <f t="shared" si="655"/>
        <v>1.8200883312965037</v>
      </c>
      <c r="HK146" s="304">
        <f>HJ146*(VLOOKUP($HH$9,各项系数!$D$1:$F$143,2,0))</f>
        <v>30.941501632040563</v>
      </c>
      <c r="HL146" s="315">
        <f>各项系数!$F$76/4*($MW146^2-$MT146^2)*10^-2*(VLOOKUP($HL$9,各项系数!$D$1:$F$143,3,0))*10^-3*10^2*各项系数!$J$4</f>
        <v>1.8230616728139377</v>
      </c>
      <c r="HM146" s="322">
        <v>1</v>
      </c>
      <c r="HN146" s="304">
        <f t="shared" si="605"/>
        <v>1.8230616728139377</v>
      </c>
      <c r="HO146" s="304">
        <f>HN146*(VLOOKUP($HL$9,各项系数!$D$1:$F$143,2,0))</f>
        <v>30.992048437836942</v>
      </c>
      <c r="HP146" s="315">
        <f>各项系数!$F$76/4*($MV146^2-$MS146^2)*10^-2*(VLOOKUP(AN146,各项系数!$D$1:$F$143,3,0))*10^-3*10^2*各项系数!$J$4</f>
        <v>1.8451929979350761</v>
      </c>
      <c r="HQ146" s="303">
        <v>1</v>
      </c>
      <c r="HR146" s="304">
        <f t="shared" si="528"/>
        <v>1.8451929979350761</v>
      </c>
      <c r="HS146" s="304">
        <f>HR146*(VLOOKUP(AN146,各项系数!$D$1:$F$143,2,0))</f>
        <v>18.451929979350762</v>
      </c>
      <c r="HT146" s="315">
        <f>各项系数!$F$76/4*($MW146^2-$MT146^2)*10^-2*(VLOOKUP(AN146,各项系数!$D$1:$F$143,3,0))*10^-3*10^2*各项系数!$J$4</f>
        <v>1.8482073510596471</v>
      </c>
      <c r="HU146" s="303">
        <v>1</v>
      </c>
      <c r="HV146" s="304">
        <f t="shared" si="529"/>
        <v>1.8482073510596471</v>
      </c>
      <c r="HW146" s="304">
        <f>HV146*(VLOOKUP(AN146,各项系数!$D$1:$F$143,2,0))</f>
        <v>18.482073510596472</v>
      </c>
      <c r="HX146" s="315">
        <f>各项系数!$F$76/4*($MV146^2-$MS146^2)*10^-2*(VLOOKUP($HX$9,各项系数!$D$1:$F$143,3,0))*10^-3*10^2*各项系数!$J$4</f>
        <v>1.8451929979350761</v>
      </c>
      <c r="HY146" s="322">
        <v>1</v>
      </c>
      <c r="HZ146" s="304">
        <f t="shared" si="530"/>
        <v>1.8451929979350761</v>
      </c>
      <c r="IA146" s="304">
        <f>HZ146*(VLOOKUP($HX$9,各项系数!$D$1:$F$143,2,0))</f>
        <v>20.297122977285838</v>
      </c>
      <c r="IB146" s="315">
        <f>各项系数!$F$76/4*($MW146^2-$MT146^2)*10^-2*(VLOOKUP($IB$9,各项系数!$D$1:$F$143,3,0))*10^-3*10^2*各项系数!$J$4</f>
        <v>1.8482073510596471</v>
      </c>
      <c r="IC146" s="322">
        <v>1</v>
      </c>
      <c r="ID146" s="304">
        <f t="shared" si="531"/>
        <v>1.8482073510596471</v>
      </c>
      <c r="IE146" s="304">
        <f>ID146*(VLOOKUP($IB$9,各项系数!$D$1:$F$143,2,0))</f>
        <v>20.330280861656117</v>
      </c>
      <c r="IF146" s="309"/>
      <c r="IG146" s="315">
        <f t="shared" si="656"/>
        <v>0.21402855212893684</v>
      </c>
      <c r="IH146" s="303">
        <v>1</v>
      </c>
      <c r="II146" s="304">
        <f t="shared" si="532"/>
        <v>0.21402855212893684</v>
      </c>
      <c r="IJ146" s="304">
        <f>II146*(VLOOKUP($IG$8,各项系数!$D$1:$F$143,2,0))</f>
        <v>5.3507138032234209</v>
      </c>
      <c r="IK146" s="315">
        <f>(各项系数!$F$76/4*($MX146^2-$MK146^2)*$EG146)*10^-2*(VLOOKUP($IG$8,各项系数!$D$1:$F$143,3,0))*10^-3*10^2*各项系数!$J$4</f>
        <v>0.18257501073436572</v>
      </c>
      <c r="IL146" s="303">
        <f>IK146*(VLOOKUP($IG$8,各项系数!$D$1:$F$143,2,0))</f>
        <v>4.564375268359143</v>
      </c>
      <c r="IM146" s="304">
        <f>(各项系数!$F$76/4*(($MM146+3*$X146)^2-MM146^2)*$EO146)*10^-2*(VLOOKUP($IG$8,各项系数!$D$1:$F$143,3,0))*10^-3*10^2*各项系数!$J$4</f>
        <v>3.145354139457112E-2</v>
      </c>
      <c r="IN146" s="303">
        <f>IM146*(VLOOKUP($IG$8,各项系数!$D$1:$F$143,2,0))</f>
        <v>0.78633853486427796</v>
      </c>
      <c r="IO146" s="315">
        <f>各项系数!$F$76/4*($MZ146^2-$MX146^2)*10^-2*(VLOOKUP(L146,各项系数!$D$1:$F$143,3,0))*10^-3*10^2*$ES146*各项系数!$J$4</f>
        <v>1.4502899424150775</v>
      </c>
      <c r="IP146" s="303">
        <v>1</v>
      </c>
      <c r="IQ146" s="304">
        <f t="shared" si="533"/>
        <v>1.4502899424150775</v>
      </c>
      <c r="IR146" s="285">
        <f>IQ146*(VLOOKUP(L146,各项系数!$D$1:$F$143,2,0))</f>
        <v>14.79295741263379</v>
      </c>
      <c r="IS146" s="315">
        <f>IF($L146&lt;&gt;$IS$9,0,各项系数!$F$76/4*($MZ146^2-$MX146^2)*10^-2*各项系数!$F$12*10^-3*10^2)*$ES146*各项系数!$J$4</f>
        <v>0</v>
      </c>
      <c r="IT146" s="310">
        <v>1</v>
      </c>
      <c r="IU146" s="304">
        <f t="shared" si="534"/>
        <v>0</v>
      </c>
      <c r="IV146" s="285">
        <f>IU146*各项系数!$E$12</f>
        <v>0</v>
      </c>
      <c r="IW146" s="302">
        <f t="shared" si="535"/>
        <v>1.4502899424150775</v>
      </c>
      <c r="IX146" s="302">
        <f t="shared" si="536"/>
        <v>14.79295741263379</v>
      </c>
      <c r="IY146" s="339">
        <f>各项系数!$F$76/4*($NB146^2-$MZ146^2*$EG146-$NA146^2*$EO146)*10^-2</f>
        <v>22.066559600453278</v>
      </c>
      <c r="IZ146" s="284">
        <f t="shared" si="487"/>
        <v>1</v>
      </c>
      <c r="JA146" s="285">
        <f t="shared" si="606"/>
        <v>22.066559600453278</v>
      </c>
      <c r="JB146" s="282">
        <f>IF($DE146&lt;&gt;$JB$9,0,$JA146*各项系数!$F$32*10^-3*10^2)*各项系数!$J$4</f>
        <v>0</v>
      </c>
      <c r="JC146" s="102">
        <v>1</v>
      </c>
      <c r="JD146" s="189">
        <f t="shared" si="537"/>
        <v>0</v>
      </c>
      <c r="JE146" s="262">
        <f>JD146*各项系数!$E$32</f>
        <v>0</v>
      </c>
      <c r="JF146" s="282">
        <f>IF($DE146&lt;&gt;$JF$9,0,$JA146*VLOOKUP($JF$9,各项系数!$D$4:$F$540,2,0)*10^-3*10^2)*各项系数!$J$4</f>
        <v>10.978113401225507</v>
      </c>
      <c r="JG146" s="102">
        <v>1</v>
      </c>
      <c r="JH146" s="189">
        <f t="shared" si="607"/>
        <v>10.978113401225507</v>
      </c>
      <c r="JI146" s="262">
        <f>JH146*VLOOKUP($JF$9,各项系数!$D$4:$F$540,3,0)</f>
        <v>13.173736081470608</v>
      </c>
      <c r="JJ146" s="282">
        <f t="shared" si="538"/>
        <v>10.978113401225507</v>
      </c>
      <c r="JK146" s="189">
        <f t="shared" si="539"/>
        <v>13.173736081470608</v>
      </c>
      <c r="JL146" s="282">
        <f>IF($DF146&lt;&gt;$JL$9,0,各项系数!$F$76/4*($NE146^2-$NC146^2)*10^-2*各项系数!$F$39*10^-3*10^2)*各项系数!$J$4</f>
        <v>1.0809100832643779E-2</v>
      </c>
      <c r="JM146" s="102">
        <v>1</v>
      </c>
      <c r="JN146" s="189">
        <f t="shared" si="540"/>
        <v>1.0809100832643779E-2</v>
      </c>
      <c r="JO146" s="262">
        <f>JN146*各项系数!$E$39</f>
        <v>0.21618201665287556</v>
      </c>
      <c r="JP146" s="282">
        <f>IF($DF146&lt;&gt;$JP$9,0,各项系数!$F$76/4*($NE146^2-$NC146^2)*10^-2*各项系数!$F$36*10^-3*10^2)*各项系数!$J$4</f>
        <v>0</v>
      </c>
      <c r="JQ146" s="102">
        <v>1</v>
      </c>
      <c r="JR146" s="189">
        <f t="shared" si="541"/>
        <v>0</v>
      </c>
      <c r="JS146" s="262">
        <f>JR146*各项系数!$E$36</f>
        <v>0</v>
      </c>
      <c r="JT146" s="282">
        <f>IF($DF146&lt;&gt;$JT$9,0,各项系数!$F$76/4*($NE146^2-$NC146^2)*10^-2*各项系数!$F$40*10^-3*10^2)*各项系数!$J$4</f>
        <v>0</v>
      </c>
      <c r="JU146" s="102">
        <v>1</v>
      </c>
      <c r="JV146" s="189">
        <f t="shared" si="542"/>
        <v>0</v>
      </c>
      <c r="JW146" s="262">
        <f>JV146*各项系数!$E$40</f>
        <v>0</v>
      </c>
      <c r="JX146" s="282">
        <f>IF($DF146&lt;&gt;$JX$9,0,各项系数!$F$76/4*($NE146^2-$NC146^2)*10^-2*各项系数!$F$38*10^-3*10^2)*各项系数!$J$4</f>
        <v>0</v>
      </c>
      <c r="JY146" s="102">
        <v>1</v>
      </c>
      <c r="JZ146" s="189">
        <f t="shared" si="543"/>
        <v>0</v>
      </c>
      <c r="KA146" s="262">
        <f>JZ146*各项系数!$E$38</f>
        <v>0</v>
      </c>
      <c r="KB146" s="282">
        <f>IF($DF146&lt;&gt;$KB$9,0,各项系数!$F$76/4*($NE146^2-$NC146^2)*10^-2*各项系数!$F$41*10^-3*10^2)*各项系数!$J$4</f>
        <v>0</v>
      </c>
      <c r="KC146" s="102">
        <v>1</v>
      </c>
      <c r="KD146" s="189">
        <f t="shared" si="544"/>
        <v>0</v>
      </c>
      <c r="KE146" s="262">
        <f>KD146*各项系数!$E$41</f>
        <v>0</v>
      </c>
      <c r="KF146" s="189">
        <f t="shared" si="545"/>
        <v>1.0809100832643779E-2</v>
      </c>
      <c r="KG146" s="189">
        <f t="shared" si="546"/>
        <v>0.21618201665287556</v>
      </c>
      <c r="KH146" s="235">
        <f>各项系数!$F$76/4*($NG146^2-$NE146^2)*10^-2*各项系数!$F$44*10^-3*10^2*各项系数!$J$4*0.75*$U146</f>
        <v>2.6653989903672697</v>
      </c>
      <c r="KI146" s="102">
        <v>1</v>
      </c>
      <c r="KJ146" s="189">
        <f t="shared" si="547"/>
        <v>2.6653989903672697</v>
      </c>
      <c r="KK146" s="189">
        <f>ROUND(KJ146*各项系数!$E$43,GT146)</f>
        <v>15</v>
      </c>
      <c r="KL146" s="235">
        <f>各项系数!$F$76/4*($NF146^2-$NE146^2)*10^-2*各项系数!$F$46*10^-3*10^2*各项系数!$J$4*PI()/4*R146</f>
        <v>0.13445037501580562</v>
      </c>
      <c r="KM146" s="102">
        <v>1</v>
      </c>
      <c r="KN146" s="189">
        <f t="shared" si="548"/>
        <v>0.13445037501580562</v>
      </c>
      <c r="KO146" s="189">
        <f>KN146*各项系数!$E$46</f>
        <v>9.0754003135668793</v>
      </c>
      <c r="KP146" s="235">
        <f>各项系数!$F$76/4*($NH146^2-$NE146^2)*10^-2*(VLOOKUP($KP$9,各项系数!$D$1:$F$143,3,0))*10^-3*10^2*各项系数!$J$4</f>
        <v>1.8634247839131042</v>
      </c>
      <c r="KQ146" s="102">
        <v>1</v>
      </c>
      <c r="KR146" s="189">
        <f t="shared" si="657"/>
        <v>1.8634247839131042</v>
      </c>
      <c r="KS146" s="189">
        <f>KR146*(VLOOKUP($KP$9,各项系数!$D$1:$F$143,2,0))</f>
        <v>31.67822132652277</v>
      </c>
      <c r="KT146" s="235">
        <f>各项系数!$F$76/4*($NI146^2-$NF146^2)*10^-2*(VLOOKUP($KT$9,各项系数!$D$1:$F$143,3,0))*10^-3*10^2*各项系数!$J$4</f>
        <v>1.8663981254305404</v>
      </c>
      <c r="KU146" s="102">
        <v>1</v>
      </c>
      <c r="KV146" s="189">
        <f t="shared" si="658"/>
        <v>1.8663981254305404</v>
      </c>
      <c r="KW146" s="189">
        <f>KV146*(VLOOKUP($KT$9,各项系数!$D$1:$F$143,2,0))</f>
        <v>31.728768132319185</v>
      </c>
      <c r="KX146" s="189">
        <f>各项系数!$F$76/4*($NH146^2-$NE146^2)*10^-2*(VLOOKUP($KX$9,各项系数!$D$1:$F$143,3,0))*10^-3*10^2*各项系数!$J$4</f>
        <v>1.8634247839131042</v>
      </c>
      <c r="KY146" s="353">
        <v>1</v>
      </c>
      <c r="KZ146" s="189">
        <f t="shared" si="659"/>
        <v>1.8634247839131042</v>
      </c>
      <c r="LA146" s="189">
        <f>KZ146*(VLOOKUP($KX$9,各项系数!$D$1:$F$143,2,0))</f>
        <v>31.67822132652277</v>
      </c>
      <c r="LB146" s="189">
        <f>各项系数!$F$76/4*($NI146^2-$NF146^2)*10^-2*(VLOOKUP($LB$9,各项系数!$D$1:$F$143,3,0))*10^-3*10^2*各项系数!$J$4</f>
        <v>1.8663981254305404</v>
      </c>
      <c r="LC146" s="353">
        <v>1</v>
      </c>
      <c r="LD146" s="189">
        <f t="shared" si="660"/>
        <v>1.8663981254305404</v>
      </c>
      <c r="LE146" s="189">
        <f>LD146*(VLOOKUP($LB$9,各项系数!$D$1:$F$143,2,0))</f>
        <v>31.728768132319185</v>
      </c>
      <c r="LF146" s="235">
        <f>各项系数!$F$76/4*($NH146^2-$NE146^2)*10^-2*(VLOOKUP(AN146,各项系数!$D$1:$F$143,3,0))*10^-3*10^2*各项系数!$J$4</f>
        <v>1.8891271947256989</v>
      </c>
      <c r="LG146" s="102">
        <v>1</v>
      </c>
      <c r="LH146" s="189">
        <f t="shared" si="549"/>
        <v>1.8891271947256989</v>
      </c>
      <c r="LI146" s="189">
        <f>LH146*(VLOOKUP(AN146,各项系数!$D$1:$F$143,2,0))</f>
        <v>18.891271947256989</v>
      </c>
      <c r="LJ146" s="235">
        <f>各项系数!$F$76/4*($NI146^2-$NF146^2)*10^-2*(VLOOKUP(AN146,各项系数!$D$1:$F$143,3,0))*10^-3*10^2*各项系数!$J$4</f>
        <v>1.8921415478502721</v>
      </c>
      <c r="LK146" s="102">
        <v>1</v>
      </c>
      <c r="LL146" s="189">
        <f t="shared" si="550"/>
        <v>1.8921415478502721</v>
      </c>
      <c r="LM146" s="189">
        <f>LL146*(VLOOKUP(AN146,各项系数!$D$1:$F$143,2,0))</f>
        <v>18.92141547850272</v>
      </c>
      <c r="LN146" s="189">
        <f>各项系数!$F$76/4*($NH146^2-$NE146^2)*10^-2*(VLOOKUP($LN$9,各项系数!$D$1:$F$143,3,0))*10^-3*10^2*各项系数!$J$4</f>
        <v>1.8891271947256989</v>
      </c>
      <c r="LO146" s="353">
        <v>1</v>
      </c>
      <c r="LP146" s="189">
        <f t="shared" si="551"/>
        <v>1.8891271947256989</v>
      </c>
      <c r="LQ146" s="189">
        <f>LP146*(VLOOKUP($LN$9,各项系数!$D$1:$F$143,2,0))</f>
        <v>20.780399141982688</v>
      </c>
      <c r="LR146" s="189">
        <f>各项系数!$F$76/4*($NI146^2-$NF146^2)*10^-2*(VLOOKUP($LR$9,各项系数!$D$1:$F$143,3,0))*10^-3*10^2*各项系数!$J$4</f>
        <v>1.8921415478502721</v>
      </c>
      <c r="LS146" s="353">
        <v>1</v>
      </c>
      <c r="LT146" s="189">
        <f t="shared" si="552"/>
        <v>1.8921415478502721</v>
      </c>
      <c r="LU146" s="189">
        <f>LT146*(VLOOKUP($LR$9,各项系数!$D$1:$F$143,2,0))</f>
        <v>20.813557026352992</v>
      </c>
      <c r="LV146" s="227">
        <f t="shared" si="661"/>
        <v>3246.9367315200002</v>
      </c>
      <c r="LW146" s="227">
        <f t="shared" si="662"/>
        <v>2445.2239583099999</v>
      </c>
      <c r="LX146" s="227">
        <f t="shared" si="663"/>
        <v>55.797453700452472</v>
      </c>
      <c r="LY146" s="227">
        <f t="shared" si="664"/>
        <v>801.71277321000025</v>
      </c>
      <c r="LZ146" s="374">
        <f t="shared" si="608"/>
        <v>1</v>
      </c>
      <c r="MA146" s="375">
        <f t="shared" si="609"/>
        <v>3246.9367315200002</v>
      </c>
      <c r="MB146" s="375">
        <f t="shared" si="665"/>
        <v>32.148593460000001</v>
      </c>
      <c r="MC146" s="227">
        <f t="shared" si="666"/>
        <v>382.23090564</v>
      </c>
      <c r="MD146" s="227">
        <f t="shared" si="667"/>
        <v>287.85290335000002</v>
      </c>
      <c r="ME146" s="227">
        <f t="shared" si="668"/>
        <v>19.144338578599388</v>
      </c>
      <c r="MF146" s="227">
        <f t="shared" si="669"/>
        <v>94.378002289999984</v>
      </c>
      <c r="MG146" s="374">
        <f t="shared" si="670"/>
        <v>1</v>
      </c>
      <c r="MH146" s="375">
        <f t="shared" si="610"/>
        <v>382.23090564</v>
      </c>
      <c r="MI146" s="375">
        <f t="shared" si="671"/>
        <v>22.060632454233549</v>
      </c>
      <c r="MJ146" s="189">
        <f t="shared" si="611"/>
        <v>32.148593460000001</v>
      </c>
      <c r="MK146" s="189">
        <f t="shared" si="672"/>
        <v>32.148593460000001</v>
      </c>
      <c r="ML146" s="189">
        <f t="shared" si="553"/>
        <v>22.06063245416976</v>
      </c>
      <c r="MM146" s="189">
        <f t="shared" si="612"/>
        <v>22.060632454233549</v>
      </c>
      <c r="MN146" s="189">
        <f t="shared" si="613"/>
        <v>36.948593459999998</v>
      </c>
      <c r="MO146" s="189">
        <f t="shared" si="673"/>
        <v>25.66063245423355</v>
      </c>
      <c r="MP146" s="189">
        <f t="shared" si="674"/>
        <v>93.665703399999998</v>
      </c>
      <c r="MQ146" s="189">
        <f t="shared" si="554"/>
        <v>93.665703399999998</v>
      </c>
      <c r="MR146" s="246">
        <f t="shared" si="675"/>
        <v>93.665703399999998</v>
      </c>
      <c r="MS146" s="380">
        <f t="shared" si="614"/>
        <v>93.8417034</v>
      </c>
      <c r="MT146" s="380">
        <f t="shared" si="615"/>
        <v>94.001703399999997</v>
      </c>
      <c r="MU146" s="380">
        <f t="shared" si="616"/>
        <v>95.3417034</v>
      </c>
      <c r="MV146" s="380">
        <f t="shared" si="617"/>
        <v>102.0417034</v>
      </c>
      <c r="MW146" s="380">
        <f t="shared" si="618"/>
        <v>102.2017034</v>
      </c>
      <c r="MX146" s="254">
        <f t="shared" si="619"/>
        <v>32.748593460000002</v>
      </c>
      <c r="MY146" s="254">
        <f t="shared" si="620"/>
        <v>22.66063245423355</v>
      </c>
      <c r="MZ146" s="189">
        <f t="shared" si="621"/>
        <v>37.548593459999999</v>
      </c>
      <c r="NA146" s="189">
        <f t="shared" si="622"/>
        <v>27.460632454233551</v>
      </c>
      <c r="NB146" s="189">
        <f t="shared" si="676"/>
        <v>95.933703399999999</v>
      </c>
      <c r="NC146" s="254">
        <f t="shared" si="555"/>
        <v>95.933703399999999</v>
      </c>
      <c r="ND146" s="246">
        <f t="shared" si="677"/>
        <v>95.933703399999999</v>
      </c>
      <c r="NE146" s="386">
        <f t="shared" si="678"/>
        <v>96.173703399999994</v>
      </c>
      <c r="NF146" s="380">
        <f t="shared" si="623"/>
        <v>96.33370339999999</v>
      </c>
      <c r="NG146" s="387">
        <f t="shared" si="624"/>
        <v>97.673703399999994</v>
      </c>
      <c r="NH146" s="254">
        <f t="shared" si="625"/>
        <v>104.3737034</v>
      </c>
      <c r="NI146" s="380">
        <f t="shared" si="626"/>
        <v>104.53370339999999</v>
      </c>
      <c r="NK146" s="388">
        <f t="shared" si="627"/>
        <v>30.670713884842801</v>
      </c>
      <c r="NL146" s="388">
        <f t="shared" si="628"/>
        <v>1670.2297202395466</v>
      </c>
      <c r="NM146" s="388">
        <f t="shared" si="629"/>
        <v>30.670713884842801</v>
      </c>
      <c r="NN146" s="388">
        <f t="shared" si="630"/>
        <v>1672.0749132374817</v>
      </c>
      <c r="NO146" s="388">
        <f t="shared" si="631"/>
        <v>39.449194694650878</v>
      </c>
      <c r="NP146" s="388">
        <f t="shared" si="632"/>
        <v>1682.5481288024148</v>
      </c>
      <c r="NQ146" s="388">
        <f t="shared" si="633"/>
        <v>39.449194694650878</v>
      </c>
      <c r="NR146" s="388">
        <f t="shared" si="634"/>
        <v>1684.4372559971407</v>
      </c>
      <c r="NS146" s="388">
        <f t="shared" si="635"/>
        <v>30.80190684467912</v>
      </c>
      <c r="NT146" s="388">
        <f t="shared" si="636"/>
        <v>30.80190684467912</v>
      </c>
      <c r="NU146" s="388">
        <f t="shared" si="637"/>
        <v>39.58364506966668</v>
      </c>
      <c r="NV146" s="388">
        <f t="shared" si="638"/>
        <v>39.58364506966668</v>
      </c>
      <c r="NW146">
        <f t="shared" si="639"/>
        <v>32.404893257518864</v>
      </c>
      <c r="NX146">
        <f>各项系数!$M$9*NK146</f>
        <v>9.2012141654528392</v>
      </c>
      <c r="NY146">
        <f t="shared" si="640"/>
        <v>30.80190684467912</v>
      </c>
    </row>
    <row r="147" spans="1:389" ht="15" hidden="1" customHeight="1">
      <c r="A147" s="16"/>
      <c r="B147" s="151"/>
      <c r="C147" s="198"/>
      <c r="D147" s="198" t="s">
        <v>939</v>
      </c>
      <c r="E147" s="404">
        <f t="shared" si="679"/>
        <v>114.21914799</v>
      </c>
      <c r="F147" s="68">
        <f>$F$35</f>
        <v>404.21883750578098</v>
      </c>
      <c r="G147" s="58"/>
      <c r="H147" s="16"/>
      <c r="I147" s="145">
        <f>$F$32</f>
        <v>277.18119106381198</v>
      </c>
      <c r="J147" s="62"/>
      <c r="K147" s="16"/>
      <c r="L147" s="97" t="s">
        <v>467</v>
      </c>
      <c r="M147" s="103">
        <f t="shared" si="582"/>
        <v>2.6</v>
      </c>
      <c r="N147" s="103">
        <f t="shared" si="583"/>
        <v>2</v>
      </c>
      <c r="O147" s="53">
        <f t="shared" si="580"/>
        <v>0.08</v>
      </c>
      <c r="P147" s="99">
        <v>0.1</v>
      </c>
      <c r="Q147" s="133">
        <f t="shared" si="685"/>
        <v>0.1</v>
      </c>
      <c r="R147" s="70">
        <v>0.8</v>
      </c>
      <c r="S147" s="142" t="str">
        <f>各项系数!$D$43</f>
        <v>钢带</v>
      </c>
      <c r="T147" s="62">
        <v>0.5</v>
      </c>
      <c r="U147" s="62">
        <v>2</v>
      </c>
      <c r="V147" s="143"/>
      <c r="W147" s="145">
        <v>4.3</v>
      </c>
      <c r="X147" s="135">
        <f t="shared" si="686"/>
        <v>0.2</v>
      </c>
      <c r="Y147" s="135"/>
      <c r="Z147" s="168"/>
      <c r="AA147" s="153">
        <f>$AA$35</f>
        <v>1.03</v>
      </c>
      <c r="AB147" s="153">
        <f>PI()*EJ147*EJ147/4*EH147*(1-H147)*AA147*各项系数!$F$5*各项系数!$J$4*10^-7</f>
        <v>7.1320582293852581</v>
      </c>
      <c r="AC147" s="153">
        <f t="shared" si="573"/>
        <v>404.21883750578098</v>
      </c>
      <c r="AD147" s="153">
        <f t="shared" si="584"/>
        <v>806.28770730878898</v>
      </c>
      <c r="AE147" s="153">
        <f>POWER(4*EU147/PI()/EG147/10^-7/EH147/(1-H147)/各项系数!$F$5/各项系数!$J$4,0.5)</f>
        <v>410.23731504138033</v>
      </c>
      <c r="AF147" s="69">
        <f>$AA$31</f>
        <v>1.02</v>
      </c>
      <c r="AG147" s="69">
        <f>IF(EM147=0,0,PI()*ER147*ER147/4*EP147*(1-K147)*(1+AF147)*各项系数!$F$5*各项系数!$J$4*10^-7)</f>
        <v>6.5769333500561356</v>
      </c>
      <c r="AH147" s="69">
        <f t="shared" si="574"/>
        <v>277.18119106381198</v>
      </c>
      <c r="AI147" s="69">
        <f t="shared" si="641"/>
        <v>375.44593055473609</v>
      </c>
      <c r="AJ147" s="69">
        <f>IF(OR(EP147="",EP147=0),0,POWER(4*EW147/PI()/EO147/10^-7/EP147/(1-K147)/各项系数!$F$5/各项系数!$J$4,0.5))</f>
        <v>279.93928079700521</v>
      </c>
      <c r="AK147" s="69">
        <f t="shared" si="585"/>
        <v>31.849258668559479</v>
      </c>
      <c r="AL147" s="69">
        <f t="shared" si="575"/>
        <v>2199.206603376454</v>
      </c>
      <c r="AM147" s="106">
        <f t="shared" si="576"/>
        <v>800</v>
      </c>
      <c r="AN147" s="97" t="s">
        <v>486</v>
      </c>
      <c r="AO147" s="196">
        <f>AP147+各项系数!$M$9*$NK147</f>
        <v>2156.0849052710332</v>
      </c>
      <c r="AP147" s="196">
        <f>AQ147*(1+$BI147+(VLOOKUP($AM147,$A$12:$B$323,2,0))+各项系数!$J$6+各项系数!$M$5)*(1+$E$2)</f>
        <v>2144.3939453203543</v>
      </c>
      <c r="AQ147" s="197">
        <f>AR147+各项系数!$L$9*$NK147</f>
        <v>2188.157087061586</v>
      </c>
      <c r="AR147" s="197">
        <f>AS147*(1+$BJ147+各项系数!$J$5+各项系数!$L$5)</f>
        <v>2176.4661271109071</v>
      </c>
      <c r="AS147" s="197">
        <f t="shared" si="642"/>
        <v>2133.7903206969677</v>
      </c>
      <c r="AT147" s="196">
        <f>AU147+各项系数!$M$9*$NM147</f>
        <v>2170.7797191788877</v>
      </c>
      <c r="AU147" s="196">
        <f>AV147*(1+$BI147+(VLOOKUP($AM147,$A$12:$B$323,2,0))+各项系数!$J$6+各项系数!$M$5)*(1+$E$2)</f>
        <v>2159.0887592282088</v>
      </c>
      <c r="AV147" s="197">
        <f>AW147+各项系数!$L$9*$NM147</f>
        <v>2203.1517951308251</v>
      </c>
      <c r="AW147" s="197">
        <f>AX147*(1+$BJ147+各项系数!$J$5+各项系数!$L$5)</f>
        <v>2191.4608351801462</v>
      </c>
      <c r="AX147" s="197">
        <f t="shared" si="643"/>
        <v>2148.4910148824961</v>
      </c>
      <c r="AY147" s="196">
        <f>AZ147+各项系数!$M$9*$NS147</f>
        <v>2166.1661965912367</v>
      </c>
      <c r="AZ147" s="196">
        <f>BA147*(1+$BI147+(VLOOKUP($AM147,$A$12:$B$214,2,0))+各项系数!$J$6+各项系数!$M$5)*(1+$E$2)</f>
        <v>2154.4309434146849</v>
      </c>
      <c r="BA147" s="197">
        <f>BB147+各项系数!$L$9*$NS147</f>
        <v>2198.3989218517195</v>
      </c>
      <c r="BB147" s="197">
        <f>BC147*(1+$BJ147+各项系数!$J$5+各项系数!$L$5)</f>
        <v>2186.6636686751676</v>
      </c>
      <c r="BC147" s="199">
        <f t="shared" si="644"/>
        <v>2143.7879104658505</v>
      </c>
      <c r="BD147" s="196">
        <f>BE147+各项系数!$M$9*$NS147</f>
        <v>2180.8824004959047</v>
      </c>
      <c r="BE147" s="196">
        <f>BF147*(1+$BI147+(VLOOKUP($AM147,$A$12:$B$214,2,0))+各项系数!$J$6+各项系数!$M$5)*(1+$E$2)</f>
        <v>2169.1471473193528</v>
      </c>
      <c r="BF147" s="197">
        <f>BG147+各项系数!$L$9*$NS147</f>
        <v>2213.4154564483192</v>
      </c>
      <c r="BG147" s="197">
        <f>BH147*(1+$BJ147+各项系数!$J$5+各项系数!$L$5)</f>
        <v>2201.6802032717674</v>
      </c>
      <c r="BH147" s="199">
        <f t="shared" si="645"/>
        <v>2158.5100032076152</v>
      </c>
      <c r="BI147" s="213"/>
      <c r="BJ147" s="208"/>
      <c r="BK147" s="102" t="s">
        <v>514</v>
      </c>
      <c r="BL147" s="196">
        <f>BM147+各项系数!$M$9*$NM147</f>
        <v>2179.1883272626055</v>
      </c>
      <c r="BM147" s="196">
        <f>BN147*(1+$CF147+(VLOOKUP($AM147,$A$12:$B$323,2,0))+各项系数!$J$6+各项系数!$M$5)*(1+$E$2)</f>
        <v>2167.4973673119266</v>
      </c>
      <c r="BN147" s="197">
        <f>BO147+各项系数!$L$9*$NM147</f>
        <v>2211.7320074611498</v>
      </c>
      <c r="BO147" s="197">
        <f>BP147*(1+$CG147+各项系数!$J$5+各项系数!$L$5)</f>
        <v>2200.0410475104709</v>
      </c>
      <c r="BP147" s="197">
        <f t="shared" si="646"/>
        <v>2135.9621820490006</v>
      </c>
      <c r="BQ147" s="196">
        <f>BR147+各项系数!$M$9*$NM147</f>
        <v>2191.8349311247357</v>
      </c>
      <c r="BR147" s="196">
        <f>BS147*(1+$CF147+(VLOOKUP($AM147,$A$12:$B$323,2,0))+各项系数!$J$6+各项系数!$M$5)*(1+$E$2)</f>
        <v>2180.1439711740568</v>
      </c>
      <c r="BS147" s="197">
        <f>BT147+各项系数!$L$9*$NM147</f>
        <v>2224.63670527965</v>
      </c>
      <c r="BT147" s="197">
        <f>BU147*(1+$CG147+各项系数!$J$5+各项系数!$L$5)</f>
        <v>2212.945745328971</v>
      </c>
      <c r="BU147" s="197">
        <f t="shared" si="647"/>
        <v>2148.4910148824961</v>
      </c>
      <c r="BV147" s="196">
        <f>BW147+各项系数!$M$9*$NT147</f>
        <v>2177.8783360964662</v>
      </c>
      <c r="BW147" s="196">
        <f>BX147*(1+$CF147+(VLOOKUP($AM147,$A$12:$B$214,2,0))+各项系数!$J$6+各项系数!$M$5)*(1+$E$2)</f>
        <v>2166.1430829199144</v>
      </c>
      <c r="BX147" s="197">
        <f>BY147+各项系数!$L$9*$NT$12</f>
        <v>2210.3500846121574</v>
      </c>
      <c r="BY147" s="197">
        <f>BZ147*(1+$CG147+各项系数!$J$5+各项系数!$L$5)</f>
        <v>2210.3418212090023</v>
      </c>
      <c r="BZ147" s="199">
        <f t="shared" si="586"/>
        <v>2145.9629332126237</v>
      </c>
      <c r="CA147" s="196">
        <f>CB147+各项系数!$M$9*$NT147</f>
        <v>2190.5433485494104</v>
      </c>
      <c r="CB147" s="196">
        <f>CC147*(1+$CF147+(VLOOKUP($AM147,$A$12:$B$214,2,0))+各项系数!$J$6+各项系数!$M$5)*(1+$E$2)</f>
        <v>2178.8080953728586</v>
      </c>
      <c r="CC147" s="197">
        <f>CD147+各项系数!$L$9*$NT$12</f>
        <v>2223.2735667069987</v>
      </c>
      <c r="CD147" s="197">
        <f>CE147*(1+$CG147+各项系数!$J$5+各项系数!$L$5)</f>
        <v>2223.2653033038437</v>
      </c>
      <c r="CE147" s="199">
        <f t="shared" si="648"/>
        <v>2158.5100032076152</v>
      </c>
      <c r="CF147" s="213">
        <f t="shared" si="514"/>
        <v>0</v>
      </c>
      <c r="CG147" s="213">
        <f t="shared" si="587"/>
        <v>0.01</v>
      </c>
      <c r="CH147" s="106"/>
      <c r="CI147" s="196">
        <f>CJ147+各项系数!$M$9*$NO147</f>
        <v>2189.7456095780653</v>
      </c>
      <c r="CJ147" s="196">
        <f>CK147*(1+$DC147+(VLOOKUP($AM147,$A$12:$B$323,2,0))+各项系数!$J$6+各项系数!$M$5)*(1+$E$2)+各项系数!$M$9*$NK147</f>
        <v>2174.7583872960586</v>
      </c>
      <c r="CK147" s="197">
        <f>CL147+各项系数!$L$9*$NO147</f>
        <v>2207.2116605565097</v>
      </c>
      <c r="CL147" s="197">
        <f>CM147*(1+$DD147+各项系数!$J$5+各项系数!$L$5)</f>
        <v>2192.224438274503</v>
      </c>
      <c r="CM147" s="197">
        <f t="shared" si="588"/>
        <v>2149.2396453671599</v>
      </c>
      <c r="CN147" s="196">
        <f>CO147+各项系数!$M$9*$NO147</f>
        <v>2203.9798345118193</v>
      </c>
      <c r="CO147" s="196">
        <f>CP147*(1+$DC147+(VLOOKUP($AM147,$A$12:$B$323,2,0))+各项系数!$J$6+各项系数!$M$5)*(1+$E$2)+各项系数!$M$9*$NK147</f>
        <v>2188.9926122298125</v>
      </c>
      <c r="CP147" s="197">
        <f>CQ147+各项系数!$L$9*$NO147</f>
        <v>2221.7363798766669</v>
      </c>
      <c r="CQ147" s="197">
        <f>CR147*(1+$DD147+各项系数!$J$5+各项系数!$L$5)</f>
        <v>2206.7491575946601</v>
      </c>
      <c r="CR147" s="197">
        <f t="shared" si="589"/>
        <v>2163.4795662692745</v>
      </c>
      <c r="CS147" s="196">
        <f>CT147+各项系数!$M$9*$NU147</f>
        <v>2188.3576634266124</v>
      </c>
      <c r="CT147" s="196">
        <f t="shared" si="590"/>
        <v>2173.3251706941787</v>
      </c>
      <c r="CU147" s="197">
        <f>CV147+各项系数!$L$9*$NU147</f>
        <v>2217.6787456063048</v>
      </c>
      <c r="CV147" s="197">
        <f>CW147*(1+$DD147+各项系数!$J$5+各项系数!$L$5)</f>
        <v>2202.6462528738712</v>
      </c>
      <c r="CW147" s="199">
        <f t="shared" si="591"/>
        <v>2159.4571106606581</v>
      </c>
      <c r="CX147" s="196">
        <f>CY147+各项系数!$M$9*$NU147</f>
        <v>2203.3856265348386</v>
      </c>
      <c r="CY147" s="196">
        <f t="shared" si="592"/>
        <v>2188.353133802405</v>
      </c>
      <c r="CZ147" s="197">
        <f>DA147+各项系数!$L$9*$NU147</f>
        <v>2233.0134018391886</v>
      </c>
      <c r="DA147" s="197">
        <f>DB147*(1+$DD147+各项系数!$J$5+各项系数!$L$5)</f>
        <v>2217.980909106755</v>
      </c>
      <c r="DB147" s="199">
        <f t="shared" si="593"/>
        <v>2174.4910873595636</v>
      </c>
      <c r="DC147" s="213">
        <f t="shared" si="571"/>
        <v>0</v>
      </c>
      <c r="DD147" s="213">
        <f t="shared" si="594"/>
        <v>0</v>
      </c>
      <c r="DE147" s="53" t="s">
        <v>498</v>
      </c>
      <c r="DF147" s="53" t="s">
        <v>513</v>
      </c>
      <c r="DG147" s="196">
        <f>DH147+各项系数!$M$9*$NQ147</f>
        <v>2213.0469454066333</v>
      </c>
      <c r="DH147" s="196">
        <f>DI147*(1+$EA147+(VLOOKUP($AM147,$A$12:$B$323,2,0))+各项系数!$J$6+各项系数!$M$5)*(1+$E$2)+各项系数!$M$9*$NK147</f>
        <v>2198.0597231246265</v>
      </c>
      <c r="DI147" s="197">
        <f>DJ147+各项系数!$L$9*$NQ147</f>
        <v>2230.9885338509671</v>
      </c>
      <c r="DJ147" s="197">
        <f>DK147*(1+$EB147+各项系数!$J$5+各项系数!$L$5)</f>
        <v>2216.0013115689603</v>
      </c>
      <c r="DK147" s="197">
        <f t="shared" si="595"/>
        <v>2151.4575840475341</v>
      </c>
      <c r="DL147" s="196">
        <f>DM147+各项系数!$M$9*$NQ147</f>
        <v>2225.9618544798741</v>
      </c>
      <c r="DM147" s="196">
        <f>DN147*(1+$EA147+(VLOOKUP($AM147,$A$12:$B$323,2,0))+各项系数!$J$6+各项系数!$M$5)*(1+$E$2)+各项系数!$M$9*$NK147</f>
        <v>2210.9746321978673</v>
      </c>
      <c r="DN147" s="197">
        <f>DO147+各项系数!$L$9*$NQ147</f>
        <v>2244.1670124971311</v>
      </c>
      <c r="DO147" s="197">
        <f>DP147*(1+$EB147+各项系数!$J$5+各项系数!$L$5)</f>
        <v>2229.1797902151243</v>
      </c>
      <c r="DP147" s="197">
        <f t="shared" si="596"/>
        <v>2164.2522235098295</v>
      </c>
      <c r="DQ147" s="196">
        <f>DR147+各项系数!$M$9*$NV147</f>
        <v>2211.7623215269073</v>
      </c>
      <c r="DR147" s="196">
        <f t="shared" si="597"/>
        <v>2196.7298287944736</v>
      </c>
      <c r="DS147" s="197">
        <f>DT147+各项系数!$L$9*$NV147</f>
        <v>2241.5610497902794</v>
      </c>
      <c r="DT147" s="197">
        <f>DU147*(1+$EB147+各项系数!$J$5+各项系数!$L$5)</f>
        <v>2226.5285570578458</v>
      </c>
      <c r="DU147" s="199">
        <f t="shared" si="598"/>
        <v>2161.6782107357726</v>
      </c>
      <c r="DV147" s="196">
        <f>DW147+各项系数!$M$9*$NV147</f>
        <v>2206.4799792148119</v>
      </c>
      <c r="DW147" s="196">
        <f t="shared" si="599"/>
        <v>2191.4474864823783</v>
      </c>
      <c r="DX147" s="197">
        <f>DY147+各项系数!$L$9*$NV147</f>
        <v>2236.1709045738553</v>
      </c>
      <c r="DY147" s="197">
        <f>DZ147*(1+$EB147+各项系数!$J$5+各项系数!$L$5)</f>
        <v>2221.1384118414217</v>
      </c>
      <c r="DZ147" s="199">
        <f t="shared" si="600"/>
        <v>2156.4450600402151</v>
      </c>
      <c r="EA147" s="213">
        <f t="shared" si="581"/>
        <v>0</v>
      </c>
      <c r="EB147" s="213">
        <f t="shared" si="601"/>
        <v>0.01</v>
      </c>
      <c r="EC147" s="235" t="str">
        <f t="shared" si="649"/>
        <v>4+1</v>
      </c>
      <c r="ED147" s="237" t="str">
        <f t="shared" si="680"/>
        <v>4*800</v>
      </c>
      <c r="EE147" s="189">
        <f t="shared" si="495"/>
        <v>800</v>
      </c>
      <c r="EF147" s="78" t="str">
        <f>LOOKUP(EH147,{1,7,10,14,19,24,30,37,48,61},{1,"1+6","2+8","4+10","1+6+12","2+8+14","4+10+16","1+6+12+18","3+9+15+21","1+6+12+18+24"})</f>
        <v>1+6+12+18+24</v>
      </c>
      <c r="EG147" s="188">
        <f t="shared" si="602"/>
        <v>4</v>
      </c>
      <c r="EH147" s="197">
        <f>VLOOKUP(EE147,各项系数!$B$87:$C$124,2,0)</f>
        <v>61</v>
      </c>
      <c r="EI147" s="188">
        <f>IF(EH147=0,0,VLOOKUP(EH147,各项系数!$D$142:$E$195,2,0))*1</f>
        <v>9</v>
      </c>
      <c r="EJ147" s="238">
        <f t="shared" si="650"/>
        <v>404.21883750578098</v>
      </c>
      <c r="EK147" s="78" t="str">
        <f t="shared" si="681"/>
        <v>1*400</v>
      </c>
      <c r="EL147" s="189" t="str">
        <f t="shared" si="603"/>
        <v>400</v>
      </c>
      <c r="EM147" s="78">
        <f t="shared" si="682"/>
        <v>400</v>
      </c>
      <c r="EN147" s="78" t="str">
        <f>IF(EP147=0,0,LOOKUP(EP147,{1,7,10,14,19,24,30,37,48,61},{1,"1+6","2+8","4+10","1+6+12","2+8+14","4+10+16","1+6+12+18","3+9+15+21","1+6+12+18+24"}))</f>
        <v>1+6+12+18+24</v>
      </c>
      <c r="EO147" s="78" t="str">
        <f t="shared" si="683"/>
        <v>1</v>
      </c>
      <c r="EP147" s="78">
        <f>IF(EM147=0,0,IF(EM147&lt;10,1,IF(AND(EM147&gt;=10,EM147&lt;=35),7,LOOKUP(EM147,{50,70,95,120,150,185,240,300},{10,14,19,24,30,37,48,61})*1)))</f>
        <v>61</v>
      </c>
      <c r="EQ147" s="189">
        <f>IF(EP147=0,0,VLOOKUP(EP147,各项系数!$D$142:$E$195,2,0))*1</f>
        <v>9</v>
      </c>
      <c r="ER147" s="78">
        <f t="shared" si="577"/>
        <v>277.18119106381198</v>
      </c>
      <c r="ES147" s="237">
        <f t="shared" si="684"/>
        <v>5</v>
      </c>
      <c r="ET147" s="189">
        <f>VLOOKUP(ES147,各项系数!$D$142:$E$195,2,0)*1</f>
        <v>2.7</v>
      </c>
      <c r="EU147" s="243">
        <f>((各项系数!$F$76/4*$EJ147^2*$EG147*$EH147*1*10^-7)*(1-$H147)*AA147)*(VLOOKUP($EY$9,各项系数!$D$4:$F$143,3,0))*各项系数!$J$4</f>
        <v>28.528232917541033</v>
      </c>
      <c r="EV147" s="244">
        <f>EU147*(VLOOKUP($EY$9,各项系数!$D$4:$F$143,2,0))</f>
        <v>1868.5992560989375</v>
      </c>
      <c r="EW147" s="252">
        <f>(IF($EO147=0,0,(各项系数!$F$76/4*$ER147^2*$EO147*$EP147*1*10^-7))*(1-$K147)*$AF147)*(VLOOKUP($EY$9,各项系数!$D$4:$F$143,3,0))*各项系数!$J$4</f>
        <v>3.3210257510184444</v>
      </c>
      <c r="EX147" s="253">
        <f>EW147*(VLOOKUP($EY$9,各项系数!$D$4:$F$143,2,0))</f>
        <v>217.52718669170812</v>
      </c>
      <c r="EY147" s="189">
        <f>((各项系数!$F$76/4*$EJ147^2*$EG147*$EH147*1*10^-7)*(1-$H147)*AA147+IF($EO147=0,0,(各项系数!$F$76/4*$ER147^2*$EO147*$EP147*1*10^-7))*(1-$K147)*$AF147)*(VLOOKUP($EY$9,各项系数!$D$4:$F$143,3,0))*各项系数!$J$4</f>
        <v>31.849258668559479</v>
      </c>
      <c r="EZ147" s="102">
        <v>1</v>
      </c>
      <c r="FA147" s="189">
        <f t="shared" si="515"/>
        <v>31.849258668559479</v>
      </c>
      <c r="FB147" s="254">
        <f>FA147*(VLOOKUP($EY$9,各项系数!$D$4:$F$143,2,0))</f>
        <v>2086.1264427906458</v>
      </c>
      <c r="FC147" s="257"/>
      <c r="FD147" s="235">
        <f>各项系数!$F$76/4*($MN147^2-MK147^2)*10^-2*(VLOOKUP(L147,各项系数!$D$1:$F$143,3,0))*10^-3*10^2*$EG147*各项系数!$J$4</f>
        <v>1.3939186191992388</v>
      </c>
      <c r="FE147" s="262">
        <f>FD147*VLOOKUP(L147,各项系数!$D$1:$F$143,2,0)</f>
        <v>14.217969915832235</v>
      </c>
      <c r="FF147" s="188">
        <f>各项系数!$F$76/4*($MO147^2-ML147^2)*10^-2*(VLOOKUP(L147,各项系数!$D$1:$F$143,3,0))*10^-3*10^2*$EO147*各项系数!$J$4</f>
        <v>0.18530830807412957</v>
      </c>
      <c r="FG147" s="262">
        <f>FF147*VLOOKUP(L147,各项系数!$D$1:$F$143,2,0)</f>
        <v>1.8901447423561215</v>
      </c>
      <c r="FH147" s="235">
        <f t="shared" si="651"/>
        <v>1.5792269272733683</v>
      </c>
      <c r="FI147" s="102">
        <v>1</v>
      </c>
      <c r="FJ147" s="189">
        <f t="shared" si="516"/>
        <v>1.5792269272733683</v>
      </c>
      <c r="FK147" s="262">
        <f>FJ147*VLOOKUP(L147,各项系数!$D$1:$F$143,2,0)</f>
        <v>16.108114658188356</v>
      </c>
      <c r="FL147" s="237"/>
      <c r="FM147" s="106"/>
      <c r="FN147" s="189"/>
      <c r="FO147" s="262"/>
      <c r="FP147" s="282">
        <f t="shared" si="517"/>
        <v>1.5792269272733683</v>
      </c>
      <c r="FQ147" s="282">
        <f t="shared" si="518"/>
        <v>16.108114658188356</v>
      </c>
      <c r="FR147" s="283">
        <f>各项系数!$F$76/4*($MQ147^2-$MN147^2*$EG147-$MO147^2*$EO147)*10^-2</f>
        <v>26.427740850516045</v>
      </c>
      <c r="FS147" s="284">
        <f t="shared" si="652"/>
        <v>1</v>
      </c>
      <c r="FT147" s="285">
        <f t="shared" si="604"/>
        <v>26.427740850516045</v>
      </c>
      <c r="FU147" s="302">
        <f>$FT147*(VLOOKUP($FT$9,各项系数!$D$1:$F$143,3,0))*10^-3*10^2*各项系数!$J$55</f>
        <v>3.1554722575516161</v>
      </c>
      <c r="FV147" s="303">
        <v>1</v>
      </c>
      <c r="FW147" s="304">
        <f t="shared" si="519"/>
        <v>3.1554722575516161</v>
      </c>
      <c r="FX147" s="285">
        <f>FW147*(VLOOKUP($FT$9,各项系数!$D$1:$F$143,2,0))</f>
        <v>9.4664167726548492</v>
      </c>
      <c r="FY147" s="302">
        <f>IF($BK147&lt;&gt;$FY$9,0,各项系数!$F$76/4*($MS147^2-$MQ147^2)*10^-2*(VLOOKUP($FY$9,各项系数!$D$1:$F$143,3,0))*10^-3*10^2)*各项系数!$J$4</f>
        <v>0</v>
      </c>
      <c r="FZ147" s="303">
        <v>1</v>
      </c>
      <c r="GA147" s="304">
        <f t="shared" si="520"/>
        <v>0</v>
      </c>
      <c r="GB147" s="285">
        <f>GA147*(VLOOKUP($FY$9,各项系数!$D$1:$F$143,2,0))</f>
        <v>0</v>
      </c>
      <c r="GC147" s="302">
        <f>IF($BK147&lt;&gt;$GC$9,0,各项系数!$F$76/4*($MS147^2-$MQ147^2)*10^-2*(VLOOKUP($GC$9,各项系数!$D$1:$F$143,3,0))*10^-3*10^2)*各项系数!$J$4</f>
        <v>2.8738988771282163E-2</v>
      </c>
      <c r="GD147" s="303">
        <v>1</v>
      </c>
      <c r="GE147" s="304">
        <f t="shared" si="521"/>
        <v>2.8738988771282163E-2</v>
      </c>
      <c r="GF147" s="285">
        <f>GE147*(VLOOKUP($GC$9,各项系数!$D$1:$F$143,2,0))</f>
        <v>0.37073295514953991</v>
      </c>
      <c r="GG147" s="302">
        <f>IF($BK147&lt;&gt;$GG$9,0,各项系数!$F$76/4*($MS147^2-$MQ147^2)*10^-2*(VLOOKUP($GG$9,各项系数!$D$1:$F$143,3,0))*10^-3*10^2)*各项系数!$J$4</f>
        <v>0</v>
      </c>
      <c r="GH147" s="303">
        <v>1</v>
      </c>
      <c r="GI147" s="304">
        <f t="shared" si="522"/>
        <v>0</v>
      </c>
      <c r="GJ147" s="285">
        <f>GI147*(VLOOKUP($GG$9,各项系数!$D$1:$F$143,2,0))</f>
        <v>0</v>
      </c>
      <c r="GK147" s="302">
        <f>IF($BK147&lt;&gt;$GK$9,0,各项系数!$F$76/4*($MS147^2-$MQ147^2)*10^-2*(VLOOKUP($GK$9,各项系数!$D$1:$F$143,3,0))*10^-3*10^2)*各项系数!$J$4</f>
        <v>0</v>
      </c>
      <c r="GL147" s="303">
        <v>1</v>
      </c>
      <c r="GM147" s="304">
        <f t="shared" si="523"/>
        <v>0</v>
      </c>
      <c r="GN147" s="285">
        <f>GM147*(VLOOKUP($GK$9,各项系数!$D$1:$F$143,2,0))</f>
        <v>0</v>
      </c>
      <c r="GO147" s="304">
        <f t="shared" si="524"/>
        <v>2.8738988771282163E-2</v>
      </c>
      <c r="GP147" s="304">
        <f t="shared" si="525"/>
        <v>0.37073295514953991</v>
      </c>
      <c r="GQ147" s="315">
        <f>各项系数!$F$76/4*($MU147^2-$MS147^2)*10^-2*(VLOOKUP($S147,各项系数!$D$1:$F$143,3,0))*10^-3*10^2*各项系数!$J$4</f>
        <v>1.9500989590318107</v>
      </c>
      <c r="GR147" s="303">
        <v>1</v>
      </c>
      <c r="GS147" s="304">
        <f t="shared" si="526"/>
        <v>1.9500989590318107</v>
      </c>
      <c r="GT147" s="304">
        <f t="shared" si="457"/>
        <v>0</v>
      </c>
      <c r="GU147" s="304">
        <f>ROUND($GS147*(VLOOKUP($S147,各项系数!$D$1:$F$143,2,0))+$E$3*GS147,GT147)</f>
        <v>11</v>
      </c>
      <c r="GV147" s="315">
        <f>各项系数!$F$76/4*($MT147^2-$MS147^2)*10^-2*(VLOOKUP($GV$9,各项系数!$D$1:$F$143,3,0))*10^-3*10^2*各项系数!$J$4*PI()/4*R147</f>
        <v>0.14764408624413142</v>
      </c>
      <c r="GW147" s="303">
        <v>1</v>
      </c>
      <c r="GX147" s="304">
        <f t="shared" si="527"/>
        <v>0.14764408624413142</v>
      </c>
      <c r="GY147" s="304">
        <f>$GX147*(VLOOKUP($GV$9,各项系数!$D$1:$F$143,2,0))</f>
        <v>9.965975821478871</v>
      </c>
      <c r="GZ147" s="315">
        <f>各项系数!$F$76/4*($MV147^2-$MS147^2)*10^-2*(VLOOKUP($GZ$9,各项系数!$D$1:$F$143,3,0))*10^-3*10^2*各项系数!$J$4</f>
        <v>2.1423122179916354</v>
      </c>
      <c r="HA147" s="303">
        <v>1</v>
      </c>
      <c r="HB147" s="304">
        <f t="shared" si="653"/>
        <v>2.1423122179916354</v>
      </c>
      <c r="HC147" s="304">
        <f>HB147*(VLOOKUP($GZ$9,各项系数!$D$1:$F$143,2,0))</f>
        <v>36.419307705857804</v>
      </c>
      <c r="HD147" s="315">
        <f>各项系数!$F$76/4*($MW147^2-$MT147^2)*10^-2*(VLOOKUP($HD$9,各项系数!$D$1:$F$143,3,0))*10^-3*10^2*各项系数!$J$4</f>
        <v>2.1454306005587012</v>
      </c>
      <c r="HE147" s="303">
        <v>1</v>
      </c>
      <c r="HF147" s="304">
        <f t="shared" si="654"/>
        <v>2.1454306005587012</v>
      </c>
      <c r="HG147" s="304">
        <f>HF147*(VLOOKUP($HD$9,各项系数!$D$1:$F$143,2,0))</f>
        <v>36.472320209497923</v>
      </c>
      <c r="HH147" s="315">
        <f>各项系数!$F$76/4*($MV147^2-$MS147^2)*10^-2*(VLOOKUP($HH$9,各项系数!$D$1:$F$143,3,0))*10^-3*10^2*各项系数!$J$4</f>
        <v>2.1423122179916354</v>
      </c>
      <c r="HI147" s="322">
        <v>1</v>
      </c>
      <c r="HJ147" s="304">
        <f t="shared" si="655"/>
        <v>2.1423122179916354</v>
      </c>
      <c r="HK147" s="304">
        <f>HJ147*(VLOOKUP($HH$9,各项系数!$D$1:$F$143,2,0))</f>
        <v>36.419307705857804</v>
      </c>
      <c r="HL147" s="315">
        <f>各项系数!$F$76/4*($MW147^2-$MT147^2)*10^-2*(VLOOKUP($HL$9,各项系数!$D$1:$F$143,3,0))*10^-3*10^2*各项系数!$J$4</f>
        <v>2.1454306005587012</v>
      </c>
      <c r="HM147" s="322">
        <v>1</v>
      </c>
      <c r="HN147" s="304">
        <f t="shared" si="605"/>
        <v>2.1454306005587012</v>
      </c>
      <c r="HO147" s="304">
        <f>HN147*(VLOOKUP($HL$9,各项系数!$D$1:$F$143,2,0))</f>
        <v>36.472320209497923</v>
      </c>
      <c r="HP147" s="315">
        <f>各项系数!$F$76/4*($MV147^2-$MS147^2)*10^-2*(VLOOKUP(AN147,各项系数!$D$1:$F$143,3,0))*10^-3*10^2*各项系数!$J$4</f>
        <v>2.1718613520328995</v>
      </c>
      <c r="HQ147" s="303">
        <v>1</v>
      </c>
      <c r="HR147" s="304">
        <f t="shared" si="528"/>
        <v>2.1718613520328995</v>
      </c>
      <c r="HS147" s="304">
        <f>HR147*(VLOOKUP(AN147,各项系数!$D$1:$F$143,2,0))</f>
        <v>21.718613520328994</v>
      </c>
      <c r="HT147" s="315">
        <f>各项系数!$F$76/4*($MW147^2-$MT147^2)*10^-2*(VLOOKUP(AN147,各项系数!$D$1:$F$143,3,0))*10^-3*10^2*各项系数!$J$4</f>
        <v>2.1750227467733039</v>
      </c>
      <c r="HU147" s="303">
        <v>1</v>
      </c>
      <c r="HV147" s="304">
        <f t="shared" si="529"/>
        <v>2.1750227467733039</v>
      </c>
      <c r="HW147" s="304">
        <f>HV147*(VLOOKUP(AN147,各项系数!$D$1:$F$143,2,0))</f>
        <v>21.75022746773304</v>
      </c>
      <c r="HX147" s="315">
        <f>各项系数!$F$76/4*($MV147^2-$MS147^2)*10^-2*(VLOOKUP($HX$9,各项系数!$D$1:$F$143,3,0))*10^-3*10^2*各项系数!$J$4</f>
        <v>2.1718613520328995</v>
      </c>
      <c r="HY147" s="322">
        <v>1</v>
      </c>
      <c r="HZ147" s="304">
        <f t="shared" si="530"/>
        <v>2.1718613520328995</v>
      </c>
      <c r="IA147" s="304">
        <f>HZ147*(VLOOKUP($HX$9,各项系数!$D$1:$F$143,2,0))</f>
        <v>23.890474872361896</v>
      </c>
      <c r="IB147" s="315">
        <f>各项系数!$F$76/4*($MW147^2-$MT147^2)*10^-2*(VLOOKUP($IB$9,各项系数!$D$1:$F$143,3,0))*10^-3*10^2*各项系数!$J$4</f>
        <v>2.1750227467733039</v>
      </c>
      <c r="IC147" s="322">
        <v>1</v>
      </c>
      <c r="ID147" s="304">
        <f t="shared" si="531"/>
        <v>2.1750227467733039</v>
      </c>
      <c r="IE147" s="304">
        <f>ID147*(VLOOKUP($IB$9,各项系数!$D$1:$F$143,2,0))</f>
        <v>23.925250214506342</v>
      </c>
      <c r="IF147" s="309"/>
      <c r="IG147" s="315">
        <f t="shared" si="656"/>
        <v>0.24189436736398026</v>
      </c>
      <c r="IH147" s="303">
        <v>1</v>
      </c>
      <c r="II147" s="304">
        <f t="shared" si="532"/>
        <v>0.24189436736398026</v>
      </c>
      <c r="IJ147" s="304">
        <f>II147*(VLOOKUP($IG$8,各项系数!$D$1:$F$143,2,0))</f>
        <v>6.0473591840995065</v>
      </c>
      <c r="IK147" s="315">
        <f>(各项系数!$F$76/4*($MX147^2-$MK147^2)*$EG147)*10^-2*(VLOOKUP($IG$8,各项系数!$D$1:$F$143,3,0))*10^-3*10^2*各项系数!$J$4</f>
        <v>0.20638169704628428</v>
      </c>
      <c r="IL147" s="303">
        <f>IK147*(VLOOKUP($IG$8,各项系数!$D$1:$F$143,2,0))</f>
        <v>5.159542426157107</v>
      </c>
      <c r="IM147" s="304">
        <f>(各项系数!$F$76/4*(($MM147+3*$X147)^2-MM147^2)*$EO147)*10^-2*(VLOOKUP($IG$8,各项系数!$D$1:$F$143,3,0))*10^-3*10^2*各项系数!$J$4</f>
        <v>3.551267031769597E-2</v>
      </c>
      <c r="IN147" s="303">
        <f>IM147*(VLOOKUP($IG$8,各项系数!$D$1:$F$143,2,0))</f>
        <v>0.88781675794239923</v>
      </c>
      <c r="IO147" s="315">
        <f>各项系数!$F$76/4*($MZ147^2-$MX147^2)*10^-2*(VLOOKUP(L147,各项系数!$D$1:$F$143,3,0))*10^-3*10^2*$ES147*各项系数!$J$4</f>
        <v>1.7692183646420092</v>
      </c>
      <c r="IP147" s="303">
        <v>1</v>
      </c>
      <c r="IQ147" s="304">
        <f t="shared" si="533"/>
        <v>1.7692183646420092</v>
      </c>
      <c r="IR147" s="285">
        <f>IQ147*(VLOOKUP(L147,各项系数!$D$1:$F$143,2,0))</f>
        <v>18.046027319348493</v>
      </c>
      <c r="IS147" s="315">
        <f>IF($L147&lt;&gt;$IS$9,0,各项系数!$F$76/4*($MZ147^2-$MX147^2)*10^-2*各项系数!$F$12*10^-3*10^2)*$ES147*各项系数!$J$4</f>
        <v>0</v>
      </c>
      <c r="IT147" s="310">
        <v>1</v>
      </c>
      <c r="IU147" s="304">
        <f t="shared" si="534"/>
        <v>0</v>
      </c>
      <c r="IV147" s="285">
        <f>IU147*各项系数!$E$12</f>
        <v>0</v>
      </c>
      <c r="IW147" s="302">
        <f t="shared" si="535"/>
        <v>1.7692183646420092</v>
      </c>
      <c r="IX147" s="302">
        <f t="shared" si="536"/>
        <v>18.046027319348493</v>
      </c>
      <c r="IY147" s="339">
        <f>各项系数!$F$76/4*($NB147^2-$MZ147^2*$EG147-$NA147^2*$EO147)*10^-2</f>
        <v>27.801910385897884</v>
      </c>
      <c r="IZ147" s="284">
        <f t="shared" si="487"/>
        <v>1</v>
      </c>
      <c r="JA147" s="285">
        <f t="shared" si="606"/>
        <v>27.801910385897884</v>
      </c>
      <c r="JB147" s="282">
        <f>IF($DE147&lt;&gt;$JB$9,0,$JA147*各项系数!$F$32*10^-3*10^2)*各项系数!$J$4</f>
        <v>0</v>
      </c>
      <c r="JC147" s="102">
        <v>1</v>
      </c>
      <c r="JD147" s="189">
        <f t="shared" si="537"/>
        <v>0</v>
      </c>
      <c r="JE147" s="262">
        <f>JD147*各项系数!$E$32</f>
        <v>0</v>
      </c>
      <c r="JF147" s="282">
        <f>IF($DE147&lt;&gt;$JF$9,0,$JA147*VLOOKUP($JF$9,各项系数!$D$4:$F$540,2,0)*10^-3*10^2)*各项系数!$J$4</f>
        <v>13.831450416984197</v>
      </c>
      <c r="JG147" s="102">
        <v>1</v>
      </c>
      <c r="JH147" s="189">
        <f t="shared" si="607"/>
        <v>13.831450416984197</v>
      </c>
      <c r="JI147" s="262">
        <f>JH147*VLOOKUP($JF$9,各项系数!$D$4:$F$540,3,0)</f>
        <v>16.597740500381036</v>
      </c>
      <c r="JJ147" s="282">
        <f t="shared" si="538"/>
        <v>13.831450416984197</v>
      </c>
      <c r="JK147" s="189">
        <f t="shared" si="539"/>
        <v>16.597740500381036</v>
      </c>
      <c r="JL147" s="282">
        <f>IF($DF147&lt;&gt;$JL$9,0,各项系数!$F$76/4*($NE147^2-$NC147^2)*10^-2*各项系数!$F$39*10^-3*10^2)*各项系数!$J$4</f>
        <v>1.2134438447103076E-2</v>
      </c>
      <c r="JM147" s="102">
        <v>1</v>
      </c>
      <c r="JN147" s="189">
        <f t="shared" si="540"/>
        <v>1.2134438447103076E-2</v>
      </c>
      <c r="JO147" s="262">
        <f>JN147*各项系数!$E$39</f>
        <v>0.24268876894206151</v>
      </c>
      <c r="JP147" s="282">
        <f>IF($DF147&lt;&gt;$JP$9,0,各项系数!$F$76/4*($NE147^2-$NC147^2)*10^-2*各项系数!$F$36*10^-3*10^2)*各项系数!$J$4</f>
        <v>0</v>
      </c>
      <c r="JQ147" s="102">
        <v>1</v>
      </c>
      <c r="JR147" s="189">
        <f t="shared" si="541"/>
        <v>0</v>
      </c>
      <c r="JS147" s="262">
        <f>JR147*各项系数!$E$36</f>
        <v>0</v>
      </c>
      <c r="JT147" s="282">
        <f>IF($DF147&lt;&gt;$JT$9,0,各项系数!$F$76/4*($NE147^2-$NC147^2)*10^-2*各项系数!$F$40*10^-3*10^2)*各项系数!$J$4</f>
        <v>0</v>
      </c>
      <c r="JU147" s="102">
        <v>1</v>
      </c>
      <c r="JV147" s="189">
        <f t="shared" si="542"/>
        <v>0</v>
      </c>
      <c r="JW147" s="262">
        <f>JV147*各项系数!$E$40</f>
        <v>0</v>
      </c>
      <c r="JX147" s="282">
        <f>IF($DF147&lt;&gt;$JX$9,0,各项系数!$F$76/4*($NE147^2-$NC147^2)*10^-2*各项系数!$F$38*10^-3*10^2)*各项系数!$J$4</f>
        <v>0</v>
      </c>
      <c r="JY147" s="102">
        <v>1</v>
      </c>
      <c r="JZ147" s="189">
        <f t="shared" si="543"/>
        <v>0</v>
      </c>
      <c r="KA147" s="262">
        <f>JZ147*各项系数!$E$38</f>
        <v>0</v>
      </c>
      <c r="KB147" s="282">
        <f>IF($DF147&lt;&gt;$KB$9,0,各项系数!$F$76/4*($NE147^2-$NC147^2)*10^-2*各项系数!$F$41*10^-3*10^2)*各项系数!$J$4</f>
        <v>0</v>
      </c>
      <c r="KC147" s="102">
        <v>1</v>
      </c>
      <c r="KD147" s="189">
        <f t="shared" si="544"/>
        <v>0</v>
      </c>
      <c r="KE147" s="262">
        <f>KD147*各项系数!$E$41</f>
        <v>0</v>
      </c>
      <c r="KF147" s="189">
        <f t="shared" si="545"/>
        <v>1.2134438447103076E-2</v>
      </c>
      <c r="KG147" s="189">
        <f t="shared" si="546"/>
        <v>0.24268876894206151</v>
      </c>
      <c r="KH147" s="235">
        <f>各项系数!$F$76/4*($NG147^2-$NE147^2)*10^-2*各项系数!$F$44*10^-3*10^2*各项系数!$J$4*0.75*$U147</f>
        <v>2.9892783699008891</v>
      </c>
      <c r="KI147" s="102">
        <v>1</v>
      </c>
      <c r="KJ147" s="189">
        <f t="shared" si="547"/>
        <v>2.9892783699008891</v>
      </c>
      <c r="KK147" s="189">
        <f>ROUND(KJ147*各项系数!$E$43,GT147)</f>
        <v>17</v>
      </c>
      <c r="KL147" s="235">
        <f>各项系数!$F$76/4*($NF147^2-$NE147^2)*10^-2*各项系数!$F$46*10^-3*10^2*各项系数!$J$4*PI()/4*R147</f>
        <v>0.15090150142361877</v>
      </c>
      <c r="KM147" s="102">
        <v>1</v>
      </c>
      <c r="KN147" s="189">
        <f t="shared" si="548"/>
        <v>0.15090150142361877</v>
      </c>
      <c r="KO147" s="189">
        <f>KN147*各项系数!$E$46</f>
        <v>10.185851346094267</v>
      </c>
      <c r="KP147" s="235">
        <f>各项系数!$F$76/4*($NH147^2-$NE147^2)*10^-2*(VLOOKUP($KP$9,各项系数!$D$1:$F$143,3,0))*10^-3*10^2*各项系数!$J$4</f>
        <v>2.1877626439066087</v>
      </c>
      <c r="KQ147" s="102">
        <v>1</v>
      </c>
      <c r="KR147" s="189">
        <f t="shared" si="657"/>
        <v>2.1877626439066087</v>
      </c>
      <c r="KS147" s="189">
        <f>KR147*(VLOOKUP($KP$9,各项系数!$D$1:$F$143,2,0))</f>
        <v>37.191964946412348</v>
      </c>
      <c r="KT147" s="235">
        <f>各项系数!$F$76/4*($NI147^2-$NF147^2)*10^-2*(VLOOKUP($KT$9,各项系数!$D$1:$F$143,3,0))*10^-3*10^2*各项系数!$J$4</f>
        <v>2.190881026473674</v>
      </c>
      <c r="KU147" s="102">
        <v>1</v>
      </c>
      <c r="KV147" s="189">
        <f t="shared" si="658"/>
        <v>2.190881026473674</v>
      </c>
      <c r="KW147" s="189">
        <f>KV147*(VLOOKUP($KT$9,各项系数!$D$1:$F$143,2,0))</f>
        <v>37.24497745005246</v>
      </c>
      <c r="KX147" s="189">
        <f>各项系数!$F$76/4*($NH147^2-$NE147^2)*10^-2*(VLOOKUP($KX$9,各项系数!$D$1:$F$143,3,0))*10^-3*10^2*各项系数!$J$4</f>
        <v>2.1877626439066087</v>
      </c>
      <c r="KY147" s="353">
        <v>1</v>
      </c>
      <c r="KZ147" s="189">
        <f t="shared" si="659"/>
        <v>2.1877626439066087</v>
      </c>
      <c r="LA147" s="189">
        <f>KZ147*(VLOOKUP($KX$9,各项系数!$D$1:$F$143,2,0))</f>
        <v>37.191964946412348</v>
      </c>
      <c r="LB147" s="189">
        <f>各项系数!$F$76/4*($NI147^2-$NF147^2)*10^-2*(VLOOKUP($LB$9,各项系数!$D$1:$F$143,3,0))*10^-3*10^2*各项系数!$J$4</f>
        <v>2.190881026473674</v>
      </c>
      <c r="LC147" s="353">
        <v>1</v>
      </c>
      <c r="LD147" s="189">
        <f t="shared" si="660"/>
        <v>2.190881026473674</v>
      </c>
      <c r="LE147" s="189">
        <f>LD147*(VLOOKUP($LB$9,各项系数!$D$1:$F$143,2,0))</f>
        <v>37.24497745005246</v>
      </c>
      <c r="LF147" s="235">
        <f>各项系数!$F$76/4*($NH147^2-$NE147^2)*10^-2*(VLOOKUP(AN147,各项系数!$D$1:$F$143,3,0))*10^-3*10^2*各项系数!$J$4</f>
        <v>2.217938680374286</v>
      </c>
      <c r="LG147" s="102">
        <v>1</v>
      </c>
      <c r="LH147" s="189">
        <f t="shared" si="549"/>
        <v>2.217938680374286</v>
      </c>
      <c r="LI147" s="189">
        <f>LH147*(VLOOKUP(AN147,各项系数!$D$1:$F$143,2,0))</f>
        <v>22.179386803742858</v>
      </c>
      <c r="LJ147" s="235">
        <f>各项系数!$F$76/4*($NI147^2-$NF147^2)*10^-2*(VLOOKUP(AN147,各项系数!$D$1:$F$143,3,0))*10^-3*10^2*各项系数!$J$4</f>
        <v>2.2211000751146908</v>
      </c>
      <c r="LK147" s="102">
        <v>1</v>
      </c>
      <c r="LL147" s="189">
        <f t="shared" si="550"/>
        <v>2.2211000751146908</v>
      </c>
      <c r="LM147" s="189">
        <f>LL147*(VLOOKUP(AN147,各项系数!$D$1:$F$143,2,0))</f>
        <v>22.211000751146909</v>
      </c>
      <c r="LN147" s="189">
        <f>各项系数!$F$76/4*($NH147^2-$NE147^2)*10^-2*(VLOOKUP($LN$9,各项系数!$D$1:$F$143,3,0))*10^-3*10^2*各项系数!$J$4</f>
        <v>2.217938680374286</v>
      </c>
      <c r="LO147" s="353">
        <v>1</v>
      </c>
      <c r="LP147" s="189">
        <f t="shared" si="551"/>
        <v>2.217938680374286</v>
      </c>
      <c r="LQ147" s="189">
        <f>LP147*(VLOOKUP($LN$9,各项系数!$D$1:$F$143,2,0))</f>
        <v>24.397325484117147</v>
      </c>
      <c r="LR147" s="189">
        <f>各项系数!$F$76/4*($NI147^2-$NF147^2)*10^-2*(VLOOKUP($LR$9,各项系数!$D$1:$F$143,3,0))*10^-3*10^2*各项系数!$J$4</f>
        <v>2.2211000751146908</v>
      </c>
      <c r="LS147" s="353">
        <v>1</v>
      </c>
      <c r="LT147" s="189">
        <f t="shared" si="552"/>
        <v>2.2211000751146908</v>
      </c>
      <c r="LU147" s="189">
        <f>LT147*(VLOOKUP($LR$9,各项系数!$D$1:$F$143,2,0))</f>
        <v>24.4321008262616</v>
      </c>
      <c r="LV147" s="227">
        <f t="shared" si="661"/>
        <v>4157.8420787300001</v>
      </c>
      <c r="LW147" s="227">
        <f t="shared" si="662"/>
        <v>3131.21440497</v>
      </c>
      <c r="LX147" s="227">
        <f t="shared" si="663"/>
        <v>63.141000969672525</v>
      </c>
      <c r="LY147" s="227">
        <f t="shared" si="664"/>
        <v>1026.6276737600001</v>
      </c>
      <c r="LZ147" s="374">
        <f t="shared" si="608"/>
        <v>1</v>
      </c>
      <c r="MA147" s="375">
        <f t="shared" si="609"/>
        <v>4157.8420787300001</v>
      </c>
      <c r="MB147" s="375">
        <f t="shared" si="665"/>
        <v>36.379695419999997</v>
      </c>
      <c r="MC147" s="227">
        <f t="shared" si="666"/>
        <v>488.76760487000001</v>
      </c>
      <c r="MD147" s="227">
        <f t="shared" si="667"/>
        <v>368.08424546999998</v>
      </c>
      <c r="ME147" s="227">
        <f t="shared" si="668"/>
        <v>21.648543071680567</v>
      </c>
      <c r="MF147" s="227">
        <f t="shared" si="669"/>
        <v>120.68335940000003</v>
      </c>
      <c r="MG147" s="374">
        <f t="shared" si="670"/>
        <v>1</v>
      </c>
      <c r="MH147" s="375">
        <f t="shared" si="610"/>
        <v>488.76760487000001</v>
      </c>
      <c r="MI147" s="375">
        <f t="shared" si="671"/>
        <v>24.946307195774985</v>
      </c>
      <c r="MJ147" s="189">
        <f t="shared" si="611"/>
        <v>36.379695419999997</v>
      </c>
      <c r="MK147" s="189">
        <f t="shared" si="672"/>
        <v>36.379695419999997</v>
      </c>
      <c r="ML147" s="189">
        <f t="shared" si="553"/>
        <v>24.946307195743081</v>
      </c>
      <c r="MM147" s="189">
        <f t="shared" si="612"/>
        <v>24.946307195774985</v>
      </c>
      <c r="MN147" s="189">
        <f t="shared" si="613"/>
        <v>41.57969542</v>
      </c>
      <c r="MO147" s="189">
        <f t="shared" si="673"/>
        <v>28.946307195774985</v>
      </c>
      <c r="MP147" s="189">
        <f t="shared" si="674"/>
        <v>105.44314799</v>
      </c>
      <c r="MQ147" s="189">
        <f t="shared" si="554"/>
        <v>105.44314799</v>
      </c>
      <c r="MR147" s="246">
        <f t="shared" si="675"/>
        <v>105.44314799</v>
      </c>
      <c r="MS147" s="380">
        <f t="shared" si="614"/>
        <v>105.61914799</v>
      </c>
      <c r="MT147" s="380">
        <f t="shared" si="615"/>
        <v>105.77914799</v>
      </c>
      <c r="MU147" s="380">
        <f t="shared" si="616"/>
        <v>107.11914799</v>
      </c>
      <c r="MV147" s="380">
        <f t="shared" si="617"/>
        <v>114.21914799</v>
      </c>
      <c r="MW147" s="380">
        <f t="shared" si="618"/>
        <v>114.37914798999999</v>
      </c>
      <c r="MX147" s="254">
        <f t="shared" si="619"/>
        <v>36.979695419999999</v>
      </c>
      <c r="MY147" s="254">
        <f t="shared" si="620"/>
        <v>25.546307195774986</v>
      </c>
      <c r="MZ147" s="189">
        <f t="shared" si="621"/>
        <v>42.179695420000002</v>
      </c>
      <c r="NA147" s="189">
        <f t="shared" si="622"/>
        <v>30.746307195774985</v>
      </c>
      <c r="NB147" s="189">
        <f t="shared" si="676"/>
        <v>107.71114799</v>
      </c>
      <c r="NC147" s="254">
        <f t="shared" si="555"/>
        <v>107.71114799</v>
      </c>
      <c r="ND147" s="246">
        <f t="shared" si="677"/>
        <v>107.71114799</v>
      </c>
      <c r="NE147" s="386">
        <f t="shared" si="678"/>
        <v>107.95114799</v>
      </c>
      <c r="NF147" s="380">
        <f t="shared" si="623"/>
        <v>108.11114798999999</v>
      </c>
      <c r="NG147" s="387">
        <f t="shared" si="624"/>
        <v>109.45114799</v>
      </c>
      <c r="NH147" s="254">
        <f t="shared" si="625"/>
        <v>116.55114798999999</v>
      </c>
      <c r="NI147" s="380">
        <f t="shared" si="626"/>
        <v>116.71114798999999</v>
      </c>
      <c r="NK147" s="388">
        <f t="shared" si="627"/>
        <v>38.969866502262775</v>
      </c>
      <c r="NL147" s="388">
        <f t="shared" si="628"/>
        <v>2135.6804654393236</v>
      </c>
      <c r="NM147" s="388">
        <f t="shared" si="629"/>
        <v>38.969866502262775</v>
      </c>
      <c r="NN147" s="388">
        <f t="shared" si="630"/>
        <v>2137.8523267913565</v>
      </c>
      <c r="NO147" s="388">
        <f t="shared" si="631"/>
        <v>49.957407606688747</v>
      </c>
      <c r="NP147" s="388">
        <f t="shared" si="632"/>
        <v>2150.1274621251023</v>
      </c>
      <c r="NQ147" s="388">
        <f t="shared" si="633"/>
        <v>49.957407606688747</v>
      </c>
      <c r="NR147" s="388">
        <f t="shared" si="634"/>
        <v>2152.3454008054764</v>
      </c>
      <c r="NS147" s="388">
        <f t="shared" si="635"/>
        <v>39.117510588506903</v>
      </c>
      <c r="NT147" s="388">
        <f t="shared" si="636"/>
        <v>39.117510588506903</v>
      </c>
      <c r="NU147" s="388">
        <f t="shared" si="637"/>
        <v>50.108309108112365</v>
      </c>
      <c r="NV147" s="388">
        <f t="shared" si="638"/>
        <v>50.108309108112365</v>
      </c>
      <c r="NW147">
        <f t="shared" si="639"/>
        <v>40.919965461294588</v>
      </c>
      <c r="NX147">
        <f>各项系数!$M$9*NK147</f>
        <v>11.690959950678833</v>
      </c>
      <c r="NY147">
        <f t="shared" si="640"/>
        <v>39.117510588506903</v>
      </c>
    </row>
    <row r="148" spans="1:389" s="10" customFormat="1" ht="15" hidden="1" customHeight="1">
      <c r="A148" s="16"/>
      <c r="B148" s="151"/>
      <c r="C148" s="16"/>
      <c r="D148" s="62" t="s">
        <v>134</v>
      </c>
      <c r="E148" s="404">
        <f t="shared" ref="E148:E173" si="687">MV148</f>
        <v>7.1713660099999998</v>
      </c>
      <c r="F148" s="405">
        <f>$F$15</f>
        <v>110.31595161029</v>
      </c>
      <c r="G148" s="16"/>
      <c r="H148" s="16"/>
      <c r="I148" s="145">
        <v>0</v>
      </c>
      <c r="J148" s="16"/>
      <c r="K148" s="16"/>
      <c r="L148" s="100" t="s">
        <v>469</v>
      </c>
      <c r="M148" s="103">
        <f t="shared" si="582"/>
        <v>0.6</v>
      </c>
      <c r="N148" s="103">
        <f t="shared" si="583"/>
        <v>0</v>
      </c>
      <c r="O148" s="53">
        <f t="shared" ref="O148:O157" si="688">$O$36</f>
        <v>0.08</v>
      </c>
      <c r="P148" s="99">
        <v>0.1</v>
      </c>
      <c r="Q148" s="133">
        <f t="shared" si="685"/>
        <v>0.1</v>
      </c>
      <c r="R148" s="406">
        <v>0.8</v>
      </c>
      <c r="S148" s="144" t="str">
        <f>各项系数!$D$43</f>
        <v>钢带</v>
      </c>
      <c r="T148" s="62">
        <v>0.2</v>
      </c>
      <c r="U148" s="62">
        <v>4</v>
      </c>
      <c r="V148" s="143"/>
      <c r="W148" s="407">
        <v>1.2</v>
      </c>
      <c r="X148" s="139">
        <f t="shared" si="686"/>
        <v>0.2</v>
      </c>
      <c r="Y148" s="139"/>
      <c r="Z148" s="169"/>
      <c r="AA148" s="170">
        <v>1</v>
      </c>
      <c r="AB148" s="153">
        <f>PI()*EJ148*EJ148/4*EH148*(1-H148)*AA148*各项系数!$F$5*各项系数!$J$4*10^-7</f>
        <v>8.4545666936336993E-3</v>
      </c>
      <c r="AC148" s="170">
        <f t="shared" si="573"/>
        <v>110.31595161029</v>
      </c>
      <c r="AD148" s="153">
        <f t="shared" si="584"/>
        <v>0.95579886989884189</v>
      </c>
      <c r="AE148" s="153">
        <f>POWER(4*EU148/PI()/EG148/10^-7/EH148/(1-H148)/各项系数!$F$5/各项系数!$J$4,0.5)</f>
        <v>110.31595161029</v>
      </c>
      <c r="AF148" s="16">
        <v>1</v>
      </c>
      <c r="AG148" s="16">
        <f>IF(EM148=0,0,PI()*ER148*ER148/4*EP148*(1-K148)*(1+AF148)*各项系数!$F$5*各项系数!$J$4*10^-7)</f>
        <v>0</v>
      </c>
      <c r="AH148" s="16">
        <f t="shared" si="574"/>
        <v>0</v>
      </c>
      <c r="AI148" s="69">
        <f t="shared" si="641"/>
        <v>0</v>
      </c>
      <c r="AJ148" s="69">
        <f>IF(OR(EP148="",EP148=0),0,POWER(4*EW148/PI()/EO148/10^-7/EP148/(1-K148)/各项系数!$F$5/各项系数!$J$4,0.5))</f>
        <v>0</v>
      </c>
      <c r="AK148" s="16" t="str">
        <f t="shared" si="585"/>
        <v>√</v>
      </c>
      <c r="AL148" s="16">
        <f t="shared" si="575"/>
        <v>1.695307123575676</v>
      </c>
      <c r="AM148" s="62">
        <f t="shared" si="576"/>
        <v>1</v>
      </c>
      <c r="AN148" s="100" t="s">
        <v>486</v>
      </c>
      <c r="AO148" s="136">
        <f>AP148+各项系数!$M$9*$NK148</f>
        <v>1.6620658074271333</v>
      </c>
      <c r="AP148" s="136">
        <f>AQ148*(1+$BI148+(VLOOKUP($AM148,$A$12:$B$323,2,0))+各项系数!$J$6+各项系数!$M$5)*(1+$E$2)</f>
        <v>1.6444984060832903</v>
      </c>
      <c r="AQ148" s="198">
        <f>AR148+各项系数!$L$9*$NK148</f>
        <v>1.6135188442732442</v>
      </c>
      <c r="AR148" s="198">
        <f>AS148*(1+$BJ148+各项系数!$J$5+各项系数!$L$5)</f>
        <v>1.5959514429294013</v>
      </c>
      <c r="AS148" s="198">
        <f t="shared" si="642"/>
        <v>1.5345686951244242</v>
      </c>
      <c r="AT148" s="136">
        <f>AU148+各项系数!$M$9*$NM148</f>
        <v>1.8983005268535793</v>
      </c>
      <c r="AU148" s="136">
        <f>AV148*(1+$BI148+(VLOOKUP($AM148,$A$12:$B$323,2,0))+各项系数!$J$6+各项系数!$M$5)*(1+$E$2)</f>
        <v>1.8807331255097364</v>
      </c>
      <c r="AV148" s="198">
        <f>AW148+各项系数!$L$9*$NM148</f>
        <v>1.8453033021092389</v>
      </c>
      <c r="AW148" s="198">
        <f>AX148*(1+$BJ148+各项系数!$J$5+各项系数!$L$5)</f>
        <v>1.8277359007653959</v>
      </c>
      <c r="AX148" s="198">
        <f t="shared" si="643"/>
        <v>1.757438366120573</v>
      </c>
      <c r="AY148" s="136">
        <f>AZ148+各项系数!$M$9*$NS148</f>
        <v>2.1603698091810517</v>
      </c>
      <c r="AZ148" s="136">
        <f>BA148*(1+$BI148+(VLOOKUP($AM148,$A$12:$B$214,2,0))+各项系数!$J$6+各项系数!$M$5)*(1+$E$2)</f>
        <v>2.1407694430067354</v>
      </c>
      <c r="BA148" s="198">
        <f>BB148+各项系数!$L$9*$NS148</f>
        <v>2.1004409762624956</v>
      </c>
      <c r="BB148" s="198">
        <f>BC148*(1+$BJ148+各项系数!$J$5+各项系数!$L$5)</f>
        <v>2.0808406100881793</v>
      </c>
      <c r="BC148" s="198">
        <f t="shared" si="644"/>
        <v>2.0008082789309416</v>
      </c>
      <c r="BD148" s="136">
        <f>BE148+各项系数!$M$9*$NS148</f>
        <v>2.4029343290325484</v>
      </c>
      <c r="BE148" s="136">
        <f>BF148*(1+$BI148+(VLOOKUP($AM148,$A$12:$B$214,2,0))+各项系数!$J$6+各项系数!$M$5)*(1+$E$2)</f>
        <v>2.3833339628582322</v>
      </c>
      <c r="BF148" s="198">
        <f>BG148+各项系数!$L$9*$NS148</f>
        <v>2.338435991815377</v>
      </c>
      <c r="BG148" s="198">
        <f>BH148*(1+$BJ148+各项系数!$J$5+各项系数!$L$5)</f>
        <v>2.3188356256410607</v>
      </c>
      <c r="BH148" s="198">
        <f t="shared" si="645"/>
        <v>2.2296496400394812</v>
      </c>
      <c r="BI148" s="223"/>
      <c r="BJ148" s="209">
        <v>0.02</v>
      </c>
      <c r="BK148" s="62" t="s">
        <v>514</v>
      </c>
      <c r="BL148" s="136">
        <f>BM148+各项系数!$M$9*$NM148</f>
        <v>1.7129427269906012</v>
      </c>
      <c r="BM148" s="136">
        <f>BN148*(1+$CF148+(VLOOKUP($AM148,$A$12:$B$323,2,0))+各项系数!$J$6+各项系数!$M$5)*(1+$E$2)</f>
        <v>1.6953753256467583</v>
      </c>
      <c r="BN148" s="198">
        <f>BO148+各项系数!$L$9*$NM148</f>
        <v>1.6634373289312778</v>
      </c>
      <c r="BO148" s="198">
        <f>BP148*(1+$CG148+各项系数!$J$5+各项系数!$L$5)</f>
        <v>1.6458699275874349</v>
      </c>
      <c r="BP148" s="198">
        <f t="shared" si="646"/>
        <v>1.5674951691308903</v>
      </c>
      <c r="BQ148" s="136">
        <f>BR148+各项系数!$M$9*$NM148</f>
        <v>1.9162123386810803</v>
      </c>
      <c r="BR148" s="136">
        <f>BS148*(1+$CF148+(VLOOKUP($AM148,$A$12:$B$323,2,0))+各项系数!$J$6+各项系数!$M$5)*(1+$E$2)</f>
        <v>1.8986449373372374</v>
      </c>
      <c r="BS148" s="198">
        <f>BT148+各项系数!$L$9*$NM148</f>
        <v>1.8628776857704448</v>
      </c>
      <c r="BT148" s="198">
        <f>BU148*(1+$CG148+各项系数!$J$5+各项系数!$L$5)</f>
        <v>1.8453102844266018</v>
      </c>
      <c r="BU148" s="198">
        <f t="shared" si="647"/>
        <v>1.757438366120573</v>
      </c>
      <c r="BV148" s="136">
        <f>BW148+各项系数!$M$9*$NT148</f>
        <v>2.2053881582069601</v>
      </c>
      <c r="BW148" s="136">
        <f>BX148*(1+$CF148+(VLOOKUP($AM148,$A$12:$B$214,2,0))+各项系数!$J$6+各项系数!$M$5)*(1+$E$2)</f>
        <v>2.1857877920326438</v>
      </c>
      <c r="BX148" s="198">
        <f>BY148+各项系数!$L$9*$NT$12</f>
        <v>2.1446112559189987</v>
      </c>
      <c r="BY148" s="198">
        <f>BZ148*(1+$CG148+各项系数!$J$5+各项系数!$L$5)</f>
        <v>2.1363478527640249</v>
      </c>
      <c r="BZ148" s="198">
        <f t="shared" si="586"/>
        <v>2.0346170026324044</v>
      </c>
      <c r="CA148" s="136">
        <f>CB148+各项系数!$M$9*$NT148</f>
        <v>2.4141042854545165</v>
      </c>
      <c r="CB148" s="136">
        <f>CC148*(1+$CF148+(VLOOKUP($AM148,$A$12:$B$214,2,0))+各项系数!$J$6+各项系数!$M$5)*(1+$E$2)</f>
        <v>2.3945039192802002</v>
      </c>
      <c r="CC148" s="198">
        <f>CD148+各项系数!$L$9*$NT$12</f>
        <v>2.3493955251964289</v>
      </c>
      <c r="CD148" s="198">
        <f>CE148*(1+$CG148+各项系数!$J$5+各项系数!$L$5)</f>
        <v>2.3411321220414552</v>
      </c>
      <c r="CE148" s="198">
        <f t="shared" si="648"/>
        <v>2.2296496400394812</v>
      </c>
      <c r="CF148" s="223">
        <f t="shared" si="514"/>
        <v>0</v>
      </c>
      <c r="CG148" s="223">
        <f t="shared" si="587"/>
        <v>0.03</v>
      </c>
      <c r="CH148" s="62"/>
      <c r="CI148" s="136">
        <f>CJ148+各项系数!$M$9*$NO148</f>
        <v>1.8971221668765093</v>
      </c>
      <c r="CJ148" s="136">
        <f>CK148*(1+$DC148+(VLOOKUP($AM148,$A$12:$B$323,2,0))+各项系数!$J$6+各项系数!$M$5)*(1+$E$2)+各项系数!$M$9*$NK148</f>
        <v>1.8748737391826114</v>
      </c>
      <c r="CK148" s="198">
        <f>CL148+各项系数!$L$9*$NO148</f>
        <v>1.8223178353991056</v>
      </c>
      <c r="CL148" s="198">
        <f>CM148*(1+$DD148+各项系数!$J$5+各项系数!$L$5)</f>
        <v>1.8000694077052077</v>
      </c>
      <c r="CM148" s="198">
        <f t="shared" si="588"/>
        <v>1.7308359689473152</v>
      </c>
      <c r="CN148" s="136">
        <f>CO148+各项系数!$M$9*$NO148</f>
        <v>2.0596463000491672</v>
      </c>
      <c r="CO148" s="136">
        <f>CP148*(1+$DC148+(VLOOKUP($AM148,$A$12:$B$323,2,0))+各项系数!$J$6+各项系数!$M$5)*(1+$E$2)+各项系数!$M$9*$NK148</f>
        <v>2.0373978723552693</v>
      </c>
      <c r="CP148" s="198">
        <f>CQ148+各项系数!$L$9*$NO148</f>
        <v>1.9817802894539114</v>
      </c>
      <c r="CQ148" s="198">
        <f>CR148*(1+$DD148+各项系数!$J$5+各项系数!$L$5)</f>
        <v>1.9595318617600135</v>
      </c>
      <c r="CR148" s="198">
        <f t="shared" si="589"/>
        <v>1.8841652516923206</v>
      </c>
      <c r="CS148" s="136">
        <f>CT148+各项系数!$M$9*$NU148</f>
        <v>2.5049653816895647</v>
      </c>
      <c r="CT148" s="136">
        <f t="shared" si="590"/>
        <v>2.480155505703233</v>
      </c>
      <c r="CU148" s="198">
        <f>CV148+各项系数!$L$9*$NU148</f>
        <v>2.4334335809490115</v>
      </c>
      <c r="CV148" s="198">
        <f>CW148*(1+$DD148+各项系数!$J$5+各项系数!$L$5)</f>
        <v>2.4086237049626797</v>
      </c>
      <c r="CW148" s="198">
        <f t="shared" si="591"/>
        <v>2.3159843316948843</v>
      </c>
      <c r="CX148" s="136">
        <f>CY148+各项系数!$M$9*$NU148</f>
        <v>2.7974224412162436</v>
      </c>
      <c r="CY148" s="136">
        <f t="shared" si="592"/>
        <v>2.7726125652299118</v>
      </c>
      <c r="CZ148" s="198">
        <f>DA148+各项系数!$L$9*$NU148</f>
        <v>2.7203812453197722</v>
      </c>
      <c r="DA148" s="198">
        <f>DB148*(1+$DD148+各项系数!$J$5+各项系数!$L$5)</f>
        <v>2.6955713693334404</v>
      </c>
      <c r="DB148" s="198">
        <f t="shared" si="593"/>
        <v>2.5918955474360001</v>
      </c>
      <c r="DC148" s="223">
        <f t="shared" si="571"/>
        <v>0</v>
      </c>
      <c r="DD148" s="223">
        <f t="shared" si="594"/>
        <v>0.02</v>
      </c>
      <c r="DE148" s="58" t="s">
        <v>498</v>
      </c>
      <c r="DF148" s="58" t="s">
        <v>513</v>
      </c>
      <c r="DG148" s="136">
        <f>DH148+各项系数!$M$9*$NQ148</f>
        <v>1.9574413766838648</v>
      </c>
      <c r="DH148" s="136">
        <f>DI148*(1+$EA148+(VLOOKUP($AM148,$A$12:$B$323,2,0))+各项系数!$J$6+各项系数!$M$5)*(1+$E$2)+各项系数!$M$9*$NK148</f>
        <v>1.9351929489899669</v>
      </c>
      <c r="DI148" s="198">
        <f>DJ148+各项系数!$L$9*$NQ148</f>
        <v>1.8815007335617384</v>
      </c>
      <c r="DJ148" s="198">
        <f>DK148*(1+$EB148+各项系数!$J$5+各项系数!$L$5)</f>
        <v>1.8592523058678405</v>
      </c>
      <c r="DK148" s="198">
        <f t="shared" si="595"/>
        <v>1.7707164817788956</v>
      </c>
      <c r="DL148" s="136">
        <f>DM148+各项系数!$M$9*$NQ148</f>
        <v>2.2036413298188573</v>
      </c>
      <c r="DM148" s="136">
        <f>DN148*(1+$EA148+(VLOOKUP($AM148,$A$12:$B$323,2,0))+各项系数!$J$6+各项系数!$M$5)*(1+$E$2)+各项系数!$M$9*$NK148</f>
        <v>2.1813929021249594</v>
      </c>
      <c r="DN148" s="198">
        <f>DO148+各项系数!$L$9*$NQ148</f>
        <v>2.1230626969987405</v>
      </c>
      <c r="DO148" s="198">
        <f>DP148*(1+$EB148+各项系数!$J$5+各项系数!$L$5)</f>
        <v>2.1008142693048426</v>
      </c>
      <c r="DP148" s="198">
        <f t="shared" si="596"/>
        <v>2.0007754945760405</v>
      </c>
      <c r="DQ148" s="136">
        <f>DR148+各项系数!$M$9*$NV148</f>
        <v>2.5721925719436398</v>
      </c>
      <c r="DR148" s="136">
        <f t="shared" si="597"/>
        <v>2.547382695957308</v>
      </c>
      <c r="DS148" s="198">
        <f>DT148+各项系数!$L$9*$NV148</f>
        <v>2.4993943249188657</v>
      </c>
      <c r="DT148" s="198">
        <f>DU148*(1+$EB148+各项系数!$J$5+各项系数!$L$5)</f>
        <v>2.4745844489325339</v>
      </c>
      <c r="DU148" s="198">
        <f t="shared" si="598"/>
        <v>2.3567470942214608</v>
      </c>
      <c r="DV148" s="136">
        <f>DW148+各项系数!$M$9*$NV148</f>
        <v>2.7068844002503605</v>
      </c>
      <c r="DW148" s="136">
        <f t="shared" si="599"/>
        <v>2.6820745242640287</v>
      </c>
      <c r="DX148" s="198">
        <f>DY148+各项系数!$L$9*$NV148</f>
        <v>2.6315487875431991</v>
      </c>
      <c r="DY148" s="198">
        <f>DZ148*(1+$EB148+各项系数!$J$5+各项系数!$L$5)</f>
        <v>2.6067389115568673</v>
      </c>
      <c r="DZ148" s="198">
        <f t="shared" si="600"/>
        <v>2.4826084871970164</v>
      </c>
      <c r="EA148" s="223">
        <f t="shared" si="581"/>
        <v>0</v>
      </c>
      <c r="EB148" s="223">
        <f t="shared" si="601"/>
        <v>0.03</v>
      </c>
      <c r="EC148" s="235">
        <f t="shared" si="649"/>
        <v>2</v>
      </c>
      <c r="ED148" s="236" t="str">
        <f t="shared" si="680"/>
        <v>2*1</v>
      </c>
      <c r="EE148" s="58">
        <f t="shared" si="495"/>
        <v>1</v>
      </c>
      <c r="EF148" s="58">
        <f>LOOKUP(EH148,{1,7,10,14,19,24,30,37,48,61},{1,"1+6","2+8","4+10","1+6+12","2+8+14","4+10+16","1+6+12+18","3+9+15+21","1+6+12+18+24"})</f>
        <v>1</v>
      </c>
      <c r="EG148" s="62">
        <f t="shared" si="602"/>
        <v>2</v>
      </c>
      <c r="EH148" s="198">
        <f>VLOOKUP(EE148,各项系数!$B$87:$C$124,2,0)</f>
        <v>1</v>
      </c>
      <c r="EI148" s="62">
        <f>IF(EH148=0,0,VLOOKUP(EH148,各项系数!$D$142:$E$195,2,0))*1</f>
        <v>1</v>
      </c>
      <c r="EJ148" s="238">
        <f t="shared" si="650"/>
        <v>110.31595161029</v>
      </c>
      <c r="EK148" s="58">
        <f t="shared" ref="EK148:EK173" si="689">IF(COUNTIF($D148,"*+*")&gt;0,MID($D148,FIND("+",$D148)+1,LEN($D148)),0)</f>
        <v>0</v>
      </c>
      <c r="EL148" s="58">
        <f t="shared" si="603"/>
        <v>0</v>
      </c>
      <c r="EM148" s="58">
        <f t="shared" ref="EM148:EM173" si="690">EL148/1</f>
        <v>0</v>
      </c>
      <c r="EN148" s="58">
        <f>IF(EP148=0,0,LOOKUP(EP148,{1,7,10,14,19,24,30,37,48,61},{1,"1+6","2+8","4+10","1+6+12","2+8+14","4+10+16","1+6+12+18","3+9+15+21","1+6+12+18+24"}))</f>
        <v>0</v>
      </c>
      <c r="EO148" s="58">
        <f t="shared" ref="EO148:EO173" si="691">IF(EK148=0,0,MID(EK148,1,1))</f>
        <v>0</v>
      </c>
      <c r="EP148" s="58">
        <f>IF(EM148=0,0,IF(EM148&lt;10,1,IF(AND(EM148&gt;=10,EM148&lt;=35),7,LOOKUP(EM148,{50,70,95,120,150,185,240,300},{10,14,19,24,30,37,48,61})*1)))</f>
        <v>0</v>
      </c>
      <c r="EQ148" s="58">
        <f>IF(EP148=0,0,VLOOKUP(EP148,各项系数!$D$142:$E$195,2,0))*1</f>
        <v>0</v>
      </c>
      <c r="ER148" s="58">
        <f t="shared" si="577"/>
        <v>0</v>
      </c>
      <c r="ES148" s="236">
        <f t="shared" ref="ES148:ES173" si="692">EO148+EG148</f>
        <v>2</v>
      </c>
      <c r="ET148" s="58">
        <f>VLOOKUP(ES148,各项系数!$D$142:$E$195,2,0)*1</f>
        <v>2</v>
      </c>
      <c r="EU148" s="243">
        <f>((各项系数!$F$76/4*$EJ148^2*$EG148*$EH148*1*10^-7)*(1-$H148)*AA148)*(VLOOKUP($EY$9,各项系数!$D$4:$F$143,3,0))*各项系数!$J$4</f>
        <v>1.6909133387267402E-2</v>
      </c>
      <c r="EV148" s="244">
        <f>EU148*(VLOOKUP($EY$9,各项系数!$D$4:$F$143,2,0))</f>
        <v>1.1075482368660148</v>
      </c>
      <c r="EW148" s="252">
        <f>(IF($EO148=0,0,(各项系数!$F$76/4*$ER148^2*$EO148*$EP148*1*10^-7))*(1-$K148)*$AF148)*(VLOOKUP($EY$9,各项系数!$D$4:$F$143,3,0))*各项系数!$J$4</f>
        <v>0</v>
      </c>
      <c r="EX148" s="253">
        <f>EW148*(VLOOKUP($EY$9,各项系数!$D$4:$F$143,2,0))</f>
        <v>0</v>
      </c>
      <c r="EY148" s="189">
        <f>((各项系数!$F$76/4*$EJ148^2*$EG148*$EH148*1*10^-7)*(1-$H148)*AA148+IF($EO148=0,0,(各项系数!$F$76/4*$ER148^2*$EO148*$EP148*1*10^-7))*(1-$K148)*$AF148)*(VLOOKUP($EY$9,各项系数!$D$4:$F$143,3,0))*各项系数!$J$4</f>
        <v>1.6909133387267402E-2</v>
      </c>
      <c r="EZ148" s="62">
        <v>1</v>
      </c>
      <c r="FA148" s="58">
        <f t="shared" si="515"/>
        <v>1.6909133387267402E-2</v>
      </c>
      <c r="FB148" s="245">
        <f>FA148*(VLOOKUP($EY$9,各项系数!$D$4:$F$143,2,0))</f>
        <v>1.1075482368660148</v>
      </c>
      <c r="FC148" s="256"/>
      <c r="FD148" s="235">
        <f>各项系数!$F$76/4*($MN148^2-MK148^2)*10^-2*(VLOOKUP(L148,各项系数!$D$1:$F$143,3,0))*10^-3*10^2*$EG148*各项系数!$J$4</f>
        <v>7.0275219547419497E-3</v>
      </c>
      <c r="FE148" s="262">
        <f>FD148*VLOOKUP(L148,各项系数!$D$1:$F$143,2,0)</f>
        <v>8.0816502479532426E-2</v>
      </c>
      <c r="FF148" s="188">
        <f>各项系数!$F$76/4*($MO148^2-ML148^2)*10^-2*(VLOOKUP(L148,各项系数!$D$1:$F$143,3,0))*10^-3*10^2*$EO148*各项系数!$J$4</f>
        <v>0</v>
      </c>
      <c r="FG148" s="262">
        <f>FF148*VLOOKUP(L148,各项系数!$D$1:$F$143,2,0)</f>
        <v>0</v>
      </c>
      <c r="FH148" s="235">
        <f t="shared" si="651"/>
        <v>7.0275219547419497E-3</v>
      </c>
      <c r="FI148" s="62">
        <v>1</v>
      </c>
      <c r="FJ148" s="58">
        <f t="shared" si="516"/>
        <v>7.0275219547419497E-3</v>
      </c>
      <c r="FK148" s="263">
        <f>FJ148*VLOOKUP(L148,各项系数!$D$1:$F$143,2,0)</f>
        <v>8.0816502479532426E-2</v>
      </c>
      <c r="FL148" s="236"/>
      <c r="FM148" s="62"/>
      <c r="FN148" s="58"/>
      <c r="FO148" s="263"/>
      <c r="FP148" s="286">
        <f t="shared" si="517"/>
        <v>7.0275219547419497E-3</v>
      </c>
      <c r="FQ148" s="286">
        <f t="shared" si="518"/>
        <v>8.0816502479532426E-2</v>
      </c>
      <c r="FR148" s="283">
        <f>各项系数!$F$76/4*($MQ148^2-$MN148^2*$EG148-$MO148^2*$EO148)*10^-2</f>
        <v>8.3323578764119985E-2</v>
      </c>
      <c r="FS148" s="284">
        <f t="shared" si="652"/>
        <v>0.05</v>
      </c>
      <c r="FT148" s="285">
        <f t="shared" si="604"/>
        <v>4.1661789382059994E-3</v>
      </c>
      <c r="FU148" s="305">
        <f>$FT148*(VLOOKUP($FT$9,各项系数!$D$1:$F$143,3,0))*10^-3*10^2*各项系数!$J$55</f>
        <v>4.9744176522179624E-4</v>
      </c>
      <c r="FV148" s="306">
        <v>1</v>
      </c>
      <c r="FW148" s="307">
        <f t="shared" si="519"/>
        <v>4.9744176522179624E-4</v>
      </c>
      <c r="FX148" s="308">
        <f>FW148*(VLOOKUP($FT$9,各项系数!$D$1:$F$143,2,0))</f>
        <v>1.4923252956653887E-3</v>
      </c>
      <c r="FY148" s="305">
        <f>IF($BK148&lt;&gt;$FY$9,0,各项系数!$F$76/4*($MS148^2-$MQ148^2)*10^-2*(VLOOKUP($FY$9,各项系数!$D$1:$F$143,3,0))*10^-3*10^2)*各项系数!$J$4</f>
        <v>0</v>
      </c>
      <c r="FZ148" s="306">
        <v>1</v>
      </c>
      <c r="GA148" s="307">
        <f t="shared" si="520"/>
        <v>0</v>
      </c>
      <c r="GB148" s="308">
        <f>GA148*(VLOOKUP($FY$9,各项系数!$D$1:$F$143,2,0))</f>
        <v>0</v>
      </c>
      <c r="GC148" s="305">
        <f>IF($BK148&lt;&gt;$GC$9,0,各项系数!$F$76/4*($MS148^2-$MQ148^2)*10^-2*(VLOOKUP($GC$9,各项系数!$D$1:$F$143,3,0))*10^-3*10^2)*各项系数!$J$4</f>
        <v>1.1974333657790467E-3</v>
      </c>
      <c r="GD148" s="306">
        <v>1</v>
      </c>
      <c r="GE148" s="307">
        <f t="shared" si="521"/>
        <v>1.1974333657790467E-3</v>
      </c>
      <c r="GF148" s="308">
        <f>GE148*(VLOOKUP($GC$9,各项系数!$D$1:$F$143,2,0))</f>
        <v>1.5446890418549703E-2</v>
      </c>
      <c r="GG148" s="305">
        <f>IF($BK148&lt;&gt;$GG$9,0,各项系数!$F$76/4*($MS148^2-$MQ148^2)*10^-2*(VLOOKUP($GG$9,各项系数!$D$1:$F$143,3,0))*10^-3*10^2)*各项系数!$J$4</f>
        <v>0</v>
      </c>
      <c r="GH148" s="306">
        <v>1</v>
      </c>
      <c r="GI148" s="307">
        <f t="shared" si="522"/>
        <v>0</v>
      </c>
      <c r="GJ148" s="308">
        <f>GI148*(VLOOKUP($GG$9,各项系数!$D$1:$F$143,2,0))</f>
        <v>0</v>
      </c>
      <c r="GK148" s="305">
        <f>IF($BK148&lt;&gt;$GK$9,0,各项系数!$F$76/4*($MS148^2-$MQ148^2)*10^-2*(VLOOKUP($GK$9,各项系数!$D$1:$F$143,3,0))*10^-3*10^2)*各项系数!$J$4</f>
        <v>0</v>
      </c>
      <c r="GL148" s="306">
        <v>1</v>
      </c>
      <c r="GM148" s="307">
        <f t="shared" si="523"/>
        <v>0</v>
      </c>
      <c r="GN148" s="308">
        <f>GM148*(VLOOKUP($GK$9,各项系数!$D$1:$F$143,2,0))</f>
        <v>0</v>
      </c>
      <c r="GO148" s="307">
        <f t="shared" si="524"/>
        <v>1.1974333657790467E-3</v>
      </c>
      <c r="GP148" s="307">
        <f t="shared" si="525"/>
        <v>1.5446890418549703E-2</v>
      </c>
      <c r="GQ148" s="316">
        <f>各项系数!$F$76/4*($MU148^2-$MS148^2)*10^-2*(VLOOKUP($S148,各项系数!$D$1:$F$143,3,0))*10^-3*10^2*各项系数!$J$4</f>
        <v>7.8779950484624217E-2</v>
      </c>
      <c r="GR148" s="306">
        <v>1</v>
      </c>
      <c r="GS148" s="307">
        <f t="shared" si="526"/>
        <v>7.8779950484624217E-2</v>
      </c>
      <c r="GT148" s="307">
        <f t="shared" si="457"/>
        <v>1</v>
      </c>
      <c r="GU148" s="307">
        <f>ROUND($GS148*(VLOOKUP($S148,各项系数!$D$1:$F$143,2,0))+$E$3*GS148,GT148)</f>
        <v>0.5</v>
      </c>
      <c r="GV148" s="315">
        <f>各项系数!$F$76/4*($MT148^2-$MS148^2)*10^-2*(VLOOKUP($GV$9,各项系数!$D$1:$F$143,3,0))*10^-3*10^2*各项系数!$J$4*PI()/4*R148</f>
        <v>6.7765494349118953E-3</v>
      </c>
      <c r="GW148" s="306">
        <v>1</v>
      </c>
      <c r="GX148" s="307">
        <f t="shared" si="527"/>
        <v>6.7765494349118953E-3</v>
      </c>
      <c r="GY148" s="307">
        <f>$GX148*(VLOOKUP($GV$9,各项系数!$D$1:$F$143,2,0))</f>
        <v>0.45741708685655291</v>
      </c>
      <c r="GZ148" s="316">
        <f>各项系数!$F$76/4*($MV148^2-$MS148^2)*10^-2*(VLOOKUP($GZ$9,各项系数!$D$1:$F$143,3,0))*10^-3*10^2*各项系数!$J$4</f>
        <v>3.2478494768282982E-2</v>
      </c>
      <c r="HA148" s="306">
        <v>1</v>
      </c>
      <c r="HB148" s="307">
        <f t="shared" si="653"/>
        <v>3.2478494768282982E-2</v>
      </c>
      <c r="HC148" s="307">
        <f>HB148*(VLOOKUP($GZ$9,各项系数!$D$1:$F$143,2,0))</f>
        <v>0.55213441106081074</v>
      </c>
      <c r="HD148" s="316">
        <f>各项系数!$F$76/4*($MW148^2-$MT148^2)*10^-2*(VLOOKUP($HD$9,各项系数!$D$1:$F$143,3,0))*10^-3*10^2*各项系数!$J$4</f>
        <v>3.3348741066068582E-2</v>
      </c>
      <c r="HE148" s="306">
        <v>1</v>
      </c>
      <c r="HF148" s="307">
        <f t="shared" si="654"/>
        <v>3.3348741066068582E-2</v>
      </c>
      <c r="HG148" s="307">
        <f>HF148*(VLOOKUP($HD$9,各项系数!$D$1:$F$143,2,0))</f>
        <v>0.56692859812316587</v>
      </c>
      <c r="HH148" s="316">
        <f>各项系数!$F$76/4*($MV148^2-$MS148^2)*10^-2*(VLOOKUP($HH$9,各项系数!$D$1:$F$143,3,0))*10^-3*10^2*各项系数!$J$4</f>
        <v>3.2478494768282982E-2</v>
      </c>
      <c r="HI148" s="307">
        <v>1</v>
      </c>
      <c r="HJ148" s="307">
        <f t="shared" si="655"/>
        <v>3.2478494768282982E-2</v>
      </c>
      <c r="HK148" s="307">
        <f>HJ148*(VLOOKUP($HH$9,各项系数!$D$1:$F$143,2,0))</f>
        <v>0.55213441106081074</v>
      </c>
      <c r="HL148" s="316">
        <f>各项系数!$F$76/4*($MW148^2-$MT148^2)*10^-2*(VLOOKUP($HL$9,各项系数!$D$1:$F$143,3,0))*10^-3*10^2*各项系数!$J$4</f>
        <v>3.3348741066068582E-2</v>
      </c>
      <c r="HM148" s="307">
        <v>1</v>
      </c>
      <c r="HN148" s="307">
        <f t="shared" si="605"/>
        <v>3.3348741066068582E-2</v>
      </c>
      <c r="HO148" s="307">
        <f>HN148*(VLOOKUP($HL$9,各项系数!$D$1:$F$143,2,0))</f>
        <v>0.56692859812316587</v>
      </c>
      <c r="HP148" s="316">
        <f>各项系数!$F$76/4*($MV148^2-$MS148^2)*10^-2*(VLOOKUP(AN148,各项系数!$D$1:$F$143,3,0))*10^-3*10^2*各项系数!$J$4</f>
        <v>3.29264740064662E-2</v>
      </c>
      <c r="HQ148" s="306">
        <v>1</v>
      </c>
      <c r="HR148" s="307">
        <f t="shared" si="528"/>
        <v>3.29264740064662E-2</v>
      </c>
      <c r="HS148" s="307">
        <f>HR148*(VLOOKUP(AN148,各项系数!$D$1:$F$143,2,0))</f>
        <v>0.329264740064662</v>
      </c>
      <c r="HT148" s="316">
        <f>各项系数!$F$76/4*($MW148^2-$MT148^2)*10^-2*(VLOOKUP(AN148,各项系数!$D$1:$F$143,3,0))*10^-3*10^2*各项系数!$J$4</f>
        <v>3.3808723701462637E-2</v>
      </c>
      <c r="HU148" s="306">
        <v>1</v>
      </c>
      <c r="HV148" s="307">
        <f t="shared" si="529"/>
        <v>3.3808723701462637E-2</v>
      </c>
      <c r="HW148" s="307">
        <f>HV148*(VLOOKUP(AN148,各项系数!$D$1:$F$143,2,0))</f>
        <v>0.3380872370146264</v>
      </c>
      <c r="HX148" s="316">
        <f>各项系数!$F$76/4*($MV148^2-$MS148^2)*10^-2*(VLOOKUP($HX$9,各项系数!$D$1:$F$143,3,0))*10^-3*10^2*各项系数!$J$4</f>
        <v>3.29264740064662E-2</v>
      </c>
      <c r="HY148" s="307">
        <v>1</v>
      </c>
      <c r="HZ148" s="307">
        <f t="shared" si="530"/>
        <v>3.29264740064662E-2</v>
      </c>
      <c r="IA148" s="307">
        <f>HZ148*(VLOOKUP($HX$9,各项系数!$D$1:$F$143,2,0))</f>
        <v>0.3621912140711282</v>
      </c>
      <c r="IB148" s="316">
        <f>各项系数!$F$76/4*($MW148^2-$MT148^2)*10^-2*(VLOOKUP($IB$9,各项系数!$D$1:$F$143,3,0))*10^-3*10^2*各项系数!$J$4</f>
        <v>3.3808723701462637E-2</v>
      </c>
      <c r="IC148" s="307">
        <v>1</v>
      </c>
      <c r="ID148" s="307">
        <f t="shared" si="531"/>
        <v>3.3808723701462637E-2</v>
      </c>
      <c r="IE148" s="307">
        <f>ID148*(VLOOKUP($IB$9,各项系数!$D$1:$F$143,2,0))</f>
        <v>0.37189596071608899</v>
      </c>
      <c r="IF148" s="305"/>
      <c r="IG148" s="315">
        <f t="shared" si="656"/>
        <v>3.9475033754826135E-3</v>
      </c>
      <c r="IH148" s="306">
        <v>1</v>
      </c>
      <c r="II148" s="307">
        <f t="shared" si="532"/>
        <v>3.9475033754826135E-3</v>
      </c>
      <c r="IJ148" s="307">
        <f>II148*(VLOOKUP($IG$8,各项系数!$D$1:$F$143,2,0))</f>
        <v>9.8687584387065333E-2</v>
      </c>
      <c r="IK148" s="315">
        <f>(各项系数!$F$76/4*($MX148^2-$MK148^2)*$EG148)*10^-2*(VLOOKUP($IG$8,各项系数!$D$1:$F$143,3,0))*10^-3*10^2*各项系数!$J$4</f>
        <v>3.9475033754826135E-3</v>
      </c>
      <c r="IL148" s="303">
        <f>IK148*(VLOOKUP($IG$8,各项系数!$D$1:$F$143,2,0))</f>
        <v>9.8687584387065333E-2</v>
      </c>
      <c r="IM148" s="304">
        <f>(各项系数!$F$76/4*(($MM148+3*$X148)^2-MM148^2)*$EO148)*10^-2*(VLOOKUP($IG$8,各项系数!$D$1:$F$143,3,0))*10^-3*10^2*各项系数!$J$4</f>
        <v>0</v>
      </c>
      <c r="IN148" s="303">
        <f>IM148*(VLOOKUP($IG$8,各项系数!$D$1:$F$143,2,0))</f>
        <v>0</v>
      </c>
      <c r="IO148" s="316">
        <f>各项系数!$F$76/4*($MZ148^2-$MX148^2)*10^-2*(VLOOKUP(L148,各项系数!$D$1:$F$143,3,0))*10^-3*10^2*$ES148*各项系数!$J$4</f>
        <v>9.5032226294768495E-3</v>
      </c>
      <c r="IP148" s="306">
        <v>1</v>
      </c>
      <c r="IQ148" s="307">
        <f t="shared" si="533"/>
        <v>9.5032226294768495E-3</v>
      </c>
      <c r="IR148" s="308">
        <f>IQ148*(VLOOKUP(L148,各项系数!$D$1:$F$143,2,0))</f>
        <v>0.10928706023898377</v>
      </c>
      <c r="IS148" s="316">
        <f>IF($L148&lt;&gt;$IS$9,0,各项系数!$F$76/4*($MZ148^2-$MX148^2)*10^-2*各项系数!$F$12*10^-3*10^2)*$ES148*各项系数!$J$4</f>
        <v>0</v>
      </c>
      <c r="IT148" s="306">
        <v>1</v>
      </c>
      <c r="IU148" s="307">
        <f t="shared" si="534"/>
        <v>0</v>
      </c>
      <c r="IV148" s="308">
        <f>IU148*各项系数!$E$12</f>
        <v>0</v>
      </c>
      <c r="IW148" s="305">
        <f t="shared" si="535"/>
        <v>9.5032226294768495E-3</v>
      </c>
      <c r="IX148" s="305">
        <f t="shared" si="536"/>
        <v>0.10928706023898377</v>
      </c>
      <c r="IY148" s="339">
        <f>各项系数!$F$76/4*($NB148^2-$MZ148^2*$EG148-$NA148^2*$EO148)*10^-2</f>
        <v>0.13239197970904598</v>
      </c>
      <c r="IZ148" s="284">
        <f t="shared" si="487"/>
        <v>0.05</v>
      </c>
      <c r="JA148" s="285">
        <f t="shared" si="606"/>
        <v>6.6195989854522996E-3</v>
      </c>
      <c r="JB148" s="286">
        <f>IF($DE148&lt;&gt;$JB$9,0,$JA148*各项系数!$F$32*10^-3*10^2)*各项系数!$J$4</f>
        <v>0</v>
      </c>
      <c r="JC148" s="62">
        <v>1</v>
      </c>
      <c r="JD148" s="58">
        <f t="shared" si="537"/>
        <v>0</v>
      </c>
      <c r="JE148" s="263">
        <f>JD148*各项系数!$E$32</f>
        <v>0</v>
      </c>
      <c r="JF148" s="282">
        <f>IF($DE148&lt;&gt;$JF$9,0,$JA148*VLOOKUP($JF$9,各项系数!$D$4:$F$540,2,0)*10^-3*10^2)*各项系数!$J$4</f>
        <v>3.2932504952625187E-3</v>
      </c>
      <c r="JG148" s="102">
        <v>1</v>
      </c>
      <c r="JH148" s="189">
        <f t="shared" si="607"/>
        <v>3.2932504952625187E-3</v>
      </c>
      <c r="JI148" s="262">
        <f>JH148*VLOOKUP($JF$9,各项系数!$D$4:$F$540,3,0)</f>
        <v>3.9519005943150221E-3</v>
      </c>
      <c r="JJ148" s="286">
        <f t="shared" si="538"/>
        <v>3.2932504952625187E-3</v>
      </c>
      <c r="JK148" s="58">
        <f t="shared" si="539"/>
        <v>3.9519005943150221E-3</v>
      </c>
      <c r="JL148" s="286">
        <f>IF($DF148&lt;&gt;$JL$9,0,各项系数!$F$76/4*($NE148^2-$NC148^2)*10^-2*各项系数!$F$39*10^-3*10^2)*各项系数!$J$4</f>
        <v>6.2780292725655128E-4</v>
      </c>
      <c r="JM148" s="62">
        <v>1</v>
      </c>
      <c r="JN148" s="58">
        <f t="shared" si="540"/>
        <v>6.2780292725655128E-4</v>
      </c>
      <c r="JO148" s="263">
        <f>JN148*各项系数!$E$39</f>
        <v>1.2556058545131026E-2</v>
      </c>
      <c r="JP148" s="286">
        <f>IF($DF148&lt;&gt;$JP$9,0,各项系数!$F$76/4*($NE148^2-$NC148^2)*10^-2*各项系数!$F$36*10^-3*10^2)*各项系数!$J$4</f>
        <v>0</v>
      </c>
      <c r="JQ148" s="62">
        <v>1</v>
      </c>
      <c r="JR148" s="58">
        <f t="shared" si="541"/>
        <v>0</v>
      </c>
      <c r="JS148" s="263">
        <f>JR148*各项系数!$E$36</f>
        <v>0</v>
      </c>
      <c r="JT148" s="286">
        <f>IF($DF148&lt;&gt;$JT$9,0,各项系数!$F$76/4*($NE148^2-$NC148^2)*10^-2*各项系数!$F$40*10^-3*10^2)*各项系数!$J$4</f>
        <v>0</v>
      </c>
      <c r="JU148" s="62">
        <v>1</v>
      </c>
      <c r="JV148" s="58">
        <f t="shared" si="542"/>
        <v>0</v>
      </c>
      <c r="JW148" s="263">
        <f>JV148*各项系数!$E$40</f>
        <v>0</v>
      </c>
      <c r="JX148" s="286">
        <f>IF($DF148&lt;&gt;$JX$9,0,各项系数!$F$76/4*($NE148^2-$NC148^2)*10^-2*各项系数!$F$38*10^-3*10^2)*各项系数!$J$4</f>
        <v>0</v>
      </c>
      <c r="JY148" s="62">
        <v>1</v>
      </c>
      <c r="JZ148" s="58">
        <f t="shared" si="543"/>
        <v>0</v>
      </c>
      <c r="KA148" s="263">
        <f>JZ148*各项系数!$E$38</f>
        <v>0</v>
      </c>
      <c r="KB148" s="286">
        <f>IF($DF148&lt;&gt;$KB$9,0,各项系数!$F$76/4*($NE148^2-$NC148^2)*10^-2*各项系数!$F$41*10^-3*10^2)*各项系数!$J$4</f>
        <v>0</v>
      </c>
      <c r="KC148" s="62">
        <v>1</v>
      </c>
      <c r="KD148" s="58">
        <f t="shared" si="544"/>
        <v>0</v>
      </c>
      <c r="KE148" s="263">
        <f>KD148*各项系数!$E$41</f>
        <v>0</v>
      </c>
      <c r="KF148" s="58">
        <f t="shared" si="545"/>
        <v>6.2780292725655128E-4</v>
      </c>
      <c r="KG148" s="58">
        <f t="shared" si="546"/>
        <v>1.2556058545131026E-2</v>
      </c>
      <c r="KH148" s="236">
        <f>各项系数!$F$76/4*($NG148^2-$NE148^2)*10^-2*各项系数!$F$44*10^-3*10^2*各项系数!$J$4*0.75*$U148</f>
        <v>0.29183024289509107</v>
      </c>
      <c r="KI148" s="62">
        <v>1</v>
      </c>
      <c r="KJ148" s="58">
        <f t="shared" si="547"/>
        <v>0.29183024289509107</v>
      </c>
      <c r="KK148" s="58">
        <f>ROUND(KJ148*各项系数!$E$43,GT148)</f>
        <v>1.7</v>
      </c>
      <c r="KL148" s="235">
        <f>各项系数!$F$76/4*($NF148^2-$NE148^2)*10^-2*各项系数!$F$46*10^-3*10^2*各项系数!$J$4*PI()/4*R148</f>
        <v>8.5381609747793245E-3</v>
      </c>
      <c r="KM148" s="62">
        <v>1</v>
      </c>
      <c r="KN148" s="58">
        <f t="shared" si="548"/>
        <v>8.5381609747793245E-3</v>
      </c>
      <c r="KO148" s="58">
        <f>KN148*各项系数!$E$46</f>
        <v>0.57632586579760436</v>
      </c>
      <c r="KP148" s="236">
        <f>各项系数!$F$76/4*($NH148^2-$NE148^2)*10^-2*(VLOOKUP($KP$9,各项系数!$D$1:$F$143,3,0))*10^-3*10^2*各项系数!$J$4</f>
        <v>3.9337920820266513E-2</v>
      </c>
      <c r="KQ148" s="62">
        <v>1</v>
      </c>
      <c r="KR148" s="58">
        <f t="shared" si="657"/>
        <v>3.9337920820266513E-2</v>
      </c>
      <c r="KS148" s="58">
        <f>KR148*(VLOOKUP($KP$9,各项系数!$D$1:$F$143,2,0))</f>
        <v>0.66874465394453075</v>
      </c>
      <c r="KT148" s="236">
        <f>各项系数!$F$76/4*($NI148^2-$NF148^2)*10^-2*(VLOOKUP($KT$9,各项系数!$D$1:$F$143,3,0))*10^-3*10^2*各项系数!$J$4</f>
        <v>4.020816711805212E-2</v>
      </c>
      <c r="KU148" s="62">
        <v>1</v>
      </c>
      <c r="KV148" s="58">
        <f t="shared" si="658"/>
        <v>4.020816711805212E-2</v>
      </c>
      <c r="KW148" s="58">
        <f>KV148*(VLOOKUP($KT$9,各项系数!$D$1:$F$143,2,0))</f>
        <v>0.683538841006886</v>
      </c>
      <c r="KX148" s="58">
        <f>各项系数!$F$76/4*($NH148^2-$NE148^2)*10^-2*(VLOOKUP($KX$9,各项系数!$D$1:$F$143,3,0))*10^-3*10^2*各项系数!$J$4</f>
        <v>3.9337920820266513E-2</v>
      </c>
      <c r="KY148" s="354">
        <v>1</v>
      </c>
      <c r="KZ148" s="58">
        <f t="shared" si="659"/>
        <v>3.9337920820266513E-2</v>
      </c>
      <c r="LA148" s="58">
        <f>KZ148*(VLOOKUP($KX$9,各项系数!$D$1:$F$143,2,0))</f>
        <v>0.66874465394453075</v>
      </c>
      <c r="LB148" s="58">
        <f>各项系数!$F$76/4*($NI148^2-$NF148^2)*10^-2*(VLOOKUP($LB$9,各项系数!$D$1:$F$143,3,0))*10^-3*10^2*各项系数!$J$4</f>
        <v>4.020816711805212E-2</v>
      </c>
      <c r="LC148" s="354">
        <v>1</v>
      </c>
      <c r="LD148" s="58">
        <f t="shared" si="660"/>
        <v>4.020816711805212E-2</v>
      </c>
      <c r="LE148" s="58">
        <f>LD148*(VLOOKUP($LB$9,各项系数!$D$1:$F$143,2,0))</f>
        <v>0.683538841006886</v>
      </c>
      <c r="LF148" s="236">
        <f>各项系数!$F$76/4*($NH148^2-$NE148^2)*10^-2*(VLOOKUP(AN148,各项系数!$D$1:$F$143,3,0))*10^-3*10^2*各项系数!$J$4</f>
        <v>3.988051283158054E-2</v>
      </c>
      <c r="LG148" s="62">
        <v>1</v>
      </c>
      <c r="LH148" s="58">
        <f t="shared" si="549"/>
        <v>3.988051283158054E-2</v>
      </c>
      <c r="LI148" s="58">
        <f>LH148*(VLOOKUP(AN148,各项系数!$D$1:$F$143,2,0))</f>
        <v>0.39880512831580539</v>
      </c>
      <c r="LJ148" s="236">
        <f>各项系数!$F$76/4*($NI148^2-$NF148^2)*10^-2*(VLOOKUP(AN148,各项系数!$D$1:$F$143,3,0))*10^-3*10^2*各项系数!$J$4</f>
        <v>4.0762762526576977E-2</v>
      </c>
      <c r="LK148" s="62">
        <v>1</v>
      </c>
      <c r="LL148" s="58">
        <f t="shared" si="550"/>
        <v>4.0762762526576977E-2</v>
      </c>
      <c r="LM148" s="58">
        <f>LL148*(VLOOKUP(AN148,各项系数!$D$1:$F$143,2,0))</f>
        <v>0.40762762526576979</v>
      </c>
      <c r="LN148" s="58">
        <f>各项系数!$F$76/4*($NH148^2-$NE148^2)*10^-2*(VLOOKUP($LN$9,各项系数!$D$1:$F$143,3,0))*10^-3*10^2*各项系数!$J$4</f>
        <v>3.988051283158054E-2</v>
      </c>
      <c r="LO148" s="354">
        <v>1</v>
      </c>
      <c r="LP148" s="58">
        <f t="shared" si="551"/>
        <v>3.988051283158054E-2</v>
      </c>
      <c r="LQ148" s="58">
        <f>LP148*(VLOOKUP($LN$9,各项系数!$D$1:$F$143,2,0))</f>
        <v>0.43868564114738595</v>
      </c>
      <c r="LR148" s="58">
        <f>各项系数!$F$76/4*($NI148^2-$NF148^2)*10^-2*(VLOOKUP($LR$9,各项系数!$D$1:$F$143,3,0))*10^-3*10^2*各项系数!$J$4</f>
        <v>4.0762762526576977E-2</v>
      </c>
      <c r="LS148" s="354">
        <v>1</v>
      </c>
      <c r="LT148" s="58">
        <f t="shared" si="552"/>
        <v>4.0762762526576977E-2</v>
      </c>
      <c r="LU148" s="58">
        <f>LT148*(VLOOKUP($LR$9,各项系数!$D$1:$F$143,2,0))</f>
        <v>0.44839038779234675</v>
      </c>
      <c r="LV148" s="227">
        <f t="shared" si="661"/>
        <v>1.9115977500000001</v>
      </c>
      <c r="LW148" s="227">
        <f t="shared" si="662"/>
        <v>1.9115977500000001</v>
      </c>
      <c r="LX148" s="227">
        <f t="shared" si="663"/>
        <v>1.5601031532968459</v>
      </c>
      <c r="LY148" s="227">
        <f t="shared" si="664"/>
        <v>0</v>
      </c>
      <c r="LZ148" s="374">
        <f t="shared" si="608"/>
        <v>1</v>
      </c>
      <c r="MA148" s="375">
        <f t="shared" si="609"/>
        <v>1.9115977500000001</v>
      </c>
      <c r="MB148" s="375">
        <f t="shared" si="665"/>
        <v>1.1031595199999999</v>
      </c>
      <c r="MC148" s="227">
        <f t="shared" si="666"/>
        <v>0</v>
      </c>
      <c r="MD148" s="227">
        <f t="shared" si="667"/>
        <v>0</v>
      </c>
      <c r="ME148" s="227">
        <f t="shared" si="668"/>
        <v>0</v>
      </c>
      <c r="MF148" s="227">
        <f t="shared" si="669"/>
        <v>0</v>
      </c>
      <c r="MG148" s="374">
        <f t="shared" si="670"/>
        <v>1</v>
      </c>
      <c r="MH148" s="375">
        <f t="shared" si="610"/>
        <v>0</v>
      </c>
      <c r="MI148" s="375">
        <f t="shared" si="671"/>
        <v>0</v>
      </c>
      <c r="MJ148" s="189">
        <f t="shared" si="611"/>
        <v>1.1031595199999999</v>
      </c>
      <c r="MK148" s="189">
        <f t="shared" si="672"/>
        <v>1.1031595199999999</v>
      </c>
      <c r="ML148" s="58">
        <f t="shared" si="553"/>
        <v>0</v>
      </c>
      <c r="MM148" s="189">
        <f t="shared" si="612"/>
        <v>0</v>
      </c>
      <c r="MN148" s="58">
        <f t="shared" si="613"/>
        <v>2.3031595199999999</v>
      </c>
      <c r="MO148" s="189">
        <f t="shared" si="673"/>
        <v>0</v>
      </c>
      <c r="MP148" s="189">
        <f t="shared" si="674"/>
        <v>4.6063190399999998</v>
      </c>
      <c r="MQ148" s="58">
        <f t="shared" si="554"/>
        <v>4.6063190399999998</v>
      </c>
      <c r="MR148" s="246">
        <f t="shared" si="675"/>
        <v>4.5953660100000002</v>
      </c>
      <c r="MS148" s="380">
        <f t="shared" si="614"/>
        <v>4.7713660100000004</v>
      </c>
      <c r="MT148" s="381">
        <f t="shared" si="615"/>
        <v>4.9313660100000005</v>
      </c>
      <c r="MU148" s="381">
        <f t="shared" si="616"/>
        <v>5.9713660100000006</v>
      </c>
      <c r="MV148" s="381">
        <f t="shared" si="617"/>
        <v>7.1713660099999998</v>
      </c>
      <c r="MW148" s="381">
        <f t="shared" si="618"/>
        <v>7.33136601</v>
      </c>
      <c r="MX148" s="245">
        <f t="shared" si="619"/>
        <v>1.70315952</v>
      </c>
      <c r="MY148" s="245">
        <f t="shared" si="620"/>
        <v>0</v>
      </c>
      <c r="MZ148" s="58">
        <f t="shared" si="621"/>
        <v>2.90315952</v>
      </c>
      <c r="NA148" s="58">
        <f t="shared" si="622"/>
        <v>0</v>
      </c>
      <c r="NB148" s="189">
        <f t="shared" si="676"/>
        <v>5.80631904</v>
      </c>
      <c r="NC148" s="245">
        <f t="shared" si="555"/>
        <v>5.80631904</v>
      </c>
      <c r="ND148" s="246">
        <f t="shared" si="677"/>
        <v>5.7925126200000001</v>
      </c>
      <c r="NE148" s="386">
        <f t="shared" si="678"/>
        <v>6.0325126200000003</v>
      </c>
      <c r="NF148" s="381">
        <f t="shared" si="623"/>
        <v>6.1925126200000005</v>
      </c>
      <c r="NG148" s="139">
        <f t="shared" si="624"/>
        <v>7.2325126200000005</v>
      </c>
      <c r="NH148" s="245">
        <f t="shared" si="625"/>
        <v>8.4325126200000007</v>
      </c>
      <c r="NI148" s="381">
        <f t="shared" si="626"/>
        <v>8.5925126200000008</v>
      </c>
      <c r="NK148" s="20">
        <f t="shared" si="627"/>
        <v>5.8558004479476386E-2</v>
      </c>
      <c r="NL148" s="20">
        <f t="shared" si="628"/>
        <v>1.5345686951244242</v>
      </c>
      <c r="NM148" s="20">
        <f t="shared" si="629"/>
        <v>5.8558004479476386E-2</v>
      </c>
      <c r="NN148" s="20">
        <f t="shared" si="630"/>
        <v>1.5674951691308903</v>
      </c>
      <c r="NO148" s="20">
        <f t="shared" si="631"/>
        <v>7.4161425646326481E-2</v>
      </c>
      <c r="NP148" s="20">
        <f t="shared" si="632"/>
        <v>1.7308359689473154</v>
      </c>
      <c r="NQ148" s="20">
        <f t="shared" si="633"/>
        <v>7.4161425646326481E-2</v>
      </c>
      <c r="NR148" s="20">
        <f t="shared" si="634"/>
        <v>1.7707164817788956</v>
      </c>
      <c r="NS148" s="20">
        <f t="shared" si="635"/>
        <v>6.5334553914388277E-2</v>
      </c>
      <c r="NT148" s="20">
        <f t="shared" si="636"/>
        <v>6.5334553914388277E-2</v>
      </c>
      <c r="NU148" s="20">
        <f t="shared" si="637"/>
        <v>8.2699586621105811E-2</v>
      </c>
      <c r="NV148" s="20">
        <f t="shared" si="638"/>
        <v>8.2699586621105811E-2</v>
      </c>
      <c r="NW148" s="10">
        <f t="shared" si="639"/>
        <v>0.13733795496410062</v>
      </c>
      <c r="NX148" s="10">
        <f>各项系数!$M$9*NK148</f>
        <v>1.7567401343842916E-2</v>
      </c>
      <c r="NY148" s="10">
        <f t="shared" si="640"/>
        <v>6.5334553914388291E-2</v>
      </c>
    </row>
    <row r="149" spans="1:389" ht="15" hidden="1" customHeight="1">
      <c r="A149" s="69"/>
      <c r="B149" s="70"/>
      <c r="C149" s="69"/>
      <c r="D149" s="102" t="s">
        <v>133</v>
      </c>
      <c r="E149" s="404">
        <f t="shared" si="687"/>
        <v>7.5508245600000006</v>
      </c>
      <c r="F149" s="405">
        <f t="shared" ref="F149:F164" si="693">$F$15</f>
        <v>110.31595161029</v>
      </c>
      <c r="G149" s="16"/>
      <c r="H149" s="16"/>
      <c r="I149" s="145">
        <v>0</v>
      </c>
      <c r="J149" s="16"/>
      <c r="K149" s="16"/>
      <c r="L149" s="97" t="s">
        <v>469</v>
      </c>
      <c r="M149" s="103">
        <f t="shared" si="582"/>
        <v>0.6</v>
      </c>
      <c r="N149" s="103">
        <f t="shared" si="583"/>
        <v>0</v>
      </c>
      <c r="O149" s="53">
        <f t="shared" si="688"/>
        <v>0.08</v>
      </c>
      <c r="P149" s="99">
        <v>0.1</v>
      </c>
      <c r="Q149" s="133">
        <f t="shared" si="685"/>
        <v>0.1</v>
      </c>
      <c r="R149" s="406">
        <v>0.8</v>
      </c>
      <c r="S149" s="142" t="str">
        <f>各项系数!$D$43</f>
        <v>钢带</v>
      </c>
      <c r="T149" s="102">
        <v>0.2</v>
      </c>
      <c r="U149" s="62">
        <v>4</v>
      </c>
      <c r="V149" s="143"/>
      <c r="W149" s="141">
        <f t="shared" ref="W149:W154" si="694">$W$148</f>
        <v>1.2</v>
      </c>
      <c r="X149" s="135">
        <f t="shared" si="686"/>
        <v>0.2</v>
      </c>
      <c r="Y149" s="135"/>
      <c r="Z149" s="168"/>
      <c r="AA149" s="153">
        <v>1</v>
      </c>
      <c r="AB149" s="153">
        <f>PI()*EJ149*EJ149/4*EH149*(1-H149)*AA149*各项系数!$F$5*各项系数!$J$4*10^-7</f>
        <v>8.4545666936336993E-3</v>
      </c>
      <c r="AC149" s="153">
        <f t="shared" si="573"/>
        <v>110.31595161029</v>
      </c>
      <c r="AD149" s="153">
        <f t="shared" si="584"/>
        <v>0.95579886989884189</v>
      </c>
      <c r="AE149" s="153">
        <f>POWER(4*EU149/PI()/EG149/10^-7/EH149/(1-H149)/各项系数!$F$5/各项系数!$J$4,0.5)</f>
        <v>110.31595161029</v>
      </c>
      <c r="AF149" s="69">
        <v>1</v>
      </c>
      <c r="AG149" s="69">
        <f>IF(EM149=0,0,PI()*ER149*ER149/4*EP149*(1-K149)*(1+AF149)*各项系数!$F$5*各项系数!$J$4*10^-7)</f>
        <v>0</v>
      </c>
      <c r="AH149" s="69">
        <f t="shared" si="574"/>
        <v>0</v>
      </c>
      <c r="AI149" s="69">
        <f t="shared" si="641"/>
        <v>0</v>
      </c>
      <c r="AJ149" s="69">
        <f>IF(OR(EP149="",EP149=0),0,POWER(4*EW149/PI()/EO149/10^-7/EP149/(1-K149)/各项系数!$F$5/各项系数!$J$4,0.5))</f>
        <v>0</v>
      </c>
      <c r="AK149" s="69" t="str">
        <f t="shared" si="585"/>
        <v>√</v>
      </c>
      <c r="AL149" s="69">
        <f t="shared" si="575"/>
        <v>2.4017403286183576</v>
      </c>
      <c r="AM149" s="188">
        <f t="shared" si="576"/>
        <v>1</v>
      </c>
      <c r="AN149" s="97" t="s">
        <v>486</v>
      </c>
      <c r="AO149" s="196">
        <f>AP149+各项系数!$M$9*$NK149</f>
        <v>2.3546473809983897</v>
      </c>
      <c r="AP149" s="196">
        <f>AQ149*(1+$BI149+(VLOOKUP($AM149,$A$12:$B$323,2,0))+各项系数!$J$6+各项系数!$M$5)*(1+$E$2)</f>
        <v>2.3304709963978745</v>
      </c>
      <c r="AQ149" s="197">
        <f>AR149+各项系数!$L$9*$NK149</f>
        <v>2.2865688740167527</v>
      </c>
      <c r="AR149" s="197">
        <f>AS149*(1+$BJ149+各项系数!$J$5+各项系数!$L$5)</f>
        <v>2.2623924894162375</v>
      </c>
      <c r="AS149" s="197">
        <f t="shared" si="642"/>
        <v>2.1753773936694589</v>
      </c>
      <c r="AT149" s="196">
        <f>AU149+各项系数!$M$9*$NM149</f>
        <v>2.6058939559940799</v>
      </c>
      <c r="AU149" s="196">
        <f>AV149*(1+$BI149+(VLOOKUP($AM149,$A$12:$B$323,2,0))+各项系数!$J$6+各项系数!$M$5)*(1+$E$2)</f>
        <v>2.5817175713935647</v>
      </c>
      <c r="AV149" s="197">
        <f>AW149+各项系数!$L$9*$NM149</f>
        <v>2.5330823895148789</v>
      </c>
      <c r="AW149" s="197">
        <f>AX149*(1+$BJ149+各项系数!$J$5+各项系数!$L$5)</f>
        <v>2.5089060049143637</v>
      </c>
      <c r="AX149" s="197">
        <f t="shared" si="643"/>
        <v>2.412409620109965</v>
      </c>
      <c r="AY149" s="196">
        <f>AZ149+各项系数!$M$9*$NS149</f>
        <v>2.891195700434583</v>
      </c>
      <c r="AZ149" s="196">
        <f>BA149*(1+$BI149+(VLOOKUP($AM149,$A$12:$B$214,2,0))+各项系数!$J$6+各项系数!$M$5)*(1+$E$2)</f>
        <v>2.864827338905727</v>
      </c>
      <c r="BA149" s="197">
        <f>BB149+各项系数!$L$9*$NS149</f>
        <v>2.8108588490048341</v>
      </c>
      <c r="BB149" s="197">
        <f>BC149*(1+$BJ149+各项系数!$J$5+各项系数!$L$5)</f>
        <v>2.7844904874759782</v>
      </c>
      <c r="BC149" s="199">
        <f t="shared" si="644"/>
        <v>2.6773946994961326</v>
      </c>
      <c r="BD149" s="196">
        <f>BE149+各项系数!$M$9*$NS149</f>
        <v>3.1487720758553244</v>
      </c>
      <c r="BE149" s="196">
        <f>BF149*(1+$BI149+(VLOOKUP($AM149,$A$12:$B$214,2,0))+各项系数!$J$6+各项系数!$M$5)*(1+$E$2)</f>
        <v>3.1224037143264685</v>
      </c>
      <c r="BF149" s="197">
        <f>BG149+各项系数!$L$9*$NS149</f>
        <v>3.0635829222198474</v>
      </c>
      <c r="BG149" s="197">
        <f>BH149*(1+$BJ149+各项系数!$J$5+各项系数!$L$5)</f>
        <v>3.0372145606909915</v>
      </c>
      <c r="BH149" s="199">
        <f t="shared" si="645"/>
        <v>2.9203986160490301</v>
      </c>
      <c r="BI149" s="213"/>
      <c r="BJ149" s="208">
        <f t="shared" ref="BJ149:BJ164" si="695">$BJ$148</f>
        <v>0.02</v>
      </c>
      <c r="BK149" s="102" t="s">
        <v>514</v>
      </c>
      <c r="BL149" s="196">
        <f>BM149+各项系数!$M$9*$NM149</f>
        <v>2.4142945800527515</v>
      </c>
      <c r="BM149" s="196">
        <f>BN149*(1+$CF149+(VLOOKUP($AM149,$A$12:$B$323,2,0))+各项系数!$J$6+各项系数!$M$5)*(1+$E$2)</f>
        <v>2.3901181954522364</v>
      </c>
      <c r="BN149" s="197">
        <f>BO149+各项系数!$L$9*$NM149</f>
        <v>2.3450924209696198</v>
      </c>
      <c r="BO149" s="197">
        <f>BP149*(1+$CG149+各项系数!$J$5+各项系数!$L$5)</f>
        <v>2.3209160363691046</v>
      </c>
      <c r="BP149" s="197">
        <f t="shared" si="646"/>
        <v>2.210396225113433</v>
      </c>
      <c r="BQ149" s="196">
        <f>BR149+各项系数!$M$9*$NM149</f>
        <v>2.6304812348422404</v>
      </c>
      <c r="BR149" s="196">
        <f>BS149*(1+$CF149+(VLOOKUP($AM149,$A$12:$B$323,2,0))+各项系数!$J$6+各项系数!$M$5)*(1+$E$2)</f>
        <v>2.6063048502417252</v>
      </c>
      <c r="BS149" s="197">
        <f>BT149+各项系数!$L$9*$NM149</f>
        <v>2.5572064857159784</v>
      </c>
      <c r="BT149" s="197">
        <f>BU149*(1+$CG149+各项系数!$J$5+各项系数!$L$5)</f>
        <v>2.5330301011154632</v>
      </c>
      <c r="BU149" s="197">
        <f t="shared" si="647"/>
        <v>2.412409620109965</v>
      </c>
      <c r="BV149" s="196">
        <f>BW149+各项系数!$M$9*$NT149</f>
        <v>2.9384510346288675</v>
      </c>
      <c r="BW149" s="196">
        <f>BX149*(1+$CF149+(VLOOKUP($AM149,$A$12:$B$214,2,0))+各项系数!$J$6+各项系数!$M$5)*(1+$E$2)</f>
        <v>2.9120826731000116</v>
      </c>
      <c r="BX149" s="197">
        <f>BY149+各项系数!$L$9*$NT$12</f>
        <v>2.8572239728218323</v>
      </c>
      <c r="BY149" s="197">
        <f>BZ149*(1+$CG149+各项系数!$J$5+各项系数!$L$5)</f>
        <v>2.8489605696668585</v>
      </c>
      <c r="BZ149" s="199">
        <f t="shared" si="586"/>
        <v>2.7132957806351032</v>
      </c>
      <c r="CA149" s="196">
        <f>CB149+各项系数!$M$9*$NT149</f>
        <v>3.1600842049754352</v>
      </c>
      <c r="CB149" s="196">
        <f>CC149*(1+$CF149+(VLOOKUP($AM149,$A$12:$B$214,2,0))+各项系数!$J$6+各项系数!$M$5)*(1+$E$2)</f>
        <v>3.1337158434465793</v>
      </c>
      <c r="CC149" s="197">
        <f>CD149+各项系数!$L$9*$NT$12</f>
        <v>3.0746819500064553</v>
      </c>
      <c r="CD149" s="197">
        <f>CE149*(1+$CG149+各项系数!$J$5+各项系数!$L$5)</f>
        <v>3.0664185468514815</v>
      </c>
      <c r="CE149" s="199">
        <f t="shared" si="648"/>
        <v>2.9203986160490301</v>
      </c>
      <c r="CF149" s="213">
        <f t="shared" si="514"/>
        <v>0</v>
      </c>
      <c r="CG149" s="213">
        <f t="shared" si="587"/>
        <v>0.03</v>
      </c>
      <c r="CH149" s="102"/>
      <c r="CI149" s="196">
        <f>CJ149+各项系数!$M$9*$NO149</f>
        <v>2.7384923000002348</v>
      </c>
      <c r="CJ149" s="196">
        <f>CK149*(1+$DC149+(VLOOKUP($AM149,$A$12:$B$323,2,0))+各项系数!$J$6+各项系数!$M$5)*(1+$E$2)+各项系数!$M$9*$NK149</f>
        <v>2.6954035116995896</v>
      </c>
      <c r="CK149" s="197">
        <f>CL149+各项系数!$L$9*$NO149</f>
        <v>2.6209057369496414</v>
      </c>
      <c r="CL149" s="197">
        <f>CM149*(1+$DD149+各项系数!$J$5+各项系数!$L$5)</f>
        <v>2.5778169486489961</v>
      </c>
      <c r="CM149" s="197">
        <f t="shared" si="588"/>
        <v>2.478670142931727</v>
      </c>
      <c r="CN149" s="196">
        <f>CO149+各项系数!$M$9*$NO149</f>
        <v>2.9102505771959168</v>
      </c>
      <c r="CO149" s="196">
        <f>CP149*(1+$DC149+(VLOOKUP($AM149,$A$12:$B$323,2,0))+各项系数!$J$6+各项系数!$M$5)*(1+$E$2)+各项系数!$M$9*$NK149</f>
        <v>2.8671617888952716</v>
      </c>
      <c r="CP149" s="197">
        <f>CQ149+各项系数!$L$9*$NO149</f>
        <v>2.7894283794100829</v>
      </c>
      <c r="CQ149" s="197">
        <f>CR149*(1+$DD149+各项系数!$J$5+各项系数!$L$5)</f>
        <v>2.7463395911094377</v>
      </c>
      <c r="CR149" s="197">
        <f t="shared" si="589"/>
        <v>2.6407111452975363</v>
      </c>
      <c r="CS149" s="196">
        <f>CT149+各项系数!$M$9*$NU149</f>
        <v>3.3879339412581135</v>
      </c>
      <c r="CT149" s="196">
        <f t="shared" si="590"/>
        <v>3.3420832680560437</v>
      </c>
      <c r="CU149" s="197">
        <f>CV149+各项系数!$L$9*$NU149</f>
        <v>3.2791240856122874</v>
      </c>
      <c r="CV149" s="197">
        <f>CW149*(1+$DD149+各项系数!$J$5+各项系数!$L$5)</f>
        <v>3.2332734124102176</v>
      </c>
      <c r="CW149" s="199">
        <f t="shared" si="591"/>
        <v>3.108916742702132</v>
      </c>
      <c r="CX149" s="196">
        <f>CY149+各项系数!$M$9*$NU149</f>
        <v>3.6993136202917851</v>
      </c>
      <c r="CY149" s="196">
        <f t="shared" si="592"/>
        <v>3.6534629470897158</v>
      </c>
      <c r="CZ149" s="197">
        <f>DA149+各项系数!$L$9*$NU149</f>
        <v>3.5846378994208354</v>
      </c>
      <c r="DA149" s="197">
        <f>DB149*(1+$DD149+各项系数!$J$5+各项系数!$L$5)</f>
        <v>3.5387872262187656</v>
      </c>
      <c r="DB149" s="199">
        <f t="shared" si="593"/>
        <v>3.4026800252103513</v>
      </c>
      <c r="DC149" s="213">
        <f t="shared" si="571"/>
        <v>0</v>
      </c>
      <c r="DD149" s="213">
        <f t="shared" si="594"/>
        <v>0.02</v>
      </c>
      <c r="DE149" s="53" t="s">
        <v>498</v>
      </c>
      <c r="DF149" s="53" t="s">
        <v>513</v>
      </c>
      <c r="DG149" s="196">
        <f>DH149+各项系数!$M$9*$NQ149</f>
        <v>2.8092559195906568</v>
      </c>
      <c r="DH149" s="196">
        <f>DI149*(1+$EA149+(VLOOKUP($AM149,$A$12:$B$323,2,0))+各项系数!$J$6+各项系数!$M$5)*(1+$E$2)+各项系数!$M$9*$NK149</f>
        <v>2.7661671312900116</v>
      </c>
      <c r="DI149" s="197">
        <f>DJ149+各项系数!$L$9*$NQ149</f>
        <v>2.6903362899229752</v>
      </c>
      <c r="DJ149" s="197">
        <f>DK149*(1+$EB149+各项系数!$J$5+各项系数!$L$5)</f>
        <v>2.64724750162233</v>
      </c>
      <c r="DK149" s="197">
        <f t="shared" si="595"/>
        <v>2.5211880967831712</v>
      </c>
      <c r="DL149" s="196">
        <f>DM149+各项系数!$M$9*$NQ149</f>
        <v>3.0717379566153147</v>
      </c>
      <c r="DM149" s="196">
        <f>DN149*(1+$EA149+(VLOOKUP($AM149,$A$12:$B$323,2,0))+各项系数!$J$6+各项系数!$M$5)*(1+$E$2)+各项系数!$M$9*$NK149</f>
        <v>3.0286491683146695</v>
      </c>
      <c r="DN149" s="197">
        <f>DO149+各项系数!$L$9*$NQ149</f>
        <v>2.9478736103945784</v>
      </c>
      <c r="DO149" s="197">
        <f>DP149*(1+$EB149+各项系数!$J$5+各项系数!$L$5)</f>
        <v>2.9047848220939332</v>
      </c>
      <c r="DP149" s="197">
        <f t="shared" si="596"/>
        <v>2.7664617353275553</v>
      </c>
      <c r="DQ149" s="196">
        <f>DR149+各项系数!$M$9*$NV149</f>
        <v>3.4660651825269913</v>
      </c>
      <c r="DR149" s="196">
        <f t="shared" si="597"/>
        <v>3.4202145093249214</v>
      </c>
      <c r="DS149" s="197">
        <f>DT149+各项系数!$L$9*$NV149</f>
        <v>3.3557834667630706</v>
      </c>
      <c r="DT149" s="197">
        <f>DU149*(1+$EB149+各项系数!$J$5+各项系数!$L$5)</f>
        <v>3.3099327935610012</v>
      </c>
      <c r="DU149" s="199">
        <f t="shared" si="598"/>
        <v>3.1523169462485723</v>
      </c>
      <c r="DV149" s="196">
        <f>DW149+各项系数!$M$9*$NV149</f>
        <v>3.5585617745307019</v>
      </c>
      <c r="DW149" s="196">
        <f t="shared" si="599"/>
        <v>3.5127111013286325</v>
      </c>
      <c r="DX149" s="197">
        <f>DY149+各项系数!$L$9*$NV149</f>
        <v>3.446537579796539</v>
      </c>
      <c r="DY149" s="197">
        <f>DZ149*(1+$EB149+各项系数!$J$5+各项系数!$L$5)</f>
        <v>3.4006869065944696</v>
      </c>
      <c r="DZ149" s="199">
        <f t="shared" si="600"/>
        <v>3.2387494348518757</v>
      </c>
      <c r="EA149" s="213">
        <f t="shared" si="581"/>
        <v>0</v>
      </c>
      <c r="EB149" s="213">
        <f t="shared" si="601"/>
        <v>0.03</v>
      </c>
      <c r="EC149" s="235">
        <f t="shared" si="649"/>
        <v>3</v>
      </c>
      <c r="ED149" s="235" t="str">
        <f t="shared" si="680"/>
        <v>3*1</v>
      </c>
      <c r="EE149" s="189">
        <f t="shared" si="495"/>
        <v>1</v>
      </c>
      <c r="EF149" s="189">
        <f>LOOKUP(EH149,{1,7,10,14,19,24,30,37,48,61},{1,"1+6","2+8","4+10","1+6+12","2+8+14","4+10+16","1+6+12+18","3+9+15+21","1+6+12+18+24"})</f>
        <v>1</v>
      </c>
      <c r="EG149" s="188">
        <f t="shared" si="602"/>
        <v>3</v>
      </c>
      <c r="EH149" s="197">
        <f>VLOOKUP(EE149,各项系数!$B$87:$C$124,2,0)</f>
        <v>1</v>
      </c>
      <c r="EI149" s="188">
        <f>IF(EH149=0,0,VLOOKUP(EH149,各项系数!$D$142:$E$195,2,0))*1</f>
        <v>1</v>
      </c>
      <c r="EJ149" s="238">
        <f t="shared" si="650"/>
        <v>110.31595161029</v>
      </c>
      <c r="EK149" s="189">
        <f t="shared" si="689"/>
        <v>0</v>
      </c>
      <c r="EL149" s="189">
        <f t="shared" si="603"/>
        <v>0</v>
      </c>
      <c r="EM149" s="189">
        <f t="shared" si="690"/>
        <v>0</v>
      </c>
      <c r="EN149" s="189">
        <f>IF(EP149=0,0,LOOKUP(EP149,{1,7,10,14,19,24,30,37,48,61},{1,"1+6","2+8","4+10","1+6+12","2+8+14","4+10+16","1+6+12+18","3+9+15+21","1+6+12+18+24"}))</f>
        <v>0</v>
      </c>
      <c r="EO149" s="189">
        <f t="shared" si="691"/>
        <v>0</v>
      </c>
      <c r="EP149" s="189">
        <f>IF(EM149=0,0,IF(EM149&lt;10,1,IF(AND(EM149&gt;=10,EM149&lt;=35),7,LOOKUP(EM149,{50,70,95,120,150,185,240,300},{10,14,19,24,30,37,48,61})*1)))</f>
        <v>0</v>
      </c>
      <c r="EQ149" s="189">
        <f>IF(EP149=0,0,VLOOKUP(EP149,各项系数!$D$142:$E$195,2,0))*1</f>
        <v>0</v>
      </c>
      <c r="ER149" s="78">
        <f t="shared" si="577"/>
        <v>0</v>
      </c>
      <c r="ES149" s="412">
        <f t="shared" si="692"/>
        <v>3</v>
      </c>
      <c r="ET149" s="189">
        <f>VLOOKUP(ES149,各项系数!$D$142:$E$195,2,0)*1</f>
        <v>2.16</v>
      </c>
      <c r="EU149" s="243">
        <f>((各项系数!$F$76/4*$EJ149^2*$EG149*$EH149*1*10^-7)*(1-$H149)*AA149)*(VLOOKUP($EY$9,各项系数!$D$4:$F$143,3,0))*各项系数!$J$4</f>
        <v>2.5363700080901101E-2</v>
      </c>
      <c r="EV149" s="244">
        <f>EU149*(VLOOKUP($EY$9,各项系数!$D$4:$F$143,2,0))</f>
        <v>1.6613223552990222</v>
      </c>
      <c r="EW149" s="252">
        <f>(IF($EO149=0,0,(各项系数!$F$76/4*$ER149^2*$EO149*$EP149*1*10^-7))*(1-$K149)*$AF149)*(VLOOKUP($EY$9,各项系数!$D$4:$F$143,3,0))*各项系数!$J$4</f>
        <v>0</v>
      </c>
      <c r="EX149" s="253">
        <f>EW149*(VLOOKUP($EY$9,各项系数!$D$4:$F$143,2,0))</f>
        <v>0</v>
      </c>
      <c r="EY149" s="189">
        <f>((各项系数!$F$76/4*$EJ149^2*$EG149*$EH149*1*10^-7)*(1-$H149)*AA149+IF($EO149=0,0,(各项系数!$F$76/4*$ER149^2*$EO149*$EP149*1*10^-7))*(1-$K149)*$AF149)*(VLOOKUP($EY$9,各项系数!$D$4:$F$143,3,0))*各项系数!$J$4</f>
        <v>2.5363700080901101E-2</v>
      </c>
      <c r="EZ149" s="102">
        <v>1</v>
      </c>
      <c r="FA149" s="189">
        <f t="shared" si="515"/>
        <v>2.5363700080901101E-2</v>
      </c>
      <c r="FB149" s="254">
        <f>FA149*(VLOOKUP($EY$9,各项系数!$D$4:$F$143,2,0))</f>
        <v>1.6613223552990222</v>
      </c>
      <c r="FC149" s="255"/>
      <c r="FD149" s="235">
        <f>各项系数!$F$76/4*($MN149^2-MK149^2)*10^-2*(VLOOKUP(L149,各项系数!$D$1:$F$143,3,0))*10^-3*10^2*$EG149*各项系数!$J$4</f>
        <v>1.0541282932112924E-2</v>
      </c>
      <c r="FE149" s="262">
        <f>FD149*VLOOKUP(L149,各项系数!$D$1:$F$143,2,0)</f>
        <v>0.12122475371929863</v>
      </c>
      <c r="FF149" s="188">
        <f>各项系数!$F$76/4*($MO149^2-ML149^2)*10^-2*(VLOOKUP(L149,各项系数!$D$1:$F$143,3,0))*10^-3*10^2*$EO149*各项系数!$J$4</f>
        <v>0</v>
      </c>
      <c r="FG149" s="262">
        <f>FF149*VLOOKUP(L149,各项系数!$D$1:$F$143,2,0)</f>
        <v>0</v>
      </c>
      <c r="FH149" s="235">
        <f t="shared" si="651"/>
        <v>1.0541282932112924E-2</v>
      </c>
      <c r="FI149" s="102">
        <v>1</v>
      </c>
      <c r="FJ149" s="189">
        <f t="shared" si="516"/>
        <v>1.0541282932112924E-2</v>
      </c>
      <c r="FK149" s="262">
        <f>FJ149*VLOOKUP(L149,各项系数!$D$1:$F$143,2,0)</f>
        <v>0.12122475371929863</v>
      </c>
      <c r="FL149" s="235"/>
      <c r="FM149" s="102"/>
      <c r="FN149" s="189"/>
      <c r="FO149" s="262"/>
      <c r="FP149" s="282">
        <f t="shared" si="517"/>
        <v>1.0541282932112924E-2</v>
      </c>
      <c r="FQ149" s="282">
        <f t="shared" si="518"/>
        <v>0.12122475371929863</v>
      </c>
      <c r="FR149" s="283">
        <f>各项系数!$F$76/4*($MQ149^2-$MN149^2*$EG149-$MO149^2*$EO149)*10^-2</f>
        <v>6.939187614469719E-2</v>
      </c>
      <c r="FS149" s="284">
        <f t="shared" si="652"/>
        <v>1</v>
      </c>
      <c r="FT149" s="285">
        <f t="shared" si="604"/>
        <v>6.939187614469719E-2</v>
      </c>
      <c r="FU149" s="302">
        <f>$FT149*(VLOOKUP($FT$9,各项系数!$D$1:$F$143,3,0))*10^-3*10^2*各项系数!$J$55</f>
        <v>8.2853900116768436E-3</v>
      </c>
      <c r="FV149" s="303">
        <v>1</v>
      </c>
      <c r="FW149" s="304">
        <f t="shared" si="519"/>
        <v>8.2853900116768436E-3</v>
      </c>
      <c r="FX149" s="285">
        <f>FW149*(VLOOKUP($FT$9,各项系数!$D$1:$F$143,2,0))</f>
        <v>2.4856170035030531E-2</v>
      </c>
      <c r="FY149" s="302">
        <f>IF($BK149&lt;&gt;$FY$9,0,各项系数!$F$76/4*($MS149^2-$MQ149^2)*10^-2*(VLOOKUP($FY$9,各项系数!$D$1:$F$143,3,0))*10^-3*10^2)*各项系数!$J$4</f>
        <v>0</v>
      </c>
      <c r="FZ149" s="303">
        <v>1</v>
      </c>
      <c r="GA149" s="304">
        <f t="shared" si="520"/>
        <v>0</v>
      </c>
      <c r="GB149" s="285">
        <f>GA149*(VLOOKUP($FY$9,各项系数!$D$1:$F$143,2,0))</f>
        <v>0</v>
      </c>
      <c r="GC149" s="302">
        <f>IF($BK149&lt;&gt;$GC$9,0,各项系数!$F$76/4*($MS149^2-$MQ149^2)*10^-2*(VLOOKUP($GC$9,各项系数!$D$1:$F$143,3,0))*10^-3*10^2)*各项系数!$J$4</f>
        <v>1.3787441997182063E-3</v>
      </c>
      <c r="GD149" s="303">
        <v>1</v>
      </c>
      <c r="GE149" s="304">
        <f t="shared" si="521"/>
        <v>1.3787441997182063E-3</v>
      </c>
      <c r="GF149" s="285">
        <f>GE149*(VLOOKUP($GC$9,各项系数!$D$1:$F$143,2,0))</f>
        <v>1.7785800176364861E-2</v>
      </c>
      <c r="GG149" s="302">
        <f>IF($BK149&lt;&gt;$GG$9,0,各项系数!$F$76/4*($MS149^2-$MQ149^2)*10^-2*(VLOOKUP($GG$9,各项系数!$D$1:$F$143,3,0))*10^-3*10^2)*各项系数!$J$4</f>
        <v>0</v>
      </c>
      <c r="GH149" s="303">
        <v>1</v>
      </c>
      <c r="GI149" s="304">
        <f t="shared" si="522"/>
        <v>0</v>
      </c>
      <c r="GJ149" s="285">
        <f>GI149*(VLOOKUP($GG$9,各项系数!$D$1:$F$143,2,0))</f>
        <v>0</v>
      </c>
      <c r="GK149" s="302">
        <f>IF($BK149&lt;&gt;$GK$9,0,各项系数!$F$76/4*($MS149^2-$MQ149^2)*10^-2*(VLOOKUP($GK$9,各项系数!$D$1:$F$143,3,0))*10^-3*10^2)*各项系数!$J$4</f>
        <v>0</v>
      </c>
      <c r="GL149" s="303">
        <v>1</v>
      </c>
      <c r="GM149" s="304">
        <f t="shared" si="523"/>
        <v>0</v>
      </c>
      <c r="GN149" s="285">
        <f>GM149*(VLOOKUP($GK$9,各项系数!$D$1:$F$143,2,0))</f>
        <v>0</v>
      </c>
      <c r="GO149" s="304">
        <f t="shared" si="524"/>
        <v>1.3787441997182063E-3</v>
      </c>
      <c r="GP149" s="304">
        <f t="shared" si="525"/>
        <v>1.7785800176364861E-2</v>
      </c>
      <c r="GQ149" s="315">
        <f>各项系数!$F$76/4*($MU149^2-$MS149^2)*10^-2*(VLOOKUP($S149,各项系数!$D$1:$F$143,3,0))*10^-3*10^2*各项系数!$J$4</f>
        <v>8.4345336593914411E-2</v>
      </c>
      <c r="GR149" s="303">
        <v>1</v>
      </c>
      <c r="GS149" s="304">
        <f t="shared" si="526"/>
        <v>8.4345336593914411E-2</v>
      </c>
      <c r="GT149" s="304">
        <f t="shared" ref="GT149:GT196" si="696">IF(OR(AND(EG149=$AC$3,EE149&lt;$AC$4),AND(EE149&lt;($AB$4+1),EG149&lt;$AB$3)),$AB$5,0)</f>
        <v>1</v>
      </c>
      <c r="GU149" s="304">
        <f>ROUND($GS149*(VLOOKUP($S149,各项系数!$D$1:$F$143,2,0))+$E$3*GS149,GT149)</f>
        <v>0.5</v>
      </c>
      <c r="GV149" s="315">
        <f>各项系数!$F$76/4*($MT149^2-$MS149^2)*10^-2*(VLOOKUP($GV$9,各项系数!$D$1:$F$143,3,0))*10^-3*10^2*各项系数!$J$4*PI()/4*R149</f>
        <v>7.3065897611364382E-3</v>
      </c>
      <c r="GW149" s="303">
        <v>1</v>
      </c>
      <c r="GX149" s="304">
        <f t="shared" si="527"/>
        <v>7.3065897611364382E-3</v>
      </c>
      <c r="GY149" s="304">
        <f>$GX149*(VLOOKUP($GV$9,各项系数!$D$1:$F$143,2,0))</f>
        <v>0.49319480887670958</v>
      </c>
      <c r="GZ149" s="315">
        <f>各项系数!$F$76/4*($MV149^2-$MS149^2)*10^-2*(VLOOKUP($GZ$9,各项系数!$D$1:$F$143,3,0))*10^-3*10^2*各项系数!$J$4</f>
        <v>3.45423847576617E-2</v>
      </c>
      <c r="HA149" s="303">
        <v>1</v>
      </c>
      <c r="HB149" s="304">
        <f t="shared" si="653"/>
        <v>3.45423847576617E-2</v>
      </c>
      <c r="HC149" s="304">
        <f>HB149*(VLOOKUP($GZ$9,各项系数!$D$1:$F$143,2,0))</f>
        <v>0.58722054088024889</v>
      </c>
      <c r="HD149" s="315">
        <f>各项系数!$F$76/4*($MW149^2-$MT149^2)*10^-2*(VLOOKUP($HD$9,各项系数!$D$1:$F$143,3,0))*10^-3*10^2*各项系数!$J$4</f>
        <v>3.5412631055447306E-2</v>
      </c>
      <c r="HE149" s="303">
        <v>1</v>
      </c>
      <c r="HF149" s="304">
        <f t="shared" si="654"/>
        <v>3.5412631055447306E-2</v>
      </c>
      <c r="HG149" s="304">
        <f>HF149*(VLOOKUP($HD$9,各项系数!$D$1:$F$143,2,0))</f>
        <v>0.60201472794260424</v>
      </c>
      <c r="HH149" s="315">
        <f>各项系数!$F$76/4*($MV149^2-$MS149^2)*10^-2*(VLOOKUP($HH$9,各项系数!$D$1:$F$143,3,0))*10^-3*10^2*各项系数!$J$4</f>
        <v>3.45423847576617E-2</v>
      </c>
      <c r="HI149" s="322">
        <v>1</v>
      </c>
      <c r="HJ149" s="304">
        <f t="shared" si="655"/>
        <v>3.45423847576617E-2</v>
      </c>
      <c r="HK149" s="304">
        <f>HJ149*(VLOOKUP($HH$9,各项系数!$D$1:$F$143,2,0))</f>
        <v>0.58722054088024889</v>
      </c>
      <c r="HL149" s="315">
        <f>各项系数!$F$76/4*($MW149^2-$MT149^2)*10^-2*(VLOOKUP($HL$9,各项系数!$D$1:$F$143,3,0))*10^-3*10^2*各项系数!$J$4</f>
        <v>3.5412631055447306E-2</v>
      </c>
      <c r="HM149" s="322">
        <v>1</v>
      </c>
      <c r="HN149" s="304">
        <f t="shared" si="605"/>
        <v>3.5412631055447306E-2</v>
      </c>
      <c r="HO149" s="304">
        <f>HN149*(VLOOKUP($HL$9,各项系数!$D$1:$F$143,2,0))</f>
        <v>0.60201472794260424</v>
      </c>
      <c r="HP149" s="315">
        <f>各项系数!$F$76/4*($MV149^2-$MS149^2)*10^-2*(VLOOKUP(AN149,各项系数!$D$1:$F$143,3,0))*10^-3*10^2*各项系数!$J$4</f>
        <v>3.5018831443974281E-2</v>
      </c>
      <c r="HQ149" s="303">
        <v>1</v>
      </c>
      <c r="HR149" s="304">
        <f t="shared" si="528"/>
        <v>3.5018831443974281E-2</v>
      </c>
      <c r="HS149" s="304">
        <f>HR149*(VLOOKUP(AN149,各项系数!$D$1:$F$143,2,0))</f>
        <v>0.3501883144397428</v>
      </c>
      <c r="HT149" s="315">
        <f>各项系数!$F$76/4*($MW149^2-$MT149^2)*10^-2*(VLOOKUP(AN149,各项系数!$D$1:$F$143,3,0))*10^-3*10^2*各项系数!$J$4</f>
        <v>3.5901081138970711E-2</v>
      </c>
      <c r="HU149" s="303">
        <v>1</v>
      </c>
      <c r="HV149" s="304">
        <f t="shared" si="529"/>
        <v>3.5901081138970711E-2</v>
      </c>
      <c r="HW149" s="304">
        <f>HV149*(VLOOKUP(AN149,各项系数!$D$1:$F$143,2,0))</f>
        <v>0.35901081138970714</v>
      </c>
      <c r="HX149" s="315">
        <f>各项系数!$F$76/4*($MV149^2-$MS149^2)*10^-2*(VLOOKUP($HX$9,各项系数!$D$1:$F$143,3,0))*10^-3*10^2*各项系数!$J$4</f>
        <v>3.5018831443974281E-2</v>
      </c>
      <c r="HY149" s="322">
        <v>1</v>
      </c>
      <c r="HZ149" s="304">
        <f t="shared" si="530"/>
        <v>3.5018831443974281E-2</v>
      </c>
      <c r="IA149" s="304">
        <f>HZ149*(VLOOKUP($HX$9,各项系数!$D$1:$F$143,2,0))</f>
        <v>0.38520714588371707</v>
      </c>
      <c r="IB149" s="315">
        <f>各项系数!$F$76/4*($MW149^2-$MT149^2)*10^-2*(VLOOKUP($IB$9,各项系数!$D$1:$F$143,3,0))*10^-3*10^2*各项系数!$J$4</f>
        <v>3.5901081138970711E-2</v>
      </c>
      <c r="IC149" s="322">
        <v>1</v>
      </c>
      <c r="ID149" s="304">
        <f t="shared" si="531"/>
        <v>3.5901081138970711E-2</v>
      </c>
      <c r="IE149" s="304">
        <f>ID149*(VLOOKUP($IB$9,各项系数!$D$1:$F$143,2,0))</f>
        <v>0.39491189252867781</v>
      </c>
      <c r="IF149" s="328"/>
      <c r="IG149" s="315">
        <f t="shared" si="656"/>
        <v>5.9212550632239212E-3</v>
      </c>
      <c r="IH149" s="303">
        <v>1</v>
      </c>
      <c r="II149" s="304">
        <f t="shared" si="532"/>
        <v>5.9212550632239212E-3</v>
      </c>
      <c r="IJ149" s="304">
        <f>II149*(VLOOKUP($IG$8,各项系数!$D$1:$F$143,2,0))</f>
        <v>0.14803137658059803</v>
      </c>
      <c r="IK149" s="315">
        <f>(各项系数!$F$76/4*($MX149^2-$MK149^2)*$EG149)*10^-2*(VLOOKUP($IG$8,各项系数!$D$1:$F$143,3,0))*10^-3*10^2*各项系数!$J$4</f>
        <v>5.9212550632239212E-3</v>
      </c>
      <c r="IL149" s="303">
        <f>IK149*(VLOOKUP($IG$8,各项系数!$D$1:$F$143,2,0))</f>
        <v>0.14803137658059803</v>
      </c>
      <c r="IM149" s="304">
        <f>(各项系数!$F$76/4*(($MM149+3*$X149)^2-MM149^2)*$EO149)*10^-2*(VLOOKUP($IG$8,各项系数!$D$1:$F$143,3,0))*10^-3*10^2*各项系数!$J$4</f>
        <v>0</v>
      </c>
      <c r="IN149" s="303">
        <f>IM149*(VLOOKUP($IG$8,各项系数!$D$1:$F$143,2,0))</f>
        <v>0</v>
      </c>
      <c r="IO149" s="315">
        <f>各项系数!$F$76/4*($MZ149^2-$MX149^2)*10^-2*(VLOOKUP(L149,各项系数!$D$1:$F$143,3,0))*10^-3*10^2*$ES149*各项系数!$J$4</f>
        <v>1.4254833944215275E-2</v>
      </c>
      <c r="IP149" s="303">
        <v>1</v>
      </c>
      <c r="IQ149" s="304">
        <f t="shared" si="533"/>
        <v>1.4254833944215275E-2</v>
      </c>
      <c r="IR149" s="285">
        <f>IQ149*(VLOOKUP(L149,各项系数!$D$1:$F$143,2,0))</f>
        <v>0.16393059035847565</v>
      </c>
      <c r="IS149" s="315">
        <f>IF($L149&lt;&gt;$IS$9,0,各项系数!$F$76/4*($MZ149^2-$MX149^2)*10^-2*各项系数!$F$12*10^-3*10^2)*$ES149*各项系数!$J$4</f>
        <v>0</v>
      </c>
      <c r="IT149" s="303">
        <v>1</v>
      </c>
      <c r="IU149" s="304">
        <f t="shared" si="534"/>
        <v>0</v>
      </c>
      <c r="IV149" s="285">
        <f>IU149*各项系数!$E$12</f>
        <v>0</v>
      </c>
      <c r="IW149" s="302">
        <f t="shared" si="535"/>
        <v>1.4254833944215275E-2</v>
      </c>
      <c r="IX149" s="302">
        <f t="shared" si="536"/>
        <v>0.16393059035847565</v>
      </c>
      <c r="IY149" s="339">
        <f>各项系数!$F$76/4*($NB149^2-$MZ149^2*$EG149-$NA149^2*$EO149)*10^-2</f>
        <v>0.11025604038648749</v>
      </c>
      <c r="IZ149" s="284">
        <f t="shared" si="487"/>
        <v>1</v>
      </c>
      <c r="JA149" s="285">
        <f t="shared" si="606"/>
        <v>0.11025604038648749</v>
      </c>
      <c r="JB149" s="282">
        <f>IF($DE149&lt;&gt;$JB$9,0,$JA149*各项系数!$F$32*10^-3*10^2)*各项系数!$J$4</f>
        <v>0</v>
      </c>
      <c r="JC149" s="102">
        <v>1</v>
      </c>
      <c r="JD149" s="189">
        <f t="shared" si="537"/>
        <v>0</v>
      </c>
      <c r="JE149" s="262">
        <f>JD149*各项系数!$E$32</f>
        <v>0</v>
      </c>
      <c r="JF149" s="282">
        <f>IF($DE149&lt;&gt;$JF$9,0,$JA149*VLOOKUP($JF$9,各项系数!$D$4:$F$540,2,0)*10^-3*10^2)*各项系数!$J$4</f>
        <v>5.4852380092277525E-2</v>
      </c>
      <c r="JG149" s="102">
        <v>1</v>
      </c>
      <c r="JH149" s="189">
        <f t="shared" si="607"/>
        <v>5.4852380092277525E-2</v>
      </c>
      <c r="JI149" s="262">
        <f>JH149*VLOOKUP($JF$9,各项系数!$D$4:$F$540,3,0)</f>
        <v>6.5822856110733033E-2</v>
      </c>
      <c r="JJ149" s="282">
        <f t="shared" si="538"/>
        <v>5.4852380092277525E-2</v>
      </c>
      <c r="JK149" s="189">
        <f t="shared" si="539"/>
        <v>6.5822856110733033E-2</v>
      </c>
      <c r="JL149" s="282">
        <f>IF($DF149&lt;&gt;$JL$9,0,各项系数!$F$76/4*($NE149^2-$NC149^2)*10^-2*各项系数!$F$39*10^-3*10^2)*各项系数!$J$4</f>
        <v>7.1917130342292579E-4</v>
      </c>
      <c r="JM149" s="102">
        <v>1</v>
      </c>
      <c r="JN149" s="189">
        <f t="shared" si="540"/>
        <v>7.1917130342292579E-4</v>
      </c>
      <c r="JO149" s="262">
        <f>JN149*各项系数!$E$39</f>
        <v>1.4383426068458516E-2</v>
      </c>
      <c r="JP149" s="282">
        <f>IF($DF149&lt;&gt;$JP$9,0,各项系数!$F$76/4*($NE149^2-$NC149^2)*10^-2*各项系数!$F$36*10^-3*10^2)*各项系数!$J$4</f>
        <v>0</v>
      </c>
      <c r="JQ149" s="102">
        <v>1</v>
      </c>
      <c r="JR149" s="189">
        <f t="shared" si="541"/>
        <v>0</v>
      </c>
      <c r="JS149" s="262">
        <f>JR149*各项系数!$E$36</f>
        <v>0</v>
      </c>
      <c r="JT149" s="282">
        <f>IF($DF149&lt;&gt;$JT$9,0,各项系数!$F$76/4*($NE149^2-$NC149^2)*10^-2*各项系数!$F$40*10^-3*10^2)*各项系数!$J$4</f>
        <v>0</v>
      </c>
      <c r="JU149" s="102">
        <v>1</v>
      </c>
      <c r="JV149" s="189">
        <f t="shared" si="542"/>
        <v>0</v>
      </c>
      <c r="JW149" s="262">
        <f>JV149*各项系数!$E$40</f>
        <v>0</v>
      </c>
      <c r="JX149" s="282">
        <f>IF($DF149&lt;&gt;$JX$9,0,各项系数!$F$76/4*($NE149^2-$NC149^2)*10^-2*各项系数!$F$38*10^-3*10^2)*各项系数!$J$4</f>
        <v>0</v>
      </c>
      <c r="JY149" s="102">
        <v>1</v>
      </c>
      <c r="JZ149" s="189">
        <f t="shared" si="543"/>
        <v>0</v>
      </c>
      <c r="KA149" s="262">
        <f>JZ149*各项系数!$E$38</f>
        <v>0</v>
      </c>
      <c r="KB149" s="282">
        <f>IF($DF149&lt;&gt;$KB$9,0,各项系数!$F$76/4*($NE149^2-$NC149^2)*10^-2*各项系数!$F$41*10^-3*10^2)*各项系数!$J$4</f>
        <v>0</v>
      </c>
      <c r="KC149" s="102">
        <v>1</v>
      </c>
      <c r="KD149" s="189">
        <f t="shared" si="544"/>
        <v>0</v>
      </c>
      <c r="KE149" s="262">
        <f>KD149*各项系数!$E$41</f>
        <v>0</v>
      </c>
      <c r="KF149" s="189">
        <f t="shared" si="545"/>
        <v>7.1917130342292579E-4</v>
      </c>
      <c r="KG149" s="189">
        <f t="shared" si="546"/>
        <v>1.4383426068458516E-2</v>
      </c>
      <c r="KH149" s="235">
        <f>各项系数!$F$76/4*($NG149^2-$NE149^2)*10^-2*各项系数!$F$44*10^-3*10^2*各项系数!$J$4*0.75*$U149</f>
        <v>0.3128759457270629</v>
      </c>
      <c r="KI149" s="102">
        <v>1</v>
      </c>
      <c r="KJ149" s="189">
        <f t="shared" si="547"/>
        <v>0.3128759457270629</v>
      </c>
      <c r="KK149" s="189">
        <f>ROUND(KJ149*各项系数!$E$43,GT149)</f>
        <v>1.8</v>
      </c>
      <c r="KL149" s="235">
        <f>各项系数!$F$76/4*($NF149^2-$NE149^2)*10^-2*各项系数!$F$46*10^-3*10^2*各项系数!$J$4*PI()/4*R149</f>
        <v>9.2062830047472642E-3</v>
      </c>
      <c r="KM149" s="102">
        <v>1</v>
      </c>
      <c r="KN149" s="189">
        <f t="shared" si="548"/>
        <v>9.2062830047472642E-3</v>
      </c>
      <c r="KO149" s="189">
        <f>KN149*各项系数!$E$46</f>
        <v>0.62142410282044036</v>
      </c>
      <c r="KP149" s="235">
        <f>各项系数!$F$76/4*($NH149^2-$NE149^2)*10^-2*(VLOOKUP($KP$9,各项系数!$D$1:$F$143,3,0))*10^-3*10^2*各项系数!$J$4</f>
        <v>4.1939478288839295E-2</v>
      </c>
      <c r="KQ149" s="102">
        <v>1</v>
      </c>
      <c r="KR149" s="189">
        <f t="shared" si="657"/>
        <v>4.1939478288839295E-2</v>
      </c>
      <c r="KS149" s="189">
        <f>KR149*(VLOOKUP($KP$9,各项系数!$D$1:$F$143,2,0))</f>
        <v>0.71297113091026798</v>
      </c>
      <c r="KT149" s="235">
        <f>各项系数!$F$76/4*($NI149^2-$NF149^2)*10^-2*(VLOOKUP($KT$9,各项系数!$D$1:$F$143,3,0))*10^-3*10^2*各项系数!$J$4</f>
        <v>4.2809724586624902E-2</v>
      </c>
      <c r="KU149" s="102">
        <v>1</v>
      </c>
      <c r="KV149" s="189">
        <f t="shared" si="658"/>
        <v>4.2809724586624902E-2</v>
      </c>
      <c r="KW149" s="189">
        <f>KV149*(VLOOKUP($KT$9,各项系数!$D$1:$F$143,2,0))</f>
        <v>0.72776531797262334</v>
      </c>
      <c r="KX149" s="189">
        <f>各项系数!$F$76/4*($NH149^2-$NE149^2)*10^-2*(VLOOKUP($KX$9,各项系数!$D$1:$F$143,3,0))*10^-3*10^2*各项系数!$J$4</f>
        <v>4.1939478288839295E-2</v>
      </c>
      <c r="KY149" s="353">
        <v>1</v>
      </c>
      <c r="KZ149" s="189">
        <f t="shared" si="659"/>
        <v>4.1939478288839295E-2</v>
      </c>
      <c r="LA149" s="189">
        <f>KZ149*(VLOOKUP($KX$9,各项系数!$D$1:$F$143,2,0))</f>
        <v>0.71297113091026798</v>
      </c>
      <c r="LB149" s="189">
        <f>各项系数!$F$76/4*($NI149^2-$NF149^2)*10^-2*(VLOOKUP($LB$9,各项系数!$D$1:$F$143,3,0))*10^-3*10^2*各项系数!$J$4</f>
        <v>4.2809724586624902E-2</v>
      </c>
      <c r="LC149" s="353">
        <v>1</v>
      </c>
      <c r="LD149" s="189">
        <f t="shared" si="660"/>
        <v>4.2809724586624902E-2</v>
      </c>
      <c r="LE149" s="189">
        <f>LD149*(VLOOKUP($LB$9,各项系数!$D$1:$F$143,2,0))</f>
        <v>0.72776531797262334</v>
      </c>
      <c r="LF149" s="235">
        <f>各项系数!$F$76/4*($NH149^2-$NE149^2)*10^-2*(VLOOKUP(AN149,各项系数!$D$1:$F$143,3,0))*10^-3*10^2*各项系数!$J$4</f>
        <v>4.2517953851443975E-2</v>
      </c>
      <c r="LG149" s="102">
        <v>1</v>
      </c>
      <c r="LH149" s="189">
        <f t="shared" si="549"/>
        <v>4.2517953851443975E-2</v>
      </c>
      <c r="LI149" s="189">
        <f>LH149*(VLOOKUP(AN149,各项系数!$D$1:$F$143,2,0))</f>
        <v>0.42517953851443974</v>
      </c>
      <c r="LJ149" s="235">
        <f>各项系数!$F$76/4*($NI149^2-$NF149^2)*10^-2*(VLOOKUP(AN149,各项系数!$D$1:$F$143,3,0))*10^-3*10^2*各项系数!$J$4</f>
        <v>4.3400203546440412E-2</v>
      </c>
      <c r="LK149" s="102">
        <v>1</v>
      </c>
      <c r="LL149" s="189">
        <f t="shared" si="550"/>
        <v>4.3400203546440412E-2</v>
      </c>
      <c r="LM149" s="189">
        <f>LL149*(VLOOKUP(AN149,各项系数!$D$1:$F$143,2,0))</f>
        <v>0.43400203546440413</v>
      </c>
      <c r="LN149" s="189">
        <f>各项系数!$F$76/4*($NH149^2-$NE149^2)*10^-2*(VLOOKUP($LN$9,各项系数!$D$1:$F$143,3,0))*10^-3*10^2*各项系数!$J$4</f>
        <v>4.2517953851443975E-2</v>
      </c>
      <c r="LO149" s="353">
        <v>1</v>
      </c>
      <c r="LP149" s="189">
        <f t="shared" si="551"/>
        <v>4.2517953851443975E-2</v>
      </c>
      <c r="LQ149" s="189">
        <f>LP149*(VLOOKUP($LN$9,各项系数!$D$1:$F$143,2,0))</f>
        <v>0.4676974923658837</v>
      </c>
      <c r="LR149" s="189">
        <f>各项系数!$F$76/4*($NI149^2-$NF149^2)*10^-2*(VLOOKUP($LR$9,各项系数!$D$1:$F$143,3,0))*10^-3*10^2*各项系数!$J$4</f>
        <v>4.3400203546440412E-2</v>
      </c>
      <c r="LS149" s="353">
        <v>1</v>
      </c>
      <c r="LT149" s="189">
        <f t="shared" si="552"/>
        <v>4.3400203546440412E-2</v>
      </c>
      <c r="LU149" s="189">
        <f>LT149*(VLOOKUP($LR$9,各项系数!$D$1:$F$143,2,0))</f>
        <v>0.47740223901084455</v>
      </c>
      <c r="LV149" s="227">
        <f t="shared" si="661"/>
        <v>2.86739663</v>
      </c>
      <c r="LW149" s="227">
        <f t="shared" si="662"/>
        <v>2.86739663</v>
      </c>
      <c r="LX149" s="227">
        <f t="shared" si="663"/>
        <v>1.9107283375080666</v>
      </c>
      <c r="LY149" s="227">
        <f t="shared" si="664"/>
        <v>0</v>
      </c>
      <c r="LZ149" s="374">
        <f t="shared" si="608"/>
        <v>1</v>
      </c>
      <c r="MA149" s="375">
        <f t="shared" si="609"/>
        <v>2.86739663</v>
      </c>
      <c r="MB149" s="375">
        <f t="shared" si="665"/>
        <v>1.1031595199999999</v>
      </c>
      <c r="MC149" s="227">
        <f t="shared" si="666"/>
        <v>0</v>
      </c>
      <c r="MD149" s="227">
        <f t="shared" si="667"/>
        <v>0</v>
      </c>
      <c r="ME149" s="227">
        <f t="shared" si="668"/>
        <v>0</v>
      </c>
      <c r="MF149" s="227">
        <f t="shared" si="669"/>
        <v>0</v>
      </c>
      <c r="MG149" s="374">
        <f t="shared" si="670"/>
        <v>1</v>
      </c>
      <c r="MH149" s="375">
        <f t="shared" si="610"/>
        <v>0</v>
      </c>
      <c r="MI149" s="375">
        <f t="shared" si="671"/>
        <v>0</v>
      </c>
      <c r="MJ149" s="189">
        <f t="shared" si="611"/>
        <v>1.1031595199999999</v>
      </c>
      <c r="MK149" s="189">
        <f t="shared" si="672"/>
        <v>1.1031595199999999</v>
      </c>
      <c r="ML149" s="189">
        <f t="shared" si="553"/>
        <v>0</v>
      </c>
      <c r="MM149" s="189">
        <f t="shared" si="612"/>
        <v>0</v>
      </c>
      <c r="MN149" s="189">
        <f t="shared" si="613"/>
        <v>2.3031595199999999</v>
      </c>
      <c r="MO149" s="189">
        <f t="shared" si="673"/>
        <v>0</v>
      </c>
      <c r="MP149" s="189">
        <f t="shared" si="674"/>
        <v>4.9748245600000001</v>
      </c>
      <c r="MQ149" s="189">
        <f t="shared" si="554"/>
        <v>4.9748245600000001</v>
      </c>
      <c r="MR149" s="246">
        <f t="shared" si="675"/>
        <v>4.9748245600000001</v>
      </c>
      <c r="MS149" s="380">
        <f t="shared" si="614"/>
        <v>5.1508245600000002</v>
      </c>
      <c r="MT149" s="380">
        <f t="shared" si="615"/>
        <v>5.3108245600000004</v>
      </c>
      <c r="MU149" s="380">
        <f t="shared" si="616"/>
        <v>6.3508245600000004</v>
      </c>
      <c r="MV149" s="380">
        <f t="shared" si="617"/>
        <v>7.5508245600000006</v>
      </c>
      <c r="MW149" s="380">
        <f t="shared" si="618"/>
        <v>7.7108245600000007</v>
      </c>
      <c r="MX149" s="254">
        <f t="shared" si="619"/>
        <v>1.70315952</v>
      </c>
      <c r="MY149" s="254">
        <f t="shared" si="620"/>
        <v>0</v>
      </c>
      <c r="MZ149" s="189">
        <f t="shared" si="621"/>
        <v>2.90315952</v>
      </c>
      <c r="NA149" s="189">
        <f t="shared" si="622"/>
        <v>0</v>
      </c>
      <c r="NB149" s="189">
        <f t="shared" si="676"/>
        <v>6.2708245600000003</v>
      </c>
      <c r="NC149" s="254">
        <f t="shared" si="555"/>
        <v>6.2708245600000003</v>
      </c>
      <c r="ND149" s="246">
        <f t="shared" si="677"/>
        <v>6.2708245600000003</v>
      </c>
      <c r="NE149" s="386">
        <f t="shared" si="678"/>
        <v>6.5108245600000005</v>
      </c>
      <c r="NF149" s="380">
        <f t="shared" si="623"/>
        <v>6.6708245600000007</v>
      </c>
      <c r="NG149" s="387">
        <f t="shared" si="624"/>
        <v>7.7108245600000007</v>
      </c>
      <c r="NH149" s="254">
        <f t="shared" si="625"/>
        <v>8.91082456</v>
      </c>
      <c r="NI149" s="380">
        <f t="shared" si="626"/>
        <v>9.0708245600000001</v>
      </c>
      <c r="NK149" s="388">
        <f t="shared" si="627"/>
        <v>8.0587948668383369E-2</v>
      </c>
      <c r="NL149" s="388">
        <f t="shared" si="628"/>
        <v>2.1753773936694589</v>
      </c>
      <c r="NM149" s="388">
        <f t="shared" si="629"/>
        <v>8.0587948668383369E-2</v>
      </c>
      <c r="NN149" s="388">
        <f t="shared" si="630"/>
        <v>2.210396225113433</v>
      </c>
      <c r="NO149" s="388">
        <f t="shared" si="631"/>
        <v>0.14362929433548471</v>
      </c>
      <c r="NP149" s="388">
        <f t="shared" si="632"/>
        <v>2.478670142931727</v>
      </c>
      <c r="NQ149" s="388">
        <f t="shared" si="633"/>
        <v>0.14362929433548471</v>
      </c>
      <c r="NR149" s="388">
        <f t="shared" si="634"/>
        <v>2.5211880967831712</v>
      </c>
      <c r="NS149" s="388">
        <f t="shared" si="635"/>
        <v>8.7894538429519803E-2</v>
      </c>
      <c r="NT149" s="388">
        <f t="shared" si="636"/>
        <v>8.7894538429519803E-2</v>
      </c>
      <c r="NU149" s="388">
        <f t="shared" si="637"/>
        <v>0.15283557734023198</v>
      </c>
      <c r="NV149" s="388">
        <f t="shared" si="638"/>
        <v>0.15283557734023198</v>
      </c>
      <c r="NW149">
        <f t="shared" si="639"/>
        <v>0.16493328526229778</v>
      </c>
      <c r="NX149">
        <f>各项系数!$M$9*NK149</f>
        <v>2.4176384600515011E-2</v>
      </c>
      <c r="NY149">
        <f t="shared" si="640"/>
        <v>8.7894538429519803E-2</v>
      </c>
    </row>
    <row r="150" spans="1:389" ht="15" hidden="1" customHeight="1">
      <c r="A150" s="69"/>
      <c r="B150" s="70"/>
      <c r="C150" s="69"/>
      <c r="D150" s="102" t="s">
        <v>132</v>
      </c>
      <c r="E150" s="61">
        <f t="shared" si="687"/>
        <v>8.1496460400000004</v>
      </c>
      <c r="F150" s="405">
        <f t="shared" si="693"/>
        <v>110.31595161029</v>
      </c>
      <c r="G150" s="16"/>
      <c r="H150" s="16"/>
      <c r="I150" s="145">
        <v>0</v>
      </c>
      <c r="J150" s="16"/>
      <c r="K150" s="16"/>
      <c r="L150" s="97" t="s">
        <v>469</v>
      </c>
      <c r="M150" s="103">
        <f t="shared" si="582"/>
        <v>0.6</v>
      </c>
      <c r="N150" s="103">
        <f t="shared" si="583"/>
        <v>0</v>
      </c>
      <c r="O150" s="53">
        <f t="shared" si="688"/>
        <v>0.08</v>
      </c>
      <c r="P150" s="99">
        <v>0.1</v>
      </c>
      <c r="Q150" s="133">
        <f t="shared" si="685"/>
        <v>0.1</v>
      </c>
      <c r="R150" s="406">
        <v>0.8</v>
      </c>
      <c r="S150" s="142" t="str">
        <f>各项系数!$D$43</f>
        <v>钢带</v>
      </c>
      <c r="T150" s="102">
        <v>0.2</v>
      </c>
      <c r="U150" s="62">
        <v>4</v>
      </c>
      <c r="V150" s="143"/>
      <c r="W150" s="141">
        <f t="shared" si="694"/>
        <v>1.2</v>
      </c>
      <c r="X150" s="135">
        <f t="shared" si="686"/>
        <v>0.2</v>
      </c>
      <c r="Y150" s="135"/>
      <c r="Z150" s="168"/>
      <c r="AA150" s="153">
        <v>1</v>
      </c>
      <c r="AB150" s="153">
        <f>PI()*EJ150*EJ150/4*EH150*(1-H150)*AA150*各项系数!$F$5*各项系数!$J$4*10^-7</f>
        <v>8.4545666936336993E-3</v>
      </c>
      <c r="AC150" s="153">
        <f t="shared" si="573"/>
        <v>110.31595161029</v>
      </c>
      <c r="AD150" s="153">
        <f t="shared" si="584"/>
        <v>0.95579886989884189</v>
      </c>
      <c r="AE150" s="153">
        <f>POWER(4*EU150/PI()/EG150/10^-7/EH150/(1-H150)/各项系数!$F$5/各项系数!$J$4,0.5)</f>
        <v>110.31595161029</v>
      </c>
      <c r="AF150" s="69">
        <v>1</v>
      </c>
      <c r="AG150" s="69">
        <f>IF(EM150=0,0,PI()*ER150*ER150/4*EP150*(1-K150)*(1+AF150)*各项系数!$F$5*各项系数!$J$4*10^-7)</f>
        <v>0</v>
      </c>
      <c r="AH150" s="69">
        <f t="shared" si="574"/>
        <v>0</v>
      </c>
      <c r="AI150" s="69">
        <f t="shared" si="641"/>
        <v>0</v>
      </c>
      <c r="AJ150" s="69">
        <f>IF(OR(EP150="",EP150=0),0,POWER(4*EW150/PI()/EO150/10^-7/EP150/(1-K150)/各项系数!$F$5/各项系数!$J$4,0.5))</f>
        <v>0</v>
      </c>
      <c r="AK150" s="69" t="str">
        <f t="shared" si="585"/>
        <v>√</v>
      </c>
      <c r="AL150" s="69">
        <f t="shared" si="575"/>
        <v>3.09532559342292</v>
      </c>
      <c r="AM150" s="188">
        <f t="shared" si="576"/>
        <v>1</v>
      </c>
      <c r="AN150" s="97" t="s">
        <v>486</v>
      </c>
      <c r="AO150" s="196">
        <f>AP150+各项系数!$M$9*$NK150</f>
        <v>3.0346329347283527</v>
      </c>
      <c r="AP150" s="196">
        <f>AQ150*(1+$BI150+(VLOOKUP($AM150,$A$12:$B$323,2,0))+各项系数!$J$6+各项系数!$M$5)*(1+$E$2)</f>
        <v>3.005541812177996</v>
      </c>
      <c r="AQ150" s="197">
        <f>AR150+各项系数!$L$9*$NK150</f>
        <v>2.9489225001746426</v>
      </c>
      <c r="AR150" s="197">
        <f>AS150*(1+$BJ150+各项系数!$J$5+各项系数!$L$5)</f>
        <v>2.9198313776242859</v>
      </c>
      <c r="AS150" s="197">
        <f t="shared" si="642"/>
        <v>2.8075301707925826</v>
      </c>
      <c r="AT150" s="196">
        <f>AU150+各项系数!$M$9*$NM150</f>
        <v>3.3095696375905024</v>
      </c>
      <c r="AU150" s="196">
        <f>AV150*(1+$BI150+(VLOOKUP($AM150,$A$12:$B$323,2,0))+各项系数!$J$6+各项系数!$M$5)*(1+$E$2)</f>
        <v>3.2804785150401456</v>
      </c>
      <c r="AV150" s="197">
        <f>AW150+各项系数!$L$9*$NM150</f>
        <v>3.2186798616955903</v>
      </c>
      <c r="AW150" s="197">
        <f>AX150*(1+$BJ150+各项系数!$J$5+各项系数!$L$5)</f>
        <v>3.1895887391452336</v>
      </c>
      <c r="AX150" s="197">
        <f t="shared" si="643"/>
        <v>3.0669122491781091</v>
      </c>
      <c r="AY150" s="196">
        <f>AZ150+各项系数!$M$9*$NS150</f>
        <v>3.6315344045049174</v>
      </c>
      <c r="AZ150" s="196">
        <f>BA150*(1+$BI150+(VLOOKUP($AM150,$A$12:$B$214,2,0))+各项系数!$J$6+各项系数!$M$5)*(1+$E$2)</f>
        <v>3.6000003688968776</v>
      </c>
      <c r="BA150" s="197">
        <f>BB150+各项系数!$L$9*$NS150</f>
        <v>3.5321824655581606</v>
      </c>
      <c r="BB150" s="197">
        <f>BC150*(1+$BJ150+各项系数!$J$5+各项系数!$L$5)</f>
        <v>3.5006484299501208</v>
      </c>
      <c r="BC150" s="199">
        <f t="shared" si="644"/>
        <v>3.3660081057212698</v>
      </c>
      <c r="BD150" s="196">
        <f>BE150+各项系数!$M$9*$NS150</f>
        <v>3.9128009077921173</v>
      </c>
      <c r="BE150" s="196">
        <f>BF150*(1+$BI150+(VLOOKUP($AM150,$A$12:$B$214,2,0))+各项系数!$J$6+各项系数!$M$5)*(1+$E$2)</f>
        <v>3.8812668721840775</v>
      </c>
      <c r="BF150" s="197">
        <f>BG150+各项系数!$L$9*$NS150</f>
        <v>3.8081503847959945</v>
      </c>
      <c r="BG150" s="197">
        <f>BH150*(1+$BJ150+各项系数!$J$5+各项系数!$L$5)</f>
        <v>3.7766163491879547</v>
      </c>
      <c r="BH150" s="199">
        <f t="shared" si="645"/>
        <v>3.6313618742191873</v>
      </c>
      <c r="BI150" s="213"/>
      <c r="BJ150" s="208">
        <f t="shared" si="695"/>
        <v>0.02</v>
      </c>
      <c r="BK150" s="102" t="s">
        <v>514</v>
      </c>
      <c r="BL150" s="196">
        <f>BM150+各项系数!$M$9*$NM150</f>
        <v>3.1042566367775559</v>
      </c>
      <c r="BM150" s="196">
        <f>BN150*(1+$CF150+(VLOOKUP($AM150,$A$12:$B$323,2,0))+各项系数!$J$6+各项系数!$M$5)*(1+$E$2)</f>
        <v>3.0751655142271992</v>
      </c>
      <c r="BN150" s="197">
        <f>BO150+各项系数!$L$9*$NM150</f>
        <v>3.0172346097205645</v>
      </c>
      <c r="BO150" s="197">
        <f>BP150*(1+$CG150+各项系数!$J$5+各项系数!$L$5)</f>
        <v>2.9881434871702077</v>
      </c>
      <c r="BP150" s="197">
        <f t="shared" si="646"/>
        <v>2.8458509401621024</v>
      </c>
      <c r="BQ150" s="196">
        <f>BR150+各项系数!$M$9*$NM150</f>
        <v>3.3408276072341256</v>
      </c>
      <c r="BR150" s="196">
        <f>BS150*(1+$CF150+(VLOOKUP($AM150,$A$12:$B$323,2,0))+各项系数!$J$6+各项系数!$M$5)*(1+$E$2)</f>
        <v>3.3117364846837689</v>
      </c>
      <c r="BS150" s="197">
        <f>BT150+各项系数!$L$9*$NM150</f>
        <v>3.2493489841873715</v>
      </c>
      <c r="BT150" s="197">
        <f>BU150*(1+$CG150+各项系数!$J$5+各项系数!$L$5)</f>
        <v>3.2202578616370148</v>
      </c>
      <c r="BU150" s="197">
        <f t="shared" si="647"/>
        <v>3.0669122491781091</v>
      </c>
      <c r="BV150" s="196">
        <f>BW150+各项系数!$M$9*$NT150</f>
        <v>3.6840768334043466</v>
      </c>
      <c r="BW150" s="196">
        <f>BX150*(1+$CF150+(VLOOKUP($AM150,$A$12:$B$214,2,0))+各项系数!$J$6+各项系数!$M$5)*(1+$E$2)</f>
        <v>3.6525427977963068</v>
      </c>
      <c r="BX150" s="197">
        <f>BY150+各项系数!$L$9*$NT$12</f>
        <v>3.5837350841800499</v>
      </c>
      <c r="BY150" s="197">
        <f>BZ150*(1+$CG150+各项系数!$J$5+各项系数!$L$5)</f>
        <v>3.5754716810250762</v>
      </c>
      <c r="BZ150" s="199">
        <f t="shared" si="586"/>
        <v>3.4052111247857866</v>
      </c>
      <c r="CA150" s="196">
        <f>CB150+各项系数!$M$9*$NT150</f>
        <v>3.9260943194179942</v>
      </c>
      <c r="CB150" s="196">
        <f>CC150*(1+$CF150+(VLOOKUP($AM150,$A$12:$B$214,2,0))+各项系数!$J$6+各项系数!$M$5)*(1+$E$2)</f>
        <v>3.8945602838099544</v>
      </c>
      <c r="CC150" s="197">
        <f>CD150+各项系数!$L$9*$NT$12</f>
        <v>3.8211933710851205</v>
      </c>
      <c r="CD150" s="197">
        <f>CE150*(1+$CG150+各项系数!$J$5+各项系数!$L$5)</f>
        <v>3.8129299679301467</v>
      </c>
      <c r="CE150" s="199">
        <f t="shared" si="648"/>
        <v>3.6313618742191873</v>
      </c>
      <c r="CF150" s="213">
        <f t="shared" si="514"/>
        <v>0</v>
      </c>
      <c r="CG150" s="213">
        <f t="shared" si="587"/>
        <v>0.03</v>
      </c>
      <c r="CH150" s="102"/>
      <c r="CI150" s="196">
        <f>CJ150+各项系数!$M$9*$NO150</f>
        <v>3.5100978884134459</v>
      </c>
      <c r="CJ150" s="196">
        <f>CK150*(1+$DC150+(VLOOKUP($AM150,$A$12:$B$323,2,0))+各项系数!$J$6+各项系数!$M$5)*(1+$E$2)+各项系数!$M$9*$NK150</f>
        <v>3.4592959426966208</v>
      </c>
      <c r="CK150" s="197">
        <f>CL150+各项系数!$L$9*$NO150</f>
        <v>3.3655855770665855</v>
      </c>
      <c r="CL150" s="197">
        <f>CM150*(1+$DD150+各项系数!$J$5+各项系数!$L$5)</f>
        <v>3.3147836313497603</v>
      </c>
      <c r="CM150" s="197">
        <f t="shared" si="588"/>
        <v>3.1872919532209232</v>
      </c>
      <c r="CN150" s="196">
        <f>CO150+各项系数!$M$9*$NO150</f>
        <v>3.6964285181397036</v>
      </c>
      <c r="CO150" s="196">
        <f>CP150*(1+$DC150+(VLOOKUP($AM150,$A$12:$B$323,2,0))+各项系数!$J$6+各项系数!$M$5)*(1+$E$2)+各项系数!$M$9*$NK150</f>
        <v>3.6456265724228785</v>
      </c>
      <c r="CP150" s="197">
        <f>CQ150+各项系数!$L$9*$NO150</f>
        <v>3.5484060536425841</v>
      </c>
      <c r="CQ150" s="197">
        <f>CR150*(1+$DD150+各项系数!$J$5+各项系数!$L$5)</f>
        <v>3.4976041079257589</v>
      </c>
      <c r="CR150" s="197">
        <f t="shared" si="589"/>
        <v>3.3630808730055373</v>
      </c>
      <c r="CS150" s="196">
        <f>CT150+各项系数!$M$9*$NU150</f>
        <v>4.2307006436808692</v>
      </c>
      <c r="CT150" s="196">
        <f t="shared" si="590"/>
        <v>4.1768205051363649</v>
      </c>
      <c r="CU150" s="197">
        <f>CV150+各项系数!$L$9*$NU150</f>
        <v>4.0981362883991022</v>
      </c>
      <c r="CV150" s="197">
        <f>CW150*(1+$DD150+各项系数!$J$5+各项系数!$L$5)</f>
        <v>4.0442561498545979</v>
      </c>
      <c r="CW150" s="199">
        <f t="shared" si="591"/>
        <v>3.8887078363986514</v>
      </c>
      <c r="CX150" s="196">
        <f>CY150+各项系数!$M$9*$NU150</f>
        <v>4.5719420059954254</v>
      </c>
      <c r="CY150" s="196">
        <f t="shared" si="592"/>
        <v>4.5180618674509212</v>
      </c>
      <c r="CZ150" s="197">
        <f>DA150+各项系数!$L$9*$NU150</f>
        <v>4.4329492420044359</v>
      </c>
      <c r="DA150" s="197">
        <f>DB150*(1+$DD150+各项系数!$J$5+各项系数!$L$5)</f>
        <v>4.3790691034599316</v>
      </c>
      <c r="DB150" s="199">
        <f t="shared" si="593"/>
        <v>4.2106433687114722</v>
      </c>
      <c r="DC150" s="213">
        <f t="shared" si="571"/>
        <v>0</v>
      </c>
      <c r="DD150" s="213">
        <f t="shared" si="594"/>
        <v>0.02</v>
      </c>
      <c r="DE150" s="53" t="s">
        <v>498</v>
      </c>
      <c r="DF150" s="53" t="s">
        <v>513</v>
      </c>
      <c r="DG150" s="196">
        <f>DH150+各项系数!$M$9*$NQ150</f>
        <v>3.5925379280099943</v>
      </c>
      <c r="DH150" s="196">
        <f>DI150*(1+$EA150+(VLOOKUP($AM150,$A$12:$B$323,2,0))+各项系数!$J$6+各项系数!$M$5)*(1+$E$2)+各项系数!$M$9*$NK150</f>
        <v>3.5417359822931691</v>
      </c>
      <c r="DI150" s="197">
        <f>DJ150+各项系数!$L$9*$NQ150</f>
        <v>3.4464725860898864</v>
      </c>
      <c r="DJ150" s="197">
        <f>DK150*(1+$EB150+各项系数!$J$5+各项系数!$L$5)</f>
        <v>3.3956706403730612</v>
      </c>
      <c r="DK150" s="197">
        <f t="shared" si="595"/>
        <v>3.2339720384505344</v>
      </c>
      <c r="DL150" s="196">
        <f>DM150+各项系数!$M$9*$NQ150</f>
        <v>3.8807146333698856</v>
      </c>
      <c r="DM150" s="196">
        <f>DN150*(1+$EA150+(VLOOKUP($AM150,$A$12:$B$323,2,0))+各项系数!$J$6+各项系数!$M$5)*(1+$E$2)+各项系数!$M$9*$NK150</f>
        <v>3.8299126876530605</v>
      </c>
      <c r="DN150" s="197">
        <f>DO150+各项系数!$L$9*$NQ150</f>
        <v>3.7292205309092461</v>
      </c>
      <c r="DO150" s="197">
        <f>DP150*(1+$EB150+各项系数!$J$5+各项系数!$L$5)</f>
        <v>3.6784185851924209</v>
      </c>
      <c r="DP150" s="197">
        <f t="shared" si="596"/>
        <v>3.503255795421353</v>
      </c>
      <c r="DQ150" s="196">
        <f>DR150+各项系数!$M$9*$NV150</f>
        <v>4.3212336622923617</v>
      </c>
      <c r="DR150" s="196">
        <f t="shared" si="597"/>
        <v>4.2673535237478575</v>
      </c>
      <c r="DS150" s="197">
        <f>DT150+各项系数!$L$9*$NV150</f>
        <v>4.1869638184339264</v>
      </c>
      <c r="DT150" s="197">
        <f>DU150*(1+$EB150+各项系数!$J$5+各项系数!$L$5)</f>
        <v>4.1330836798894222</v>
      </c>
      <c r="DU150" s="199">
        <f t="shared" si="598"/>
        <v>3.9362701713232591</v>
      </c>
      <c r="DV150" s="196">
        <f>DW150+各项系数!$M$9*$NV150</f>
        <v>4.3809476024386305</v>
      </c>
      <c r="DW150" s="196">
        <f t="shared" si="599"/>
        <v>4.3270674638941262</v>
      </c>
      <c r="DX150" s="197">
        <f>DY150+各项系数!$L$9*$NV150</f>
        <v>4.2455528491896848</v>
      </c>
      <c r="DY150" s="197">
        <f>DZ150*(1+$EB150+各项系数!$J$5+各项系数!$L$5)</f>
        <v>4.1916727106451805</v>
      </c>
      <c r="DZ150" s="199">
        <f t="shared" si="600"/>
        <v>3.9920692482335047</v>
      </c>
      <c r="EA150" s="213">
        <f t="shared" si="581"/>
        <v>0</v>
      </c>
      <c r="EB150" s="213">
        <f t="shared" si="601"/>
        <v>0.03</v>
      </c>
      <c r="EC150" s="235">
        <f t="shared" si="649"/>
        <v>4</v>
      </c>
      <c r="ED150" s="235" t="str">
        <f t="shared" si="680"/>
        <v>4*1</v>
      </c>
      <c r="EE150" s="189">
        <f t="shared" si="495"/>
        <v>1</v>
      </c>
      <c r="EF150" s="189">
        <f>LOOKUP(EH150,{1,7,10,14,19,24,30,37,48,61},{1,"1+6","2+8","4+10","1+6+12","2+8+14","4+10+16","1+6+12+18","3+9+15+21","1+6+12+18+24"})</f>
        <v>1</v>
      </c>
      <c r="EG150" s="188">
        <f t="shared" si="602"/>
        <v>4</v>
      </c>
      <c r="EH150" s="197">
        <f>VLOOKUP(EE150,各项系数!$B$87:$C$124,2,0)</f>
        <v>1</v>
      </c>
      <c r="EI150" s="188">
        <f>IF(EH150=0,0,VLOOKUP(EH150,各项系数!$D$142:$E$195,2,0))*1</f>
        <v>1</v>
      </c>
      <c r="EJ150" s="238">
        <f t="shared" si="650"/>
        <v>110.31595161029</v>
      </c>
      <c r="EK150" s="189">
        <f t="shared" si="689"/>
        <v>0</v>
      </c>
      <c r="EL150" s="189">
        <f t="shared" si="603"/>
        <v>0</v>
      </c>
      <c r="EM150" s="189">
        <f t="shared" si="690"/>
        <v>0</v>
      </c>
      <c r="EN150" s="189">
        <f>IF(EP150=0,0,LOOKUP(EP150,{1,7,10,14,19,24,30,37,48,61},{1,"1+6","2+8","4+10","1+6+12","2+8+14","4+10+16","1+6+12+18","3+9+15+21","1+6+12+18+24"}))</f>
        <v>0</v>
      </c>
      <c r="EO150" s="189">
        <f t="shared" si="691"/>
        <v>0</v>
      </c>
      <c r="EP150" s="189">
        <f>IF(EM150=0,0,IF(EM150&lt;10,1,IF(AND(EM150&gt;=10,EM150&lt;=35),7,LOOKUP(EM150,{50,70,95,120,150,185,240,300},{10,14,19,24,30,37,48,61})*1)))</f>
        <v>0</v>
      </c>
      <c r="EQ150" s="189">
        <f>IF(EP150=0,0,VLOOKUP(EP150,各项系数!$D$142:$E$195,2,0))*1</f>
        <v>0</v>
      </c>
      <c r="ER150" s="78">
        <f t="shared" si="577"/>
        <v>0</v>
      </c>
      <c r="ES150" s="412">
        <f t="shared" si="692"/>
        <v>4</v>
      </c>
      <c r="ET150" s="189">
        <f>VLOOKUP(ES150,各项系数!$D$142:$E$195,2,0)*1</f>
        <v>2.42</v>
      </c>
      <c r="EU150" s="243">
        <f>((各项系数!$F$76/4*$EJ150^2*$EG150*$EH150*1*10^-7)*(1-$H150)*AA150)*(VLOOKUP($EY$9,各项系数!$D$4:$F$143,3,0))*各项系数!$J$4</f>
        <v>3.3818266774534804E-2</v>
      </c>
      <c r="EV150" s="244">
        <f>EU150*(VLOOKUP($EY$9,各项系数!$D$4:$F$143,2,0))</f>
        <v>2.2150964737320296</v>
      </c>
      <c r="EW150" s="252">
        <f>(IF($EO150=0,0,(各项系数!$F$76/4*$ER150^2*$EO150*$EP150*1*10^-7))*(1-$K150)*$AF150)*(VLOOKUP($EY$9,各项系数!$D$4:$F$143,3,0))*各项系数!$J$4</f>
        <v>0</v>
      </c>
      <c r="EX150" s="253">
        <f>EW150*(VLOOKUP($EY$9,各项系数!$D$4:$F$143,2,0))</f>
        <v>0</v>
      </c>
      <c r="EY150" s="189">
        <f>((各项系数!$F$76/4*$EJ150^2*$EG150*$EH150*1*10^-7)*(1-$H150)*AA150+IF($EO150=0,0,(各项系数!$F$76/4*$ER150^2*$EO150*$EP150*1*10^-7))*(1-$K150)*$AF150)*(VLOOKUP($EY$9,各项系数!$D$4:$F$143,3,0))*各项系数!$J$4</f>
        <v>3.3818266774534804E-2</v>
      </c>
      <c r="EZ150" s="102">
        <v>1</v>
      </c>
      <c r="FA150" s="189">
        <f t="shared" si="515"/>
        <v>3.3818266774534804E-2</v>
      </c>
      <c r="FB150" s="254">
        <f>FA150*(VLOOKUP($EY$9,各项系数!$D$4:$F$143,2,0))</f>
        <v>2.2150964737320296</v>
      </c>
      <c r="FC150" s="255"/>
      <c r="FD150" s="235">
        <f>各项系数!$F$76/4*($MN150^2-MK150^2)*10^-2*(VLOOKUP(L150,各项系数!$D$1:$F$143,3,0))*10^-3*10^2*$EG150*各项系数!$J$4</f>
        <v>1.4055043909483899E-2</v>
      </c>
      <c r="FE150" s="262">
        <f>FD150*VLOOKUP(L150,各项系数!$D$1:$F$143,2,0)</f>
        <v>0.16163300495906485</v>
      </c>
      <c r="FF150" s="188">
        <f>各项系数!$F$76/4*($MO150^2-ML150^2)*10^-2*(VLOOKUP(L150,各项系数!$D$1:$F$143,3,0))*10^-3*10^2*$EO150*各项系数!$J$4</f>
        <v>0</v>
      </c>
      <c r="FG150" s="262">
        <f>FF150*VLOOKUP(L150,各项系数!$D$1:$F$143,2,0)</f>
        <v>0</v>
      </c>
      <c r="FH150" s="235">
        <f t="shared" si="651"/>
        <v>1.4055043909483899E-2</v>
      </c>
      <c r="FI150" s="102">
        <v>1</v>
      </c>
      <c r="FJ150" s="189">
        <f t="shared" si="516"/>
        <v>1.4055043909483899E-2</v>
      </c>
      <c r="FK150" s="262">
        <f>FJ150*VLOOKUP(L150,各项系数!$D$1:$F$143,2,0)</f>
        <v>0.16163300495906485</v>
      </c>
      <c r="FL150" s="235"/>
      <c r="FM150" s="102"/>
      <c r="FN150" s="189"/>
      <c r="FO150" s="262"/>
      <c r="FP150" s="282">
        <f t="shared" si="517"/>
        <v>1.4055043909483899E-2</v>
      </c>
      <c r="FQ150" s="282">
        <f t="shared" si="518"/>
        <v>0.16163300495906485</v>
      </c>
      <c r="FR150" s="283">
        <f>各项系数!$F$76/4*($MQ150^2-$MN150^2*$EG150-$MO150^2*$EO150)*10^-2</f>
        <v>7.7340945948937173E-2</v>
      </c>
      <c r="FS150" s="284">
        <f t="shared" si="652"/>
        <v>1</v>
      </c>
      <c r="FT150" s="285">
        <f t="shared" si="604"/>
        <v>7.7340945948937173E-2</v>
      </c>
      <c r="FU150" s="302">
        <f>$FT150*(VLOOKUP($FT$9,各项系数!$D$1:$F$143,3,0))*10^-3*10^2*各项系数!$J$55</f>
        <v>9.2345089463030973E-3</v>
      </c>
      <c r="FV150" s="303">
        <v>1</v>
      </c>
      <c r="FW150" s="304">
        <f t="shared" si="519"/>
        <v>9.2345089463030973E-3</v>
      </c>
      <c r="FX150" s="285">
        <f>FW150*(VLOOKUP($FT$9,各项系数!$D$1:$F$143,2,0))</f>
        <v>2.7703526838909292E-2</v>
      </c>
      <c r="FY150" s="302">
        <f>IF($BK150&lt;&gt;$FY$9,0,各项系数!$F$76/4*($MS150^2-$MQ150^2)*10^-2*(VLOOKUP($FY$9,各项系数!$D$1:$F$143,3,0))*10^-3*10^2)*各项系数!$J$4</f>
        <v>0</v>
      </c>
      <c r="FZ150" s="303">
        <v>1</v>
      </c>
      <c r="GA150" s="304">
        <f t="shared" si="520"/>
        <v>0</v>
      </c>
      <c r="GB150" s="285">
        <f>GA150*(VLOOKUP($FY$9,各项系数!$D$1:$F$143,2,0))</f>
        <v>0</v>
      </c>
      <c r="GC150" s="302">
        <f>IF($BK150&lt;&gt;$GC$9,0,各项系数!$F$76/4*($MS150^2-$MQ150^2)*10^-2*(VLOOKUP($GC$9,各项系数!$D$1:$F$143,3,0))*10^-3*10^2)*各项系数!$J$4</f>
        <v>1.5418195013472021E-3</v>
      </c>
      <c r="GD150" s="303">
        <v>1</v>
      </c>
      <c r="GE150" s="304">
        <f t="shared" si="521"/>
        <v>1.5418195013472021E-3</v>
      </c>
      <c r="GF150" s="285">
        <f>GE150*(VLOOKUP($GC$9,各项系数!$D$1:$F$143,2,0))</f>
        <v>1.9889471567378907E-2</v>
      </c>
      <c r="GG150" s="302">
        <f>IF($BK150&lt;&gt;$GG$9,0,各项系数!$F$76/4*($MS150^2-$MQ150^2)*10^-2*(VLOOKUP($GG$9,各项系数!$D$1:$F$143,3,0))*10^-3*10^2)*各项系数!$J$4</f>
        <v>0</v>
      </c>
      <c r="GH150" s="303">
        <v>1</v>
      </c>
      <c r="GI150" s="304">
        <f t="shared" si="522"/>
        <v>0</v>
      </c>
      <c r="GJ150" s="285">
        <f>GI150*(VLOOKUP($GG$9,各项系数!$D$1:$F$143,2,0))</f>
        <v>0</v>
      </c>
      <c r="GK150" s="302">
        <f>IF($BK150&lt;&gt;$GK$9,0,各项系数!$F$76/4*($MS150^2-$MQ150^2)*10^-2*(VLOOKUP($GK$9,各项系数!$D$1:$F$143,3,0))*10^-3*10^2)*各项系数!$J$4</f>
        <v>0</v>
      </c>
      <c r="GL150" s="303">
        <v>1</v>
      </c>
      <c r="GM150" s="304">
        <f t="shared" si="523"/>
        <v>0</v>
      </c>
      <c r="GN150" s="285">
        <f>GM150*(VLOOKUP($GK$9,各项系数!$D$1:$F$143,2,0))</f>
        <v>0</v>
      </c>
      <c r="GO150" s="304">
        <f t="shared" si="524"/>
        <v>1.5418195013472021E-3</v>
      </c>
      <c r="GP150" s="304">
        <f t="shared" si="525"/>
        <v>1.9889471567378907E-2</v>
      </c>
      <c r="GQ150" s="315">
        <f>各项系数!$F$76/4*($MU150^2-$MS150^2)*10^-2*(VLOOKUP($S150,各项系数!$D$1:$F$143,3,0))*10^-3*10^2*各项系数!$J$4</f>
        <v>9.31280422326108E-2</v>
      </c>
      <c r="GR150" s="303">
        <v>1</v>
      </c>
      <c r="GS150" s="304">
        <f t="shared" si="526"/>
        <v>9.31280422326108E-2</v>
      </c>
      <c r="GT150" s="304">
        <f t="shared" si="696"/>
        <v>1</v>
      </c>
      <c r="GU150" s="304">
        <f>ROUND($GS150*(VLOOKUP($S150,各项系数!$D$1:$F$143,2,0))+$E$3*GS150,GT150)</f>
        <v>0.5</v>
      </c>
      <c r="GV150" s="315">
        <f>各项系数!$F$76/4*($MT150^2-$MS150^2)*10^-2*(VLOOKUP($GV$9,各项系数!$D$1:$F$143,3,0))*10^-3*10^2*各项系数!$J$4*PI()/4*R150</f>
        <v>8.1430435256107103E-3</v>
      </c>
      <c r="GW150" s="303">
        <v>1</v>
      </c>
      <c r="GX150" s="304">
        <f t="shared" si="527"/>
        <v>8.1430435256107103E-3</v>
      </c>
      <c r="GY150" s="304">
        <f>$GX150*(VLOOKUP($GV$9,各项系数!$D$1:$F$143,2,0))</f>
        <v>0.54965543797872296</v>
      </c>
      <c r="GZ150" s="315">
        <f>各项系数!$F$76/4*($MV150^2-$MS150^2)*10^-2*(VLOOKUP($GZ$9,各项系数!$D$1:$F$143,3,0))*10^-3*10^2*各项系数!$J$4</f>
        <v>3.7799398357689799E-2</v>
      </c>
      <c r="HA150" s="303">
        <v>1</v>
      </c>
      <c r="HB150" s="304">
        <f t="shared" si="653"/>
        <v>3.7799398357689799E-2</v>
      </c>
      <c r="HC150" s="304">
        <f>HB150*(VLOOKUP($GZ$9,各项系数!$D$1:$F$143,2,0))</f>
        <v>0.64258977208072654</v>
      </c>
      <c r="HD150" s="315">
        <f>各项系数!$F$76/4*($MW150^2-$MT150^2)*10^-2*(VLOOKUP($HD$9,各项系数!$D$1:$F$143,3,0))*10^-3*10^2*各项系数!$J$4</f>
        <v>3.8669644655475392E-2</v>
      </c>
      <c r="HE150" s="303">
        <v>1</v>
      </c>
      <c r="HF150" s="304">
        <f t="shared" si="654"/>
        <v>3.8669644655475392E-2</v>
      </c>
      <c r="HG150" s="304">
        <f>HF150*(VLOOKUP($HD$9,各项系数!$D$1:$F$143,2,0))</f>
        <v>0.65738395914308168</v>
      </c>
      <c r="HH150" s="315">
        <f>各项系数!$F$76/4*($MV150^2-$MS150^2)*10^-2*(VLOOKUP($HH$9,各项系数!$D$1:$F$143,3,0))*10^-3*10^2*各项系数!$J$4</f>
        <v>3.7799398357689799E-2</v>
      </c>
      <c r="HI150" s="322">
        <v>1</v>
      </c>
      <c r="HJ150" s="304">
        <f t="shared" si="655"/>
        <v>3.7799398357689799E-2</v>
      </c>
      <c r="HK150" s="304">
        <f>HJ150*(VLOOKUP($HH$9,各项系数!$D$1:$F$143,2,0))</f>
        <v>0.64258977208072654</v>
      </c>
      <c r="HL150" s="315">
        <f>各项系数!$F$76/4*($MW150^2-$MT150^2)*10^-2*(VLOOKUP($HL$9,各项系数!$D$1:$F$143,3,0))*10^-3*10^2*各项系数!$J$4</f>
        <v>3.8669644655475392E-2</v>
      </c>
      <c r="HM150" s="322">
        <v>1</v>
      </c>
      <c r="HN150" s="304">
        <f t="shared" si="605"/>
        <v>3.8669644655475392E-2</v>
      </c>
      <c r="HO150" s="304">
        <f>HN150*(VLOOKUP($HL$9,各项系数!$D$1:$F$143,2,0))</f>
        <v>0.65738395914308168</v>
      </c>
      <c r="HP150" s="315">
        <f>各项系数!$F$76/4*($MV150^2-$MS150^2)*10^-2*(VLOOKUP(AN150,各项系数!$D$1:$F$143,3,0))*10^-3*10^2*各项系数!$J$4</f>
        <v>3.8320769369520002E-2</v>
      </c>
      <c r="HQ150" s="303">
        <v>1</v>
      </c>
      <c r="HR150" s="304">
        <f t="shared" si="528"/>
        <v>3.8320769369520002E-2</v>
      </c>
      <c r="HS150" s="304">
        <f>HR150*(VLOOKUP(AN150,各项系数!$D$1:$F$143,2,0))</f>
        <v>0.38320769369520002</v>
      </c>
      <c r="HT150" s="315">
        <f>各项系数!$F$76/4*($MW150^2-$MT150^2)*10^-2*(VLOOKUP(AN150,各项系数!$D$1:$F$143,3,0))*10^-3*10^2*各项系数!$J$4</f>
        <v>3.9203019064516433E-2</v>
      </c>
      <c r="HU150" s="303">
        <v>1</v>
      </c>
      <c r="HV150" s="304">
        <f t="shared" si="529"/>
        <v>3.9203019064516433E-2</v>
      </c>
      <c r="HW150" s="304">
        <f>HV150*(VLOOKUP(AN150,各项系数!$D$1:$F$143,2,0))</f>
        <v>0.39203019064516431</v>
      </c>
      <c r="HX150" s="315">
        <f>各项系数!$F$76/4*($MV150^2-$MS150^2)*10^-2*(VLOOKUP($HX$9,各项系数!$D$1:$F$143,3,0))*10^-3*10^2*各项系数!$J$4</f>
        <v>3.8320769369520002E-2</v>
      </c>
      <c r="HY150" s="322">
        <v>1</v>
      </c>
      <c r="HZ150" s="304">
        <f t="shared" si="530"/>
        <v>3.8320769369520002E-2</v>
      </c>
      <c r="IA150" s="304">
        <f>HZ150*(VLOOKUP($HX$9,各项系数!$D$1:$F$143,2,0))</f>
        <v>0.42152846306472003</v>
      </c>
      <c r="IB150" s="315">
        <f>各项系数!$F$76/4*($MW150^2-$MT150^2)*10^-2*(VLOOKUP($IB$9,各项系数!$D$1:$F$143,3,0))*10^-3*10^2*各项系数!$J$4</f>
        <v>3.9203019064516433E-2</v>
      </c>
      <c r="IC150" s="322">
        <v>1</v>
      </c>
      <c r="ID150" s="304">
        <f t="shared" si="531"/>
        <v>3.9203019064516433E-2</v>
      </c>
      <c r="IE150" s="304">
        <f>ID150*(VLOOKUP($IB$9,各项系数!$D$1:$F$143,2,0))</f>
        <v>0.43123320970968076</v>
      </c>
      <c r="IF150" s="328"/>
      <c r="IG150" s="315">
        <f t="shared" si="656"/>
        <v>7.8950067509652271E-3</v>
      </c>
      <c r="IH150" s="303">
        <v>1</v>
      </c>
      <c r="II150" s="304">
        <f t="shared" si="532"/>
        <v>7.8950067509652271E-3</v>
      </c>
      <c r="IJ150" s="304">
        <f>II150*(VLOOKUP($IG$8,各项系数!$D$1:$F$143,2,0))</f>
        <v>0.19737516877413067</v>
      </c>
      <c r="IK150" s="315">
        <f>(各项系数!$F$76/4*($MX150^2-$MK150^2)*$EG150)*10^-2*(VLOOKUP($IG$8,各项系数!$D$1:$F$143,3,0))*10^-3*10^2*各项系数!$J$4</f>
        <v>7.8950067509652271E-3</v>
      </c>
      <c r="IL150" s="303">
        <f>IK150*(VLOOKUP($IG$8,各项系数!$D$1:$F$143,2,0))</f>
        <v>0.19737516877413067</v>
      </c>
      <c r="IM150" s="304">
        <f>(各项系数!$F$76/4*(($MM150+3*$X150)^2-MM150^2)*$EO150)*10^-2*(VLOOKUP($IG$8,各项系数!$D$1:$F$143,3,0))*10^-3*10^2*各项系数!$J$4</f>
        <v>0</v>
      </c>
      <c r="IN150" s="303">
        <f>IM150*(VLOOKUP($IG$8,各项系数!$D$1:$F$143,2,0))</f>
        <v>0</v>
      </c>
      <c r="IO150" s="315">
        <f>各项系数!$F$76/4*($MZ150^2-$MX150^2)*10^-2*(VLOOKUP(L150,各项系数!$D$1:$F$143,3,0))*10^-3*10^2*$ES150*各项系数!$J$4</f>
        <v>1.9006445258953699E-2</v>
      </c>
      <c r="IP150" s="303">
        <v>1</v>
      </c>
      <c r="IQ150" s="304">
        <f t="shared" si="533"/>
        <v>1.9006445258953699E-2</v>
      </c>
      <c r="IR150" s="285">
        <f>IQ150*(VLOOKUP(L150,各项系数!$D$1:$F$143,2,0))</f>
        <v>0.21857412047796754</v>
      </c>
      <c r="IS150" s="315">
        <f>IF($L150&lt;&gt;$IS$9,0,各项系数!$F$76/4*($MZ150^2-$MX150^2)*10^-2*各项系数!$F$12*10^-3*10^2)*$ES150*各项系数!$J$4</f>
        <v>0</v>
      </c>
      <c r="IT150" s="303">
        <v>1</v>
      </c>
      <c r="IU150" s="304">
        <f t="shared" si="534"/>
        <v>0</v>
      </c>
      <c r="IV150" s="285">
        <f>IU150*各项系数!$E$12</f>
        <v>0</v>
      </c>
      <c r="IW150" s="302">
        <f t="shared" si="535"/>
        <v>1.9006445258953699E-2</v>
      </c>
      <c r="IX150" s="302">
        <f t="shared" si="536"/>
        <v>0.21857412047796754</v>
      </c>
      <c r="IY150" s="339">
        <f>各项系数!$F$76/4*($NB150^2-$MZ150^2*$EG150-$NA150^2*$EO150)*10^-2</f>
        <v>0.12288623574251023</v>
      </c>
      <c r="IZ150" s="284">
        <f t="shared" ref="IZ150:IZ213" si="697">VLOOKUP(EC150,$A$38:$B$65,2,0)</f>
        <v>1</v>
      </c>
      <c r="JA150" s="285">
        <f t="shared" si="606"/>
        <v>0.12288623574251023</v>
      </c>
      <c r="JB150" s="282">
        <f>IF($DE150&lt;&gt;$JB$9,0,$JA150*各项系数!$F$32*10^-3*10^2)*各项系数!$J$4</f>
        <v>0</v>
      </c>
      <c r="JC150" s="102">
        <v>1</v>
      </c>
      <c r="JD150" s="189">
        <f t="shared" si="537"/>
        <v>0</v>
      </c>
      <c r="JE150" s="262">
        <f>JD150*各项系数!$E$32</f>
        <v>0</v>
      </c>
      <c r="JF150" s="282">
        <f>IF($DE150&lt;&gt;$JF$9,0,$JA150*VLOOKUP($JF$9,各项系数!$D$4:$F$540,2,0)*10^-3*10^2)*各项系数!$J$4</f>
        <v>6.1135902281898837E-2</v>
      </c>
      <c r="JG150" s="102">
        <v>1</v>
      </c>
      <c r="JH150" s="189">
        <f t="shared" si="607"/>
        <v>6.1135902281898837E-2</v>
      </c>
      <c r="JI150" s="262">
        <f>JH150*VLOOKUP($JF$9,各项系数!$D$4:$F$540,3,0)</f>
        <v>7.3363082738278601E-2</v>
      </c>
      <c r="JJ150" s="282">
        <f t="shared" si="538"/>
        <v>6.1135902281898837E-2</v>
      </c>
      <c r="JK150" s="189">
        <f t="shared" si="539"/>
        <v>7.3363082738278601E-2</v>
      </c>
      <c r="JL150" s="282">
        <f>IF($DF150&lt;&gt;$JL$9,0,各项系数!$F$76/4*($NE150^2-$NC150^2)*10^-2*各项系数!$F$39*10^-3*10^2)*各项系数!$J$4</f>
        <v>8.0411276012021693E-4</v>
      </c>
      <c r="JM150" s="102">
        <v>1</v>
      </c>
      <c r="JN150" s="189">
        <f t="shared" si="540"/>
        <v>8.0411276012021693E-4</v>
      </c>
      <c r="JO150" s="262">
        <f>JN150*各项系数!$E$39</f>
        <v>1.608225520240434E-2</v>
      </c>
      <c r="JP150" s="282">
        <f>IF($DF150&lt;&gt;$JP$9,0,各项系数!$F$76/4*($NE150^2-$NC150^2)*10^-2*各项系数!$F$36*10^-3*10^2)*各项系数!$J$4</f>
        <v>0</v>
      </c>
      <c r="JQ150" s="102">
        <v>1</v>
      </c>
      <c r="JR150" s="189">
        <f t="shared" si="541"/>
        <v>0</v>
      </c>
      <c r="JS150" s="262">
        <f>JR150*各项系数!$E$36</f>
        <v>0</v>
      </c>
      <c r="JT150" s="282">
        <f>IF($DF150&lt;&gt;$JT$9,0,各项系数!$F$76/4*($NE150^2-$NC150^2)*10^-2*各项系数!$F$40*10^-3*10^2)*各项系数!$J$4</f>
        <v>0</v>
      </c>
      <c r="JU150" s="102">
        <v>1</v>
      </c>
      <c r="JV150" s="189">
        <f t="shared" si="542"/>
        <v>0</v>
      </c>
      <c r="JW150" s="262">
        <f>JV150*各项系数!$E$40</f>
        <v>0</v>
      </c>
      <c r="JX150" s="282">
        <f>IF($DF150&lt;&gt;$JX$9,0,各项系数!$F$76/4*($NE150^2-$NC150^2)*10^-2*各项系数!$F$38*10^-3*10^2)*各项系数!$J$4</f>
        <v>0</v>
      </c>
      <c r="JY150" s="102">
        <v>1</v>
      </c>
      <c r="JZ150" s="189">
        <f t="shared" si="543"/>
        <v>0</v>
      </c>
      <c r="KA150" s="262">
        <f>JZ150*各项系数!$E$38</f>
        <v>0</v>
      </c>
      <c r="KB150" s="282">
        <f>IF($DF150&lt;&gt;$KB$9,0,各项系数!$F$76/4*($NE150^2-$NC150^2)*10^-2*各项系数!$F$41*10^-3*10^2)*各项系数!$J$4</f>
        <v>0</v>
      </c>
      <c r="KC150" s="102">
        <v>1</v>
      </c>
      <c r="KD150" s="189">
        <f t="shared" si="544"/>
        <v>0</v>
      </c>
      <c r="KE150" s="262">
        <f>KD150*各项系数!$E$41</f>
        <v>0</v>
      </c>
      <c r="KF150" s="189">
        <f t="shared" si="545"/>
        <v>8.0411276012021693E-4</v>
      </c>
      <c r="KG150" s="189">
        <f t="shared" si="546"/>
        <v>1.608225520240434E-2</v>
      </c>
      <c r="KH150" s="235">
        <f>各项系数!$F$76/4*($NG150^2-$NE150^2)*10^-2*各项系数!$F$44*10^-3*10^2*各项系数!$J$4*0.75*$U150</f>
        <v>0.34608805529570313</v>
      </c>
      <c r="KI150" s="102">
        <v>1</v>
      </c>
      <c r="KJ150" s="189">
        <f t="shared" si="547"/>
        <v>0.34608805529570313</v>
      </c>
      <c r="KK150" s="189">
        <f>ROUND(KJ150*各项系数!$E$43,GT150)</f>
        <v>2</v>
      </c>
      <c r="KL150" s="235">
        <f>各项系数!$F$76/4*($NF150^2-$NE150^2)*10^-2*各项系数!$F$46*10^-3*10^2*各项系数!$J$4*PI()/4*R150</f>
        <v>1.0260642758929836E-2</v>
      </c>
      <c r="KM150" s="102">
        <v>1</v>
      </c>
      <c r="KN150" s="189">
        <f t="shared" si="548"/>
        <v>1.0260642758929836E-2</v>
      </c>
      <c r="KO150" s="189">
        <f>KN150*各项系数!$E$46</f>
        <v>0.6925933862277639</v>
      </c>
      <c r="KP150" s="235">
        <f>各项系数!$F$76/4*($NH150^2-$NE150^2)*10^-2*(VLOOKUP($KP$9,各项系数!$D$1:$F$143,3,0))*10^-3*10^2*各项系数!$J$4</f>
        <v>4.6044982029208363E-2</v>
      </c>
      <c r="KQ150" s="102">
        <v>1</v>
      </c>
      <c r="KR150" s="189">
        <f t="shared" si="657"/>
        <v>4.6044982029208363E-2</v>
      </c>
      <c r="KS150" s="189">
        <f>KR150*(VLOOKUP($KP$9,各项系数!$D$1:$F$143,2,0))</f>
        <v>0.78276469449654218</v>
      </c>
      <c r="KT150" s="235">
        <f>各项系数!$F$76/4*($NI150^2-$NF150^2)*10^-2*(VLOOKUP($KT$9,各项系数!$D$1:$F$143,3,0))*10^-3*10^2*各项系数!$J$4</f>
        <v>4.6915228326993963E-2</v>
      </c>
      <c r="KU150" s="102">
        <v>1</v>
      </c>
      <c r="KV150" s="189">
        <f t="shared" si="658"/>
        <v>4.6915228326993963E-2</v>
      </c>
      <c r="KW150" s="189">
        <f>KV150*(VLOOKUP($KT$9,各项系数!$D$1:$F$143,2,0))</f>
        <v>0.79755888155889743</v>
      </c>
      <c r="KX150" s="189">
        <f>各项系数!$F$76/4*($NH150^2-$NE150^2)*10^-2*(VLOOKUP($KX$9,各项系数!$D$1:$F$143,3,0))*10^-3*10^2*各项系数!$J$4</f>
        <v>4.6044982029208363E-2</v>
      </c>
      <c r="KY150" s="353">
        <v>1</v>
      </c>
      <c r="KZ150" s="189">
        <f t="shared" si="659"/>
        <v>4.6044982029208363E-2</v>
      </c>
      <c r="LA150" s="189">
        <f>KZ150*(VLOOKUP($KX$9,各项系数!$D$1:$F$143,2,0))</f>
        <v>0.78276469449654218</v>
      </c>
      <c r="LB150" s="189">
        <f>各项系数!$F$76/4*($NI150^2-$NF150^2)*10^-2*(VLOOKUP($LB$9,各项系数!$D$1:$F$143,3,0))*10^-3*10^2*各项系数!$J$4</f>
        <v>4.6915228326993963E-2</v>
      </c>
      <c r="LC150" s="353">
        <v>1</v>
      </c>
      <c r="LD150" s="189">
        <f t="shared" si="660"/>
        <v>4.6915228326993963E-2</v>
      </c>
      <c r="LE150" s="189">
        <f>LD150*(VLOOKUP($LB$9,各项系数!$D$1:$F$143,2,0))</f>
        <v>0.79755888155889743</v>
      </c>
      <c r="LF150" s="235">
        <f>各项系数!$F$76/4*($NH150^2-$NE150^2)*10^-2*(VLOOKUP(AN150,各项系数!$D$1:$F$143,3,0))*10^-3*10^2*各项系数!$J$4</f>
        <v>4.6680085229611236E-2</v>
      </c>
      <c r="LG150" s="102">
        <v>1</v>
      </c>
      <c r="LH150" s="189">
        <f t="shared" si="549"/>
        <v>4.6680085229611236E-2</v>
      </c>
      <c r="LI150" s="189">
        <f>LH150*(VLOOKUP(AN150,各项系数!$D$1:$F$143,2,0))</f>
        <v>0.46680085229611235</v>
      </c>
      <c r="LJ150" s="235">
        <f>各项系数!$F$76/4*($NI150^2-$NF150^2)*10^-2*(VLOOKUP(AN150,各项系数!$D$1:$F$143,3,0))*10^-3*10^2*各项系数!$J$4</f>
        <v>4.7562334924607673E-2</v>
      </c>
      <c r="LK150" s="102">
        <v>1</v>
      </c>
      <c r="LL150" s="189">
        <f t="shared" si="550"/>
        <v>4.7562334924607673E-2</v>
      </c>
      <c r="LM150" s="189">
        <f>LL150*(VLOOKUP(AN150,各项系数!$D$1:$F$143,2,0))</f>
        <v>0.47562334924607674</v>
      </c>
      <c r="LN150" s="189">
        <f>各项系数!$F$76/4*($NH150^2-$NE150^2)*10^-2*(VLOOKUP($LN$9,各项系数!$D$1:$F$143,3,0))*10^-3*10^2*各项系数!$J$4</f>
        <v>4.6680085229611236E-2</v>
      </c>
      <c r="LO150" s="353">
        <v>1</v>
      </c>
      <c r="LP150" s="189">
        <f t="shared" si="551"/>
        <v>4.6680085229611236E-2</v>
      </c>
      <c r="LQ150" s="189">
        <f>LP150*(VLOOKUP($LN$9,各项系数!$D$1:$F$143,2,0))</f>
        <v>0.51348093752572355</v>
      </c>
      <c r="LR150" s="189">
        <f>各项系数!$F$76/4*($NI150^2-$NF150^2)*10^-2*(VLOOKUP($LR$9,各项系数!$D$1:$F$143,3,0))*10^-3*10^2*各项系数!$J$4</f>
        <v>4.7562334924607673E-2</v>
      </c>
      <c r="LS150" s="353">
        <v>1</v>
      </c>
      <c r="LT150" s="189">
        <f t="shared" si="552"/>
        <v>4.7562334924607673E-2</v>
      </c>
      <c r="LU150" s="189">
        <f>LT150*(VLOOKUP($LR$9,各项系数!$D$1:$F$143,2,0))</f>
        <v>0.52318568417068445</v>
      </c>
      <c r="LV150" s="227">
        <f t="shared" si="661"/>
        <v>3.8231955100000001</v>
      </c>
      <c r="LW150" s="227">
        <f t="shared" si="662"/>
        <v>3.8231955100000001</v>
      </c>
      <c r="LX150" s="227">
        <f t="shared" si="663"/>
        <v>2.2063190409788698</v>
      </c>
      <c r="LY150" s="227">
        <f t="shared" si="664"/>
        <v>0</v>
      </c>
      <c r="LZ150" s="374">
        <f t="shared" si="608"/>
        <v>1</v>
      </c>
      <c r="MA150" s="375">
        <f t="shared" si="609"/>
        <v>3.8231955100000001</v>
      </c>
      <c r="MB150" s="375">
        <f t="shared" si="665"/>
        <v>1.1031595199999999</v>
      </c>
      <c r="MC150" s="227">
        <f t="shared" si="666"/>
        <v>0</v>
      </c>
      <c r="MD150" s="227">
        <f t="shared" si="667"/>
        <v>0</v>
      </c>
      <c r="ME150" s="227">
        <f t="shared" si="668"/>
        <v>0</v>
      </c>
      <c r="MF150" s="227">
        <f t="shared" si="669"/>
        <v>0</v>
      </c>
      <c r="MG150" s="374">
        <f t="shared" si="670"/>
        <v>1</v>
      </c>
      <c r="MH150" s="375">
        <f t="shared" si="610"/>
        <v>0</v>
      </c>
      <c r="MI150" s="375">
        <f t="shared" si="671"/>
        <v>0</v>
      </c>
      <c r="MJ150" s="189">
        <f t="shared" si="611"/>
        <v>1.1031595199999999</v>
      </c>
      <c r="MK150" s="189">
        <f t="shared" si="672"/>
        <v>1.1031595199999999</v>
      </c>
      <c r="ML150" s="189">
        <f t="shared" si="553"/>
        <v>0</v>
      </c>
      <c r="MM150" s="189">
        <f t="shared" si="612"/>
        <v>0</v>
      </c>
      <c r="MN150" s="189">
        <f t="shared" si="613"/>
        <v>2.3031595199999999</v>
      </c>
      <c r="MO150" s="189">
        <f t="shared" si="673"/>
        <v>0</v>
      </c>
      <c r="MP150" s="189">
        <f t="shared" si="674"/>
        <v>5.5736460399999999</v>
      </c>
      <c r="MQ150" s="189">
        <f t="shared" si="554"/>
        <v>5.5736460399999999</v>
      </c>
      <c r="MR150" s="246">
        <f t="shared" si="675"/>
        <v>5.5736460399999999</v>
      </c>
      <c r="MS150" s="380">
        <f t="shared" si="614"/>
        <v>5.74964604</v>
      </c>
      <c r="MT150" s="380">
        <f t="shared" si="615"/>
        <v>5.9096460400000002</v>
      </c>
      <c r="MU150" s="380">
        <f t="shared" si="616"/>
        <v>6.9496460400000002</v>
      </c>
      <c r="MV150" s="380">
        <f t="shared" si="617"/>
        <v>8.1496460400000004</v>
      </c>
      <c r="MW150" s="380">
        <f t="shared" si="618"/>
        <v>8.3096460400000005</v>
      </c>
      <c r="MX150" s="254">
        <f t="shared" si="619"/>
        <v>1.70315952</v>
      </c>
      <c r="MY150" s="254">
        <f t="shared" si="620"/>
        <v>0</v>
      </c>
      <c r="MZ150" s="189">
        <f t="shared" si="621"/>
        <v>2.90315952</v>
      </c>
      <c r="NA150" s="189">
        <f t="shared" si="622"/>
        <v>0</v>
      </c>
      <c r="NB150" s="189">
        <f t="shared" si="676"/>
        <v>7.0256460399999998</v>
      </c>
      <c r="NC150" s="254">
        <f t="shared" si="555"/>
        <v>7.0256460399999998</v>
      </c>
      <c r="ND150" s="246">
        <f t="shared" si="677"/>
        <v>7.0256460399999998</v>
      </c>
      <c r="NE150" s="386">
        <f t="shared" si="678"/>
        <v>7.26564604</v>
      </c>
      <c r="NF150" s="380">
        <f t="shared" si="623"/>
        <v>7.4256460400000002</v>
      </c>
      <c r="NG150" s="387">
        <f t="shared" si="624"/>
        <v>8.4656460399999993</v>
      </c>
      <c r="NH150" s="254">
        <f t="shared" si="625"/>
        <v>9.6656460400000004</v>
      </c>
      <c r="NI150" s="380">
        <f t="shared" si="626"/>
        <v>9.8256460400000005</v>
      </c>
      <c r="NK150" s="388">
        <f t="shared" si="627"/>
        <v>9.6970408501188987E-2</v>
      </c>
      <c r="NL150" s="388">
        <f t="shared" si="628"/>
        <v>2.8075301707925826</v>
      </c>
      <c r="NM150" s="388">
        <f t="shared" si="629"/>
        <v>9.6970408501188987E-2</v>
      </c>
      <c r="NN150" s="388">
        <f t="shared" si="630"/>
        <v>2.8458509401621024</v>
      </c>
      <c r="NO150" s="388">
        <f t="shared" si="631"/>
        <v>0.16933981905608403</v>
      </c>
      <c r="NP150" s="388">
        <f t="shared" si="632"/>
        <v>3.1872919532209232</v>
      </c>
      <c r="NQ150" s="388">
        <f t="shared" si="633"/>
        <v>0.16933981905608403</v>
      </c>
      <c r="NR150" s="388">
        <f t="shared" si="634"/>
        <v>3.2339720384505344</v>
      </c>
      <c r="NS150" s="388">
        <f t="shared" si="635"/>
        <v>0.1051134520267997</v>
      </c>
      <c r="NT150" s="388">
        <f t="shared" si="636"/>
        <v>0.1051134520267997</v>
      </c>
      <c r="NU150" s="388">
        <f t="shared" si="637"/>
        <v>0.17960046181501388</v>
      </c>
      <c r="NV150" s="388">
        <f t="shared" si="638"/>
        <v>0.17960046181501388</v>
      </c>
      <c r="NW150">
        <f t="shared" si="639"/>
        <v>0.19009845073379977</v>
      </c>
      <c r="NX150">
        <f>各项系数!$M$9*NK150</f>
        <v>2.9091122550356695E-2</v>
      </c>
      <c r="NY150">
        <f t="shared" si="640"/>
        <v>0.1051134520267997</v>
      </c>
    </row>
    <row r="151" spans="1:389" ht="15" hidden="1" customHeight="1">
      <c r="A151" s="69"/>
      <c r="B151" s="70"/>
      <c r="C151" s="69"/>
      <c r="D151" s="102" t="s">
        <v>131</v>
      </c>
      <c r="E151" s="61">
        <f t="shared" si="687"/>
        <v>8.7945306999999993</v>
      </c>
      <c r="F151" s="405">
        <f t="shared" si="693"/>
        <v>110.31595161029</v>
      </c>
      <c r="G151" s="16"/>
      <c r="H151" s="16"/>
      <c r="I151" s="145">
        <v>0</v>
      </c>
      <c r="J151" s="16"/>
      <c r="K151" s="16"/>
      <c r="L151" s="97" t="s">
        <v>469</v>
      </c>
      <c r="M151" s="103">
        <f t="shared" si="582"/>
        <v>0.6</v>
      </c>
      <c r="N151" s="103">
        <f t="shared" si="583"/>
        <v>0</v>
      </c>
      <c r="O151" s="53">
        <f t="shared" si="688"/>
        <v>0.08</v>
      </c>
      <c r="P151" s="99">
        <v>0.1</v>
      </c>
      <c r="Q151" s="133">
        <f t="shared" si="685"/>
        <v>0.1</v>
      </c>
      <c r="R151" s="406">
        <v>0.8</v>
      </c>
      <c r="S151" s="142" t="str">
        <f>各项系数!$D$43</f>
        <v>钢带</v>
      </c>
      <c r="T151" s="102">
        <v>0.2</v>
      </c>
      <c r="U151" s="62">
        <v>4</v>
      </c>
      <c r="V151" s="143"/>
      <c r="W151" s="141">
        <f t="shared" si="694"/>
        <v>1.2</v>
      </c>
      <c r="X151" s="135">
        <f t="shared" si="686"/>
        <v>0.2</v>
      </c>
      <c r="Y151" s="135"/>
      <c r="Z151" s="168"/>
      <c r="AA151" s="153">
        <v>1</v>
      </c>
      <c r="AB151" s="153">
        <f>PI()*EJ151*EJ151/4*EH151*(1-H151)*AA151*各项系数!$F$5*各项系数!$J$4*10^-7</f>
        <v>8.4545666936336993E-3</v>
      </c>
      <c r="AC151" s="153">
        <f t="shared" si="573"/>
        <v>110.31595161029</v>
      </c>
      <c r="AD151" s="153">
        <f t="shared" si="584"/>
        <v>0.95579886989884166</v>
      </c>
      <c r="AE151" s="153">
        <f>POWER(4*EU151/PI()/EG151/10^-7/EH151/(1-H151)/各项系数!$F$5/各项系数!$J$4,0.5)</f>
        <v>110.31595161028999</v>
      </c>
      <c r="AF151" s="69">
        <v>1</v>
      </c>
      <c r="AG151" s="69">
        <f>IF(EM151=0,0,PI()*ER151*ER151/4*EP151*(1-K151)*(1+AF151)*各项系数!$F$5*各项系数!$J$4*10^-7)</f>
        <v>0</v>
      </c>
      <c r="AH151" s="69">
        <f t="shared" si="574"/>
        <v>0</v>
      </c>
      <c r="AI151" s="69">
        <f t="shared" si="641"/>
        <v>0</v>
      </c>
      <c r="AJ151" s="69">
        <f>IF(OR(EP151="",EP151=0),0,POWER(4*EW151/PI()/EO151/10^-7/EP151/(1-K151)/各项系数!$F$5/各项系数!$J$4,0.5))</f>
        <v>0</v>
      </c>
      <c r="AK151" s="69" t="str">
        <f t="shared" si="585"/>
        <v>√</v>
      </c>
      <c r="AL151" s="69">
        <f t="shared" si="575"/>
        <v>3.7966603416161093</v>
      </c>
      <c r="AM151" s="188">
        <f t="shared" si="576"/>
        <v>1</v>
      </c>
      <c r="AN151" s="97" t="s">
        <v>486</v>
      </c>
      <c r="AO151" s="196">
        <f>AP151+各项系数!$M$9*$NK151</f>
        <v>3.7222160211922639</v>
      </c>
      <c r="AP151" s="196">
        <f>AQ151*(1+$BI151+(VLOOKUP($AM151,$A$12:$B$323,2,0))+各项系数!$J$6+各项系数!$M$5)*(1+$E$2)</f>
        <v>3.6877678623182568</v>
      </c>
      <c r="AQ151" s="197">
        <f>AR151+各项系数!$L$9*$NK151</f>
        <v>3.6182965682086508</v>
      </c>
      <c r="AR151" s="197">
        <f>AS151*(1+$BJ151+各项系数!$J$5+各项系数!$L$5)</f>
        <v>3.5838484093346437</v>
      </c>
      <c r="AS151" s="197">
        <f t="shared" si="642"/>
        <v>3.4460080858986957</v>
      </c>
      <c r="AT151" s="196">
        <f>AU151+各项系数!$M$9*$NM151</f>
        <v>4.0226651690230177</v>
      </c>
      <c r="AU151" s="196">
        <f>AV151*(1+$BI151+(VLOOKUP($AM151,$A$12:$B$323,2,0))+各项系数!$J$6+各项系数!$M$5)*(1+$E$2)</f>
        <v>3.9882170101490106</v>
      </c>
      <c r="AV151" s="197">
        <f>AW151+各项系数!$L$9*$NM151</f>
        <v>3.9130857634900025</v>
      </c>
      <c r="AW151" s="197">
        <f>AX151*(1+$BJ151+各项系数!$J$5+各项系数!$L$5)</f>
        <v>3.8786376046159954</v>
      </c>
      <c r="AX151" s="197">
        <f t="shared" si="643"/>
        <v>3.7294592352076879</v>
      </c>
      <c r="AY151" s="196">
        <f>AZ151+各项系数!$M$9*$NS151</f>
        <v>4.3841131902499901</v>
      </c>
      <c r="AZ151" s="196">
        <f>BA151*(1+$BI151+(VLOOKUP($AM151,$A$12:$B$214,2,0))+各项系数!$J$6+各项系数!$M$5)*(1+$E$2)</f>
        <v>4.3469518794142905</v>
      </c>
      <c r="BA151" s="197">
        <f>BB151+各项系数!$L$9*$NS151</f>
        <v>4.2650626760344297</v>
      </c>
      <c r="BB151" s="197">
        <f>BC151*(1+$BJ151+各项系数!$J$5+各项系数!$L$5)</f>
        <v>4.2279013651987301</v>
      </c>
      <c r="BC151" s="199">
        <f t="shared" si="644"/>
        <v>4.065289774229548</v>
      </c>
      <c r="BD151" s="196">
        <f>BE151+各项系数!$M$9*$NS151</f>
        <v>4.6908921385057951</v>
      </c>
      <c r="BE151" s="196">
        <f>BF151*(1+$BI151+(VLOOKUP($AM151,$A$12:$B$214,2,0))+各项系数!$J$6+各项系数!$M$5)*(1+$E$2)</f>
        <v>4.6537308276700955</v>
      </c>
      <c r="BF151" s="197">
        <f>BG151+各项系数!$L$9*$NS151</f>
        <v>4.5660624290326677</v>
      </c>
      <c r="BG151" s="197">
        <f>BH151*(1+$BJ151+各项系数!$J$5+各项系数!$L$5)</f>
        <v>4.5289011181969681</v>
      </c>
      <c r="BH151" s="199">
        <f t="shared" si="645"/>
        <v>4.3547126136509311</v>
      </c>
      <c r="BI151" s="213"/>
      <c r="BJ151" s="208">
        <f t="shared" si="695"/>
        <v>0.02</v>
      </c>
      <c r="BK151" s="102" t="s">
        <v>514</v>
      </c>
      <c r="BL151" s="196">
        <f>BM151+各项系数!$M$9*$NM151</f>
        <v>3.8021525075091138</v>
      </c>
      <c r="BM151" s="196">
        <f>BN151*(1+$CF151+(VLOOKUP($AM151,$A$12:$B$323,2,0))+各项系数!$J$6+各项系数!$M$5)*(1+$E$2)</f>
        <v>3.7677043486351067</v>
      </c>
      <c r="BN151" s="197">
        <f>BO151+各项系数!$L$9*$NM151</f>
        <v>3.6967271866513998</v>
      </c>
      <c r="BO151" s="197">
        <f>BP151*(1+$CG151+各项系数!$J$5+各项系数!$L$5)</f>
        <v>3.6622790277773927</v>
      </c>
      <c r="BP151" s="197">
        <f t="shared" si="646"/>
        <v>3.4878847883594215</v>
      </c>
      <c r="BQ151" s="196">
        <f>BR151+各项系数!$M$9*$NM151</f>
        <v>4.0606758175482547</v>
      </c>
      <c r="BR151" s="196">
        <f>BS151*(1+$CF151+(VLOOKUP($AM151,$A$12:$B$323,2,0))+各项系数!$J$6+各项系数!$M$5)*(1+$E$2)</f>
        <v>4.0262276586742471</v>
      </c>
      <c r="BS151" s="197">
        <f>BT151+各项系数!$L$9*$NM151</f>
        <v>3.9503803558420794</v>
      </c>
      <c r="BT151" s="197">
        <f>BU151*(1+$CG151+各项系数!$J$5+各项系数!$L$5)</f>
        <v>3.9159321969680723</v>
      </c>
      <c r="BU151" s="197">
        <f t="shared" si="647"/>
        <v>3.7294592352076879</v>
      </c>
      <c r="BV151" s="196">
        <f>BW151+各项系数!$M$9*$NT151</f>
        <v>4.4418527963597088</v>
      </c>
      <c r="BW151" s="196">
        <f>BX151*(1+$CF151+(VLOOKUP($AM151,$A$12:$B$214,2,0))+各项系数!$J$6+各项系数!$M$5)*(1+$E$2)</f>
        <v>4.4046914855240091</v>
      </c>
      <c r="BX151" s="197">
        <f>BY151+各项系数!$L$9*$NT$12</f>
        <v>4.3217145658595069</v>
      </c>
      <c r="BY151" s="197">
        <f>BZ151*(1+$CG151+各项系数!$J$5+各项系数!$L$5)</f>
        <v>4.3134511627045331</v>
      </c>
      <c r="BZ151" s="199">
        <f t="shared" si="586"/>
        <v>4.1080487263852694</v>
      </c>
      <c r="CA151" s="196">
        <f>CB151+各项系数!$M$9*$NT151</f>
        <v>4.7058226219559289</v>
      </c>
      <c r="CB151" s="196">
        <f>CC151*(1+$CF151+(VLOOKUP($AM151,$A$12:$B$214,2,0))+各项系数!$J$6+各项系数!$M$5)*(1+$E$2)</f>
        <v>4.6686613111202293</v>
      </c>
      <c r="CC151" s="197">
        <f>CD151+各项系数!$L$9*$NT$12</f>
        <v>4.5807116474884513</v>
      </c>
      <c r="CD151" s="197">
        <f>CE151*(1+$CG151+各项系数!$J$5+各项系数!$L$5)</f>
        <v>4.5724482443334775</v>
      </c>
      <c r="CE151" s="199">
        <f t="shared" si="648"/>
        <v>4.3547126136509311</v>
      </c>
      <c r="CF151" s="213">
        <f t="shared" si="514"/>
        <v>0</v>
      </c>
      <c r="CG151" s="213">
        <f t="shared" si="587"/>
        <v>0.03</v>
      </c>
      <c r="CH151" s="102"/>
      <c r="CI151" s="196">
        <f>CJ151+各项系数!$M$9*$NO151</f>
        <v>4.3008901099496457</v>
      </c>
      <c r="CJ151" s="196">
        <f>CK151*(1+$DC151+(VLOOKUP($AM151,$A$12:$B$323,2,0))+各项系数!$J$6+各项系数!$M$5)*(1+$E$2)+各项系数!$M$9*$NK151</f>
        <v>4.2398781939742163</v>
      </c>
      <c r="CK151" s="197">
        <f>CL151+各项系数!$L$9*$NO151</f>
        <v>4.1262068633243807</v>
      </c>
      <c r="CL151" s="197">
        <f>CM151*(1+$DD151+各项系数!$J$5+各项系数!$L$5)</f>
        <v>4.0651949473489513</v>
      </c>
      <c r="CM151" s="197">
        <f t="shared" si="588"/>
        <v>3.9088412955278375</v>
      </c>
      <c r="CN151" s="196">
        <f>CO151+各项系数!$M$9*$NO151</f>
        <v>4.502914041975095</v>
      </c>
      <c r="CO151" s="196">
        <f>CP151*(1+$DC151+(VLOOKUP($AM151,$A$12:$B$323,2,0))+各项系数!$J$6+各项系数!$M$5)*(1+$E$2)+各项系数!$M$9*$NK151</f>
        <v>4.4419021259996656</v>
      </c>
      <c r="CP151" s="197">
        <f>CQ151+各项系数!$L$9*$NO151</f>
        <v>4.3244250069914232</v>
      </c>
      <c r="CQ151" s="197">
        <f>CR151*(1+$DD151+各项系数!$J$5+各项系数!$L$5)</f>
        <v>4.2634130910159937</v>
      </c>
      <c r="CR151" s="197">
        <f t="shared" si="589"/>
        <v>4.0994356644384551</v>
      </c>
      <c r="CS151" s="196">
        <f>CT151+各项系数!$M$9*$NU151</f>
        <v>5.0980636683796741</v>
      </c>
      <c r="CT151" s="196">
        <f t="shared" si="590"/>
        <v>5.0336329202758812</v>
      </c>
      <c r="CU151" s="197">
        <f>CV151+各项系数!$L$9*$NU151</f>
        <v>4.9388078103177797</v>
      </c>
      <c r="CV151" s="197">
        <f>CW151*(1+$DD151+各项系数!$J$5+各项系数!$L$5)</f>
        <v>4.8743770622139868</v>
      </c>
      <c r="CW151" s="199">
        <f t="shared" si="591"/>
        <v>4.6869010213596027</v>
      </c>
      <c r="CX151" s="196">
        <f>CY151+各项系数!$M$9*$NU151</f>
        <v>5.471463766109137</v>
      </c>
      <c r="CY151" s="196">
        <f t="shared" si="592"/>
        <v>5.4070330180053441</v>
      </c>
      <c r="CZ151" s="197">
        <f>DA151+各项系数!$L$9*$NU151</f>
        <v>5.3051736832862479</v>
      </c>
      <c r="DA151" s="197">
        <f>DB151*(1+$DD151+各项系数!$J$5+各项系数!$L$5)</f>
        <v>5.240742935182455</v>
      </c>
      <c r="DB151" s="199">
        <f t="shared" si="593"/>
        <v>5.0391758992138991</v>
      </c>
      <c r="DC151" s="213">
        <f t="shared" si="571"/>
        <v>0</v>
      </c>
      <c r="DD151" s="213">
        <f t="shared" si="594"/>
        <v>0.02</v>
      </c>
      <c r="DE151" s="53" t="s">
        <v>498</v>
      </c>
      <c r="DF151" s="53" t="s">
        <v>513</v>
      </c>
      <c r="DG151" s="196">
        <f>DH151+各项系数!$M$9*$NQ151</f>
        <v>4.3954809535501482</v>
      </c>
      <c r="DH151" s="196">
        <f>DI151*(1+$EA151+(VLOOKUP($AM151,$A$12:$B$323,2,0))+各项系数!$J$6+各项系数!$M$5)*(1+$E$2)+各项系数!$M$9*$NK151</f>
        <v>4.3344690375747188</v>
      </c>
      <c r="DI151" s="197">
        <f>DJ151+各项系数!$L$9*$NQ151</f>
        <v>4.21901577580525</v>
      </c>
      <c r="DJ151" s="197">
        <f>DK151*(1+$EB151+各项系数!$J$5+各项系数!$L$5)</f>
        <v>4.1580038598298206</v>
      </c>
      <c r="DK151" s="197">
        <f t="shared" si="595"/>
        <v>3.9600036760284008</v>
      </c>
      <c r="DL151" s="196">
        <f>DM151+各项系数!$M$9*$NQ151</f>
        <v>4.7113288398275444</v>
      </c>
      <c r="DM151" s="196">
        <f>DN151*(1+$EA151+(VLOOKUP($AM151,$A$12:$B$323,2,0))+各项系数!$J$6+各项系数!$M$5)*(1+$E$2)+各项系数!$M$9*$NK151</f>
        <v>4.6503169238521149</v>
      </c>
      <c r="DN151" s="197">
        <f>DO151+各项系数!$L$9*$NQ151</f>
        <v>4.5289136234086609</v>
      </c>
      <c r="DO151" s="197">
        <f>DP151*(1+$EB151+各项系数!$J$5+各项系数!$L$5)</f>
        <v>4.4679017074332315</v>
      </c>
      <c r="DP151" s="197">
        <f t="shared" si="596"/>
        <v>4.2551444832697438</v>
      </c>
      <c r="DQ151" s="196">
        <f>DR151+各项系数!$M$9*$NV151</f>
        <v>5.2015286450394518</v>
      </c>
      <c r="DR151" s="196">
        <f t="shared" si="597"/>
        <v>5.1370978969356589</v>
      </c>
      <c r="DS151" s="197">
        <f>DT151+各项系数!$L$9*$NV151</f>
        <v>5.0403236822367132</v>
      </c>
      <c r="DT151" s="197">
        <f>DU151*(1+$EB151+各项系数!$J$5+各项系数!$L$5)</f>
        <v>4.9758929341329203</v>
      </c>
      <c r="DU151" s="199">
        <f t="shared" si="598"/>
        <v>4.738945651555162</v>
      </c>
      <c r="DV151" s="196">
        <f>DW151+各项系数!$M$9*$NV151</f>
        <v>5.2304364459105477</v>
      </c>
      <c r="DW151" s="196">
        <f t="shared" si="599"/>
        <v>5.1660056978067548</v>
      </c>
      <c r="DX151" s="197">
        <f>DY151+各项系数!$L$9*$NV151</f>
        <v>5.0686869091510545</v>
      </c>
      <c r="DY151" s="197">
        <f>DZ151*(1+$EB151+各项系数!$J$5+各项系数!$L$5)</f>
        <v>5.0042561610472616</v>
      </c>
      <c r="DZ151" s="199">
        <f t="shared" si="600"/>
        <v>4.7659582486164398</v>
      </c>
      <c r="EA151" s="213">
        <f t="shared" si="581"/>
        <v>0</v>
      </c>
      <c r="EB151" s="213">
        <f t="shared" si="601"/>
        <v>0.03</v>
      </c>
      <c r="EC151" s="235">
        <f t="shared" si="649"/>
        <v>5</v>
      </c>
      <c r="ED151" s="235" t="str">
        <f t="shared" si="680"/>
        <v>5*1</v>
      </c>
      <c r="EE151" s="189">
        <f t="shared" si="495"/>
        <v>1</v>
      </c>
      <c r="EF151" s="189">
        <f>LOOKUP(EH151,{1,7,10,14,19,24,30,37,48,61},{1,"1+6","2+8","4+10","1+6+12","2+8+14","4+10+16","1+6+12+18","3+9+15+21","1+6+12+18+24"})</f>
        <v>1</v>
      </c>
      <c r="EG151" s="188">
        <f t="shared" si="602"/>
        <v>5</v>
      </c>
      <c r="EH151" s="197">
        <f>VLOOKUP(EE151,各项系数!$B$87:$C$124,2,0)</f>
        <v>1</v>
      </c>
      <c r="EI151" s="188">
        <f>IF(EH151=0,0,VLOOKUP(EH151,各项系数!$D$142:$E$195,2,0))*1</f>
        <v>1</v>
      </c>
      <c r="EJ151" s="238">
        <f t="shared" si="650"/>
        <v>110.31595161029</v>
      </c>
      <c r="EK151" s="189">
        <f t="shared" si="689"/>
        <v>0</v>
      </c>
      <c r="EL151" s="189">
        <f t="shared" si="603"/>
        <v>0</v>
      </c>
      <c r="EM151" s="189">
        <f t="shared" si="690"/>
        <v>0</v>
      </c>
      <c r="EN151" s="189">
        <f>IF(EP151=0,0,LOOKUP(EP151,{1,7,10,14,19,24,30,37,48,61},{1,"1+6","2+8","4+10","1+6+12","2+8+14","4+10+16","1+6+12+18","3+9+15+21","1+6+12+18+24"}))</f>
        <v>0</v>
      </c>
      <c r="EO151" s="189">
        <f t="shared" si="691"/>
        <v>0</v>
      </c>
      <c r="EP151" s="189">
        <f>IF(EM151=0,0,IF(EM151&lt;10,1,IF(AND(EM151&gt;=10,EM151&lt;=35),7,LOOKUP(EM151,{50,70,95,120,150,185,240,300},{10,14,19,24,30,37,48,61})*1)))</f>
        <v>0</v>
      </c>
      <c r="EQ151" s="189">
        <f>IF(EP151=0,0,VLOOKUP(EP151,各项系数!$D$142:$E$195,2,0))*1</f>
        <v>0</v>
      </c>
      <c r="ER151" s="53">
        <f t="shared" si="577"/>
        <v>0</v>
      </c>
      <c r="ES151" s="412">
        <f t="shared" si="692"/>
        <v>5</v>
      </c>
      <c r="ET151" s="189">
        <f>VLOOKUP(ES151,各项系数!$D$142:$E$195,2,0)*1</f>
        <v>2.7</v>
      </c>
      <c r="EU151" s="243">
        <f>((各项系数!$F$76/4*$EJ151^2*$EG151*$EH151*1*10^-7)*(1-$H151)*AA151)*(VLOOKUP($EY$9,各项系数!$D$4:$F$143,3,0))*各项系数!$J$4</f>
        <v>4.22728334681685E-2</v>
      </c>
      <c r="EV151" s="244">
        <f>EU151*(VLOOKUP($EY$9,各项系数!$D$4:$F$143,2,0))</f>
        <v>2.7688705921650367</v>
      </c>
      <c r="EW151" s="252">
        <f>(IF($EO151=0,0,(各项系数!$F$76/4*$ER151^2*$EO151*$EP151*1*10^-7))*(1-$K151)*$AF151)*(VLOOKUP($EY$9,各项系数!$D$4:$F$143,3,0))*各项系数!$J$4</f>
        <v>0</v>
      </c>
      <c r="EX151" s="253">
        <f>EW151*(VLOOKUP($EY$9,各项系数!$D$4:$F$143,2,0))</f>
        <v>0</v>
      </c>
      <c r="EY151" s="189">
        <f>((各项系数!$F$76/4*$EJ151^2*$EG151*$EH151*1*10^-7)*(1-$H151)*AA151+IF($EO151=0,0,(各项系数!$F$76/4*$ER151^2*$EO151*$EP151*1*10^-7))*(1-$K151)*$AF151)*(VLOOKUP($EY$9,各项系数!$D$4:$F$143,3,0))*各项系数!$J$4</f>
        <v>4.22728334681685E-2</v>
      </c>
      <c r="EZ151" s="102">
        <v>1</v>
      </c>
      <c r="FA151" s="189">
        <f t="shared" si="515"/>
        <v>4.22728334681685E-2</v>
      </c>
      <c r="FB151" s="254">
        <f>FA151*(VLOOKUP($EY$9,各项系数!$D$4:$F$143,2,0))</f>
        <v>2.7688705921650367</v>
      </c>
      <c r="FC151" s="255"/>
      <c r="FD151" s="235">
        <f>各项系数!$F$76/4*($MN151^2-MK151^2)*10^-2*(VLOOKUP(L151,各项系数!$D$1:$F$143,3,0))*10^-3*10^2*$EG151*各项系数!$J$4</f>
        <v>1.7568804886854875E-2</v>
      </c>
      <c r="FE151" s="262">
        <f>FD151*VLOOKUP(L151,各项系数!$D$1:$F$143,2,0)</f>
        <v>0.20204125619883107</v>
      </c>
      <c r="FF151" s="188">
        <f>各项系数!$F$76/4*($MO151^2-ML151^2)*10^-2*(VLOOKUP(L151,各项系数!$D$1:$F$143,3,0))*10^-3*10^2*$EO151*各项系数!$J$4</f>
        <v>0</v>
      </c>
      <c r="FG151" s="262">
        <f>FF151*VLOOKUP(L151,各项系数!$D$1:$F$143,2,0)</f>
        <v>0</v>
      </c>
      <c r="FH151" s="235">
        <f t="shared" si="651"/>
        <v>1.7568804886854875E-2</v>
      </c>
      <c r="FI151" s="102">
        <v>1</v>
      </c>
      <c r="FJ151" s="189">
        <f t="shared" si="516"/>
        <v>1.7568804886854875E-2</v>
      </c>
      <c r="FK151" s="262">
        <f>FJ151*VLOOKUP(L151,各项系数!$D$1:$F$143,2,0)</f>
        <v>0.20204125619883107</v>
      </c>
      <c r="FL151" s="235"/>
      <c r="FM151" s="102"/>
      <c r="FN151" s="189"/>
      <c r="FO151" s="262"/>
      <c r="FP151" s="282">
        <f t="shared" si="517"/>
        <v>1.7568804886854875E-2</v>
      </c>
      <c r="FQ151" s="282">
        <f t="shared" si="518"/>
        <v>0.20204125619883107</v>
      </c>
      <c r="FR151" s="283">
        <f>各项系数!$F$76/4*($MQ151^2-$MN151^2*$EG151-$MO151^2*$EO151)*10^-2</f>
        <v>9.5405497294195535E-2</v>
      </c>
      <c r="FS151" s="284">
        <f t="shared" si="652"/>
        <v>1</v>
      </c>
      <c r="FT151" s="285">
        <f t="shared" si="604"/>
        <v>9.5405497294195535E-2</v>
      </c>
      <c r="FU151" s="302">
        <f>$FT151*(VLOOKUP($FT$9,各项系数!$D$1:$F$143,3,0))*10^-3*10^2*各项系数!$J$55</f>
        <v>1.1391416376926944E-2</v>
      </c>
      <c r="FV151" s="303">
        <v>1</v>
      </c>
      <c r="FW151" s="304">
        <f t="shared" si="519"/>
        <v>1.1391416376926944E-2</v>
      </c>
      <c r="FX151" s="285">
        <f>FW151*(VLOOKUP($FT$9,各项系数!$D$1:$F$143,2,0))</f>
        <v>3.4174249130780834E-2</v>
      </c>
      <c r="FY151" s="302">
        <f>IF($BK151&lt;&gt;$FY$9,0,各项系数!$F$76/4*($MS151^2-$MQ151^2)*10^-2*(VLOOKUP($FY$9,各项系数!$D$1:$F$143,3,0))*10^-3*10^2)*各项系数!$J$4</f>
        <v>0</v>
      </c>
      <c r="FZ151" s="303">
        <v>1</v>
      </c>
      <c r="GA151" s="304">
        <f t="shared" si="520"/>
        <v>0</v>
      </c>
      <c r="GB151" s="285">
        <f>GA151*(VLOOKUP($FY$9,各项系数!$D$1:$F$143,2,0))</f>
        <v>0</v>
      </c>
      <c r="GC151" s="302">
        <f>IF($BK151&lt;&gt;$GC$9,0,各项系数!$F$76/4*($MS151^2-$MQ151^2)*10^-2*(VLOOKUP($GC$9,各项系数!$D$1:$F$143,3,0))*10^-3*10^2)*各项系数!$J$4</f>
        <v>1.7174390540149024E-3</v>
      </c>
      <c r="GD151" s="303">
        <v>1</v>
      </c>
      <c r="GE151" s="304">
        <f t="shared" si="521"/>
        <v>1.7174390540149024E-3</v>
      </c>
      <c r="GF151" s="285">
        <f>GE151*(VLOOKUP($GC$9,各项系数!$D$1:$F$143,2,0))</f>
        <v>2.2154963796792243E-2</v>
      </c>
      <c r="GG151" s="302">
        <f>IF($BK151&lt;&gt;$GG$9,0,各项系数!$F$76/4*($MS151^2-$MQ151^2)*10^-2*(VLOOKUP($GG$9,各项系数!$D$1:$F$143,3,0))*10^-3*10^2)*各项系数!$J$4</f>
        <v>0</v>
      </c>
      <c r="GH151" s="303">
        <v>1</v>
      </c>
      <c r="GI151" s="304">
        <f t="shared" si="522"/>
        <v>0</v>
      </c>
      <c r="GJ151" s="285">
        <f>GI151*(VLOOKUP($GG$9,各项系数!$D$1:$F$143,2,0))</f>
        <v>0</v>
      </c>
      <c r="GK151" s="302">
        <f>IF($BK151&lt;&gt;$GK$9,0,各项系数!$F$76/4*($MS151^2-$MQ151^2)*10^-2*(VLOOKUP($GK$9,各项系数!$D$1:$F$143,3,0))*10^-3*10^2)*各项系数!$J$4</f>
        <v>0</v>
      </c>
      <c r="GL151" s="303">
        <v>1</v>
      </c>
      <c r="GM151" s="304">
        <f t="shared" si="523"/>
        <v>0</v>
      </c>
      <c r="GN151" s="285">
        <f>GM151*(VLOOKUP($GK$9,各项系数!$D$1:$F$143,2,0))</f>
        <v>0</v>
      </c>
      <c r="GO151" s="304">
        <f t="shared" si="524"/>
        <v>1.7174390540149024E-3</v>
      </c>
      <c r="GP151" s="304">
        <f t="shared" si="525"/>
        <v>2.2154963796792243E-2</v>
      </c>
      <c r="GQ151" s="315">
        <f>各项系数!$F$76/4*($MU151^2-$MS151^2)*10^-2*(VLOOKUP($S151,各项系数!$D$1:$F$143,3,0))*10^-3*10^2*各项系数!$J$4</f>
        <v>0.10258634045479691</v>
      </c>
      <c r="GR151" s="303">
        <v>1</v>
      </c>
      <c r="GS151" s="304">
        <f t="shared" si="526"/>
        <v>0.10258634045479691</v>
      </c>
      <c r="GT151" s="304">
        <f t="shared" si="696"/>
        <v>1</v>
      </c>
      <c r="GU151" s="304">
        <f>ROUND($GS151*(VLOOKUP($S151,各项系数!$D$1:$F$143,2,0))+$E$3*GS151,GT151)</f>
        <v>0.6</v>
      </c>
      <c r="GV151" s="315">
        <f>各项系数!$F$76/4*($MT151^2-$MS151^2)*10^-2*(VLOOKUP($GV$9,各项系数!$D$1:$F$143,3,0))*10^-3*10^2*各项系数!$J$4*PI()/4*R151</f>
        <v>9.0438398723094449E-3</v>
      </c>
      <c r="GW151" s="303">
        <v>1</v>
      </c>
      <c r="GX151" s="304">
        <f t="shared" si="527"/>
        <v>9.0438398723094449E-3</v>
      </c>
      <c r="GY151" s="304">
        <f>$GX151*(VLOOKUP($GV$9,各项系数!$D$1:$F$143,2,0))</f>
        <v>0.61045919138088756</v>
      </c>
      <c r="GZ151" s="315">
        <f>各项系数!$F$76/4*($MV151^2-$MS151^2)*10^-2*(VLOOKUP($GZ$9,各项系数!$D$1:$F$143,3,0))*10^-3*10^2*各项系数!$J$4</f>
        <v>4.1306951406838065E-2</v>
      </c>
      <c r="HA151" s="303">
        <v>1</v>
      </c>
      <c r="HB151" s="304">
        <f t="shared" si="653"/>
        <v>4.1306951406838065E-2</v>
      </c>
      <c r="HC151" s="304">
        <f>HB151*(VLOOKUP($GZ$9,各项系数!$D$1:$F$143,2,0))</f>
        <v>0.70221817391624708</v>
      </c>
      <c r="HD151" s="315">
        <f>各项系数!$F$76/4*($MW151^2-$MT151^2)*10^-2*(VLOOKUP($HD$9,各项系数!$D$1:$F$143,3,0))*10^-3*10^2*各项系数!$J$4</f>
        <v>4.2177197704623665E-2</v>
      </c>
      <c r="HE151" s="303">
        <v>1</v>
      </c>
      <c r="HF151" s="304">
        <f t="shared" si="654"/>
        <v>4.2177197704623665E-2</v>
      </c>
      <c r="HG151" s="304">
        <f>HF151*(VLOOKUP($HD$9,各项系数!$D$1:$F$143,2,0))</f>
        <v>0.71701236097860233</v>
      </c>
      <c r="HH151" s="315">
        <f>各项系数!$F$76/4*($MV151^2-$MS151^2)*10^-2*(VLOOKUP($HH$9,各项系数!$D$1:$F$143,3,0))*10^-3*10^2*各项系数!$J$4</f>
        <v>4.1306951406838065E-2</v>
      </c>
      <c r="HI151" s="322">
        <v>1</v>
      </c>
      <c r="HJ151" s="304">
        <f t="shared" si="655"/>
        <v>4.1306951406838065E-2</v>
      </c>
      <c r="HK151" s="304">
        <f>HJ151*(VLOOKUP($HH$9,各项系数!$D$1:$F$143,2,0))</f>
        <v>0.70221817391624708</v>
      </c>
      <c r="HL151" s="315">
        <f>各项系数!$F$76/4*($MW151^2-$MT151^2)*10^-2*(VLOOKUP($HL$9,各项系数!$D$1:$F$143,3,0))*10^-3*10^2*各项系数!$J$4</f>
        <v>4.2177197704623665E-2</v>
      </c>
      <c r="HM151" s="322">
        <v>1</v>
      </c>
      <c r="HN151" s="304">
        <f t="shared" si="605"/>
        <v>4.2177197704623665E-2</v>
      </c>
      <c r="HO151" s="304">
        <f>HN151*(VLOOKUP($HL$9,各项系数!$D$1:$F$143,2,0))</f>
        <v>0.71701236097860233</v>
      </c>
      <c r="HP151" s="315">
        <f>各项系数!$F$76/4*($MV151^2-$MS151^2)*10^-2*(VLOOKUP(AN151,各项系数!$D$1:$F$143,3,0))*10^-3*10^2*各项系数!$J$4</f>
        <v>4.1876702460725494E-2</v>
      </c>
      <c r="HQ151" s="303">
        <v>1</v>
      </c>
      <c r="HR151" s="304">
        <f t="shared" si="528"/>
        <v>4.1876702460725494E-2</v>
      </c>
      <c r="HS151" s="304">
        <f>HR151*(VLOOKUP(AN151,各项系数!$D$1:$F$143,2,0))</f>
        <v>0.41876702460725496</v>
      </c>
      <c r="HT151" s="315">
        <f>各项系数!$F$76/4*($MW151^2-$MT151^2)*10^-2*(VLOOKUP(AN151,各项系数!$D$1:$F$143,3,0))*10^-3*10^2*各项系数!$J$4</f>
        <v>4.2758952155721917E-2</v>
      </c>
      <c r="HU151" s="303">
        <v>1</v>
      </c>
      <c r="HV151" s="304">
        <f t="shared" si="529"/>
        <v>4.2758952155721917E-2</v>
      </c>
      <c r="HW151" s="304">
        <f>HV151*(VLOOKUP(AN151,各项系数!$D$1:$F$143,2,0))</f>
        <v>0.42758952155721919</v>
      </c>
      <c r="HX151" s="315">
        <f>各项系数!$F$76/4*($MV151^2-$MS151^2)*10^-2*(VLOOKUP($HX$9,各项系数!$D$1:$F$143,3,0))*10^-3*10^2*各项系数!$J$4</f>
        <v>4.1876702460725494E-2</v>
      </c>
      <c r="HY151" s="322">
        <v>1</v>
      </c>
      <c r="HZ151" s="304">
        <f t="shared" si="530"/>
        <v>4.1876702460725494E-2</v>
      </c>
      <c r="IA151" s="304">
        <f>HZ151*(VLOOKUP($HX$9,各项系数!$D$1:$F$143,2,0))</f>
        <v>0.46064372706798046</v>
      </c>
      <c r="IB151" s="315">
        <f>各项系数!$F$76/4*($MW151^2-$MT151^2)*10^-2*(VLOOKUP($IB$9,各项系数!$D$1:$F$143,3,0))*10^-3*10^2*各项系数!$J$4</f>
        <v>4.2758952155721917E-2</v>
      </c>
      <c r="IC151" s="322">
        <v>1</v>
      </c>
      <c r="ID151" s="304">
        <f t="shared" si="531"/>
        <v>4.2758952155721917E-2</v>
      </c>
      <c r="IE151" s="304">
        <f>ID151*(VLOOKUP($IB$9,各项系数!$D$1:$F$143,2,0))</f>
        <v>0.47034847371294108</v>
      </c>
      <c r="IF151" s="328"/>
      <c r="IG151" s="315">
        <f t="shared" si="656"/>
        <v>9.868758438706533E-3</v>
      </c>
      <c r="IH151" s="303">
        <v>1</v>
      </c>
      <c r="II151" s="304">
        <f t="shared" si="532"/>
        <v>9.868758438706533E-3</v>
      </c>
      <c r="IJ151" s="304">
        <f>II151*(VLOOKUP($IG$8,各项系数!$D$1:$F$143,2,0))</f>
        <v>0.24671896096766333</v>
      </c>
      <c r="IK151" s="315">
        <f>(各项系数!$F$76/4*($MX151^2-$MK151^2)*$EG151)*10^-2*(VLOOKUP($IG$8,各项系数!$D$1:$F$143,3,0))*10^-3*10^2*各项系数!$J$4</f>
        <v>9.868758438706533E-3</v>
      </c>
      <c r="IL151" s="303">
        <f>IK151*(VLOOKUP($IG$8,各项系数!$D$1:$F$143,2,0))</f>
        <v>0.24671896096766333</v>
      </c>
      <c r="IM151" s="304">
        <f>(各项系数!$F$76/4*(($MM151+3*$X151)^2-MM151^2)*$EO151)*10^-2*(VLOOKUP($IG$8,各项系数!$D$1:$F$143,3,0))*10^-3*10^2*各项系数!$J$4</f>
        <v>0</v>
      </c>
      <c r="IN151" s="303">
        <f>IM151*(VLOOKUP($IG$8,各项系数!$D$1:$F$143,2,0))</f>
        <v>0</v>
      </c>
      <c r="IO151" s="315">
        <f>各项系数!$F$76/4*($MZ151^2-$MX151^2)*10^-2*(VLOOKUP(L151,各项系数!$D$1:$F$143,3,0))*10^-3*10^2*$ES151*各项系数!$J$4</f>
        <v>2.3758056573692125E-2</v>
      </c>
      <c r="IP151" s="303">
        <v>1</v>
      </c>
      <c r="IQ151" s="304">
        <f t="shared" si="533"/>
        <v>2.3758056573692125E-2</v>
      </c>
      <c r="IR151" s="285">
        <f>IQ151*(VLOOKUP(L151,各项系数!$D$1:$F$143,2,0))</f>
        <v>0.27321765059745945</v>
      </c>
      <c r="IS151" s="315">
        <f>IF($L151&lt;&gt;$IS$9,0,各项系数!$F$76/4*($MZ151^2-$MX151^2)*10^-2*各项系数!$F$12*10^-3*10^2)*$ES151*各项系数!$J$4</f>
        <v>0</v>
      </c>
      <c r="IT151" s="303">
        <v>1</v>
      </c>
      <c r="IU151" s="304">
        <f t="shared" si="534"/>
        <v>0</v>
      </c>
      <c r="IV151" s="285">
        <f>IU151*各项系数!$E$12</f>
        <v>0</v>
      </c>
      <c r="IW151" s="302">
        <f t="shared" si="535"/>
        <v>2.3758056573692125E-2</v>
      </c>
      <c r="IX151" s="302">
        <f t="shared" si="536"/>
        <v>0.27321765059745945</v>
      </c>
      <c r="IY151" s="339">
        <f>各项系数!$F$76/4*($NB151^2-$MZ151^2*$EG151-$NA151^2*$EO151)*10^-2</f>
        <v>0.15158881627434823</v>
      </c>
      <c r="IZ151" s="284">
        <f t="shared" si="697"/>
        <v>1</v>
      </c>
      <c r="JA151" s="285">
        <f t="shared" si="606"/>
        <v>0.15158881627434823</v>
      </c>
      <c r="JB151" s="282">
        <f>IF($DE151&lt;&gt;$JB$9,0,$JA151*各项系数!$F$32*10^-3*10^2)*各项系数!$J$4</f>
        <v>0</v>
      </c>
      <c r="JC151" s="102">
        <v>1</v>
      </c>
      <c r="JD151" s="189">
        <f t="shared" si="537"/>
        <v>0</v>
      </c>
      <c r="JE151" s="262">
        <f>JD151*各项系数!$E$32</f>
        <v>0</v>
      </c>
      <c r="JF151" s="282">
        <f>IF($DE151&lt;&gt;$JF$9,0,$JA151*VLOOKUP($JF$9,各项系数!$D$4:$F$540,2,0)*10^-3*10^2)*各项系数!$J$4</f>
        <v>7.5415436096488236E-2</v>
      </c>
      <c r="JG151" s="102">
        <v>1</v>
      </c>
      <c r="JH151" s="189">
        <f t="shared" si="607"/>
        <v>7.5415436096488236E-2</v>
      </c>
      <c r="JI151" s="262">
        <f>JH151*VLOOKUP($JF$9,各项系数!$D$4:$F$540,3,0)</f>
        <v>9.0498523315785881E-2</v>
      </c>
      <c r="JJ151" s="282">
        <f t="shared" si="538"/>
        <v>7.5415436096488236E-2</v>
      </c>
      <c r="JK151" s="189">
        <f t="shared" si="539"/>
        <v>9.0498523315785881E-2</v>
      </c>
      <c r="JL151" s="282">
        <f>IF($DF151&lt;&gt;$JL$9,0,各项系数!$F$76/4*($NE151^2-$NC151^2)*10^-2*各项系数!$F$39*10^-3*10^2)*各项系数!$J$4</f>
        <v>8.9558817381311191E-4</v>
      </c>
      <c r="JM151" s="102">
        <v>1</v>
      </c>
      <c r="JN151" s="189">
        <f t="shared" si="540"/>
        <v>8.9558817381311191E-4</v>
      </c>
      <c r="JO151" s="262">
        <f>JN151*各项系数!$E$39</f>
        <v>1.7911763476262239E-2</v>
      </c>
      <c r="JP151" s="282">
        <f>IF($DF151&lt;&gt;$JP$9,0,各项系数!$F$76/4*($NE151^2-$NC151^2)*10^-2*各项系数!$F$36*10^-3*10^2)*各项系数!$J$4</f>
        <v>0</v>
      </c>
      <c r="JQ151" s="102">
        <v>1</v>
      </c>
      <c r="JR151" s="189">
        <f t="shared" si="541"/>
        <v>0</v>
      </c>
      <c r="JS151" s="262">
        <f>JR151*各项系数!$E$36</f>
        <v>0</v>
      </c>
      <c r="JT151" s="282">
        <f>IF($DF151&lt;&gt;$JT$9,0,各项系数!$F$76/4*($NE151^2-$NC151^2)*10^-2*各项系数!$F$40*10^-3*10^2)*各项系数!$J$4</f>
        <v>0</v>
      </c>
      <c r="JU151" s="102">
        <v>1</v>
      </c>
      <c r="JV151" s="189">
        <f t="shared" si="542"/>
        <v>0</v>
      </c>
      <c r="JW151" s="262">
        <f>JV151*各项系数!$E$40</f>
        <v>0</v>
      </c>
      <c r="JX151" s="282">
        <f>IF($DF151&lt;&gt;$JX$9,0,各项系数!$F$76/4*($NE151^2-$NC151^2)*10^-2*各项系数!$F$38*10^-3*10^2)*各项系数!$J$4</f>
        <v>0</v>
      </c>
      <c r="JY151" s="102">
        <v>1</v>
      </c>
      <c r="JZ151" s="189">
        <f t="shared" si="543"/>
        <v>0</v>
      </c>
      <c r="KA151" s="262">
        <f>JZ151*各项系数!$E$38</f>
        <v>0</v>
      </c>
      <c r="KB151" s="282">
        <f>IF($DF151&lt;&gt;$KB$9,0,各项系数!$F$76/4*($NE151^2-$NC151^2)*10^-2*各项系数!$F$41*10^-3*10^2)*各项系数!$J$4</f>
        <v>0</v>
      </c>
      <c r="KC151" s="102">
        <v>1</v>
      </c>
      <c r="KD151" s="189">
        <f t="shared" si="544"/>
        <v>0</v>
      </c>
      <c r="KE151" s="262">
        <f>KD151*各项系数!$E$41</f>
        <v>0</v>
      </c>
      <c r="KF151" s="189">
        <f t="shared" si="545"/>
        <v>8.9558817381311191E-4</v>
      </c>
      <c r="KG151" s="189">
        <f t="shared" si="546"/>
        <v>1.7911763476262239E-2</v>
      </c>
      <c r="KH151" s="235">
        <f>各项系数!$F$76/4*($NG151^2-$NE151^2)*10^-2*各项系数!$F$44*10^-3*10^2*各项系数!$J$4*0.75*$U151</f>
        <v>0.38185494204962495</v>
      </c>
      <c r="KI151" s="102">
        <v>1</v>
      </c>
      <c r="KJ151" s="189">
        <f t="shared" si="547"/>
        <v>0.38185494204962495</v>
      </c>
      <c r="KK151" s="189">
        <f>ROUND(KJ151*各项系数!$E$43,GT151)</f>
        <v>2.2000000000000002</v>
      </c>
      <c r="KL151" s="235">
        <f>各项系数!$F$76/4*($NF151^2-$NE151^2)*10^-2*各项系数!$F$46*10^-3*10^2*各项系数!$J$4*PI()/4*R151</f>
        <v>1.1396107094545188E-2</v>
      </c>
      <c r="KM151" s="102">
        <v>1</v>
      </c>
      <c r="KN151" s="189">
        <f t="shared" si="548"/>
        <v>1.1396107094545188E-2</v>
      </c>
      <c r="KO151" s="189">
        <f>KN151*各项系数!$E$46</f>
        <v>0.76923722888180024</v>
      </c>
      <c r="KP151" s="235">
        <f>各项系数!$F$76/4*($NH151^2-$NE151^2)*10^-2*(VLOOKUP($KP$9,各项系数!$D$1:$F$143,3,0))*10^-3*10^2*各项系数!$J$4</f>
        <v>5.0466293691031519E-2</v>
      </c>
      <c r="KQ151" s="102">
        <v>1</v>
      </c>
      <c r="KR151" s="189">
        <f t="shared" si="657"/>
        <v>5.0466293691031519E-2</v>
      </c>
      <c r="KS151" s="189">
        <f>KR151*(VLOOKUP($KP$9,各项系数!$D$1:$F$143,2,0))</f>
        <v>0.85792699274753581</v>
      </c>
      <c r="KT151" s="235">
        <f>各项系数!$F$76/4*($NI151^2-$NF151^2)*10^-2*(VLOOKUP($KT$9,各项系数!$D$1:$F$143,3,0))*10^-3*10^2*各项系数!$J$4</f>
        <v>5.1336539988817126E-2</v>
      </c>
      <c r="KU151" s="102">
        <v>1</v>
      </c>
      <c r="KV151" s="189">
        <f t="shared" si="658"/>
        <v>5.1336539988817126E-2</v>
      </c>
      <c r="KW151" s="189">
        <f>KV151*(VLOOKUP($KT$9,各项系数!$D$1:$F$143,2,0))</f>
        <v>0.87272117980989117</v>
      </c>
      <c r="KX151" s="189">
        <f>各项系数!$F$76/4*($NH151^2-$NE151^2)*10^-2*(VLOOKUP($KX$9,各项系数!$D$1:$F$143,3,0))*10^-3*10^2*各项系数!$J$4</f>
        <v>5.0466293691031519E-2</v>
      </c>
      <c r="KY151" s="353">
        <v>1</v>
      </c>
      <c r="KZ151" s="189">
        <f t="shared" si="659"/>
        <v>5.0466293691031519E-2</v>
      </c>
      <c r="LA151" s="189">
        <f>KZ151*(VLOOKUP($KX$9,各项系数!$D$1:$F$143,2,0))</f>
        <v>0.85792699274753581</v>
      </c>
      <c r="LB151" s="189">
        <f>各项系数!$F$76/4*($NI151^2-$NF151^2)*10^-2*(VLOOKUP($LB$9,各项系数!$D$1:$F$143,3,0))*10^-3*10^2*各项系数!$J$4</f>
        <v>5.1336539988817126E-2</v>
      </c>
      <c r="LC151" s="353">
        <v>1</v>
      </c>
      <c r="LD151" s="189">
        <f t="shared" si="660"/>
        <v>5.1336539988817126E-2</v>
      </c>
      <c r="LE151" s="189">
        <f>LD151*(VLOOKUP($LB$9,各项系数!$D$1:$F$143,2,0))</f>
        <v>0.87272117980989117</v>
      </c>
      <c r="LF151" s="235">
        <f>各项系数!$F$76/4*($NH151^2-$NE151^2)*10^-2*(VLOOKUP(AN151,各项系数!$D$1:$F$143,3,0))*10^-3*10^2*各项系数!$J$4</f>
        <v>5.1162380500562994E-2</v>
      </c>
      <c r="LG151" s="102">
        <v>1</v>
      </c>
      <c r="LH151" s="189">
        <f t="shared" si="549"/>
        <v>5.1162380500562994E-2</v>
      </c>
      <c r="LI151" s="189">
        <f>LH151*(VLOOKUP(AN151,各项系数!$D$1:$F$143,2,0))</f>
        <v>0.51162380500562998</v>
      </c>
      <c r="LJ151" s="235">
        <f>各项系数!$F$76/4*($NI151^2-$NF151^2)*10^-2*(VLOOKUP(AN151,各项系数!$D$1:$F$143,3,0))*10^-3*10^2*各项系数!$J$4</f>
        <v>5.2044630195559431E-2</v>
      </c>
      <c r="LK151" s="102">
        <v>1</v>
      </c>
      <c r="LL151" s="189">
        <f t="shared" si="550"/>
        <v>5.2044630195559431E-2</v>
      </c>
      <c r="LM151" s="189">
        <f>LL151*(VLOOKUP(AN151,各项系数!$D$1:$F$143,2,0))</f>
        <v>0.52044630195559427</v>
      </c>
      <c r="LN151" s="189">
        <f>各项系数!$F$76/4*($NH151^2-$NE151^2)*10^-2*(VLOOKUP($LN$9,各项系数!$D$1:$F$143,3,0))*10^-3*10^2*各项系数!$J$4</f>
        <v>5.1162380500562994E-2</v>
      </c>
      <c r="LO151" s="353">
        <v>1</v>
      </c>
      <c r="LP151" s="189">
        <f t="shared" si="551"/>
        <v>5.1162380500562994E-2</v>
      </c>
      <c r="LQ151" s="189">
        <f>LP151*(VLOOKUP($LN$9,各项系数!$D$1:$F$143,2,0))</f>
        <v>0.56278618550619297</v>
      </c>
      <c r="LR151" s="189">
        <f>各项系数!$F$76/4*($NI151^2-$NF151^2)*10^-2*(VLOOKUP($LR$9,各项系数!$D$1:$F$143,3,0))*10^-3*10^2*各项系数!$J$4</f>
        <v>5.2044630195559431E-2</v>
      </c>
      <c r="LS151" s="353">
        <v>1</v>
      </c>
      <c r="LT151" s="189">
        <f t="shared" si="552"/>
        <v>5.2044630195559431E-2</v>
      </c>
      <c r="LU151" s="189">
        <f>LT151*(VLOOKUP($LR$9,各项系数!$D$1:$F$143,2,0))</f>
        <v>0.57249093215115376</v>
      </c>
      <c r="LV151" s="227">
        <f t="shared" si="661"/>
        <v>4.7789943800000003</v>
      </c>
      <c r="LW151" s="227">
        <f t="shared" si="662"/>
        <v>4.7789943800000003</v>
      </c>
      <c r="LX151" s="227">
        <f t="shared" si="663"/>
        <v>2.4667396759048374</v>
      </c>
      <c r="LY151" s="227">
        <f t="shared" si="664"/>
        <v>0</v>
      </c>
      <c r="LZ151" s="374">
        <f t="shared" si="608"/>
        <v>1</v>
      </c>
      <c r="MA151" s="375">
        <f t="shared" si="609"/>
        <v>4.7789943800000003</v>
      </c>
      <c r="MB151" s="375">
        <f t="shared" si="665"/>
        <v>1.1031595199999999</v>
      </c>
      <c r="MC151" s="227">
        <f t="shared" si="666"/>
        <v>0</v>
      </c>
      <c r="MD151" s="227">
        <f t="shared" si="667"/>
        <v>0</v>
      </c>
      <c r="ME151" s="227">
        <f t="shared" si="668"/>
        <v>0</v>
      </c>
      <c r="MF151" s="227">
        <f t="shared" si="669"/>
        <v>0</v>
      </c>
      <c r="MG151" s="374">
        <f t="shared" si="670"/>
        <v>1</v>
      </c>
      <c r="MH151" s="375">
        <f t="shared" si="610"/>
        <v>0</v>
      </c>
      <c r="MI151" s="375">
        <f t="shared" si="671"/>
        <v>0</v>
      </c>
      <c r="MJ151" s="189">
        <f t="shared" si="611"/>
        <v>1.1031595199999999</v>
      </c>
      <c r="MK151" s="189">
        <f t="shared" si="672"/>
        <v>1.1031595199999999</v>
      </c>
      <c r="ML151" s="189">
        <f t="shared" si="553"/>
        <v>0</v>
      </c>
      <c r="MM151" s="189">
        <f t="shared" si="612"/>
        <v>0</v>
      </c>
      <c r="MN151" s="189">
        <f t="shared" si="613"/>
        <v>2.3031595199999999</v>
      </c>
      <c r="MO151" s="189">
        <f t="shared" si="673"/>
        <v>0</v>
      </c>
      <c r="MP151" s="189">
        <f t="shared" si="674"/>
        <v>6.2185306999999996</v>
      </c>
      <c r="MQ151" s="189">
        <f t="shared" si="554"/>
        <v>6.2185306999999996</v>
      </c>
      <c r="MR151" s="246">
        <f t="shared" si="675"/>
        <v>6.2185306999999996</v>
      </c>
      <c r="MS151" s="380">
        <f t="shared" si="614"/>
        <v>6.3945306999999998</v>
      </c>
      <c r="MT151" s="380">
        <f t="shared" si="615"/>
        <v>6.5545306999999999</v>
      </c>
      <c r="MU151" s="380">
        <f t="shared" si="616"/>
        <v>7.5945307</v>
      </c>
      <c r="MV151" s="380">
        <f t="shared" si="617"/>
        <v>8.7945306999999993</v>
      </c>
      <c r="MW151" s="380">
        <f t="shared" si="618"/>
        <v>8.9545306999999994</v>
      </c>
      <c r="MX151" s="254">
        <f t="shared" si="619"/>
        <v>1.70315952</v>
      </c>
      <c r="MY151" s="254">
        <f t="shared" si="620"/>
        <v>0</v>
      </c>
      <c r="MZ151" s="189">
        <f t="shared" si="621"/>
        <v>2.90315952</v>
      </c>
      <c r="NA151" s="189">
        <f t="shared" si="622"/>
        <v>0</v>
      </c>
      <c r="NB151" s="189">
        <f t="shared" si="676"/>
        <v>7.8385306999999997</v>
      </c>
      <c r="NC151" s="254">
        <f t="shared" si="555"/>
        <v>7.8385306999999997</v>
      </c>
      <c r="ND151" s="246">
        <f t="shared" si="677"/>
        <v>7.8385306999999997</v>
      </c>
      <c r="NE151" s="386">
        <f t="shared" si="678"/>
        <v>8.0785307</v>
      </c>
      <c r="NF151" s="380">
        <f t="shared" si="623"/>
        <v>8.2385307000000001</v>
      </c>
      <c r="NG151" s="387">
        <f t="shared" si="624"/>
        <v>9.278530700000001</v>
      </c>
      <c r="NH151" s="254">
        <f t="shared" si="625"/>
        <v>10.4785307</v>
      </c>
      <c r="NI151" s="380">
        <f t="shared" si="626"/>
        <v>10.6385307</v>
      </c>
      <c r="NK151" s="388">
        <f t="shared" si="627"/>
        <v>0.11482719624669072</v>
      </c>
      <c r="NL151" s="388">
        <f t="shared" si="628"/>
        <v>3.4460080858986957</v>
      </c>
      <c r="NM151" s="388">
        <f t="shared" si="629"/>
        <v>0.11482719624669072</v>
      </c>
      <c r="NN151" s="388">
        <f t="shared" si="630"/>
        <v>3.4878847883594215</v>
      </c>
      <c r="NO151" s="388">
        <f t="shared" si="631"/>
        <v>0.20337305325143146</v>
      </c>
      <c r="NP151" s="388">
        <f t="shared" si="632"/>
        <v>3.9088412955278375</v>
      </c>
      <c r="NQ151" s="388">
        <f t="shared" si="633"/>
        <v>0.20337305325143146</v>
      </c>
      <c r="NR151" s="388">
        <f t="shared" si="634"/>
        <v>3.9600036760284008</v>
      </c>
      <c r="NS151" s="388">
        <f t="shared" si="635"/>
        <v>0.12387103611900016</v>
      </c>
      <c r="NT151" s="388">
        <f t="shared" si="636"/>
        <v>0.12387103611900016</v>
      </c>
      <c r="NU151" s="388">
        <f t="shared" si="637"/>
        <v>0.21476916034597665</v>
      </c>
      <c r="NV151" s="388">
        <f t="shared" si="638"/>
        <v>0.21476916034597665</v>
      </c>
      <c r="NW151">
        <f t="shared" si="639"/>
        <v>0.21741353670148761</v>
      </c>
      <c r="NX151">
        <f>各项系数!$M$9*NK151</f>
        <v>3.4448158874007213E-2</v>
      </c>
      <c r="NY151">
        <f t="shared" si="640"/>
        <v>0.12387103611900016</v>
      </c>
    </row>
    <row r="152" spans="1:389" ht="15" hidden="1" customHeight="1">
      <c r="A152" s="69"/>
      <c r="B152" s="70"/>
      <c r="C152" s="69"/>
      <c r="D152" s="102" t="s">
        <v>211</v>
      </c>
      <c r="E152" s="61">
        <f t="shared" si="687"/>
        <v>9.4854785600000007</v>
      </c>
      <c r="F152" s="405">
        <f t="shared" si="693"/>
        <v>110.31595161029</v>
      </c>
      <c r="G152" s="62"/>
      <c r="H152" s="16"/>
      <c r="I152" s="145">
        <v>0</v>
      </c>
      <c r="J152" s="16"/>
      <c r="K152" s="16"/>
      <c r="L152" s="97" t="s">
        <v>469</v>
      </c>
      <c r="M152" s="103">
        <f t="shared" si="582"/>
        <v>0.6</v>
      </c>
      <c r="N152" s="103">
        <f t="shared" si="583"/>
        <v>0</v>
      </c>
      <c r="O152" s="53">
        <f t="shared" si="688"/>
        <v>0.08</v>
      </c>
      <c r="P152" s="99">
        <v>0.1</v>
      </c>
      <c r="Q152" s="133">
        <f t="shared" si="685"/>
        <v>0.1</v>
      </c>
      <c r="R152" s="406">
        <v>0.8</v>
      </c>
      <c r="S152" s="142" t="str">
        <f>各项系数!$D$43</f>
        <v>钢带</v>
      </c>
      <c r="T152" s="102">
        <v>0.2</v>
      </c>
      <c r="U152" s="62">
        <v>4</v>
      </c>
      <c r="V152" s="143"/>
      <c r="W152" s="141">
        <f t="shared" si="694"/>
        <v>1.2</v>
      </c>
      <c r="X152" s="135">
        <f t="shared" si="686"/>
        <v>0.2</v>
      </c>
      <c r="Y152" s="135"/>
      <c r="Z152" s="168"/>
      <c r="AA152" s="153">
        <v>1</v>
      </c>
      <c r="AB152" s="153">
        <f>PI()*EJ152*EJ152/4*EH152*(1-H152)*AA152*各项系数!$F$5*各项系数!$J$4*10^-7</f>
        <v>8.4545666936336993E-3</v>
      </c>
      <c r="AC152" s="153">
        <f t="shared" si="573"/>
        <v>110.31595161029</v>
      </c>
      <c r="AD152" s="153">
        <f t="shared" si="584"/>
        <v>0.95579886989884189</v>
      </c>
      <c r="AE152" s="153">
        <f>POWER(4*EU152/PI()/EG152/10^-7/EH152/(1-H152)/各项系数!$F$5/各项系数!$J$4,0.5)</f>
        <v>110.31595161029</v>
      </c>
      <c r="AF152" s="69">
        <v>1</v>
      </c>
      <c r="AG152" s="69">
        <f>IF(EM152=0,0,PI()*ER152*ER152/4*EP152*(1-K152)*(1+AF152)*各项系数!$F$5*各项系数!$J$4*10^-7)</f>
        <v>0</v>
      </c>
      <c r="AH152" s="69">
        <f t="shared" si="574"/>
        <v>0</v>
      </c>
      <c r="AI152" s="69">
        <f t="shared" si="641"/>
        <v>0</v>
      </c>
      <c r="AJ152" s="69">
        <f>IF(OR(EP152="",EP152=0),0,POWER(4*EW152/PI()/EO152/10^-7/EP152/(1-K152)/各项系数!$F$5/各项系数!$J$4,0.5))</f>
        <v>0</v>
      </c>
      <c r="AK152" s="69" t="str">
        <f t="shared" si="585"/>
        <v>√</v>
      </c>
      <c r="AL152" s="69">
        <f t="shared" si="575"/>
        <v>4.5063899676581869</v>
      </c>
      <c r="AM152" s="188">
        <f t="shared" si="576"/>
        <v>1</v>
      </c>
      <c r="AN152" s="97" t="s">
        <v>486</v>
      </c>
      <c r="AO152" s="196">
        <f>AP152+各项系数!$M$9*$NK152</f>
        <v>4.418029380057046</v>
      </c>
      <c r="AP152" s="196">
        <f>AQ152*(1+$BI152+(VLOOKUP($AM152,$A$12:$B$323,2,0))+各项系数!$J$6+各项系数!$M$5)*(1+$E$2)</f>
        <v>4.3777317442549295</v>
      </c>
      <c r="AQ152" s="197">
        <f>AR152+各项系数!$L$9*$NK152</f>
        <v>4.2952627004071129</v>
      </c>
      <c r="AR152" s="197">
        <f>AS152*(1+$BJ152+各项系数!$J$5+各项系数!$L$5)</f>
        <v>4.2549650646049963</v>
      </c>
      <c r="AS152" s="197">
        <f t="shared" si="642"/>
        <v>4.0913125621201889</v>
      </c>
      <c r="AT152" s="196">
        <f>AU152+各项系数!$M$9*$NM152</f>
        <v>4.7458132907497736</v>
      </c>
      <c r="AU152" s="196">
        <f>AV152*(1+$BI152+(VLOOKUP($AM152,$A$12:$B$323,2,0))+各项系数!$J$6+各项系数!$M$5)*(1+$E$2)</f>
        <v>4.7055156549476571</v>
      </c>
      <c r="AV152" s="197">
        <f>AW152+各项系数!$L$9*$NM152</f>
        <v>4.6168717179627725</v>
      </c>
      <c r="AW152" s="197">
        <f>AX152*(1+$BJ152+各项系数!$J$5+各项系数!$L$5)</f>
        <v>4.576574082160656</v>
      </c>
      <c r="AX152" s="197">
        <f t="shared" si="643"/>
        <v>4.4005520020775535</v>
      </c>
      <c r="AY152" s="196">
        <f>AZ152+各项系数!$M$9*$NS152</f>
        <v>5.1495647993524516</v>
      </c>
      <c r="AZ152" s="196">
        <f>BA152*(1+$BI152+(VLOOKUP($AM152,$A$12:$B$214,2,0))+各项系数!$J$6+各项系数!$M$5)*(1+$E$2)</f>
        <v>5.1062644699015847</v>
      </c>
      <c r="BA152" s="197">
        <f>BB152+各项系数!$L$9*$NS152</f>
        <v>5.0100711046915078</v>
      </c>
      <c r="BB152" s="197">
        <f>BC152*(1+$BJ152+各项系数!$J$5+各项系数!$L$5)</f>
        <v>4.9667707752406409</v>
      </c>
      <c r="BC152" s="199">
        <f t="shared" si="644"/>
        <v>4.7757411300390773</v>
      </c>
      <c r="BD152" s="196">
        <f>BE152+各项系数!$M$9*$NS152</f>
        <v>5.4836785104702299</v>
      </c>
      <c r="BE152" s="196">
        <f>BF152*(1+$BI152+(VLOOKUP($AM152,$A$12:$B$214,2,0))+各项系数!$J$6+各项系数!$M$5)*(1+$E$2)</f>
        <v>5.440378181019363</v>
      </c>
      <c r="BF152" s="197">
        <f>BG152+各项系数!$L$9*$NS152</f>
        <v>5.3378906799640529</v>
      </c>
      <c r="BG152" s="197">
        <f>BH152*(1+$BJ152+各项系数!$J$5+各项系数!$L$5)</f>
        <v>5.2945903505131859</v>
      </c>
      <c r="BH152" s="199">
        <f t="shared" si="645"/>
        <v>5.0909522601088328</v>
      </c>
      <c r="BI152" s="213"/>
      <c r="BJ152" s="208">
        <f t="shared" si="695"/>
        <v>0.02</v>
      </c>
      <c r="BK152" s="102" t="s">
        <v>514</v>
      </c>
      <c r="BL152" s="196">
        <f>BM152+各项系数!$M$9*$NM152</f>
        <v>4.5086200425369301</v>
      </c>
      <c r="BM152" s="196">
        <f>BN152*(1+$CF152+(VLOOKUP($AM152,$A$12:$B$323,2,0))+各项系数!$J$6+各项系数!$M$5)*(1+$E$2)</f>
        <v>4.4683224067348135</v>
      </c>
      <c r="BN152" s="197">
        <f>BO152+各项系数!$L$9*$NM152</f>
        <v>4.3841467883975804</v>
      </c>
      <c r="BO152" s="197">
        <f>BP152*(1+$CG152+各项系数!$J$5+各项系数!$L$5)</f>
        <v>4.3438491525954639</v>
      </c>
      <c r="BP152" s="197">
        <f t="shared" si="646"/>
        <v>4.1369991929480605</v>
      </c>
      <c r="BQ152" s="196">
        <f>BR152+各项系数!$M$9*$NM152</f>
        <v>4.7906637167549491</v>
      </c>
      <c r="BR152" s="196">
        <f>BS152*(1+$CF152+(VLOOKUP($AM152,$A$12:$B$323,2,0))+各项系数!$J$6+各项系数!$M$5)*(1+$E$2)</f>
        <v>4.7503660809528325</v>
      </c>
      <c r="BS152" s="197">
        <f>BT152+各项系数!$L$9*$NM152</f>
        <v>4.6608772379835477</v>
      </c>
      <c r="BT152" s="197">
        <f>BU152*(1+$CG152+各项系数!$J$5+各项系数!$L$5)</f>
        <v>4.6205796021814312</v>
      </c>
      <c r="BU152" s="197">
        <f t="shared" si="647"/>
        <v>4.4005520020775535</v>
      </c>
      <c r="BV152" s="196">
        <f>BW152+各项系数!$M$9*$NT152</f>
        <v>5.2123656708493895</v>
      </c>
      <c r="BW152" s="196">
        <f>BX152*(1+$CF152+(VLOOKUP($AM152,$A$12:$B$214,2,0))+各项系数!$J$6+各项系数!$M$5)*(1+$E$2)</f>
        <v>5.1690653413985226</v>
      </c>
      <c r="BX152" s="197">
        <f>BY152+各项系数!$L$9*$NT$12</f>
        <v>5.0716889142450174</v>
      </c>
      <c r="BY152" s="197">
        <f>BZ152*(1+$CG152+各项系数!$J$5+各项系数!$L$5)</f>
        <v>5.0634255110900437</v>
      </c>
      <c r="BZ152" s="199">
        <f t="shared" si="586"/>
        <v>4.8223100105619459</v>
      </c>
      <c r="CA152" s="196">
        <f>CB152+各项系数!$M$9*$NT152</f>
        <v>5.4998558606244856</v>
      </c>
      <c r="CB152" s="196">
        <f>CC152*(1+$CF152+(VLOOKUP($AM152,$A$12:$B$214,2,0))+各项系数!$J$6+各项系数!$M$5)*(1+$E$2)</f>
        <v>5.4565555311736187</v>
      </c>
      <c r="CC152" s="197">
        <f>CD152+各项系数!$L$9*$NT$12</f>
        <v>5.3537632762692482</v>
      </c>
      <c r="CD152" s="197">
        <f>CE152*(1+$CG152+各项系数!$J$5+各项系数!$L$5)</f>
        <v>5.3454998731142744</v>
      </c>
      <c r="CE152" s="199">
        <f t="shared" si="648"/>
        <v>5.0909522601088328</v>
      </c>
      <c r="CF152" s="213">
        <f t="shared" si="514"/>
        <v>0</v>
      </c>
      <c r="CG152" s="213">
        <f t="shared" si="587"/>
        <v>0.03</v>
      </c>
      <c r="CH152" s="102"/>
      <c r="CI152" s="196">
        <f>CJ152+各项系数!$M$9*$NO152</f>
        <v>5.1129968696438306</v>
      </c>
      <c r="CJ152" s="196">
        <f>CK152*(1+$DC152+(VLOOKUP($AM152,$A$12:$B$323,2,0))+各项系数!$J$6+各项系数!$M$5)*(1+$E$2)+各项系数!$M$9*$NK152</f>
        <v>5.0389462105370635</v>
      </c>
      <c r="CK152" s="197">
        <f>CL152+各项系数!$L$9*$NO152</f>
        <v>4.9044825105327181</v>
      </c>
      <c r="CL152" s="197">
        <f>CM152*(1+$DD152+各项系数!$J$5+各项系数!$L$5)</f>
        <v>4.830431851425951</v>
      </c>
      <c r="CM152" s="197">
        <f t="shared" si="588"/>
        <v>4.6446460109864915</v>
      </c>
      <c r="CN152" s="196">
        <f>CO152+各项系数!$M$9*$NO152</f>
        <v>5.3318350545283133</v>
      </c>
      <c r="CO152" s="196">
        <f>CP152*(1+$DC152+(VLOOKUP($AM152,$A$12:$B$323,2,0))+各项系数!$J$6+各项系数!$M$5)*(1+$E$2)+各项系数!$M$9*$NK152</f>
        <v>5.2577843954215462</v>
      </c>
      <c r="CP152" s="197">
        <f>CQ152+各项系数!$L$9*$NO152</f>
        <v>5.1191981550426107</v>
      </c>
      <c r="CQ152" s="197">
        <f>CR152*(1+$DD152+各项系数!$J$5+各项系数!$L$5)</f>
        <v>5.0451474959358436</v>
      </c>
      <c r="CR152" s="197">
        <f t="shared" si="589"/>
        <v>4.8511033614767722</v>
      </c>
      <c r="CS152" s="196">
        <f>CT152+各项系数!$M$9*$NU152</f>
        <v>5.9921007801746002</v>
      </c>
      <c r="CT152" s="196">
        <f t="shared" si="590"/>
        <v>5.9142663182559749</v>
      </c>
      <c r="CU152" s="197">
        <f>CV152+各项系数!$L$9*$NU152</f>
        <v>5.8028515681475419</v>
      </c>
      <c r="CV152" s="197">
        <f>CW152*(1+$DD152+各项系数!$J$5+各项系数!$L$5)</f>
        <v>5.7250171062289166</v>
      </c>
      <c r="CW152" s="199">
        <f t="shared" si="591"/>
        <v>5.5048241406047271</v>
      </c>
      <c r="CX152" s="196">
        <f>CY152+各项系数!$M$9*$NU152</f>
        <v>6.3999566662442193</v>
      </c>
      <c r="CY152" s="196">
        <f t="shared" si="592"/>
        <v>6.322122204325594</v>
      </c>
      <c r="CZ152" s="197">
        <f>DA152+各项系数!$L$9*$NU152</f>
        <v>6.2030241408218156</v>
      </c>
      <c r="DA152" s="197">
        <f>DB152*(1+$DD152+各项系数!$J$5+各项系数!$L$5)</f>
        <v>6.1251896789031903</v>
      </c>
      <c r="DB152" s="199">
        <f t="shared" si="593"/>
        <v>5.8896054604838364</v>
      </c>
      <c r="DC152" s="213">
        <f t="shared" ref="DC152:DC170" si="698">BI152+$DC$2</f>
        <v>0</v>
      </c>
      <c r="DD152" s="213">
        <f t="shared" si="594"/>
        <v>0.02</v>
      </c>
      <c r="DE152" s="53" t="s">
        <v>498</v>
      </c>
      <c r="DF152" s="53" t="s">
        <v>513</v>
      </c>
      <c r="DG152" s="196">
        <f>DH152+各项系数!$M$9*$NQ152</f>
        <v>5.2202264347209697</v>
      </c>
      <c r="DH152" s="196">
        <f>DI152*(1+$EA152+(VLOOKUP($AM152,$A$12:$B$323,2,0))+各项系数!$J$6+各项系数!$M$5)*(1+$E$2)+各项系数!$M$9*$NK152</f>
        <v>5.1461757756142026</v>
      </c>
      <c r="DI152" s="197">
        <f>DJ152+各项系数!$L$9*$NQ152</f>
        <v>5.0096920524058932</v>
      </c>
      <c r="DJ152" s="197">
        <f>DK152*(1+$EB152+各项系数!$J$5+各项系数!$L$5)</f>
        <v>4.9356413932991261</v>
      </c>
      <c r="DK152" s="197">
        <f t="shared" si="595"/>
        <v>4.7006108507610724</v>
      </c>
      <c r="DL152" s="196">
        <f>DM152+各项系数!$M$9*$NQ152</f>
        <v>5.5657220151789568</v>
      </c>
      <c r="DM152" s="196">
        <f>DN152*(1+$EA152+(VLOOKUP($AM152,$A$12:$B$323,2,0))+各项系数!$J$6+各项系数!$M$5)*(1+$E$2)+各项系数!$M$9*$NK152</f>
        <v>5.4916713560721897</v>
      </c>
      <c r="DN152" s="197">
        <f>DO152+各项系数!$L$9*$NQ152</f>
        <v>5.3486790818976386</v>
      </c>
      <c r="DO152" s="197">
        <f>DP152*(1+$EB152+各项系数!$J$5+各项系数!$L$5)</f>
        <v>5.2746284227908715</v>
      </c>
      <c r="DP152" s="197">
        <f t="shared" si="596"/>
        <v>5.0234556407532107</v>
      </c>
      <c r="DQ152" s="196">
        <f>DR152+各项系数!$M$9*$NV152</f>
        <v>6.1090414290824055</v>
      </c>
      <c r="DR152" s="196">
        <f t="shared" si="597"/>
        <v>6.0312069671637802</v>
      </c>
      <c r="DS152" s="197">
        <f>DT152+各项系数!$L$9*$NV152</f>
        <v>5.9175892534966446</v>
      </c>
      <c r="DT152" s="197">
        <f>DU152*(1+$EB152+各项系数!$J$5+各项系数!$L$5)</f>
        <v>5.8397547915780192</v>
      </c>
      <c r="DU152" s="199">
        <f t="shared" si="598"/>
        <v>5.5616712300743041</v>
      </c>
      <c r="DV152" s="196">
        <f>DW152+各项系数!$M$9*$NV152</f>
        <v>6.1091196039414184</v>
      </c>
      <c r="DW152" s="196">
        <f t="shared" si="599"/>
        <v>6.0312851420227931</v>
      </c>
      <c r="DX152" s="197">
        <f>DY152+各项系数!$L$9*$NV152</f>
        <v>5.9176659556738551</v>
      </c>
      <c r="DY152" s="197">
        <f>DZ152*(1+$EB152+各项系数!$J$5+各项系数!$L$5)</f>
        <v>5.8398314937552298</v>
      </c>
      <c r="DZ152" s="199">
        <f t="shared" si="600"/>
        <v>5.5617442797668852</v>
      </c>
      <c r="EA152" s="213">
        <f t="shared" ref="EA152:EA168" si="699">BI152+$EA$2</f>
        <v>0</v>
      </c>
      <c r="EB152" s="213">
        <f t="shared" si="601"/>
        <v>0.03</v>
      </c>
      <c r="EC152" s="235">
        <f t="shared" si="649"/>
        <v>6</v>
      </c>
      <c r="ED152" s="235" t="str">
        <f t="shared" si="680"/>
        <v>6*1</v>
      </c>
      <c r="EE152" s="189">
        <f t="shared" si="495"/>
        <v>1</v>
      </c>
      <c r="EF152" s="189">
        <f>LOOKUP(EH152,{1,7,10,14,19,24,30,37,48,61},{1,"1+6","2+8","4+10","1+6+12","2+8+14","4+10+16","1+6+12+18","3+9+15+21","1+6+12+18+24"})</f>
        <v>1</v>
      </c>
      <c r="EG152" s="188">
        <f t="shared" si="602"/>
        <v>6</v>
      </c>
      <c r="EH152" s="197">
        <f>VLOOKUP(EE152,各项系数!$B$87:$C$124,2,0)</f>
        <v>1</v>
      </c>
      <c r="EI152" s="188">
        <f>IF(EH152=0,0,VLOOKUP(EH152,各项系数!$D$142:$E$195,2,0))*1</f>
        <v>1</v>
      </c>
      <c r="EJ152" s="238">
        <f t="shared" si="650"/>
        <v>110.31595161029</v>
      </c>
      <c r="EK152" s="189">
        <f t="shared" si="689"/>
        <v>0</v>
      </c>
      <c r="EL152" s="189">
        <f t="shared" si="603"/>
        <v>0</v>
      </c>
      <c r="EM152" s="189">
        <f t="shared" si="690"/>
        <v>0</v>
      </c>
      <c r="EN152" s="189">
        <f>IF(EP152=0,0,LOOKUP(EP152,{1,7,10,14,19,24,30,37,48,61},{1,"1+6","2+8","4+10","1+6+12","2+8+14","4+10+16","1+6+12+18","3+9+15+21","1+6+12+18+24"}))</f>
        <v>0</v>
      </c>
      <c r="EO152" s="189">
        <f t="shared" si="691"/>
        <v>0</v>
      </c>
      <c r="EP152" s="189">
        <f>IF(EM152=0,0,IF(EM152&lt;10,1,IF(AND(EM152&gt;=10,EM152&lt;=35),7,LOOKUP(EM152,{50,70,95,120,150,185,240,300},{10,14,19,24,30,37,48,61})*1)))</f>
        <v>0</v>
      </c>
      <c r="EQ152" s="189">
        <f>IF(EP152=0,0,VLOOKUP(EP152,各项系数!$D$142:$E$195,2,0))*1</f>
        <v>0</v>
      </c>
      <c r="ER152" s="53">
        <f t="shared" si="577"/>
        <v>0</v>
      </c>
      <c r="ES152" s="412">
        <f t="shared" si="692"/>
        <v>6</v>
      </c>
      <c r="ET152" s="189">
        <f>VLOOKUP(ES152,各项系数!$D$142:$E$195,2,0)*1</f>
        <v>3</v>
      </c>
      <c r="EU152" s="243">
        <f>((各项系数!$F$76/4*$EJ152^2*$EG152*$EH152*1*10^-7)*(1-$H152)*AA152)*(VLOOKUP($EY$9,各项系数!$D$4:$F$143,3,0))*各项系数!$J$4</f>
        <v>5.0727400161802202E-2</v>
      </c>
      <c r="EV152" s="244">
        <f>EU152*(VLOOKUP($EY$9,各项系数!$D$4:$F$143,2,0))</f>
        <v>3.3226447105980443</v>
      </c>
      <c r="EW152" s="252">
        <f>(IF($EO152=0,0,(各项系数!$F$76/4*$ER152^2*$EO152*$EP152*1*10^-7))*(1-$K152)*$AF152)*(VLOOKUP($EY$9,各项系数!$D$4:$F$143,3,0))*各项系数!$J$4</f>
        <v>0</v>
      </c>
      <c r="EX152" s="253">
        <f>EW152*(VLOOKUP($EY$9,各项系数!$D$4:$F$143,2,0))</f>
        <v>0</v>
      </c>
      <c r="EY152" s="189">
        <f>((各项系数!$F$76/4*$EJ152^2*$EG152*$EH152*1*10^-7)*(1-$H152)*AA152+IF($EO152=0,0,(各项系数!$F$76/4*$ER152^2*$EO152*$EP152*1*10^-7))*(1-$K152)*$AF152)*(VLOOKUP($EY$9,各项系数!$D$4:$F$143,3,0))*各项系数!$J$4</f>
        <v>5.0727400161802202E-2</v>
      </c>
      <c r="EZ152" s="102">
        <v>1</v>
      </c>
      <c r="FA152" s="189">
        <f t="shared" si="515"/>
        <v>5.0727400161802202E-2</v>
      </c>
      <c r="FB152" s="254">
        <f>FA152*(VLOOKUP($EY$9,各项系数!$D$4:$F$143,2,0))</f>
        <v>3.3226447105980443</v>
      </c>
      <c r="FC152" s="255"/>
      <c r="FD152" s="235">
        <f>各项系数!$F$76/4*($MN152^2-MK152^2)*10^-2*(VLOOKUP(L152,各项系数!$D$1:$F$143,3,0))*10^-3*10^2*$EG152*各项系数!$J$4</f>
        <v>2.1082565864225848E-2</v>
      </c>
      <c r="FE152" s="262">
        <f>FD152*VLOOKUP(L152,各项系数!$D$1:$F$143,2,0)</f>
        <v>0.24244950743859725</v>
      </c>
      <c r="FF152" s="188">
        <f>各项系数!$F$76/4*($MO152^2-ML152^2)*10^-2*(VLOOKUP(L152,各项系数!$D$1:$F$143,3,0))*10^-3*10^2*$EO152*各项系数!$J$4</f>
        <v>0</v>
      </c>
      <c r="FG152" s="262">
        <f>FF152*VLOOKUP(L152,各项系数!$D$1:$F$143,2,0)</f>
        <v>0</v>
      </c>
      <c r="FH152" s="235">
        <f t="shared" si="651"/>
        <v>2.1082565864225848E-2</v>
      </c>
      <c r="FI152" s="102">
        <v>1</v>
      </c>
      <c r="FJ152" s="189">
        <f t="shared" si="516"/>
        <v>2.1082565864225848E-2</v>
      </c>
      <c r="FK152" s="262">
        <f>FJ152*VLOOKUP(L152,各项系数!$D$1:$F$143,2,0)</f>
        <v>0.24244950743859725</v>
      </c>
      <c r="FL152" s="235"/>
      <c r="FM152" s="102"/>
      <c r="FN152" s="189"/>
      <c r="FO152" s="262"/>
      <c r="FP152" s="282">
        <f t="shared" si="517"/>
        <v>2.1082565864225848E-2</v>
      </c>
      <c r="FQ152" s="282">
        <f t="shared" si="518"/>
        <v>0.24244950743859725</v>
      </c>
      <c r="FR152" s="283">
        <f>各项系数!$F$76/4*($MQ152^2-$MN152^2*$EG152-$MO152^2*$EO152)*10^-2</f>
        <v>0.12498536814618</v>
      </c>
      <c r="FS152" s="284">
        <f t="shared" si="652"/>
        <v>1</v>
      </c>
      <c r="FT152" s="285">
        <f t="shared" si="604"/>
        <v>0.12498536814618</v>
      </c>
      <c r="FU152" s="302">
        <f>$FT152*(VLOOKUP($FT$9,各项系数!$D$1:$F$143,3,0))*10^-3*10^2*各项系数!$J$55</f>
        <v>1.4923252956653893E-2</v>
      </c>
      <c r="FV152" s="303">
        <v>1</v>
      </c>
      <c r="FW152" s="304">
        <f t="shared" si="519"/>
        <v>1.4923252956653893E-2</v>
      </c>
      <c r="FX152" s="285">
        <f>FW152*(VLOOKUP($FT$9,各项系数!$D$1:$F$143,2,0))</f>
        <v>4.4769758869961679E-2</v>
      </c>
      <c r="FY152" s="302">
        <f>IF($BK152&lt;&gt;$FY$9,0,各项系数!$F$76/4*($MS152^2-$MQ152^2)*10^-2*(VLOOKUP($FY$9,各项系数!$D$1:$F$143,3,0))*10^-3*10^2)*各项系数!$J$4</f>
        <v>0</v>
      </c>
      <c r="FZ152" s="303">
        <v>1</v>
      </c>
      <c r="GA152" s="304">
        <f t="shared" si="520"/>
        <v>0</v>
      </c>
      <c r="GB152" s="285">
        <f>GA152*(VLOOKUP($FY$9,各项系数!$D$1:$F$143,2,0))</f>
        <v>0</v>
      </c>
      <c r="GC152" s="302">
        <f>IF($BK152&lt;&gt;$GC$9,0,各项系数!$F$76/4*($MS152^2-$MQ152^2)*10^-2*(VLOOKUP($GC$9,各项系数!$D$1:$F$143,3,0))*10^-3*10^2)*各项系数!$J$4</f>
        <v>1.9056028631678535E-3</v>
      </c>
      <c r="GD152" s="303">
        <v>1</v>
      </c>
      <c r="GE152" s="304">
        <f t="shared" si="521"/>
        <v>1.9056028631678535E-3</v>
      </c>
      <c r="GF152" s="285">
        <f>GE152*(VLOOKUP($GC$9,各项系数!$D$1:$F$143,2,0))</f>
        <v>2.458227693486531E-2</v>
      </c>
      <c r="GG152" s="302">
        <f>IF($BK152&lt;&gt;$GG$9,0,各项系数!$F$76/4*($MS152^2-$MQ152^2)*10^-2*(VLOOKUP($GG$9,各项系数!$D$1:$F$143,3,0))*10^-3*10^2)*各项系数!$J$4</f>
        <v>0</v>
      </c>
      <c r="GH152" s="303">
        <v>1</v>
      </c>
      <c r="GI152" s="304">
        <f t="shared" si="522"/>
        <v>0</v>
      </c>
      <c r="GJ152" s="285">
        <f>GI152*(VLOOKUP($GG$9,各项系数!$D$1:$F$143,2,0))</f>
        <v>0</v>
      </c>
      <c r="GK152" s="302">
        <f>IF($BK152&lt;&gt;$GK$9,0,各项系数!$F$76/4*($MS152^2-$MQ152^2)*10^-2*(VLOOKUP($GK$9,各项系数!$D$1:$F$143,3,0))*10^-3*10^2)*各项系数!$J$4</f>
        <v>0</v>
      </c>
      <c r="GL152" s="303">
        <v>1</v>
      </c>
      <c r="GM152" s="304">
        <f t="shared" si="523"/>
        <v>0</v>
      </c>
      <c r="GN152" s="285">
        <f>GM152*(VLOOKUP($GK$9,各项系数!$D$1:$F$143,2,0))</f>
        <v>0</v>
      </c>
      <c r="GO152" s="304">
        <f t="shared" si="524"/>
        <v>1.9056028631678535E-3</v>
      </c>
      <c r="GP152" s="304">
        <f t="shared" si="525"/>
        <v>2.458227693486531E-2</v>
      </c>
      <c r="GQ152" s="315">
        <f>各项系数!$F$76/4*($MU152^2-$MS152^2)*10^-2*(VLOOKUP($S152,各项系数!$D$1:$F$143,3,0))*10^-3*10^2*各项系数!$J$4</f>
        <v>0.11272023155380571</v>
      </c>
      <c r="GR152" s="303">
        <v>1</v>
      </c>
      <c r="GS152" s="304">
        <f t="shared" si="526"/>
        <v>0.11272023155380571</v>
      </c>
      <c r="GT152" s="304">
        <f t="shared" si="696"/>
        <v>1</v>
      </c>
      <c r="GU152" s="304">
        <f>ROUND($GS152*(VLOOKUP($S152,各项系数!$D$1:$F$143,2,0))+$E$3*GS152,GT152)</f>
        <v>0.7</v>
      </c>
      <c r="GV152" s="315">
        <f>各项系数!$F$76/4*($MT152^2-$MS152^2)*10^-2*(VLOOKUP($GV$9,各项系数!$D$1:$F$143,3,0))*10^-3*10^2*各项系数!$J$4*PI()/4*R152</f>
        <v>1.0008978829169254E-2</v>
      </c>
      <c r="GW152" s="303">
        <v>1</v>
      </c>
      <c r="GX152" s="304">
        <f t="shared" si="527"/>
        <v>1.0008978829169254E-2</v>
      </c>
      <c r="GY152" s="304">
        <f>$GX152*(VLOOKUP($GV$9,各项系数!$D$1:$F$143,2,0))</f>
        <v>0.67560607096892467</v>
      </c>
      <c r="GZ152" s="315">
        <f>各项系数!$F$76/4*($MV152^2-$MS152^2)*10^-2*(VLOOKUP($GZ$9,各项系数!$D$1:$F$143,3,0))*10^-3*10^2*各项系数!$J$4</f>
        <v>4.5065044013887355E-2</v>
      </c>
      <c r="HA152" s="303">
        <v>1</v>
      </c>
      <c r="HB152" s="304">
        <f t="shared" si="653"/>
        <v>4.5065044013887355E-2</v>
      </c>
      <c r="HC152" s="304">
        <f>HB152*(VLOOKUP($GZ$9,各项系数!$D$1:$F$143,2,0))</f>
        <v>0.76610574823608502</v>
      </c>
      <c r="HD152" s="315">
        <f>各项系数!$F$76/4*($MW152^2-$MT152^2)*10^-2*(VLOOKUP($HD$9,各项系数!$D$1:$F$143,3,0))*10^-3*10^2*各项系数!$J$4</f>
        <v>4.5935290311672969E-2</v>
      </c>
      <c r="HE152" s="303">
        <v>1</v>
      </c>
      <c r="HF152" s="304">
        <f t="shared" si="654"/>
        <v>4.5935290311672969E-2</v>
      </c>
      <c r="HG152" s="304">
        <f>HF152*(VLOOKUP($HD$9,各项系数!$D$1:$F$143,2,0))</f>
        <v>0.78089993529844048</v>
      </c>
      <c r="HH152" s="315">
        <f>各项系数!$F$76/4*($MV152^2-$MS152^2)*10^-2*(VLOOKUP($HH$9,各项系数!$D$1:$F$143,3,0))*10^-3*10^2*各项系数!$J$4</f>
        <v>4.5065044013887355E-2</v>
      </c>
      <c r="HI152" s="322">
        <v>1</v>
      </c>
      <c r="HJ152" s="304">
        <f t="shared" si="655"/>
        <v>4.5065044013887355E-2</v>
      </c>
      <c r="HK152" s="304">
        <f>HJ152*(VLOOKUP($HH$9,各项系数!$D$1:$F$143,2,0))</f>
        <v>0.76610574823608502</v>
      </c>
      <c r="HL152" s="315">
        <f>各项系数!$F$76/4*($MW152^2-$MT152^2)*10^-2*(VLOOKUP($HL$9,各项系数!$D$1:$F$143,3,0))*10^-3*10^2*各项系数!$J$4</f>
        <v>4.5935290311672969E-2</v>
      </c>
      <c r="HM152" s="322">
        <v>1</v>
      </c>
      <c r="HN152" s="304">
        <f t="shared" si="605"/>
        <v>4.5935290311672969E-2</v>
      </c>
      <c r="HO152" s="304">
        <f>HN152*(VLOOKUP($HL$9,各项系数!$D$1:$F$143,2,0))</f>
        <v>0.78089993529844048</v>
      </c>
      <c r="HP152" s="315">
        <f>各项系数!$F$76/4*($MV152^2-$MS152^2)*10^-2*(VLOOKUP(AN152,各项系数!$D$1:$F$143,3,0))*10^-3*10^2*各项系数!$J$4</f>
        <v>4.5686630827872013E-2</v>
      </c>
      <c r="HQ152" s="303">
        <v>1</v>
      </c>
      <c r="HR152" s="304">
        <f t="shared" si="528"/>
        <v>4.5686630827872013E-2</v>
      </c>
      <c r="HS152" s="304">
        <f>HR152*(VLOOKUP(AN152,各项系数!$D$1:$F$143,2,0))</f>
        <v>0.4568663082787201</v>
      </c>
      <c r="HT152" s="315">
        <f>各项系数!$F$76/4*($MW152^2-$MT152^2)*10^-2*(VLOOKUP(AN152,各项系数!$D$1:$F$143,3,0))*10^-3*10^2*各项系数!$J$4</f>
        <v>4.656888052286845E-2</v>
      </c>
      <c r="HU152" s="303">
        <v>1</v>
      </c>
      <c r="HV152" s="304">
        <f t="shared" si="529"/>
        <v>4.656888052286845E-2</v>
      </c>
      <c r="HW152" s="304">
        <f>HV152*(VLOOKUP(AN152,各项系数!$D$1:$F$143,2,0))</f>
        <v>0.4656888052286845</v>
      </c>
      <c r="HX152" s="315">
        <f>各项系数!$F$76/4*($MV152^2-$MS152^2)*10^-2*(VLOOKUP($HX$9,各项系数!$D$1:$F$143,3,0))*10^-3*10^2*各项系数!$J$4</f>
        <v>4.5686630827872013E-2</v>
      </c>
      <c r="HY152" s="322">
        <v>1</v>
      </c>
      <c r="HZ152" s="304">
        <f t="shared" si="530"/>
        <v>4.5686630827872013E-2</v>
      </c>
      <c r="IA152" s="304">
        <f>HZ152*(VLOOKUP($HX$9,各项系数!$D$1:$F$143,2,0))</f>
        <v>0.50255293910659216</v>
      </c>
      <c r="IB152" s="315">
        <f>各项系数!$F$76/4*($MW152^2-$MT152^2)*10^-2*(VLOOKUP($IB$9,各项系数!$D$1:$F$143,3,0))*10^-3*10^2*各项系数!$J$4</f>
        <v>4.656888052286845E-2</v>
      </c>
      <c r="IC152" s="322">
        <v>1</v>
      </c>
      <c r="ID152" s="304">
        <f t="shared" si="531"/>
        <v>4.656888052286845E-2</v>
      </c>
      <c r="IE152" s="304">
        <f>ID152*(VLOOKUP($IB$9,各项系数!$D$1:$F$143,2,0))</f>
        <v>0.51225768575155295</v>
      </c>
      <c r="IF152" s="328"/>
      <c r="IG152" s="315">
        <f t="shared" si="656"/>
        <v>1.1842510126447842E-2</v>
      </c>
      <c r="IH152" s="303">
        <v>1</v>
      </c>
      <c r="II152" s="304">
        <f t="shared" si="532"/>
        <v>1.1842510126447842E-2</v>
      </c>
      <c r="IJ152" s="304">
        <f>II152*(VLOOKUP($IG$8,各项系数!$D$1:$F$143,2,0))</f>
        <v>0.29606275316119607</v>
      </c>
      <c r="IK152" s="315">
        <f>(各项系数!$F$76/4*($MX152^2-$MK152^2)*$EG152)*10^-2*(VLOOKUP($IG$8,各项系数!$D$1:$F$143,3,0))*10^-3*10^2*各项系数!$J$4</f>
        <v>1.1842510126447842E-2</v>
      </c>
      <c r="IL152" s="303">
        <f>IK152*(VLOOKUP($IG$8,各项系数!$D$1:$F$143,2,0))</f>
        <v>0.29606275316119607</v>
      </c>
      <c r="IM152" s="304">
        <f>(各项系数!$F$76/4*(($MM152+3*$X152)^2-MM152^2)*$EO152)*10^-2*(VLOOKUP($IG$8,各项系数!$D$1:$F$143,3,0))*10^-3*10^2*各项系数!$J$4</f>
        <v>0</v>
      </c>
      <c r="IN152" s="303">
        <f>IM152*(VLOOKUP($IG$8,各项系数!$D$1:$F$143,2,0))</f>
        <v>0</v>
      </c>
      <c r="IO152" s="315">
        <f>各项系数!$F$76/4*($MZ152^2-$MX152^2)*10^-2*(VLOOKUP(L152,各项系数!$D$1:$F$143,3,0))*10^-3*10^2*$ES152*各项系数!$J$4</f>
        <v>2.850966788843055E-2</v>
      </c>
      <c r="IP152" s="303">
        <v>1</v>
      </c>
      <c r="IQ152" s="304">
        <f t="shared" si="533"/>
        <v>2.850966788843055E-2</v>
      </c>
      <c r="IR152" s="285">
        <f>IQ152*(VLOOKUP(L152,各项系数!$D$1:$F$143,2,0))</f>
        <v>0.32786118071695131</v>
      </c>
      <c r="IS152" s="315">
        <f>IF($L152&lt;&gt;$IS$9,0,各项系数!$F$76/4*($MZ152^2-$MX152^2)*10^-2*各项系数!$F$12*10^-3*10^2)*$ES152*各项系数!$J$4</f>
        <v>0</v>
      </c>
      <c r="IT152" s="303">
        <v>1</v>
      </c>
      <c r="IU152" s="304">
        <f t="shared" si="534"/>
        <v>0</v>
      </c>
      <c r="IV152" s="285">
        <f>IU152*各项系数!$E$12</f>
        <v>0</v>
      </c>
      <c r="IW152" s="302">
        <f t="shared" si="535"/>
        <v>2.850966788843055E-2</v>
      </c>
      <c r="IX152" s="302">
        <f t="shared" si="536"/>
        <v>0.32786118071695131</v>
      </c>
      <c r="IY152" s="339">
        <f>各项系数!$F$76/4*($NB152^2-$MZ152^2*$EG152-$NA152^2*$EO152)*10^-2</f>
        <v>0.19858796956356906</v>
      </c>
      <c r="IZ152" s="284">
        <f t="shared" si="697"/>
        <v>1</v>
      </c>
      <c r="JA152" s="285">
        <f t="shared" si="606"/>
        <v>0.19858796956356906</v>
      </c>
      <c r="JB152" s="282">
        <f>IF($DE152&lt;&gt;$JB$9,0,$JA152*各项系数!$F$32*10^-3*10^2)*各项系数!$J$4</f>
        <v>0</v>
      </c>
      <c r="JC152" s="102">
        <v>1</v>
      </c>
      <c r="JD152" s="189">
        <f t="shared" si="537"/>
        <v>0</v>
      </c>
      <c r="JE152" s="262">
        <f>JD152*各项系数!$E$32</f>
        <v>0</v>
      </c>
      <c r="JF152" s="282">
        <f>IF($DE152&lt;&gt;$JF$9,0,$JA152*VLOOKUP($JF$9,各项系数!$D$4:$F$540,2,0)*10^-3*10^2)*各项系数!$J$4</f>
        <v>9.8797514857875593E-2</v>
      </c>
      <c r="JG152" s="102">
        <v>1</v>
      </c>
      <c r="JH152" s="189">
        <f t="shared" si="607"/>
        <v>9.8797514857875593E-2</v>
      </c>
      <c r="JI152" s="262">
        <f>JH152*VLOOKUP($JF$9,各项系数!$D$4:$F$540,3,0)</f>
        <v>0.1185570178294507</v>
      </c>
      <c r="JJ152" s="282">
        <f t="shared" si="538"/>
        <v>9.8797514857875593E-2</v>
      </c>
      <c r="JK152" s="189">
        <f t="shared" si="539"/>
        <v>0.1185570178294507</v>
      </c>
      <c r="JL152" s="282">
        <f>IF($DF152&lt;&gt;$JL$9,0,各项系数!$F$76/4*($NE152^2-$NC152^2)*10^-2*各项系数!$F$39*10^-3*10^2)*各项系数!$J$4</f>
        <v>9.9359754675224475E-4</v>
      </c>
      <c r="JM152" s="102">
        <v>1</v>
      </c>
      <c r="JN152" s="189">
        <f t="shared" si="540"/>
        <v>9.9359754675224475E-4</v>
      </c>
      <c r="JO152" s="262">
        <f>JN152*各项系数!$E$39</f>
        <v>1.9871950935044895E-2</v>
      </c>
      <c r="JP152" s="282">
        <f>IF($DF152&lt;&gt;$JP$9,0,各项系数!$F$76/4*($NE152^2-$NC152^2)*10^-2*各项系数!$F$36*10^-3*10^2)*各项系数!$J$4</f>
        <v>0</v>
      </c>
      <c r="JQ152" s="102">
        <v>1</v>
      </c>
      <c r="JR152" s="189">
        <f t="shared" si="541"/>
        <v>0</v>
      </c>
      <c r="JS152" s="262">
        <f>JR152*各项系数!$E$36</f>
        <v>0</v>
      </c>
      <c r="JT152" s="282">
        <f>IF($DF152&lt;&gt;$JT$9,0,各项系数!$F$76/4*($NE152^2-$NC152^2)*10^-2*各项系数!$F$40*10^-3*10^2)*各项系数!$J$4</f>
        <v>0</v>
      </c>
      <c r="JU152" s="102">
        <v>1</v>
      </c>
      <c r="JV152" s="189">
        <f t="shared" si="542"/>
        <v>0</v>
      </c>
      <c r="JW152" s="262">
        <f>JV152*各项系数!$E$40</f>
        <v>0</v>
      </c>
      <c r="JX152" s="282">
        <f>IF($DF152&lt;&gt;$JX$9,0,各项系数!$F$76/4*($NE152^2-$NC152^2)*10^-2*各项系数!$F$38*10^-3*10^2)*各项系数!$J$4</f>
        <v>0</v>
      </c>
      <c r="JY152" s="102">
        <v>1</v>
      </c>
      <c r="JZ152" s="189">
        <f t="shared" si="543"/>
        <v>0</v>
      </c>
      <c r="KA152" s="262">
        <f>JZ152*各项系数!$E$38</f>
        <v>0</v>
      </c>
      <c r="KB152" s="282">
        <f>IF($DF152&lt;&gt;$KB$9,0,各项系数!$F$76/4*($NE152^2-$NC152^2)*10^-2*各项系数!$F$41*10^-3*10^2)*各项系数!$J$4</f>
        <v>0</v>
      </c>
      <c r="KC152" s="102">
        <v>1</v>
      </c>
      <c r="KD152" s="189">
        <f t="shared" si="544"/>
        <v>0</v>
      </c>
      <c r="KE152" s="262">
        <f>KD152*各项系数!$E$41</f>
        <v>0</v>
      </c>
      <c r="KF152" s="189">
        <f t="shared" si="545"/>
        <v>9.9359754675224475E-4</v>
      </c>
      <c r="KG152" s="189">
        <f t="shared" si="546"/>
        <v>1.9871950935044895E-2</v>
      </c>
      <c r="KH152" s="235">
        <f>各项系数!$F$76/4*($NG152^2-$NE152^2)*10^-2*各项系数!$F$44*10^-3*10^2*各项系数!$J$4*0.75*$U152</f>
        <v>0.42017660686882596</v>
      </c>
      <c r="KI152" s="102">
        <v>1</v>
      </c>
      <c r="KJ152" s="189">
        <f t="shared" si="547"/>
        <v>0.42017660686882596</v>
      </c>
      <c r="KK152" s="189">
        <f>ROUND(KJ152*各项系数!$E$43,GT152)</f>
        <v>2.4</v>
      </c>
      <c r="KL152" s="235">
        <f>各项系数!$F$76/4*($NF152^2-$NE152^2)*10^-2*各项系数!$F$46*10^-3*10^2*各项系数!$J$4*PI()/4*R152</f>
        <v>1.2612676039529931E-2</v>
      </c>
      <c r="KM152" s="102">
        <v>1</v>
      </c>
      <c r="KN152" s="189">
        <f t="shared" si="548"/>
        <v>1.2612676039529931E-2</v>
      </c>
      <c r="KO152" s="189">
        <f>KN152*各项系数!$E$46</f>
        <v>0.8513556326682703</v>
      </c>
      <c r="KP152" s="235">
        <f>各项系数!$F$76/4*($NH152^2-$NE152^2)*10^-2*(VLOOKUP($KP$9,各项系数!$D$1:$F$143,3,0))*10^-3*10^2*各项系数!$J$4</f>
        <v>5.5203413383089601E-2</v>
      </c>
      <c r="KQ152" s="102">
        <v>1</v>
      </c>
      <c r="KR152" s="189">
        <f t="shared" si="657"/>
        <v>5.5203413383089601E-2</v>
      </c>
      <c r="KS152" s="189">
        <f>KR152*(VLOOKUP($KP$9,各项系数!$D$1:$F$143,2,0))</f>
        <v>0.93845802751252327</v>
      </c>
      <c r="KT152" s="235">
        <f>各项系数!$F$76/4*($NI152^2-$NF152^2)*10^-2*(VLOOKUP($KT$9,各项系数!$D$1:$F$143,3,0))*10^-3*10^2*各项系数!$J$4</f>
        <v>5.6073659680875229E-2</v>
      </c>
      <c r="KU152" s="102">
        <v>1</v>
      </c>
      <c r="KV152" s="189">
        <f t="shared" si="658"/>
        <v>5.6073659680875229E-2</v>
      </c>
      <c r="KW152" s="189">
        <f>KV152*(VLOOKUP($KT$9,各项系数!$D$1:$F$143,2,0))</f>
        <v>0.95325221457487885</v>
      </c>
      <c r="KX152" s="189">
        <f>各项系数!$F$76/4*($NH152^2-$NE152^2)*10^-2*(VLOOKUP($KX$9,各项系数!$D$1:$F$143,3,0))*10^-3*10^2*各项系数!$J$4</f>
        <v>5.5203413383089601E-2</v>
      </c>
      <c r="KY152" s="353">
        <v>1</v>
      </c>
      <c r="KZ152" s="189">
        <f t="shared" si="659"/>
        <v>5.5203413383089601E-2</v>
      </c>
      <c r="LA152" s="189">
        <f>KZ152*(VLOOKUP($KX$9,各项系数!$D$1:$F$143,2,0))</f>
        <v>0.93845802751252327</v>
      </c>
      <c r="LB152" s="189">
        <f>各项系数!$F$76/4*($NI152^2-$NF152^2)*10^-2*(VLOOKUP($LB$9,各项系数!$D$1:$F$143,3,0))*10^-3*10^2*各项系数!$J$4</f>
        <v>5.6073659680875229E-2</v>
      </c>
      <c r="LC152" s="353">
        <v>1</v>
      </c>
      <c r="LD152" s="189">
        <f t="shared" si="660"/>
        <v>5.6073659680875229E-2</v>
      </c>
      <c r="LE152" s="189">
        <f>LD152*(VLOOKUP($LB$9,各项系数!$D$1:$F$143,2,0))</f>
        <v>0.95325221457487885</v>
      </c>
      <c r="LF152" s="235">
        <f>各项系数!$F$76/4*($NH152^2-$NE152^2)*10^-2*(VLOOKUP(AN152,各项系数!$D$1:$F$143,3,0))*10^-3*10^2*各项系数!$J$4</f>
        <v>5.5964839774580492E-2</v>
      </c>
      <c r="LG152" s="102">
        <v>1</v>
      </c>
      <c r="LH152" s="189">
        <f t="shared" si="549"/>
        <v>5.5964839774580492E-2</v>
      </c>
      <c r="LI152" s="189">
        <f>LH152*(VLOOKUP(AN152,各项系数!$D$1:$F$143,2,0))</f>
        <v>0.55964839774580488</v>
      </c>
      <c r="LJ152" s="235">
        <f>各项系数!$F$76/4*($NI152^2-$NF152^2)*10^-2*(VLOOKUP(AN152,各项系数!$D$1:$F$143,3,0))*10^-3*10^2*各项系数!$J$4</f>
        <v>5.6847089469576964E-2</v>
      </c>
      <c r="LK152" s="102">
        <v>1</v>
      </c>
      <c r="LL152" s="189">
        <f t="shared" si="550"/>
        <v>5.6847089469576964E-2</v>
      </c>
      <c r="LM152" s="189">
        <f>LL152*(VLOOKUP(AN152,各项系数!$D$1:$F$143,2,0))</f>
        <v>0.56847089469576961</v>
      </c>
      <c r="LN152" s="189">
        <f>各项系数!$F$76/4*($NH152^2-$NE152^2)*10^-2*(VLOOKUP($LN$9,各项系数!$D$1:$F$143,3,0))*10^-3*10^2*各项系数!$J$4</f>
        <v>5.5964839774580492E-2</v>
      </c>
      <c r="LO152" s="353">
        <v>1</v>
      </c>
      <c r="LP152" s="189">
        <f t="shared" si="551"/>
        <v>5.5964839774580492E-2</v>
      </c>
      <c r="LQ152" s="189">
        <f>LP152*(VLOOKUP($LN$9,各项系数!$D$1:$F$143,2,0))</f>
        <v>0.61561323752038544</v>
      </c>
      <c r="LR152" s="189">
        <f>各项系数!$F$76/4*($NI152^2-$NF152^2)*10^-2*(VLOOKUP($LR$9,各项系数!$D$1:$F$143,3,0))*10^-3*10^2*各项系数!$J$4</f>
        <v>5.6847089469576964E-2</v>
      </c>
      <c r="LS152" s="353">
        <v>1</v>
      </c>
      <c r="LT152" s="189">
        <f t="shared" si="552"/>
        <v>5.6847089469576964E-2</v>
      </c>
      <c r="LU152" s="189">
        <f>LT152*(VLOOKUP($LR$9,各项系数!$D$1:$F$143,2,0))</f>
        <v>0.62531798416534656</v>
      </c>
      <c r="LV152" s="227">
        <f t="shared" si="661"/>
        <v>5.73479326</v>
      </c>
      <c r="LW152" s="227">
        <f t="shared" si="662"/>
        <v>5.73479326</v>
      </c>
      <c r="LX152" s="227">
        <f t="shared" si="663"/>
        <v>2.7021779289145043</v>
      </c>
      <c r="LY152" s="227">
        <f t="shared" si="664"/>
        <v>0</v>
      </c>
      <c r="LZ152" s="374">
        <f t="shared" si="608"/>
        <v>1</v>
      </c>
      <c r="MA152" s="375">
        <f t="shared" si="609"/>
        <v>5.73479326</v>
      </c>
      <c r="MB152" s="375">
        <f t="shared" si="665"/>
        <v>1.1031595199999999</v>
      </c>
      <c r="MC152" s="227">
        <f t="shared" si="666"/>
        <v>0</v>
      </c>
      <c r="MD152" s="227">
        <f t="shared" si="667"/>
        <v>0</v>
      </c>
      <c r="ME152" s="227">
        <f t="shared" si="668"/>
        <v>0</v>
      </c>
      <c r="MF152" s="227">
        <f t="shared" si="669"/>
        <v>0</v>
      </c>
      <c r="MG152" s="374">
        <f t="shared" si="670"/>
        <v>1</v>
      </c>
      <c r="MH152" s="375">
        <f t="shared" si="610"/>
        <v>0</v>
      </c>
      <c r="MI152" s="375">
        <f t="shared" si="671"/>
        <v>0</v>
      </c>
      <c r="MJ152" s="189">
        <f t="shared" si="611"/>
        <v>1.1031595199999999</v>
      </c>
      <c r="MK152" s="189">
        <f t="shared" si="672"/>
        <v>1.1031595199999999</v>
      </c>
      <c r="ML152" s="189">
        <f t="shared" si="553"/>
        <v>0</v>
      </c>
      <c r="MM152" s="189">
        <f t="shared" si="612"/>
        <v>0</v>
      </c>
      <c r="MN152" s="189">
        <f t="shared" si="613"/>
        <v>2.3031595199999999</v>
      </c>
      <c r="MO152" s="189">
        <f t="shared" si="673"/>
        <v>0</v>
      </c>
      <c r="MP152" s="189">
        <f t="shared" si="674"/>
        <v>6.9094785600000002</v>
      </c>
      <c r="MQ152" s="189">
        <f t="shared" si="554"/>
        <v>6.9094785600000002</v>
      </c>
      <c r="MR152" s="246">
        <f t="shared" si="675"/>
        <v>6.9094785600000002</v>
      </c>
      <c r="MS152" s="380">
        <f t="shared" si="614"/>
        <v>7.0854785600000003</v>
      </c>
      <c r="MT152" s="380">
        <f t="shared" si="615"/>
        <v>7.2454785600000005</v>
      </c>
      <c r="MU152" s="380">
        <f t="shared" si="616"/>
        <v>8.2854785600000014</v>
      </c>
      <c r="MV152" s="380">
        <f t="shared" si="617"/>
        <v>9.4854785600000007</v>
      </c>
      <c r="MW152" s="380">
        <f t="shared" si="618"/>
        <v>9.6454785600000008</v>
      </c>
      <c r="MX152" s="254">
        <f t="shared" si="619"/>
        <v>1.70315952</v>
      </c>
      <c r="MY152" s="254">
        <f t="shared" si="620"/>
        <v>0</v>
      </c>
      <c r="MZ152" s="189">
        <f t="shared" si="621"/>
        <v>2.90315952</v>
      </c>
      <c r="NA152" s="189">
        <f t="shared" si="622"/>
        <v>0</v>
      </c>
      <c r="NB152" s="189">
        <f t="shared" si="676"/>
        <v>8.7094785600000009</v>
      </c>
      <c r="NC152" s="254">
        <f t="shared" si="555"/>
        <v>8.7094785600000009</v>
      </c>
      <c r="ND152" s="246">
        <f t="shared" si="677"/>
        <v>8.7094785600000009</v>
      </c>
      <c r="NE152" s="386">
        <f t="shared" si="678"/>
        <v>8.9494785600000011</v>
      </c>
      <c r="NF152" s="380">
        <f t="shared" si="623"/>
        <v>9.1094785600000012</v>
      </c>
      <c r="NG152" s="387">
        <f t="shared" si="624"/>
        <v>10.149478560000002</v>
      </c>
      <c r="NH152" s="254">
        <f t="shared" si="625"/>
        <v>11.349478560000001</v>
      </c>
      <c r="NI152" s="380">
        <f t="shared" si="626"/>
        <v>11.509478560000002</v>
      </c>
      <c r="NK152" s="388">
        <f t="shared" si="627"/>
        <v>0.13432545267372181</v>
      </c>
      <c r="NL152" s="388">
        <f t="shared" si="628"/>
        <v>4.0913125621201889</v>
      </c>
      <c r="NM152" s="388">
        <f t="shared" si="629"/>
        <v>0.13432545267372181</v>
      </c>
      <c r="NN152" s="388">
        <f t="shared" si="630"/>
        <v>4.1369991929480605</v>
      </c>
      <c r="NO152" s="388">
        <f t="shared" si="631"/>
        <v>0.24683553035588895</v>
      </c>
      <c r="NP152" s="388">
        <f t="shared" si="632"/>
        <v>4.6446460109864924</v>
      </c>
      <c r="NQ152" s="388">
        <f t="shared" si="633"/>
        <v>0.24683553035588895</v>
      </c>
      <c r="NR152" s="388">
        <f t="shared" si="634"/>
        <v>4.7006108507610724</v>
      </c>
      <c r="NS152" s="388">
        <f t="shared" si="635"/>
        <v>0.14433443150289108</v>
      </c>
      <c r="NT152" s="388">
        <f t="shared" si="636"/>
        <v>0.14433443150289108</v>
      </c>
      <c r="NU152" s="388">
        <f t="shared" si="637"/>
        <v>0.25944820639541888</v>
      </c>
      <c r="NV152" s="388">
        <f t="shared" si="638"/>
        <v>0.25944820639541888</v>
      </c>
      <c r="NW152">
        <f t="shared" si="639"/>
        <v>0.24704568422752754</v>
      </c>
      <c r="NX152">
        <f>各项系数!$M$9*NK152</f>
        <v>4.0297635802116545E-2</v>
      </c>
      <c r="NY152">
        <f t="shared" si="640"/>
        <v>0.14433443150289105</v>
      </c>
    </row>
    <row r="153" spans="1:389" ht="15" hidden="1" customHeight="1">
      <c r="A153" s="69"/>
      <c r="B153" s="70"/>
      <c r="C153" s="69"/>
      <c r="D153" s="102" t="s">
        <v>223</v>
      </c>
      <c r="E153" s="61">
        <f t="shared" si="687"/>
        <v>9.4854785600000007</v>
      </c>
      <c r="F153" s="405">
        <f t="shared" si="693"/>
        <v>110.31595161029</v>
      </c>
      <c r="G153" s="62"/>
      <c r="H153" s="16"/>
      <c r="I153" s="145">
        <v>0</v>
      </c>
      <c r="J153" s="16"/>
      <c r="K153" s="16"/>
      <c r="L153" s="97" t="s">
        <v>469</v>
      </c>
      <c r="M153" s="103">
        <f t="shared" si="582"/>
        <v>0.6</v>
      </c>
      <c r="N153" s="103">
        <f t="shared" si="583"/>
        <v>0</v>
      </c>
      <c r="O153" s="53">
        <f t="shared" si="688"/>
        <v>0.08</v>
      </c>
      <c r="P153" s="99">
        <v>0.1</v>
      </c>
      <c r="Q153" s="133">
        <f t="shared" si="685"/>
        <v>0.1</v>
      </c>
      <c r="R153" s="406">
        <v>0.8</v>
      </c>
      <c r="S153" s="142" t="str">
        <f>各项系数!$D$43</f>
        <v>钢带</v>
      </c>
      <c r="T153" s="102">
        <v>0.2</v>
      </c>
      <c r="U153" s="62">
        <v>4</v>
      </c>
      <c r="V153" s="143"/>
      <c r="W153" s="141">
        <f t="shared" si="694"/>
        <v>1.2</v>
      </c>
      <c r="X153" s="135">
        <f t="shared" si="686"/>
        <v>0.2</v>
      </c>
      <c r="Y153" s="135"/>
      <c r="Z153" s="168"/>
      <c r="AA153" s="153">
        <v>1</v>
      </c>
      <c r="AB153" s="153">
        <f>PI()*EJ153*EJ153/4*EH153*(1-H153)*AA153*各项系数!$F$5*各项系数!$J$4*10^-7</f>
        <v>8.4545666936336993E-3</v>
      </c>
      <c r="AC153" s="153">
        <f t="shared" si="573"/>
        <v>110.31595161029</v>
      </c>
      <c r="AD153" s="153">
        <f t="shared" si="584"/>
        <v>0.95579886989884166</v>
      </c>
      <c r="AE153" s="153">
        <f>POWER(4*EU153/PI()/EG153/10^-7/EH153/(1-H153)/各项系数!$F$5/各项系数!$J$4,0.5)</f>
        <v>110.31595161028999</v>
      </c>
      <c r="AF153" s="69">
        <v>1</v>
      </c>
      <c r="AG153" s="69">
        <f>IF(EM153=0,0,PI()*ER153*ER153/4*EP153*(1-K153)*(1+AF153)*各项系数!$F$5*各项系数!$J$4*10^-7)</f>
        <v>0</v>
      </c>
      <c r="AH153" s="69">
        <f t="shared" si="574"/>
        <v>0</v>
      </c>
      <c r="AI153" s="69">
        <f t="shared" si="641"/>
        <v>0</v>
      </c>
      <c r="AJ153" s="69">
        <f>IF(OR(EP153="",EP153=0),0,POWER(4*EW153/PI()/EO153/10^-7/EP153/(1-K153)/各项系数!$F$5/各项系数!$J$4,0.5))</f>
        <v>0</v>
      </c>
      <c r="AK153" s="69" t="str">
        <f t="shared" si="585"/>
        <v>√</v>
      </c>
      <c r="AL153" s="69">
        <f t="shared" si="575"/>
        <v>5.1369873811857234</v>
      </c>
      <c r="AM153" s="188">
        <f t="shared" si="576"/>
        <v>1</v>
      </c>
      <c r="AN153" s="97" t="s">
        <v>486</v>
      </c>
      <c r="AO153" s="196">
        <f>AP153+各项系数!$M$9*$NK153</f>
        <v>5.036262138417376</v>
      </c>
      <c r="AP153" s="196">
        <f>AQ153*(1+$BI153+(VLOOKUP($AM153,$A$12:$B$323,2,0))+各项系数!$J$6+各项系数!$M$5)*(1+$E$2)</f>
        <v>4.9938663296096237</v>
      </c>
      <c r="AQ153" s="197">
        <f>AR153+各项系数!$L$9*$NK153</f>
        <v>4.8997903547975117</v>
      </c>
      <c r="AR153" s="197">
        <f>AS153*(1+$BJ153+各项系数!$J$5+各项系数!$L$5)</f>
        <v>4.8573945459897594</v>
      </c>
      <c r="AS153" s="197">
        <f t="shared" si="642"/>
        <v>4.670571678836307</v>
      </c>
      <c r="AT153" s="196">
        <f>AU153+各项系数!$M$9*$NM153</f>
        <v>5.3640460491101054</v>
      </c>
      <c r="AU153" s="196">
        <f>AV153*(1+$BI153+(VLOOKUP($AM153,$A$12:$B$323,2,0))+各项系数!$J$6+各项系数!$M$5)*(1+$E$2)</f>
        <v>5.3216502403023531</v>
      </c>
      <c r="AV153" s="197">
        <f>AW153+各项系数!$L$9*$NM153</f>
        <v>5.2213993723531722</v>
      </c>
      <c r="AW153" s="197">
        <f>AX153*(1+$BJ153+各项系数!$J$5+各项系数!$L$5)</f>
        <v>5.1790035635454199</v>
      </c>
      <c r="AX153" s="197">
        <f t="shared" si="643"/>
        <v>4.9798111187936724</v>
      </c>
      <c r="AY153" s="196">
        <f>AZ153+各项系数!$M$9*$NS153</f>
        <v>5.7677975577127851</v>
      </c>
      <c r="AZ153" s="196">
        <f>BA153*(1+$BI153+(VLOOKUP($AM153,$A$12:$B$214,2,0))+各项系数!$J$6+各项系数!$M$5)*(1+$E$2)</f>
        <v>5.7223990552562816</v>
      </c>
      <c r="BA153" s="197">
        <f>BB153+各项系数!$L$9*$NS153</f>
        <v>5.6145987590819084</v>
      </c>
      <c r="BB153" s="197">
        <f>BC153*(1+$BJ153+各项系数!$J$5+各项系数!$L$5)</f>
        <v>5.5692002566254049</v>
      </c>
      <c r="BC153" s="199">
        <f t="shared" si="644"/>
        <v>5.3550002467551971</v>
      </c>
      <c r="BD153" s="196">
        <f>BE153+各项系数!$M$9*$NS153</f>
        <v>6.1019112688305635</v>
      </c>
      <c r="BE153" s="196">
        <f>BF153*(1+$BI153+(VLOOKUP($AM153,$A$12:$B$214,2,0))+各项系数!$J$6+各项系数!$M$5)*(1+$E$2)</f>
        <v>6.0565127663740599</v>
      </c>
      <c r="BF153" s="197">
        <f>BG153+各项系数!$L$9*$NS153</f>
        <v>5.9424183343544543</v>
      </c>
      <c r="BG153" s="197">
        <f>BH153*(1+$BJ153+各项系数!$J$5+各项系数!$L$5)</f>
        <v>5.8970198318979508</v>
      </c>
      <c r="BH153" s="199">
        <f t="shared" si="645"/>
        <v>5.6702113768249527</v>
      </c>
      <c r="BI153" s="213"/>
      <c r="BJ153" s="208">
        <f t="shared" si="695"/>
        <v>0.02</v>
      </c>
      <c r="BK153" s="102" t="s">
        <v>514</v>
      </c>
      <c r="BL153" s="196">
        <f>BM153+各项系数!$M$9*$NM153</f>
        <v>5.1327566098148321</v>
      </c>
      <c r="BM153" s="196">
        <f>BN153*(1+$CF153+(VLOOKUP($AM153,$A$12:$B$323,2,0))+各项系数!$J$6+各项系数!$M$5)*(1+$E$2)</f>
        <v>5.0903608010070798</v>
      </c>
      <c r="BN153" s="197">
        <f>BO153+各项系数!$L$9*$NM153</f>
        <v>4.9944670339551411</v>
      </c>
      <c r="BO153" s="197">
        <f>BP153*(1+$CG153+各项系数!$J$5+各项系数!$L$5)</f>
        <v>4.9520712251473888</v>
      </c>
      <c r="BP153" s="197">
        <f t="shared" si="646"/>
        <v>4.7162583096641795</v>
      </c>
      <c r="BQ153" s="196">
        <f>BR153+各项系数!$M$9*$NM153</f>
        <v>5.4148002840328502</v>
      </c>
      <c r="BR153" s="196">
        <f>BS153*(1+$CF153+(VLOOKUP($AM153,$A$12:$B$323,2,0))+各项系数!$J$6+各项系数!$M$5)*(1+$E$2)</f>
        <v>5.3724044752250979</v>
      </c>
      <c r="BS153" s="197">
        <f>BT153+各项系数!$L$9*$NM153</f>
        <v>5.2711974835411084</v>
      </c>
      <c r="BT153" s="197">
        <f>BU153*(1+$CG153+各项系数!$J$5+各项系数!$L$5)</f>
        <v>5.2288016747333561</v>
      </c>
      <c r="BU153" s="197">
        <f t="shared" si="647"/>
        <v>4.9798111187936724</v>
      </c>
      <c r="BV153" s="196">
        <f>BW153+各项系数!$M$9*$NT153</f>
        <v>5.8343637801999479</v>
      </c>
      <c r="BW153" s="196">
        <f>BX153*(1+$CF153+(VLOOKUP($AM153,$A$12:$B$214,2,0))+各项系数!$J$6+各项系数!$M$5)*(1+$E$2)</f>
        <v>5.7889652777434444</v>
      </c>
      <c r="BX153" s="197">
        <f>BY153+各项系数!$L$9*$NT$12</f>
        <v>5.6799109867969433</v>
      </c>
      <c r="BY153" s="197">
        <f>BZ153*(1+$CG153+各项系数!$J$5+各项系数!$L$5)</f>
        <v>5.6716475836419695</v>
      </c>
      <c r="BZ153" s="199">
        <f t="shared" si="586"/>
        <v>5.4015691272780657</v>
      </c>
      <c r="CA153" s="196">
        <f>CB153+各项系数!$M$9*$NT153</f>
        <v>6.1218539699750441</v>
      </c>
      <c r="CB153" s="196">
        <f>CC153*(1+$CF153+(VLOOKUP($AM153,$A$12:$B$214,2,0))+各项系数!$J$6+各项系数!$M$5)*(1+$E$2)</f>
        <v>6.0764554675185405</v>
      </c>
      <c r="CC153" s="197">
        <f>CD153+各项系数!$L$9*$NT$12</f>
        <v>5.961985348821174</v>
      </c>
      <c r="CD153" s="197">
        <f>CE153*(1+$CG153+各项系数!$J$5+各项系数!$L$5)</f>
        <v>5.9537219456662003</v>
      </c>
      <c r="CE153" s="199">
        <f t="shared" si="648"/>
        <v>5.6702113768249527</v>
      </c>
      <c r="CF153" s="213">
        <f t="shared" si="514"/>
        <v>0</v>
      </c>
      <c r="CG153" s="213">
        <f t="shared" si="587"/>
        <v>0.03</v>
      </c>
      <c r="CH153" s="102"/>
      <c r="CI153" s="196">
        <f>CJ153+各项系数!$M$9*$NO153</f>
        <v>5.7596584397952233</v>
      </c>
      <c r="CJ153" s="196">
        <f>CK153*(1+$DC153+(VLOOKUP($AM153,$A$12:$B$323,2,0))+各项系数!$J$6+各项系数!$M$5)*(1+$E$2)+各项系数!$M$9*$NK153</f>
        <v>5.6909335532654097</v>
      </c>
      <c r="CK153" s="197">
        <f>CL153+各项系数!$L$9*$NO153</f>
        <v>5.5421288701507621</v>
      </c>
      <c r="CL153" s="197">
        <f>CM153*(1+$DD153+各项系数!$J$5+各项系数!$L$5)</f>
        <v>5.4734039836209485</v>
      </c>
      <c r="CM153" s="197">
        <f t="shared" si="588"/>
        <v>5.2628884457893736</v>
      </c>
      <c r="CN153" s="196">
        <f>CO153+各项系数!$M$9*$NO153</f>
        <v>5.9784966246797042</v>
      </c>
      <c r="CO153" s="196">
        <f>CP153*(1+$DC153+(VLOOKUP($AM153,$A$12:$B$323,2,0))+各项系数!$J$6+各项系数!$M$5)*(1+$E$2)+各项系数!$M$9*$NK153</f>
        <v>5.9097717381498907</v>
      </c>
      <c r="CP153" s="197">
        <f>CQ153+各项系数!$L$9*$NO153</f>
        <v>5.7568445146606537</v>
      </c>
      <c r="CQ153" s="197">
        <f>CR153*(1+$DD153+各项系数!$J$5+各项系数!$L$5)</f>
        <v>5.6881196281308402</v>
      </c>
      <c r="CR153" s="197">
        <f t="shared" si="589"/>
        <v>5.4693457962796534</v>
      </c>
      <c r="CS153" s="196">
        <f>CT153+各项系数!$M$9*$NU153</f>
        <v>6.6366641773203563</v>
      </c>
      <c r="CT153" s="196">
        <f t="shared" si="590"/>
        <v>6.5641554879786845</v>
      </c>
      <c r="CU153" s="197">
        <f>CV153+各项系数!$L$9*$NU153</f>
        <v>6.4404979277655849</v>
      </c>
      <c r="CV153" s="197">
        <f>CW153*(1+$DD153+各项系数!$J$5+各项系数!$L$5)</f>
        <v>6.3679892384239132</v>
      </c>
      <c r="CW153" s="199">
        <f t="shared" si="591"/>
        <v>6.1230665754076083</v>
      </c>
      <c r="CX153" s="196">
        <f>CY153+各项系数!$M$9*$NU153</f>
        <v>7.0445200633899754</v>
      </c>
      <c r="CY153" s="196">
        <f t="shared" si="592"/>
        <v>6.9720113740483036</v>
      </c>
      <c r="CZ153" s="197">
        <f>DA153+各项系数!$L$9*$NU153</f>
        <v>6.8406705004398587</v>
      </c>
      <c r="DA153" s="197">
        <f>DB153*(1+$DD153+各项系数!$J$5+各项系数!$L$5)</f>
        <v>6.7681618110981869</v>
      </c>
      <c r="DB153" s="199">
        <f t="shared" si="593"/>
        <v>6.5078478952867176</v>
      </c>
      <c r="DC153" s="213">
        <f t="shared" si="698"/>
        <v>0</v>
      </c>
      <c r="DD153" s="213">
        <f t="shared" si="594"/>
        <v>0.02</v>
      </c>
      <c r="DE153" s="53" t="s">
        <v>498</v>
      </c>
      <c r="DF153" s="53" t="s">
        <v>513</v>
      </c>
      <c r="DG153" s="196">
        <f>DH153+各项系数!$M$9*$NQ153</f>
        <v>5.8731891317678722</v>
      </c>
      <c r="DH153" s="196">
        <f>DI153*(1+$EA153+(VLOOKUP($AM153,$A$12:$B$323,2,0))+各项系数!$J$6+各项系数!$M$5)*(1+$E$2)+各项系数!$M$9*$NK153</f>
        <v>5.8044642452380586</v>
      </c>
      <c r="DI153" s="197">
        <f>DJ153+各项系数!$L$9*$NQ153</f>
        <v>5.6535208363719649</v>
      </c>
      <c r="DJ153" s="197">
        <f>DK153*(1+$EB153+各项系数!$J$5+各项系数!$L$5)</f>
        <v>5.5847959498421513</v>
      </c>
      <c r="DK153" s="197">
        <f t="shared" si="595"/>
        <v>5.3188532855639536</v>
      </c>
      <c r="DL153" s="196">
        <f>DM153+各项系数!$M$9*$NQ153</f>
        <v>6.2186847122258593</v>
      </c>
      <c r="DM153" s="196">
        <f>DN153*(1+$EA153+(VLOOKUP($AM153,$A$12:$B$323,2,0))+各项系数!$J$6+各项系数!$M$5)*(1+$E$2)+各项系数!$M$9*$NK153</f>
        <v>6.1499598256960457</v>
      </c>
      <c r="DN153" s="197">
        <f>DO153+各项系数!$L$9*$NQ153</f>
        <v>5.9925078658637103</v>
      </c>
      <c r="DO153" s="197">
        <f>DP153*(1+$EB153+各项系数!$J$5+各项系数!$L$5)</f>
        <v>5.9237829793338967</v>
      </c>
      <c r="DP153" s="197">
        <f t="shared" si="596"/>
        <v>5.6416980755560919</v>
      </c>
      <c r="DQ153" s="196">
        <f>DR153+各项系数!$M$9*$NV153</f>
        <v>6.7599059531236732</v>
      </c>
      <c r="DR153" s="196">
        <f t="shared" si="597"/>
        <v>6.6873972637820014</v>
      </c>
      <c r="DS153" s="197">
        <f>DT153+各项系数!$L$9*$NV153</f>
        <v>6.5614180374627171</v>
      </c>
      <c r="DT153" s="197">
        <f>DU153*(1+$EB153+各项系数!$J$5+各项系数!$L$5)</f>
        <v>6.4889093481210454</v>
      </c>
      <c r="DU153" s="199">
        <f t="shared" si="598"/>
        <v>6.1799136648771862</v>
      </c>
      <c r="DV153" s="196">
        <f>DW153+各项系数!$M$9*$NV153</f>
        <v>6.7015068077900102</v>
      </c>
      <c r="DW153" s="196">
        <f t="shared" si="599"/>
        <v>6.6289981184483384</v>
      </c>
      <c r="DX153" s="197">
        <f>DY153+各项系数!$L$9*$NV153</f>
        <v>6.5041190330144607</v>
      </c>
      <c r="DY153" s="197">
        <f>DZ153*(1+$EB153+各项系数!$J$5+各项系数!$L$5)</f>
        <v>6.4316103436727889</v>
      </c>
      <c r="DZ153" s="199">
        <f t="shared" si="600"/>
        <v>6.1253431844502746</v>
      </c>
      <c r="EA153" s="213">
        <f t="shared" si="699"/>
        <v>0</v>
      </c>
      <c r="EB153" s="213">
        <f t="shared" si="601"/>
        <v>0.03</v>
      </c>
      <c r="EC153" s="235">
        <f t="shared" si="649"/>
        <v>7</v>
      </c>
      <c r="ED153" s="235" t="str">
        <f t="shared" si="680"/>
        <v>7*1</v>
      </c>
      <c r="EE153" s="189">
        <f t="shared" si="495"/>
        <v>1</v>
      </c>
      <c r="EF153" s="189">
        <f>LOOKUP(EH153,{1,7,10,14,19,24,30,37,48,61},{1,"1+6","2+8","4+10","1+6+12","2+8+14","4+10+16","1+6+12+18","3+9+15+21","1+6+12+18+24"})</f>
        <v>1</v>
      </c>
      <c r="EG153" s="188">
        <f t="shared" si="602"/>
        <v>7</v>
      </c>
      <c r="EH153" s="197">
        <f>VLOOKUP(EE153,各项系数!$B$87:$C$124,2,0)</f>
        <v>1</v>
      </c>
      <c r="EI153" s="188">
        <f>IF(EH153=0,0,VLOOKUP(EH153,各项系数!$D$142:$E$195,2,0))*1</f>
        <v>1</v>
      </c>
      <c r="EJ153" s="238">
        <f t="shared" si="650"/>
        <v>110.31595161029</v>
      </c>
      <c r="EK153" s="189">
        <f t="shared" si="689"/>
        <v>0</v>
      </c>
      <c r="EL153" s="189">
        <f t="shared" si="603"/>
        <v>0</v>
      </c>
      <c r="EM153" s="189">
        <f t="shared" si="690"/>
        <v>0</v>
      </c>
      <c r="EN153" s="189">
        <f>IF(EP153=0,0,LOOKUP(EP153,{1,7,10,14,19,24,30,37,48,61},{1,"1+6","2+8","4+10","1+6+12","2+8+14","4+10+16","1+6+12+18","3+9+15+21","1+6+12+18+24"}))</f>
        <v>0</v>
      </c>
      <c r="EO153" s="189">
        <f t="shared" si="691"/>
        <v>0</v>
      </c>
      <c r="EP153" s="189">
        <f>IF(EM153=0,0,IF(EM153&lt;10,1,IF(AND(EM153&gt;=10,EM153&lt;=35),7,LOOKUP(EM153,{50,70,95,120,150,185,240,300},{10,14,19,24,30,37,48,61})*1)))</f>
        <v>0</v>
      </c>
      <c r="EQ153" s="189">
        <f>IF(EP153=0,0,VLOOKUP(EP153,各项系数!$D$142:$E$195,2,0))*1</f>
        <v>0</v>
      </c>
      <c r="ER153" s="53">
        <f t="shared" si="577"/>
        <v>0</v>
      </c>
      <c r="ES153" s="412">
        <f t="shared" si="692"/>
        <v>7</v>
      </c>
      <c r="ET153" s="189">
        <f>VLOOKUP(ES153,各项系数!$D$142:$E$195,2,0)*1</f>
        <v>3</v>
      </c>
      <c r="EU153" s="243">
        <f>((各项系数!$F$76/4*$EJ153^2*$EG153*$EH153*1*10^-7)*(1-$H153)*AA153)*(VLOOKUP($EY$9,各项系数!$D$4:$F$143,3,0))*各项系数!$J$4</f>
        <v>5.9181966855435898E-2</v>
      </c>
      <c r="EV153" s="244">
        <f>EU153*(VLOOKUP($EY$9,各项系数!$D$4:$F$143,2,0))</f>
        <v>3.8764188290310515</v>
      </c>
      <c r="EW153" s="252">
        <f>(IF($EO153=0,0,(各项系数!$F$76/4*$ER153^2*$EO153*$EP153*1*10^-7))*(1-$K153)*$AF153)*(VLOOKUP($EY$9,各项系数!$D$4:$F$143,3,0))*各项系数!$J$4</f>
        <v>0</v>
      </c>
      <c r="EX153" s="253">
        <f>EW153*(VLOOKUP($EY$9,各项系数!$D$4:$F$143,2,0))</f>
        <v>0</v>
      </c>
      <c r="EY153" s="189">
        <f>((各项系数!$F$76/4*$EJ153^2*$EG153*$EH153*1*10^-7)*(1-$H153)*AA153+IF($EO153=0,0,(各项系数!$F$76/4*$ER153^2*$EO153*$EP153*1*10^-7))*(1-$K153)*$AF153)*(VLOOKUP($EY$9,各项系数!$D$4:$F$143,3,0))*各项系数!$J$4</f>
        <v>5.9181966855435898E-2</v>
      </c>
      <c r="EZ153" s="102">
        <v>1</v>
      </c>
      <c r="FA153" s="189">
        <f t="shared" si="515"/>
        <v>5.9181966855435898E-2</v>
      </c>
      <c r="FB153" s="254">
        <f>FA153*(VLOOKUP($EY$9,各项系数!$D$4:$F$143,2,0))</f>
        <v>3.8764188290310515</v>
      </c>
      <c r="FC153" s="255"/>
      <c r="FD153" s="235">
        <f>各项系数!$F$76/4*($MN153^2-MK153^2)*10^-2*(VLOOKUP(L153,各项系数!$D$1:$F$143,3,0))*10^-3*10^2*$EG153*各项系数!$J$4</f>
        <v>2.4596326841596825E-2</v>
      </c>
      <c r="FE153" s="262">
        <f>FD153*VLOOKUP(L153,各项系数!$D$1:$F$143,2,0)</f>
        <v>0.28285775867836349</v>
      </c>
      <c r="FF153" s="188">
        <f>各项系数!$F$76/4*($MO153^2-ML153^2)*10^-2*(VLOOKUP(L153,各项系数!$D$1:$F$143,3,0))*10^-3*10^2*$EO153*各项系数!$J$4</f>
        <v>0</v>
      </c>
      <c r="FG153" s="262">
        <f>FF153*VLOOKUP(L153,各项系数!$D$1:$F$143,2,0)</f>
        <v>0</v>
      </c>
      <c r="FH153" s="235">
        <f t="shared" si="651"/>
        <v>2.4596326841596825E-2</v>
      </c>
      <c r="FI153" s="102">
        <v>1</v>
      </c>
      <c r="FJ153" s="189">
        <f t="shared" si="516"/>
        <v>2.4596326841596825E-2</v>
      </c>
      <c r="FK153" s="262">
        <f>FJ153*VLOOKUP(L153,各项系数!$D$1:$F$143,2,0)</f>
        <v>0.28285775867836349</v>
      </c>
      <c r="FL153" s="235"/>
      <c r="FM153" s="102"/>
      <c r="FN153" s="189"/>
      <c r="FO153" s="262"/>
      <c r="FP153" s="282">
        <f t="shared" si="517"/>
        <v>2.4596326841596825E-2</v>
      </c>
      <c r="FQ153" s="282">
        <f t="shared" si="518"/>
        <v>0.28285775867836349</v>
      </c>
      <c r="FR153" s="283">
        <f>各项系数!$F$76/4*($MQ153^2-$MN153^2*$EG153-$MO153^2*$EO153)*10^-2</f>
        <v>8.3323578764120013E-2</v>
      </c>
      <c r="FS153" s="284">
        <f t="shared" si="652"/>
        <v>1</v>
      </c>
      <c r="FT153" s="285">
        <f t="shared" si="604"/>
        <v>8.3323578764120013E-2</v>
      </c>
      <c r="FU153" s="302">
        <f>$FT153*(VLOOKUP($FT$9,各项系数!$D$1:$F$143,3,0))*10^-3*10^2*各项系数!$J$55</f>
        <v>9.9488353044359292E-3</v>
      </c>
      <c r="FV153" s="303">
        <v>1</v>
      </c>
      <c r="FW153" s="304">
        <f t="shared" si="519"/>
        <v>9.9488353044359292E-3</v>
      </c>
      <c r="FX153" s="285">
        <f>FW153*(VLOOKUP($FT$9,各项系数!$D$1:$F$143,2,0))</f>
        <v>2.9846505913307786E-2</v>
      </c>
      <c r="FY153" s="302">
        <f>IF($BK153&lt;&gt;$FY$9,0,各项系数!$F$76/4*($MS153^2-$MQ153^2)*10^-2*(VLOOKUP($FY$9,各项系数!$D$1:$F$143,3,0))*10^-3*10^2)*各项系数!$J$4</f>
        <v>0</v>
      </c>
      <c r="FZ153" s="303">
        <v>1</v>
      </c>
      <c r="GA153" s="304">
        <f t="shared" si="520"/>
        <v>0</v>
      </c>
      <c r="GB153" s="285">
        <f>GA153*(VLOOKUP($FY$9,各项系数!$D$1:$F$143,2,0))</f>
        <v>0</v>
      </c>
      <c r="GC153" s="302">
        <f>IF($BK153&lt;&gt;$GC$9,0,各项系数!$F$76/4*($MS153^2-$MQ153^2)*10^-2*(VLOOKUP($GC$9,各项系数!$D$1:$F$143,3,0))*10^-3*10^2)*各项系数!$J$4</f>
        <v>1.9056028631678535E-3</v>
      </c>
      <c r="GD153" s="303">
        <v>1</v>
      </c>
      <c r="GE153" s="304">
        <f t="shared" si="521"/>
        <v>1.9056028631678535E-3</v>
      </c>
      <c r="GF153" s="285">
        <f>GE153*(VLOOKUP($GC$9,各项系数!$D$1:$F$143,2,0))</f>
        <v>2.458227693486531E-2</v>
      </c>
      <c r="GG153" s="302">
        <f>IF($BK153&lt;&gt;$GG$9,0,各项系数!$F$76/4*($MS153^2-$MQ153^2)*10^-2*(VLOOKUP($GG$9,各项系数!$D$1:$F$143,3,0))*10^-3*10^2)*各项系数!$J$4</f>
        <v>0</v>
      </c>
      <c r="GH153" s="303">
        <v>1</v>
      </c>
      <c r="GI153" s="304">
        <f t="shared" si="522"/>
        <v>0</v>
      </c>
      <c r="GJ153" s="285">
        <f>GI153*(VLOOKUP($GG$9,各项系数!$D$1:$F$143,2,0))</f>
        <v>0</v>
      </c>
      <c r="GK153" s="302">
        <f>IF($BK153&lt;&gt;$GK$9,0,各项系数!$F$76/4*($MS153^2-$MQ153^2)*10^-2*(VLOOKUP($GK$9,各项系数!$D$1:$F$143,3,0))*10^-3*10^2)*各项系数!$J$4</f>
        <v>0</v>
      </c>
      <c r="GL153" s="303">
        <v>1</v>
      </c>
      <c r="GM153" s="304">
        <f t="shared" si="523"/>
        <v>0</v>
      </c>
      <c r="GN153" s="285">
        <f>GM153*(VLOOKUP($GK$9,各项系数!$D$1:$F$143,2,0))</f>
        <v>0</v>
      </c>
      <c r="GO153" s="304">
        <f t="shared" si="524"/>
        <v>1.9056028631678535E-3</v>
      </c>
      <c r="GP153" s="304">
        <f t="shared" si="525"/>
        <v>2.458227693486531E-2</v>
      </c>
      <c r="GQ153" s="315">
        <f>各项系数!$F$76/4*($MU153^2-$MS153^2)*10^-2*(VLOOKUP($S153,各项系数!$D$1:$F$143,3,0))*10^-3*10^2*各项系数!$J$4</f>
        <v>0.11272023155380571</v>
      </c>
      <c r="GR153" s="303">
        <v>1</v>
      </c>
      <c r="GS153" s="304">
        <f t="shared" si="526"/>
        <v>0.11272023155380571</v>
      </c>
      <c r="GT153" s="304">
        <f t="shared" si="696"/>
        <v>1</v>
      </c>
      <c r="GU153" s="304">
        <f>ROUND($GS153*(VLOOKUP($S153,各项系数!$D$1:$F$143,2,0))+$E$3*GS153,GT153)</f>
        <v>0.7</v>
      </c>
      <c r="GV153" s="315">
        <f>各项系数!$F$76/4*($MT153^2-$MS153^2)*10^-2*(VLOOKUP($GV$9,各项系数!$D$1:$F$143,3,0))*10^-3*10^2*各项系数!$J$4*PI()/4*R153</f>
        <v>1.0008978829169254E-2</v>
      </c>
      <c r="GW153" s="303">
        <v>1</v>
      </c>
      <c r="GX153" s="304">
        <f t="shared" si="527"/>
        <v>1.0008978829169254E-2</v>
      </c>
      <c r="GY153" s="304">
        <f>$GX153*(VLOOKUP($GV$9,各项系数!$D$1:$F$143,2,0))</f>
        <v>0.67560607096892467</v>
      </c>
      <c r="GZ153" s="315">
        <f>各项系数!$F$76/4*($MV153^2-$MS153^2)*10^-2*(VLOOKUP($GZ$9,各项系数!$D$1:$F$143,3,0))*10^-3*10^2*各项系数!$J$4</f>
        <v>4.5065044013887355E-2</v>
      </c>
      <c r="HA153" s="303">
        <v>1</v>
      </c>
      <c r="HB153" s="304">
        <f t="shared" si="653"/>
        <v>4.5065044013887355E-2</v>
      </c>
      <c r="HC153" s="304">
        <f>HB153*(VLOOKUP($GZ$9,各项系数!$D$1:$F$143,2,0))</f>
        <v>0.76610574823608502</v>
      </c>
      <c r="HD153" s="315">
        <f>各项系数!$F$76/4*($MW153^2-$MT153^2)*10^-2*(VLOOKUP($HD$9,各项系数!$D$1:$F$143,3,0))*10^-3*10^2*各项系数!$J$4</f>
        <v>4.5935290311672969E-2</v>
      </c>
      <c r="HE153" s="303">
        <v>1</v>
      </c>
      <c r="HF153" s="304">
        <f t="shared" si="654"/>
        <v>4.5935290311672969E-2</v>
      </c>
      <c r="HG153" s="304">
        <f>HF153*(VLOOKUP($HD$9,各项系数!$D$1:$F$143,2,0))</f>
        <v>0.78089993529844048</v>
      </c>
      <c r="HH153" s="315">
        <f>各项系数!$F$76/4*($MV153^2-$MS153^2)*10^-2*(VLOOKUP($HH$9,各项系数!$D$1:$F$143,3,0))*10^-3*10^2*各项系数!$J$4</f>
        <v>4.5065044013887355E-2</v>
      </c>
      <c r="HI153" s="322">
        <v>1</v>
      </c>
      <c r="HJ153" s="304">
        <f t="shared" si="655"/>
        <v>4.5065044013887355E-2</v>
      </c>
      <c r="HK153" s="304">
        <f>HJ153*(VLOOKUP($HH$9,各项系数!$D$1:$F$143,2,0))</f>
        <v>0.76610574823608502</v>
      </c>
      <c r="HL153" s="315">
        <f>各项系数!$F$76/4*($MW153^2-$MT153^2)*10^-2*(VLOOKUP($HL$9,各项系数!$D$1:$F$143,3,0))*10^-3*10^2*各项系数!$J$4</f>
        <v>4.5935290311672969E-2</v>
      </c>
      <c r="HM153" s="322">
        <v>1</v>
      </c>
      <c r="HN153" s="304">
        <f t="shared" si="605"/>
        <v>4.5935290311672969E-2</v>
      </c>
      <c r="HO153" s="304">
        <f>HN153*(VLOOKUP($HL$9,各项系数!$D$1:$F$143,2,0))</f>
        <v>0.78089993529844048</v>
      </c>
      <c r="HP153" s="315">
        <f>各项系数!$F$76/4*($MV153^2-$MS153^2)*10^-2*(VLOOKUP(AN153,各项系数!$D$1:$F$143,3,0))*10^-3*10^2*各项系数!$J$4</f>
        <v>4.5686630827872013E-2</v>
      </c>
      <c r="HQ153" s="303">
        <v>1</v>
      </c>
      <c r="HR153" s="304">
        <f t="shared" si="528"/>
        <v>4.5686630827872013E-2</v>
      </c>
      <c r="HS153" s="304">
        <f>HR153*(VLOOKUP(AN153,各项系数!$D$1:$F$143,2,0))</f>
        <v>0.4568663082787201</v>
      </c>
      <c r="HT153" s="315">
        <f>各项系数!$F$76/4*($MW153^2-$MT153^2)*10^-2*(VLOOKUP(AN153,各项系数!$D$1:$F$143,3,0))*10^-3*10^2*各项系数!$J$4</f>
        <v>4.656888052286845E-2</v>
      </c>
      <c r="HU153" s="303">
        <v>1</v>
      </c>
      <c r="HV153" s="304">
        <f t="shared" si="529"/>
        <v>4.656888052286845E-2</v>
      </c>
      <c r="HW153" s="304">
        <f>HV153*(VLOOKUP(AN153,各项系数!$D$1:$F$143,2,0))</f>
        <v>0.4656888052286845</v>
      </c>
      <c r="HX153" s="315">
        <f>各项系数!$F$76/4*($MV153^2-$MS153^2)*10^-2*(VLOOKUP($HX$9,各项系数!$D$1:$F$143,3,0))*10^-3*10^2*各项系数!$J$4</f>
        <v>4.5686630827872013E-2</v>
      </c>
      <c r="HY153" s="322">
        <v>1</v>
      </c>
      <c r="HZ153" s="304">
        <f t="shared" si="530"/>
        <v>4.5686630827872013E-2</v>
      </c>
      <c r="IA153" s="304">
        <f>HZ153*(VLOOKUP($HX$9,各项系数!$D$1:$F$143,2,0))</f>
        <v>0.50255293910659216</v>
      </c>
      <c r="IB153" s="315">
        <f>各项系数!$F$76/4*($MW153^2-$MT153^2)*10^-2*(VLOOKUP($IB$9,各项系数!$D$1:$F$143,3,0))*10^-3*10^2*各项系数!$J$4</f>
        <v>4.656888052286845E-2</v>
      </c>
      <c r="IC153" s="322">
        <v>1</v>
      </c>
      <c r="ID153" s="304">
        <f t="shared" si="531"/>
        <v>4.656888052286845E-2</v>
      </c>
      <c r="IE153" s="304">
        <f>ID153*(VLOOKUP($IB$9,各项系数!$D$1:$F$143,2,0))</f>
        <v>0.51225768575155295</v>
      </c>
      <c r="IF153" s="328"/>
      <c r="IG153" s="315">
        <f t="shared" si="656"/>
        <v>1.3816261814189148E-2</v>
      </c>
      <c r="IH153" s="303">
        <v>1</v>
      </c>
      <c r="II153" s="304">
        <f t="shared" si="532"/>
        <v>1.3816261814189148E-2</v>
      </c>
      <c r="IJ153" s="304">
        <f>II153*(VLOOKUP($IG$8,各项系数!$D$1:$F$143,2,0))</f>
        <v>0.3454065453547287</v>
      </c>
      <c r="IK153" s="315">
        <f>(各项系数!$F$76/4*($MX153^2-$MK153^2)*$EG153)*10^-2*(VLOOKUP($IG$8,各项系数!$D$1:$F$143,3,0))*10^-3*10^2*各项系数!$J$4</f>
        <v>1.3816261814189148E-2</v>
      </c>
      <c r="IL153" s="303">
        <f>IK153*(VLOOKUP($IG$8,各项系数!$D$1:$F$143,2,0))</f>
        <v>0.3454065453547287</v>
      </c>
      <c r="IM153" s="304">
        <f>(各项系数!$F$76/4*(($MM153+3*$X153)^2-MM153^2)*$EO153)*10^-2*(VLOOKUP($IG$8,各项系数!$D$1:$F$143,3,0))*10^-3*10^2*各项系数!$J$4</f>
        <v>0</v>
      </c>
      <c r="IN153" s="303">
        <f>IM153*(VLOOKUP($IG$8,各项系数!$D$1:$F$143,2,0))</f>
        <v>0</v>
      </c>
      <c r="IO153" s="315">
        <f>各项系数!$F$76/4*($MZ153^2-$MX153^2)*10^-2*(VLOOKUP(L153,各项系数!$D$1:$F$143,3,0))*10^-3*10^2*$ES153*各项系数!$J$4</f>
        <v>3.3261279203168979E-2</v>
      </c>
      <c r="IP153" s="303">
        <v>1</v>
      </c>
      <c r="IQ153" s="304">
        <f t="shared" si="533"/>
        <v>3.3261279203168979E-2</v>
      </c>
      <c r="IR153" s="285">
        <f>IQ153*(VLOOKUP(L153,各项系数!$D$1:$F$143,2,0))</f>
        <v>0.38250471083644327</v>
      </c>
      <c r="IS153" s="315">
        <f>IF($L153&lt;&gt;$IS$9,0,各项系数!$F$76/4*($MZ153^2-$MX153^2)*10^-2*各项系数!$F$12*10^-3*10^2)*$ES153*各项系数!$J$4</f>
        <v>0</v>
      </c>
      <c r="IT153" s="303">
        <v>1</v>
      </c>
      <c r="IU153" s="304">
        <f t="shared" si="534"/>
        <v>0</v>
      </c>
      <c r="IV153" s="285">
        <f>IU153*各项系数!$E$12</f>
        <v>0</v>
      </c>
      <c r="IW153" s="302">
        <f t="shared" si="535"/>
        <v>3.3261279203168979E-2</v>
      </c>
      <c r="IX153" s="302">
        <f t="shared" si="536"/>
        <v>0.38250471083644327</v>
      </c>
      <c r="IY153" s="339">
        <f>各项系数!$F$76/4*($NB153^2-$MZ153^2*$EG153-$NA153^2*$EO153)*10^-2</f>
        <v>0.13239197970904606</v>
      </c>
      <c r="IZ153" s="284">
        <f t="shared" si="697"/>
        <v>1</v>
      </c>
      <c r="JA153" s="285">
        <f t="shared" si="606"/>
        <v>0.13239197970904606</v>
      </c>
      <c r="JB153" s="282">
        <f>IF($DE153&lt;&gt;$JB$9,0,$JA153*各项系数!$F$32*10^-3*10^2)*各项系数!$J$4</f>
        <v>0</v>
      </c>
      <c r="JC153" s="102">
        <v>1</v>
      </c>
      <c r="JD153" s="189">
        <f t="shared" si="537"/>
        <v>0</v>
      </c>
      <c r="JE153" s="262">
        <f>JD153*各项系数!$E$32</f>
        <v>0</v>
      </c>
      <c r="JF153" s="282">
        <f>IF($DE153&lt;&gt;$JF$9,0,$JA153*VLOOKUP($JF$9,各项系数!$D$4:$F$540,2,0)*10^-3*10^2)*各项系数!$J$4</f>
        <v>6.5865009905250418E-2</v>
      </c>
      <c r="JG153" s="102">
        <v>1</v>
      </c>
      <c r="JH153" s="189">
        <f t="shared" si="607"/>
        <v>6.5865009905250418E-2</v>
      </c>
      <c r="JI153" s="262">
        <f>JH153*VLOOKUP($JF$9,各项系数!$D$4:$F$540,3,0)</f>
        <v>7.9038011886300497E-2</v>
      </c>
      <c r="JJ153" s="282">
        <f t="shared" si="538"/>
        <v>6.5865009905250418E-2</v>
      </c>
      <c r="JK153" s="189">
        <f t="shared" si="539"/>
        <v>7.9038011886300497E-2</v>
      </c>
      <c r="JL153" s="282">
        <f>IF($DF153&lt;&gt;$JL$9,0,各项系数!$F$76/4*($NE153^2-$NC153^2)*10^-2*各项系数!$F$39*10^-3*10^2)*各项系数!$J$4</f>
        <v>9.9359754675224475E-4</v>
      </c>
      <c r="JM153" s="102">
        <v>1</v>
      </c>
      <c r="JN153" s="189">
        <f t="shared" si="540"/>
        <v>9.9359754675224475E-4</v>
      </c>
      <c r="JO153" s="262">
        <f>JN153*各项系数!$E$39</f>
        <v>1.9871950935044895E-2</v>
      </c>
      <c r="JP153" s="282">
        <f>IF($DF153&lt;&gt;$JP$9,0,各项系数!$F$76/4*($NE153^2-$NC153^2)*10^-2*各项系数!$F$36*10^-3*10^2)*各项系数!$J$4</f>
        <v>0</v>
      </c>
      <c r="JQ153" s="102">
        <v>1</v>
      </c>
      <c r="JR153" s="189">
        <f t="shared" si="541"/>
        <v>0</v>
      </c>
      <c r="JS153" s="262">
        <f>JR153*各项系数!$E$36</f>
        <v>0</v>
      </c>
      <c r="JT153" s="282">
        <f>IF($DF153&lt;&gt;$JT$9,0,各项系数!$F$76/4*($NE153^2-$NC153^2)*10^-2*各项系数!$F$40*10^-3*10^2)*各项系数!$J$4</f>
        <v>0</v>
      </c>
      <c r="JU153" s="102">
        <v>1</v>
      </c>
      <c r="JV153" s="189">
        <f t="shared" si="542"/>
        <v>0</v>
      </c>
      <c r="JW153" s="262">
        <f>JV153*各项系数!$E$40</f>
        <v>0</v>
      </c>
      <c r="JX153" s="282">
        <f>IF($DF153&lt;&gt;$JX$9,0,各项系数!$F$76/4*($NE153^2-$NC153^2)*10^-2*各项系数!$F$38*10^-3*10^2)*各项系数!$J$4</f>
        <v>0</v>
      </c>
      <c r="JY153" s="102">
        <v>1</v>
      </c>
      <c r="JZ153" s="189">
        <f t="shared" si="543"/>
        <v>0</v>
      </c>
      <c r="KA153" s="262">
        <f>JZ153*各项系数!$E$38</f>
        <v>0</v>
      </c>
      <c r="KB153" s="282">
        <f>IF($DF153&lt;&gt;$KB$9,0,各项系数!$F$76/4*($NE153^2-$NC153^2)*10^-2*各项系数!$F$41*10^-3*10^2)*各项系数!$J$4</f>
        <v>0</v>
      </c>
      <c r="KC153" s="102">
        <v>1</v>
      </c>
      <c r="KD153" s="189">
        <f t="shared" si="544"/>
        <v>0</v>
      </c>
      <c r="KE153" s="262">
        <f>KD153*各项系数!$E$41</f>
        <v>0</v>
      </c>
      <c r="KF153" s="189">
        <f t="shared" si="545"/>
        <v>9.9359754675224475E-4</v>
      </c>
      <c r="KG153" s="189">
        <f t="shared" si="546"/>
        <v>1.9871950935044895E-2</v>
      </c>
      <c r="KH153" s="235">
        <f>各项系数!$F$76/4*($NG153^2-$NE153^2)*10^-2*各项系数!$F$44*10^-3*10^2*各项系数!$J$4*0.75*$U153</f>
        <v>0.42017660686882596</v>
      </c>
      <c r="KI153" s="102">
        <v>1</v>
      </c>
      <c r="KJ153" s="189">
        <f t="shared" si="547"/>
        <v>0.42017660686882596</v>
      </c>
      <c r="KK153" s="189">
        <f>ROUND(KJ153*各项系数!$E$43,GT153)</f>
        <v>2.4</v>
      </c>
      <c r="KL153" s="235">
        <f>各项系数!$F$76/4*($NF153^2-$NE153^2)*10^-2*各项系数!$F$46*10^-3*10^2*各项系数!$J$4*PI()/4*R153</f>
        <v>1.2612676039529931E-2</v>
      </c>
      <c r="KM153" s="102">
        <v>1</v>
      </c>
      <c r="KN153" s="189">
        <f t="shared" si="548"/>
        <v>1.2612676039529931E-2</v>
      </c>
      <c r="KO153" s="189">
        <f>KN153*各项系数!$E$46</f>
        <v>0.8513556326682703</v>
      </c>
      <c r="KP153" s="235">
        <f>各项系数!$F$76/4*($NH153^2-$NE153^2)*10^-2*(VLOOKUP($KP$9,各项系数!$D$1:$F$143,3,0))*10^-3*10^2*各项系数!$J$4</f>
        <v>5.5203413383089601E-2</v>
      </c>
      <c r="KQ153" s="102">
        <v>1</v>
      </c>
      <c r="KR153" s="189">
        <f t="shared" si="657"/>
        <v>5.5203413383089601E-2</v>
      </c>
      <c r="KS153" s="189">
        <f>KR153*(VLOOKUP($KP$9,各项系数!$D$1:$F$143,2,0))</f>
        <v>0.93845802751252327</v>
      </c>
      <c r="KT153" s="235">
        <f>各项系数!$F$76/4*($NI153^2-$NF153^2)*10^-2*(VLOOKUP($KT$9,各项系数!$D$1:$F$143,3,0))*10^-3*10^2*各项系数!$J$4</f>
        <v>5.6073659680875229E-2</v>
      </c>
      <c r="KU153" s="102">
        <v>1</v>
      </c>
      <c r="KV153" s="189">
        <f t="shared" si="658"/>
        <v>5.6073659680875229E-2</v>
      </c>
      <c r="KW153" s="189">
        <f>KV153*(VLOOKUP($KT$9,各项系数!$D$1:$F$143,2,0))</f>
        <v>0.95325221457487885</v>
      </c>
      <c r="KX153" s="189">
        <f>各项系数!$F$76/4*($NH153^2-$NE153^2)*10^-2*(VLOOKUP($KX$9,各项系数!$D$1:$F$143,3,0))*10^-3*10^2*各项系数!$J$4</f>
        <v>5.5203413383089601E-2</v>
      </c>
      <c r="KY153" s="353">
        <v>1</v>
      </c>
      <c r="KZ153" s="189">
        <f t="shared" si="659"/>
        <v>5.5203413383089601E-2</v>
      </c>
      <c r="LA153" s="189">
        <f>KZ153*(VLOOKUP($KX$9,各项系数!$D$1:$F$143,2,0))</f>
        <v>0.93845802751252327</v>
      </c>
      <c r="LB153" s="189">
        <f>各项系数!$F$76/4*($NI153^2-$NF153^2)*10^-2*(VLOOKUP($LB$9,各项系数!$D$1:$F$143,3,0))*10^-3*10^2*各项系数!$J$4</f>
        <v>5.6073659680875229E-2</v>
      </c>
      <c r="LC153" s="353">
        <v>1</v>
      </c>
      <c r="LD153" s="189">
        <f t="shared" si="660"/>
        <v>5.6073659680875229E-2</v>
      </c>
      <c r="LE153" s="189">
        <f>LD153*(VLOOKUP($LB$9,各项系数!$D$1:$F$143,2,0))</f>
        <v>0.95325221457487885</v>
      </c>
      <c r="LF153" s="235">
        <f>各项系数!$F$76/4*($NH153^2-$NE153^2)*10^-2*(VLOOKUP(AN153,各项系数!$D$1:$F$143,3,0))*10^-3*10^2*各项系数!$J$4</f>
        <v>5.5964839774580492E-2</v>
      </c>
      <c r="LG153" s="102">
        <v>1</v>
      </c>
      <c r="LH153" s="189">
        <f t="shared" si="549"/>
        <v>5.5964839774580492E-2</v>
      </c>
      <c r="LI153" s="189">
        <f>LH153*(VLOOKUP(AN153,各项系数!$D$1:$F$143,2,0))</f>
        <v>0.55964839774580488</v>
      </c>
      <c r="LJ153" s="235">
        <f>各项系数!$F$76/4*($NI153^2-$NF153^2)*10^-2*(VLOOKUP(AN153,各项系数!$D$1:$F$143,3,0))*10^-3*10^2*各项系数!$J$4</f>
        <v>5.6847089469576964E-2</v>
      </c>
      <c r="LK153" s="102">
        <v>1</v>
      </c>
      <c r="LL153" s="189">
        <f t="shared" si="550"/>
        <v>5.6847089469576964E-2</v>
      </c>
      <c r="LM153" s="189">
        <f>LL153*(VLOOKUP(AN153,各项系数!$D$1:$F$143,2,0))</f>
        <v>0.56847089469576961</v>
      </c>
      <c r="LN153" s="189">
        <f>各项系数!$F$76/4*($NH153^2-$NE153^2)*10^-2*(VLOOKUP($LN$9,各项系数!$D$1:$F$143,3,0))*10^-3*10^2*各项系数!$J$4</f>
        <v>5.5964839774580492E-2</v>
      </c>
      <c r="LO153" s="353">
        <v>1</v>
      </c>
      <c r="LP153" s="189">
        <f t="shared" si="551"/>
        <v>5.5964839774580492E-2</v>
      </c>
      <c r="LQ153" s="189">
        <f>LP153*(VLOOKUP($LN$9,各项系数!$D$1:$F$143,2,0))</f>
        <v>0.61561323752038544</v>
      </c>
      <c r="LR153" s="189">
        <f>各项系数!$F$76/4*($NI153^2-$NF153^2)*10^-2*(VLOOKUP($LR$9,各项系数!$D$1:$F$143,3,0))*10^-3*10^2*各项系数!$J$4</f>
        <v>5.6847089469576964E-2</v>
      </c>
      <c r="LS153" s="353">
        <v>1</v>
      </c>
      <c r="LT153" s="189">
        <f t="shared" si="552"/>
        <v>5.6847089469576964E-2</v>
      </c>
      <c r="LU153" s="189">
        <f>LT153*(VLOOKUP($LR$9,各项系数!$D$1:$F$143,2,0))</f>
        <v>0.62531798416534656</v>
      </c>
      <c r="LV153" s="227">
        <f t="shared" si="661"/>
        <v>6.6905921399999997</v>
      </c>
      <c r="LW153" s="227">
        <f t="shared" si="662"/>
        <v>6.6905921399999997</v>
      </c>
      <c r="LX153" s="227">
        <f t="shared" si="663"/>
        <v>2.9186857471030105</v>
      </c>
      <c r="LY153" s="227">
        <f t="shared" si="664"/>
        <v>0</v>
      </c>
      <c r="LZ153" s="374">
        <f t="shared" si="608"/>
        <v>1</v>
      </c>
      <c r="MA153" s="375">
        <f t="shared" si="609"/>
        <v>6.6905921399999997</v>
      </c>
      <c r="MB153" s="375">
        <f t="shared" si="665"/>
        <v>1.1031595199999999</v>
      </c>
      <c r="MC153" s="227">
        <f t="shared" si="666"/>
        <v>0</v>
      </c>
      <c r="MD153" s="227">
        <f t="shared" si="667"/>
        <v>0</v>
      </c>
      <c r="ME153" s="227">
        <f t="shared" si="668"/>
        <v>0</v>
      </c>
      <c r="MF153" s="227">
        <f t="shared" si="669"/>
        <v>0</v>
      </c>
      <c r="MG153" s="374">
        <f t="shared" si="670"/>
        <v>1</v>
      </c>
      <c r="MH153" s="375">
        <f t="shared" si="610"/>
        <v>0</v>
      </c>
      <c r="MI153" s="375">
        <f t="shared" si="671"/>
        <v>0</v>
      </c>
      <c r="MJ153" s="189">
        <f t="shared" si="611"/>
        <v>1.1031595199999999</v>
      </c>
      <c r="MK153" s="189">
        <f t="shared" si="672"/>
        <v>1.1031595199999999</v>
      </c>
      <c r="ML153" s="189">
        <f t="shared" si="553"/>
        <v>0</v>
      </c>
      <c r="MM153" s="189">
        <f t="shared" si="612"/>
        <v>0</v>
      </c>
      <c r="MN153" s="189">
        <f t="shared" si="613"/>
        <v>2.3031595199999999</v>
      </c>
      <c r="MO153" s="189">
        <f t="shared" si="673"/>
        <v>0</v>
      </c>
      <c r="MP153" s="189">
        <f t="shared" si="674"/>
        <v>6.9094785600000002</v>
      </c>
      <c r="MQ153" s="189">
        <f t="shared" si="554"/>
        <v>6.9094785600000002</v>
      </c>
      <c r="MR153" s="246">
        <f t="shared" si="675"/>
        <v>6.9094785600000002</v>
      </c>
      <c r="MS153" s="380">
        <f t="shared" si="614"/>
        <v>7.0854785600000003</v>
      </c>
      <c r="MT153" s="380">
        <f t="shared" si="615"/>
        <v>7.2454785600000005</v>
      </c>
      <c r="MU153" s="380">
        <f t="shared" si="616"/>
        <v>8.2854785600000014</v>
      </c>
      <c r="MV153" s="380">
        <f t="shared" si="617"/>
        <v>9.4854785600000007</v>
      </c>
      <c r="MW153" s="380">
        <f t="shared" si="618"/>
        <v>9.6454785600000008</v>
      </c>
      <c r="MX153" s="254">
        <f t="shared" si="619"/>
        <v>1.70315952</v>
      </c>
      <c r="MY153" s="254">
        <f t="shared" si="620"/>
        <v>0</v>
      </c>
      <c r="MZ153" s="189">
        <f t="shared" si="621"/>
        <v>2.90315952</v>
      </c>
      <c r="NA153" s="189">
        <f t="shared" si="622"/>
        <v>0</v>
      </c>
      <c r="NB153" s="189">
        <f t="shared" si="676"/>
        <v>8.7094785600000009</v>
      </c>
      <c r="NC153" s="254">
        <f t="shared" si="555"/>
        <v>8.7094785600000009</v>
      </c>
      <c r="ND153" s="246">
        <f t="shared" si="677"/>
        <v>8.7094785600000009</v>
      </c>
      <c r="NE153" s="386">
        <f t="shared" si="678"/>
        <v>8.9494785600000011</v>
      </c>
      <c r="NF153" s="380">
        <f t="shared" si="623"/>
        <v>9.1094785600000012</v>
      </c>
      <c r="NG153" s="387">
        <f t="shared" si="624"/>
        <v>10.149478560000002</v>
      </c>
      <c r="NH153" s="254">
        <f t="shared" si="625"/>
        <v>11.349478560000001</v>
      </c>
      <c r="NI153" s="380">
        <f t="shared" si="626"/>
        <v>11.509478560000002</v>
      </c>
      <c r="NK153" s="388">
        <f t="shared" si="627"/>
        <v>0.14131936269250853</v>
      </c>
      <c r="NL153" s="388">
        <f t="shared" si="628"/>
        <v>4.670571678836307</v>
      </c>
      <c r="NM153" s="388">
        <f t="shared" si="629"/>
        <v>0.14131936269250853</v>
      </c>
      <c r="NN153" s="388">
        <f t="shared" si="630"/>
        <v>4.7162583096641795</v>
      </c>
      <c r="NO153" s="388">
        <f t="shared" si="631"/>
        <v>0.22908295509937718</v>
      </c>
      <c r="NP153" s="388">
        <f t="shared" si="632"/>
        <v>5.2628884457893736</v>
      </c>
      <c r="NQ153" s="388">
        <f t="shared" si="633"/>
        <v>0.22908295509937718</v>
      </c>
      <c r="NR153" s="388">
        <f t="shared" si="634"/>
        <v>5.3188532855639536</v>
      </c>
      <c r="NS153" s="388">
        <f t="shared" si="635"/>
        <v>0.15132834152167779</v>
      </c>
      <c r="NT153" s="388">
        <f t="shared" si="636"/>
        <v>0.15132834152167779</v>
      </c>
      <c r="NU153" s="388">
        <f t="shared" si="637"/>
        <v>0.2416956311389071</v>
      </c>
      <c r="NV153" s="388">
        <f t="shared" si="638"/>
        <v>0.2416956311389071</v>
      </c>
      <c r="NW153">
        <f t="shared" si="639"/>
        <v>0.25403959424631423</v>
      </c>
      <c r="NX153">
        <f>各项系数!$M$9*NK153</f>
        <v>4.2395808807752559E-2</v>
      </c>
      <c r="NY153">
        <f t="shared" si="640"/>
        <v>0.15132834152167776</v>
      </c>
    </row>
    <row r="154" spans="1:389" ht="15" hidden="1" customHeight="1">
      <c r="A154" s="69"/>
      <c r="B154" s="70"/>
      <c r="C154" s="69"/>
      <c r="D154" s="102" t="s">
        <v>233</v>
      </c>
      <c r="E154" s="61">
        <f t="shared" si="687"/>
        <v>10.52190034</v>
      </c>
      <c r="F154" s="405">
        <f t="shared" si="693"/>
        <v>110.31595161029</v>
      </c>
      <c r="G154" s="16"/>
      <c r="H154" s="16"/>
      <c r="I154" s="145">
        <v>0</v>
      </c>
      <c r="J154" s="16"/>
      <c r="K154" s="16"/>
      <c r="L154" s="97" t="s">
        <v>469</v>
      </c>
      <c r="M154" s="103">
        <f t="shared" si="582"/>
        <v>0.6</v>
      </c>
      <c r="N154" s="103">
        <f t="shared" si="583"/>
        <v>0</v>
      </c>
      <c r="O154" s="53">
        <f t="shared" si="688"/>
        <v>0.08</v>
      </c>
      <c r="P154" s="99">
        <v>0.1</v>
      </c>
      <c r="Q154" s="133">
        <f t="shared" ref="Q154:Q163" si="700">$Q$12</f>
        <v>0.1</v>
      </c>
      <c r="R154" s="406">
        <v>0.8</v>
      </c>
      <c r="S154" s="142" t="str">
        <f>各项系数!$D$43</f>
        <v>钢带</v>
      </c>
      <c r="T154" s="102">
        <v>0.2</v>
      </c>
      <c r="U154" s="62">
        <v>4</v>
      </c>
      <c r="V154" s="143"/>
      <c r="W154" s="141">
        <f t="shared" si="694"/>
        <v>1.2</v>
      </c>
      <c r="X154" s="135">
        <f t="shared" ref="X154:X163" si="701">$X$12</f>
        <v>0.2</v>
      </c>
      <c r="Y154" s="135"/>
      <c r="Z154" s="168"/>
      <c r="AA154" s="153">
        <v>1</v>
      </c>
      <c r="AB154" s="153">
        <f>PI()*EJ154*EJ154/4*EH154*(1-H154)*AA154*各项系数!$F$5*各项系数!$J$4*10^-7</f>
        <v>8.4545666936336993E-3</v>
      </c>
      <c r="AC154" s="153">
        <f t="shared" si="573"/>
        <v>110.31595161029</v>
      </c>
      <c r="AD154" s="153">
        <f t="shared" si="584"/>
        <v>0.95579886989884189</v>
      </c>
      <c r="AE154" s="153">
        <f>POWER(4*EU154/PI()/EG154/10^-7/EH154/(1-H154)/各项系数!$F$5/各项系数!$J$4,0.5)</f>
        <v>110.31595161029</v>
      </c>
      <c r="AF154" s="69">
        <v>1</v>
      </c>
      <c r="AG154" s="69">
        <f>IF(EM154=0,0,PI()*ER154*ER154/4*EP154*(1-K154)*(1+AF154)*各项系数!$F$5*各项系数!$J$4*10^-7)</f>
        <v>0</v>
      </c>
      <c r="AH154" s="69">
        <f t="shared" si="574"/>
        <v>0</v>
      </c>
      <c r="AI154" s="69">
        <f t="shared" si="641"/>
        <v>0</v>
      </c>
      <c r="AJ154" s="69">
        <f>IF(OR(EP154="",EP154=0),0,POWER(4*EW154/PI()/EO154/10^-7/EP154/(1-K154)/各项系数!$F$5/各项系数!$J$4,0.5))</f>
        <v>0</v>
      </c>
      <c r="AK154" s="69" t="str">
        <f t="shared" si="585"/>
        <v>√</v>
      </c>
      <c r="AL154" s="69">
        <f t="shared" si="575"/>
        <v>5.8927658471797146</v>
      </c>
      <c r="AM154" s="188">
        <f t="shared" si="576"/>
        <v>1</v>
      </c>
      <c r="AN154" s="97" t="s">
        <v>486</v>
      </c>
      <c r="AO154" s="196">
        <f>AP154+各项系数!$M$9*$NK154</f>
        <v>5.7772214188036415</v>
      </c>
      <c r="AP154" s="196">
        <f>AQ154*(1+$BI154+(VLOOKUP($AM154,$A$12:$B$323,2,0))+各项系数!$J$6+各项系数!$M$5)*(1+$E$2)</f>
        <v>5.7265968213754919</v>
      </c>
      <c r="AQ154" s="197">
        <f>AR154+各项系数!$L$9*$NK154</f>
        <v>5.6187174464045251</v>
      </c>
      <c r="AR154" s="197">
        <f>AS154*(1+$BJ154+各项系数!$J$5+各项系数!$L$5)</f>
        <v>5.5680928489763755</v>
      </c>
      <c r="AS154" s="197">
        <f t="shared" si="642"/>
        <v>5.3539354317080532</v>
      </c>
      <c r="AT154" s="196">
        <f>AU154+各项系数!$M$9*$NM154</f>
        <v>6.1460074733937198</v>
      </c>
      <c r="AU154" s="196">
        <f>AV154*(1+$BI154+(VLOOKUP($AM154,$A$12:$B$323,2,0))+各项系数!$J$6+各项系数!$M$5)*(1+$E$2)</f>
        <v>6.0953828759655702</v>
      </c>
      <c r="AV154" s="197">
        <f>AW154+各项系数!$L$9*$NM154</f>
        <v>5.9805561969834864</v>
      </c>
      <c r="AW154" s="197">
        <f>AX154*(1+$BJ154+各项系数!$J$5+各项系数!$L$5)</f>
        <v>5.9299315995553368</v>
      </c>
      <c r="AX154" s="197">
        <f t="shared" si="643"/>
        <v>5.7018573072647465</v>
      </c>
      <c r="AY154" s="196">
        <f>AZ154+各项系数!$M$9*$NS154</f>
        <v>6.6132142124477049</v>
      </c>
      <c r="AZ154" s="196">
        <f>BA154*(1+$BI154+(VLOOKUP($AM154,$A$12:$B$214,2,0))+各项系数!$J$6+各项系数!$M$5)*(1+$E$2)</f>
        <v>6.5591526088444079</v>
      </c>
      <c r="BA154" s="197">
        <f>BB154+各项系数!$L$9*$NS154</f>
        <v>6.4355892943920798</v>
      </c>
      <c r="BB154" s="197">
        <f>BC154*(1+$BJ154+各项系数!$J$5+各项系数!$L$5)</f>
        <v>6.3815276907887828</v>
      </c>
      <c r="BC154" s="199">
        <f t="shared" si="644"/>
        <v>6.1360843180661373</v>
      </c>
      <c r="BD154" s="196">
        <f>BE154+各项系数!$M$9*$NS154</f>
        <v>6.988330067462833</v>
      </c>
      <c r="BE154" s="196">
        <f>BF154*(1+$BI154+(VLOOKUP($AM154,$A$12:$B$214,2,0))+各项系数!$J$6+各项系数!$M$5)*(1+$E$2)</f>
        <v>6.934268463859536</v>
      </c>
      <c r="BF154" s="197">
        <f>BG154+各项系数!$L$9*$NS154</f>
        <v>6.8036386026879274</v>
      </c>
      <c r="BG154" s="197">
        <f>BH154*(1+$BJ154+各项系数!$J$5+各项系数!$L$5)</f>
        <v>6.7495769990846304</v>
      </c>
      <c r="BH154" s="199">
        <f t="shared" si="645"/>
        <v>6.4899778837352216</v>
      </c>
      <c r="BI154" s="213"/>
      <c r="BJ154" s="208">
        <f t="shared" si="695"/>
        <v>0.02</v>
      </c>
      <c r="BK154" s="102" t="s">
        <v>514</v>
      </c>
      <c r="BL154" s="196">
        <f>BM154+各项系数!$M$9*$NM154</f>
        <v>5.8867965829234352</v>
      </c>
      <c r="BM154" s="196">
        <f>BN154*(1+$CF154+(VLOOKUP($AM154,$A$12:$B$323,2,0))+各项系数!$J$6+各项系数!$M$5)*(1+$E$2)</f>
        <v>5.8361719854952856</v>
      </c>
      <c r="BN154" s="197">
        <f>BO154+各项系数!$L$9*$NM154</f>
        <v>5.7262284002112294</v>
      </c>
      <c r="BO154" s="197">
        <f>BP154*(1+$CG154+各项系数!$J$5+各项系数!$L$5)</f>
        <v>5.6756038027830797</v>
      </c>
      <c r="BP154" s="197">
        <f t="shared" si="646"/>
        <v>5.4053369550315047</v>
      </c>
      <c r="BQ154" s="196">
        <f>BR154+各项系数!$M$9*$NM154</f>
        <v>6.2041208030693609</v>
      </c>
      <c r="BR154" s="196">
        <f>BS154*(1+$CF154+(VLOOKUP($AM154,$A$12:$B$323,2,0))+各项系数!$J$6+各项系数!$M$5)*(1+$E$2)</f>
        <v>6.1534962056412112</v>
      </c>
      <c r="BS154" s="197">
        <f>BT154+各项系数!$L$9*$NM154</f>
        <v>6.0375747700561337</v>
      </c>
      <c r="BT154" s="197">
        <f>BU154*(1+$CG154+各项系数!$J$5+各项系数!$L$5)</f>
        <v>5.9869501726279841</v>
      </c>
      <c r="BU154" s="197">
        <f t="shared" si="647"/>
        <v>5.7018573072647465</v>
      </c>
      <c r="BV154" s="196">
        <f>BW154+各项系数!$M$9*$NT154</f>
        <v>6.6850276604539269</v>
      </c>
      <c r="BW154" s="196">
        <f>BX154*(1+$CF154+(VLOOKUP($AM154,$A$12:$B$214,2,0))+各项系数!$J$6+各项系数!$M$5)*(1+$E$2)</f>
        <v>6.6309660568506299</v>
      </c>
      <c r="BX154" s="197">
        <f>BY154+各项系数!$L$9*$NT$12</f>
        <v>6.5060498987937887</v>
      </c>
      <c r="BY154" s="197">
        <f>BZ154*(1+$CG154+各项系数!$J$5+各项系数!$L$5)</f>
        <v>6.4977864956388149</v>
      </c>
      <c r="BZ154" s="199">
        <f t="shared" si="586"/>
        <v>6.1883680910845857</v>
      </c>
      <c r="CA154" s="196">
        <f>CB154+各项系数!$M$9*$NT154</f>
        <v>7.0077983961569315</v>
      </c>
      <c r="CB154" s="196">
        <f>CC154*(1+$CF154+(VLOOKUP($AM154,$A$12:$B$214,2,0))+各项系数!$J$6+各项系数!$M$5)*(1+$E$2)</f>
        <v>6.9537367925536344</v>
      </c>
      <c r="CC154" s="197">
        <f>CD154+各项系数!$L$9*$NT$12</f>
        <v>6.8227401810769566</v>
      </c>
      <c r="CD154" s="197">
        <f>CE154*(1+$CG154+各项系数!$J$5+各项系数!$L$5)</f>
        <v>6.8144767779219828</v>
      </c>
      <c r="CE154" s="199">
        <f t="shared" si="648"/>
        <v>6.4899778837352216</v>
      </c>
      <c r="CF154" s="213">
        <f t="shared" si="514"/>
        <v>0</v>
      </c>
      <c r="CG154" s="213">
        <f t="shared" si="587"/>
        <v>0.03</v>
      </c>
      <c r="CH154" s="102"/>
      <c r="CI154" s="196">
        <f>CJ154+各项系数!$M$9*$NO154</f>
        <v>6.6758618026848566</v>
      </c>
      <c r="CJ154" s="196">
        <f>CK154*(1+$DC154+(VLOOKUP($AM154,$A$12:$B$323,2,0))+各项系数!$J$6+各项系数!$M$5)*(1+$E$2)+各项系数!$M$9*$NK154</f>
        <v>6.5815814992641739</v>
      </c>
      <c r="CK154" s="197">
        <f>CL154+各项系数!$L$9*$NO154</f>
        <v>6.407924746699396</v>
      </c>
      <c r="CL154" s="197">
        <f>CM154*(1+$DD154+各项系数!$J$5+各项系数!$L$5)</f>
        <v>6.3136444432787133</v>
      </c>
      <c r="CM154" s="197">
        <f t="shared" si="588"/>
        <v>6.0708119646910701</v>
      </c>
      <c r="CN154" s="196">
        <f>CO154+各项系数!$M$9*$NO154</f>
        <v>6.9199213664622716</v>
      </c>
      <c r="CO154" s="196">
        <f>CP154*(1+$DC154+(VLOOKUP($AM154,$A$12:$B$323,2,0))+各项系数!$J$6+各项系数!$M$5)*(1+$E$2)+各项系数!$M$9*$NK154</f>
        <v>6.8256410630415889</v>
      </c>
      <c r="CP154" s="197">
        <f>CQ154+各项系数!$L$9*$NO154</f>
        <v>6.6473866420854</v>
      </c>
      <c r="CQ154" s="197">
        <f>CR154*(1+$DD154+各项系数!$J$5+各项系数!$L$5)</f>
        <v>6.5531063386647173</v>
      </c>
      <c r="CR154" s="197">
        <f t="shared" si="589"/>
        <v>6.301063787177613</v>
      </c>
      <c r="CS154" s="196">
        <f>CT154+各项系数!$M$9*$NU154</f>
        <v>7.6763084941250117</v>
      </c>
      <c r="CT154" s="196">
        <f t="shared" si="590"/>
        <v>7.5776969318714169</v>
      </c>
      <c r="CU154" s="197">
        <f>CV154+各项系数!$L$9*$NU154</f>
        <v>7.4349459692615945</v>
      </c>
      <c r="CV154" s="197">
        <f>CW154*(1+$DD154+各项系数!$J$5+各项系数!$L$5)</f>
        <v>7.3363344070079997</v>
      </c>
      <c r="CW154" s="199">
        <f t="shared" si="591"/>
        <v>7.054167699046153</v>
      </c>
      <c r="CX154" s="196">
        <f>CY154+各项系数!$M$9*$NU154</f>
        <v>8.1358480623092522</v>
      </c>
      <c r="CY154" s="196">
        <f t="shared" si="592"/>
        <v>8.0372365000556574</v>
      </c>
      <c r="CZ154" s="197">
        <f>DA154+各项系数!$L$9*$NU154</f>
        <v>7.8858285911064154</v>
      </c>
      <c r="DA154" s="197">
        <f>DB154*(1+$DD154+各项系数!$J$5+各项系数!$L$5)</f>
        <v>7.7872170288528206</v>
      </c>
      <c r="DB154" s="199">
        <f t="shared" si="593"/>
        <v>7.4877086815892504</v>
      </c>
      <c r="DC154" s="213">
        <f t="shared" si="698"/>
        <v>0</v>
      </c>
      <c r="DD154" s="213">
        <f t="shared" si="594"/>
        <v>0.02</v>
      </c>
      <c r="DE154" s="53" t="s">
        <v>498</v>
      </c>
      <c r="DF154" s="53" t="s">
        <v>513</v>
      </c>
      <c r="DG154" s="196">
        <f>DH154+各项系数!$M$9*$NQ154</f>
        <v>6.8053359508281677</v>
      </c>
      <c r="DH154" s="196">
        <f>DI154*(1+$EA154+(VLOOKUP($AM154,$A$12:$B$323,2,0))+各项系数!$J$6+各项系数!$M$5)*(1+$E$2)+各项系数!$M$9*$NK154</f>
        <v>6.7110556474074849</v>
      </c>
      <c r="DI154" s="197">
        <f>DJ154+各项系数!$L$9*$NQ154</f>
        <v>6.5349598214082958</v>
      </c>
      <c r="DJ154" s="197">
        <f>DK154*(1+$EB154+各项系数!$J$5+各项系数!$L$5)</f>
        <v>6.4406795179876131</v>
      </c>
      <c r="DK154" s="197">
        <f t="shared" si="595"/>
        <v>6.1339804933215358</v>
      </c>
      <c r="DL154" s="196">
        <f>DM154+各项系数!$M$9*$NQ154</f>
        <v>7.1953030722166327</v>
      </c>
      <c r="DM154" s="196">
        <f>DN154*(1+$EA154+(VLOOKUP($AM154,$A$12:$B$323,2,0))+各项系数!$J$6+各项系数!$M$5)*(1+$E$2)+各项系数!$M$9*$NK154</f>
        <v>7.10102276879595</v>
      </c>
      <c r="DN154" s="197">
        <f>DO154+各项系数!$L$9*$NQ154</f>
        <v>6.917580623398548</v>
      </c>
      <c r="DO154" s="197">
        <f>DP154*(1+$EB154+各项系数!$J$5+各项系数!$L$5)</f>
        <v>6.8233003199778652</v>
      </c>
      <c r="DP154" s="197">
        <f t="shared" si="596"/>
        <v>6.4983812571217765</v>
      </c>
      <c r="DQ154" s="196">
        <f>DR154+各项系数!$M$9*$NV154</f>
        <v>7.8167491522464676</v>
      </c>
      <c r="DR154" s="196">
        <f t="shared" si="597"/>
        <v>7.7181375899928728</v>
      </c>
      <c r="DS154" s="197">
        <f>DT154+各项系数!$L$9*$NV154</f>
        <v>7.5727409634937919</v>
      </c>
      <c r="DT154" s="197">
        <f>DU154*(1+$EB154+各项系数!$J$5+各项系数!$L$5)</f>
        <v>7.4741294012401971</v>
      </c>
      <c r="DU154" s="199">
        <f t="shared" si="598"/>
        <v>7.1182184773716157</v>
      </c>
      <c r="DV154" s="196">
        <f>DW154+各项系数!$M$9*$NV154</f>
        <v>7.7443442276506076</v>
      </c>
      <c r="DW154" s="196">
        <f t="shared" si="599"/>
        <v>7.6457326653970128</v>
      </c>
      <c r="DX154" s="197">
        <f>DY154+各项系数!$L$9*$NV154</f>
        <v>7.5017000249185761</v>
      </c>
      <c r="DY154" s="197">
        <f>DZ154*(1+$EB154+各项系数!$J$5+各项系数!$L$5)</f>
        <v>7.4030884626649813</v>
      </c>
      <c r="DZ154" s="199">
        <f t="shared" si="600"/>
        <v>7.0505604406333156</v>
      </c>
      <c r="EA154" s="213">
        <f t="shared" si="699"/>
        <v>0</v>
      </c>
      <c r="EB154" s="213">
        <f t="shared" si="601"/>
        <v>0.03</v>
      </c>
      <c r="EC154" s="235">
        <f t="shared" si="649"/>
        <v>8</v>
      </c>
      <c r="ED154" s="235" t="str">
        <f t="shared" si="680"/>
        <v>8*1</v>
      </c>
      <c r="EE154" s="189">
        <f t="shared" si="495"/>
        <v>1</v>
      </c>
      <c r="EF154" s="189">
        <f>LOOKUP(EH154,{1,7,10,14,19,24,30,37,48,61},{1,"1+6","2+8","4+10","1+6+12","2+8+14","4+10+16","1+6+12+18","3+9+15+21","1+6+12+18+24"})</f>
        <v>1</v>
      </c>
      <c r="EG154" s="188">
        <f t="shared" si="602"/>
        <v>8</v>
      </c>
      <c r="EH154" s="197">
        <f>VLOOKUP(EE154,各项系数!$B$87:$C$124,2,0)</f>
        <v>1</v>
      </c>
      <c r="EI154" s="188">
        <f>IF(EH154=0,0,VLOOKUP(EH154,各项系数!$D$142:$E$195,2,0))*1</f>
        <v>1</v>
      </c>
      <c r="EJ154" s="238">
        <f t="shared" si="650"/>
        <v>110.31595161029</v>
      </c>
      <c r="EK154" s="189">
        <f t="shared" si="689"/>
        <v>0</v>
      </c>
      <c r="EL154" s="189">
        <f t="shared" si="603"/>
        <v>0</v>
      </c>
      <c r="EM154" s="189">
        <f t="shared" si="690"/>
        <v>0</v>
      </c>
      <c r="EN154" s="189">
        <f>IF(EP154=0,0,LOOKUP(EP154,{1,7,10,14,19,24,30,37,48,61},{1,"1+6","2+8","4+10","1+6+12","2+8+14","4+10+16","1+6+12+18","3+9+15+21","1+6+12+18+24"}))</f>
        <v>0</v>
      </c>
      <c r="EO154" s="189">
        <f t="shared" si="691"/>
        <v>0</v>
      </c>
      <c r="EP154" s="189">
        <f>IF(EM154=0,0,IF(EM154&lt;10,1,IF(AND(EM154&gt;=10,EM154&lt;=35),7,LOOKUP(EM154,{50,70,95,120,150,185,240,300},{10,14,19,24,30,37,48,61})*1)))</f>
        <v>0</v>
      </c>
      <c r="EQ154" s="189">
        <f>IF(EP154=0,0,VLOOKUP(EP154,各项系数!$D$142:$E$195,2,0))*1</f>
        <v>0</v>
      </c>
      <c r="ER154" s="53">
        <f t="shared" si="577"/>
        <v>0</v>
      </c>
      <c r="ES154" s="412">
        <f t="shared" si="692"/>
        <v>8</v>
      </c>
      <c r="ET154" s="189">
        <f>VLOOKUP(ES154,各项系数!$D$142:$E$195,2,0)*1</f>
        <v>3.45</v>
      </c>
      <c r="EU154" s="243">
        <f>((各项系数!$F$76/4*$EJ154^2*$EG154*$EH154*1*10^-7)*(1-$H154)*AA154)*(VLOOKUP($EY$9,各项系数!$D$4:$F$143,3,0))*各项系数!$J$4</f>
        <v>6.7636533549069608E-2</v>
      </c>
      <c r="EV154" s="244">
        <f>EU154*(VLOOKUP($EY$9,各项系数!$D$4:$F$143,2,0))</f>
        <v>4.4301929474640591</v>
      </c>
      <c r="EW154" s="252">
        <f>(IF($EO154=0,0,(各项系数!$F$76/4*$ER154^2*$EO154*$EP154*1*10^-7))*(1-$K154)*$AF154)*(VLOOKUP($EY$9,各项系数!$D$4:$F$143,3,0))*各项系数!$J$4</f>
        <v>0</v>
      </c>
      <c r="EX154" s="253">
        <f>EW154*(VLOOKUP($EY$9,各项系数!$D$4:$F$143,2,0))</f>
        <v>0</v>
      </c>
      <c r="EY154" s="189">
        <f>((各项系数!$F$76/4*$EJ154^2*$EG154*$EH154*1*10^-7)*(1-$H154)*AA154+IF($EO154=0,0,(各项系数!$F$76/4*$ER154^2*$EO154*$EP154*1*10^-7))*(1-$K154)*$AF154)*(VLOOKUP($EY$9,各项系数!$D$4:$F$143,3,0))*各项系数!$J$4</f>
        <v>6.7636533549069608E-2</v>
      </c>
      <c r="EZ154" s="102">
        <v>1</v>
      </c>
      <c r="FA154" s="189">
        <f t="shared" si="515"/>
        <v>6.7636533549069608E-2</v>
      </c>
      <c r="FB154" s="254">
        <f>FA154*(VLOOKUP($EY$9,各项系数!$D$4:$F$143,2,0))</f>
        <v>4.4301929474640591</v>
      </c>
      <c r="FC154" s="255"/>
      <c r="FD154" s="235">
        <f>各项系数!$F$76/4*($MN154^2-MK154^2)*10^-2*(VLOOKUP(L154,各项系数!$D$1:$F$143,3,0))*10^-3*10^2*$EG154*各项系数!$J$4</f>
        <v>2.8110087818967799E-2</v>
      </c>
      <c r="FE154" s="262">
        <f>FD154*VLOOKUP(L154,各项系数!$D$1:$F$143,2,0)</f>
        <v>0.3232660099181297</v>
      </c>
      <c r="FF154" s="188">
        <f>各项系数!$F$76/4*($MO154^2-ML154^2)*10^-2*(VLOOKUP(L154,各项系数!$D$1:$F$143,3,0))*10^-3*10^2*$EO154*各项系数!$J$4</f>
        <v>0</v>
      </c>
      <c r="FG154" s="262">
        <f>FF154*VLOOKUP(L154,各项系数!$D$1:$F$143,2,0)</f>
        <v>0</v>
      </c>
      <c r="FH154" s="235">
        <f t="shared" si="651"/>
        <v>2.8110087818967799E-2</v>
      </c>
      <c r="FI154" s="102">
        <v>1</v>
      </c>
      <c r="FJ154" s="189">
        <f t="shared" si="516"/>
        <v>2.8110087818967799E-2</v>
      </c>
      <c r="FK154" s="262">
        <f>FJ154*VLOOKUP(L154,各项系数!$D$1:$F$143,2,0)</f>
        <v>0.3232660099181297</v>
      </c>
      <c r="FL154" s="235"/>
      <c r="FM154" s="102"/>
      <c r="FN154" s="189"/>
      <c r="FO154" s="262"/>
      <c r="FP154" s="282">
        <f t="shared" si="517"/>
        <v>2.8110087818967799E-2</v>
      </c>
      <c r="FQ154" s="282">
        <f t="shared" si="518"/>
        <v>0.3232660099181297</v>
      </c>
      <c r="FR154" s="283">
        <f>各项系数!$F$76/4*($MQ154^2-$MN154^2*$EG154-$MO154^2*$EO154)*10^-2</f>
        <v>0.16258513256423346</v>
      </c>
      <c r="FS154" s="284">
        <f t="shared" si="652"/>
        <v>1</v>
      </c>
      <c r="FT154" s="285">
        <f t="shared" si="604"/>
        <v>0.16258513256423346</v>
      </c>
      <c r="FU154" s="302">
        <f>$FT154*(VLOOKUP($FT$9,各项系数!$D$1:$F$143,3,0))*10^-3*10^2*各项系数!$J$55</f>
        <v>1.9412664828169474E-2</v>
      </c>
      <c r="FV154" s="303">
        <v>1</v>
      </c>
      <c r="FW154" s="304">
        <f t="shared" si="519"/>
        <v>1.9412664828169474E-2</v>
      </c>
      <c r="FX154" s="285">
        <f>FW154*(VLOOKUP($FT$9,各项系数!$D$1:$F$143,2,0))</f>
        <v>5.8237994484508421E-2</v>
      </c>
      <c r="FY154" s="302">
        <f>IF($BK154&lt;&gt;$FY$9,0,各项系数!$F$76/4*($MS154^2-$MQ154^2)*10^-2*(VLOOKUP($FY$9,各项系数!$D$1:$F$143,3,0))*10^-3*10^2)*各项系数!$J$4</f>
        <v>0</v>
      </c>
      <c r="FZ154" s="303">
        <v>1</v>
      </c>
      <c r="GA154" s="304">
        <f t="shared" si="520"/>
        <v>0</v>
      </c>
      <c r="GB154" s="285">
        <f>GA154*(VLOOKUP($FY$9,各项系数!$D$1:$F$143,2,0))</f>
        <v>0</v>
      </c>
      <c r="GC154" s="302">
        <f>IF($BK154&lt;&gt;$GC$9,0,各项系数!$F$76/4*($MS154^2-$MQ154^2)*10^-2*(VLOOKUP($GC$9,各项系数!$D$1:$F$143,3,0))*10^-3*10^2)*各项系数!$J$4</f>
        <v>2.1878485741740057E-3</v>
      </c>
      <c r="GD154" s="303">
        <v>1</v>
      </c>
      <c r="GE154" s="304">
        <f t="shared" si="521"/>
        <v>2.1878485741740057E-3</v>
      </c>
      <c r="GF154" s="285">
        <f>GE154*(VLOOKUP($GC$9,各项系数!$D$1:$F$143,2,0))</f>
        <v>2.8223246606844676E-2</v>
      </c>
      <c r="GG154" s="302">
        <f>IF($BK154&lt;&gt;$GG$9,0,各项系数!$F$76/4*($MS154^2-$MQ154^2)*10^-2*(VLOOKUP($GG$9,各项系数!$D$1:$F$143,3,0))*10^-3*10^2)*各项系数!$J$4</f>
        <v>0</v>
      </c>
      <c r="GH154" s="303">
        <v>1</v>
      </c>
      <c r="GI154" s="304">
        <f t="shared" si="522"/>
        <v>0</v>
      </c>
      <c r="GJ154" s="285">
        <f>GI154*(VLOOKUP($GG$9,各项系数!$D$1:$F$143,2,0))</f>
        <v>0</v>
      </c>
      <c r="GK154" s="302">
        <f>IF($BK154&lt;&gt;$GK$9,0,各项系数!$F$76/4*($MS154^2-$MQ154^2)*10^-2*(VLOOKUP($GK$9,各项系数!$D$1:$F$143,3,0))*10^-3*10^2)*各项系数!$J$4</f>
        <v>0</v>
      </c>
      <c r="GL154" s="303">
        <v>1</v>
      </c>
      <c r="GM154" s="304">
        <f t="shared" si="523"/>
        <v>0</v>
      </c>
      <c r="GN154" s="285">
        <f>GM154*(VLOOKUP($GK$9,各项系数!$D$1:$F$143,2,0))</f>
        <v>0</v>
      </c>
      <c r="GO154" s="304">
        <f t="shared" si="524"/>
        <v>2.1878485741740057E-3</v>
      </c>
      <c r="GP154" s="304">
        <f t="shared" si="525"/>
        <v>2.8223246606844676E-2</v>
      </c>
      <c r="GQ154" s="315">
        <f>各项系数!$F$76/4*($MU154^2-$MS154^2)*10^-2*(VLOOKUP($S154,各项系数!$D$1:$F$143,3,0))*10^-3*10^2*各项系数!$J$4</f>
        <v>0.1279210680556522</v>
      </c>
      <c r="GR154" s="303">
        <v>1</v>
      </c>
      <c r="GS154" s="304">
        <f t="shared" si="526"/>
        <v>0.1279210680556522</v>
      </c>
      <c r="GT154" s="304">
        <f t="shared" si="696"/>
        <v>1</v>
      </c>
      <c r="GU154" s="304">
        <f>ROUND($GS154*(VLOOKUP($S154,各项系数!$D$1:$F$143,2,0))+$E$3*GS154,GT154)</f>
        <v>0.7</v>
      </c>
      <c r="GV154" s="315">
        <f>各项系数!$F$76/4*($MT154^2-$MS154^2)*10^-2*(VLOOKUP($GV$9,各项系数!$D$1:$F$143,3,0))*10^-3*10^2*各项系数!$J$4*PI()/4*R154</f>
        <v>1.1456687250490661E-2</v>
      </c>
      <c r="GW154" s="303">
        <v>1</v>
      </c>
      <c r="GX154" s="304">
        <f t="shared" si="527"/>
        <v>1.1456687250490661E-2</v>
      </c>
      <c r="GY154" s="304">
        <f>$GX154*(VLOOKUP($GV$9,各项系数!$D$1:$F$143,2,0))</f>
        <v>0.7733263894081196</v>
      </c>
      <c r="GZ154" s="315">
        <f>各项系数!$F$76/4*($MV154^2-$MS154^2)*10^-2*(VLOOKUP($GZ$9,各项系数!$D$1:$F$143,3,0))*10^-3*10^2*各项系数!$J$4</f>
        <v>5.0702182870070868E-2</v>
      </c>
      <c r="HA154" s="303">
        <v>1</v>
      </c>
      <c r="HB154" s="304">
        <f t="shared" si="653"/>
        <v>5.0702182870070868E-2</v>
      </c>
      <c r="HC154" s="304">
        <f>HB154*(VLOOKUP($GZ$9,各项系数!$D$1:$F$143,2,0))</f>
        <v>0.86193710879120478</v>
      </c>
      <c r="HD154" s="315">
        <f>各项系数!$F$76/4*($MW154^2-$MT154^2)*10^-2*(VLOOKUP($HD$9,各项系数!$D$1:$F$143,3,0))*10^-3*10^2*各项系数!$J$4</f>
        <v>5.1572429167856475E-2</v>
      </c>
      <c r="HE154" s="303">
        <v>1</v>
      </c>
      <c r="HF154" s="304">
        <f t="shared" si="654"/>
        <v>5.1572429167856475E-2</v>
      </c>
      <c r="HG154" s="304">
        <f>HF154*(VLOOKUP($HD$9,各项系数!$D$1:$F$143,2,0))</f>
        <v>0.87673129585356002</v>
      </c>
      <c r="HH154" s="315">
        <f>各项系数!$F$76/4*($MV154^2-$MS154^2)*10^-2*(VLOOKUP($HH$9,各项系数!$D$1:$F$143,3,0))*10^-3*10^2*各项系数!$J$4</f>
        <v>5.0702182870070868E-2</v>
      </c>
      <c r="HI154" s="322">
        <v>1</v>
      </c>
      <c r="HJ154" s="304">
        <f t="shared" si="655"/>
        <v>5.0702182870070868E-2</v>
      </c>
      <c r="HK154" s="304">
        <f>HJ154*(VLOOKUP($HH$9,各项系数!$D$1:$F$143,2,0))</f>
        <v>0.86193710879120478</v>
      </c>
      <c r="HL154" s="315">
        <f>各项系数!$F$76/4*($MW154^2-$MT154^2)*10^-2*(VLOOKUP($HL$9,各项系数!$D$1:$F$143,3,0))*10^-3*10^2*各项系数!$J$4</f>
        <v>5.1572429167856475E-2</v>
      </c>
      <c r="HM154" s="322">
        <v>1</v>
      </c>
      <c r="HN154" s="304">
        <f t="shared" si="605"/>
        <v>5.1572429167856475E-2</v>
      </c>
      <c r="HO154" s="304">
        <f>HN154*(VLOOKUP($HL$9,各项系数!$D$1:$F$143,2,0))</f>
        <v>0.87673129585356002</v>
      </c>
      <c r="HP154" s="315">
        <f>各项系数!$F$76/4*($MV154^2-$MS154^2)*10^-2*(VLOOKUP(AN154,各项系数!$D$1:$F$143,3,0))*10^-3*10^2*各项系数!$J$4</f>
        <v>5.1401523323451173E-2</v>
      </c>
      <c r="HQ154" s="303">
        <v>1</v>
      </c>
      <c r="HR154" s="304">
        <f t="shared" si="528"/>
        <v>5.1401523323451173E-2</v>
      </c>
      <c r="HS154" s="304">
        <f>HR154*(VLOOKUP(AN154,各项系数!$D$1:$F$143,2,0))</f>
        <v>0.5140152332345117</v>
      </c>
      <c r="HT154" s="315">
        <f>各项系数!$F$76/4*($MW154^2-$MT154^2)*10^-2*(VLOOKUP(AN154,各项系数!$D$1:$F$143,3,0))*10^-3*10^2*各项系数!$J$4</f>
        <v>5.2283773018447596E-2</v>
      </c>
      <c r="HU154" s="303">
        <v>1</v>
      </c>
      <c r="HV154" s="304">
        <f t="shared" si="529"/>
        <v>5.2283773018447596E-2</v>
      </c>
      <c r="HW154" s="304">
        <f>HV154*(VLOOKUP(AN154,各项系数!$D$1:$F$143,2,0))</f>
        <v>0.52283773018447599</v>
      </c>
      <c r="HX154" s="315">
        <f>各项系数!$F$76/4*($MV154^2-$MS154^2)*10^-2*(VLOOKUP($HX$9,各项系数!$D$1:$F$143,3,0))*10^-3*10^2*各项系数!$J$4</f>
        <v>5.1401523323451173E-2</v>
      </c>
      <c r="HY154" s="322">
        <v>1</v>
      </c>
      <c r="HZ154" s="304">
        <f t="shared" si="530"/>
        <v>5.1401523323451173E-2</v>
      </c>
      <c r="IA154" s="304">
        <f>HZ154*(VLOOKUP($HX$9,各项系数!$D$1:$F$143,2,0))</f>
        <v>0.56541675655796286</v>
      </c>
      <c r="IB154" s="315">
        <f>各项系数!$F$76/4*($MW154^2-$MT154^2)*10^-2*(VLOOKUP($IB$9,各项系数!$D$1:$F$143,3,0))*10^-3*10^2*各项系数!$J$4</f>
        <v>5.2283773018447596E-2</v>
      </c>
      <c r="IC154" s="322">
        <v>1</v>
      </c>
      <c r="ID154" s="304">
        <f t="shared" si="531"/>
        <v>5.2283773018447596E-2</v>
      </c>
      <c r="IE154" s="304">
        <f>ID154*(VLOOKUP($IB$9,各项系数!$D$1:$F$143,2,0))</f>
        <v>0.57512150320292355</v>
      </c>
      <c r="IF154" s="328"/>
      <c r="IG154" s="315">
        <f t="shared" si="656"/>
        <v>1.5790013501930454E-2</v>
      </c>
      <c r="IH154" s="303">
        <v>1</v>
      </c>
      <c r="II154" s="304">
        <f t="shared" si="532"/>
        <v>1.5790013501930454E-2</v>
      </c>
      <c r="IJ154" s="304">
        <f>II154*(VLOOKUP($IG$8,各项系数!$D$1:$F$143,2,0))</f>
        <v>0.39475033754826133</v>
      </c>
      <c r="IK154" s="315">
        <f>(各项系数!$F$76/4*($MX154^2-$MK154^2)*$EG154)*10^-2*(VLOOKUP($IG$8,各项系数!$D$1:$F$143,3,0))*10^-3*10^2*各项系数!$J$4</f>
        <v>1.5790013501930454E-2</v>
      </c>
      <c r="IL154" s="303">
        <f>IK154*(VLOOKUP($IG$8,各项系数!$D$1:$F$143,2,0))</f>
        <v>0.39475033754826133</v>
      </c>
      <c r="IM154" s="304">
        <f>(各项系数!$F$76/4*(($MM154+3*$X154)^2-MM154^2)*$EO154)*10^-2*(VLOOKUP($IG$8,各项系数!$D$1:$F$143,3,0))*10^-3*10^2*各项系数!$J$4</f>
        <v>0</v>
      </c>
      <c r="IN154" s="303">
        <f>IM154*(VLOOKUP($IG$8,各项系数!$D$1:$F$143,2,0))</f>
        <v>0</v>
      </c>
      <c r="IO154" s="315">
        <f>各项系数!$F$76/4*($MZ154^2-$MX154^2)*10^-2*(VLOOKUP(L154,各项系数!$D$1:$F$143,3,0))*10^-3*10^2*$ES154*各项系数!$J$4</f>
        <v>3.8012890517907398E-2</v>
      </c>
      <c r="IP154" s="303">
        <v>1</v>
      </c>
      <c r="IQ154" s="304">
        <f t="shared" si="533"/>
        <v>3.8012890517907398E-2</v>
      </c>
      <c r="IR154" s="285">
        <f>IQ154*(VLOOKUP(L154,各项系数!$D$1:$F$143,2,0))</f>
        <v>0.43714824095593507</v>
      </c>
      <c r="IS154" s="315">
        <f>IF($L154&lt;&gt;$IS$9,0,各项系数!$F$76/4*($MZ154^2-$MX154^2)*10^-2*各项系数!$F$12*10^-3*10^2)*$ES154*各项系数!$J$4</f>
        <v>0</v>
      </c>
      <c r="IT154" s="303">
        <v>1</v>
      </c>
      <c r="IU154" s="304">
        <f t="shared" si="534"/>
        <v>0</v>
      </c>
      <c r="IV154" s="285">
        <f>IU154*各项系数!$E$12</f>
        <v>0</v>
      </c>
      <c r="IW154" s="302">
        <f t="shared" si="535"/>
        <v>3.8012890517907398E-2</v>
      </c>
      <c r="IX154" s="302">
        <f t="shared" si="536"/>
        <v>0.43714824095593507</v>
      </c>
      <c r="IY154" s="339">
        <f>各项系数!$F$76/4*($NB154^2-$MZ154^2*$EG154-$NA154^2*$EO154)*10^-2</f>
        <v>0.25832984977795836</v>
      </c>
      <c r="IZ154" s="284">
        <f t="shared" si="697"/>
        <v>1</v>
      </c>
      <c r="JA154" s="285">
        <f t="shared" si="606"/>
        <v>0.25832984977795836</v>
      </c>
      <c r="JB154" s="282">
        <f>IF($DE154&lt;&gt;$JB$9,0,$JA154*各项系数!$F$32*10^-3*10^2)*各项系数!$J$4</f>
        <v>0</v>
      </c>
      <c r="JC154" s="102">
        <v>1</v>
      </c>
      <c r="JD154" s="189">
        <f t="shared" si="537"/>
        <v>0</v>
      </c>
      <c r="JE154" s="262">
        <f>JD154*各项系数!$E$32</f>
        <v>0</v>
      </c>
      <c r="JF154" s="282">
        <f>IF($DE154&lt;&gt;$JF$9,0,$JA154*VLOOKUP($JF$9,各项系数!$D$4:$F$540,2,0)*10^-3*10^2)*各项系数!$J$4</f>
        <v>0.12851910026453431</v>
      </c>
      <c r="JG154" s="102">
        <v>1</v>
      </c>
      <c r="JH154" s="189">
        <f t="shared" si="607"/>
        <v>0.12851910026453431</v>
      </c>
      <c r="JI154" s="262">
        <f>JH154*VLOOKUP($JF$9,各项系数!$D$4:$F$540,3,0)</f>
        <v>0.15422292031744117</v>
      </c>
      <c r="JJ154" s="282">
        <f t="shared" si="538"/>
        <v>0.12851910026453431</v>
      </c>
      <c r="JK154" s="189">
        <f t="shared" si="539"/>
        <v>0.15422292031744117</v>
      </c>
      <c r="JL154" s="282">
        <f>IF($DF154&lt;&gt;$JL$9,0,各项系数!$F$76/4*($NE154^2-$NC154^2)*10^-2*各项系数!$F$39*10^-3*10^2)*各项系数!$J$4</f>
        <v>1.1406116050356242E-3</v>
      </c>
      <c r="JM154" s="102">
        <v>1</v>
      </c>
      <c r="JN154" s="189">
        <f t="shared" si="540"/>
        <v>1.1406116050356242E-3</v>
      </c>
      <c r="JO154" s="262">
        <f>JN154*各项系数!$E$39</f>
        <v>2.2812232100712482E-2</v>
      </c>
      <c r="JP154" s="282">
        <f>IF($DF154&lt;&gt;$JP$9,0,各项系数!$F$76/4*($NE154^2-$NC154^2)*10^-2*各项系数!$F$36*10^-3*10^2)*各项系数!$J$4</f>
        <v>0</v>
      </c>
      <c r="JQ154" s="102">
        <v>1</v>
      </c>
      <c r="JR154" s="189">
        <f t="shared" si="541"/>
        <v>0</v>
      </c>
      <c r="JS154" s="262">
        <f>JR154*各项系数!$E$36</f>
        <v>0</v>
      </c>
      <c r="JT154" s="282">
        <f>IF($DF154&lt;&gt;$JT$9,0,各项系数!$F$76/4*($NE154^2-$NC154^2)*10^-2*各项系数!$F$40*10^-3*10^2)*各项系数!$J$4</f>
        <v>0</v>
      </c>
      <c r="JU154" s="102">
        <v>1</v>
      </c>
      <c r="JV154" s="189">
        <f t="shared" si="542"/>
        <v>0</v>
      </c>
      <c r="JW154" s="262">
        <f>JV154*各项系数!$E$40</f>
        <v>0</v>
      </c>
      <c r="JX154" s="282">
        <f>IF($DF154&lt;&gt;$JX$9,0,各项系数!$F$76/4*($NE154^2-$NC154^2)*10^-2*各项系数!$F$38*10^-3*10^2)*各项系数!$J$4</f>
        <v>0</v>
      </c>
      <c r="JY154" s="102">
        <v>1</v>
      </c>
      <c r="JZ154" s="189">
        <f t="shared" si="543"/>
        <v>0</v>
      </c>
      <c r="KA154" s="262">
        <f>JZ154*各项系数!$E$38</f>
        <v>0</v>
      </c>
      <c r="KB154" s="282">
        <f>IF($DF154&lt;&gt;$KB$9,0,各项系数!$F$76/4*($NE154^2-$NC154^2)*10^-2*各项系数!$F$41*10^-3*10^2)*各项系数!$J$4</f>
        <v>0</v>
      </c>
      <c r="KC154" s="102">
        <v>1</v>
      </c>
      <c r="KD154" s="189">
        <f t="shared" si="544"/>
        <v>0</v>
      </c>
      <c r="KE154" s="262">
        <f>KD154*各项系数!$E$41</f>
        <v>0</v>
      </c>
      <c r="KF154" s="189">
        <f t="shared" si="545"/>
        <v>1.1406116050356242E-3</v>
      </c>
      <c r="KG154" s="189">
        <f t="shared" si="546"/>
        <v>2.2812232100712482E-2</v>
      </c>
      <c r="KH154" s="235">
        <f>各项系数!$F$76/4*($NG154^2-$NE154^2)*10^-2*各项系数!$F$44*10^-3*10^2*各项系数!$J$4*0.75*$U154</f>
        <v>0.47765910365762693</v>
      </c>
      <c r="KI154" s="102">
        <v>1</v>
      </c>
      <c r="KJ154" s="189">
        <f t="shared" si="547"/>
        <v>0.47765910365762693</v>
      </c>
      <c r="KK154" s="189">
        <f>ROUND(KJ154*各项系数!$E$43,GT154)</f>
        <v>2.8</v>
      </c>
      <c r="KL154" s="235">
        <f>各项系数!$F$76/4*($NF154^2-$NE154^2)*10^-2*各项系数!$F$46*10^-3*10^2*各项系数!$J$4*PI()/4*R154</f>
        <v>1.4437529443038798E-2</v>
      </c>
      <c r="KM154" s="102">
        <v>1</v>
      </c>
      <c r="KN154" s="189">
        <f t="shared" si="548"/>
        <v>1.4437529443038798E-2</v>
      </c>
      <c r="KO154" s="189">
        <f>KN154*各项系数!$E$46</f>
        <v>0.97453323740511888</v>
      </c>
      <c r="KP154" s="235">
        <f>各项系数!$F$76/4*($NH154^2-$NE154^2)*10^-2*(VLOOKUP($KP$9,各项系数!$D$1:$F$143,3,0))*10^-3*10^2*各项系数!$J$4</f>
        <v>6.2309092866786348E-2</v>
      </c>
      <c r="KQ154" s="102">
        <v>1</v>
      </c>
      <c r="KR154" s="189">
        <f t="shared" si="657"/>
        <v>6.2309092866786348E-2</v>
      </c>
      <c r="KS154" s="189">
        <f>KR154*(VLOOKUP($KP$9,各项系数!$D$1:$F$143,2,0))</f>
        <v>1.059254578735368</v>
      </c>
      <c r="KT154" s="235">
        <f>各项系数!$F$76/4*($NI154^2-$NF154^2)*10^-2*(VLOOKUP($KT$9,各项系数!$D$1:$F$143,3,0))*10^-3*10^2*各项系数!$J$4</f>
        <v>6.3179339164571968E-2</v>
      </c>
      <c r="KU154" s="102">
        <v>1</v>
      </c>
      <c r="KV154" s="189">
        <f t="shared" si="658"/>
        <v>6.3179339164571968E-2</v>
      </c>
      <c r="KW154" s="189">
        <f>KV154*(VLOOKUP($KT$9,各项系数!$D$1:$F$143,2,0))</f>
        <v>1.0740487657977233</v>
      </c>
      <c r="KX154" s="189">
        <f>各项系数!$F$76/4*($NH154^2-$NE154^2)*10^-2*(VLOOKUP($KX$9,各项系数!$D$1:$F$143,3,0))*10^-3*10^2*各项系数!$J$4</f>
        <v>6.2309092866786348E-2</v>
      </c>
      <c r="KY154" s="353">
        <v>1</v>
      </c>
      <c r="KZ154" s="189">
        <f t="shared" si="659"/>
        <v>6.2309092866786348E-2</v>
      </c>
      <c r="LA154" s="189">
        <f>KZ154*(VLOOKUP($KX$9,各项系数!$D$1:$F$143,2,0))</f>
        <v>1.059254578735368</v>
      </c>
      <c r="LB154" s="189">
        <f>各项系数!$F$76/4*($NI154^2-$NF154^2)*10^-2*(VLOOKUP($LB$9,各项系数!$D$1:$F$143,3,0))*10^-3*10^2*各项系数!$J$4</f>
        <v>6.3179339164571968E-2</v>
      </c>
      <c r="LC154" s="353">
        <v>1</v>
      </c>
      <c r="LD154" s="189">
        <f t="shared" si="660"/>
        <v>6.3179339164571968E-2</v>
      </c>
      <c r="LE154" s="189">
        <f>LD154*(VLOOKUP($LB$9,各项系数!$D$1:$F$143,2,0))</f>
        <v>1.0740487657977233</v>
      </c>
      <c r="LF154" s="235">
        <f>各项系数!$F$76/4*($NH154^2-$NE154^2)*10^-2*(VLOOKUP(AN154,各项系数!$D$1:$F$143,3,0))*10^-3*10^2*各项系数!$J$4</f>
        <v>6.3168528630466153E-2</v>
      </c>
      <c r="LG154" s="102">
        <v>1</v>
      </c>
      <c r="LH154" s="189">
        <f t="shared" si="549"/>
        <v>6.3168528630466153E-2</v>
      </c>
      <c r="LI154" s="189">
        <f>LH154*(VLOOKUP(AN154,各项系数!$D$1:$F$143,2,0))</f>
        <v>0.63168528630466159</v>
      </c>
      <c r="LJ154" s="235">
        <f>各项系数!$F$76/4*($NI154^2-$NF154^2)*10^-2*(VLOOKUP(AN154,各项系数!$D$1:$F$143,3,0))*10^-3*10^2*各项系数!$J$4</f>
        <v>6.4050778325462618E-2</v>
      </c>
      <c r="LK154" s="102">
        <v>1</v>
      </c>
      <c r="LL154" s="189">
        <f t="shared" si="550"/>
        <v>6.4050778325462618E-2</v>
      </c>
      <c r="LM154" s="189">
        <f>LL154*(VLOOKUP(AN154,各项系数!$D$1:$F$143,2,0))</f>
        <v>0.64050778325462621</v>
      </c>
      <c r="LN154" s="189">
        <f>各项系数!$F$76/4*($NH154^2-$NE154^2)*10^-2*(VLOOKUP($LN$9,各项系数!$D$1:$F$143,3,0))*10^-3*10^2*各项系数!$J$4</f>
        <v>6.3168528630466153E-2</v>
      </c>
      <c r="LO154" s="353">
        <v>1</v>
      </c>
      <c r="LP154" s="189">
        <f t="shared" si="551"/>
        <v>6.3168528630466153E-2</v>
      </c>
      <c r="LQ154" s="189">
        <f>LP154*(VLOOKUP($LN$9,各项系数!$D$1:$F$143,2,0))</f>
        <v>0.69485381493512766</v>
      </c>
      <c r="LR154" s="189">
        <f>各项系数!$F$76/4*($NI154^2-$NF154^2)*10^-2*(VLOOKUP($LR$9,各项系数!$D$1:$F$143,3,0))*10^-3*10^2*各项系数!$J$4</f>
        <v>6.4050778325462618E-2</v>
      </c>
      <c r="LS154" s="353">
        <v>1</v>
      </c>
      <c r="LT154" s="189">
        <f t="shared" si="552"/>
        <v>6.4050778325462618E-2</v>
      </c>
      <c r="LU154" s="189">
        <f>LT154*(VLOOKUP($LR$9,各项系数!$D$1:$F$143,2,0))</f>
        <v>0.70455856158008878</v>
      </c>
      <c r="LV154" s="227">
        <f t="shared" si="661"/>
        <v>7.6463910100000003</v>
      </c>
      <c r="LW154" s="227">
        <f t="shared" si="662"/>
        <v>7.6463910100000003</v>
      </c>
      <c r="LX154" s="227">
        <f t="shared" si="663"/>
        <v>3.1202063086340046</v>
      </c>
      <c r="LY154" s="227">
        <f t="shared" si="664"/>
        <v>0</v>
      </c>
      <c r="LZ154" s="374">
        <f t="shared" si="608"/>
        <v>1</v>
      </c>
      <c r="MA154" s="375">
        <f t="shared" si="609"/>
        <v>7.6463910100000003</v>
      </c>
      <c r="MB154" s="375">
        <f t="shared" si="665"/>
        <v>1.1031595199999999</v>
      </c>
      <c r="MC154" s="227">
        <f t="shared" si="666"/>
        <v>0</v>
      </c>
      <c r="MD154" s="227">
        <f t="shared" si="667"/>
        <v>0</v>
      </c>
      <c r="ME154" s="227">
        <f t="shared" si="668"/>
        <v>0</v>
      </c>
      <c r="MF154" s="227">
        <f t="shared" si="669"/>
        <v>0</v>
      </c>
      <c r="MG154" s="374">
        <f t="shared" si="670"/>
        <v>1</v>
      </c>
      <c r="MH154" s="375">
        <f t="shared" si="610"/>
        <v>0</v>
      </c>
      <c r="MI154" s="375">
        <f t="shared" si="671"/>
        <v>0</v>
      </c>
      <c r="MJ154" s="189">
        <f t="shared" si="611"/>
        <v>1.1031595199999999</v>
      </c>
      <c r="MK154" s="189">
        <f t="shared" si="672"/>
        <v>1.1031595199999999</v>
      </c>
      <c r="ML154" s="189">
        <f t="shared" si="553"/>
        <v>0</v>
      </c>
      <c r="MM154" s="189">
        <f t="shared" si="612"/>
        <v>0</v>
      </c>
      <c r="MN154" s="189">
        <f t="shared" si="613"/>
        <v>2.3031595199999999</v>
      </c>
      <c r="MO154" s="189">
        <f t="shared" si="673"/>
        <v>0</v>
      </c>
      <c r="MP154" s="189">
        <f t="shared" si="674"/>
        <v>7.9459003399999997</v>
      </c>
      <c r="MQ154" s="189">
        <f t="shared" si="554"/>
        <v>7.9459003399999997</v>
      </c>
      <c r="MR154" s="246">
        <f t="shared" si="675"/>
        <v>7.9459003399999997</v>
      </c>
      <c r="MS154" s="380">
        <f t="shared" si="614"/>
        <v>8.1219003399999998</v>
      </c>
      <c r="MT154" s="380">
        <f t="shared" si="615"/>
        <v>8.28190034</v>
      </c>
      <c r="MU154" s="380">
        <f t="shared" si="616"/>
        <v>9.3219003399999991</v>
      </c>
      <c r="MV154" s="380">
        <f t="shared" si="617"/>
        <v>10.52190034</v>
      </c>
      <c r="MW154" s="380">
        <f t="shared" si="618"/>
        <v>10.68190034</v>
      </c>
      <c r="MX154" s="254">
        <f t="shared" si="619"/>
        <v>1.70315952</v>
      </c>
      <c r="MY154" s="254">
        <f t="shared" si="620"/>
        <v>0</v>
      </c>
      <c r="MZ154" s="189">
        <f t="shared" si="621"/>
        <v>2.90315952</v>
      </c>
      <c r="NA154" s="189">
        <f t="shared" si="622"/>
        <v>0</v>
      </c>
      <c r="NB154" s="189">
        <f t="shared" si="676"/>
        <v>10.01590034</v>
      </c>
      <c r="NC154" s="254">
        <f t="shared" si="555"/>
        <v>10.01590034</v>
      </c>
      <c r="ND154" s="246">
        <f t="shared" si="677"/>
        <v>10.01590034</v>
      </c>
      <c r="NE154" s="386">
        <f t="shared" si="678"/>
        <v>10.25590034</v>
      </c>
      <c r="NF154" s="380">
        <f t="shared" si="623"/>
        <v>10.41590034</v>
      </c>
      <c r="NG154" s="387">
        <f t="shared" si="624"/>
        <v>11.455900339999999</v>
      </c>
      <c r="NH154" s="254">
        <f t="shared" si="625"/>
        <v>12.655900340000001</v>
      </c>
      <c r="NI154" s="380">
        <f t="shared" si="626"/>
        <v>12.815900340000001</v>
      </c>
      <c r="NK154" s="388">
        <f t="shared" si="627"/>
        <v>0.16874865809383205</v>
      </c>
      <c r="NL154" s="388">
        <f t="shared" si="628"/>
        <v>5.3539354317080532</v>
      </c>
      <c r="NM154" s="388">
        <f t="shared" si="629"/>
        <v>0.16874865809383205</v>
      </c>
      <c r="NN154" s="388">
        <f t="shared" si="630"/>
        <v>5.4053369550315047</v>
      </c>
      <c r="NO154" s="388">
        <f t="shared" si="631"/>
        <v>0.31426767806894357</v>
      </c>
      <c r="NP154" s="388">
        <f t="shared" si="632"/>
        <v>6.070811964691071</v>
      </c>
      <c r="NQ154" s="388">
        <f t="shared" si="633"/>
        <v>0.31426767806894357</v>
      </c>
      <c r="NR154" s="388">
        <f t="shared" si="634"/>
        <v>6.1339804933215358</v>
      </c>
      <c r="NS154" s="388">
        <f t="shared" si="635"/>
        <v>0.1802053453443227</v>
      </c>
      <c r="NT154" s="388">
        <f t="shared" si="636"/>
        <v>0.1802053453443227</v>
      </c>
      <c r="NU154" s="388">
        <f t="shared" si="637"/>
        <v>0.32870520751198234</v>
      </c>
      <c r="NV154" s="388">
        <f t="shared" si="638"/>
        <v>0.32870520751198234</v>
      </c>
      <c r="NW154">
        <f t="shared" si="639"/>
        <v>0.29666972614948428</v>
      </c>
      <c r="NX154">
        <f>各项系数!$M$9*NK154</f>
        <v>5.0624597428149613E-2</v>
      </c>
      <c r="NY154">
        <f t="shared" si="640"/>
        <v>0.18020534534432273</v>
      </c>
    </row>
    <row r="155" spans="1:389" ht="15" hidden="1" customHeight="1">
      <c r="A155" s="69"/>
      <c r="B155" s="70"/>
      <c r="C155" s="69"/>
      <c r="D155" s="102" t="s">
        <v>241</v>
      </c>
      <c r="E155" s="61">
        <f t="shared" si="687"/>
        <v>12.38863808</v>
      </c>
      <c r="F155" s="405">
        <f t="shared" si="693"/>
        <v>110.31595161029</v>
      </c>
      <c r="G155" s="16"/>
      <c r="H155" s="16"/>
      <c r="I155" s="145">
        <v>0</v>
      </c>
      <c r="J155" s="16"/>
      <c r="K155" s="16"/>
      <c r="L155" s="97" t="s">
        <v>469</v>
      </c>
      <c r="M155" s="103">
        <f t="shared" si="582"/>
        <v>0.6</v>
      </c>
      <c r="N155" s="103">
        <f t="shared" si="583"/>
        <v>0</v>
      </c>
      <c r="O155" s="53">
        <f t="shared" si="688"/>
        <v>0.08</v>
      </c>
      <c r="P155" s="99">
        <v>0.1</v>
      </c>
      <c r="Q155" s="133">
        <f t="shared" si="700"/>
        <v>0.1</v>
      </c>
      <c r="R155" s="406">
        <v>0.8</v>
      </c>
      <c r="S155" s="142" t="str">
        <f>各项系数!$D$43</f>
        <v>钢带</v>
      </c>
      <c r="T155" s="102">
        <v>0.2</v>
      </c>
      <c r="U155" s="62">
        <v>4</v>
      </c>
      <c r="V155" s="143"/>
      <c r="W155" s="407">
        <v>1.5</v>
      </c>
      <c r="X155" s="135">
        <f t="shared" si="701"/>
        <v>0.2</v>
      </c>
      <c r="Y155" s="135"/>
      <c r="Z155" s="168"/>
      <c r="AA155" s="153">
        <v>1</v>
      </c>
      <c r="AB155" s="153">
        <f>PI()*EJ155*EJ155/4*EH155*(1-H155)*AA155*各项系数!$F$5*各项系数!$J$4*10^-7</f>
        <v>8.4545666936336993E-3</v>
      </c>
      <c r="AC155" s="153">
        <f t="shared" si="573"/>
        <v>110.31595161029</v>
      </c>
      <c r="AD155" s="153">
        <f t="shared" si="584"/>
        <v>0.95579886989884166</v>
      </c>
      <c r="AE155" s="153">
        <f>POWER(4*EU155/PI()/EG155/10^-7/EH155/(1-H155)/各项系数!$F$5/各项系数!$J$4,0.5)</f>
        <v>110.31595161028999</v>
      </c>
      <c r="AF155" s="69">
        <v>1</v>
      </c>
      <c r="AG155" s="69">
        <f>IF(EM155=0,0,PI()*ER155*ER155/4*EP155*(1-K155)*(1+AF155)*各项系数!$F$5*各项系数!$J$4*10^-7)</f>
        <v>0</v>
      </c>
      <c r="AH155" s="69">
        <f t="shared" si="574"/>
        <v>0</v>
      </c>
      <c r="AI155" s="69">
        <f t="shared" si="641"/>
        <v>0</v>
      </c>
      <c r="AJ155" s="69">
        <f>IF(OR(EP155="",EP155=0),0,POWER(4*EW155/PI()/EO155/10^-7/EP155/(1-K155)/各项系数!$F$5/各项系数!$J$4,0.5))</f>
        <v>0</v>
      </c>
      <c r="AK155" s="69" t="str">
        <f t="shared" si="585"/>
        <v>√</v>
      </c>
      <c r="AL155" s="69">
        <f t="shared" si="575"/>
        <v>7.5079904346177839</v>
      </c>
      <c r="AM155" s="188">
        <f t="shared" si="576"/>
        <v>1</v>
      </c>
      <c r="AN155" s="97" t="s">
        <v>486</v>
      </c>
      <c r="AO155" s="196">
        <f>AP155+各项系数!$M$9*$NK155</f>
        <v>7.360774935899788</v>
      </c>
      <c r="AP155" s="196">
        <f>AQ155*(1+$BI155+(VLOOKUP($AM155,$A$12:$B$323,2,0))+各项系数!$J$6+各项系数!$M$5)*(1+$E$2)</f>
        <v>7.2926409276371587</v>
      </c>
      <c r="AQ155" s="197">
        <f>AR155+各项系数!$L$9*$NK155</f>
        <v>7.1552599368496459</v>
      </c>
      <c r="AR155" s="197">
        <f>AS155*(1+$BJ155+各项系数!$J$5+各项系数!$L$5)</f>
        <v>7.0871259285870165</v>
      </c>
      <c r="AS155" s="197">
        <f t="shared" si="642"/>
        <v>6.8145441621029006</v>
      </c>
      <c r="AT155" s="196">
        <f>AU155+各项系数!$M$9*$NM155</f>
        <v>7.8992351386107842</v>
      </c>
      <c r="AU155" s="196">
        <f>AV155*(1+$BI155+(VLOOKUP($AM155,$A$12:$B$323,2,0))+各项系数!$J$6+各项系数!$M$5)*(1+$E$2)</f>
        <v>7.8311011303481548</v>
      </c>
      <c r="AV155" s="197">
        <f>AW155+各项系数!$L$9*$NM155</f>
        <v>7.683576462272522</v>
      </c>
      <c r="AW155" s="197">
        <f>AX155*(1+$BJ155+各项系数!$J$5+各项系数!$L$5)</f>
        <v>7.6154424540098926</v>
      </c>
      <c r="AX155" s="197">
        <f t="shared" si="643"/>
        <v>7.3225408211633578</v>
      </c>
      <c r="AY155" s="196">
        <f>AZ155+各项系数!$M$9*$NS155</f>
        <v>8.3267757457554072</v>
      </c>
      <c r="AZ155" s="196">
        <f>BA155*(1+$BI155+(VLOOKUP($AM155,$A$12:$B$214,2,0))+各项系数!$J$6+各项系数!$M$5)*(1+$E$2)</f>
        <v>8.2546739048927549</v>
      </c>
      <c r="BA155" s="197">
        <f>BB155+各项系数!$L$9*$NS155</f>
        <v>8.099169843890067</v>
      </c>
      <c r="BB155" s="197">
        <f>BC155*(1+$BJ155+各项系数!$J$5+各项系数!$L$5)</f>
        <v>8.0270680030274146</v>
      </c>
      <c r="BC155" s="199">
        <f t="shared" si="644"/>
        <v>7.7183346182955912</v>
      </c>
      <c r="BD155" s="196">
        <f>BE155+各项系数!$M$9*$NS155</f>
        <v>8.8731481989977183</v>
      </c>
      <c r="BE155" s="196">
        <f>BF155*(1+$BI155+(VLOOKUP($AM155,$A$12:$B$214,2,0))+各项系数!$J$6+各项系数!$M$5)*(1+$E$2)</f>
        <v>8.801046358135066</v>
      </c>
      <c r="BF155" s="197">
        <f>BG155+各项系数!$L$9*$NS155</f>
        <v>8.6352495664590521</v>
      </c>
      <c r="BG155" s="197">
        <f>BH155*(1+$BJ155+各项系数!$J$5+各项系数!$L$5)</f>
        <v>8.5631477255963997</v>
      </c>
      <c r="BH155" s="199">
        <f t="shared" si="645"/>
        <v>8.2337958899965376</v>
      </c>
      <c r="BI155" s="213"/>
      <c r="BJ155" s="208">
        <f t="shared" si="695"/>
        <v>0.02</v>
      </c>
      <c r="BK155" s="102" t="s">
        <v>514</v>
      </c>
      <c r="BL155" s="196">
        <f>BM155+各项系数!$M$9*$NM155</f>
        <v>7.5105450942060115</v>
      </c>
      <c r="BM155" s="196">
        <f>BN155*(1+$CF155+(VLOOKUP($AM155,$A$12:$B$323,2,0))+各项系数!$J$6+各项系数!$M$5)*(1+$E$2)</f>
        <v>7.4424110859433821</v>
      </c>
      <c r="BN155" s="197">
        <f>BO155+各项系数!$L$9*$NM155</f>
        <v>7.302208679300807</v>
      </c>
      <c r="BO155" s="197">
        <f>BP155*(1+$CG155+各项系数!$J$5+各项系数!$L$5)</f>
        <v>7.2340746710381776</v>
      </c>
      <c r="BP155" s="197">
        <f t="shared" si="646"/>
        <v>6.8895949247982644</v>
      </c>
      <c r="BQ155" s="196">
        <f>BR155+各项系数!$M$9*$NM155</f>
        <v>7.9738664746600803</v>
      </c>
      <c r="BR155" s="196">
        <f>BS155*(1+$CF155+(VLOOKUP($AM155,$A$12:$B$323,2,0))+各项系数!$J$6+各项系数!$M$5)*(1+$E$2)</f>
        <v>7.9057324663974509</v>
      </c>
      <c r="BS155" s="197">
        <f>BT155+各项系数!$L$9*$NM155</f>
        <v>7.7568018704841553</v>
      </c>
      <c r="BT155" s="197">
        <f>BU155*(1+$CG155+各项系数!$J$5+各项系数!$L$5)</f>
        <v>7.6886678622215259</v>
      </c>
      <c r="BU155" s="197">
        <f t="shared" si="647"/>
        <v>7.3225408211633578</v>
      </c>
      <c r="BV155" s="196">
        <f>BW155+各项系数!$M$9*$NT155</f>
        <v>8.421873386096479</v>
      </c>
      <c r="BW155" s="196">
        <f>BX155*(1+$CF155+(VLOOKUP($AM155,$A$12:$B$214,2,0))+各项系数!$J$6+各项系数!$M$5)*(1+$E$2)</f>
        <v>8.3497715452338266</v>
      </c>
      <c r="BX155" s="197">
        <f>BY155+各项系数!$L$9*$NT$12</f>
        <v>8.1924760059201596</v>
      </c>
      <c r="BY155" s="197">
        <f>BZ155*(1+$CG155+各项系数!$J$5+各项系数!$L$5)</f>
        <v>8.1842126027651858</v>
      </c>
      <c r="BZ155" s="199">
        <f t="shared" si="586"/>
        <v>7.794488193109701</v>
      </c>
      <c r="CA155" s="196">
        <f>CB155+各项系数!$M$9*$NT155</f>
        <v>8.8920029109968972</v>
      </c>
      <c r="CB155" s="196">
        <f>CC155*(1+$CF155+(VLOOKUP($AM155,$A$12:$B$214,2,0))+各项系数!$J$6+各项系数!$M$5)*(1+$E$2)</f>
        <v>8.8199010701342448</v>
      </c>
      <c r="CC155" s="197">
        <f>CD155+各项系数!$L$9*$NT$12</f>
        <v>8.6537490876513381</v>
      </c>
      <c r="CD155" s="197">
        <f>CE155*(1+$CG155+各项系数!$J$5+各项系数!$L$5)</f>
        <v>8.6454856844963643</v>
      </c>
      <c r="CE155" s="199">
        <f t="shared" si="648"/>
        <v>8.2337958899965376</v>
      </c>
      <c r="CF155" s="213">
        <f t="shared" si="514"/>
        <v>0</v>
      </c>
      <c r="CG155" s="213">
        <f t="shared" si="587"/>
        <v>0.03</v>
      </c>
      <c r="CH155" s="102"/>
      <c r="CI155" s="196">
        <f>CJ155+各项系数!$M$9*$NO155</f>
        <v>8.5632486365858398</v>
      </c>
      <c r="CJ155" s="196">
        <f>CK155*(1+$DC155+(VLOOKUP($AM155,$A$12:$B$323,2,0))+各项系数!$J$6+各项系数!$M$5)*(1+$E$2)+各项系数!$M$9*$NK155</f>
        <v>8.4304240291490462</v>
      </c>
      <c r="CK155" s="197">
        <f>CL155+各项系数!$L$9*$NO155</f>
        <v>8.2047586547158726</v>
      </c>
      <c r="CL155" s="197">
        <f>CM155*(1+$DD155+各项系数!$J$5+各项系数!$L$5)</f>
        <v>8.071934047279079</v>
      </c>
      <c r="CM155" s="197">
        <f t="shared" si="588"/>
        <v>7.7614750454606529</v>
      </c>
      <c r="CN155" s="196">
        <f>CO155+各项系数!$M$9*$NO155</f>
        <v>8.9216912236909351</v>
      </c>
      <c r="CO155" s="196">
        <f>CP155*(1+$DC155+(VLOOKUP($AM155,$A$12:$B$323,2,0))+各项系数!$J$6+各项系数!$M$5)*(1+$E$2)+各项系数!$M$9*$NK155</f>
        <v>8.7888666162541416</v>
      </c>
      <c r="CP155" s="197">
        <f>CQ155+各项系数!$L$9*$NO155</f>
        <v>8.5564487912004612</v>
      </c>
      <c r="CQ155" s="197">
        <f>CR155*(1+$DD155+各项系数!$J$5+各项系数!$L$5)</f>
        <v>8.4236241837636676</v>
      </c>
      <c r="CR155" s="197">
        <f t="shared" si="589"/>
        <v>8.0996386382342962</v>
      </c>
      <c r="CS155" s="196">
        <f>CT155+各项系数!$M$9*$NU155</f>
        <v>9.7094534945202202</v>
      </c>
      <c r="CT155" s="196">
        <f t="shared" si="590"/>
        <v>9.5716285153321703</v>
      </c>
      <c r="CU155" s="197">
        <f>CV155+各项系数!$L$9*$NU155</f>
        <v>9.391315262296084</v>
      </c>
      <c r="CV155" s="197">
        <f>CW155*(1+$DD155+各项系数!$J$5+各项系数!$L$5)</f>
        <v>9.2534902831080341</v>
      </c>
      <c r="CW155" s="199">
        <f t="shared" si="591"/>
        <v>8.8975868106808012</v>
      </c>
      <c r="CX155" s="196">
        <f>CY155+各项系数!$M$9*$NU155</f>
        <v>10.377674605944751</v>
      </c>
      <c r="CY155" s="196">
        <f t="shared" si="592"/>
        <v>10.239849626756701</v>
      </c>
      <c r="CZ155" s="197">
        <f>DA155+各项系数!$L$9*$NU155</f>
        <v>10.046948220915132</v>
      </c>
      <c r="DA155" s="197">
        <f>DB155*(1+$DD155+各项系数!$J$5+各项系数!$L$5)</f>
        <v>9.909123241727082</v>
      </c>
      <c r="DB155" s="199">
        <f t="shared" si="593"/>
        <v>9.5280031170452713</v>
      </c>
      <c r="DC155" s="213">
        <f t="shared" si="698"/>
        <v>0</v>
      </c>
      <c r="DD155" s="213">
        <f t="shared" si="594"/>
        <v>0.02</v>
      </c>
      <c r="DE155" s="53" t="s">
        <v>498</v>
      </c>
      <c r="DF155" s="53" t="s">
        <v>513</v>
      </c>
      <c r="DG155" s="196">
        <f>DH155+各项系数!$M$9*$NQ155</f>
        <v>8.7408447698769969</v>
      </c>
      <c r="DH155" s="196">
        <f>DI155*(1+$EA155+(VLOOKUP($AM155,$A$12:$B$323,2,0))+各项系数!$J$6+各项系数!$M$5)*(1+$E$2)+各项系数!$M$9*$NK155</f>
        <v>8.6080201624402033</v>
      </c>
      <c r="DI155" s="197">
        <f>DJ155+各项系数!$L$9*$NQ155</f>
        <v>8.379009177960727</v>
      </c>
      <c r="DJ155" s="197">
        <f>DK155*(1+$EB155+各项系数!$J$5+各项系数!$L$5)</f>
        <v>8.2461845705239334</v>
      </c>
      <c r="DK155" s="197">
        <f t="shared" si="595"/>
        <v>7.853509114784698</v>
      </c>
      <c r="DL155" s="196">
        <f>DM155+各项系数!$M$9*$NQ155</f>
        <v>9.309011574804833</v>
      </c>
      <c r="DM155" s="196">
        <f>DN155*(1+$EA155+(VLOOKUP($AM155,$A$12:$B$323,2,0))+各项系数!$J$6+各项系数!$M$5)*(1+$E$2)+各项系数!$M$9*$NK155</f>
        <v>9.1761869673680394</v>
      </c>
      <c r="DN155" s="197">
        <f>DO155+各项系数!$L$9*$NQ155</f>
        <v>8.9364726835806589</v>
      </c>
      <c r="DO155" s="197">
        <f>DP155*(1+$EB155+各项系数!$J$5+各项系数!$L$5)</f>
        <v>8.8036480761438654</v>
      </c>
      <c r="DP155" s="197">
        <f t="shared" si="596"/>
        <v>8.384426739184633</v>
      </c>
      <c r="DQ155" s="196">
        <f>DR155+各项系数!$M$9*$NV155</f>
        <v>9.8998090643394949</v>
      </c>
      <c r="DR155" s="196">
        <f t="shared" si="597"/>
        <v>9.761984085151445</v>
      </c>
      <c r="DS155" s="197">
        <f>DT155+各项系数!$L$9*$NV155</f>
        <v>9.5780848559178224</v>
      </c>
      <c r="DT155" s="197">
        <f>DU155*(1+$EB155+各项系数!$J$5+各项系数!$L$5)</f>
        <v>9.4402598767297725</v>
      </c>
      <c r="DU155" s="199">
        <f t="shared" si="598"/>
        <v>8.9907236921235931</v>
      </c>
      <c r="DV155" s="196">
        <f>DW155+各项系数!$M$9*$NV155</f>
        <v>9.8900108117869259</v>
      </c>
      <c r="DW155" s="196">
        <f t="shared" si="599"/>
        <v>9.7521858325988759</v>
      </c>
      <c r="DX155" s="197">
        <f>DY155+各项系数!$L$9*$NV155</f>
        <v>9.568471185830921</v>
      </c>
      <c r="DY155" s="197">
        <f>DZ155*(1+$EB155+各项系数!$J$5+各项系数!$L$5)</f>
        <v>9.4306462066428711</v>
      </c>
      <c r="DZ155" s="199">
        <f t="shared" si="600"/>
        <v>8.9815678158503527</v>
      </c>
      <c r="EA155" s="213">
        <f t="shared" si="699"/>
        <v>0</v>
      </c>
      <c r="EB155" s="213">
        <f t="shared" si="601"/>
        <v>0.03</v>
      </c>
      <c r="EC155" s="235">
        <f t="shared" si="649"/>
        <v>10</v>
      </c>
      <c r="ED155" s="235" t="str">
        <f t="shared" si="680"/>
        <v>10*1</v>
      </c>
      <c r="EE155" s="189">
        <f t="shared" si="495"/>
        <v>1</v>
      </c>
      <c r="EF155" s="189">
        <f>LOOKUP(EH155,{1,7,10,14,19,24,30,37,48,61},{1,"1+6","2+8","4+10","1+6+12","2+8+14","4+10+16","1+6+12+18","3+9+15+21","1+6+12+18+24"})</f>
        <v>1</v>
      </c>
      <c r="EG155" s="188">
        <f t="shared" si="602"/>
        <v>10</v>
      </c>
      <c r="EH155" s="197">
        <f>VLOOKUP(EE155,各项系数!$B$87:$C$124,2,0)</f>
        <v>1</v>
      </c>
      <c r="EI155" s="188">
        <f>IF(EH155=0,0,VLOOKUP(EH155,各项系数!$D$142:$E$195,2,0))*1</f>
        <v>1</v>
      </c>
      <c r="EJ155" s="238">
        <f t="shared" si="650"/>
        <v>110.31595161029</v>
      </c>
      <c r="EK155" s="189">
        <f t="shared" si="689"/>
        <v>0</v>
      </c>
      <c r="EL155" s="189">
        <f t="shared" si="603"/>
        <v>0</v>
      </c>
      <c r="EM155" s="189">
        <f t="shared" si="690"/>
        <v>0</v>
      </c>
      <c r="EN155" s="189">
        <f>IF(EP155=0,0,LOOKUP(EP155,{1,7,10,14,19,24,30,37,48,61},{1,"1+6","2+8","4+10","1+6+12","2+8+14","4+10+16","1+6+12+18","3+9+15+21","1+6+12+18+24"}))</f>
        <v>0</v>
      </c>
      <c r="EO155" s="189">
        <f t="shared" si="691"/>
        <v>0</v>
      </c>
      <c r="EP155" s="189">
        <f>IF(EM155=0,0,IF(EM155&lt;10,1,IF(AND(EM155&gt;=10,EM155&lt;=35),7,LOOKUP(EM155,{50,70,95,120,150,185,240,300},{10,14,19,24,30,37,48,61})*1)))</f>
        <v>0</v>
      </c>
      <c r="EQ155" s="189">
        <f>IF(EP155=0,0,VLOOKUP(EP155,各项系数!$D$142:$E$195,2,0))*1</f>
        <v>0</v>
      </c>
      <c r="ER155" s="53">
        <f t="shared" si="577"/>
        <v>0</v>
      </c>
      <c r="ES155" s="412">
        <f t="shared" si="692"/>
        <v>10</v>
      </c>
      <c r="ET155" s="189">
        <f>VLOOKUP(ES155,各项系数!$D$142:$E$195,2,0)*1</f>
        <v>4</v>
      </c>
      <c r="EU155" s="243">
        <f>((各项系数!$F$76/4*$EJ155^2*$EG155*$EH155*1*10^-7)*(1-$H155)*AA155)*(VLOOKUP($EY$9,各项系数!$D$4:$F$143,3,0))*各项系数!$J$4</f>
        <v>8.4545666936336999E-2</v>
      </c>
      <c r="EV155" s="244">
        <f>EU155*(VLOOKUP($EY$9,各项系数!$D$4:$F$143,2,0))</f>
        <v>5.5377411843300735</v>
      </c>
      <c r="EW155" s="252">
        <f>(IF($EO155=0,0,(各项系数!$F$76/4*$ER155^2*$EO155*$EP155*1*10^-7))*(1-$K155)*$AF155)*(VLOOKUP($EY$9,各项系数!$D$4:$F$143,3,0))*各项系数!$J$4</f>
        <v>0</v>
      </c>
      <c r="EX155" s="253">
        <f>EW155*(VLOOKUP($EY$9,各项系数!$D$4:$F$143,2,0))</f>
        <v>0</v>
      </c>
      <c r="EY155" s="189">
        <f>((各项系数!$F$76/4*$EJ155^2*$EG155*$EH155*1*10^-7)*(1-$H155)*AA155+IF($EO155=0,0,(各项系数!$F$76/4*$ER155^2*$EO155*$EP155*1*10^-7))*(1-$K155)*$AF155)*(VLOOKUP($EY$9,各项系数!$D$4:$F$143,3,0))*各项系数!$J$4</f>
        <v>8.4545666936336999E-2</v>
      </c>
      <c r="EZ155" s="102">
        <v>1</v>
      </c>
      <c r="FA155" s="189">
        <f t="shared" si="515"/>
        <v>8.4545666936336999E-2</v>
      </c>
      <c r="FB155" s="254">
        <f>FA155*(VLOOKUP($EY$9,各项系数!$D$4:$F$143,2,0))</f>
        <v>5.5377411843300735</v>
      </c>
      <c r="FC155" s="255"/>
      <c r="FD155" s="235">
        <f>各项系数!$F$76/4*($MN155^2-MK155^2)*10^-2*(VLOOKUP(L155,各项系数!$D$1:$F$143,3,0))*10^-3*10^2*$EG155*各项系数!$J$4</f>
        <v>3.5137609773709749E-2</v>
      </c>
      <c r="FE155" s="262">
        <f>FD155*VLOOKUP(L155,各项系数!$D$1:$F$143,2,0)</f>
        <v>0.40408251239766213</v>
      </c>
      <c r="FF155" s="188">
        <f>各项系数!$F$76/4*($MO155^2-ML155^2)*10^-2*(VLOOKUP(L155,各项系数!$D$1:$F$143,3,0))*10^-3*10^2*$EO155*各项系数!$J$4</f>
        <v>0</v>
      </c>
      <c r="FG155" s="262">
        <f>FF155*VLOOKUP(L155,各项系数!$D$1:$F$143,2,0)</f>
        <v>0</v>
      </c>
      <c r="FH155" s="235">
        <f t="shared" si="651"/>
        <v>3.5137609773709749E-2</v>
      </c>
      <c r="FI155" s="102">
        <v>1</v>
      </c>
      <c r="FJ155" s="189">
        <f t="shared" si="516"/>
        <v>3.5137609773709749E-2</v>
      </c>
      <c r="FK155" s="262">
        <f>FJ155*VLOOKUP(L155,各项系数!$D$1:$F$143,2,0)</f>
        <v>0.40408251239766213</v>
      </c>
      <c r="FL155" s="235"/>
      <c r="FM155" s="102"/>
      <c r="FN155" s="189"/>
      <c r="FO155" s="262"/>
      <c r="FP155" s="282">
        <f t="shared" si="517"/>
        <v>3.5137609773709749E-2</v>
      </c>
      <c r="FQ155" s="282">
        <f t="shared" si="518"/>
        <v>0.40408251239766213</v>
      </c>
      <c r="FR155" s="283">
        <f>各项系数!$F$76/4*($MQ155^2-$MN155^2*$EG155-$MO155^2*$EO155)*10^-2</f>
        <v>0.24997073629235991</v>
      </c>
      <c r="FS155" s="284">
        <f t="shared" si="652"/>
        <v>1</v>
      </c>
      <c r="FT155" s="285">
        <f t="shared" si="604"/>
        <v>0.24997073629235991</v>
      </c>
      <c r="FU155" s="302">
        <f>$FT155*(VLOOKUP($FT$9,各项系数!$D$1:$F$143,3,0))*10^-3*10^2*各项系数!$J$55</f>
        <v>2.9846505913307775E-2</v>
      </c>
      <c r="FV155" s="303">
        <v>1</v>
      </c>
      <c r="FW155" s="304">
        <f t="shared" si="519"/>
        <v>2.9846505913307775E-2</v>
      </c>
      <c r="FX155" s="285">
        <f>FW155*(VLOOKUP($FT$9,各项系数!$D$1:$F$143,2,0))</f>
        <v>8.953951773992333E-2</v>
      </c>
      <c r="FY155" s="302">
        <f>IF($BK155&lt;&gt;$FY$9,0,各项系数!$F$76/4*($MS155^2-$MQ155^2)*10^-2*(VLOOKUP($FY$9,各项系数!$D$1:$F$143,3,0))*10^-3*10^2)*各项系数!$J$4</f>
        <v>0</v>
      </c>
      <c r="FZ155" s="303">
        <v>1</v>
      </c>
      <c r="GA155" s="304">
        <f t="shared" si="520"/>
        <v>0</v>
      </c>
      <c r="GB155" s="285">
        <f>GA155*(VLOOKUP($FY$9,各项系数!$D$1:$F$143,2,0))</f>
        <v>0</v>
      </c>
      <c r="GC155" s="302">
        <f>IF($BK155&lt;&gt;$GC$9,0,各项系数!$F$76/4*($MS155^2-$MQ155^2)*10^-2*(VLOOKUP($GC$9,各项系数!$D$1:$F$143,3,0))*10^-3*10^2)*各项系数!$J$4</f>
        <v>2.5328155567133203E-3</v>
      </c>
      <c r="GD155" s="303">
        <v>1</v>
      </c>
      <c r="GE155" s="304">
        <f t="shared" si="521"/>
        <v>2.5328155567133203E-3</v>
      </c>
      <c r="GF155" s="285">
        <f>GE155*(VLOOKUP($GC$9,各项系数!$D$1:$F$143,2,0))</f>
        <v>3.2673320681601836E-2</v>
      </c>
      <c r="GG155" s="302">
        <f>IF($BK155&lt;&gt;$GG$9,0,各项系数!$F$76/4*($MS155^2-$MQ155^2)*10^-2*(VLOOKUP($GG$9,各项系数!$D$1:$F$143,3,0))*10^-3*10^2)*各项系数!$J$4</f>
        <v>0</v>
      </c>
      <c r="GH155" s="303">
        <v>1</v>
      </c>
      <c r="GI155" s="304">
        <f t="shared" si="522"/>
        <v>0</v>
      </c>
      <c r="GJ155" s="285">
        <f>GI155*(VLOOKUP($GG$9,各项系数!$D$1:$F$143,2,0))</f>
        <v>0</v>
      </c>
      <c r="GK155" s="302">
        <f>IF($BK155&lt;&gt;$GK$9,0,各项系数!$F$76/4*($MS155^2-$MQ155^2)*10^-2*(VLOOKUP($GK$9,各项系数!$D$1:$F$143,3,0))*10^-3*10^2)*各项系数!$J$4</f>
        <v>0</v>
      </c>
      <c r="GL155" s="303">
        <v>1</v>
      </c>
      <c r="GM155" s="304">
        <f t="shared" si="523"/>
        <v>0</v>
      </c>
      <c r="GN155" s="285">
        <f>GM155*(VLOOKUP($GK$9,各项系数!$D$1:$F$143,2,0))</f>
        <v>0</v>
      </c>
      <c r="GO155" s="304">
        <f t="shared" si="524"/>
        <v>2.5328155567133203E-3</v>
      </c>
      <c r="GP155" s="304">
        <f t="shared" si="525"/>
        <v>3.2673320681601836E-2</v>
      </c>
      <c r="GQ155" s="315">
        <f>各项系数!$F$76/4*($MU155^2-$MS155^2)*10^-2*(VLOOKUP($S155,各项系数!$D$1:$F$143,3,0))*10^-3*10^2*各项系数!$J$4</f>
        <v>0.14649986835494597</v>
      </c>
      <c r="GR155" s="303">
        <v>1</v>
      </c>
      <c r="GS155" s="304">
        <f t="shared" si="526"/>
        <v>0.14649986835494597</v>
      </c>
      <c r="GT155" s="304">
        <f t="shared" si="696"/>
        <v>1</v>
      </c>
      <c r="GU155" s="304">
        <f>ROUND($GS155*(VLOOKUP($S155,各项系数!$D$1:$F$143,2,0))+$E$3*GS155,GT155)</f>
        <v>0.8</v>
      </c>
      <c r="GV155" s="315">
        <f>各项系数!$F$76/4*($MT155^2-$MS155^2)*10^-2*(VLOOKUP($GV$9,各项系数!$D$1:$F$143,3,0))*10^-3*10^2*各项系数!$J$4*PI()/4*R155</f>
        <v>1.3226108666744233E-2</v>
      </c>
      <c r="GW155" s="303">
        <v>1</v>
      </c>
      <c r="GX155" s="304">
        <f t="shared" si="527"/>
        <v>1.3226108666744233E-2</v>
      </c>
      <c r="GY155" s="304">
        <f>$GX155*(VLOOKUP($GV$9,各项系数!$D$1:$F$143,2,0))</f>
        <v>0.89276233500523572</v>
      </c>
      <c r="GZ155" s="315">
        <f>各项系数!$F$76/4*($MV155^2-$MS155^2)*10^-2*(VLOOKUP($GZ$9,各项系数!$D$1:$F$143,3,0))*10^-3*10^2*各项系数!$J$4</f>
        <v>7.4029663883182176E-2</v>
      </c>
      <c r="HA155" s="303">
        <v>1</v>
      </c>
      <c r="HB155" s="304">
        <f t="shared" si="653"/>
        <v>7.4029663883182176E-2</v>
      </c>
      <c r="HC155" s="304">
        <f>HB155*(VLOOKUP($GZ$9,各项系数!$D$1:$F$143,2,0))</f>
        <v>1.2585042860140969</v>
      </c>
      <c r="HD155" s="315">
        <f>各项系数!$F$76/4*($MW155^2-$MT155^2)*10^-2*(VLOOKUP($HD$9,各项系数!$D$1:$F$143,3,0))*10^-3*10^2*各项系数!$J$4</f>
        <v>7.5117471755414181E-2</v>
      </c>
      <c r="HE155" s="303">
        <v>1</v>
      </c>
      <c r="HF155" s="304">
        <f t="shared" si="654"/>
        <v>7.5117471755414181E-2</v>
      </c>
      <c r="HG155" s="304">
        <f>HF155*(VLOOKUP($HD$9,各项系数!$D$1:$F$143,2,0))</f>
        <v>1.2769970198420411</v>
      </c>
      <c r="HH155" s="315">
        <f>各项系数!$F$76/4*($MV155^2-$MS155^2)*10^-2*(VLOOKUP($HH$9,各项系数!$D$1:$F$143,3,0))*10^-3*10^2*各项系数!$J$4</f>
        <v>7.4029663883182176E-2</v>
      </c>
      <c r="HI155" s="322">
        <v>1</v>
      </c>
      <c r="HJ155" s="304">
        <f t="shared" si="655"/>
        <v>7.4029663883182176E-2</v>
      </c>
      <c r="HK155" s="304">
        <f>HJ155*(VLOOKUP($HH$9,各项系数!$D$1:$F$143,2,0))</f>
        <v>1.2585042860140969</v>
      </c>
      <c r="HL155" s="315">
        <f>各项系数!$F$76/4*($MW155^2-$MT155^2)*10^-2*(VLOOKUP($HL$9,各项系数!$D$1:$F$143,3,0))*10^-3*10^2*各项系数!$J$4</f>
        <v>7.5117471755414181E-2</v>
      </c>
      <c r="HM155" s="322">
        <v>1</v>
      </c>
      <c r="HN155" s="304">
        <f t="shared" si="605"/>
        <v>7.5117471755414181E-2</v>
      </c>
      <c r="HO155" s="304">
        <f>HN155*(VLOOKUP($HL$9,各项系数!$D$1:$F$143,2,0))</f>
        <v>1.2769970198420411</v>
      </c>
      <c r="HP155" s="315">
        <f>各项系数!$F$76/4*($MV155^2-$MS155^2)*10^-2*(VLOOKUP(AN155,各项系数!$D$1:$F$143,3,0))*10^-3*10^2*各项系数!$J$4</f>
        <v>7.5050762695363996E-2</v>
      </c>
      <c r="HQ155" s="303">
        <v>1</v>
      </c>
      <c r="HR155" s="304">
        <f t="shared" si="528"/>
        <v>7.5050762695363996E-2</v>
      </c>
      <c r="HS155" s="304">
        <f>HR155*(VLOOKUP(AN155,各项系数!$D$1:$F$143,2,0))</f>
        <v>0.75050762695363993</v>
      </c>
      <c r="HT155" s="315">
        <f>各项系数!$F$76/4*($MW155^2-$MT155^2)*10^-2*(VLOOKUP(AN155,各项系数!$D$1:$F$143,3,0))*10^-3*10^2*各项系数!$J$4</f>
        <v>7.6153574814109531E-2</v>
      </c>
      <c r="HU155" s="303">
        <v>1</v>
      </c>
      <c r="HV155" s="304">
        <f t="shared" si="529"/>
        <v>7.6153574814109531E-2</v>
      </c>
      <c r="HW155" s="304">
        <f>HV155*(VLOOKUP(AN155,各项系数!$D$1:$F$143,2,0))</f>
        <v>0.76153574814109537</v>
      </c>
      <c r="HX155" s="315">
        <f>各项系数!$F$76/4*($MV155^2-$MS155^2)*10^-2*(VLOOKUP($HX$9,各项系数!$D$1:$F$143,3,0))*10^-3*10^2*各项系数!$J$4</f>
        <v>7.5050762695363996E-2</v>
      </c>
      <c r="HY155" s="322">
        <v>1</v>
      </c>
      <c r="HZ155" s="304">
        <f t="shared" si="530"/>
        <v>7.5050762695363996E-2</v>
      </c>
      <c r="IA155" s="304">
        <f>HZ155*(VLOOKUP($HX$9,各项系数!$D$1:$F$143,2,0))</f>
        <v>0.82555838964900397</v>
      </c>
      <c r="IB155" s="315">
        <f>各项系数!$F$76/4*($MW155^2-$MT155^2)*10^-2*(VLOOKUP($IB$9,各项系数!$D$1:$F$143,3,0))*10^-3*10^2*各项系数!$J$4</f>
        <v>7.6153574814109531E-2</v>
      </c>
      <c r="IC155" s="322">
        <v>1</v>
      </c>
      <c r="ID155" s="304">
        <f t="shared" si="531"/>
        <v>7.6153574814109531E-2</v>
      </c>
      <c r="IE155" s="304">
        <f>ID155*(VLOOKUP($IB$9,各项系数!$D$1:$F$143,2,0))</f>
        <v>0.83768932295520482</v>
      </c>
      <c r="IF155" s="328"/>
      <c r="IG155" s="315">
        <f t="shared" si="656"/>
        <v>1.9737516877413066E-2</v>
      </c>
      <c r="IH155" s="303">
        <v>1</v>
      </c>
      <c r="II155" s="304">
        <f t="shared" si="532"/>
        <v>1.9737516877413066E-2</v>
      </c>
      <c r="IJ155" s="304">
        <f>II155*(VLOOKUP($IG$8,各项系数!$D$1:$F$143,2,0))</f>
        <v>0.49343792193532665</v>
      </c>
      <c r="IK155" s="315">
        <f>(各项系数!$F$76/4*($MX155^2-$MK155^2)*$EG155)*10^-2*(VLOOKUP($IG$8,各项系数!$D$1:$F$143,3,0))*10^-3*10^2*各项系数!$J$4</f>
        <v>1.9737516877413066E-2</v>
      </c>
      <c r="IL155" s="303">
        <f>IK155*(VLOOKUP($IG$8,各项系数!$D$1:$F$143,2,0))</f>
        <v>0.49343792193532665</v>
      </c>
      <c r="IM155" s="304">
        <f>(各项系数!$F$76/4*(($MM155+3*$X155)^2-MM155^2)*$EO155)*10^-2*(VLOOKUP($IG$8,各项系数!$D$1:$F$143,3,0))*10^-3*10^2*各项系数!$J$4</f>
        <v>0</v>
      </c>
      <c r="IN155" s="303">
        <f>IM155*(VLOOKUP($IG$8,各项系数!$D$1:$F$143,2,0))</f>
        <v>0</v>
      </c>
      <c r="IO155" s="315">
        <f>各项系数!$F$76/4*($MZ155^2-$MX155^2)*10^-2*(VLOOKUP(L155,各项系数!$D$1:$F$143,3,0))*10^-3*10^2*$ES155*各项系数!$J$4</f>
        <v>4.7516113147384249E-2</v>
      </c>
      <c r="IP155" s="303">
        <v>1</v>
      </c>
      <c r="IQ155" s="304">
        <f t="shared" si="533"/>
        <v>4.7516113147384249E-2</v>
      </c>
      <c r="IR155" s="285">
        <f>IQ155*(VLOOKUP(L155,各项系数!$D$1:$F$143,2,0))</f>
        <v>0.5464353011949189</v>
      </c>
      <c r="IS155" s="315">
        <f>IF($L155&lt;&gt;$IS$9,0,各项系数!$F$76/4*($MZ155^2-$MX155^2)*10^-2*各项系数!$F$12*10^-3*10^2)*$ES155*各项系数!$J$4</f>
        <v>0</v>
      </c>
      <c r="IT155" s="303">
        <v>1</v>
      </c>
      <c r="IU155" s="304">
        <f t="shared" si="534"/>
        <v>0</v>
      </c>
      <c r="IV155" s="285">
        <f>IU155*各项系数!$E$12</f>
        <v>0</v>
      </c>
      <c r="IW155" s="302">
        <f t="shared" si="535"/>
        <v>4.7516113147384249E-2</v>
      </c>
      <c r="IX155" s="302">
        <f t="shared" si="536"/>
        <v>0.5464353011949189</v>
      </c>
      <c r="IY155" s="339">
        <f>各项系数!$F$76/4*($NB155^2-$MZ155^2*$EG155-$NA155^2*$EO155)*10^-2</f>
        <v>0.39717593912713794</v>
      </c>
      <c r="IZ155" s="284">
        <f t="shared" si="697"/>
        <v>1</v>
      </c>
      <c r="JA155" s="285">
        <f t="shared" si="606"/>
        <v>0.39717593912713794</v>
      </c>
      <c r="JB155" s="282">
        <f>IF($DE155&lt;&gt;$JB$9,0,$JA155*各项系数!$F$32*10^-3*10^2)*各项系数!$J$4</f>
        <v>0</v>
      </c>
      <c r="JC155" s="102">
        <v>1</v>
      </c>
      <c r="JD155" s="189">
        <f t="shared" si="537"/>
        <v>0</v>
      </c>
      <c r="JE155" s="262">
        <f>JD155*各项系数!$E$32</f>
        <v>0</v>
      </c>
      <c r="JF155" s="282">
        <f>IF($DE155&lt;&gt;$JF$9,0,$JA155*VLOOKUP($JF$9,各项系数!$D$4:$F$540,2,0)*10^-3*10^2)*各项系数!$J$4</f>
        <v>0.1975950297157511</v>
      </c>
      <c r="JG155" s="102">
        <v>1</v>
      </c>
      <c r="JH155" s="189">
        <f t="shared" si="607"/>
        <v>0.1975950297157511</v>
      </c>
      <c r="JI155" s="262">
        <f>JH155*VLOOKUP($JF$9,各项系数!$D$4:$F$540,3,0)</f>
        <v>0.23711403565890132</v>
      </c>
      <c r="JJ155" s="282">
        <f t="shared" si="538"/>
        <v>0.1975950297157511</v>
      </c>
      <c r="JK155" s="189">
        <f t="shared" si="539"/>
        <v>0.23711403565890132</v>
      </c>
      <c r="JL155" s="282">
        <f>IF($DF155&lt;&gt;$JL$9,0,各项系数!$F$76/4*($NE155^2-$NC155^2)*10^-2*各项系数!$F$39*10^-3*10^2)*各项系数!$J$4</f>
        <v>1.320295455048931E-3</v>
      </c>
      <c r="JM155" s="102">
        <v>1</v>
      </c>
      <c r="JN155" s="189">
        <f t="shared" si="540"/>
        <v>1.320295455048931E-3</v>
      </c>
      <c r="JO155" s="262">
        <f>JN155*各项系数!$E$39</f>
        <v>2.640590910097862E-2</v>
      </c>
      <c r="JP155" s="282">
        <f>IF($DF155&lt;&gt;$JP$9,0,各项系数!$F$76/4*($NE155^2-$NC155^2)*10^-2*各项系数!$F$36*10^-3*10^2)*各项系数!$J$4</f>
        <v>0</v>
      </c>
      <c r="JQ155" s="102">
        <v>1</v>
      </c>
      <c r="JR155" s="189">
        <f t="shared" si="541"/>
        <v>0</v>
      </c>
      <c r="JS155" s="262">
        <f>JR155*各项系数!$E$36</f>
        <v>0</v>
      </c>
      <c r="JT155" s="282">
        <f>IF($DF155&lt;&gt;$JT$9,0,各项系数!$F$76/4*($NE155^2-$NC155^2)*10^-2*各项系数!$F$40*10^-3*10^2)*各项系数!$J$4</f>
        <v>0</v>
      </c>
      <c r="JU155" s="102">
        <v>1</v>
      </c>
      <c r="JV155" s="189">
        <f t="shared" si="542"/>
        <v>0</v>
      </c>
      <c r="JW155" s="262">
        <f>JV155*各项系数!$E$40</f>
        <v>0</v>
      </c>
      <c r="JX155" s="282">
        <f>IF($DF155&lt;&gt;$JX$9,0,各项系数!$F$76/4*($NE155^2-$NC155^2)*10^-2*各项系数!$F$38*10^-3*10^2)*各项系数!$J$4</f>
        <v>0</v>
      </c>
      <c r="JY155" s="102">
        <v>1</v>
      </c>
      <c r="JZ155" s="189">
        <f t="shared" si="543"/>
        <v>0</v>
      </c>
      <c r="KA155" s="262">
        <f>JZ155*各项系数!$E$38</f>
        <v>0</v>
      </c>
      <c r="KB155" s="282">
        <f>IF($DF155&lt;&gt;$KB$9,0,各项系数!$F$76/4*($NE155^2-$NC155^2)*10^-2*各项系数!$F$41*10^-3*10^2)*各项系数!$J$4</f>
        <v>0</v>
      </c>
      <c r="KC155" s="102">
        <v>1</v>
      </c>
      <c r="KD155" s="189">
        <f t="shared" si="544"/>
        <v>0</v>
      </c>
      <c r="KE155" s="262">
        <f>KD155*各项系数!$E$41</f>
        <v>0</v>
      </c>
      <c r="KF155" s="189">
        <f t="shared" si="545"/>
        <v>1.320295455048931E-3</v>
      </c>
      <c r="KG155" s="189">
        <f t="shared" si="546"/>
        <v>2.640590910097862E-2</v>
      </c>
      <c r="KH155" s="235">
        <f>各项系数!$F$76/4*($NG155^2-$NE155^2)*10^-2*各项系数!$F$44*10^-3*10^2*各项系数!$J$4*0.75*$U155</f>
        <v>0.54791548901282927</v>
      </c>
      <c r="KI155" s="102">
        <v>1</v>
      </c>
      <c r="KJ155" s="189">
        <f t="shared" si="547"/>
        <v>0.54791548901282927</v>
      </c>
      <c r="KK155" s="189">
        <f>ROUND(KJ155*各项系数!$E$43,GT155)</f>
        <v>3.2</v>
      </c>
      <c r="KL155" s="235">
        <f>各项系数!$F$76/4*($NF155^2-$NE155^2)*10^-2*各项系数!$F$46*10^-3*10^2*各项系数!$J$4*PI()/4*R155</f>
        <v>1.6667905837521386E-2</v>
      </c>
      <c r="KM155" s="102">
        <v>1</v>
      </c>
      <c r="KN155" s="189">
        <f t="shared" si="548"/>
        <v>1.6667905837521386E-2</v>
      </c>
      <c r="KO155" s="189">
        <f>KN155*各项系数!$E$46</f>
        <v>1.1250836440326935</v>
      </c>
      <c r="KP155" s="235">
        <f>各项系数!$F$76/4*($NH155^2-$NE155^2)*10^-2*(VLOOKUP($KP$9,各项系数!$D$1:$F$143,3,0))*10^-3*10^2*各项系数!$J$4</f>
        <v>9.0781905115554978E-2</v>
      </c>
      <c r="KQ155" s="102">
        <v>1</v>
      </c>
      <c r="KR155" s="189">
        <f t="shared" si="657"/>
        <v>9.0781905115554978E-2</v>
      </c>
      <c r="KS155" s="189">
        <f>KR155*(VLOOKUP($KP$9,各项系数!$D$1:$F$143,2,0))</f>
        <v>1.5432923869644346</v>
      </c>
      <c r="KT155" s="235">
        <f>各项系数!$F$76/4*($NI155^2-$NF155^2)*10^-2*(VLOOKUP($KT$9,各项系数!$D$1:$F$143,3,0))*10^-3*10^2*各项系数!$J$4</f>
        <v>9.1869712987787025E-2</v>
      </c>
      <c r="KU155" s="102">
        <v>1</v>
      </c>
      <c r="KV155" s="189">
        <f t="shared" si="658"/>
        <v>9.1869712987787025E-2</v>
      </c>
      <c r="KW155" s="189">
        <f>KV155*(VLOOKUP($KT$9,各项系数!$D$1:$F$143,2,0))</f>
        <v>1.5617851207923794</v>
      </c>
      <c r="KX155" s="189">
        <f>各项系数!$F$76/4*($NH155^2-$NE155^2)*10^-2*(VLOOKUP($KX$9,各项系数!$D$1:$F$143,3,0))*10^-3*10^2*各项系数!$J$4</f>
        <v>9.0781905115554978E-2</v>
      </c>
      <c r="KY155" s="353">
        <v>1</v>
      </c>
      <c r="KZ155" s="189">
        <f t="shared" si="659"/>
        <v>9.0781905115554978E-2</v>
      </c>
      <c r="LA155" s="189">
        <f>KZ155*(VLOOKUP($KX$9,各项系数!$D$1:$F$143,2,0))</f>
        <v>1.5432923869644346</v>
      </c>
      <c r="LB155" s="189">
        <f>各项系数!$F$76/4*($NI155^2-$NF155^2)*10^-2*(VLOOKUP($LB$9,各项系数!$D$1:$F$143,3,0))*10^-3*10^2*各项系数!$J$4</f>
        <v>9.1869712987787025E-2</v>
      </c>
      <c r="LC155" s="353">
        <v>1</v>
      </c>
      <c r="LD155" s="189">
        <f t="shared" si="660"/>
        <v>9.1869712987787025E-2</v>
      </c>
      <c r="LE155" s="189">
        <f>LD155*(VLOOKUP($LB$9,各项系数!$D$1:$F$143,2,0))</f>
        <v>1.5617851207923794</v>
      </c>
      <c r="LF155" s="235">
        <f>各项系数!$F$76/4*($NH155^2-$NE155^2)*10^-2*(VLOOKUP(AN155,各项系数!$D$1:$F$143,3,0))*10^-3*10^2*各项系数!$J$4</f>
        <v>9.2034069324045398E-2</v>
      </c>
      <c r="LG155" s="102">
        <v>1</v>
      </c>
      <c r="LH155" s="189">
        <f t="shared" si="549"/>
        <v>9.2034069324045398E-2</v>
      </c>
      <c r="LI155" s="189">
        <f>LH155*(VLOOKUP(AN155,各项系数!$D$1:$F$143,2,0))</f>
        <v>0.92034069324045398</v>
      </c>
      <c r="LJ155" s="235">
        <f>各项系数!$F$76/4*($NI155^2-$NF155^2)*10^-2*(VLOOKUP(AN155,各项系数!$D$1:$F$143,3,0))*10^-3*10^2*各项系数!$J$4</f>
        <v>9.3136881442790989E-2</v>
      </c>
      <c r="LK155" s="102">
        <v>1</v>
      </c>
      <c r="LL155" s="189">
        <f t="shared" si="550"/>
        <v>9.3136881442790989E-2</v>
      </c>
      <c r="LM155" s="189">
        <f>LL155*(VLOOKUP(AN155,各项系数!$D$1:$F$143,2,0))</f>
        <v>0.93136881442790986</v>
      </c>
      <c r="LN155" s="189">
        <f>各项系数!$F$76/4*($NH155^2-$NE155^2)*10^-2*(VLOOKUP($LN$9,各项系数!$D$1:$F$143,3,0))*10^-3*10^2*各项系数!$J$4</f>
        <v>9.2034069324045398E-2</v>
      </c>
      <c r="LO155" s="353">
        <v>1</v>
      </c>
      <c r="LP155" s="189">
        <f t="shared" si="551"/>
        <v>9.2034069324045398E-2</v>
      </c>
      <c r="LQ155" s="189">
        <f>LP155*(VLOOKUP($LN$9,各项系数!$D$1:$F$143,2,0))</f>
        <v>1.0123747625644994</v>
      </c>
      <c r="LR155" s="189">
        <f>各项系数!$F$76/4*($NI155^2-$NF155^2)*10^-2*(VLOOKUP($LR$9,各项系数!$D$1:$F$143,3,0))*10^-3*10^2*各项系数!$J$4</f>
        <v>9.3136881442790989E-2</v>
      </c>
      <c r="LS155" s="353">
        <v>1</v>
      </c>
      <c r="LT155" s="189">
        <f t="shared" si="552"/>
        <v>9.3136881442790989E-2</v>
      </c>
      <c r="LU155" s="189">
        <f>LT155*(VLOOKUP($LR$9,各项系数!$D$1:$F$143,2,0))</f>
        <v>1.0245056958707008</v>
      </c>
      <c r="LV155" s="227">
        <f t="shared" si="661"/>
        <v>9.5579887699999997</v>
      </c>
      <c r="LW155" s="227">
        <f t="shared" si="662"/>
        <v>9.5579887699999997</v>
      </c>
      <c r="LX155" s="227">
        <f t="shared" si="663"/>
        <v>3.4884967063333452</v>
      </c>
      <c r="LY155" s="227">
        <f t="shared" si="664"/>
        <v>0</v>
      </c>
      <c r="LZ155" s="374">
        <f t="shared" si="608"/>
        <v>1</v>
      </c>
      <c r="MA155" s="375">
        <f t="shared" si="609"/>
        <v>9.5579887699999997</v>
      </c>
      <c r="MB155" s="375">
        <f t="shared" si="665"/>
        <v>1.1031595199999999</v>
      </c>
      <c r="MC155" s="227">
        <f t="shared" si="666"/>
        <v>0</v>
      </c>
      <c r="MD155" s="227">
        <f t="shared" si="667"/>
        <v>0</v>
      </c>
      <c r="ME155" s="227">
        <f t="shared" si="668"/>
        <v>0</v>
      </c>
      <c r="MF155" s="227">
        <f t="shared" si="669"/>
        <v>0</v>
      </c>
      <c r="MG155" s="374">
        <f t="shared" si="670"/>
        <v>1</v>
      </c>
      <c r="MH155" s="375">
        <f t="shared" si="610"/>
        <v>0</v>
      </c>
      <c r="MI155" s="375">
        <f t="shared" si="671"/>
        <v>0</v>
      </c>
      <c r="MJ155" s="189">
        <f t="shared" si="611"/>
        <v>1.1031595199999999</v>
      </c>
      <c r="MK155" s="189">
        <f t="shared" si="672"/>
        <v>1.1031595199999999</v>
      </c>
      <c r="ML155" s="189">
        <f t="shared" si="553"/>
        <v>0</v>
      </c>
      <c r="MM155" s="189">
        <f t="shared" si="612"/>
        <v>0</v>
      </c>
      <c r="MN155" s="189">
        <f t="shared" si="613"/>
        <v>2.3031595199999999</v>
      </c>
      <c r="MO155" s="189">
        <f t="shared" si="673"/>
        <v>0</v>
      </c>
      <c r="MP155" s="189">
        <f t="shared" si="674"/>
        <v>9.2126380799999996</v>
      </c>
      <c r="MQ155" s="189">
        <f t="shared" si="554"/>
        <v>9.2126380799999996</v>
      </c>
      <c r="MR155" s="246">
        <f t="shared" si="675"/>
        <v>9.2126380799999996</v>
      </c>
      <c r="MS155" s="380">
        <f t="shared" si="614"/>
        <v>9.3886380799999998</v>
      </c>
      <c r="MT155" s="380">
        <f t="shared" si="615"/>
        <v>9.5486380799999999</v>
      </c>
      <c r="MU155" s="380">
        <f t="shared" si="616"/>
        <v>10.588638079999999</v>
      </c>
      <c r="MV155" s="380">
        <f t="shared" si="617"/>
        <v>12.38863808</v>
      </c>
      <c r="MW155" s="380">
        <f t="shared" si="618"/>
        <v>12.54863808</v>
      </c>
      <c r="MX155" s="254">
        <f t="shared" si="619"/>
        <v>1.70315952</v>
      </c>
      <c r="MY155" s="254">
        <f t="shared" si="620"/>
        <v>0</v>
      </c>
      <c r="MZ155" s="189">
        <f t="shared" si="621"/>
        <v>2.90315952</v>
      </c>
      <c r="NA155" s="189">
        <f t="shared" si="622"/>
        <v>0</v>
      </c>
      <c r="NB155" s="189">
        <f t="shared" si="676"/>
        <v>11.61263808</v>
      </c>
      <c r="NC155" s="254">
        <f t="shared" si="555"/>
        <v>11.61263808</v>
      </c>
      <c r="ND155" s="246">
        <f t="shared" si="677"/>
        <v>11.61263808</v>
      </c>
      <c r="NE155" s="386">
        <f t="shared" si="678"/>
        <v>11.85263808</v>
      </c>
      <c r="NF155" s="380">
        <f t="shared" si="623"/>
        <v>12.01263808</v>
      </c>
      <c r="NG155" s="387">
        <f t="shared" si="624"/>
        <v>13.052638080000001</v>
      </c>
      <c r="NH155" s="254">
        <f t="shared" si="625"/>
        <v>14.85263808</v>
      </c>
      <c r="NI155" s="380">
        <f t="shared" si="626"/>
        <v>15.01263808</v>
      </c>
      <c r="NK155" s="388">
        <f t="shared" si="627"/>
        <v>0.22711336087543185</v>
      </c>
      <c r="NL155" s="388">
        <f t="shared" si="628"/>
        <v>6.8145441621029006</v>
      </c>
      <c r="NM155" s="388">
        <f t="shared" si="629"/>
        <v>0.22711336087543185</v>
      </c>
      <c r="NN155" s="388">
        <f t="shared" si="630"/>
        <v>6.8895949247982644</v>
      </c>
      <c r="NO155" s="388">
        <f t="shared" si="631"/>
        <v>0.44274869145597973</v>
      </c>
      <c r="NP155" s="388">
        <f t="shared" si="632"/>
        <v>7.7614750454606529</v>
      </c>
      <c r="NQ155" s="388">
        <f t="shared" si="633"/>
        <v>0.44274869145597973</v>
      </c>
      <c r="NR155" s="388">
        <f t="shared" si="634"/>
        <v>7.853509114784698</v>
      </c>
      <c r="NS155" s="388">
        <f t="shared" si="635"/>
        <v>0.24033946954217608</v>
      </c>
      <c r="NT155" s="388">
        <f t="shared" si="636"/>
        <v>0.24033946954217608</v>
      </c>
      <c r="NU155" s="388">
        <f t="shared" si="637"/>
        <v>0.45941659729350109</v>
      </c>
      <c r="NV155" s="388">
        <f t="shared" si="638"/>
        <v>0.45941659729350109</v>
      </c>
      <c r="NW155">
        <f t="shared" si="639"/>
        <v>0.37361322923037782</v>
      </c>
      <c r="NX155">
        <f>各项系数!$M$9*NK155</f>
        <v>6.8134008262629553E-2</v>
      </c>
      <c r="NY155">
        <f t="shared" si="640"/>
        <v>0.24033946954217608</v>
      </c>
    </row>
    <row r="156" spans="1:389" ht="15" hidden="1" customHeight="1">
      <c r="A156" s="69"/>
      <c r="B156" s="70"/>
      <c r="C156" s="69"/>
      <c r="D156" s="102" t="s">
        <v>250</v>
      </c>
      <c r="E156" s="61">
        <f t="shared" si="687"/>
        <v>12.757143600000001</v>
      </c>
      <c r="F156" s="405">
        <f t="shared" si="693"/>
        <v>110.31595161029</v>
      </c>
      <c r="G156" s="16"/>
      <c r="H156" s="16"/>
      <c r="I156" s="145">
        <v>0</v>
      </c>
      <c r="J156" s="16"/>
      <c r="K156" s="16"/>
      <c r="L156" s="97" t="s">
        <v>469</v>
      </c>
      <c r="M156" s="103">
        <f t="shared" si="582"/>
        <v>0.6</v>
      </c>
      <c r="N156" s="103">
        <f t="shared" si="583"/>
        <v>0</v>
      </c>
      <c r="O156" s="53">
        <f t="shared" si="688"/>
        <v>0.08</v>
      </c>
      <c r="P156" s="99">
        <v>0.1</v>
      </c>
      <c r="Q156" s="133">
        <f t="shared" si="700"/>
        <v>0.1</v>
      </c>
      <c r="R156" s="406">
        <v>0.8</v>
      </c>
      <c r="S156" s="142" t="str">
        <f>各项系数!$D$43</f>
        <v>钢带</v>
      </c>
      <c r="T156" s="102">
        <v>0.2</v>
      </c>
      <c r="U156" s="62">
        <v>4</v>
      </c>
      <c r="V156" s="143"/>
      <c r="W156" s="141">
        <f t="shared" ref="W156:W159" si="702">$W$155</f>
        <v>1.5</v>
      </c>
      <c r="X156" s="135">
        <f t="shared" si="701"/>
        <v>0.2</v>
      </c>
      <c r="Y156" s="135"/>
      <c r="Z156" s="168"/>
      <c r="AA156" s="153">
        <v>1</v>
      </c>
      <c r="AB156" s="153">
        <f>PI()*EJ156*EJ156/4*EH156*(1-H156)*AA156*各项系数!$F$5*各项系数!$J$4*10^-7</f>
        <v>8.4545666936336993E-3</v>
      </c>
      <c r="AC156" s="153">
        <f t="shared" si="573"/>
        <v>110.31595161029</v>
      </c>
      <c r="AD156" s="153">
        <f t="shared" si="584"/>
        <v>0.95579886989884189</v>
      </c>
      <c r="AE156" s="153">
        <f>POWER(4*EU156/PI()/EG156/10^-7/EH156/(1-H156)/各项系数!$F$5/各项系数!$J$4,0.5)</f>
        <v>110.31595161029</v>
      </c>
      <c r="AF156" s="69">
        <v>1</v>
      </c>
      <c r="AG156" s="69">
        <f>IF(EM156=0,0,PI()*ER156*ER156/4*EP156*(1-K156)*(1+AF156)*各项系数!$F$5*各项系数!$J$4*10^-7)</f>
        <v>0</v>
      </c>
      <c r="AH156" s="69">
        <f t="shared" si="574"/>
        <v>0</v>
      </c>
      <c r="AI156" s="69">
        <f t="shared" si="641"/>
        <v>0</v>
      </c>
      <c r="AJ156" s="69">
        <f>IF(OR(EP156="",EP156=0),0,POWER(4*EW156/PI()/EO156/10^-7/EP156/(1-K156)/各项系数!$F$5/各项系数!$J$4,0.5))</f>
        <v>0</v>
      </c>
      <c r="AK156" s="69" t="str">
        <f t="shared" si="585"/>
        <v>√</v>
      </c>
      <c r="AL156" s="69">
        <f t="shared" si="575"/>
        <v>8.8247555186743583</v>
      </c>
      <c r="AM156" s="188">
        <f t="shared" si="576"/>
        <v>1</v>
      </c>
      <c r="AN156" s="97" t="s">
        <v>486</v>
      </c>
      <c r="AO156" s="196">
        <f>AP156+各项系数!$M$9*$NK156</f>
        <v>8.6517210967395659</v>
      </c>
      <c r="AP156" s="196">
        <f>AQ156*(1+$BI156+(VLOOKUP($AM156,$A$12:$B$323,2,0))+各项系数!$J$6+各项系数!$M$5)*(1+$E$2)</f>
        <v>8.5766502707054642</v>
      </c>
      <c r="AQ156" s="197">
        <f>AR156+各项系数!$L$9*$NK156</f>
        <v>8.415080720864859</v>
      </c>
      <c r="AR156" s="197">
        <f>AS156*(1+$BJ156+各项系数!$J$5+各项系数!$L$5)</f>
        <v>8.3400098948307573</v>
      </c>
      <c r="AS156" s="197">
        <f t="shared" si="642"/>
        <v>8.0192402834911132</v>
      </c>
      <c r="AT156" s="196">
        <f>AU156+各项系数!$M$9*$NM156</f>
        <v>9.2084044744281375</v>
      </c>
      <c r="AU156" s="196">
        <f>AV156*(1+$BI156+(VLOOKUP($AM156,$A$12:$B$323,2,0))+各项系数!$J$6+各项系数!$M$5)*(1+$E$2)</f>
        <v>9.1333336483940357</v>
      </c>
      <c r="AV156" s="197">
        <f>AW156+各项系数!$L$9*$NM156</f>
        <v>8.9612771275451681</v>
      </c>
      <c r="AW156" s="197">
        <f>AX156*(1+$BJ156+各项系数!$J$5+各项系数!$L$5)</f>
        <v>8.8862063015110664</v>
      </c>
      <c r="AX156" s="197">
        <f t="shared" si="643"/>
        <v>8.5444291360683327</v>
      </c>
      <c r="AY156" s="196">
        <f>AZ156+各项系数!$M$9*$NS156</f>
        <v>9.6548623061844214</v>
      </c>
      <c r="AZ156" s="196">
        <f>BA156*(1+$BI156+(VLOOKUP($AM156,$A$12:$B$214,2,0))+各项系数!$J$6+各项系数!$M$5)*(1+$E$2)</f>
        <v>9.5756692253194338</v>
      </c>
      <c r="BA156" s="197">
        <f>BB156+各项系数!$L$9*$NS156</f>
        <v>9.3952798521579997</v>
      </c>
      <c r="BB156" s="197">
        <f>BC156*(1+$BJ156+各项系数!$J$5+各项系数!$L$5)</f>
        <v>9.316086771293012</v>
      </c>
      <c r="BC156" s="199">
        <f t="shared" si="644"/>
        <v>8.9577757416278967</v>
      </c>
      <c r="BD156" s="196">
        <f>BE156+各项系数!$M$9*$NS156</f>
        <v>10.219457934404304</v>
      </c>
      <c r="BE156" s="196">
        <f>BF156*(1+$BI156+(VLOOKUP($AM156,$A$12:$B$214,2,0))+各项系数!$J$6+各项系数!$M$5)*(1+$E$2)</f>
        <v>10.140264853539316</v>
      </c>
      <c r="BF156" s="197">
        <f>BG156+各项系数!$L$9*$NS156</f>
        <v>9.9492394559844151</v>
      </c>
      <c r="BG156" s="197">
        <f>BH156*(1+$BJ156+各项系数!$J$5+各项系数!$L$5)</f>
        <v>9.8700463751194274</v>
      </c>
      <c r="BH156" s="199">
        <f t="shared" si="645"/>
        <v>9.4904292068456026</v>
      </c>
      <c r="BI156" s="213"/>
      <c r="BJ156" s="208">
        <f t="shared" si="695"/>
        <v>0.02</v>
      </c>
      <c r="BK156" s="102" t="s">
        <v>514</v>
      </c>
      <c r="BL156" s="196">
        <f>BM156+各项系数!$M$9*$NM156</f>
        <v>8.8164876731698989</v>
      </c>
      <c r="BM156" s="196">
        <f>BN156*(1+$CF156+(VLOOKUP($AM156,$A$12:$B$323,2,0))+各项系数!$J$6+各项系数!$M$5)*(1+$E$2)</f>
        <v>8.7414168471357971</v>
      </c>
      <c r="BN156" s="197">
        <f>BO156+各项系数!$L$9*$NM156</f>
        <v>8.5767433743483092</v>
      </c>
      <c r="BO156" s="197">
        <f>BP156*(1+$CG156+各项系数!$J$5+各项系数!$L$5)</f>
        <v>8.5016725483142075</v>
      </c>
      <c r="BP156" s="197">
        <f t="shared" si="646"/>
        <v>8.0968309983944824</v>
      </c>
      <c r="BQ156" s="196">
        <f>BR156+各项系数!$M$9*$NM156</f>
        <v>9.2954892961829465</v>
      </c>
      <c r="BR156" s="196">
        <f>BS156*(1+$CF156+(VLOOKUP($AM156,$A$12:$B$323,2,0))+各项系数!$J$6+各项系数!$M$5)*(1+$E$2)</f>
        <v>9.2204184701488447</v>
      </c>
      <c r="BS156" s="197">
        <f>BT156+各项系数!$L$9*$NM156</f>
        <v>9.046721418905852</v>
      </c>
      <c r="BT156" s="197">
        <f>BU156*(1+$CG156+各项系数!$J$5+各项系数!$L$5)</f>
        <v>8.9716505928717503</v>
      </c>
      <c r="BU156" s="197">
        <f t="shared" si="647"/>
        <v>8.5444291360683327</v>
      </c>
      <c r="BV156" s="196">
        <f>BW156+各项系数!$M$9*$NT156</f>
        <v>9.7580830938990317</v>
      </c>
      <c r="BW156" s="196">
        <f>BX156*(1+$CF156+(VLOOKUP($AM156,$A$12:$B$214,2,0))+各项系数!$J$6+各项系数!$M$5)*(1+$E$2)</f>
        <v>9.6788900130340441</v>
      </c>
      <c r="BX156" s="197">
        <f>BY156+各项系数!$L$9*$NT$12</f>
        <v>9.4965561352374834</v>
      </c>
      <c r="BY156" s="197">
        <f>BZ156*(1+$CG156+各项系数!$J$5+各项系数!$L$5)</f>
        <v>9.4882927320825097</v>
      </c>
      <c r="BZ156" s="199">
        <f t="shared" si="586"/>
        <v>9.0364692686500092</v>
      </c>
      <c r="CA156" s="196">
        <f>CB156+各项系数!$M$9*$NT156</f>
        <v>10.243892861358429</v>
      </c>
      <c r="CB156" s="196">
        <f>CC156*(1+$CF156+(VLOOKUP($AM156,$A$12:$B$214,2,0))+各项系数!$J$6+各项系数!$M$5)*(1+$E$2)</f>
        <v>10.164699780493441</v>
      </c>
      <c r="CC156" s="197">
        <f>CD156+各项系数!$L$9*$NT$12</f>
        <v>9.9732140703428573</v>
      </c>
      <c r="CD156" s="197">
        <f>CE156*(1+$CG156+各项系数!$J$5+各项系数!$L$5)</f>
        <v>9.9649506671878836</v>
      </c>
      <c r="CE156" s="199">
        <f t="shared" si="648"/>
        <v>9.4904292068456026</v>
      </c>
      <c r="CF156" s="213">
        <f t="shared" si="514"/>
        <v>0</v>
      </c>
      <c r="CG156" s="213">
        <f t="shared" si="587"/>
        <v>0.03</v>
      </c>
      <c r="CH156" s="102"/>
      <c r="CI156" s="196">
        <f>CJ156+各项系数!$M$9*$NO156</f>
        <v>9.9770636089794635</v>
      </c>
      <c r="CJ156" s="196">
        <f>CK156*(1+$DC156+(VLOOKUP($AM156,$A$12:$B$323,2,0))+各项系数!$J$6+各项系数!$M$5)*(1+$E$2)+各项系数!$M$9*$NK156</f>
        <v>9.8410153699040706</v>
      </c>
      <c r="CK156" s="197">
        <f>CL156+各项系数!$L$9*$NO156</f>
        <v>9.5819707063088391</v>
      </c>
      <c r="CL156" s="197">
        <f>CM156*(1+$DD156+各项系数!$J$5+各项系数!$L$5)</f>
        <v>9.4459224672334461</v>
      </c>
      <c r="CM156" s="197">
        <f t="shared" si="588"/>
        <v>9.0826177569552371</v>
      </c>
      <c r="CN156" s="196">
        <f>CO156+各项系数!$M$9*$NO156</f>
        <v>10.346715697726836</v>
      </c>
      <c r="CO156" s="196">
        <f>CP156*(1+$DC156+(VLOOKUP($AM156,$A$12:$B$323,2,0))+各项系数!$J$6+各项系数!$M$5)*(1+$E$2)+各项系数!$M$9*$NK156</f>
        <v>10.210667458651443</v>
      </c>
      <c r="CP156" s="197">
        <f>CQ156+各项系数!$L$9*$NO156</f>
        <v>9.9446591764298873</v>
      </c>
      <c r="CQ156" s="197">
        <f>CR156*(1+$DD156+各项系数!$J$5+各项系数!$L$5)</f>
        <v>9.8086109373544943</v>
      </c>
      <c r="CR156" s="197">
        <f t="shared" si="589"/>
        <v>9.4313566705331677</v>
      </c>
      <c r="CS156" s="196">
        <f>CT156+各项系数!$M$9*$NU156</f>
        <v>11.163147557420244</v>
      </c>
      <c r="CT156" s="196">
        <f t="shared" si="590"/>
        <v>11.021904295564632</v>
      </c>
      <c r="CU156" s="197">
        <f>CV156+各项系数!$L$9*$NU156</f>
        <v>10.814270305695281</v>
      </c>
      <c r="CV156" s="197">
        <f>CW156*(1+$DD156+各项系数!$J$5+各项系数!$L$5)</f>
        <v>10.673027043839669</v>
      </c>
      <c r="CW156" s="199">
        <f t="shared" si="591"/>
        <v>10.262526003691988</v>
      </c>
      <c r="CX156" s="196">
        <f>CY156+各项系数!$M$9*$NU156</f>
        <v>11.854339194141138</v>
      </c>
      <c r="CY156" s="196">
        <f t="shared" si="592"/>
        <v>11.713095932285526</v>
      </c>
      <c r="CZ156" s="197">
        <f>DA156+各项系数!$L$9*$NU156</f>
        <v>11.492441063859424</v>
      </c>
      <c r="DA156" s="197">
        <f>DB156*(1+$DD156+各项系数!$J$5+各项系数!$L$5)</f>
        <v>11.351197802003812</v>
      </c>
      <c r="DB156" s="199">
        <f t="shared" si="593"/>
        <v>10.914613271157512</v>
      </c>
      <c r="DC156" s="213">
        <f t="shared" si="698"/>
        <v>0</v>
      </c>
      <c r="DD156" s="213">
        <f t="shared" si="594"/>
        <v>0.02</v>
      </c>
      <c r="DE156" s="53" t="s">
        <v>498</v>
      </c>
      <c r="DF156" s="53" t="s">
        <v>513</v>
      </c>
      <c r="DG156" s="196">
        <f>DH156+各项系数!$M$9*$NQ156</f>
        <v>10.17155109529129</v>
      </c>
      <c r="DH156" s="196">
        <f>DI156*(1+$EA156+(VLOOKUP($AM156,$A$12:$B$323,2,0))+各项系数!$J$6+各项系数!$M$5)*(1+$E$2)+各项系数!$M$9*$NK156</f>
        <v>10.035502856215897</v>
      </c>
      <c r="DI156" s="197">
        <f>DJ156+各项系数!$L$9*$NQ156</f>
        <v>9.7727943781218549</v>
      </c>
      <c r="DJ156" s="197">
        <f>DK156*(1+$EB156+各项系数!$J$5+各项系数!$L$5)</f>
        <v>9.6367461390464619</v>
      </c>
      <c r="DK156" s="197">
        <f t="shared" si="595"/>
        <v>9.1778534657585347</v>
      </c>
      <c r="DL156" s="196">
        <f>DM156+各项系数!$M$9*$NQ156</f>
        <v>10.759483029445914</v>
      </c>
      <c r="DM156" s="196">
        <f>DN156*(1+$EA156+(VLOOKUP($AM156,$A$12:$B$323,2,0))+各项系数!$J$6+各项系数!$M$5)*(1+$E$2)+各项系数!$M$9*$NK156</f>
        <v>10.623434790370521</v>
      </c>
      <c r="DN156" s="197">
        <f>DO156+各项系数!$L$9*$NQ156</f>
        <v>10.34965067144468</v>
      </c>
      <c r="DO156" s="197">
        <f>DP156*(1+$EB156+各项系数!$J$5+各项系数!$L$5)</f>
        <v>10.213602432369287</v>
      </c>
      <c r="DP156" s="197">
        <f t="shared" si="596"/>
        <v>9.7272404117802722</v>
      </c>
      <c r="DQ156" s="196">
        <f>DR156+各项系数!$M$9*$NV156</f>
        <v>11.370840853999802</v>
      </c>
      <c r="DR156" s="196">
        <f t="shared" si="597"/>
        <v>11.22959759214419</v>
      </c>
      <c r="DS156" s="197">
        <f>DT156+各项系数!$L$9*$NV156</f>
        <v>11.018051012700344</v>
      </c>
      <c r="DT156" s="197">
        <f>DU156*(1+$EB156+各项系数!$J$5+各项系数!$L$5)</f>
        <v>10.876807750844732</v>
      </c>
      <c r="DU156" s="199">
        <f t="shared" si="598"/>
        <v>10.358864524614029</v>
      </c>
      <c r="DV156" s="196">
        <f>DW156+各项系数!$M$9*$NV156</f>
        <v>11.26385309028867</v>
      </c>
      <c r="DW156" s="196">
        <f t="shared" si="599"/>
        <v>11.122609828433058</v>
      </c>
      <c r="DX156" s="197">
        <f>DY156+各项系数!$L$9*$NV156</f>
        <v>10.913078717065403</v>
      </c>
      <c r="DY156" s="197">
        <f>DZ156*(1+$EB156+各项系数!$J$5+各项系数!$L$5)</f>
        <v>10.771835455209791</v>
      </c>
      <c r="DZ156" s="199">
        <f t="shared" si="600"/>
        <v>10.258890909723609</v>
      </c>
      <c r="EA156" s="213">
        <f t="shared" si="699"/>
        <v>0</v>
      </c>
      <c r="EB156" s="213">
        <f t="shared" si="601"/>
        <v>0.03</v>
      </c>
      <c r="EC156" s="235">
        <f t="shared" si="649"/>
        <v>12</v>
      </c>
      <c r="ED156" s="235" t="str">
        <f t="shared" si="680"/>
        <v>12*1</v>
      </c>
      <c r="EE156" s="189">
        <f t="shared" si="495"/>
        <v>1</v>
      </c>
      <c r="EF156" s="189">
        <f>LOOKUP(EH156,{1,7,10,14,19,24,30,37,48,61},{1,"1+6","2+8","4+10","1+6+12","2+8+14","4+10+16","1+6+12+18","3+9+15+21","1+6+12+18+24"})</f>
        <v>1</v>
      </c>
      <c r="EG156" s="188">
        <f t="shared" si="602"/>
        <v>12</v>
      </c>
      <c r="EH156" s="197">
        <f>VLOOKUP(EE156,各项系数!$B$87:$C$124,2,0)</f>
        <v>1</v>
      </c>
      <c r="EI156" s="188">
        <f>IF(EH156=0,0,VLOOKUP(EH156,各项系数!$D$142:$E$195,2,0))*1</f>
        <v>1</v>
      </c>
      <c r="EJ156" s="238">
        <f t="shared" si="650"/>
        <v>110.31595161029</v>
      </c>
      <c r="EK156" s="189">
        <f t="shared" si="689"/>
        <v>0</v>
      </c>
      <c r="EL156" s="189">
        <f t="shared" si="603"/>
        <v>0</v>
      </c>
      <c r="EM156" s="189">
        <f t="shared" si="690"/>
        <v>0</v>
      </c>
      <c r="EN156" s="189">
        <f>IF(EP156=0,0,LOOKUP(EP156,{1,7,10,14,19,24,30,37,48,61},{1,"1+6","2+8","4+10","1+6+12","2+8+14","4+10+16","1+6+12+18","3+9+15+21","1+6+12+18+24"}))</f>
        <v>0</v>
      </c>
      <c r="EO156" s="189">
        <f t="shared" si="691"/>
        <v>0</v>
      </c>
      <c r="EP156" s="189">
        <f>IF(EM156=0,0,IF(EM156&lt;10,1,IF(AND(EM156&gt;=10,EM156&lt;=35),7,LOOKUP(EM156,{50,70,95,120,150,185,240,300},{10,14,19,24,30,37,48,61})*1)))</f>
        <v>0</v>
      </c>
      <c r="EQ156" s="189">
        <f>IF(EP156=0,0,VLOOKUP(EP156,各项系数!$D$142:$E$195,2,0))*1</f>
        <v>0</v>
      </c>
      <c r="ER156" s="53">
        <f t="shared" si="577"/>
        <v>0</v>
      </c>
      <c r="ES156" s="412">
        <f t="shared" si="692"/>
        <v>12</v>
      </c>
      <c r="ET156" s="189">
        <f>VLOOKUP(ES156,各项系数!$D$142:$E$195,2,0)*1</f>
        <v>4.16</v>
      </c>
      <c r="EU156" s="243">
        <f>((各项系数!$F$76/4*$EJ156^2*$EG156*$EH156*1*10^-7)*(1-$H156)*AA156)*(VLOOKUP($EY$9,各项系数!$D$4:$F$143,3,0))*各项系数!$J$4</f>
        <v>0.1014548003236044</v>
      </c>
      <c r="EV156" s="244">
        <f>EU156*(VLOOKUP($EY$9,各项系数!$D$4:$F$143,2,0))</f>
        <v>6.6452894211960887</v>
      </c>
      <c r="EW156" s="252">
        <f>(IF($EO156=0,0,(各项系数!$F$76/4*$ER156^2*$EO156*$EP156*1*10^-7))*(1-$K156)*$AF156)*(VLOOKUP($EY$9,各项系数!$D$4:$F$143,3,0))*各项系数!$J$4</f>
        <v>0</v>
      </c>
      <c r="EX156" s="253">
        <f>EW156*(VLOOKUP($EY$9,各项系数!$D$4:$F$143,2,0))</f>
        <v>0</v>
      </c>
      <c r="EY156" s="189">
        <f>((各项系数!$F$76/4*$EJ156^2*$EG156*$EH156*1*10^-7)*(1-$H156)*AA156+IF($EO156=0,0,(各项系数!$F$76/4*$ER156^2*$EO156*$EP156*1*10^-7))*(1-$K156)*$AF156)*(VLOOKUP($EY$9,各项系数!$D$4:$F$143,3,0))*各项系数!$J$4</f>
        <v>0.1014548003236044</v>
      </c>
      <c r="EZ156" s="102">
        <v>1</v>
      </c>
      <c r="FA156" s="189">
        <f t="shared" si="515"/>
        <v>0.1014548003236044</v>
      </c>
      <c r="FB156" s="254">
        <f>FA156*(VLOOKUP($EY$9,各项系数!$D$4:$F$143,2,0))</f>
        <v>6.6452894211960887</v>
      </c>
      <c r="FC156" s="255"/>
      <c r="FD156" s="235">
        <f>各项系数!$F$76/4*($MN156^2-MK156^2)*10^-2*(VLOOKUP(L156,各项系数!$D$1:$F$143,3,0))*10^-3*10^2*$EG156*各项系数!$J$4</f>
        <v>4.2165131728451696E-2</v>
      </c>
      <c r="FE156" s="262">
        <f>FD156*VLOOKUP(L156,各项系数!$D$1:$F$143,2,0)</f>
        <v>0.4848990148771945</v>
      </c>
      <c r="FF156" s="188">
        <f>各项系数!$F$76/4*($MO156^2-ML156^2)*10^-2*(VLOOKUP(L156,各项系数!$D$1:$F$143,3,0))*10^-3*10^2*$EO156*各项系数!$J$4</f>
        <v>0</v>
      </c>
      <c r="FG156" s="262">
        <f>FF156*VLOOKUP(L156,各项系数!$D$1:$F$143,2,0)</f>
        <v>0</v>
      </c>
      <c r="FH156" s="235">
        <f t="shared" si="651"/>
        <v>4.2165131728451696E-2</v>
      </c>
      <c r="FI156" s="102">
        <v>1</v>
      </c>
      <c r="FJ156" s="189">
        <f t="shared" si="516"/>
        <v>4.2165131728451696E-2</v>
      </c>
      <c r="FK156" s="262">
        <f>FJ156*VLOOKUP(L156,各项系数!$D$1:$F$143,2,0)</f>
        <v>0.4848990148771945</v>
      </c>
      <c r="FL156" s="235"/>
      <c r="FM156" s="102"/>
      <c r="FN156" s="189"/>
      <c r="FO156" s="262"/>
      <c r="FP156" s="282">
        <f t="shared" si="517"/>
        <v>4.2165131728451696E-2</v>
      </c>
      <c r="FQ156" s="282">
        <f t="shared" si="518"/>
        <v>0.4848990148771945</v>
      </c>
      <c r="FR156" s="283">
        <f>各项系数!$F$76/4*($MQ156^2-$MN156^2*$EG156-$MO156^2*$EO156)*10^-2</f>
        <v>0.2210407892638569</v>
      </c>
      <c r="FS156" s="284">
        <f t="shared" si="652"/>
        <v>1</v>
      </c>
      <c r="FT156" s="285">
        <f t="shared" si="604"/>
        <v>0.2210407892638569</v>
      </c>
      <c r="FU156" s="302">
        <f>$FT156*(VLOOKUP($FT$9,各项系数!$D$1:$F$143,3,0))*10^-3*10^2*各项系数!$J$55</f>
        <v>2.6392270238104514E-2</v>
      </c>
      <c r="FV156" s="303">
        <v>1</v>
      </c>
      <c r="FW156" s="304">
        <f t="shared" si="519"/>
        <v>2.6392270238104514E-2</v>
      </c>
      <c r="FX156" s="285">
        <f>FW156*(VLOOKUP($FT$9,各项系数!$D$1:$F$143,2,0))</f>
        <v>7.9176810714313539E-2</v>
      </c>
      <c r="FY156" s="302">
        <f>IF($BK156&lt;&gt;$FY$9,0,各项系数!$F$76/4*($MS156^2-$MQ156^2)*10^-2*(VLOOKUP($FY$9,各项系数!$D$1:$F$143,3,0))*10^-3*10^2)*各项系数!$J$4</f>
        <v>0</v>
      </c>
      <c r="FZ156" s="303">
        <v>1</v>
      </c>
      <c r="GA156" s="304">
        <f t="shared" si="520"/>
        <v>0</v>
      </c>
      <c r="GB156" s="285">
        <f>GA156*(VLOOKUP($FY$9,各项系数!$D$1:$F$143,2,0))</f>
        <v>0</v>
      </c>
      <c r="GC156" s="302">
        <f>IF($BK156&lt;&gt;$GC$9,0,各项系数!$F$76/4*($MS156^2-$MQ156^2)*10^-2*(VLOOKUP($GC$9,各项系数!$D$1:$F$143,3,0))*10^-3*10^2)*各项系数!$J$4</f>
        <v>2.6331695868091511E-3</v>
      </c>
      <c r="GD156" s="303">
        <v>1</v>
      </c>
      <c r="GE156" s="304">
        <f t="shared" si="521"/>
        <v>2.6331695868091511E-3</v>
      </c>
      <c r="GF156" s="285">
        <f>GE156*(VLOOKUP($GC$9,各项系数!$D$1:$F$143,2,0))</f>
        <v>3.3967887669838048E-2</v>
      </c>
      <c r="GG156" s="302">
        <f>IF($BK156&lt;&gt;$GG$9,0,各项系数!$F$76/4*($MS156^2-$MQ156^2)*10^-2*(VLOOKUP($GG$9,各项系数!$D$1:$F$143,3,0))*10^-3*10^2)*各项系数!$J$4</f>
        <v>0</v>
      </c>
      <c r="GH156" s="303">
        <v>1</v>
      </c>
      <c r="GI156" s="304">
        <f t="shared" si="522"/>
        <v>0</v>
      </c>
      <c r="GJ156" s="285">
        <f>GI156*(VLOOKUP($GG$9,各项系数!$D$1:$F$143,2,0))</f>
        <v>0</v>
      </c>
      <c r="GK156" s="302">
        <f>IF($BK156&lt;&gt;$GK$9,0,各项系数!$F$76/4*($MS156^2-$MQ156^2)*10^-2*(VLOOKUP($GK$9,各项系数!$D$1:$F$143,3,0))*10^-3*10^2)*各项系数!$J$4</f>
        <v>0</v>
      </c>
      <c r="GL156" s="303">
        <v>1</v>
      </c>
      <c r="GM156" s="304">
        <f t="shared" si="523"/>
        <v>0</v>
      </c>
      <c r="GN156" s="285">
        <f>GM156*(VLOOKUP($GK$9,各项系数!$D$1:$F$143,2,0))</f>
        <v>0</v>
      </c>
      <c r="GO156" s="304">
        <f t="shared" si="524"/>
        <v>2.6331695868091511E-3</v>
      </c>
      <c r="GP156" s="304">
        <f t="shared" si="525"/>
        <v>3.3967887669838048E-2</v>
      </c>
      <c r="GQ156" s="315">
        <f>各项系数!$F$76/4*($MU156^2-$MS156^2)*10^-2*(VLOOKUP($S156,各项系数!$D$1:$F$143,3,0))*10^-3*10^2*各项系数!$J$4</f>
        <v>0.15190461019619539</v>
      </c>
      <c r="GR156" s="303">
        <v>1</v>
      </c>
      <c r="GS156" s="304">
        <f t="shared" si="526"/>
        <v>0.15190461019619539</v>
      </c>
      <c r="GT156" s="304">
        <f t="shared" si="696"/>
        <v>1</v>
      </c>
      <c r="GU156" s="304">
        <f>ROUND($GS156*(VLOOKUP($S156,各项系数!$D$1:$F$143,2,0))+$E$3*GS156,GT156)</f>
        <v>0.9</v>
      </c>
      <c r="GV156" s="315">
        <f>各项系数!$F$76/4*($MT156^2-$MS156^2)*10^-2*(VLOOKUP($GV$9,各项系数!$D$1:$F$143,3,0))*10^-3*10^2*各项系数!$J$4*PI()/4*R156</f>
        <v>1.3740849436286307E-2</v>
      </c>
      <c r="GW156" s="303">
        <v>1</v>
      </c>
      <c r="GX156" s="304">
        <f t="shared" si="527"/>
        <v>1.3740849436286307E-2</v>
      </c>
      <c r="GY156" s="304">
        <f>$GX156*(VLOOKUP($GV$9,各项系数!$D$1:$F$143,2,0))</f>
        <v>0.92750733694932574</v>
      </c>
      <c r="GZ156" s="315">
        <f>各项系数!$F$76/4*($MV156^2-$MS156^2)*10^-2*(VLOOKUP($GZ$9,各项系数!$D$1:$F$143,3,0))*10^-3*10^2*各项系数!$J$4</f>
        <v>7.6535058918288101E-2</v>
      </c>
      <c r="HA156" s="303">
        <v>1</v>
      </c>
      <c r="HB156" s="304">
        <f t="shared" si="653"/>
        <v>7.6535058918288101E-2</v>
      </c>
      <c r="HC156" s="304">
        <f>HB156*(VLOOKUP($GZ$9,各项系数!$D$1:$F$143,2,0))</f>
        <v>1.3010960016108977</v>
      </c>
      <c r="HD156" s="315">
        <f>各项系数!$F$76/4*($MW156^2-$MT156^2)*10^-2*(VLOOKUP($HD$9,各项系数!$D$1:$F$143,3,0))*10^-3*10^2*各项系数!$J$4</f>
        <v>7.7622866790520134E-2</v>
      </c>
      <c r="HE156" s="303">
        <v>1</v>
      </c>
      <c r="HF156" s="304">
        <f t="shared" si="654"/>
        <v>7.7622866790520134E-2</v>
      </c>
      <c r="HG156" s="304">
        <f>HF156*(VLOOKUP($HD$9,各项系数!$D$1:$F$143,2,0))</f>
        <v>1.3195887354388423</v>
      </c>
      <c r="HH156" s="315">
        <f>各项系数!$F$76/4*($MV156^2-$MS156^2)*10^-2*(VLOOKUP($HH$9,各项系数!$D$1:$F$143,3,0))*10^-3*10^2*各项系数!$J$4</f>
        <v>7.6535058918288101E-2</v>
      </c>
      <c r="HI156" s="322">
        <v>1</v>
      </c>
      <c r="HJ156" s="304">
        <f t="shared" si="655"/>
        <v>7.6535058918288101E-2</v>
      </c>
      <c r="HK156" s="304">
        <f>HJ156*(VLOOKUP($HH$9,各项系数!$D$1:$F$143,2,0))</f>
        <v>1.3010960016108977</v>
      </c>
      <c r="HL156" s="315">
        <f>各项系数!$F$76/4*($MW156^2-$MT156^2)*10^-2*(VLOOKUP($HL$9,各项系数!$D$1:$F$143,3,0))*10^-3*10^2*各项系数!$J$4</f>
        <v>7.7622866790520134E-2</v>
      </c>
      <c r="HM156" s="322">
        <v>1</v>
      </c>
      <c r="HN156" s="304">
        <f t="shared" si="605"/>
        <v>7.7622866790520134E-2</v>
      </c>
      <c r="HO156" s="304">
        <f>HN156*(VLOOKUP($HL$9,各项系数!$D$1:$F$143,2,0))</f>
        <v>1.3195887354388423</v>
      </c>
      <c r="HP156" s="315">
        <f>各项系数!$F$76/4*($MV156^2-$MS156^2)*10^-2*(VLOOKUP(AN156,各项系数!$D$1:$F$143,3,0))*10^-3*10^2*各项系数!$J$4</f>
        <v>7.7590714903367955E-2</v>
      </c>
      <c r="HQ156" s="303">
        <v>1</v>
      </c>
      <c r="HR156" s="304">
        <f t="shared" si="528"/>
        <v>7.7590714903367955E-2</v>
      </c>
      <c r="HS156" s="304">
        <f>HR156*(VLOOKUP(AN156,各项系数!$D$1:$F$143,2,0))</f>
        <v>0.77590714903367952</v>
      </c>
      <c r="HT156" s="315">
        <f>各项系数!$F$76/4*($MW156^2-$MT156^2)*10^-2*(VLOOKUP(AN156,各项系数!$D$1:$F$143,3,0))*10^-3*10^2*各项系数!$J$4</f>
        <v>7.8693527022113519E-2</v>
      </c>
      <c r="HU156" s="303">
        <v>1</v>
      </c>
      <c r="HV156" s="304">
        <f t="shared" si="529"/>
        <v>7.8693527022113519E-2</v>
      </c>
      <c r="HW156" s="304">
        <f>HV156*(VLOOKUP(AN156,各项系数!$D$1:$F$143,2,0))</f>
        <v>0.78693527022113519</v>
      </c>
      <c r="HX156" s="315">
        <f>各项系数!$F$76/4*($MV156^2-$MS156^2)*10^-2*(VLOOKUP($HX$9,各项系数!$D$1:$F$143,3,0))*10^-3*10^2*各项系数!$J$4</f>
        <v>7.7590714903367955E-2</v>
      </c>
      <c r="HY156" s="322">
        <v>1</v>
      </c>
      <c r="HZ156" s="304">
        <f t="shared" si="530"/>
        <v>7.7590714903367955E-2</v>
      </c>
      <c r="IA156" s="304">
        <f>HZ156*(VLOOKUP($HX$9,各项系数!$D$1:$F$143,2,0))</f>
        <v>0.85349786393704752</v>
      </c>
      <c r="IB156" s="315">
        <f>各项系数!$F$76/4*($MW156^2-$MT156^2)*10^-2*(VLOOKUP($IB$9,各项系数!$D$1:$F$143,3,0))*10^-3*10^2*各项系数!$J$4</f>
        <v>7.8693527022113519E-2</v>
      </c>
      <c r="IC156" s="322">
        <v>1</v>
      </c>
      <c r="ID156" s="304">
        <f t="shared" si="531"/>
        <v>7.8693527022113519E-2</v>
      </c>
      <c r="IE156" s="304">
        <f>ID156*(VLOOKUP($IB$9,各项系数!$D$1:$F$143,2,0))</f>
        <v>0.8656287972432487</v>
      </c>
      <c r="IF156" s="328"/>
      <c r="IG156" s="315">
        <f t="shared" si="656"/>
        <v>2.3685020252895685E-2</v>
      </c>
      <c r="IH156" s="303">
        <v>1</v>
      </c>
      <c r="II156" s="304">
        <f t="shared" si="532"/>
        <v>2.3685020252895685E-2</v>
      </c>
      <c r="IJ156" s="304">
        <f>II156*(VLOOKUP($IG$8,各项系数!$D$1:$F$143,2,0))</f>
        <v>0.59212550632239214</v>
      </c>
      <c r="IK156" s="315">
        <f>(各项系数!$F$76/4*($MX156^2-$MK156^2)*$EG156)*10^-2*(VLOOKUP($IG$8,各项系数!$D$1:$F$143,3,0))*10^-3*10^2*各项系数!$J$4</f>
        <v>2.3685020252895685E-2</v>
      </c>
      <c r="IL156" s="303">
        <f>IK156*(VLOOKUP($IG$8,各项系数!$D$1:$F$143,2,0))</f>
        <v>0.59212550632239214</v>
      </c>
      <c r="IM156" s="304">
        <f>(各项系数!$F$76/4*(($MM156+3*$X156)^2-MM156^2)*$EO156)*10^-2*(VLOOKUP($IG$8,各项系数!$D$1:$F$143,3,0))*10^-3*10^2*各项系数!$J$4</f>
        <v>0</v>
      </c>
      <c r="IN156" s="303">
        <f>IM156*(VLOOKUP($IG$8,各项系数!$D$1:$F$143,2,0))</f>
        <v>0</v>
      </c>
      <c r="IO156" s="315">
        <f>各项系数!$F$76/4*($MZ156^2-$MX156^2)*10^-2*(VLOOKUP(L156,各项系数!$D$1:$F$143,3,0))*10^-3*10^2*$ES156*各项系数!$J$4</f>
        <v>5.7019335776861101E-2</v>
      </c>
      <c r="IP156" s="303">
        <v>1</v>
      </c>
      <c r="IQ156" s="304">
        <f t="shared" si="533"/>
        <v>5.7019335776861101E-2</v>
      </c>
      <c r="IR156" s="285">
        <f>IQ156*(VLOOKUP(L156,各项系数!$D$1:$F$143,2,0))</f>
        <v>0.65572236143390261</v>
      </c>
      <c r="IS156" s="315">
        <f>IF($L156&lt;&gt;$IS$9,0,各项系数!$F$76/4*($MZ156^2-$MX156^2)*10^-2*各项系数!$F$12*10^-3*10^2)*$ES156*各项系数!$J$4</f>
        <v>0</v>
      </c>
      <c r="IT156" s="303">
        <v>1</v>
      </c>
      <c r="IU156" s="304">
        <f t="shared" si="534"/>
        <v>0</v>
      </c>
      <c r="IV156" s="285">
        <f>IU156*各项系数!$E$12</f>
        <v>0</v>
      </c>
      <c r="IW156" s="302">
        <f t="shared" si="535"/>
        <v>5.7019335776861101E-2</v>
      </c>
      <c r="IX156" s="302">
        <f t="shared" si="536"/>
        <v>0.65572236143390261</v>
      </c>
      <c r="IY156" s="339">
        <f>各项系数!$F$76/4*($NB156^2-$MZ156^2*$EG156-$NA156^2*$EO156)*10^-2</f>
        <v>0.3512094431650935</v>
      </c>
      <c r="IZ156" s="284">
        <f t="shared" si="697"/>
        <v>1</v>
      </c>
      <c r="JA156" s="285">
        <f t="shared" si="606"/>
        <v>0.3512094431650935</v>
      </c>
      <c r="JB156" s="282">
        <f>IF($DE156&lt;&gt;$JB$9,0,$JA156*各项系数!$F$32*10^-3*10^2)*各项系数!$J$4</f>
        <v>0</v>
      </c>
      <c r="JC156" s="102">
        <v>1</v>
      </c>
      <c r="JD156" s="189">
        <f t="shared" si="537"/>
        <v>0</v>
      </c>
      <c r="JE156" s="262">
        <f>JD156*各项系数!$E$32</f>
        <v>0</v>
      </c>
      <c r="JF156" s="282">
        <f>IF($DE156&lt;&gt;$JF$9,0,$JA156*VLOOKUP($JF$9,各项系数!$D$4:$F$540,2,0)*10^-3*10^2)*各项系数!$J$4</f>
        <v>0.17472669797463403</v>
      </c>
      <c r="JG156" s="102">
        <v>1</v>
      </c>
      <c r="JH156" s="189">
        <f t="shared" si="607"/>
        <v>0.17472669797463403</v>
      </c>
      <c r="JI156" s="262">
        <f>JH156*VLOOKUP($JF$9,各项系数!$D$4:$F$540,3,0)</f>
        <v>0.20967203756956082</v>
      </c>
      <c r="JJ156" s="282">
        <f t="shared" si="538"/>
        <v>0.17472669797463403</v>
      </c>
      <c r="JK156" s="189">
        <f t="shared" si="539"/>
        <v>0.20967203756956082</v>
      </c>
      <c r="JL156" s="282">
        <f>IF($DF156&lt;&gt;$JL$9,0,各项系数!$F$76/4*($NE156^2-$NC156^2)*10^-2*各项系数!$F$39*10^-3*10^2)*各项系数!$J$4</f>
        <v>1.3725671200162969E-3</v>
      </c>
      <c r="JM156" s="102">
        <v>1</v>
      </c>
      <c r="JN156" s="189">
        <f t="shared" si="540"/>
        <v>1.3725671200162969E-3</v>
      </c>
      <c r="JO156" s="262">
        <f>JN156*各项系数!$E$39</f>
        <v>2.7451342400325939E-2</v>
      </c>
      <c r="JP156" s="282">
        <f>IF($DF156&lt;&gt;$JP$9,0,各项系数!$F$76/4*($NE156^2-$NC156^2)*10^-2*各项系数!$F$36*10^-3*10^2)*各项系数!$J$4</f>
        <v>0</v>
      </c>
      <c r="JQ156" s="102">
        <v>1</v>
      </c>
      <c r="JR156" s="189">
        <f t="shared" si="541"/>
        <v>0</v>
      </c>
      <c r="JS156" s="262">
        <f>JR156*各项系数!$E$36</f>
        <v>0</v>
      </c>
      <c r="JT156" s="282">
        <f>IF($DF156&lt;&gt;$JT$9,0,各项系数!$F$76/4*($NE156^2-$NC156^2)*10^-2*各项系数!$F$40*10^-3*10^2)*各项系数!$J$4</f>
        <v>0</v>
      </c>
      <c r="JU156" s="102">
        <v>1</v>
      </c>
      <c r="JV156" s="189">
        <f t="shared" si="542"/>
        <v>0</v>
      </c>
      <c r="JW156" s="262">
        <f>JV156*各项系数!$E$40</f>
        <v>0</v>
      </c>
      <c r="JX156" s="282">
        <f>IF($DF156&lt;&gt;$JX$9,0,各项系数!$F$76/4*($NE156^2-$NC156^2)*10^-2*各项系数!$F$38*10^-3*10^2)*各项系数!$J$4</f>
        <v>0</v>
      </c>
      <c r="JY156" s="102">
        <v>1</v>
      </c>
      <c r="JZ156" s="189">
        <f t="shared" si="543"/>
        <v>0</v>
      </c>
      <c r="KA156" s="262">
        <f>JZ156*各项系数!$E$38</f>
        <v>0</v>
      </c>
      <c r="KB156" s="282">
        <f>IF($DF156&lt;&gt;$KB$9,0,各项系数!$F$76/4*($NE156^2-$NC156^2)*10^-2*各项系数!$F$41*10^-3*10^2)*各项系数!$J$4</f>
        <v>0</v>
      </c>
      <c r="KC156" s="102">
        <v>1</v>
      </c>
      <c r="KD156" s="189">
        <f t="shared" si="544"/>
        <v>0</v>
      </c>
      <c r="KE156" s="262">
        <f>KD156*各项系数!$E$41</f>
        <v>0</v>
      </c>
      <c r="KF156" s="189">
        <f t="shared" si="545"/>
        <v>1.3725671200162969E-3</v>
      </c>
      <c r="KG156" s="189">
        <f t="shared" si="546"/>
        <v>2.7451342400325939E-2</v>
      </c>
      <c r="KH156" s="235">
        <f>各项系数!$F$76/4*($NG156^2-$NE156^2)*10^-2*各项系数!$F$44*10^-3*10^2*各项系数!$J$4*0.75*$U156</f>
        <v>0.5683537100150704</v>
      </c>
      <c r="KI156" s="102">
        <v>1</v>
      </c>
      <c r="KJ156" s="189">
        <f t="shared" si="547"/>
        <v>0.5683537100150704</v>
      </c>
      <c r="KK156" s="189">
        <f>ROUND(KJ156*各项系数!$E$43,GT156)</f>
        <v>3.3</v>
      </c>
      <c r="KL156" s="235">
        <f>各项系数!$F$76/4*($NF156^2-$NE156^2)*10^-2*各项系数!$F$46*10^-3*10^2*各项系数!$J$4*PI()/4*R156</f>
        <v>1.7316742600730305E-2</v>
      </c>
      <c r="KM156" s="102">
        <v>1</v>
      </c>
      <c r="KN156" s="189">
        <f t="shared" si="548"/>
        <v>1.7316742600730305E-2</v>
      </c>
      <c r="KO156" s="189">
        <f>KN156*各项系数!$E$46</f>
        <v>1.1688801255492955</v>
      </c>
      <c r="KP156" s="235">
        <f>各项系数!$F$76/4*($NH156^2-$NE156^2)*10^-2*(VLOOKUP($KP$9,各项系数!$D$1:$F$143,3,0))*10^-3*10^2*各项系数!$J$4</f>
        <v>9.3939984874000126E-2</v>
      </c>
      <c r="KQ156" s="102">
        <v>1</v>
      </c>
      <c r="KR156" s="189">
        <f t="shared" si="657"/>
        <v>9.3939984874000126E-2</v>
      </c>
      <c r="KS156" s="189">
        <f>KR156*(VLOOKUP($KP$9,各项系数!$D$1:$F$143,2,0))</f>
        <v>1.5969797428580021</v>
      </c>
      <c r="KT156" s="235">
        <f>各项系数!$F$76/4*($NI156^2-$NF156^2)*10^-2*(VLOOKUP($KT$9,各项系数!$D$1:$F$143,3,0))*10^-3*10^2*各项系数!$J$4</f>
        <v>9.5027792746232104E-2</v>
      </c>
      <c r="KU156" s="102">
        <v>1</v>
      </c>
      <c r="KV156" s="189">
        <f t="shared" si="658"/>
        <v>9.5027792746232104E-2</v>
      </c>
      <c r="KW156" s="189">
        <f>KV156*(VLOOKUP($KT$9,各项系数!$D$1:$F$143,2,0))</f>
        <v>1.6154724766859458</v>
      </c>
      <c r="KX156" s="189">
        <f>各项系数!$F$76/4*($NH156^2-$NE156^2)*10^-2*(VLOOKUP($KX$9,各项系数!$D$1:$F$143,3,0))*10^-3*10^2*各项系数!$J$4</f>
        <v>9.3939984874000126E-2</v>
      </c>
      <c r="KY156" s="353">
        <v>1</v>
      </c>
      <c r="KZ156" s="189">
        <f t="shared" si="659"/>
        <v>9.3939984874000126E-2</v>
      </c>
      <c r="LA156" s="189">
        <f>KZ156*(VLOOKUP($KX$9,各项系数!$D$1:$F$143,2,0))</f>
        <v>1.5969797428580021</v>
      </c>
      <c r="LB156" s="189">
        <f>各项系数!$F$76/4*($NI156^2-$NF156^2)*10^-2*(VLOOKUP($LB$9,各项系数!$D$1:$F$143,3,0))*10^-3*10^2*各项系数!$J$4</f>
        <v>9.5027792746232104E-2</v>
      </c>
      <c r="LC156" s="353">
        <v>1</v>
      </c>
      <c r="LD156" s="189">
        <f t="shared" si="660"/>
        <v>9.5027792746232104E-2</v>
      </c>
      <c r="LE156" s="189">
        <f>LD156*(VLOOKUP($LB$9,各项系数!$D$1:$F$143,2,0))</f>
        <v>1.6154724766859458</v>
      </c>
      <c r="LF156" s="235">
        <f>各项系数!$F$76/4*($NH156^2-$NE156^2)*10^-2*(VLOOKUP(AN156,各项系数!$D$1:$F$143,3,0))*10^-3*10^2*各项系数!$J$4</f>
        <v>9.5235708803296695E-2</v>
      </c>
      <c r="LG156" s="102">
        <v>1</v>
      </c>
      <c r="LH156" s="189">
        <f t="shared" si="549"/>
        <v>9.5235708803296695E-2</v>
      </c>
      <c r="LI156" s="189">
        <f>LH156*(VLOOKUP(AN156,各项系数!$D$1:$F$143,2,0))</f>
        <v>0.95235708803296693</v>
      </c>
      <c r="LJ156" s="235">
        <f>各项系数!$F$76/4*($NI156^2-$NF156^2)*10^-2*(VLOOKUP(AN156,各项系数!$D$1:$F$143,3,0))*10^-3*10^2*各项系数!$J$4</f>
        <v>9.6338520922042203E-2</v>
      </c>
      <c r="LK156" s="102">
        <v>1</v>
      </c>
      <c r="LL156" s="189">
        <f t="shared" si="550"/>
        <v>9.6338520922042203E-2</v>
      </c>
      <c r="LM156" s="189">
        <f>LL156*(VLOOKUP(AN156,各项系数!$D$1:$F$143,2,0))</f>
        <v>0.96338520922042203</v>
      </c>
      <c r="LN156" s="189">
        <f>各项系数!$F$76/4*($NH156^2-$NE156^2)*10^-2*(VLOOKUP($LN$9,各项系数!$D$1:$F$143,3,0))*10^-3*10^2*各项系数!$J$4</f>
        <v>9.5235708803296695E-2</v>
      </c>
      <c r="LO156" s="353">
        <v>1</v>
      </c>
      <c r="LP156" s="189">
        <f t="shared" si="551"/>
        <v>9.5235708803296695E-2</v>
      </c>
      <c r="LQ156" s="189">
        <f>LP156*(VLOOKUP($LN$9,各项系数!$D$1:$F$143,2,0))</f>
        <v>1.0475927968362637</v>
      </c>
      <c r="LR156" s="189">
        <f>各项系数!$F$76/4*($NI156^2-$NF156^2)*10^-2*(VLOOKUP($LR$9,各项系数!$D$1:$F$143,3,0))*10^-3*10^2*各项系数!$J$4</f>
        <v>9.6338520922042203E-2</v>
      </c>
      <c r="LS156" s="353">
        <v>1</v>
      </c>
      <c r="LT156" s="189">
        <f t="shared" si="552"/>
        <v>9.6338520922042203E-2</v>
      </c>
      <c r="LU156" s="189">
        <f>LT156*(VLOOKUP($LR$9,各项系数!$D$1:$F$143,2,0))</f>
        <v>1.0597237301424642</v>
      </c>
      <c r="LV156" s="227">
        <f t="shared" si="661"/>
        <v>11.46958652</v>
      </c>
      <c r="LW156" s="227">
        <f t="shared" si="662"/>
        <v>11.46958652</v>
      </c>
      <c r="LX156" s="227">
        <f t="shared" si="663"/>
        <v>3.8214566750161332</v>
      </c>
      <c r="LY156" s="227">
        <f t="shared" si="664"/>
        <v>0</v>
      </c>
      <c r="LZ156" s="374">
        <f t="shared" si="608"/>
        <v>1</v>
      </c>
      <c r="MA156" s="375">
        <f t="shared" si="609"/>
        <v>11.46958652</v>
      </c>
      <c r="MB156" s="375">
        <f t="shared" si="665"/>
        <v>1.1031595199999999</v>
      </c>
      <c r="MC156" s="227">
        <f t="shared" si="666"/>
        <v>0</v>
      </c>
      <c r="MD156" s="227">
        <f t="shared" si="667"/>
        <v>0</v>
      </c>
      <c r="ME156" s="227">
        <f t="shared" si="668"/>
        <v>0</v>
      </c>
      <c r="MF156" s="227">
        <f t="shared" si="669"/>
        <v>0</v>
      </c>
      <c r="MG156" s="374">
        <f t="shared" si="670"/>
        <v>1</v>
      </c>
      <c r="MH156" s="375">
        <f t="shared" si="610"/>
        <v>0</v>
      </c>
      <c r="MI156" s="375">
        <f t="shared" si="671"/>
        <v>0</v>
      </c>
      <c r="MJ156" s="189">
        <f t="shared" si="611"/>
        <v>1.1031595199999999</v>
      </c>
      <c r="MK156" s="189">
        <f t="shared" si="672"/>
        <v>1.1031595199999999</v>
      </c>
      <c r="ML156" s="189">
        <f t="shared" si="553"/>
        <v>0</v>
      </c>
      <c r="MM156" s="189">
        <f t="shared" si="612"/>
        <v>0</v>
      </c>
      <c r="MN156" s="189">
        <f t="shared" si="613"/>
        <v>2.3031595199999999</v>
      </c>
      <c r="MO156" s="189">
        <f t="shared" si="673"/>
        <v>0</v>
      </c>
      <c r="MP156" s="189">
        <f t="shared" si="674"/>
        <v>9.5811436000000008</v>
      </c>
      <c r="MQ156" s="189">
        <f t="shared" si="554"/>
        <v>9.5811436000000008</v>
      </c>
      <c r="MR156" s="246">
        <f t="shared" si="675"/>
        <v>9.5811436000000008</v>
      </c>
      <c r="MS156" s="380">
        <f t="shared" si="614"/>
        <v>9.7571436000000009</v>
      </c>
      <c r="MT156" s="380">
        <f t="shared" si="615"/>
        <v>9.9171436000000011</v>
      </c>
      <c r="MU156" s="380">
        <f t="shared" si="616"/>
        <v>10.957143600000002</v>
      </c>
      <c r="MV156" s="380">
        <f t="shared" si="617"/>
        <v>12.757143600000001</v>
      </c>
      <c r="MW156" s="380">
        <f t="shared" si="618"/>
        <v>12.917143600000001</v>
      </c>
      <c r="MX156" s="254">
        <f t="shared" si="619"/>
        <v>1.70315952</v>
      </c>
      <c r="MY156" s="254">
        <f t="shared" si="620"/>
        <v>0</v>
      </c>
      <c r="MZ156" s="189">
        <f t="shared" si="621"/>
        <v>2.90315952</v>
      </c>
      <c r="NA156" s="189">
        <f t="shared" si="622"/>
        <v>0</v>
      </c>
      <c r="NB156" s="189">
        <f t="shared" si="676"/>
        <v>12.077143599999999</v>
      </c>
      <c r="NC156" s="254">
        <f t="shared" si="555"/>
        <v>12.077143599999999</v>
      </c>
      <c r="ND156" s="246">
        <f t="shared" si="677"/>
        <v>12.077143599999999</v>
      </c>
      <c r="NE156" s="386">
        <f t="shared" si="678"/>
        <v>12.3171436</v>
      </c>
      <c r="NF156" s="380">
        <f t="shared" si="623"/>
        <v>12.4771436</v>
      </c>
      <c r="NG156" s="387">
        <f t="shared" si="624"/>
        <v>13.517143600000001</v>
      </c>
      <c r="NH156" s="254">
        <f t="shared" si="625"/>
        <v>15.3171436</v>
      </c>
      <c r="NI156" s="380">
        <f t="shared" si="626"/>
        <v>15.4771436</v>
      </c>
      <c r="NK156" s="388">
        <f t="shared" si="627"/>
        <v>0.25023608678033771</v>
      </c>
      <c r="NL156" s="388">
        <f t="shared" si="628"/>
        <v>8.0192402834911132</v>
      </c>
      <c r="NM156" s="388">
        <f t="shared" si="629"/>
        <v>0.25023608678033771</v>
      </c>
      <c r="NN156" s="388">
        <f t="shared" si="630"/>
        <v>8.0968309983944824</v>
      </c>
      <c r="NO156" s="388">
        <f t="shared" si="631"/>
        <v>0.45349413025130825</v>
      </c>
      <c r="NP156" s="388">
        <f t="shared" si="632"/>
        <v>9.0826177569552371</v>
      </c>
      <c r="NQ156" s="388">
        <f t="shared" si="633"/>
        <v>0.45349413025130825</v>
      </c>
      <c r="NR156" s="388">
        <f t="shared" si="634"/>
        <v>9.1778534657585347</v>
      </c>
      <c r="NS156" s="388">
        <f t="shared" si="635"/>
        <v>0.26397693621662399</v>
      </c>
      <c r="NT156" s="388">
        <f t="shared" si="636"/>
        <v>0.26397693621662399</v>
      </c>
      <c r="NU156" s="388">
        <f t="shared" si="637"/>
        <v>0.47081087285203854</v>
      </c>
      <c r="NV156" s="388">
        <f t="shared" si="638"/>
        <v>0.47081087285203854</v>
      </c>
      <c r="NW156">
        <f t="shared" si="639"/>
        <v>0.4021406969765331</v>
      </c>
      <c r="NX156">
        <f>各项系数!$M$9*NK156</f>
        <v>7.5070826034101312E-2</v>
      </c>
      <c r="NY156">
        <f t="shared" si="640"/>
        <v>0.26397693621662399</v>
      </c>
    </row>
    <row r="157" spans="1:389" ht="15" hidden="1" customHeight="1">
      <c r="A157" s="69"/>
      <c r="B157" s="70"/>
      <c r="C157" s="69"/>
      <c r="D157" s="102" t="s">
        <v>259</v>
      </c>
      <c r="E157" s="61">
        <f t="shared" si="687"/>
        <v>13.332933479999999</v>
      </c>
      <c r="F157" s="405">
        <f t="shared" si="693"/>
        <v>110.31595161029</v>
      </c>
      <c r="G157" s="16"/>
      <c r="H157" s="16"/>
      <c r="I157" s="145">
        <v>0</v>
      </c>
      <c r="J157" s="16"/>
      <c r="K157" s="16"/>
      <c r="L157" s="97" t="s">
        <v>469</v>
      </c>
      <c r="M157" s="103">
        <f t="shared" si="582"/>
        <v>0.6</v>
      </c>
      <c r="N157" s="103">
        <f t="shared" si="583"/>
        <v>0</v>
      </c>
      <c r="O157" s="53">
        <f t="shared" si="688"/>
        <v>0.08</v>
      </c>
      <c r="P157" s="99">
        <v>0.1</v>
      </c>
      <c r="Q157" s="133">
        <f t="shared" si="700"/>
        <v>0.1</v>
      </c>
      <c r="R157" s="406">
        <v>0.8</v>
      </c>
      <c r="S157" s="142" t="str">
        <f>各项系数!$D$43</f>
        <v>钢带</v>
      </c>
      <c r="T157" s="102">
        <v>0.2</v>
      </c>
      <c r="U157" s="62">
        <v>4</v>
      </c>
      <c r="V157" s="143"/>
      <c r="W157" s="141">
        <f t="shared" si="702"/>
        <v>1.5</v>
      </c>
      <c r="X157" s="135">
        <f t="shared" si="701"/>
        <v>0.2</v>
      </c>
      <c r="Y157" s="135"/>
      <c r="Z157" s="168"/>
      <c r="AA157" s="153">
        <v>1</v>
      </c>
      <c r="AB157" s="153">
        <f>PI()*EJ157*EJ157/4*EH157*(1-H157)*AA157*各项系数!$F$5*各项系数!$J$4*10^-7</f>
        <v>8.4545666936336993E-3</v>
      </c>
      <c r="AC157" s="153">
        <f t="shared" si="573"/>
        <v>110.31595161029</v>
      </c>
      <c r="AD157" s="153">
        <f t="shared" si="584"/>
        <v>0.95579886989884166</v>
      </c>
      <c r="AE157" s="153">
        <f>POWER(4*EU157/PI()/EG157/10^-7/EH157/(1-H157)/各项系数!$F$5/各项系数!$J$4,0.5)</f>
        <v>110.31595161028999</v>
      </c>
      <c r="AF157" s="69">
        <v>1</v>
      </c>
      <c r="AG157" s="69">
        <f>IF(EM157=0,0,PI()*ER157*ER157/4*EP157*(1-K157)*(1+AF157)*各项系数!$F$5*各项系数!$J$4*10^-7)</f>
        <v>0</v>
      </c>
      <c r="AH157" s="69">
        <f t="shared" si="574"/>
        <v>0</v>
      </c>
      <c r="AI157" s="69">
        <f t="shared" si="641"/>
        <v>0</v>
      </c>
      <c r="AJ157" s="69">
        <f>IF(OR(EP157="",EP157=0),0,POWER(4*EW157/PI()/EO157/10^-7/EP157/(1-K157)/各项系数!$F$5/各项系数!$J$4,0.5))</f>
        <v>0</v>
      </c>
      <c r="AK157" s="69" t="str">
        <f t="shared" si="585"/>
        <v>√</v>
      </c>
      <c r="AL157" s="69">
        <f t="shared" si="575"/>
        <v>10.174747703630201</v>
      </c>
      <c r="AM157" s="188">
        <f t="shared" si="576"/>
        <v>1</v>
      </c>
      <c r="AN157" s="97" t="s">
        <v>486</v>
      </c>
      <c r="AO157" s="196">
        <f>AP157+各项系数!$M$9*$NK157</f>
        <v>9.9752428466962755</v>
      </c>
      <c r="AP157" s="196">
        <f>AQ157*(1+$BI157+(VLOOKUP($AM157,$A$12:$B$323,2,0))+各项系数!$J$6+各项系数!$M$5)*(1+$E$2)</f>
        <v>9.89154072414612</v>
      </c>
      <c r="AQ157" s="197">
        <f>AR157+各项系数!$L$9*$NK157</f>
        <v>9.7052008674903067</v>
      </c>
      <c r="AR157" s="197">
        <f>AS157*(1+$BJ157+各项系数!$J$5+各项系数!$L$5)</f>
        <v>9.6214987449401512</v>
      </c>
      <c r="AS157" s="197">
        <f t="shared" si="642"/>
        <v>9.2514411009039907</v>
      </c>
      <c r="AT157" s="196">
        <f>AU157+各项系数!$M$9*$NM157</f>
        <v>10.560399935534562</v>
      </c>
      <c r="AU157" s="196">
        <f>AV157*(1+$BI157+(VLOOKUP($AM157,$A$12:$B$323,2,0))+各项系数!$J$6+各项系数!$M$5)*(1+$E$2)</f>
        <v>10.476697812984407</v>
      </c>
      <c r="AV157" s="197">
        <f>AW157+各项系数!$L$9*$NM157</f>
        <v>10.279334588877949</v>
      </c>
      <c r="AW157" s="197">
        <f>AX157*(1+$BJ157+各项系数!$J$5+各项系数!$L$5)</f>
        <v>10.195632466327794</v>
      </c>
      <c r="AX157" s="197">
        <f t="shared" si="643"/>
        <v>9.8034927560844167</v>
      </c>
      <c r="AY157" s="196">
        <f>AZ157+各项系数!$M$9*$NS157</f>
        <v>11.036415931003242</v>
      </c>
      <c r="AZ157" s="196">
        <f>BA157*(1+$BI157+(VLOOKUP($AM157,$A$12:$B$214,2,0))+各项系数!$J$6+各项系数!$M$5)*(1+$E$2)</f>
        <v>10.948350268884383</v>
      </c>
      <c r="BA157" s="197">
        <f>BB157+各项系数!$L$9*$NS157</f>
        <v>10.742101912170705</v>
      </c>
      <c r="BB157" s="197">
        <f>BC157*(1+$BJ157+各项系数!$J$5+各项系数!$L$5)</f>
        <v>10.654036250051846</v>
      </c>
      <c r="BC157" s="199">
        <f t="shared" si="644"/>
        <v>10.24426562504985</v>
      </c>
      <c r="BD157" s="196">
        <f>BE157+各项系数!$M$9*$NS157</f>
        <v>11.629485270372843</v>
      </c>
      <c r="BE157" s="196">
        <f>BF157*(1+$BI157+(VLOOKUP($AM157,$A$12:$B$214,2,0))+各项系数!$J$6+各项系数!$M$5)*(1+$E$2)</f>
        <v>11.541419608253983</v>
      </c>
      <c r="BF157" s="197">
        <f>BG157+各项系数!$L$9*$NS157</f>
        <v>11.323998830704458</v>
      </c>
      <c r="BG157" s="197">
        <f>BH157*(1+$BJ157+各项系数!$J$5+各项系数!$L$5)</f>
        <v>11.235933168585598</v>
      </c>
      <c r="BH157" s="199">
        <f t="shared" si="645"/>
        <v>10.803781892870767</v>
      </c>
      <c r="BI157" s="213"/>
      <c r="BJ157" s="208">
        <f t="shared" si="695"/>
        <v>0.02</v>
      </c>
      <c r="BK157" s="102" t="s">
        <v>514</v>
      </c>
      <c r="BL157" s="196">
        <f>BM157+各项系数!$M$9*$NM157</f>
        <v>10.156815131480368</v>
      </c>
      <c r="BM157" s="196">
        <f>BN157*(1+$CF157+(VLOOKUP($AM157,$A$12:$B$323,2,0))+各项系数!$J$6+各项系数!$M$5)*(1+$E$2)</f>
        <v>10.073113008930212</v>
      </c>
      <c r="BN157" s="197">
        <f>BO157+各项系数!$L$9*$NM157</f>
        <v>9.8833526382753263</v>
      </c>
      <c r="BO157" s="197">
        <f>BP157*(1+$CG157+各项系数!$J$5+各项系数!$L$5)</f>
        <v>9.7996505157251708</v>
      </c>
      <c r="BP157" s="197">
        <f t="shared" si="646"/>
        <v>9.3330004911668283</v>
      </c>
      <c r="BQ157" s="196">
        <f>BR157+各项系数!$M$9*$NM157</f>
        <v>10.660317133704575</v>
      </c>
      <c r="BR157" s="196">
        <f>BS157*(1+$CF157+(VLOOKUP($AM157,$A$12:$B$323,2,0))+各项系数!$J$6+各项系数!$M$5)*(1+$E$2)</f>
        <v>10.57661501115442</v>
      </c>
      <c r="BS157" s="197">
        <f>BT157+各项系数!$L$9*$NM157</f>
        <v>10.377369516438794</v>
      </c>
      <c r="BT157" s="197">
        <f>BU157*(1+$CG157+各项系数!$J$5+各项系数!$L$5)</f>
        <v>10.293667393888638</v>
      </c>
      <c r="BU157" s="197">
        <f t="shared" si="647"/>
        <v>9.8034927560844167</v>
      </c>
      <c r="BV157" s="196">
        <f>BW157+各项系数!$M$9*$NT157</f>
        <v>11.147952806418433</v>
      </c>
      <c r="BW157" s="196">
        <f>BX157*(1+$CF157+(VLOOKUP($AM157,$A$12:$B$214,2,0))+各项系数!$J$6+各项系数!$M$5)*(1+$E$2)</f>
        <v>11.059887144299573</v>
      </c>
      <c r="BX157" s="197">
        <f>BY157+各项系数!$L$9*$NT$12</f>
        <v>10.851537621957979</v>
      </c>
      <c r="BY157" s="197">
        <f>BZ157*(1+$CG157+各项系数!$J$5+各项系数!$L$5)</f>
        <v>10.843274218803005</v>
      </c>
      <c r="BZ157" s="199">
        <f t="shared" si="586"/>
        <v>10.326927827431433</v>
      </c>
      <c r="CA157" s="196">
        <f>CB157+各项系数!$M$9*$NT157</f>
        <v>11.65826295308899</v>
      </c>
      <c r="CB157" s="196">
        <f>CC157*(1+$CF157+(VLOOKUP($AM157,$A$12:$B$214,2,0))+各项系数!$J$6+各项系数!$M$5)*(1+$E$2)</f>
        <v>11.57019729097013</v>
      </c>
      <c r="CC157" s="197">
        <f>CD157+各项系数!$L$9*$NT$12</f>
        <v>11.352234390669279</v>
      </c>
      <c r="CD157" s="197">
        <f>CE157*(1+$CG157+各项系数!$J$5+各项系数!$L$5)</f>
        <v>11.343970987514306</v>
      </c>
      <c r="CE157" s="199">
        <f t="shared" si="648"/>
        <v>10.803781892870767</v>
      </c>
      <c r="CF157" s="213">
        <f t="shared" si="514"/>
        <v>0</v>
      </c>
      <c r="CG157" s="213">
        <f t="shared" si="587"/>
        <v>0.03</v>
      </c>
      <c r="CH157" s="102"/>
      <c r="CI157" s="196">
        <f>CJ157+各项系数!$M$9*$NO157</f>
        <v>11.465146604332995</v>
      </c>
      <c r="CJ157" s="196">
        <f>CK157*(1+$DC157+(VLOOKUP($AM157,$A$12:$B$323,2,0))+各项系数!$J$6+各项系数!$M$5)*(1+$E$2)+各项系数!$M$9*$NK157</f>
        <v>11.317057271999294</v>
      </c>
      <c r="CK157" s="197">
        <f>CL157+各项系数!$L$9*$NO157</f>
        <v>11.021737783996407</v>
      </c>
      <c r="CL157" s="197">
        <f>CM157*(1+$DD157+各项系数!$J$5+各项系数!$L$5)</f>
        <v>10.873648451662707</v>
      </c>
      <c r="CM157" s="197">
        <f t="shared" si="588"/>
        <v>10.455431203521833</v>
      </c>
      <c r="CN157" s="196">
        <f>CO157+各项系数!$M$9*$NO157</f>
        <v>11.852313539643685</v>
      </c>
      <c r="CO157" s="196">
        <f>CP157*(1+$DC157+(VLOOKUP($AM157,$A$12:$B$323,2,0))+各项系数!$J$6+各项系数!$M$5)*(1+$E$2)+各项系数!$M$9*$NK157</f>
        <v>11.704224207309984</v>
      </c>
      <c r="CP157" s="197">
        <f>CQ157+各项系数!$L$9*$NO157</f>
        <v>11.401611150667021</v>
      </c>
      <c r="CQ157" s="197">
        <f>CR157*(1+$DD157+各项系数!$J$5+各项系数!$L$5)</f>
        <v>11.25352181833332</v>
      </c>
      <c r="CR157" s="197">
        <f t="shared" si="589"/>
        <v>10.820694056089732</v>
      </c>
      <c r="CS157" s="196">
        <f>CT157+各项系数!$M$9*$NU157</f>
        <v>12.715749113445804</v>
      </c>
      <c r="CT157" s="196">
        <f t="shared" si="590"/>
        <v>12.562160616097035</v>
      </c>
      <c r="CU157" s="197">
        <f>CV157+各项系数!$L$9*$NU157</f>
        <v>12.325510808572444</v>
      </c>
      <c r="CV157" s="197">
        <f>CW157*(1+$DD157+各项系数!$J$5+各项系数!$L$5)</f>
        <v>12.171922311223675</v>
      </c>
      <c r="CW157" s="199">
        <f t="shared" si="591"/>
        <v>11.703771453099687</v>
      </c>
      <c r="CX157" s="196">
        <f>CY157+各项系数!$M$9*$NU157</f>
        <v>13.442832196189524</v>
      </c>
      <c r="CY157" s="196">
        <f t="shared" si="592"/>
        <v>13.289243698840755</v>
      </c>
      <c r="CZ157" s="197">
        <f>DA157+各项系数!$L$9*$NU157</f>
        <v>13.038896878768401</v>
      </c>
      <c r="DA157" s="197">
        <f>DB157*(1+$DD157+各项系数!$J$5+各项系数!$L$5)</f>
        <v>12.885308381419632</v>
      </c>
      <c r="DB157" s="199">
        <f t="shared" si="593"/>
        <v>12.389719597518877</v>
      </c>
      <c r="DC157" s="213">
        <f t="shared" si="698"/>
        <v>0</v>
      </c>
      <c r="DD157" s="213">
        <f t="shared" si="594"/>
        <v>0.02</v>
      </c>
      <c r="DE157" s="53" t="s">
        <v>498</v>
      </c>
      <c r="DF157" s="53" t="s">
        <v>513</v>
      </c>
      <c r="DG157" s="196">
        <f>DH157+各项系数!$M$9*$NQ157</f>
        <v>11.678979346743349</v>
      </c>
      <c r="DH157" s="196">
        <f>DI157*(1+$EA157+(VLOOKUP($AM157,$A$12:$B$323,2,0))+各项系数!$J$6+各项系数!$M$5)*(1+$E$2)+各项系数!$M$9*$NK157</f>
        <v>11.530890014409648</v>
      </c>
      <c r="DI157" s="197">
        <f>DJ157+各项系数!$L$9*$NQ157</f>
        <v>11.23154228008192</v>
      </c>
      <c r="DJ157" s="197">
        <f>DK157*(1+$EB157+各项系数!$J$5+各项系数!$L$5)</f>
        <v>11.083452947748219</v>
      </c>
      <c r="DK157" s="197">
        <f t="shared" si="595"/>
        <v>10.555669474045922</v>
      </c>
      <c r="DL157" s="196">
        <f>DM157+各项系数!$M$9*$NQ157</f>
        <v>12.297794295527586</v>
      </c>
      <c r="DM157" s="196">
        <f>DN157*(1+$EA157+(VLOOKUP($AM157,$A$12:$B$323,2,0))+各项系数!$J$6+各项系数!$M$5)*(1+$E$2)+各项系数!$M$9*$NK157</f>
        <v>12.149704963193885</v>
      </c>
      <c r="DN157" s="197">
        <f>DO157+各项系数!$L$9*$NQ157</f>
        <v>11.838699804399264</v>
      </c>
      <c r="DO157" s="197">
        <f>DP157*(1+$EB157+各项系数!$J$5+各项系数!$L$5)</f>
        <v>11.690610472065563</v>
      </c>
      <c r="DP157" s="197">
        <f t="shared" si="596"/>
        <v>11.133914735300536</v>
      </c>
      <c r="DQ157" s="196">
        <f>DR157+各项系数!$M$9*$NV157</f>
        <v>12.943485125096855</v>
      </c>
      <c r="DR157" s="196">
        <f t="shared" si="597"/>
        <v>12.789896627748085</v>
      </c>
      <c r="DS157" s="197">
        <f>DT157+各项系数!$L$9*$NV157</f>
        <v>12.548956659878419</v>
      </c>
      <c r="DT157" s="197">
        <f>DU157*(1+$EB157+各项系数!$J$5+各项系数!$L$5)</f>
        <v>12.39536816252965</v>
      </c>
      <c r="DU157" s="199">
        <f t="shared" si="598"/>
        <v>11.805112535742524</v>
      </c>
      <c r="DV157" s="196">
        <f>DW157+各项系数!$M$9*$NV157</f>
        <v>12.75042573562998</v>
      </c>
      <c r="DW157" s="196">
        <f t="shared" si="599"/>
        <v>12.596837238281211</v>
      </c>
      <c r="DX157" s="197">
        <f>DY157+各项系数!$L$9*$NV157</f>
        <v>12.35953418198706</v>
      </c>
      <c r="DY157" s="197">
        <f>DZ157*(1+$EB157+各项系数!$J$5+各项系数!$L$5)</f>
        <v>12.205945684638291</v>
      </c>
      <c r="DZ157" s="199">
        <f t="shared" si="600"/>
        <v>11.624710175845991</v>
      </c>
      <c r="EA157" s="213">
        <f t="shared" si="699"/>
        <v>0</v>
      </c>
      <c r="EB157" s="213">
        <f t="shared" si="601"/>
        <v>0.03</v>
      </c>
      <c r="EC157" s="235">
        <f t="shared" si="649"/>
        <v>14</v>
      </c>
      <c r="ED157" s="235" t="str">
        <f t="shared" si="680"/>
        <v>14*1</v>
      </c>
      <c r="EE157" s="189">
        <f t="shared" si="495"/>
        <v>1</v>
      </c>
      <c r="EF157" s="189">
        <f>LOOKUP(EH157,{1,7,10,14,19,24,30,37,48,61},{1,"1+6","2+8","4+10","1+6+12","2+8+14","4+10+16","1+6+12+18","3+9+15+21","1+6+12+18+24"})</f>
        <v>1</v>
      </c>
      <c r="EG157" s="188">
        <f t="shared" si="602"/>
        <v>14</v>
      </c>
      <c r="EH157" s="197">
        <f>VLOOKUP(EE157,各项系数!$B$87:$C$124,2,0)</f>
        <v>1</v>
      </c>
      <c r="EI157" s="188">
        <f>IF(EH157=0,0,VLOOKUP(EH157,各项系数!$D$142:$E$195,2,0))*1</f>
        <v>1</v>
      </c>
      <c r="EJ157" s="238">
        <f t="shared" si="650"/>
        <v>110.31595161029</v>
      </c>
      <c r="EK157" s="189">
        <f t="shared" si="689"/>
        <v>0</v>
      </c>
      <c r="EL157" s="189">
        <f t="shared" si="603"/>
        <v>0</v>
      </c>
      <c r="EM157" s="189">
        <f t="shared" si="690"/>
        <v>0</v>
      </c>
      <c r="EN157" s="189">
        <f>IF(EP157=0,0,LOOKUP(EP157,{1,7,10,14,19,24,30,37,48,61},{1,"1+6","2+8","4+10","1+6+12","2+8+14","4+10+16","1+6+12+18","3+9+15+21","1+6+12+18+24"}))</f>
        <v>0</v>
      </c>
      <c r="EO157" s="189">
        <f t="shared" si="691"/>
        <v>0</v>
      </c>
      <c r="EP157" s="189">
        <f>IF(EM157=0,0,IF(EM157&lt;10,1,IF(AND(EM157&gt;=10,EM157&lt;=35),7,LOOKUP(EM157,{50,70,95,120,150,185,240,300},{10,14,19,24,30,37,48,61})*1)))</f>
        <v>0</v>
      </c>
      <c r="EQ157" s="189">
        <f>IF(EP157=0,0,VLOOKUP(EP157,各项系数!$D$142:$E$195,2,0))*1</f>
        <v>0</v>
      </c>
      <c r="ER157" s="53">
        <f t="shared" si="577"/>
        <v>0</v>
      </c>
      <c r="ES157" s="412">
        <f t="shared" si="692"/>
        <v>14</v>
      </c>
      <c r="ET157" s="189">
        <f>VLOOKUP(ES157,各项系数!$D$142:$E$195,2,0)*1</f>
        <v>4.41</v>
      </c>
      <c r="EU157" s="243">
        <f>((各项系数!$F$76/4*$EJ157^2*$EG157*$EH157*1*10^-7)*(1-$H157)*AA157)*(VLOOKUP($EY$9,各项系数!$D$4:$F$143,3,0))*各项系数!$J$4</f>
        <v>0.1183639337108718</v>
      </c>
      <c r="EV157" s="244">
        <f>EU157*(VLOOKUP($EY$9,各项系数!$D$4:$F$143,2,0))</f>
        <v>7.752837658062103</v>
      </c>
      <c r="EW157" s="252">
        <f>(IF($EO157=0,0,(各项系数!$F$76/4*$ER157^2*$EO157*$EP157*1*10^-7))*(1-$K157)*$AF157)*(VLOOKUP($EY$9,各项系数!$D$4:$F$143,3,0))*各项系数!$J$4</f>
        <v>0</v>
      </c>
      <c r="EX157" s="253">
        <f>EW157*(VLOOKUP($EY$9,各项系数!$D$4:$F$143,2,0))</f>
        <v>0</v>
      </c>
      <c r="EY157" s="189">
        <f>((各项系数!$F$76/4*$EJ157^2*$EG157*$EH157*1*10^-7)*(1-$H157)*AA157+IF($EO157=0,0,(各项系数!$F$76/4*$ER157^2*$EO157*$EP157*1*10^-7))*(1-$K157)*$AF157)*(VLOOKUP($EY$9,各项系数!$D$4:$F$143,3,0))*各项系数!$J$4</f>
        <v>0.1183639337108718</v>
      </c>
      <c r="EZ157" s="102">
        <v>1</v>
      </c>
      <c r="FA157" s="189">
        <f t="shared" si="515"/>
        <v>0.1183639337108718</v>
      </c>
      <c r="FB157" s="254">
        <f>FA157*(VLOOKUP($EY$9,各项系数!$D$4:$F$143,2,0))</f>
        <v>7.752837658062103</v>
      </c>
      <c r="FC157" s="255"/>
      <c r="FD157" s="235">
        <f>各项系数!$F$76/4*($MN157^2-MK157^2)*10^-2*(VLOOKUP(L157,各项系数!$D$1:$F$143,3,0))*10^-3*10^2*$EG157*各项系数!$J$4</f>
        <v>4.919265368319365E-2</v>
      </c>
      <c r="FE157" s="262">
        <f>FD157*VLOOKUP(L157,各项系数!$D$1:$F$143,2,0)</f>
        <v>0.56571551735672698</v>
      </c>
      <c r="FF157" s="188">
        <f>各项系数!$F$76/4*($MO157^2-ML157^2)*10^-2*(VLOOKUP(L157,各项系数!$D$1:$F$143,3,0))*10^-3*10^2*$EO157*各项系数!$J$4</f>
        <v>0</v>
      </c>
      <c r="FG157" s="262">
        <f>FF157*VLOOKUP(L157,各项系数!$D$1:$F$143,2,0)</f>
        <v>0</v>
      </c>
      <c r="FH157" s="235">
        <f t="shared" si="651"/>
        <v>4.919265368319365E-2</v>
      </c>
      <c r="FI157" s="102">
        <v>1</v>
      </c>
      <c r="FJ157" s="189">
        <f t="shared" si="516"/>
        <v>4.919265368319365E-2</v>
      </c>
      <c r="FK157" s="262">
        <f>FJ157*VLOOKUP(L157,各项系数!$D$1:$F$143,2,0)</f>
        <v>0.56571551735672698</v>
      </c>
      <c r="FL157" s="235"/>
      <c r="FM157" s="102"/>
      <c r="FN157" s="189"/>
      <c r="FO157" s="262"/>
      <c r="FP157" s="282">
        <f t="shared" si="517"/>
        <v>4.919265368319365E-2</v>
      </c>
      <c r="FQ157" s="282">
        <f t="shared" si="518"/>
        <v>0.56571551735672698</v>
      </c>
      <c r="FR157" s="283">
        <f>各项系数!$F$76/4*($MQ157^2-$MN157^2*$EG157-$MO157^2*$EO157)*10^-2</f>
        <v>0.22697759422185787</v>
      </c>
      <c r="FS157" s="284">
        <f t="shared" si="652"/>
        <v>1</v>
      </c>
      <c r="FT157" s="285">
        <f t="shared" si="604"/>
        <v>0.22697759422185787</v>
      </c>
      <c r="FU157" s="302">
        <f>$FT157*(VLOOKUP($FT$9,各项系数!$D$1:$F$143,3,0))*10^-3*10^2*各项系数!$J$55</f>
        <v>2.7101124750089828E-2</v>
      </c>
      <c r="FV157" s="303">
        <v>1</v>
      </c>
      <c r="FW157" s="304">
        <f t="shared" si="519"/>
        <v>2.7101124750089828E-2</v>
      </c>
      <c r="FX157" s="285">
        <f>FW157*(VLOOKUP($FT$9,各项系数!$D$1:$F$143,2,0))</f>
        <v>8.1303374250269483E-2</v>
      </c>
      <c r="FY157" s="302">
        <f>IF($BK157&lt;&gt;$FY$9,0,各项系数!$F$76/4*($MS157^2-$MQ157^2)*10^-2*(VLOOKUP($FY$9,各项系数!$D$1:$F$143,3,0))*10^-3*10^2)*各项系数!$J$4</f>
        <v>0</v>
      </c>
      <c r="FZ157" s="303">
        <v>1</v>
      </c>
      <c r="GA157" s="304">
        <f t="shared" si="520"/>
        <v>0</v>
      </c>
      <c r="GB157" s="285">
        <f>GA157*(VLOOKUP($FY$9,各项系数!$D$1:$F$143,2,0))</f>
        <v>0</v>
      </c>
      <c r="GC157" s="302">
        <f>IF($BK157&lt;&gt;$GC$9,0,各项系数!$F$76/4*($MS157^2-$MQ157^2)*10^-2*(VLOOKUP($GC$9,各项系数!$D$1:$F$143,3,0))*10^-3*10^2)*各项系数!$J$4</f>
        <v>2.789972760195515E-3</v>
      </c>
      <c r="GD157" s="303">
        <v>1</v>
      </c>
      <c r="GE157" s="304">
        <f t="shared" si="521"/>
        <v>2.789972760195515E-3</v>
      </c>
      <c r="GF157" s="285">
        <f>GE157*(VLOOKUP($GC$9,各项系数!$D$1:$F$143,2,0))</f>
        <v>3.5990648606522145E-2</v>
      </c>
      <c r="GG157" s="302">
        <f>IF($BK157&lt;&gt;$GG$9,0,各项系数!$F$76/4*($MS157^2-$MQ157^2)*10^-2*(VLOOKUP($GG$9,各项系数!$D$1:$F$143,3,0))*10^-3*10^2)*各项系数!$J$4</f>
        <v>0</v>
      </c>
      <c r="GH157" s="303">
        <v>1</v>
      </c>
      <c r="GI157" s="304">
        <f t="shared" si="522"/>
        <v>0</v>
      </c>
      <c r="GJ157" s="285">
        <f>GI157*(VLOOKUP($GG$9,各项系数!$D$1:$F$143,2,0))</f>
        <v>0</v>
      </c>
      <c r="GK157" s="302">
        <f>IF($BK157&lt;&gt;$GK$9,0,各项系数!$F$76/4*($MS157^2-$MQ157^2)*10^-2*(VLOOKUP($GK$9,各项系数!$D$1:$F$143,3,0))*10^-3*10^2)*各项系数!$J$4</f>
        <v>0</v>
      </c>
      <c r="GL157" s="303">
        <v>1</v>
      </c>
      <c r="GM157" s="304">
        <f t="shared" si="523"/>
        <v>0</v>
      </c>
      <c r="GN157" s="285">
        <f>GM157*(VLOOKUP($GK$9,各项系数!$D$1:$F$143,2,0))</f>
        <v>0</v>
      </c>
      <c r="GO157" s="304">
        <f t="shared" si="524"/>
        <v>2.789972760195515E-3</v>
      </c>
      <c r="GP157" s="304">
        <f t="shared" si="525"/>
        <v>3.5990648606522145E-2</v>
      </c>
      <c r="GQ157" s="315">
        <f>各项系数!$F$76/4*($MU157^2-$MS157^2)*10^-2*(VLOOKUP($S157,各项系数!$D$1:$F$143,3,0))*10^-3*10^2*各项系数!$J$4</f>
        <v>0.16034951939648057</v>
      </c>
      <c r="GR157" s="303">
        <v>1</v>
      </c>
      <c r="GS157" s="304">
        <f t="shared" si="526"/>
        <v>0.16034951939648057</v>
      </c>
      <c r="GT157" s="304">
        <f t="shared" si="696"/>
        <v>1</v>
      </c>
      <c r="GU157" s="304">
        <f>ROUND($GS157*(VLOOKUP($S157,各项系数!$D$1:$F$143,2,0))+$E$3*GS157,GT157)</f>
        <v>0.9</v>
      </c>
      <c r="GV157" s="315">
        <f>各项系数!$F$76/4*($MT157^2-$MS157^2)*10^-2*(VLOOKUP($GV$9,各项系数!$D$1:$F$143,3,0))*10^-3*10^2*各项系数!$J$4*PI()/4*R157</f>
        <v>1.4545131895680075E-2</v>
      </c>
      <c r="GW157" s="303">
        <v>1</v>
      </c>
      <c r="GX157" s="304">
        <f t="shared" si="527"/>
        <v>1.4545131895680075E-2</v>
      </c>
      <c r="GY157" s="304">
        <f>$GX157*(VLOOKUP($GV$9,各项系数!$D$1:$F$143,2,0))</f>
        <v>0.98179640295840498</v>
      </c>
      <c r="GZ157" s="315">
        <f>各项系数!$F$76/4*($MV157^2-$MS157^2)*10^-2*(VLOOKUP($GZ$9,各项系数!$D$1:$F$143,3,0))*10^-3*10^2*各项系数!$J$4</f>
        <v>8.0449738694635106E-2</v>
      </c>
      <c r="HA157" s="303">
        <v>1</v>
      </c>
      <c r="HB157" s="304">
        <f t="shared" si="653"/>
        <v>8.0449738694635106E-2</v>
      </c>
      <c r="HC157" s="304">
        <f>HB157*(VLOOKUP($GZ$9,各项系数!$D$1:$F$143,2,0))</f>
        <v>1.3676455578087967</v>
      </c>
      <c r="HD157" s="315">
        <f>各项系数!$F$76/4*($MW157^2-$MT157^2)*10^-2*(VLOOKUP($HD$9,各项系数!$D$1:$F$143,3,0))*10^-3*10^2*各项系数!$J$4</f>
        <v>8.1537546566867111E-2</v>
      </c>
      <c r="HE157" s="303">
        <v>1</v>
      </c>
      <c r="HF157" s="304">
        <f t="shared" si="654"/>
        <v>8.1537546566867111E-2</v>
      </c>
      <c r="HG157" s="304">
        <f>HF157*(VLOOKUP($HD$9,各项系数!$D$1:$F$143,2,0))</f>
        <v>1.3861382916367408</v>
      </c>
      <c r="HH157" s="315">
        <f>各项系数!$F$76/4*($MV157^2-$MS157^2)*10^-2*(VLOOKUP($HH$9,各项系数!$D$1:$F$143,3,0))*10^-3*10^2*各项系数!$J$4</f>
        <v>8.0449738694635106E-2</v>
      </c>
      <c r="HI157" s="322">
        <v>1</v>
      </c>
      <c r="HJ157" s="304">
        <f t="shared" si="655"/>
        <v>8.0449738694635106E-2</v>
      </c>
      <c r="HK157" s="304">
        <f>HJ157*(VLOOKUP($HH$9,各项系数!$D$1:$F$143,2,0))</f>
        <v>1.3676455578087967</v>
      </c>
      <c r="HL157" s="315">
        <f>各项系数!$F$76/4*($MW157^2-$MT157^2)*10^-2*(VLOOKUP($HL$9,各项系数!$D$1:$F$143,3,0))*10^-3*10^2*各项系数!$J$4</f>
        <v>8.1537546566867111E-2</v>
      </c>
      <c r="HM157" s="322">
        <v>1</v>
      </c>
      <c r="HN157" s="304">
        <f t="shared" si="605"/>
        <v>8.1537546566867111E-2</v>
      </c>
      <c r="HO157" s="304">
        <f>HN157*(VLOOKUP($HL$9,各项系数!$D$1:$F$143,2,0))</f>
        <v>1.3861382916367408</v>
      </c>
      <c r="HP157" s="315">
        <f>各项系数!$F$76/4*($MV157^2-$MS157^2)*10^-2*(VLOOKUP(AN157,各项系数!$D$1:$F$143,3,0))*10^-3*10^2*各项系数!$J$4</f>
        <v>8.155939026283697E-2</v>
      </c>
      <c r="HQ157" s="303">
        <v>1</v>
      </c>
      <c r="HR157" s="304">
        <f t="shared" si="528"/>
        <v>8.155939026283697E-2</v>
      </c>
      <c r="HS157" s="304">
        <f>HR157*(VLOOKUP(AN157,各项系数!$D$1:$F$143,2,0))</f>
        <v>0.81559390262836973</v>
      </c>
      <c r="HT157" s="315">
        <f>各项系数!$F$76/4*($MW157^2-$MT157^2)*10^-2*(VLOOKUP(AN157,各项系数!$D$1:$F$143,3,0))*10^-3*10^2*各项系数!$J$4</f>
        <v>8.2662202381582506E-2</v>
      </c>
      <c r="HU157" s="303">
        <v>1</v>
      </c>
      <c r="HV157" s="304">
        <f t="shared" si="529"/>
        <v>8.2662202381582506E-2</v>
      </c>
      <c r="HW157" s="304">
        <f>HV157*(VLOOKUP(AN157,各项系数!$D$1:$F$143,2,0))</f>
        <v>0.82662202381582506</v>
      </c>
      <c r="HX157" s="315">
        <f>各项系数!$F$76/4*($MV157^2-$MS157^2)*10^-2*(VLOOKUP($HX$9,各项系数!$D$1:$F$143,3,0))*10^-3*10^2*各项系数!$J$4</f>
        <v>8.155939026283697E-2</v>
      </c>
      <c r="HY157" s="322">
        <v>1</v>
      </c>
      <c r="HZ157" s="304">
        <f t="shared" si="530"/>
        <v>8.155939026283697E-2</v>
      </c>
      <c r="IA157" s="304">
        <f>HZ157*(VLOOKUP($HX$9,各项系数!$D$1:$F$143,2,0))</f>
        <v>0.89715329289120671</v>
      </c>
      <c r="IB157" s="315">
        <f>各项系数!$F$76/4*($MW157^2-$MT157^2)*10^-2*(VLOOKUP($IB$9,各项系数!$D$1:$F$143,3,0))*10^-3*10^2*各项系数!$J$4</f>
        <v>8.2662202381582506E-2</v>
      </c>
      <c r="IC157" s="322">
        <v>1</v>
      </c>
      <c r="ID157" s="304">
        <f t="shared" si="531"/>
        <v>8.2662202381582506E-2</v>
      </c>
      <c r="IE157" s="304">
        <f>ID157*(VLOOKUP($IB$9,各项系数!$D$1:$F$143,2,0))</f>
        <v>0.90928422619740756</v>
      </c>
      <c r="IF157" s="328"/>
      <c r="IG157" s="315">
        <f t="shared" si="656"/>
        <v>2.7632523628378296E-2</v>
      </c>
      <c r="IH157" s="303">
        <v>1</v>
      </c>
      <c r="II157" s="304">
        <f t="shared" si="532"/>
        <v>2.7632523628378296E-2</v>
      </c>
      <c r="IJ157" s="304">
        <f>II157*(VLOOKUP($IG$8,各项系数!$D$1:$F$143,2,0))</f>
        <v>0.6908130907094574</v>
      </c>
      <c r="IK157" s="315">
        <f>(各项系数!$F$76/4*($MX157^2-$MK157^2)*$EG157)*10^-2*(VLOOKUP($IG$8,各项系数!$D$1:$F$143,3,0))*10^-3*10^2*各项系数!$J$4</f>
        <v>2.7632523628378296E-2</v>
      </c>
      <c r="IL157" s="303">
        <f>IK157*(VLOOKUP($IG$8,各项系数!$D$1:$F$143,2,0))</f>
        <v>0.6908130907094574</v>
      </c>
      <c r="IM157" s="304">
        <f>(各项系数!$F$76/4*(($MM157+3*$X157)^2-MM157^2)*$EO157)*10^-2*(VLOOKUP($IG$8,各项系数!$D$1:$F$143,3,0))*10^-3*10^2*各项系数!$J$4</f>
        <v>0</v>
      </c>
      <c r="IN157" s="303">
        <f>IM157*(VLOOKUP($IG$8,各项系数!$D$1:$F$143,2,0))</f>
        <v>0</v>
      </c>
      <c r="IO157" s="315">
        <f>各项系数!$F$76/4*($MZ157^2-$MX157^2)*10^-2*(VLOOKUP(L157,各项系数!$D$1:$F$143,3,0))*10^-3*10^2*$ES157*各项系数!$J$4</f>
        <v>6.6522558406337959E-2</v>
      </c>
      <c r="IP157" s="303">
        <v>1</v>
      </c>
      <c r="IQ157" s="304">
        <f t="shared" si="533"/>
        <v>6.6522558406337959E-2</v>
      </c>
      <c r="IR157" s="285">
        <f>IQ157*(VLOOKUP(L157,各项系数!$D$1:$F$143,2,0))</f>
        <v>0.76500942167288655</v>
      </c>
      <c r="IS157" s="315">
        <f>IF($L157&lt;&gt;$IS$9,0,各项系数!$F$76/4*($MZ157^2-$MX157^2)*10^-2*各项系数!$F$12*10^-3*10^2)*$ES157*各项系数!$J$4</f>
        <v>0</v>
      </c>
      <c r="IT157" s="303">
        <v>1</v>
      </c>
      <c r="IU157" s="304">
        <f t="shared" si="534"/>
        <v>0</v>
      </c>
      <c r="IV157" s="285">
        <f>IU157*各项系数!$E$12</f>
        <v>0</v>
      </c>
      <c r="IW157" s="302">
        <f t="shared" si="535"/>
        <v>6.6522558406337959E-2</v>
      </c>
      <c r="IX157" s="302">
        <f t="shared" si="536"/>
        <v>0.76500942167288655</v>
      </c>
      <c r="IY157" s="339">
        <f>各项系数!$F$76/4*($NB157^2-$MZ157^2*$EG157-$NA157^2*$EO157)*10^-2</f>
        <v>0.36064237168288116</v>
      </c>
      <c r="IZ157" s="284">
        <f t="shared" si="697"/>
        <v>1</v>
      </c>
      <c r="JA157" s="285">
        <f t="shared" si="606"/>
        <v>0.36064237168288116</v>
      </c>
      <c r="JB157" s="282">
        <f>IF($DE157&lt;&gt;$JB$9,0,$JA157*各项系数!$F$32*10^-3*10^2)*各项系数!$J$4</f>
        <v>0</v>
      </c>
      <c r="JC157" s="102">
        <v>1</v>
      </c>
      <c r="JD157" s="189">
        <f t="shared" si="537"/>
        <v>0</v>
      </c>
      <c r="JE157" s="262">
        <f>JD157*各项系数!$E$32</f>
        <v>0</v>
      </c>
      <c r="JF157" s="282">
        <f>IF($DE157&lt;&gt;$JF$9,0,$JA157*VLOOKUP($JF$9,各项系数!$D$4:$F$540,2,0)*10^-3*10^2)*各项系数!$J$4</f>
        <v>0.17941957991223337</v>
      </c>
      <c r="JG157" s="102">
        <v>1</v>
      </c>
      <c r="JH157" s="189">
        <f t="shared" si="607"/>
        <v>0.17941957991223337</v>
      </c>
      <c r="JI157" s="262">
        <f>JH157*VLOOKUP($JF$9,各项系数!$D$4:$F$540,3,0)</f>
        <v>0.21530349589468004</v>
      </c>
      <c r="JJ157" s="282">
        <f t="shared" si="538"/>
        <v>0.17941957991223337</v>
      </c>
      <c r="JK157" s="189">
        <f t="shared" si="539"/>
        <v>0.21530349589468004</v>
      </c>
      <c r="JL157" s="282">
        <f>IF($DF157&lt;&gt;$JL$9,0,各项系数!$F$76/4*($NE157^2-$NC157^2)*10^-2*各项系数!$F$39*10^-3*10^2)*各项系数!$J$4</f>
        <v>1.4542415970904626E-3</v>
      </c>
      <c r="JM157" s="102">
        <v>1</v>
      </c>
      <c r="JN157" s="189">
        <f t="shared" si="540"/>
        <v>1.4542415970904626E-3</v>
      </c>
      <c r="JO157" s="262">
        <f>JN157*各项系数!$E$39</f>
        <v>2.9084831941809251E-2</v>
      </c>
      <c r="JP157" s="282">
        <f>IF($DF157&lt;&gt;$JP$9,0,各项系数!$F$76/4*($NE157^2-$NC157^2)*10^-2*各项系数!$F$36*10^-3*10^2)*各项系数!$J$4</f>
        <v>0</v>
      </c>
      <c r="JQ157" s="102">
        <v>1</v>
      </c>
      <c r="JR157" s="189">
        <f t="shared" si="541"/>
        <v>0</v>
      </c>
      <c r="JS157" s="262">
        <f>JR157*各项系数!$E$36</f>
        <v>0</v>
      </c>
      <c r="JT157" s="282">
        <f>IF($DF157&lt;&gt;$JT$9,0,各项系数!$F$76/4*($NE157^2-$NC157^2)*10^-2*各项系数!$F$40*10^-3*10^2)*各项系数!$J$4</f>
        <v>0</v>
      </c>
      <c r="JU157" s="102">
        <v>1</v>
      </c>
      <c r="JV157" s="189">
        <f t="shared" si="542"/>
        <v>0</v>
      </c>
      <c r="JW157" s="262">
        <f>JV157*各项系数!$E$40</f>
        <v>0</v>
      </c>
      <c r="JX157" s="282">
        <f>IF($DF157&lt;&gt;$JX$9,0,各项系数!$F$76/4*($NE157^2-$NC157^2)*10^-2*各项系数!$F$38*10^-3*10^2)*各项系数!$J$4</f>
        <v>0</v>
      </c>
      <c r="JY157" s="102">
        <v>1</v>
      </c>
      <c r="JZ157" s="189">
        <f t="shared" si="543"/>
        <v>0</v>
      </c>
      <c r="KA157" s="262">
        <f>JZ157*各项系数!$E$38</f>
        <v>0</v>
      </c>
      <c r="KB157" s="282">
        <f>IF($DF157&lt;&gt;$KB$9,0,各项系数!$F$76/4*($NE157^2-$NC157^2)*10^-2*各项系数!$F$41*10^-3*10^2)*各项系数!$J$4</f>
        <v>0</v>
      </c>
      <c r="KC157" s="102">
        <v>1</v>
      </c>
      <c r="KD157" s="189">
        <f t="shared" si="544"/>
        <v>0</v>
      </c>
      <c r="KE157" s="262">
        <f>KD157*各项系数!$E$41</f>
        <v>0</v>
      </c>
      <c r="KF157" s="189">
        <f t="shared" si="545"/>
        <v>1.4542415970904626E-3</v>
      </c>
      <c r="KG157" s="189">
        <f t="shared" si="546"/>
        <v>2.9084831941809251E-2</v>
      </c>
      <c r="KH157" s="235">
        <f>各项系数!$F$76/4*($NG157^2-$NE157^2)*10^-2*各项系数!$F$44*10^-3*10^2*各项系数!$J$4*0.75*$U157</f>
        <v>0.60028843055107128</v>
      </c>
      <c r="KI157" s="102">
        <v>1</v>
      </c>
      <c r="KJ157" s="189">
        <f t="shared" si="547"/>
        <v>0.60028843055107128</v>
      </c>
      <c r="KK157" s="189">
        <f>ROUND(KJ157*各项系数!$E$43,GT157)</f>
        <v>3.5</v>
      </c>
      <c r="KL157" s="235">
        <f>各项系数!$F$76/4*($NF157^2-$NE157^2)*10^-2*各项系数!$F$46*10^-3*10^2*各项系数!$J$4*PI()/4*R157</f>
        <v>1.8330550050228149E-2</v>
      </c>
      <c r="KM157" s="102">
        <v>1</v>
      </c>
      <c r="KN157" s="189">
        <f t="shared" si="548"/>
        <v>1.8330550050228149E-2</v>
      </c>
      <c r="KO157" s="189">
        <f>KN157*各项系数!$E$46</f>
        <v>1.2373121283904001</v>
      </c>
      <c r="KP157" s="235">
        <f>各项系数!$F$76/4*($NH157^2-$NE157^2)*10^-2*(VLOOKUP($KP$9,各项系数!$D$1:$F$143,3,0))*10^-3*10^2*各项系数!$J$4</f>
        <v>9.8874484530564674E-2</v>
      </c>
      <c r="KQ157" s="102">
        <v>1</v>
      </c>
      <c r="KR157" s="189">
        <f t="shared" si="657"/>
        <v>9.8874484530564674E-2</v>
      </c>
      <c r="KS157" s="189">
        <f>KR157*(VLOOKUP($KP$9,各项系数!$D$1:$F$143,2,0))</f>
        <v>1.6808662370195995</v>
      </c>
      <c r="KT157" s="235">
        <f>各项系数!$F$76/4*($NI157^2-$NF157^2)*10^-2*(VLOOKUP($KT$9,各项系数!$D$1:$F$143,3,0))*10^-3*10^2*各项系数!$J$4</f>
        <v>9.9962292402796568E-2</v>
      </c>
      <c r="KU157" s="102">
        <v>1</v>
      </c>
      <c r="KV157" s="189">
        <f t="shared" si="658"/>
        <v>9.9962292402796568E-2</v>
      </c>
      <c r="KW157" s="189">
        <f>KV157*(VLOOKUP($KT$9,各项系数!$D$1:$F$143,2,0))</f>
        <v>1.6993589708475416</v>
      </c>
      <c r="KX157" s="189">
        <f>各项系数!$F$76/4*($NH157^2-$NE157^2)*10^-2*(VLOOKUP($KX$9,各项系数!$D$1:$F$143,3,0))*10^-3*10^2*各项系数!$J$4</f>
        <v>9.8874484530564674E-2</v>
      </c>
      <c r="KY157" s="353">
        <v>1</v>
      </c>
      <c r="KZ157" s="189">
        <f t="shared" si="659"/>
        <v>9.8874484530564674E-2</v>
      </c>
      <c r="LA157" s="189">
        <f>KZ157*(VLOOKUP($KX$9,各项系数!$D$1:$F$143,2,0))</f>
        <v>1.6808662370195995</v>
      </c>
      <c r="LB157" s="189">
        <f>各项系数!$F$76/4*($NI157^2-$NF157^2)*10^-2*(VLOOKUP($LB$9,各项系数!$D$1:$F$143,3,0))*10^-3*10^2*各项系数!$J$4</f>
        <v>9.9962292402796568E-2</v>
      </c>
      <c r="LC157" s="353">
        <v>1</v>
      </c>
      <c r="LD157" s="189">
        <f t="shared" si="660"/>
        <v>9.9962292402796568E-2</v>
      </c>
      <c r="LE157" s="189">
        <f>LD157*(VLOOKUP($LB$9,各项系数!$D$1:$F$143,2,0))</f>
        <v>1.6993589708475416</v>
      </c>
      <c r="LF157" s="235">
        <f>各项系数!$F$76/4*($NH157^2-$NE157^2)*10^-2*(VLOOKUP(AN157,各项系数!$D$1:$F$143,3,0))*10^-3*10^2*各项系数!$J$4</f>
        <v>0.10023827052408971</v>
      </c>
      <c r="LG157" s="102">
        <v>1</v>
      </c>
      <c r="LH157" s="189">
        <f t="shared" si="549"/>
        <v>0.10023827052408971</v>
      </c>
      <c r="LI157" s="189">
        <f>LH157*(VLOOKUP(AN157,各项系数!$D$1:$F$143,2,0))</f>
        <v>1.0023827052408971</v>
      </c>
      <c r="LJ157" s="235">
        <f>各项系数!$F$76/4*($NI157^2-$NF157^2)*10^-2*(VLOOKUP(AN157,各项系数!$D$1:$F$143,3,0))*10^-3*10^2*各项系数!$J$4</f>
        <v>0.10134108264283515</v>
      </c>
      <c r="LK157" s="102">
        <v>1</v>
      </c>
      <c r="LL157" s="189">
        <f t="shared" si="550"/>
        <v>0.10134108264283515</v>
      </c>
      <c r="LM157" s="189">
        <f>LL157*(VLOOKUP(AN157,各项系数!$D$1:$F$143,2,0))</f>
        <v>1.0134108264283515</v>
      </c>
      <c r="LN157" s="189">
        <f>各项系数!$F$76/4*($NH157^2-$NE157^2)*10^-2*(VLOOKUP($LN$9,各项系数!$D$1:$F$143,3,0))*10^-3*10^2*各项系数!$J$4</f>
        <v>0.10023827052408971</v>
      </c>
      <c r="LO157" s="353">
        <v>1</v>
      </c>
      <c r="LP157" s="189">
        <f t="shared" si="551"/>
        <v>0.10023827052408971</v>
      </c>
      <c r="LQ157" s="189">
        <f>LP157*(VLOOKUP($LN$9,各项系数!$D$1:$F$143,2,0))</f>
        <v>1.1026209757649867</v>
      </c>
      <c r="LR157" s="189">
        <f>各项系数!$F$76/4*($NI157^2-$NF157^2)*10^-2*(VLOOKUP($LR$9,各项系数!$D$1:$F$143,3,0))*10^-3*10^2*各项系数!$J$4</f>
        <v>0.10134108264283515</v>
      </c>
      <c r="LS157" s="353">
        <v>1</v>
      </c>
      <c r="LT157" s="189">
        <f t="shared" si="552"/>
        <v>0.10134108264283515</v>
      </c>
      <c r="LU157" s="189">
        <f>LT157*(VLOOKUP($LR$9,各项系数!$D$1:$F$143,2,0))</f>
        <v>1.1147519090711866</v>
      </c>
      <c r="LV157" s="227">
        <f t="shared" si="661"/>
        <v>13.38118427</v>
      </c>
      <c r="LW157" s="227">
        <f t="shared" si="662"/>
        <v>13.38118427</v>
      </c>
      <c r="LX157" s="227">
        <f t="shared" si="663"/>
        <v>4.1276449663157946</v>
      </c>
      <c r="LY157" s="227">
        <f t="shared" si="664"/>
        <v>0</v>
      </c>
      <c r="LZ157" s="374">
        <f t="shared" si="608"/>
        <v>1</v>
      </c>
      <c r="MA157" s="375">
        <f t="shared" si="609"/>
        <v>13.38118427</v>
      </c>
      <c r="MB157" s="375">
        <f t="shared" si="665"/>
        <v>1.1031595199999999</v>
      </c>
      <c r="MC157" s="227">
        <f t="shared" si="666"/>
        <v>0</v>
      </c>
      <c r="MD157" s="227">
        <f t="shared" si="667"/>
        <v>0</v>
      </c>
      <c r="ME157" s="227">
        <f t="shared" si="668"/>
        <v>0</v>
      </c>
      <c r="MF157" s="227">
        <f t="shared" si="669"/>
        <v>0</v>
      </c>
      <c r="MG157" s="374">
        <f t="shared" si="670"/>
        <v>1</v>
      </c>
      <c r="MH157" s="375">
        <f t="shared" si="610"/>
        <v>0</v>
      </c>
      <c r="MI157" s="375">
        <f t="shared" si="671"/>
        <v>0</v>
      </c>
      <c r="MJ157" s="189">
        <f t="shared" si="611"/>
        <v>1.1031595199999999</v>
      </c>
      <c r="MK157" s="189">
        <f t="shared" si="672"/>
        <v>1.1031595199999999</v>
      </c>
      <c r="ML157" s="189">
        <f t="shared" si="553"/>
        <v>0</v>
      </c>
      <c r="MM157" s="189">
        <f t="shared" si="612"/>
        <v>0</v>
      </c>
      <c r="MN157" s="189">
        <f t="shared" si="613"/>
        <v>2.3031595199999999</v>
      </c>
      <c r="MO157" s="189">
        <f t="shared" si="673"/>
        <v>0</v>
      </c>
      <c r="MP157" s="189">
        <f t="shared" si="674"/>
        <v>10.156933479999999</v>
      </c>
      <c r="MQ157" s="189">
        <f t="shared" si="554"/>
        <v>10.156933479999999</v>
      </c>
      <c r="MR157" s="246">
        <f t="shared" si="675"/>
        <v>10.156933479999999</v>
      </c>
      <c r="MS157" s="380">
        <f t="shared" si="614"/>
        <v>10.332933479999999</v>
      </c>
      <c r="MT157" s="380">
        <f t="shared" si="615"/>
        <v>10.49293348</v>
      </c>
      <c r="MU157" s="380">
        <f t="shared" si="616"/>
        <v>11.532933480000001</v>
      </c>
      <c r="MV157" s="380">
        <f t="shared" si="617"/>
        <v>13.332933479999999</v>
      </c>
      <c r="MW157" s="380">
        <f t="shared" si="618"/>
        <v>13.49293348</v>
      </c>
      <c r="MX157" s="254">
        <f t="shared" si="619"/>
        <v>1.70315952</v>
      </c>
      <c r="MY157" s="254">
        <f t="shared" si="620"/>
        <v>0</v>
      </c>
      <c r="MZ157" s="189">
        <f t="shared" si="621"/>
        <v>2.90315952</v>
      </c>
      <c r="NA157" s="189">
        <f t="shared" si="622"/>
        <v>0</v>
      </c>
      <c r="NB157" s="189">
        <f t="shared" si="676"/>
        <v>12.80293348</v>
      </c>
      <c r="NC157" s="254">
        <f t="shared" si="555"/>
        <v>12.80293348</v>
      </c>
      <c r="ND157" s="246">
        <f t="shared" si="677"/>
        <v>12.80293348</v>
      </c>
      <c r="NE157" s="386">
        <f t="shared" si="678"/>
        <v>13.04293348</v>
      </c>
      <c r="NF157" s="380">
        <f t="shared" si="623"/>
        <v>13.20293348</v>
      </c>
      <c r="NG157" s="387">
        <f t="shared" si="624"/>
        <v>14.242933480000001</v>
      </c>
      <c r="NH157" s="254">
        <f t="shared" si="625"/>
        <v>16.042933480000002</v>
      </c>
      <c r="NI157" s="380">
        <f t="shared" si="626"/>
        <v>16.202933479999999</v>
      </c>
      <c r="NK157" s="388">
        <f t="shared" si="627"/>
        <v>0.27900707516718776</v>
      </c>
      <c r="NL157" s="388">
        <f t="shared" si="628"/>
        <v>9.2514411009039907</v>
      </c>
      <c r="NM157" s="388">
        <f t="shared" si="629"/>
        <v>0.27900707516718776</v>
      </c>
      <c r="NN157" s="388">
        <f t="shared" si="630"/>
        <v>9.3330004911668283</v>
      </c>
      <c r="NO157" s="388">
        <f t="shared" si="631"/>
        <v>0.4936311077790016</v>
      </c>
      <c r="NP157" s="388">
        <f t="shared" si="632"/>
        <v>10.455431203521833</v>
      </c>
      <c r="NQ157" s="388">
        <f t="shared" si="633"/>
        <v>0.4936311077790016</v>
      </c>
      <c r="NR157" s="388">
        <f t="shared" si="634"/>
        <v>10.555669474045922</v>
      </c>
      <c r="NS157" s="388">
        <f t="shared" si="635"/>
        <v>0.29355220706286783</v>
      </c>
      <c r="NT157" s="388">
        <f t="shared" si="636"/>
        <v>0.29355220706286783</v>
      </c>
      <c r="NU157" s="388">
        <f t="shared" si="637"/>
        <v>0.51196165782922975</v>
      </c>
      <c r="NV157" s="388">
        <f t="shared" si="638"/>
        <v>0.51196165782922975</v>
      </c>
      <c r="NW157">
        <f t="shared" si="639"/>
        <v>0.43935659456366832</v>
      </c>
      <c r="NX157">
        <f>各项系数!$M$9*NK157</f>
        <v>8.3702122550156327E-2</v>
      </c>
      <c r="NY157">
        <f t="shared" si="640"/>
        <v>0.29355220706286783</v>
      </c>
    </row>
    <row r="158" spans="1:389" ht="15" hidden="1" customHeight="1">
      <c r="A158" s="69"/>
      <c r="B158" s="70"/>
      <c r="C158" s="69"/>
      <c r="D158" s="102" t="s">
        <v>268</v>
      </c>
      <c r="E158" s="61">
        <f t="shared" si="687"/>
        <v>14.00084974</v>
      </c>
      <c r="F158" s="405">
        <f t="shared" si="693"/>
        <v>110.31595161029</v>
      </c>
      <c r="G158" s="62"/>
      <c r="H158" s="16"/>
      <c r="I158" s="145">
        <v>0</v>
      </c>
      <c r="J158" s="16"/>
      <c r="K158" s="16"/>
      <c r="L158" s="97" t="s">
        <v>469</v>
      </c>
      <c r="M158" s="103">
        <f t="shared" si="582"/>
        <v>0.6</v>
      </c>
      <c r="N158" s="103">
        <f t="shared" si="583"/>
        <v>0</v>
      </c>
      <c r="O158" s="53">
        <f t="shared" ref="O158:O167" si="703">$O$36</f>
        <v>0.08</v>
      </c>
      <c r="P158" s="99">
        <v>0.1</v>
      </c>
      <c r="Q158" s="133">
        <f t="shared" si="700"/>
        <v>0.1</v>
      </c>
      <c r="R158" s="406">
        <v>0.8</v>
      </c>
      <c r="S158" s="142" t="str">
        <f>各项系数!$D$43</f>
        <v>钢带</v>
      </c>
      <c r="T158" s="102">
        <v>0.2</v>
      </c>
      <c r="U158" s="62">
        <v>4</v>
      </c>
      <c r="V158" s="143"/>
      <c r="W158" s="141">
        <f t="shared" si="702"/>
        <v>1.5</v>
      </c>
      <c r="X158" s="135">
        <f t="shared" si="701"/>
        <v>0.2</v>
      </c>
      <c r="Y158" s="135"/>
      <c r="Z158" s="168"/>
      <c r="AA158" s="153">
        <v>1</v>
      </c>
      <c r="AB158" s="153">
        <f>PI()*EJ158*EJ158/4*EH158*(1-H158)*AA158*各项系数!$F$5*各项系数!$J$4*10^-7</f>
        <v>8.4545666936336993E-3</v>
      </c>
      <c r="AC158" s="153">
        <f t="shared" ref="AC158:AC173" si="704">EJ158</f>
        <v>110.31595161029</v>
      </c>
      <c r="AD158" s="153">
        <f t="shared" si="584"/>
        <v>0.95579886989884189</v>
      </c>
      <c r="AE158" s="153">
        <f>POWER(4*EU158/PI()/EG158/10^-7/EH158/(1-H158)/各项系数!$F$5/各项系数!$J$4,0.5)</f>
        <v>110.31595161029</v>
      </c>
      <c r="AF158" s="69">
        <v>1</v>
      </c>
      <c r="AG158" s="69">
        <f>IF(EM158=0,0,PI()*ER158*ER158/4*EP158*(1-K158)*(1+AF158)*各项系数!$F$5*各项系数!$J$4*10^-7)</f>
        <v>0</v>
      </c>
      <c r="AH158" s="69">
        <f t="shared" ref="AH158:AH173" si="705">ER158</f>
        <v>0</v>
      </c>
      <c r="AI158" s="69">
        <f t="shared" si="641"/>
        <v>0</v>
      </c>
      <c r="AJ158" s="69">
        <f>IF(OR(EP158="",EP158=0),0,POWER(4*EW158/PI()/EO158/10^-7/EP158/(1-K158)/各项系数!$F$5/各项系数!$J$4,0.5))</f>
        <v>0</v>
      </c>
      <c r="AK158" s="69" t="str">
        <f t="shared" si="585"/>
        <v>√</v>
      </c>
      <c r="AL158" s="69">
        <f t="shared" ref="AL158:AL173" si="706">AO158*(1+0.02)</f>
        <v>11.541955454698588</v>
      </c>
      <c r="AM158" s="188">
        <f t="shared" ref="AM158:AM173" si="707">EE158*1</f>
        <v>1</v>
      </c>
      <c r="AN158" s="97" t="s">
        <v>486</v>
      </c>
      <c r="AO158" s="196">
        <f>AP158+各项系数!$M$9*$NK158</f>
        <v>11.315642602645674</v>
      </c>
      <c r="AP158" s="196">
        <f>AQ158*(1+$BI158+(VLOOKUP($AM158,$A$12:$B$323,2,0))+各项系数!$J$6+各项系数!$M$5)*(1+$E$2)</f>
        <v>11.222365893363989</v>
      </c>
      <c r="AQ158" s="197">
        <f>AR158+各项系数!$L$9*$NK158</f>
        <v>11.010955546864196</v>
      </c>
      <c r="AR158" s="197">
        <f>AS158*(1+$BJ158+各项系数!$J$5+各项系数!$L$5)</f>
        <v>10.91767883758251</v>
      </c>
      <c r="AS158" s="197">
        <f t="shared" si="642"/>
        <v>10.497768113060106</v>
      </c>
      <c r="AT158" s="196">
        <f>AU158+各项系数!$M$9*$NM158</f>
        <v>11.933829196378074</v>
      </c>
      <c r="AU158" s="196">
        <f>AV158*(1+$BI158+(VLOOKUP($AM158,$A$12:$B$323,2,0))+各项系数!$J$6+各项系数!$M$5)*(1+$E$2)</f>
        <v>11.840552487096389</v>
      </c>
      <c r="AV158" s="197">
        <f>AW158+各项系数!$L$9*$NM158</f>
        <v>11.617496553273536</v>
      </c>
      <c r="AW158" s="197">
        <f>AX158*(1+$BJ158+各项系数!$J$5+各项系数!$L$5)</f>
        <v>11.524219843991851</v>
      </c>
      <c r="AX158" s="197">
        <f t="shared" si="643"/>
        <v>11.080980619222933</v>
      </c>
      <c r="AY158" s="196">
        <f>AZ158+各项系数!$M$9*$NS158</f>
        <v>12.444132661712063</v>
      </c>
      <c r="AZ158" s="196">
        <f>BA158*(1+$BI158+(VLOOKUP($AM158,$A$12:$B$214,2,0))+各项系数!$J$6+各项系数!$M$5)*(1+$E$2)</f>
        <v>12.346212522566139</v>
      </c>
      <c r="BA158" s="197">
        <f>BB158+各项系数!$L$9*$NS158</f>
        <v>12.113630810995035</v>
      </c>
      <c r="BB158" s="197">
        <f>BC158*(1+$BJ158+各项系数!$J$5+各项系数!$L$5)</f>
        <v>12.015710671849112</v>
      </c>
      <c r="BC158" s="199">
        <f t="shared" si="644"/>
        <v>11.553567953701069</v>
      </c>
      <c r="BD158" s="196">
        <f>BE158+各项系数!$M$9*$NS158</f>
        <v>13.070231505975775</v>
      </c>
      <c r="BE158" s="196">
        <f>BF158*(1+$BI158+(VLOOKUP($AM158,$A$12:$B$214,2,0))+各项系数!$J$6+各项系数!$M$5)*(1+$E$2)</f>
        <v>12.972311366829851</v>
      </c>
      <c r="BF158" s="197">
        <f>BG158+各项系数!$L$9*$NS158</f>
        <v>12.727935014550482</v>
      </c>
      <c r="BG158" s="197">
        <f>BH158*(1+$BJ158+各项系数!$J$5+各项系数!$L$5)</f>
        <v>12.630014875404559</v>
      </c>
      <c r="BH158" s="199">
        <f t="shared" si="645"/>
        <v>12.144245072504383</v>
      </c>
      <c r="BI158" s="213"/>
      <c r="BJ158" s="208">
        <f t="shared" si="695"/>
        <v>0.02</v>
      </c>
      <c r="BK158" s="102" t="s">
        <v>514</v>
      </c>
      <c r="BL158" s="196">
        <f>BM158+各项系数!$M$9*$NM158</f>
        <v>11.514844108774078</v>
      </c>
      <c r="BM158" s="196">
        <f>BN158*(1+$CF158+(VLOOKUP($AM158,$A$12:$B$323,2,0))+各项系数!$J$6+各项系数!$M$5)*(1+$E$2)</f>
        <v>11.421567399492393</v>
      </c>
      <c r="BN158" s="197">
        <f>BO158+各项系数!$L$9*$NM158</f>
        <v>11.20640443435282</v>
      </c>
      <c r="BO158" s="197">
        <f>BP158*(1+$CG158+各项系数!$J$5+各项系数!$L$5)</f>
        <v>11.113127725071134</v>
      </c>
      <c r="BP158" s="197">
        <f t="shared" si="646"/>
        <v>10.583931166734413</v>
      </c>
      <c r="BQ158" s="196">
        <f>BR158+各项系数!$M$9*$NM158</f>
        <v>12.046766550849194</v>
      </c>
      <c r="BR158" s="196">
        <f>BS158*(1+$CF158+(VLOOKUP($AM158,$A$12:$B$323,2,0))+各项系数!$J$6+各项系数!$M$5)*(1+$E$2)</f>
        <v>11.953489841567508</v>
      </c>
      <c r="BS158" s="197">
        <f>BT158+各项系数!$L$9*$NM158</f>
        <v>11.728306359465765</v>
      </c>
      <c r="BT158" s="197">
        <f>BU158*(1+$CG158+各项系数!$J$5+各项系数!$L$5)</f>
        <v>11.63502965018408</v>
      </c>
      <c r="BU158" s="197">
        <f t="shared" si="647"/>
        <v>11.080980619222933</v>
      </c>
      <c r="BV158" s="196">
        <f>BW158+各项系数!$M$9*$NT158</f>
        <v>12.563896919911302</v>
      </c>
      <c r="BW158" s="196">
        <f>BX158*(1+$CF158+(VLOOKUP($AM158,$A$12:$B$214,2,0))+各项系数!$J$6+各项系数!$M$5)*(1+$E$2)</f>
        <v>12.465976780765379</v>
      </c>
      <c r="BX158" s="197">
        <f>BY158+各项系数!$L$9*$NT$12</f>
        <v>12.231138913623802</v>
      </c>
      <c r="BY158" s="197">
        <f>BZ158*(1+$CG158+各项系数!$J$5+各项系数!$L$5)</f>
        <v>12.222875510468828</v>
      </c>
      <c r="BZ158" s="199">
        <f t="shared" si="586"/>
        <v>11.640833819494121</v>
      </c>
      <c r="CA158" s="196">
        <f>CB158+各项系数!$M$9*$NT158</f>
        <v>13.102627506432762</v>
      </c>
      <c r="CB158" s="196">
        <f>CC158*(1+$CF158+(VLOOKUP($AM158,$A$12:$B$214,2,0))+各项系数!$J$6+各项系数!$M$5)*(1+$E$2)</f>
        <v>13.004707367286839</v>
      </c>
      <c r="CC158" s="197">
        <f>CD158+各项系数!$L$9*$NT$12</f>
        <v>12.759720729284576</v>
      </c>
      <c r="CD158" s="197">
        <f>CE158*(1+$CG158+各项系数!$J$5+各项系数!$L$5)</f>
        <v>12.751457326129602</v>
      </c>
      <c r="CE158" s="199">
        <f t="shared" si="648"/>
        <v>12.144245072504383</v>
      </c>
      <c r="CF158" s="213">
        <f t="shared" si="514"/>
        <v>0</v>
      </c>
      <c r="CG158" s="213">
        <f t="shared" si="587"/>
        <v>0.03</v>
      </c>
      <c r="CH158" s="102"/>
      <c r="CI158" s="196">
        <f>CJ158+各项系数!$M$9*$NO158</f>
        <v>12.994308717090059</v>
      </c>
      <c r="CJ158" s="196">
        <f>CK158*(1+$DC158+(VLOOKUP($AM158,$A$12:$B$323,2,0))+各项系数!$J$6+各项系数!$M$5)*(1+$E$2)+各项系数!$M$9*$NK158</f>
        <v>12.829000300296695</v>
      </c>
      <c r="CK158" s="197">
        <f>CL158+各项系数!$L$9*$NO158</f>
        <v>12.49580415130986</v>
      </c>
      <c r="CL158" s="197">
        <f>CM158*(1+$DD158+各项系数!$J$5+各项系数!$L$5)</f>
        <v>12.330495734516496</v>
      </c>
      <c r="CM158" s="197">
        <f t="shared" si="588"/>
        <v>11.856245898573555</v>
      </c>
      <c r="CN158" s="196">
        <f>CO158+各项系数!$M$9*$NO158</f>
        <v>13.401792874374641</v>
      </c>
      <c r="CO158" s="196">
        <f>CP158*(1+$DC158+(VLOOKUP($AM158,$A$12:$B$323,2,0))+各项系数!$J$6+各项系数!$M$5)*(1+$E$2)+各项系数!$M$9*$NK158</f>
        <v>13.236484457581277</v>
      </c>
      <c r="CP158" s="197">
        <f>CQ158+各项系数!$L$9*$NO158</f>
        <v>12.895611997939159</v>
      </c>
      <c r="CQ158" s="197">
        <f>CR158*(1+$DD158+各项系数!$J$5+各项系数!$L$5)</f>
        <v>12.730303581145796</v>
      </c>
      <c r="CR158" s="197">
        <f t="shared" si="589"/>
        <v>12.240676520332496</v>
      </c>
      <c r="CS158" s="196">
        <f>CT158+各项系数!$M$9*$NU158</f>
        <v>14.320190473728895</v>
      </c>
      <c r="CT158" s="196">
        <f t="shared" si="590"/>
        <v>14.149030086928372</v>
      </c>
      <c r="CU158" s="197">
        <f>CV158+各项系数!$L$9*$NU158</f>
        <v>13.882486349027053</v>
      </c>
      <c r="CV158" s="197">
        <f>CW158*(1+$DD158+各项系数!$J$5+各项系数!$L$5)</f>
        <v>13.71132596222653</v>
      </c>
      <c r="CW158" s="199">
        <f t="shared" si="591"/>
        <v>13.183967271371664</v>
      </c>
      <c r="CX158" s="196">
        <f>CY158+各项系数!$M$9*$NU158</f>
        <v>15.088907633819531</v>
      </c>
      <c r="CY158" s="196">
        <f t="shared" si="592"/>
        <v>14.917747247019008</v>
      </c>
      <c r="CZ158" s="197">
        <f>DA158+各项系数!$L$9*$NU158</f>
        <v>14.636722181141099</v>
      </c>
      <c r="DA158" s="197">
        <f>DB158*(1+$DD158+各项系数!$J$5+各项系数!$L$5)</f>
        <v>14.465561794340577</v>
      </c>
      <c r="DB158" s="199">
        <f t="shared" si="593"/>
        <v>13.909194033019785</v>
      </c>
      <c r="DC158" s="213">
        <f t="shared" si="698"/>
        <v>0</v>
      </c>
      <c r="DD158" s="213">
        <f t="shared" si="594"/>
        <v>0.02</v>
      </c>
      <c r="DE158" s="53" t="s">
        <v>498</v>
      </c>
      <c r="DF158" s="53" t="s">
        <v>513</v>
      </c>
      <c r="DG158" s="196">
        <f>DH158+各项系数!$M$9*$NQ158</f>
        <v>13.228628670949783</v>
      </c>
      <c r="DH158" s="196">
        <f>DI158*(1+$EA158+(VLOOKUP($AM158,$A$12:$B$323,2,0))+各项系数!$J$6+各项系数!$M$5)*(1+$E$2)+各项系数!$M$9*$NK158</f>
        <v>13.06332025415642</v>
      </c>
      <c r="DI158" s="197">
        <f>DJ158+各项系数!$L$9*$NQ158</f>
        <v>12.725709914516028</v>
      </c>
      <c r="DJ158" s="197">
        <f>DK158*(1+$EB158+各项系数!$J$5+各项系数!$L$5)</f>
        <v>12.560401497722664</v>
      </c>
      <c r="DK158" s="197">
        <f t="shared" si="595"/>
        <v>11.96228714068825</v>
      </c>
      <c r="DL158" s="196">
        <f>DM158+各项系数!$M$9*$NQ158</f>
        <v>13.883267916670329</v>
      </c>
      <c r="DM158" s="196">
        <f>DN158*(1+$EA158+(VLOOKUP($AM158,$A$12:$B$323,2,0))+各项系数!$J$6+各项系数!$M$5)*(1+$E$2)+各项系数!$M$9*$NK158</f>
        <v>13.717959499876965</v>
      </c>
      <c r="DN158" s="197">
        <f>DO158+各项系数!$L$9*$NQ158</f>
        <v>13.36801686675361</v>
      </c>
      <c r="DO158" s="197">
        <f>DP158*(1+$EB158+各项系数!$J$5+各项系数!$L$5)</f>
        <v>13.202708449960246</v>
      </c>
      <c r="DP158" s="197">
        <f t="shared" si="596"/>
        <v>12.574008047581186</v>
      </c>
      <c r="DQ158" s="196">
        <f>DR158+各项系数!$M$9*$NV158</f>
        <v>14.569222749237175</v>
      </c>
      <c r="DR158" s="196">
        <f t="shared" si="597"/>
        <v>14.398062362436653</v>
      </c>
      <c r="DS158" s="197">
        <f>DT158+各项系数!$L$9*$NV158</f>
        <v>14.126827278685884</v>
      </c>
      <c r="DT158" s="197">
        <f>DU158*(1+$EB158+各项系数!$J$5+各项系数!$L$5)</f>
        <v>13.955666891885361</v>
      </c>
      <c r="DU158" s="199">
        <f t="shared" si="598"/>
        <v>13.291111325605105</v>
      </c>
      <c r="DV158" s="196">
        <f>DW158+各项系数!$M$9*$NV158</f>
        <v>14.295033016321263</v>
      </c>
      <c r="DW158" s="196">
        <f t="shared" si="599"/>
        <v>14.12387262952074</v>
      </c>
      <c r="DX158" s="197">
        <f>DY158+各项系数!$L$9*$NV158</f>
        <v>13.857802815463835</v>
      </c>
      <c r="DY158" s="197">
        <f>DZ158*(1+$EB158+各项系数!$J$5+各项系数!$L$5)</f>
        <v>13.686642428663312</v>
      </c>
      <c r="DZ158" s="199">
        <f t="shared" si="600"/>
        <v>13.034897551107916</v>
      </c>
      <c r="EA158" s="213">
        <f t="shared" si="699"/>
        <v>0</v>
      </c>
      <c r="EB158" s="213">
        <f t="shared" si="601"/>
        <v>0.03</v>
      </c>
      <c r="EC158" s="235">
        <f t="shared" si="649"/>
        <v>16</v>
      </c>
      <c r="ED158" s="235" t="str">
        <f t="shared" ref="ED158:ED163" si="708">IF(COUNTIF($D158,"*+*")&gt;0,MID($D158,1,FIND("+",$D158)-1),MID($D158,1,LEN($D158)))</f>
        <v>16*1</v>
      </c>
      <c r="EE158" s="189">
        <f t="shared" ref="EE158:EE173" si="709">IF($D158="",0,IF(COUNTIF($D158,"*+*")&gt;0,MID($D158,FIND("*",$D158)+1,FIND("+",$D158)-FIND("*",$D158)-1),RIGHT($D158,(LEN($D158)-FIND("*",$D158)))))*1</f>
        <v>1</v>
      </c>
      <c r="EF158" s="189">
        <f>LOOKUP(EH158,{1,7,10,14,19,24,30,37,48,61},{1,"1+6","2+8","4+10","1+6+12","2+8+14","4+10+16","1+6+12+18","3+9+15+21","1+6+12+18+24"})</f>
        <v>1</v>
      </c>
      <c r="EG158" s="188">
        <f t="shared" si="602"/>
        <v>16</v>
      </c>
      <c r="EH158" s="197">
        <f>VLOOKUP(EE158,各项系数!$B$87:$C$124,2,0)</f>
        <v>1</v>
      </c>
      <c r="EI158" s="188">
        <f>IF(EH158=0,0,VLOOKUP(EH158,各项系数!$D$142:$E$195,2,0))*1</f>
        <v>1</v>
      </c>
      <c r="EJ158" s="238">
        <f t="shared" si="650"/>
        <v>110.31595161029</v>
      </c>
      <c r="EK158" s="189">
        <f t="shared" si="689"/>
        <v>0</v>
      </c>
      <c r="EL158" s="189">
        <f t="shared" si="603"/>
        <v>0</v>
      </c>
      <c r="EM158" s="189">
        <f t="shared" si="690"/>
        <v>0</v>
      </c>
      <c r="EN158" s="189">
        <f>IF(EP158=0,0,LOOKUP(EP158,{1,7,10,14,19,24,30,37,48,61},{1,"1+6","2+8","4+10","1+6+12","2+8+14","4+10+16","1+6+12+18","3+9+15+21","1+6+12+18+24"}))</f>
        <v>0</v>
      </c>
      <c r="EO158" s="189">
        <f t="shared" si="691"/>
        <v>0</v>
      </c>
      <c r="EP158" s="189">
        <f>IF(EM158=0,0,IF(EM158&lt;10,1,IF(AND(EM158&gt;=10,EM158&lt;=35),7,LOOKUP(EM158,{50,70,95,120,150,185,240,300},{10,14,19,24,30,37,48,61})*1)))</f>
        <v>0</v>
      </c>
      <c r="EQ158" s="189">
        <f>IF(EP158=0,0,VLOOKUP(EP158,各项系数!$D$142:$E$195,2,0))*1</f>
        <v>0</v>
      </c>
      <c r="ER158" s="53">
        <f t="shared" ref="ER158:ER173" si="710">$I158-$J158</f>
        <v>0</v>
      </c>
      <c r="ES158" s="412">
        <f t="shared" si="692"/>
        <v>16</v>
      </c>
      <c r="ET158" s="189">
        <f>VLOOKUP(ES158,各项系数!$D$142:$E$195,2,0)*1</f>
        <v>4.7</v>
      </c>
      <c r="EU158" s="243">
        <f>((各项系数!$F$76/4*$EJ158^2*$EG158*$EH158*1*10^-7)*(1-$H158)*AA158)*(VLOOKUP($EY$9,各项系数!$D$4:$F$143,3,0))*各项系数!$J$4</f>
        <v>0.13527306709813922</v>
      </c>
      <c r="EV158" s="244">
        <f>EU158*(VLOOKUP($EY$9,各项系数!$D$4:$F$143,2,0))</f>
        <v>8.8603858949281182</v>
      </c>
      <c r="EW158" s="252">
        <f>(IF($EO158=0,0,(各项系数!$F$76/4*$ER158^2*$EO158*$EP158*1*10^-7))*(1-$K158)*$AF158)*(VLOOKUP($EY$9,各项系数!$D$4:$F$143,3,0))*各项系数!$J$4</f>
        <v>0</v>
      </c>
      <c r="EX158" s="253">
        <f>EW158*(VLOOKUP($EY$9,各项系数!$D$4:$F$143,2,0))</f>
        <v>0</v>
      </c>
      <c r="EY158" s="189">
        <f>((各项系数!$F$76/4*$EJ158^2*$EG158*$EH158*1*10^-7)*(1-$H158)*AA158+IF($EO158=0,0,(各项系数!$F$76/4*$ER158^2*$EO158*$EP158*1*10^-7))*(1-$K158)*$AF158)*(VLOOKUP($EY$9,各项系数!$D$4:$F$143,3,0))*各项系数!$J$4</f>
        <v>0.13527306709813922</v>
      </c>
      <c r="EZ158" s="102">
        <v>1</v>
      </c>
      <c r="FA158" s="189">
        <f t="shared" ref="FA158:FA163" si="711">EZ158*EY158</f>
        <v>0.13527306709813922</v>
      </c>
      <c r="FB158" s="254">
        <f>FA158*(VLOOKUP($EY$9,各项系数!$D$4:$F$143,2,0))</f>
        <v>8.8603858949281182</v>
      </c>
      <c r="FC158" s="255"/>
      <c r="FD158" s="235">
        <f>各项系数!$F$76/4*($MN158^2-MK158^2)*10^-2*(VLOOKUP(L158,各项系数!$D$1:$F$143,3,0))*10^-3*10^2*$EG158*各项系数!$J$4</f>
        <v>5.6220175637935597E-2</v>
      </c>
      <c r="FE158" s="262">
        <f>FD158*VLOOKUP(L158,各项系数!$D$1:$F$143,2,0)</f>
        <v>0.64653201983625941</v>
      </c>
      <c r="FF158" s="188">
        <f>各项系数!$F$76/4*($MO158^2-ML158^2)*10^-2*(VLOOKUP(L158,各项系数!$D$1:$F$143,3,0))*10^-3*10^2*$EO158*各项系数!$J$4</f>
        <v>0</v>
      </c>
      <c r="FG158" s="262">
        <f>FF158*VLOOKUP(L158,各项系数!$D$1:$F$143,2,0)</f>
        <v>0</v>
      </c>
      <c r="FH158" s="235">
        <f t="shared" si="651"/>
        <v>5.6220175637935597E-2</v>
      </c>
      <c r="FI158" s="102">
        <v>1</v>
      </c>
      <c r="FJ158" s="189">
        <f t="shared" ref="FJ158:FJ163" si="712">FI158*FH158</f>
        <v>5.6220175637935597E-2</v>
      </c>
      <c r="FK158" s="262">
        <f>FJ158*VLOOKUP(L158,各项系数!$D$1:$F$143,2,0)</f>
        <v>0.64653201983625941</v>
      </c>
      <c r="FL158" s="235"/>
      <c r="FM158" s="102"/>
      <c r="FN158" s="189"/>
      <c r="FO158" s="262"/>
      <c r="FP158" s="282">
        <f t="shared" ref="FP158:FP163" si="713">FJ158</f>
        <v>5.6220175637935597E-2</v>
      </c>
      <c r="FQ158" s="282">
        <f t="shared" ref="FQ158:FQ163" si="714">FK158</f>
        <v>0.64653201983625941</v>
      </c>
      <c r="FR158" s="283">
        <f>各项系数!$F$76/4*($MQ158^2-$MN158^2*$EG158-$MO158^2*$EO158)*10^-2</f>
        <v>0.25372029665659995</v>
      </c>
      <c r="FS158" s="284">
        <f t="shared" si="652"/>
        <v>1</v>
      </c>
      <c r="FT158" s="285">
        <f t="shared" si="604"/>
        <v>0.25372029665659995</v>
      </c>
      <c r="FU158" s="302">
        <f>$FT158*(VLOOKUP($FT$9,各项系数!$D$1:$F$143,3,0))*10^-3*10^2*各项系数!$J$55</f>
        <v>3.0294203420798034E-2</v>
      </c>
      <c r="FV158" s="303">
        <v>1</v>
      </c>
      <c r="FW158" s="304">
        <f t="shared" ref="FW158:FW163" si="715">FV158*FU158</f>
        <v>3.0294203420798034E-2</v>
      </c>
      <c r="FX158" s="285">
        <f>FW158*(VLOOKUP($FT$9,各项系数!$D$1:$F$143,2,0))</f>
        <v>9.0882610262394109E-2</v>
      </c>
      <c r="FY158" s="302">
        <f>IF($BK158&lt;&gt;$FY$9,0,各项系数!$F$76/4*($MS158^2-$MQ158^2)*10^-2*(VLOOKUP($FY$9,各项系数!$D$1:$F$143,3,0))*10^-3*10^2)*各项系数!$J$4</f>
        <v>0</v>
      </c>
      <c r="FZ158" s="303">
        <v>1</v>
      </c>
      <c r="GA158" s="304">
        <f t="shared" ref="GA158:GA163" si="716">FZ158*FY158</f>
        <v>0</v>
      </c>
      <c r="GB158" s="285">
        <f>GA158*(VLOOKUP($FY$9,各项系数!$D$1:$F$143,2,0))</f>
        <v>0</v>
      </c>
      <c r="GC158" s="302">
        <f>IF($BK158&lt;&gt;$GC$9,0,各项系数!$F$76/4*($MS158^2-$MQ158^2)*10^-2*(VLOOKUP($GC$9,各项系数!$D$1:$F$143,3,0))*10^-3*10^2)*各项系数!$J$4</f>
        <v>2.9718644411058422E-3</v>
      </c>
      <c r="GD158" s="303">
        <v>1</v>
      </c>
      <c r="GE158" s="304">
        <f t="shared" ref="GE158:GE163" si="717">GD158*GC158</f>
        <v>2.9718644411058422E-3</v>
      </c>
      <c r="GF158" s="285">
        <f>GE158*(VLOOKUP($GC$9,各项系数!$D$1:$F$143,2,0))</f>
        <v>3.8337051290265364E-2</v>
      </c>
      <c r="GG158" s="302">
        <f>IF($BK158&lt;&gt;$GG$9,0,各项系数!$F$76/4*($MS158^2-$MQ158^2)*10^-2*(VLOOKUP($GG$9,各项系数!$D$1:$F$143,3,0))*10^-3*10^2)*各项系数!$J$4</f>
        <v>0</v>
      </c>
      <c r="GH158" s="303">
        <v>1</v>
      </c>
      <c r="GI158" s="304">
        <f t="shared" ref="GI158:GI163" si="718">GH158*GG158</f>
        <v>0</v>
      </c>
      <c r="GJ158" s="285">
        <f>GI158*(VLOOKUP($GG$9,各项系数!$D$1:$F$143,2,0))</f>
        <v>0</v>
      </c>
      <c r="GK158" s="302">
        <f>IF($BK158&lt;&gt;$GK$9,0,各项系数!$F$76/4*($MS158^2-$MQ158^2)*10^-2*(VLOOKUP($GK$9,各项系数!$D$1:$F$143,3,0))*10^-3*10^2)*各项系数!$J$4</f>
        <v>0</v>
      </c>
      <c r="GL158" s="303">
        <v>1</v>
      </c>
      <c r="GM158" s="304">
        <f t="shared" ref="GM158:GM163" si="719">GL158*GK158</f>
        <v>0</v>
      </c>
      <c r="GN158" s="285">
        <f>GM158*(VLOOKUP($GK$9,各项系数!$D$1:$F$143,2,0))</f>
        <v>0</v>
      </c>
      <c r="GO158" s="304">
        <f t="shared" ref="GO158:GO163" si="720">GM158+GI158+GE158+GA158</f>
        <v>2.9718644411058422E-3</v>
      </c>
      <c r="GP158" s="304">
        <f t="shared" ref="GP158:GP163" si="721">GN158+GJ158+GF158+GB158</f>
        <v>3.8337051290265364E-2</v>
      </c>
      <c r="GQ158" s="315">
        <f>各项系数!$F$76/4*($MU158^2-$MS158^2)*10^-2*(VLOOKUP($S158,各项系数!$D$1:$F$143,3,0))*10^-3*10^2*各项系数!$J$4</f>
        <v>0.17014561405707762</v>
      </c>
      <c r="GR158" s="303">
        <v>1</v>
      </c>
      <c r="GS158" s="304">
        <f t="shared" ref="GS158:GS163" si="722">$GR158*$GQ158</f>
        <v>0.17014561405707762</v>
      </c>
      <c r="GT158" s="304">
        <f t="shared" si="696"/>
        <v>1</v>
      </c>
      <c r="GU158" s="304">
        <f>ROUND($GS158*(VLOOKUP($S158,各项系数!$D$1:$F$143,2,0))+$E$3*GS158,GT158)</f>
        <v>1</v>
      </c>
      <c r="GV158" s="315">
        <f>各项系数!$F$76/4*($MT158^2-$MS158^2)*10^-2*(VLOOKUP($GV$9,各项系数!$D$1:$F$143,3,0))*10^-3*10^2*各项系数!$J$4*PI()/4*R158</f>
        <v>1.5478099547459379E-2</v>
      </c>
      <c r="GW158" s="303">
        <v>1</v>
      </c>
      <c r="GX158" s="304">
        <f t="shared" ref="GX158:GX163" si="723">$GW158*$GV158</f>
        <v>1.5478099547459379E-2</v>
      </c>
      <c r="GY158" s="304">
        <f>$GX158*(VLOOKUP($GV$9,各项系数!$D$1:$F$143,2,0))</f>
        <v>1.044771719453508</v>
      </c>
      <c r="GZ158" s="315">
        <f>各项系数!$F$76/4*($MV158^2-$MS158^2)*10^-2*(VLOOKUP($GZ$9,各项系数!$D$1:$F$143,3,0))*10^-3*10^2*各项系数!$J$4</f>
        <v>8.4990767229758596E-2</v>
      </c>
      <c r="HA158" s="303">
        <v>1</v>
      </c>
      <c r="HB158" s="304">
        <f t="shared" si="653"/>
        <v>8.4990767229758596E-2</v>
      </c>
      <c r="HC158" s="304">
        <f>HB158*(VLOOKUP($GZ$9,各项系数!$D$1:$F$143,2,0))</f>
        <v>1.444843042905896</v>
      </c>
      <c r="HD158" s="315">
        <f>各项系数!$F$76/4*($MW158^2-$MT158^2)*10^-2*(VLOOKUP($HD$9,各项系数!$D$1:$F$143,3,0))*10^-3*10^2*各项系数!$J$4</f>
        <v>8.6078575101990573E-2</v>
      </c>
      <c r="HE158" s="303">
        <v>1</v>
      </c>
      <c r="HF158" s="304">
        <f t="shared" si="654"/>
        <v>8.6078575101990573E-2</v>
      </c>
      <c r="HG158" s="304">
        <f>HF158*(VLOOKUP($HD$9,各项系数!$D$1:$F$143,2,0))</f>
        <v>1.4633357767338397</v>
      </c>
      <c r="HH158" s="315">
        <f>各项系数!$F$76/4*($MV158^2-$MS158^2)*10^-2*(VLOOKUP($HH$9,各项系数!$D$1:$F$143,3,0))*10^-3*10^2*各项系数!$J$4</f>
        <v>8.4990767229758596E-2</v>
      </c>
      <c r="HI158" s="322">
        <v>1</v>
      </c>
      <c r="HJ158" s="304">
        <f t="shared" si="655"/>
        <v>8.4990767229758596E-2</v>
      </c>
      <c r="HK158" s="304">
        <f>HJ158*(VLOOKUP($HH$9,各项系数!$D$1:$F$143,2,0))</f>
        <v>1.444843042905896</v>
      </c>
      <c r="HL158" s="315">
        <f>各项系数!$F$76/4*($MW158^2-$MT158^2)*10^-2*(VLOOKUP($HL$9,各项系数!$D$1:$F$143,3,0))*10^-3*10^2*各项系数!$J$4</f>
        <v>8.6078575101990573E-2</v>
      </c>
      <c r="HM158" s="322">
        <v>1</v>
      </c>
      <c r="HN158" s="304">
        <f t="shared" si="605"/>
        <v>8.6078575101990573E-2</v>
      </c>
      <c r="HO158" s="304">
        <f>HN158*(VLOOKUP($HL$9,各项系数!$D$1:$F$143,2,0))</f>
        <v>1.4633357767338397</v>
      </c>
      <c r="HP158" s="315">
        <f>各项系数!$F$76/4*($MV158^2-$MS158^2)*10^-2*(VLOOKUP(AN158,各项系数!$D$1:$F$143,3,0))*10^-3*10^2*各项系数!$J$4</f>
        <v>8.6163053674306975E-2</v>
      </c>
      <c r="HQ158" s="303">
        <v>1</v>
      </c>
      <c r="HR158" s="304">
        <f t="shared" ref="HR158:HR163" si="724">HQ158*HP158</f>
        <v>8.6163053674306975E-2</v>
      </c>
      <c r="HS158" s="304">
        <f>HR158*(VLOOKUP(AN158,各项系数!$D$1:$F$143,2,0))</f>
        <v>0.86163053674306977</v>
      </c>
      <c r="HT158" s="315">
        <f>各项系数!$F$76/4*($MW158^2-$MT158^2)*10^-2*(VLOOKUP(AN158,各项系数!$D$1:$F$143,3,0))*10^-3*10^2*各项系数!$J$4</f>
        <v>8.7265865793052524E-2</v>
      </c>
      <c r="HU158" s="303">
        <v>1</v>
      </c>
      <c r="HV158" s="304">
        <f t="shared" ref="HV158:HV163" si="725">HU158*HT158</f>
        <v>8.7265865793052524E-2</v>
      </c>
      <c r="HW158" s="304">
        <f>HV158*(VLOOKUP(AN158,各项系数!$D$1:$F$143,2,0))</f>
        <v>0.87265865793052522</v>
      </c>
      <c r="HX158" s="315">
        <f>各项系数!$F$76/4*($MV158^2-$MS158^2)*10^-2*(VLOOKUP($HX$9,各项系数!$D$1:$F$143,3,0))*10^-3*10^2*各项系数!$J$4</f>
        <v>8.6163053674306975E-2</v>
      </c>
      <c r="HY158" s="322">
        <v>1</v>
      </c>
      <c r="HZ158" s="304">
        <f t="shared" ref="HZ158:HZ163" si="726">HY158*HX158</f>
        <v>8.6163053674306975E-2</v>
      </c>
      <c r="IA158" s="304">
        <f>HZ158*(VLOOKUP($HX$9,各项系数!$D$1:$F$143,2,0))</f>
        <v>0.94779359041737676</v>
      </c>
      <c r="IB158" s="315">
        <f>各项系数!$F$76/4*($MW158^2-$MT158^2)*10^-2*(VLOOKUP($IB$9,各项系数!$D$1:$F$143,3,0))*10^-3*10^2*各项系数!$J$4</f>
        <v>8.7265865793052524E-2</v>
      </c>
      <c r="IC158" s="322">
        <v>1</v>
      </c>
      <c r="ID158" s="304">
        <f t="shared" ref="ID158:ID163" si="727">IC158*IB158</f>
        <v>8.7265865793052524E-2</v>
      </c>
      <c r="IE158" s="304">
        <f>ID158*(VLOOKUP($IB$9,各项系数!$D$1:$F$143,2,0))</f>
        <v>0.95992452372357773</v>
      </c>
      <c r="IF158" s="328"/>
      <c r="IG158" s="315">
        <f t="shared" si="656"/>
        <v>3.1580027003860908E-2</v>
      </c>
      <c r="IH158" s="303">
        <v>1</v>
      </c>
      <c r="II158" s="304">
        <f t="shared" ref="II158:II163" si="728">IH158*IG158</f>
        <v>3.1580027003860908E-2</v>
      </c>
      <c r="IJ158" s="304">
        <f>II158*(VLOOKUP($IG$8,各项系数!$D$1:$F$143,2,0))</f>
        <v>0.78950067509652266</v>
      </c>
      <c r="IK158" s="315">
        <f>(各项系数!$F$76/4*($MX158^2-$MK158^2)*$EG158)*10^-2*(VLOOKUP($IG$8,各项系数!$D$1:$F$143,3,0))*10^-3*10^2*各项系数!$J$4</f>
        <v>3.1580027003860908E-2</v>
      </c>
      <c r="IL158" s="303">
        <f>IK158*(VLOOKUP($IG$8,各项系数!$D$1:$F$143,2,0))</f>
        <v>0.78950067509652266</v>
      </c>
      <c r="IM158" s="304">
        <f>(各项系数!$F$76/4*(($MM158+3*$X158)^2-MM158^2)*$EO158)*10^-2*(VLOOKUP($IG$8,各项系数!$D$1:$F$143,3,0))*10^-3*10^2*各项系数!$J$4</f>
        <v>0</v>
      </c>
      <c r="IN158" s="303">
        <f>IM158*(VLOOKUP($IG$8,各项系数!$D$1:$F$143,2,0))</f>
        <v>0</v>
      </c>
      <c r="IO158" s="315">
        <f>各项系数!$F$76/4*($MZ158^2-$MX158^2)*10^-2*(VLOOKUP(L158,各项系数!$D$1:$F$143,3,0))*10^-3*10^2*$ES158*各项系数!$J$4</f>
        <v>7.6025781035814796E-2</v>
      </c>
      <c r="IP158" s="303">
        <v>1</v>
      </c>
      <c r="IQ158" s="304">
        <f t="shared" ref="IQ158:IQ163" si="729">IP158*IO158</f>
        <v>7.6025781035814796E-2</v>
      </c>
      <c r="IR158" s="285">
        <f>IQ158*(VLOOKUP(L158,各项系数!$D$1:$F$143,2,0))</f>
        <v>0.87429648191187015</v>
      </c>
      <c r="IS158" s="315">
        <f>IF($L158&lt;&gt;$IS$9,0,各项系数!$F$76/4*($MZ158^2-$MX158^2)*10^-2*各项系数!$F$12*10^-3*10^2)*$ES158*各项系数!$J$4</f>
        <v>0</v>
      </c>
      <c r="IT158" s="303">
        <v>1</v>
      </c>
      <c r="IU158" s="304">
        <f t="shared" ref="IU158:IU163" si="730">IT158*IS158</f>
        <v>0</v>
      </c>
      <c r="IV158" s="285">
        <f>IU158*各项系数!$E$12</f>
        <v>0</v>
      </c>
      <c r="IW158" s="302">
        <f t="shared" ref="IW158:IW163" si="731">IQ158</f>
        <v>7.6025781035814796E-2</v>
      </c>
      <c r="IX158" s="302">
        <f t="shared" ref="IX158:IX163" si="732">IR158</f>
        <v>0.87429648191187015</v>
      </c>
      <c r="IY158" s="339">
        <f>各项系数!$F$76/4*($NB158^2-$MZ158^2*$EG158-$NA158^2*$EO158)*10^-2</f>
        <v>0.40313357735671368</v>
      </c>
      <c r="IZ158" s="284">
        <f t="shared" si="697"/>
        <v>1</v>
      </c>
      <c r="JA158" s="285">
        <f t="shared" si="606"/>
        <v>0.40313357735671368</v>
      </c>
      <c r="JB158" s="282">
        <f>IF($DE158&lt;&gt;$JB$9,0,$JA158*各项系数!$F$32*10^-3*10^2)*各项系数!$J$4</f>
        <v>0</v>
      </c>
      <c r="JC158" s="102">
        <v>1</v>
      </c>
      <c r="JD158" s="189">
        <f t="shared" ref="JD158:JD163" si="733">JC158*JB158</f>
        <v>0</v>
      </c>
      <c r="JE158" s="262">
        <f>JD158*各项系数!$E$32</f>
        <v>0</v>
      </c>
      <c r="JF158" s="282">
        <f>IF($DE158&lt;&gt;$JF$9,0,$JA158*VLOOKUP($JF$9,各项系数!$D$4:$F$540,2,0)*10^-3*10^2)*各项系数!$J$4</f>
        <v>0.20055895473496504</v>
      </c>
      <c r="JG158" s="102">
        <v>1</v>
      </c>
      <c r="JH158" s="189">
        <f t="shared" si="607"/>
        <v>0.20055895473496504</v>
      </c>
      <c r="JI158" s="262">
        <f>JH158*VLOOKUP($JF$9,各项系数!$D$4:$F$540,3,0)</f>
        <v>0.24067074568195804</v>
      </c>
      <c r="JJ158" s="282">
        <f t="shared" ref="JJ158:JJ163" si="734">JH158+JD158</f>
        <v>0.20055895473496504</v>
      </c>
      <c r="JK158" s="189">
        <f t="shared" ref="JK158:JK163" si="735">JI158+JE158</f>
        <v>0.24067074568195804</v>
      </c>
      <c r="JL158" s="282">
        <f>IF($DF158&lt;&gt;$JL$9,0,各项系数!$F$76/4*($NE158^2-$NC158^2)*10^-2*各项系数!$F$39*10^-3*10^2)*各项系数!$J$4</f>
        <v>1.5489839904064796E-3</v>
      </c>
      <c r="JM158" s="102">
        <v>1</v>
      </c>
      <c r="JN158" s="189">
        <f t="shared" ref="JN158:JN163" si="736">JM158*JL158</f>
        <v>1.5489839904064796E-3</v>
      </c>
      <c r="JO158" s="262">
        <f>JN158*各项系数!$E$39</f>
        <v>3.0979679808129591E-2</v>
      </c>
      <c r="JP158" s="282">
        <f>IF($DF158&lt;&gt;$JP$9,0,各项系数!$F$76/4*($NE158^2-$NC158^2)*10^-2*各项系数!$F$36*10^-3*10^2)*各项系数!$J$4</f>
        <v>0</v>
      </c>
      <c r="JQ158" s="102">
        <v>1</v>
      </c>
      <c r="JR158" s="189">
        <f t="shared" ref="JR158:JR163" si="737">JQ158*JP158</f>
        <v>0</v>
      </c>
      <c r="JS158" s="262">
        <f>JR158*各项系数!$E$36</f>
        <v>0</v>
      </c>
      <c r="JT158" s="282">
        <f>IF($DF158&lt;&gt;$JT$9,0,各项系数!$F$76/4*($NE158^2-$NC158^2)*10^-2*各项系数!$F$40*10^-3*10^2)*各项系数!$J$4</f>
        <v>0</v>
      </c>
      <c r="JU158" s="102">
        <v>1</v>
      </c>
      <c r="JV158" s="189">
        <f t="shared" ref="JV158:JV163" si="738">JU158*JT158</f>
        <v>0</v>
      </c>
      <c r="JW158" s="262">
        <f>JV158*各项系数!$E$40</f>
        <v>0</v>
      </c>
      <c r="JX158" s="282">
        <f>IF($DF158&lt;&gt;$JX$9,0,各项系数!$F$76/4*($NE158^2-$NC158^2)*10^-2*各项系数!$F$38*10^-3*10^2)*各项系数!$J$4</f>
        <v>0</v>
      </c>
      <c r="JY158" s="102">
        <v>1</v>
      </c>
      <c r="JZ158" s="189">
        <f t="shared" ref="JZ158:JZ163" si="739">JY158*JX158</f>
        <v>0</v>
      </c>
      <c r="KA158" s="262">
        <f>JZ158*各项系数!$E$38</f>
        <v>0</v>
      </c>
      <c r="KB158" s="282">
        <f>IF($DF158&lt;&gt;$KB$9,0,各项系数!$F$76/4*($NE158^2-$NC158^2)*10^-2*各项系数!$F$41*10^-3*10^2)*各项系数!$J$4</f>
        <v>0</v>
      </c>
      <c r="KC158" s="102">
        <v>1</v>
      </c>
      <c r="KD158" s="189">
        <f t="shared" ref="KD158:KD163" si="740">KC158*KB158</f>
        <v>0</v>
      </c>
      <c r="KE158" s="262">
        <f>KD158*各项系数!$E$41</f>
        <v>0</v>
      </c>
      <c r="KF158" s="189">
        <f t="shared" ref="KF158:KF163" si="741">KD158+JZ158+JV158+JR158+JN158</f>
        <v>1.5489839904064796E-3</v>
      </c>
      <c r="KG158" s="189">
        <f t="shared" ref="KG158:KG163" si="742">KE158+KA158+JW158+JS158+JO158</f>
        <v>3.0979679808129591E-2</v>
      </c>
      <c r="KH158" s="235">
        <f>各项系数!$F$76/4*($NG158^2-$NE158^2)*10^-2*各项系数!$F$44*10^-3*10^2*各项系数!$J$4*0.75*$U158</f>
        <v>0.63733270633763128</v>
      </c>
      <c r="KI158" s="102">
        <v>1</v>
      </c>
      <c r="KJ158" s="189">
        <f t="shared" ref="KJ158:KJ163" si="743">KI158*KH158</f>
        <v>0.63733270633763128</v>
      </c>
      <c r="KK158" s="189">
        <f>ROUND(KJ158*各项系数!$E$43,GT158)</f>
        <v>3.7</v>
      </c>
      <c r="KL158" s="235">
        <f>各项系数!$F$76/4*($NF158^2-$NE158^2)*10^-2*各项系数!$F$46*10^-3*10^2*各项系数!$J$4*PI()/4*R158</f>
        <v>1.9506566690528224E-2</v>
      </c>
      <c r="KM158" s="102">
        <v>1</v>
      </c>
      <c r="KN158" s="189">
        <f t="shared" ref="KN158:KN163" si="744">$KL158*$KM158</f>
        <v>1.9506566690528224E-2</v>
      </c>
      <c r="KO158" s="189">
        <f>KN158*各项系数!$E$46</f>
        <v>1.3166932516106551</v>
      </c>
      <c r="KP158" s="235">
        <f>各项系数!$F$76/4*($NH158^2-$NE158^2)*10^-2*(VLOOKUP($KP$9,各项系数!$D$1:$F$143,3,0))*10^-3*10^2*各项系数!$J$4</f>
        <v>0.1045985041267404</v>
      </c>
      <c r="KQ158" s="102">
        <v>1</v>
      </c>
      <c r="KR158" s="189">
        <f t="shared" si="657"/>
        <v>0.1045985041267404</v>
      </c>
      <c r="KS158" s="189">
        <f>KR158*(VLOOKUP($KP$9,各项系数!$D$1:$F$143,2,0))</f>
        <v>1.7781745701545868</v>
      </c>
      <c r="KT158" s="235">
        <f>各项系数!$F$76/4*($NI158^2-$NF158^2)*10^-2*(VLOOKUP($KT$9,各项系数!$D$1:$F$143,3,0))*10^-3*10^2*各项系数!$J$4</f>
        <v>0.10568631199897241</v>
      </c>
      <c r="KU158" s="102">
        <v>1</v>
      </c>
      <c r="KV158" s="189">
        <f t="shared" si="658"/>
        <v>0.10568631199897241</v>
      </c>
      <c r="KW158" s="189">
        <f>KV158*(VLOOKUP($KT$9,各项系数!$D$1:$F$143,2,0))</f>
        <v>1.7966673039825309</v>
      </c>
      <c r="KX158" s="189">
        <f>各项系数!$F$76/4*($NH158^2-$NE158^2)*10^-2*(VLOOKUP($KX$9,各项系数!$D$1:$F$143,3,0))*10^-3*10^2*各项系数!$J$4</f>
        <v>0.1045985041267404</v>
      </c>
      <c r="KY158" s="353">
        <v>1</v>
      </c>
      <c r="KZ158" s="189">
        <f t="shared" si="659"/>
        <v>0.1045985041267404</v>
      </c>
      <c r="LA158" s="189">
        <f>KZ158*(VLOOKUP($KX$9,各项系数!$D$1:$F$143,2,0))</f>
        <v>1.7781745701545868</v>
      </c>
      <c r="LB158" s="189">
        <f>各项系数!$F$76/4*($NI158^2-$NF158^2)*10^-2*(VLOOKUP($LB$9,各项系数!$D$1:$F$143,3,0))*10^-3*10^2*各项系数!$J$4</f>
        <v>0.10568631199897241</v>
      </c>
      <c r="LC158" s="353">
        <v>1</v>
      </c>
      <c r="LD158" s="189">
        <f t="shared" si="660"/>
        <v>0.10568631199897241</v>
      </c>
      <c r="LE158" s="189">
        <f>LD158*(VLOOKUP($LB$9,各项系数!$D$1:$F$143,2,0))</f>
        <v>1.7966673039825309</v>
      </c>
      <c r="LF158" s="235">
        <f>各项系数!$F$76/4*($NH158^2-$NE158^2)*10^-2*(VLOOKUP(AN158,各项系数!$D$1:$F$143,3,0))*10^-3*10^2*各项系数!$J$4</f>
        <v>0.10604124211469546</v>
      </c>
      <c r="LG158" s="102">
        <v>1</v>
      </c>
      <c r="LH158" s="189">
        <f t="shared" ref="LH158:LH163" si="745">LG158*LF158</f>
        <v>0.10604124211469546</v>
      </c>
      <c r="LI158" s="189">
        <f>LH158*(VLOOKUP(AN158,各项系数!$D$1:$F$143,2,0))</f>
        <v>1.0604124211469546</v>
      </c>
      <c r="LJ158" s="235">
        <f>各项系数!$F$76/4*($NI158^2-$NF158^2)*10^-2*(VLOOKUP(AN158,各项系数!$D$1:$F$143,3,0))*10^-3*10^2*各项系数!$J$4</f>
        <v>0.10714405423344101</v>
      </c>
      <c r="LK158" s="102">
        <v>1</v>
      </c>
      <c r="LL158" s="189">
        <f t="shared" ref="LL158:LL163" si="746">LK158*LJ158</f>
        <v>0.10714405423344101</v>
      </c>
      <c r="LM158" s="189">
        <f>LL158*(VLOOKUP(AN158,各项系数!$D$1:$F$143,2,0))</f>
        <v>1.07144054233441</v>
      </c>
      <c r="LN158" s="189">
        <f>各项系数!$F$76/4*($NH158^2-$NE158^2)*10^-2*(VLOOKUP($LN$9,各项系数!$D$1:$F$143,3,0))*10^-3*10^2*各项系数!$J$4</f>
        <v>0.10604124211469546</v>
      </c>
      <c r="LO158" s="353">
        <v>1</v>
      </c>
      <c r="LP158" s="189">
        <f t="shared" ref="LP158:LP163" si="747">LO158*LN158</f>
        <v>0.10604124211469546</v>
      </c>
      <c r="LQ158" s="189">
        <f>LP158*(VLOOKUP($LN$9,各项系数!$D$1:$F$143,2,0))</f>
        <v>1.16645366326165</v>
      </c>
      <c r="LR158" s="189">
        <f>各项系数!$F$76/4*($NI158^2-$NF158^2)*10^-2*(VLOOKUP($LR$9,各项系数!$D$1:$F$143,3,0))*10^-3*10^2*各项系数!$J$4</f>
        <v>0.10714405423344101</v>
      </c>
      <c r="LS158" s="353">
        <v>1</v>
      </c>
      <c r="LT158" s="189">
        <f t="shared" ref="LT158:LT163" si="748">LS158*LR158</f>
        <v>0.10714405423344101</v>
      </c>
      <c r="LU158" s="189">
        <f>LT158*(VLOOKUP($LR$9,各项系数!$D$1:$F$143,2,0))</f>
        <v>1.178584596567851</v>
      </c>
      <c r="LV158" s="227">
        <f t="shared" si="661"/>
        <v>15.29278203</v>
      </c>
      <c r="LW158" s="227">
        <f t="shared" si="662"/>
        <v>15.29278203</v>
      </c>
      <c r="LX158" s="227">
        <f t="shared" si="663"/>
        <v>4.4126380805150198</v>
      </c>
      <c r="LY158" s="227">
        <f t="shared" si="664"/>
        <v>0</v>
      </c>
      <c r="LZ158" s="374">
        <f t="shared" si="608"/>
        <v>1</v>
      </c>
      <c r="MA158" s="375">
        <f t="shared" si="609"/>
        <v>15.29278203</v>
      </c>
      <c r="MB158" s="375">
        <f t="shared" si="665"/>
        <v>1.1031595199999999</v>
      </c>
      <c r="MC158" s="227">
        <f t="shared" si="666"/>
        <v>0</v>
      </c>
      <c r="MD158" s="227">
        <f t="shared" si="667"/>
        <v>0</v>
      </c>
      <c r="ME158" s="227">
        <f t="shared" si="668"/>
        <v>0</v>
      </c>
      <c r="MF158" s="227">
        <f t="shared" si="669"/>
        <v>0</v>
      </c>
      <c r="MG158" s="374">
        <f t="shared" si="670"/>
        <v>1</v>
      </c>
      <c r="MH158" s="375">
        <f t="shared" si="610"/>
        <v>0</v>
      </c>
      <c r="MI158" s="375">
        <f t="shared" si="671"/>
        <v>0</v>
      </c>
      <c r="MJ158" s="189">
        <f t="shared" si="611"/>
        <v>1.1031595199999999</v>
      </c>
      <c r="MK158" s="189">
        <f t="shared" si="672"/>
        <v>1.1031595199999999</v>
      </c>
      <c r="ML158" s="189">
        <f t="shared" ref="ML158:ML163" si="749">$ER158*$EQ158*10^-2</f>
        <v>0</v>
      </c>
      <c r="MM158" s="189">
        <f t="shared" si="612"/>
        <v>0</v>
      </c>
      <c r="MN158" s="189">
        <f t="shared" si="613"/>
        <v>2.3031595199999999</v>
      </c>
      <c r="MO158" s="189">
        <f t="shared" si="673"/>
        <v>0</v>
      </c>
      <c r="MP158" s="189">
        <f t="shared" si="674"/>
        <v>10.824849739999999</v>
      </c>
      <c r="MQ158" s="189">
        <f t="shared" ref="MQ158:MQ163" si="750">MP158</f>
        <v>10.824849739999999</v>
      </c>
      <c r="MR158" s="246">
        <f t="shared" si="675"/>
        <v>10.824849739999999</v>
      </c>
      <c r="MS158" s="380">
        <f t="shared" si="614"/>
        <v>11.00084974</v>
      </c>
      <c r="MT158" s="380">
        <f t="shared" si="615"/>
        <v>11.16084974</v>
      </c>
      <c r="MU158" s="380">
        <f t="shared" si="616"/>
        <v>12.200849739999999</v>
      </c>
      <c r="MV158" s="380">
        <f t="shared" si="617"/>
        <v>14.00084974</v>
      </c>
      <c r="MW158" s="380">
        <f t="shared" si="618"/>
        <v>14.16084974</v>
      </c>
      <c r="MX158" s="254">
        <f t="shared" si="619"/>
        <v>1.70315952</v>
      </c>
      <c r="MY158" s="254">
        <f t="shared" si="620"/>
        <v>0</v>
      </c>
      <c r="MZ158" s="189">
        <f t="shared" si="621"/>
        <v>2.90315952</v>
      </c>
      <c r="NA158" s="189">
        <f t="shared" si="622"/>
        <v>0</v>
      </c>
      <c r="NB158" s="189">
        <f t="shared" si="676"/>
        <v>13.64484974</v>
      </c>
      <c r="NC158" s="254">
        <f t="shared" ref="NC158:NC163" si="751">NB158</f>
        <v>13.64484974</v>
      </c>
      <c r="ND158" s="246">
        <f t="shared" si="677"/>
        <v>13.64484974</v>
      </c>
      <c r="NE158" s="386">
        <f t="shared" si="678"/>
        <v>13.88484974</v>
      </c>
      <c r="NF158" s="380">
        <f t="shared" si="623"/>
        <v>14.04484974</v>
      </c>
      <c r="NG158" s="387">
        <f t="shared" si="624"/>
        <v>15.084849739999999</v>
      </c>
      <c r="NH158" s="254">
        <f t="shared" si="625"/>
        <v>16.88484974</v>
      </c>
      <c r="NI158" s="380">
        <f t="shared" si="626"/>
        <v>17.04484974</v>
      </c>
      <c r="NK158" s="388">
        <f t="shared" si="627"/>
        <v>0.3109223642722857</v>
      </c>
      <c r="NL158" s="388">
        <f t="shared" si="628"/>
        <v>10.497768113060106</v>
      </c>
      <c r="NM158" s="388">
        <f t="shared" si="629"/>
        <v>0.3109223642722857</v>
      </c>
      <c r="NN158" s="388">
        <f t="shared" si="630"/>
        <v>10.583931166734413</v>
      </c>
      <c r="NO158" s="388">
        <f t="shared" si="631"/>
        <v>0.55102805597788196</v>
      </c>
      <c r="NP158" s="388">
        <f t="shared" si="632"/>
        <v>11.856245898573553</v>
      </c>
      <c r="NQ158" s="388">
        <f t="shared" si="633"/>
        <v>0.55102805597788196</v>
      </c>
      <c r="NR158" s="388">
        <f t="shared" si="634"/>
        <v>11.96228714068825</v>
      </c>
      <c r="NS158" s="388">
        <f t="shared" si="635"/>
        <v>0.32640046381974508</v>
      </c>
      <c r="NT158" s="388">
        <f t="shared" si="636"/>
        <v>0.32640046381974508</v>
      </c>
      <c r="NU158" s="388">
        <f t="shared" si="637"/>
        <v>0.57053462266841015</v>
      </c>
      <c r="NV158" s="388">
        <f t="shared" si="638"/>
        <v>0.57053462266841015</v>
      </c>
      <c r="NW158">
        <f t="shared" si="639"/>
        <v>0.48106797832936332</v>
      </c>
      <c r="NX158">
        <f>各项系数!$M$9*NK158</f>
        <v>9.3276709281685702E-2</v>
      </c>
      <c r="NY158">
        <f t="shared" si="640"/>
        <v>0.32640046381974508</v>
      </c>
    </row>
    <row r="159" spans="1:389" ht="15" hidden="1" customHeight="1">
      <c r="A159" s="69"/>
      <c r="B159" s="70"/>
      <c r="C159" s="69"/>
      <c r="D159" s="102" t="s">
        <v>276</v>
      </c>
      <c r="E159" s="61">
        <f t="shared" si="687"/>
        <v>14.691797600000001</v>
      </c>
      <c r="F159" s="405">
        <f t="shared" si="693"/>
        <v>110.31595161029</v>
      </c>
      <c r="G159" s="16"/>
      <c r="H159" s="16"/>
      <c r="I159" s="145">
        <v>0</v>
      </c>
      <c r="J159" s="16"/>
      <c r="K159" s="16"/>
      <c r="L159" s="97" t="s">
        <v>469</v>
      </c>
      <c r="M159" s="103">
        <f t="shared" si="582"/>
        <v>0.6</v>
      </c>
      <c r="N159" s="103">
        <f t="shared" si="583"/>
        <v>0</v>
      </c>
      <c r="O159" s="53">
        <f t="shared" si="703"/>
        <v>0.08</v>
      </c>
      <c r="P159" s="99">
        <v>0.1</v>
      </c>
      <c r="Q159" s="133">
        <f t="shared" si="700"/>
        <v>0.1</v>
      </c>
      <c r="R159" s="406">
        <v>0.8</v>
      </c>
      <c r="S159" s="142" t="str">
        <f>各项系数!$D$43</f>
        <v>钢带</v>
      </c>
      <c r="T159" s="102">
        <v>0.2</v>
      </c>
      <c r="U159" s="62">
        <v>4</v>
      </c>
      <c r="V159" s="143"/>
      <c r="W159" s="141">
        <f t="shared" si="702"/>
        <v>1.5</v>
      </c>
      <c r="X159" s="135">
        <f t="shared" si="701"/>
        <v>0.2</v>
      </c>
      <c r="Y159" s="135"/>
      <c r="Z159" s="168"/>
      <c r="AA159" s="153">
        <v>1</v>
      </c>
      <c r="AB159" s="153">
        <f>PI()*EJ159*EJ159/4*EH159*(1-H159)*AA159*各项系数!$F$5*各项系数!$J$4*10^-7</f>
        <v>8.4545666936336993E-3</v>
      </c>
      <c r="AC159" s="153">
        <f t="shared" si="704"/>
        <v>110.31595161029</v>
      </c>
      <c r="AD159" s="153">
        <f t="shared" si="584"/>
        <v>0.95579886989884189</v>
      </c>
      <c r="AE159" s="153">
        <f>POWER(4*EU159/PI()/EG159/10^-7/EH159/(1-H159)/各项系数!$F$5/各项系数!$J$4,0.5)</f>
        <v>110.31595161029</v>
      </c>
      <c r="AF159" s="69">
        <v>1</v>
      </c>
      <c r="AG159" s="69">
        <f>IF(EM159=0,0,PI()*ER159*ER159/4*EP159*(1-K159)*(1+AF159)*各项系数!$F$5*各项系数!$J$4*10^-7)</f>
        <v>0</v>
      </c>
      <c r="AH159" s="69">
        <f t="shared" si="705"/>
        <v>0</v>
      </c>
      <c r="AI159" s="69">
        <f t="shared" si="641"/>
        <v>0</v>
      </c>
      <c r="AJ159" s="69">
        <f>IF(OR(EP159="",EP159=0),0,POWER(4*EW159/PI()/EO159/10^-7/EP159/(1-K159)/各项系数!$F$5/各项系数!$J$4,0.5))</f>
        <v>0</v>
      </c>
      <c r="AK159" s="69" t="str">
        <f t="shared" si="585"/>
        <v>√</v>
      </c>
      <c r="AL159" s="69">
        <f t="shared" si="706"/>
        <v>13.546816072442592</v>
      </c>
      <c r="AM159" s="188">
        <f t="shared" si="707"/>
        <v>1</v>
      </c>
      <c r="AN159" s="97" t="s">
        <v>486</v>
      </c>
      <c r="AO159" s="196">
        <f>AP159+各项系数!$M$9*$NK159</f>
        <v>13.281192227884894</v>
      </c>
      <c r="AP159" s="196">
        <f>AQ159*(1+$BI159+(VLOOKUP($AM159,$A$12:$B$323,2,0))+各项系数!$J$6+各项系数!$M$5)*(1+$E$2)</f>
        <v>13.175793160671125</v>
      </c>
      <c r="AQ159" s="197">
        <f>AR159+各项系数!$L$9*$NK159</f>
        <v>12.927583556388466</v>
      </c>
      <c r="AR159" s="197">
        <f>AS159*(1+$BJ159+各项系数!$J$5+各项系数!$L$5)</f>
        <v>12.822184489174697</v>
      </c>
      <c r="AS159" s="197">
        <f t="shared" si="642"/>
        <v>12.329023547283363</v>
      </c>
      <c r="AT159" s="196">
        <f>AU159+各项系数!$M$9*$NM159</f>
        <v>13.933547275194762</v>
      </c>
      <c r="AU159" s="196">
        <f>AV159*(1+$BI159+(VLOOKUP($AM159,$A$12:$B$323,2,0))+各项系数!$J$6+各项系数!$M$5)*(1+$E$2)</f>
        <v>13.828148207980993</v>
      </c>
      <c r="AV159" s="197">
        <f>AW159+各项系数!$L$9*$NM159</f>
        <v>13.567649340640692</v>
      </c>
      <c r="AW159" s="197">
        <f>AX159*(1+$BJ159+各项系数!$J$5+各项系数!$L$5)</f>
        <v>13.462250273426923</v>
      </c>
      <c r="AX159" s="197">
        <f t="shared" si="643"/>
        <v>12.944471416756656</v>
      </c>
      <c r="AY159" s="196">
        <f>AZ159+各项系数!$M$9*$NS159</f>
        <v>14.479320537188958</v>
      </c>
      <c r="AZ159" s="196">
        <f>BA159*(1+$BI159+(VLOOKUP($AM159,$A$12:$B$214,2,0))+各项系数!$J$6+各项系数!$M$5)*(1+$E$2)</f>
        <v>14.368988498423894</v>
      </c>
      <c r="BA159" s="197">
        <f>BB159+各项系数!$L$9*$NS159</f>
        <v>14.098301116977918</v>
      </c>
      <c r="BB159" s="197">
        <f>BC159*(1+$BJ159+各项系数!$J$5+各项系数!$L$5)</f>
        <v>13.987969078212855</v>
      </c>
      <c r="BC159" s="199">
        <f t="shared" si="644"/>
        <v>13.449970267512359</v>
      </c>
      <c r="BD159" s="196">
        <f>BE159+各项系数!$M$9*$NS159</f>
        <v>15.139587835030136</v>
      </c>
      <c r="BE159" s="196">
        <f>BF159*(1+$BI159+(VLOOKUP($AM159,$A$12:$B$214,2,0))+各项系数!$J$6+各项系数!$M$5)*(1+$E$2)</f>
        <v>15.029255796265073</v>
      </c>
      <c r="BF159" s="197">
        <f>BG159+各项系数!$L$9*$NS159</f>
        <v>14.746130098376248</v>
      </c>
      <c r="BG159" s="197">
        <f>BH159*(1+$BJ159+各项系数!$J$5+各项系数!$L$5)</f>
        <v>14.635798059611185</v>
      </c>
      <c r="BH159" s="199">
        <f t="shared" si="645"/>
        <v>14.072882749626139</v>
      </c>
      <c r="BI159" s="213"/>
      <c r="BJ159" s="208">
        <f t="shared" si="695"/>
        <v>0.02</v>
      </c>
      <c r="BK159" s="102" t="s">
        <v>514</v>
      </c>
      <c r="BL159" s="196">
        <f>BM159+各项系数!$M$9*$NM159</f>
        <v>13.504154430575637</v>
      </c>
      <c r="BM159" s="196">
        <f>BN159*(1+$CF159+(VLOOKUP($AM159,$A$12:$B$323,2,0))+各项系数!$J$6+各项系数!$M$5)*(1+$E$2)</f>
        <v>13.398755363361868</v>
      </c>
      <c r="BN159" s="197">
        <f>BO159+各项系数!$L$9*$NM159</f>
        <v>13.146345529201204</v>
      </c>
      <c r="BO159" s="197">
        <f>BP159*(1+$CG159+各项系数!$J$5+各项系数!$L$5)</f>
        <v>13.040946461987435</v>
      </c>
      <c r="BP159" s="197">
        <f t="shared" si="646"/>
        <v>12.419949011416604</v>
      </c>
      <c r="BQ159" s="196">
        <f>BR159+各项系数!$M$9*$NM159</f>
        <v>14.065477327874348</v>
      </c>
      <c r="BR159" s="196">
        <f>BS159*(1+$CF159+(VLOOKUP($AM159,$A$12:$B$323,2,0))+各项系数!$J$6+各项系数!$M$5)*(1+$E$2)</f>
        <v>13.960078260660579</v>
      </c>
      <c r="BS159" s="197">
        <f>BT159+各项系数!$L$9*$NM159</f>
        <v>13.697094054808259</v>
      </c>
      <c r="BT159" s="197">
        <f>BU159*(1+$CG159+各项系数!$J$5+各项系数!$L$5)</f>
        <v>13.59169498759449</v>
      </c>
      <c r="BU159" s="197">
        <f t="shared" si="647"/>
        <v>12.944471416756656</v>
      </c>
      <c r="BV159" s="196">
        <f>BW159+各项系数!$M$9*$NT159</f>
        <v>14.610859260855465</v>
      </c>
      <c r="BW159" s="196">
        <f>BX159*(1+$CF159+(VLOOKUP($AM159,$A$12:$B$214,2,0))+各项系数!$J$6+各项系数!$M$5)*(1+$E$2)</f>
        <v>14.500527222090401</v>
      </c>
      <c r="BX159" s="197">
        <f>BY159+各项系数!$L$9*$NT$12</f>
        <v>14.227361874107537</v>
      </c>
      <c r="BY159" s="197">
        <f>BZ159*(1+$CG159+各项系数!$J$5+各项系数!$L$5)</f>
        <v>14.219098470952563</v>
      </c>
      <c r="BZ159" s="199">
        <f t="shared" si="586"/>
        <v>13.541998543764345</v>
      </c>
      <c r="CA159" s="196">
        <f>CB159+各项系数!$M$9*$NT159</f>
        <v>15.178990302600521</v>
      </c>
      <c r="CB159" s="196">
        <f>CC159*(1+$CF159+(VLOOKUP($AM159,$A$12:$B$214,2,0))+各项系数!$J$6+各项系数!$M$5)*(1+$E$2)</f>
        <v>15.068658263835458</v>
      </c>
      <c r="CC159" s="197">
        <f>CD159+各项系数!$L$9*$NT$12</f>
        <v>14.78479029026242</v>
      </c>
      <c r="CD159" s="197">
        <f>CE159*(1+$CG159+各项系数!$J$5+各项系数!$L$5)</f>
        <v>14.776526887107446</v>
      </c>
      <c r="CE159" s="199">
        <f t="shared" si="648"/>
        <v>14.072882749626139</v>
      </c>
      <c r="CF159" s="213">
        <f t="shared" si="514"/>
        <v>0</v>
      </c>
      <c r="CG159" s="213">
        <f t="shared" si="587"/>
        <v>0.03</v>
      </c>
      <c r="CH159" s="102"/>
      <c r="CI159" s="196">
        <f>CJ159+各项系数!$M$9*$NO159</f>
        <v>15.189474260802378</v>
      </c>
      <c r="CJ159" s="196">
        <f>CK159*(1+$DC159+(VLOOKUP($AM159,$A$12:$B$323,2,0))+各项系数!$J$6+各项系数!$M$5)*(1+$E$2)+各项系数!$M$9*$NK159</f>
        <v>15.009562759748636</v>
      </c>
      <c r="CK159" s="197">
        <f>CL159+各项系数!$L$9*$NO159</f>
        <v>14.623394517793237</v>
      </c>
      <c r="CL159" s="197">
        <f>CM159*(1+$DD159+各项系数!$J$5+各项系数!$L$5)</f>
        <v>14.443483016739496</v>
      </c>
      <c r="CM159" s="197">
        <f t="shared" si="588"/>
        <v>13.887964439172592</v>
      </c>
      <c r="CN159" s="196">
        <f>CO159+各项系数!$M$9*$NO159</f>
        <v>15.617976234160752</v>
      </c>
      <c r="CO159" s="196">
        <f>CP159*(1+$DC159+(VLOOKUP($AM159,$A$12:$B$323,2,0))+各项系数!$J$6+各项系数!$M$5)*(1+$E$2)+各项系数!$M$9*$NK159</f>
        <v>15.43806473310701</v>
      </c>
      <c r="CP159" s="197">
        <f>CQ159+各项系数!$L$9*$NO159</f>
        <v>15.0438242404761</v>
      </c>
      <c r="CQ159" s="197">
        <f>CR159*(1+$DD159+各项系数!$J$5+各项系数!$L$5)</f>
        <v>14.863912739422359</v>
      </c>
      <c r="CR159" s="197">
        <f t="shared" si="589"/>
        <v>14.292223787906114</v>
      </c>
      <c r="CS159" s="196">
        <f>CT159+各项系数!$M$9*$NU159</f>
        <v>16.591013488537985</v>
      </c>
      <c r="CT159" s="196">
        <f t="shared" si="590"/>
        <v>16.404885046793591</v>
      </c>
      <c r="CU159" s="197">
        <f>CV159+各项系数!$L$9*$NU159</f>
        <v>16.095844826131859</v>
      </c>
      <c r="CV159" s="197">
        <f>CW159*(1+$DD159+各项系数!$J$5+各项系数!$L$5)</f>
        <v>15.909716384387464</v>
      </c>
      <c r="CW159" s="199">
        <f t="shared" si="591"/>
        <v>15.297804215757177</v>
      </c>
      <c r="CX159" s="196">
        <f>CY159+各项系数!$M$9*$NU159</f>
        <v>17.402800384053815</v>
      </c>
      <c r="CY159" s="196">
        <f t="shared" si="592"/>
        <v>17.216671942309421</v>
      </c>
      <c r="CZ159" s="197">
        <f>DA159+各项系数!$L$9*$NU159</f>
        <v>16.892339032878159</v>
      </c>
      <c r="DA159" s="197">
        <f>DB159*(1+$DD159+各项系数!$J$5+各项系数!$L$5)</f>
        <v>16.706210591133765</v>
      </c>
      <c r="DB159" s="199">
        <f t="shared" si="593"/>
        <v>16.063664029936312</v>
      </c>
      <c r="DC159" s="213">
        <f t="shared" si="698"/>
        <v>0</v>
      </c>
      <c r="DD159" s="213">
        <f t="shared" si="594"/>
        <v>0.02</v>
      </c>
      <c r="DE159" s="53" t="s">
        <v>498</v>
      </c>
      <c r="DF159" s="53" t="s">
        <v>513</v>
      </c>
      <c r="DG159" s="196">
        <f>DH159+各项系数!$M$9*$NQ159</f>
        <v>15.450925739798743</v>
      </c>
      <c r="DH159" s="196">
        <f>DI159*(1+$EA159+(VLOOKUP($AM159,$A$12:$B$323,2,0))+各项系数!$J$6+各项系数!$M$5)*(1+$E$2)+各项系数!$M$9*$NK159</f>
        <v>15.271014238745002</v>
      </c>
      <c r="DI159" s="197">
        <f>DJ159+各项系数!$L$9*$NQ159</f>
        <v>14.879920694202543</v>
      </c>
      <c r="DJ159" s="197">
        <f>DK159*(1+$EB159+各项系数!$J$5+各项系数!$L$5)</f>
        <v>14.700009193148802</v>
      </c>
      <c r="DK159" s="197">
        <f t="shared" si="595"/>
        <v>14.00000875537981</v>
      </c>
      <c r="DL159" s="196">
        <f>DM159+各项系数!$M$9*$NQ159</f>
        <v>16.142624603245025</v>
      </c>
      <c r="DM159" s="196">
        <f>DN159*(1+$EA159+(VLOOKUP($AM159,$A$12:$B$323,2,0))+各项系数!$J$6+各项系数!$M$5)*(1+$E$2)+各项系数!$M$9*$NK159</f>
        <v>15.962713102191284</v>
      </c>
      <c r="DN159" s="197">
        <f>DO159+各项系数!$L$9*$NQ159</f>
        <v>15.558589123800544</v>
      </c>
      <c r="DO159" s="197">
        <f>DP159*(1+$EB159+各项系数!$J$5+各项系数!$L$5)</f>
        <v>15.378677622746803</v>
      </c>
      <c r="DP159" s="197">
        <f t="shared" si="596"/>
        <v>14.646359640711241</v>
      </c>
      <c r="DQ159" s="196">
        <f>DR159+各项系数!$M$9*$NV159</f>
        <v>16.868014239954292</v>
      </c>
      <c r="DR159" s="196">
        <f t="shared" si="597"/>
        <v>16.681885798209898</v>
      </c>
      <c r="DS159" s="197">
        <f>DT159+各项系数!$L$9*$NV159</f>
        <v>16.36762735303169</v>
      </c>
      <c r="DT159" s="197">
        <f>DU159*(1+$EB159+各项系数!$J$5+各项系数!$L$5)</f>
        <v>16.181498911287296</v>
      </c>
      <c r="DU159" s="199">
        <f t="shared" si="598"/>
        <v>15.41095134408314</v>
      </c>
      <c r="DV159" s="196">
        <f>DW159+各项系数!$M$9*$NV159</f>
        <v>16.455452164186095</v>
      </c>
      <c r="DW159" s="196">
        <f t="shared" si="599"/>
        <v>16.269323722441701</v>
      </c>
      <c r="DX159" s="197">
        <f>DY159+各项系数!$L$9*$NV159</f>
        <v>15.962837247293661</v>
      </c>
      <c r="DY159" s="197">
        <f>DZ159*(1+$EB159+各项系数!$J$5+各项系数!$L$5)</f>
        <v>15.776708805549267</v>
      </c>
      <c r="DZ159" s="199">
        <f t="shared" si="600"/>
        <v>15.025436957665969</v>
      </c>
      <c r="EA159" s="213">
        <f t="shared" si="699"/>
        <v>0</v>
      </c>
      <c r="EB159" s="213">
        <f t="shared" si="601"/>
        <v>0.03</v>
      </c>
      <c r="EC159" s="235">
        <f t="shared" si="649"/>
        <v>19</v>
      </c>
      <c r="ED159" s="235" t="str">
        <f t="shared" si="708"/>
        <v>19*1</v>
      </c>
      <c r="EE159" s="189">
        <f t="shared" si="709"/>
        <v>1</v>
      </c>
      <c r="EF159" s="189">
        <f>LOOKUP(EH159,{1,7,10,14,19,24,30,37,48,61},{1,"1+6","2+8","4+10","1+6+12","2+8+14","4+10+16","1+6+12+18","3+9+15+21","1+6+12+18+24"})</f>
        <v>1</v>
      </c>
      <c r="EG159" s="188">
        <f t="shared" si="602"/>
        <v>19</v>
      </c>
      <c r="EH159" s="197">
        <f>VLOOKUP(EE159,各项系数!$B$87:$C$124,2,0)</f>
        <v>1</v>
      </c>
      <c r="EI159" s="188">
        <f>IF(EH159=0,0,VLOOKUP(EH159,各项系数!$D$142:$E$195,2,0))*1</f>
        <v>1</v>
      </c>
      <c r="EJ159" s="238">
        <f t="shared" si="650"/>
        <v>110.31595161029</v>
      </c>
      <c r="EK159" s="189">
        <f t="shared" si="689"/>
        <v>0</v>
      </c>
      <c r="EL159" s="189">
        <f t="shared" si="603"/>
        <v>0</v>
      </c>
      <c r="EM159" s="189">
        <f t="shared" si="690"/>
        <v>0</v>
      </c>
      <c r="EN159" s="189">
        <f>IF(EP159=0,0,LOOKUP(EP159,{1,7,10,14,19,24,30,37,48,61},{1,"1+6","2+8","4+10","1+6+12","2+8+14","4+10+16","1+6+12+18","3+9+15+21","1+6+12+18+24"}))</f>
        <v>0</v>
      </c>
      <c r="EO159" s="189">
        <f t="shared" si="691"/>
        <v>0</v>
      </c>
      <c r="EP159" s="189">
        <f>IF(EM159=0,0,IF(EM159&lt;10,1,IF(AND(EM159&gt;=10,EM159&lt;=35),7,LOOKUP(EM159,{50,70,95,120,150,185,240,300},{10,14,19,24,30,37,48,61})*1)))</f>
        <v>0</v>
      </c>
      <c r="EQ159" s="189">
        <f>IF(EP159=0,0,VLOOKUP(EP159,各项系数!$D$142:$E$195,2,0))*1</f>
        <v>0</v>
      </c>
      <c r="ER159" s="53">
        <f t="shared" si="710"/>
        <v>0</v>
      </c>
      <c r="ES159" s="412">
        <f t="shared" si="692"/>
        <v>19</v>
      </c>
      <c r="ET159" s="189">
        <f>VLOOKUP(ES159,各项系数!$D$142:$E$195,2,0)*1</f>
        <v>5</v>
      </c>
      <c r="EU159" s="243">
        <f>((各项系数!$F$76/4*$EJ159^2*$EG159*$EH159*1*10^-7)*(1-$H159)*AA159)*(VLOOKUP($EY$9,各项系数!$D$4:$F$143,3,0))*各项系数!$J$4</f>
        <v>0.16063676717904032</v>
      </c>
      <c r="EV159" s="244">
        <f>EU159*(VLOOKUP($EY$9,各项系数!$D$4:$F$143,2,0))</f>
        <v>10.521708250227141</v>
      </c>
      <c r="EW159" s="252">
        <f>(IF($EO159=0,0,(各项系数!$F$76/4*$ER159^2*$EO159*$EP159*1*10^-7))*(1-$K159)*$AF159)*(VLOOKUP($EY$9,各项系数!$D$4:$F$143,3,0))*各项系数!$J$4</f>
        <v>0</v>
      </c>
      <c r="EX159" s="253">
        <f>EW159*(VLOOKUP($EY$9,各项系数!$D$4:$F$143,2,0))</f>
        <v>0</v>
      </c>
      <c r="EY159" s="189">
        <f>((各项系数!$F$76/4*$EJ159^2*$EG159*$EH159*1*10^-7)*(1-$H159)*AA159+IF($EO159=0,0,(各项系数!$F$76/4*$ER159^2*$EO159*$EP159*1*10^-7))*(1-$K159)*$AF159)*(VLOOKUP($EY$9,各项系数!$D$4:$F$143,3,0))*各项系数!$J$4</f>
        <v>0.16063676717904032</v>
      </c>
      <c r="EZ159" s="102">
        <v>1</v>
      </c>
      <c r="FA159" s="189">
        <f t="shared" si="711"/>
        <v>0.16063676717904032</v>
      </c>
      <c r="FB159" s="254">
        <f>FA159*(VLOOKUP($EY$9,各项系数!$D$4:$F$143,2,0))</f>
        <v>10.521708250227141</v>
      </c>
      <c r="FC159" s="255"/>
      <c r="FD159" s="235">
        <f>各项系数!$F$76/4*($MN159^2-MK159^2)*10^-2*(VLOOKUP(L159,各项系数!$D$1:$F$143,3,0))*10^-3*10^2*$EG159*各项系数!$J$4</f>
        <v>6.6761458570048518E-2</v>
      </c>
      <c r="FE159" s="262">
        <f>FD159*VLOOKUP(L159,各项系数!$D$1:$F$143,2,0)</f>
        <v>0.76775677355555794</v>
      </c>
      <c r="FF159" s="188">
        <f>各项系数!$F$76/4*($MO159^2-ML159^2)*10^-2*(VLOOKUP(L159,各项系数!$D$1:$F$143,3,0))*10^-3*10^2*$EO159*各项系数!$J$4</f>
        <v>0</v>
      </c>
      <c r="FG159" s="262">
        <f>FF159*VLOOKUP(L159,各项系数!$D$1:$F$143,2,0)</f>
        <v>0</v>
      </c>
      <c r="FH159" s="235">
        <f t="shared" si="651"/>
        <v>6.6761458570048518E-2</v>
      </c>
      <c r="FI159" s="102">
        <v>1</v>
      </c>
      <c r="FJ159" s="189">
        <f t="shared" si="712"/>
        <v>6.6761458570048518E-2</v>
      </c>
      <c r="FK159" s="262">
        <f>FJ159*VLOOKUP(L159,各项系数!$D$1:$F$143,2,0)</f>
        <v>0.76775677355555794</v>
      </c>
      <c r="FL159" s="235"/>
      <c r="FM159" s="102"/>
      <c r="FN159" s="189"/>
      <c r="FO159" s="262"/>
      <c r="FP159" s="282">
        <f t="shared" si="713"/>
        <v>6.6761458570048518E-2</v>
      </c>
      <c r="FQ159" s="282">
        <f t="shared" si="714"/>
        <v>0.76775677355555794</v>
      </c>
      <c r="FR159" s="283">
        <f>各项系数!$F$76/4*($MQ159^2-$MN159^2*$EG159-$MO159^2*$EO159)*10^-2</f>
        <v>0.24997073629236016</v>
      </c>
      <c r="FS159" s="284">
        <f t="shared" si="652"/>
        <v>1</v>
      </c>
      <c r="FT159" s="285">
        <f t="shared" si="604"/>
        <v>0.24997073629236016</v>
      </c>
      <c r="FU159" s="302">
        <f>$FT159*(VLOOKUP($FT$9,各项系数!$D$1:$F$143,3,0))*10^-3*10^2*各项系数!$J$55</f>
        <v>2.9846505913307803E-2</v>
      </c>
      <c r="FV159" s="303">
        <v>1</v>
      </c>
      <c r="FW159" s="304">
        <f t="shared" si="715"/>
        <v>2.9846505913307803E-2</v>
      </c>
      <c r="FX159" s="285">
        <f>FW159*(VLOOKUP($FT$9,各项系数!$D$1:$F$143,2,0))</f>
        <v>8.9539517739923413E-2</v>
      </c>
      <c r="FY159" s="302">
        <f>IF($BK159&lt;&gt;$FY$9,0,各项系数!$F$76/4*($MS159^2-$MQ159^2)*10^-2*(VLOOKUP($FY$9,各项系数!$D$1:$F$143,3,0))*10^-3*10^2)*各项系数!$J$4</f>
        <v>0</v>
      </c>
      <c r="FZ159" s="303">
        <v>1</v>
      </c>
      <c r="GA159" s="304">
        <f t="shared" si="716"/>
        <v>0</v>
      </c>
      <c r="GB159" s="285">
        <f>GA159*(VLOOKUP($FY$9,各项系数!$D$1:$F$143,2,0))</f>
        <v>0</v>
      </c>
      <c r="GC159" s="302">
        <f>IF($BK159&lt;&gt;$GC$9,0,各项系数!$F$76/4*($MS159^2-$MQ159^2)*10^-2*(VLOOKUP($GC$9,各项系数!$D$1:$F$143,3,0))*10^-3*10^2)*各项系数!$J$4</f>
        <v>3.1600282502588098E-3</v>
      </c>
      <c r="GD159" s="303">
        <v>1</v>
      </c>
      <c r="GE159" s="304">
        <f t="shared" si="717"/>
        <v>3.1600282502588098E-3</v>
      </c>
      <c r="GF159" s="285">
        <f>GE159*(VLOOKUP($GC$9,各项系数!$D$1:$F$143,2,0))</f>
        <v>4.0764364428338647E-2</v>
      </c>
      <c r="GG159" s="302">
        <f>IF($BK159&lt;&gt;$GG$9,0,各项系数!$F$76/4*($MS159^2-$MQ159^2)*10^-2*(VLOOKUP($GG$9,各项系数!$D$1:$F$143,3,0))*10^-3*10^2)*各项系数!$J$4</f>
        <v>0</v>
      </c>
      <c r="GH159" s="303">
        <v>1</v>
      </c>
      <c r="GI159" s="304">
        <f t="shared" si="718"/>
        <v>0</v>
      </c>
      <c r="GJ159" s="285">
        <f>GI159*(VLOOKUP($GG$9,各项系数!$D$1:$F$143,2,0))</f>
        <v>0</v>
      </c>
      <c r="GK159" s="302">
        <f>IF($BK159&lt;&gt;$GK$9,0,各项系数!$F$76/4*($MS159^2-$MQ159^2)*10^-2*(VLOOKUP($GK$9,各项系数!$D$1:$F$143,3,0))*10^-3*10^2)*各项系数!$J$4</f>
        <v>0</v>
      </c>
      <c r="GL159" s="303">
        <v>1</v>
      </c>
      <c r="GM159" s="304">
        <f t="shared" si="719"/>
        <v>0</v>
      </c>
      <c r="GN159" s="285">
        <f>GM159*(VLOOKUP($GK$9,各项系数!$D$1:$F$143,2,0))</f>
        <v>0</v>
      </c>
      <c r="GO159" s="304">
        <f t="shared" si="720"/>
        <v>3.1600282502588098E-3</v>
      </c>
      <c r="GP159" s="304">
        <f t="shared" si="721"/>
        <v>4.0764364428338647E-2</v>
      </c>
      <c r="GQ159" s="315">
        <f>各项系数!$F$76/4*($MU159^2-$MS159^2)*10^-2*(VLOOKUP($S159,各项系数!$D$1:$F$143,3,0))*10^-3*10^2*各项系数!$J$4</f>
        <v>0.18027950515608629</v>
      </c>
      <c r="GR159" s="303">
        <v>1</v>
      </c>
      <c r="GS159" s="304">
        <f t="shared" si="722"/>
        <v>0.18027950515608629</v>
      </c>
      <c r="GT159" s="304">
        <f t="shared" si="696"/>
        <v>0</v>
      </c>
      <c r="GU159" s="304">
        <f>ROUND($GS159*(VLOOKUP($S159,各项系数!$D$1:$F$143,2,0))+$E$3*GS159,GT159)</f>
        <v>1</v>
      </c>
      <c r="GV159" s="315">
        <f>各项系数!$F$76/4*($MT159^2-$MS159^2)*10^-2*(VLOOKUP($GV$9,各项系数!$D$1:$F$143,3,0))*10^-3*10^2*各项系数!$J$4*PI()/4*R159</f>
        <v>1.644323850431912E-2</v>
      </c>
      <c r="GW159" s="303">
        <v>1</v>
      </c>
      <c r="GX159" s="304">
        <f t="shared" si="723"/>
        <v>1.644323850431912E-2</v>
      </c>
      <c r="GY159" s="304">
        <f>$GX159*(VLOOKUP($GV$9,各项系数!$D$1:$F$143,2,0))</f>
        <v>1.1099185990415406</v>
      </c>
      <c r="GZ159" s="315">
        <f>各项系数!$F$76/4*($MV159^2-$MS159^2)*10^-2*(VLOOKUP($GZ$9,各项系数!$D$1:$F$143,3,0))*10^-3*10^2*各项系数!$J$4</f>
        <v>8.9688382988570195E-2</v>
      </c>
      <c r="HA159" s="303">
        <v>1</v>
      </c>
      <c r="HB159" s="304">
        <f t="shared" si="653"/>
        <v>8.9688382988570195E-2</v>
      </c>
      <c r="HC159" s="304">
        <f>HB159*(VLOOKUP($GZ$9,各项系数!$D$1:$F$143,2,0))</f>
        <v>1.5247025108056933</v>
      </c>
      <c r="HD159" s="315">
        <f>各项系数!$F$76/4*($MW159^2-$MT159^2)*10^-2*(VLOOKUP($HD$9,各项系数!$D$1:$F$143,3,0))*10^-3*10^2*各项系数!$J$4</f>
        <v>9.0776190860802214E-2</v>
      </c>
      <c r="HE159" s="303">
        <v>1</v>
      </c>
      <c r="HF159" s="304">
        <f t="shared" si="654"/>
        <v>9.0776190860802214E-2</v>
      </c>
      <c r="HG159" s="304">
        <f>HF159*(VLOOKUP($HD$9,各项系数!$D$1:$F$143,2,0))</f>
        <v>1.5431952446336377</v>
      </c>
      <c r="HH159" s="315">
        <f>各项系数!$F$76/4*($MV159^2-$MS159^2)*10^-2*(VLOOKUP($HH$9,各项系数!$D$1:$F$143,3,0))*10^-3*10^2*各项系数!$J$4</f>
        <v>8.9688382988570195E-2</v>
      </c>
      <c r="HI159" s="322">
        <v>1</v>
      </c>
      <c r="HJ159" s="304">
        <f t="shared" si="655"/>
        <v>8.9688382988570195E-2</v>
      </c>
      <c r="HK159" s="304">
        <f>HJ159*(VLOOKUP($HH$9,各项系数!$D$1:$F$143,2,0))</f>
        <v>1.5247025108056933</v>
      </c>
      <c r="HL159" s="315">
        <f>各项系数!$F$76/4*($MW159^2-$MT159^2)*10^-2*(VLOOKUP($HL$9,各项系数!$D$1:$F$143,3,0))*10^-3*10^2*各项系数!$J$4</f>
        <v>9.0776190860802214E-2</v>
      </c>
      <c r="HM159" s="322">
        <v>1</v>
      </c>
      <c r="HN159" s="304">
        <f t="shared" si="605"/>
        <v>9.0776190860802214E-2</v>
      </c>
      <c r="HO159" s="304">
        <f>HN159*(VLOOKUP($HL$9,各项系数!$D$1:$F$143,2,0))</f>
        <v>1.5431952446336377</v>
      </c>
      <c r="HP159" s="315">
        <f>各项系数!$F$76/4*($MV159^2-$MS159^2)*10^-2*(VLOOKUP(AN159,各项系数!$D$1:$F$143,3,0))*10^-3*10^2*各项系数!$J$4</f>
        <v>9.0925464133240111E-2</v>
      </c>
      <c r="HQ159" s="303">
        <v>1</v>
      </c>
      <c r="HR159" s="304">
        <f t="shared" si="724"/>
        <v>9.0925464133240111E-2</v>
      </c>
      <c r="HS159" s="304">
        <f>HR159*(VLOOKUP(AN159,各项系数!$D$1:$F$143,2,0))</f>
        <v>0.90925464133240108</v>
      </c>
      <c r="HT159" s="315">
        <f>各项系数!$F$76/4*($MW159^2-$MT159^2)*10^-2*(VLOOKUP(AN159,各项系数!$D$1:$F$143,3,0))*10^-3*10^2*各项系数!$J$4</f>
        <v>9.2028276251985675E-2</v>
      </c>
      <c r="HU159" s="303">
        <v>1</v>
      </c>
      <c r="HV159" s="304">
        <f t="shared" si="725"/>
        <v>9.2028276251985675E-2</v>
      </c>
      <c r="HW159" s="304">
        <f>HV159*(VLOOKUP(AN159,各项系数!$D$1:$F$143,2,0))</f>
        <v>0.92028276251985675</v>
      </c>
      <c r="HX159" s="315">
        <f>各项系数!$F$76/4*($MV159^2-$MS159^2)*10^-2*(VLOOKUP($HX$9,各项系数!$D$1:$F$143,3,0))*10^-3*10^2*各项系数!$J$4</f>
        <v>9.0925464133240111E-2</v>
      </c>
      <c r="HY159" s="322">
        <v>1</v>
      </c>
      <c r="HZ159" s="304">
        <f t="shared" si="726"/>
        <v>9.0925464133240111E-2</v>
      </c>
      <c r="IA159" s="304">
        <f>HZ159*(VLOOKUP($HX$9,各项系数!$D$1:$F$143,2,0))</f>
        <v>1.0001801054656412</v>
      </c>
      <c r="IB159" s="315">
        <f>各项系数!$F$76/4*($MW159^2-$MT159^2)*10^-2*(VLOOKUP($IB$9,各项系数!$D$1:$F$143,3,0))*10^-3*10^2*各项系数!$J$4</f>
        <v>9.2028276251985675E-2</v>
      </c>
      <c r="IC159" s="322">
        <v>1</v>
      </c>
      <c r="ID159" s="304">
        <f t="shared" si="727"/>
        <v>9.2028276251985675E-2</v>
      </c>
      <c r="IE159" s="304">
        <f>ID159*(VLOOKUP($IB$9,各项系数!$D$1:$F$143,2,0))</f>
        <v>1.0123110387718424</v>
      </c>
      <c r="IF159" s="328"/>
      <c r="IG159" s="315">
        <f t="shared" si="656"/>
        <v>3.7501282067084835E-2</v>
      </c>
      <c r="IH159" s="303">
        <v>1</v>
      </c>
      <c r="II159" s="304">
        <f t="shared" si="728"/>
        <v>3.7501282067084835E-2</v>
      </c>
      <c r="IJ159" s="304">
        <f>II159*(VLOOKUP($IG$8,各项系数!$D$1:$F$143,2,0))</f>
        <v>0.93753205167712084</v>
      </c>
      <c r="IK159" s="315">
        <f>(各项系数!$F$76/4*($MX159^2-$MK159^2)*$EG159)*10^-2*(VLOOKUP($IG$8,各项系数!$D$1:$F$143,3,0))*10^-3*10^2*各项系数!$J$4</f>
        <v>3.7501282067084835E-2</v>
      </c>
      <c r="IL159" s="303">
        <f>IK159*(VLOOKUP($IG$8,各项系数!$D$1:$F$143,2,0))</f>
        <v>0.93753205167712084</v>
      </c>
      <c r="IM159" s="304">
        <f>(各项系数!$F$76/4*(($MM159+3*$X159)^2-MM159^2)*$EO159)*10^-2*(VLOOKUP($IG$8,各项系数!$D$1:$F$143,3,0))*10^-3*10^2*各项系数!$J$4</f>
        <v>0</v>
      </c>
      <c r="IN159" s="303">
        <f>IM159*(VLOOKUP($IG$8,各项系数!$D$1:$F$143,2,0))</f>
        <v>0</v>
      </c>
      <c r="IO159" s="315">
        <f>各项系数!$F$76/4*($MZ159^2-$MX159^2)*10^-2*(VLOOKUP(L159,各项系数!$D$1:$F$143,3,0))*10^-3*10^2*$ES159*各项系数!$J$4</f>
        <v>9.0280614980030066E-2</v>
      </c>
      <c r="IP159" s="303">
        <v>1</v>
      </c>
      <c r="IQ159" s="304">
        <f t="shared" si="729"/>
        <v>9.0280614980030066E-2</v>
      </c>
      <c r="IR159" s="285">
        <f>IQ159*(VLOOKUP(L159,各项系数!$D$1:$F$143,2,0))</f>
        <v>1.0382270722703457</v>
      </c>
      <c r="IS159" s="315">
        <f>IF($L159&lt;&gt;$IS$9,0,各项系数!$F$76/4*($MZ159^2-$MX159^2)*10^-2*各项系数!$F$12*10^-3*10^2)*$ES159*各项系数!$J$4</f>
        <v>0</v>
      </c>
      <c r="IT159" s="303">
        <v>1</v>
      </c>
      <c r="IU159" s="304">
        <f t="shared" si="730"/>
        <v>0</v>
      </c>
      <c r="IV159" s="285">
        <f>IU159*各项系数!$E$12</f>
        <v>0</v>
      </c>
      <c r="IW159" s="302">
        <f t="shared" si="731"/>
        <v>9.0280614980030066E-2</v>
      </c>
      <c r="IX159" s="302">
        <f t="shared" si="732"/>
        <v>1.0382270722703457</v>
      </c>
      <c r="IY159" s="339">
        <f>各项系数!$F$76/4*($NB159^2-$MZ159^2*$EG159-$NA159^2*$EO159)*10^-2</f>
        <v>0.39717593912713811</v>
      </c>
      <c r="IZ159" s="284">
        <f t="shared" si="697"/>
        <v>1</v>
      </c>
      <c r="JA159" s="285">
        <f t="shared" si="606"/>
        <v>0.39717593912713811</v>
      </c>
      <c r="JB159" s="282">
        <f>IF($DE159&lt;&gt;$JB$9,0,$JA159*各项系数!$F$32*10^-3*10^2)*各项系数!$J$4</f>
        <v>0</v>
      </c>
      <c r="JC159" s="102">
        <v>1</v>
      </c>
      <c r="JD159" s="189">
        <f t="shared" si="733"/>
        <v>0</v>
      </c>
      <c r="JE159" s="262">
        <f>JD159*各项系数!$E$32</f>
        <v>0</v>
      </c>
      <c r="JF159" s="282">
        <f>IF($DE159&lt;&gt;$JF$9,0,$JA159*VLOOKUP($JF$9,各项系数!$D$4:$F$540,2,0)*10^-3*10^2)*各项系数!$J$4</f>
        <v>0.19759502971575119</v>
      </c>
      <c r="JG159" s="102">
        <v>1</v>
      </c>
      <c r="JH159" s="189">
        <f t="shared" si="607"/>
        <v>0.19759502971575119</v>
      </c>
      <c r="JI159" s="262">
        <f>JH159*VLOOKUP($JF$9,各项系数!$D$4:$F$540,3,0)</f>
        <v>0.23711403565890141</v>
      </c>
      <c r="JJ159" s="282">
        <f t="shared" si="734"/>
        <v>0.19759502971575119</v>
      </c>
      <c r="JK159" s="189">
        <f t="shared" si="735"/>
        <v>0.23711403565890141</v>
      </c>
      <c r="JL159" s="282">
        <f>IF($DF159&lt;&gt;$JL$9,0,各项系数!$F$76/4*($NE159^2-$NC159^2)*10^-2*各项系数!$F$39*10^-3*10^2)*各项系数!$J$4</f>
        <v>1.6469933633456143E-3</v>
      </c>
      <c r="JM159" s="102">
        <v>1</v>
      </c>
      <c r="JN159" s="189">
        <f t="shared" si="736"/>
        <v>1.6469933633456143E-3</v>
      </c>
      <c r="JO159" s="262">
        <f>JN159*各项系数!$E$39</f>
        <v>3.2939867266912282E-2</v>
      </c>
      <c r="JP159" s="282">
        <f>IF($DF159&lt;&gt;$JP$9,0,各项系数!$F$76/4*($NE159^2-$NC159^2)*10^-2*各项系数!$F$36*10^-3*10^2)*各项系数!$J$4</f>
        <v>0</v>
      </c>
      <c r="JQ159" s="102">
        <v>1</v>
      </c>
      <c r="JR159" s="189">
        <f t="shared" si="737"/>
        <v>0</v>
      </c>
      <c r="JS159" s="262">
        <f>JR159*各项系数!$E$36</f>
        <v>0</v>
      </c>
      <c r="JT159" s="282">
        <f>IF($DF159&lt;&gt;$JT$9,0,各项系数!$F$76/4*($NE159^2-$NC159^2)*10^-2*各项系数!$F$40*10^-3*10^2)*各项系数!$J$4</f>
        <v>0</v>
      </c>
      <c r="JU159" s="102">
        <v>1</v>
      </c>
      <c r="JV159" s="189">
        <f t="shared" si="738"/>
        <v>0</v>
      </c>
      <c r="JW159" s="262">
        <f>JV159*各项系数!$E$40</f>
        <v>0</v>
      </c>
      <c r="JX159" s="282">
        <f>IF($DF159&lt;&gt;$JX$9,0,各项系数!$F$76/4*($NE159^2-$NC159^2)*10^-2*各项系数!$F$38*10^-3*10^2)*各项系数!$J$4</f>
        <v>0</v>
      </c>
      <c r="JY159" s="102">
        <v>1</v>
      </c>
      <c r="JZ159" s="189">
        <f t="shared" si="739"/>
        <v>0</v>
      </c>
      <c r="KA159" s="262">
        <f>JZ159*各项系数!$E$38</f>
        <v>0</v>
      </c>
      <c r="KB159" s="282">
        <f>IF($DF159&lt;&gt;$KB$9,0,各项系数!$F$76/4*($NE159^2-$NC159^2)*10^-2*各项系数!$F$41*10^-3*10^2)*各项系数!$J$4</f>
        <v>0</v>
      </c>
      <c r="KC159" s="102">
        <v>1</v>
      </c>
      <c r="KD159" s="189">
        <f t="shared" si="740"/>
        <v>0</v>
      </c>
      <c r="KE159" s="262">
        <f>KD159*各项系数!$E$41</f>
        <v>0</v>
      </c>
      <c r="KF159" s="189">
        <f t="shared" si="741"/>
        <v>1.6469933633456143E-3</v>
      </c>
      <c r="KG159" s="189">
        <f t="shared" si="742"/>
        <v>3.2939867266912282E-2</v>
      </c>
      <c r="KH159" s="235">
        <f>各项系数!$F$76/4*($NG159^2-$NE159^2)*10^-2*各项系数!$F$44*10^-3*10^2*各项系数!$J$4*0.75*$U159</f>
        <v>0.67565437115683225</v>
      </c>
      <c r="KI159" s="102">
        <v>1</v>
      </c>
      <c r="KJ159" s="189">
        <f t="shared" si="743"/>
        <v>0.67565437115683225</v>
      </c>
      <c r="KK159" s="189">
        <f>ROUND(KJ159*各项系数!$E$43,GT159)</f>
        <v>4</v>
      </c>
      <c r="KL159" s="235">
        <f>各项系数!$F$76/4*($NF159^2-$NE159^2)*10^-2*各项系数!$F$46*10^-3*10^2*各项系数!$J$4*PI()/4*R159</f>
        <v>2.0723135635513028E-2</v>
      </c>
      <c r="KM159" s="102">
        <v>1</v>
      </c>
      <c r="KN159" s="189">
        <f t="shared" si="744"/>
        <v>2.0723135635513028E-2</v>
      </c>
      <c r="KO159" s="189">
        <f>KN159*各项系数!$E$46</f>
        <v>1.3988116553971295</v>
      </c>
      <c r="KP159" s="235">
        <f>各项系数!$F$76/4*($NH159^2-$NE159^2)*10^-2*(VLOOKUP($KP$9,各项系数!$D$1:$F$143,3,0))*10^-3*10^2*各项系数!$J$4</f>
        <v>0.110519903741813</v>
      </c>
      <c r="KQ159" s="102">
        <v>1</v>
      </c>
      <c r="KR159" s="189">
        <f t="shared" si="657"/>
        <v>0.110519903741813</v>
      </c>
      <c r="KS159" s="189">
        <f>KR159*(VLOOKUP($KP$9,各项系数!$D$1:$F$143,2,0))</f>
        <v>1.878838363610821</v>
      </c>
      <c r="KT159" s="235">
        <f>各项系数!$F$76/4*($NI159^2-$NF159^2)*10^-2*(VLOOKUP($KT$9,各项系数!$D$1:$F$143,3,0))*10^-3*10^2*各项系数!$J$4</f>
        <v>0.11160771161404501</v>
      </c>
      <c r="KU159" s="102">
        <v>1</v>
      </c>
      <c r="KV159" s="189">
        <f t="shared" si="658"/>
        <v>0.11160771161404501</v>
      </c>
      <c r="KW159" s="189">
        <f>KV159*(VLOOKUP($KT$9,各项系数!$D$1:$F$143,2,0))</f>
        <v>1.8973310974387652</v>
      </c>
      <c r="KX159" s="189">
        <f>各项系数!$F$76/4*($NH159^2-$NE159^2)*10^-2*(VLOOKUP($KX$9,各项系数!$D$1:$F$143,3,0))*10^-3*10^2*各项系数!$J$4</f>
        <v>0.110519903741813</v>
      </c>
      <c r="KY159" s="353">
        <v>1</v>
      </c>
      <c r="KZ159" s="189">
        <f t="shared" si="659"/>
        <v>0.110519903741813</v>
      </c>
      <c r="LA159" s="189">
        <f>KZ159*(VLOOKUP($KX$9,各项系数!$D$1:$F$143,2,0))</f>
        <v>1.878838363610821</v>
      </c>
      <c r="LB159" s="189">
        <f>各项系数!$F$76/4*($NI159^2-$NF159^2)*10^-2*(VLOOKUP($LB$9,各项系数!$D$1:$F$143,3,0))*10^-3*10^2*各项系数!$J$4</f>
        <v>0.11160771161404501</v>
      </c>
      <c r="LC159" s="353">
        <v>1</v>
      </c>
      <c r="LD159" s="189">
        <f t="shared" si="660"/>
        <v>0.11160771161404501</v>
      </c>
      <c r="LE159" s="189">
        <f>LD159*(VLOOKUP($LB$9,各项系数!$D$1:$F$143,2,0))</f>
        <v>1.8973310974387652</v>
      </c>
      <c r="LF159" s="235">
        <f>各项系数!$F$76/4*($NH159^2-$NE159^2)*10^-2*(VLOOKUP(AN159,各项系数!$D$1:$F$143,3,0))*10^-3*10^2*各项系数!$J$4</f>
        <v>0.11204431620721732</v>
      </c>
      <c r="LG159" s="102">
        <v>1</v>
      </c>
      <c r="LH159" s="189">
        <f t="shared" si="745"/>
        <v>0.11204431620721732</v>
      </c>
      <c r="LI159" s="189">
        <f>LH159*(VLOOKUP(AN159,各项系数!$D$1:$F$143,2,0))</f>
        <v>1.1204431620721731</v>
      </c>
      <c r="LJ159" s="235">
        <f>各项系数!$F$76/4*($NI159^2-$NF159^2)*10^-2*(VLOOKUP(AN159,各项系数!$D$1:$F$143,3,0))*10^-3*10^2*各项系数!$J$4</f>
        <v>0.11314712832596287</v>
      </c>
      <c r="LK159" s="102">
        <v>1</v>
      </c>
      <c r="LL159" s="189">
        <f t="shared" si="746"/>
        <v>0.11314712832596287</v>
      </c>
      <c r="LM159" s="189">
        <f>LL159*(VLOOKUP(AN159,各项系数!$D$1:$F$143,2,0))</f>
        <v>1.1314712832596288</v>
      </c>
      <c r="LN159" s="189">
        <f>各项系数!$F$76/4*($NH159^2-$NE159^2)*10^-2*(VLOOKUP($LN$9,各项系数!$D$1:$F$143,3,0))*10^-3*10^2*各项系数!$J$4</f>
        <v>0.11204431620721732</v>
      </c>
      <c r="LO159" s="353">
        <v>1</v>
      </c>
      <c r="LP159" s="189">
        <f t="shared" si="747"/>
        <v>0.11204431620721732</v>
      </c>
      <c r="LQ159" s="189">
        <f>LP159*(VLOOKUP($LN$9,各项系数!$D$1:$F$143,2,0))</f>
        <v>1.2324874782793904</v>
      </c>
      <c r="LR159" s="189">
        <f>各项系数!$F$76/4*($NI159^2-$NF159^2)*10^-2*(VLOOKUP($LR$9,各项系数!$D$1:$F$143,3,0))*10^-3*10^2*各项系数!$J$4</f>
        <v>0.11314712832596287</v>
      </c>
      <c r="LS159" s="353">
        <v>1</v>
      </c>
      <c r="LT159" s="189">
        <f t="shared" si="748"/>
        <v>0.11314712832596287</v>
      </c>
      <c r="LU159" s="189">
        <f>LT159*(VLOOKUP($LR$9,各项系数!$D$1:$F$143,2,0))</f>
        <v>1.2446184115855916</v>
      </c>
      <c r="LV159" s="227">
        <f t="shared" si="661"/>
        <v>18.16017866</v>
      </c>
      <c r="LW159" s="227">
        <f t="shared" si="662"/>
        <v>18.16017866</v>
      </c>
      <c r="LX159" s="227">
        <f t="shared" si="663"/>
        <v>4.8085608667633206</v>
      </c>
      <c r="LY159" s="227">
        <f t="shared" si="664"/>
        <v>0</v>
      </c>
      <c r="LZ159" s="374">
        <f t="shared" si="608"/>
        <v>1</v>
      </c>
      <c r="MA159" s="375">
        <f t="shared" si="609"/>
        <v>18.16017866</v>
      </c>
      <c r="MB159" s="375">
        <f t="shared" si="665"/>
        <v>1.1031595199999999</v>
      </c>
      <c r="MC159" s="227">
        <f t="shared" si="666"/>
        <v>0</v>
      </c>
      <c r="MD159" s="227">
        <f t="shared" si="667"/>
        <v>0</v>
      </c>
      <c r="ME159" s="227">
        <f t="shared" si="668"/>
        <v>0</v>
      </c>
      <c r="MF159" s="227">
        <f t="shared" si="669"/>
        <v>0</v>
      </c>
      <c r="MG159" s="374">
        <f t="shared" si="670"/>
        <v>1</v>
      </c>
      <c r="MH159" s="375">
        <f t="shared" si="610"/>
        <v>0</v>
      </c>
      <c r="MI159" s="375">
        <f t="shared" si="671"/>
        <v>0</v>
      </c>
      <c r="MJ159" s="189">
        <f t="shared" si="611"/>
        <v>1.1031595199999999</v>
      </c>
      <c r="MK159" s="189">
        <f t="shared" si="672"/>
        <v>1.1031595199999999</v>
      </c>
      <c r="ML159" s="189">
        <f t="shared" si="749"/>
        <v>0</v>
      </c>
      <c r="MM159" s="189">
        <f t="shared" si="612"/>
        <v>0</v>
      </c>
      <c r="MN159" s="189">
        <f t="shared" si="613"/>
        <v>2.3031595199999999</v>
      </c>
      <c r="MO159" s="189">
        <f t="shared" si="673"/>
        <v>0</v>
      </c>
      <c r="MP159" s="189">
        <f t="shared" si="674"/>
        <v>11.515797600000001</v>
      </c>
      <c r="MQ159" s="189">
        <f t="shared" si="750"/>
        <v>11.515797600000001</v>
      </c>
      <c r="MR159" s="246">
        <f t="shared" si="675"/>
        <v>11.515797600000001</v>
      </c>
      <c r="MS159" s="380">
        <f t="shared" si="614"/>
        <v>11.691797600000001</v>
      </c>
      <c r="MT159" s="380">
        <f t="shared" si="615"/>
        <v>11.851797600000001</v>
      </c>
      <c r="MU159" s="380">
        <f t="shared" si="616"/>
        <v>12.8917976</v>
      </c>
      <c r="MV159" s="380">
        <f t="shared" si="617"/>
        <v>14.691797600000001</v>
      </c>
      <c r="MW159" s="380">
        <f t="shared" si="618"/>
        <v>14.851797600000001</v>
      </c>
      <c r="MX159" s="254">
        <f t="shared" si="619"/>
        <v>1.70315952</v>
      </c>
      <c r="MY159" s="254">
        <f t="shared" si="620"/>
        <v>0</v>
      </c>
      <c r="MZ159" s="189">
        <f t="shared" si="621"/>
        <v>2.90315952</v>
      </c>
      <c r="NA159" s="189">
        <f t="shared" si="622"/>
        <v>0</v>
      </c>
      <c r="NB159" s="189">
        <f t="shared" si="676"/>
        <v>14.515797600000001</v>
      </c>
      <c r="NC159" s="254">
        <f t="shared" si="751"/>
        <v>14.515797600000001</v>
      </c>
      <c r="ND159" s="246">
        <f t="shared" si="677"/>
        <v>14.515797600000001</v>
      </c>
      <c r="NE159" s="386">
        <f t="shared" si="678"/>
        <v>14.755797600000001</v>
      </c>
      <c r="NF159" s="380">
        <f t="shared" si="623"/>
        <v>14.915797600000001</v>
      </c>
      <c r="NG159" s="387">
        <f t="shared" si="624"/>
        <v>15.9557976</v>
      </c>
      <c r="NH159" s="254">
        <f t="shared" si="625"/>
        <v>17.755797600000001</v>
      </c>
      <c r="NI159" s="380">
        <f t="shared" si="626"/>
        <v>17.915797600000001</v>
      </c>
      <c r="NK159" s="388">
        <f t="shared" si="627"/>
        <v>0.35133022404589553</v>
      </c>
      <c r="NL159" s="388">
        <f t="shared" si="628"/>
        <v>12.329023547283363</v>
      </c>
      <c r="NM159" s="388">
        <f t="shared" si="629"/>
        <v>0.35133022404589553</v>
      </c>
      <c r="NN159" s="388">
        <f t="shared" si="630"/>
        <v>12.419949011416604</v>
      </c>
      <c r="NO159" s="388">
        <f t="shared" si="631"/>
        <v>0.59970500351246925</v>
      </c>
      <c r="NP159" s="388">
        <f t="shared" si="632"/>
        <v>13.887964439172594</v>
      </c>
      <c r="NQ159" s="388">
        <f t="shared" si="633"/>
        <v>0.59970500351246925</v>
      </c>
      <c r="NR159" s="388">
        <f t="shared" si="634"/>
        <v>14.00000875537981</v>
      </c>
      <c r="NS159" s="388">
        <f t="shared" si="635"/>
        <v>0.36777346255021465</v>
      </c>
      <c r="NT159" s="388">
        <f t="shared" si="636"/>
        <v>0.36777346255021465</v>
      </c>
      <c r="NU159" s="388">
        <f t="shared" si="637"/>
        <v>0.62042813914798223</v>
      </c>
      <c r="NV159" s="388">
        <f t="shared" si="638"/>
        <v>0.62042813914798223</v>
      </c>
      <c r="NW159">
        <f t="shared" si="639"/>
        <v>0.5316097292019818</v>
      </c>
      <c r="NX159">
        <f>各项系数!$M$9*NK159</f>
        <v>0.10539906721376865</v>
      </c>
      <c r="NY159">
        <f t="shared" si="640"/>
        <v>0.3677734625502147</v>
      </c>
    </row>
    <row r="160" spans="1:389" ht="15" hidden="1" customHeight="1">
      <c r="A160" s="69"/>
      <c r="B160" s="70"/>
      <c r="C160" s="69"/>
      <c r="D160" s="102" t="s">
        <v>287</v>
      </c>
      <c r="E160" s="61">
        <f t="shared" si="687"/>
        <v>16.051840240000001</v>
      </c>
      <c r="F160" s="405">
        <f t="shared" si="693"/>
        <v>110.31595161029</v>
      </c>
      <c r="G160" s="16"/>
      <c r="H160" s="16"/>
      <c r="I160" s="145">
        <v>0</v>
      </c>
      <c r="J160" s="16"/>
      <c r="K160" s="16"/>
      <c r="L160" s="97" t="s">
        <v>469</v>
      </c>
      <c r="M160" s="103">
        <f t="shared" si="582"/>
        <v>0.6</v>
      </c>
      <c r="N160" s="103">
        <f t="shared" si="583"/>
        <v>0</v>
      </c>
      <c r="O160" s="53">
        <f t="shared" si="703"/>
        <v>0.08</v>
      </c>
      <c r="P160" s="99">
        <v>0.1</v>
      </c>
      <c r="Q160" s="133">
        <f t="shared" si="700"/>
        <v>0.1</v>
      </c>
      <c r="R160" s="406">
        <v>0.8</v>
      </c>
      <c r="S160" s="142" t="str">
        <f>各项系数!$D$43</f>
        <v>钢带</v>
      </c>
      <c r="T160" s="102">
        <v>0.2</v>
      </c>
      <c r="U160" s="62">
        <v>4</v>
      </c>
      <c r="V160" s="143"/>
      <c r="W160" s="407">
        <v>1.8</v>
      </c>
      <c r="X160" s="135">
        <f t="shared" si="701"/>
        <v>0.2</v>
      </c>
      <c r="Y160" s="135"/>
      <c r="Z160" s="168"/>
      <c r="AA160" s="153">
        <v>1</v>
      </c>
      <c r="AB160" s="153">
        <f>PI()*EJ160*EJ160/4*EH160*(1-H160)*AA160*各项系数!$F$5*各项系数!$J$4*10^-7</f>
        <v>8.4545666936336993E-3</v>
      </c>
      <c r="AC160" s="153">
        <f t="shared" si="704"/>
        <v>110.31595161029</v>
      </c>
      <c r="AD160" s="153">
        <f t="shared" si="584"/>
        <v>0.95579886989884166</v>
      </c>
      <c r="AE160" s="153">
        <f>POWER(4*EU160/PI()/EG160/10^-7/EH160/(1-H160)/各项系数!$F$5/各项系数!$J$4,0.5)</f>
        <v>110.31595161028999</v>
      </c>
      <c r="AF160" s="69">
        <v>1</v>
      </c>
      <c r="AG160" s="69">
        <f>IF(EM160=0,0,PI()*ER160*ER160/4*EP160*(1-K160)*(1+AF160)*各项系数!$F$5*各项系数!$J$4*10^-7)</f>
        <v>0</v>
      </c>
      <c r="AH160" s="69">
        <f t="shared" si="705"/>
        <v>0</v>
      </c>
      <c r="AI160" s="69">
        <f t="shared" si="641"/>
        <v>0</v>
      </c>
      <c r="AJ160" s="69">
        <f>IF(OR(EP160="",EP160=0),0,POWER(4*EW160/PI()/EO160/10^-7/EP160/(1-K160)/各项系数!$F$5/各项系数!$J$4,0.5))</f>
        <v>0</v>
      </c>
      <c r="AK160" s="69" t="str">
        <f t="shared" si="585"/>
        <v>√</v>
      </c>
      <c r="AL160" s="69">
        <f t="shared" si="706"/>
        <v>14.553965006034055</v>
      </c>
      <c r="AM160" s="188">
        <f t="shared" si="707"/>
        <v>1</v>
      </c>
      <c r="AN160" s="97" t="s">
        <v>486</v>
      </c>
      <c r="AO160" s="196">
        <f>AP160+各项系数!$M$9*$NK160</f>
        <v>14.268593143170643</v>
      </c>
      <c r="AP160" s="196">
        <f>AQ160*(1+$BI160+(VLOOKUP($AM160,$A$12:$B$323,2,0))+各项系数!$J$6+各项系数!$M$5)*(1+$E$2)</f>
        <v>14.147860780650369</v>
      </c>
      <c r="AQ160" s="197">
        <f>AR160+各项系数!$L$9*$NK160</f>
        <v>13.88133907049683</v>
      </c>
      <c r="AR160" s="197">
        <f>AS160*(1+$BJ160+各项系数!$J$5+各项系数!$L$5)</f>
        <v>13.760606707976557</v>
      </c>
      <c r="AS160" s="197">
        <f t="shared" si="642"/>
        <v>13.231352603823611</v>
      </c>
      <c r="AT160" s="196">
        <f>AU160+各项系数!$M$9*$NM160</f>
        <v>15.114324122004142</v>
      </c>
      <c r="AU160" s="196">
        <f>AV160*(1+$BI160+(VLOOKUP($AM160,$A$12:$B$323,2,0))+各项系数!$J$6+各项系数!$M$5)*(1+$E$2)</f>
        <v>14.993591759483868</v>
      </c>
      <c r="AV160" s="197">
        <f>AW160+各项系数!$L$9*$NM160</f>
        <v>14.711137911581504</v>
      </c>
      <c r="AW160" s="197">
        <f>AX160*(1+$BJ160+各项系数!$J$5+各项系数!$L$5)</f>
        <v>14.590405549061231</v>
      </c>
      <c r="AX160" s="197">
        <f t="shared" si="643"/>
        <v>14.029236104866568</v>
      </c>
      <c r="AY160" s="196">
        <f>AZ160+各项系数!$M$9*$NS160</f>
        <v>15.54566141824321</v>
      </c>
      <c r="AZ160" s="196">
        <f>BA160*(1+$BI160+(VLOOKUP($AM160,$A$12:$B$214,2,0))+各项系数!$J$6+各项系数!$M$5)*(1+$E$2)</f>
        <v>15.41967758831839</v>
      </c>
      <c r="BA160" s="197">
        <f>BB160+各项系数!$L$9*$NS160</f>
        <v>15.129197005806898</v>
      </c>
      <c r="BB160" s="197">
        <f>BC160*(1+$BJ160+各项系数!$J$5+各项系数!$L$5)</f>
        <v>15.003213175882077</v>
      </c>
      <c r="BC160" s="199">
        <f t="shared" si="644"/>
        <v>14.426166515271229</v>
      </c>
      <c r="BD160" s="196">
        <f>BE160+各项系数!$M$9*$NS160</f>
        <v>16.400887097714289</v>
      </c>
      <c r="BE160" s="196">
        <f>BF160*(1+$BI160+(VLOOKUP($AM160,$A$12:$B$214,2,0))+各项系数!$J$6+各项系数!$M$5)*(1+$E$2)</f>
        <v>16.274903267789469</v>
      </c>
      <c r="BF160" s="197">
        <f>BG160+各项系数!$L$9*$NS160</f>
        <v>15.968311683466904</v>
      </c>
      <c r="BG160" s="197">
        <f>BH160*(1+$BJ160+各项系数!$J$5+各项系数!$L$5)</f>
        <v>15.842327853542084</v>
      </c>
      <c r="BH160" s="199">
        <f t="shared" si="645"/>
        <v>15.233007551482773</v>
      </c>
      <c r="BI160" s="213"/>
      <c r="BJ160" s="208">
        <f t="shared" si="695"/>
        <v>0.02</v>
      </c>
      <c r="BK160" s="102" t="s">
        <v>514</v>
      </c>
      <c r="BL160" s="196">
        <f>BM160+各项系数!$M$9*$NM160</f>
        <v>14.529595694033427</v>
      </c>
      <c r="BM160" s="196">
        <f>BN160*(1+$CF160+(VLOOKUP($AM160,$A$12:$B$323,2,0))+各项系数!$J$6+各项系数!$M$5)*(1+$E$2)</f>
        <v>14.408863331513153</v>
      </c>
      <c r="BN160" s="197">
        <f>BO160+各项系数!$L$9*$NM160</f>
        <v>14.137424775817458</v>
      </c>
      <c r="BO160" s="197">
        <f>BP160*(1+$CG160+各项系数!$J$5+各项系数!$L$5)</f>
        <v>14.016692413297184</v>
      </c>
      <c r="BP160" s="197">
        <f t="shared" si="646"/>
        <v>13.349230869806842</v>
      </c>
      <c r="BQ160" s="196">
        <f>BR160+各项系数!$M$9*$NM160</f>
        <v>15.257310096384945</v>
      </c>
      <c r="BR160" s="196">
        <f>BS160*(1+$CF160+(VLOOKUP($AM160,$A$12:$B$323,2,0))+各项系数!$J$6+各项系数!$M$5)*(1+$E$2)</f>
        <v>15.136577733864671</v>
      </c>
      <c r="BS160" s="197">
        <f>BT160+各项系数!$L$9*$NM160</f>
        <v>14.851430272630171</v>
      </c>
      <c r="BT160" s="197">
        <f>BU160*(1+$CG160+各项系数!$J$5+各项系数!$L$5)</f>
        <v>14.730697910109898</v>
      </c>
      <c r="BU160" s="197">
        <f t="shared" si="647"/>
        <v>14.029236104866568</v>
      </c>
      <c r="BV160" s="196">
        <f>BW160+各项系数!$M$9*$NT160</f>
        <v>15.700277076028039</v>
      </c>
      <c r="BW160" s="196">
        <f>BX160*(1+$CF160+(VLOOKUP($AM160,$A$12:$B$214,2,0))+各项系数!$J$6+各项系数!$M$5)*(1+$E$2)</f>
        <v>15.574293246103219</v>
      </c>
      <c r="BX160" s="197">
        <f>BY160+各项系数!$L$9*$NT$12</f>
        <v>15.280899966741776</v>
      </c>
      <c r="BY160" s="197">
        <f>BZ160*(1+$CG160+各项系数!$J$5+各项系数!$L$5)</f>
        <v>15.272636563586802</v>
      </c>
      <c r="BZ160" s="199">
        <f t="shared" si="586"/>
        <v>14.545368155796954</v>
      </c>
      <c r="CA160" s="196">
        <f>CB160+各项系数!$M$9*$NT160</f>
        <v>16.43616125171517</v>
      </c>
      <c r="CB160" s="196">
        <f>CC160*(1+$CF160+(VLOOKUP($AM160,$A$12:$B$214,2,0))+各项系数!$J$6+各项系数!$M$5)*(1+$E$2)</f>
        <v>16.31017742179035</v>
      </c>
      <c r="CC160" s="197">
        <f>CD160+各项系数!$L$9*$NT$12</f>
        <v>16.002921332211884</v>
      </c>
      <c r="CD160" s="197">
        <f>CE160*(1+$CG160+各项系数!$J$5+各项系数!$L$5)</f>
        <v>15.994657929056912</v>
      </c>
      <c r="CE160" s="199">
        <f t="shared" si="648"/>
        <v>15.233007551482773</v>
      </c>
      <c r="CF160" s="213">
        <f t="shared" si="514"/>
        <v>0</v>
      </c>
      <c r="CG160" s="213">
        <f t="shared" si="587"/>
        <v>0.03</v>
      </c>
      <c r="CH160" s="102"/>
      <c r="CI160" s="196">
        <f>CJ160+各项系数!$M$9*$NO160</f>
        <v>16.430219676570662</v>
      </c>
      <c r="CJ160" s="196">
        <f>CK160*(1+$DC160+(VLOOKUP($AM160,$A$12:$B$323,2,0))+各项系数!$J$6+各项系数!$M$5)*(1+$E$2)+各项系数!$M$9*$NK160</f>
        <v>16.212078245740813</v>
      </c>
      <c r="CK160" s="197">
        <f>CL160+各项系数!$L$9*$NO160</f>
        <v>15.788212208811357</v>
      </c>
      <c r="CL160" s="197">
        <f>CM160*(1+$DD160+各项系数!$J$5+各项系数!$L$5)</f>
        <v>15.570070777981508</v>
      </c>
      <c r="CM160" s="197">
        <f t="shared" si="588"/>
        <v>14.971221901905295</v>
      </c>
      <c r="CN160" s="196">
        <f>CO160+各项系数!$M$9*$NO160</f>
        <v>16.989968125157514</v>
      </c>
      <c r="CO160" s="196">
        <f>CP160*(1+$DC160+(VLOOKUP($AM160,$A$12:$B$323,2,0))+各项系数!$J$6+各项系数!$M$5)*(1+$E$2)+各项系数!$M$9*$NK160</f>
        <v>16.771826694327665</v>
      </c>
      <c r="CP160" s="197">
        <f>CQ160+各项系数!$L$9*$NO160</f>
        <v>16.337415945650889</v>
      </c>
      <c r="CQ160" s="197">
        <f>CR160*(1+$DD160+各项系数!$J$5+各项系数!$L$5)</f>
        <v>16.11927451482104</v>
      </c>
      <c r="CR160" s="197">
        <f t="shared" si="589"/>
        <v>15.499302418097153</v>
      </c>
      <c r="CS160" s="196">
        <f>CT160+各项系数!$M$9*$NU160</f>
        <v>17.915321311438539</v>
      </c>
      <c r="CT160" s="196">
        <f t="shared" si="590"/>
        <v>17.690561472168707</v>
      </c>
      <c r="CU160" s="197">
        <f>CV160+各项系数!$L$9*$NU160</f>
        <v>17.357301287449673</v>
      </c>
      <c r="CV160" s="197">
        <f>CW160*(1+$DD160+各项系数!$J$5+各项系数!$L$5)</f>
        <v>17.13254144817984</v>
      </c>
      <c r="CW160" s="199">
        <f t="shared" si="591"/>
        <v>16.473597546326769</v>
      </c>
      <c r="CX160" s="196">
        <f>CY160+各项系数!$M$9*$NU160</f>
        <v>18.964120200158199</v>
      </c>
      <c r="CY160" s="196">
        <f t="shared" si="592"/>
        <v>18.739360360888366</v>
      </c>
      <c r="CZ160" s="197">
        <f>DA160+各项系数!$L$9*$NU160</f>
        <v>18.386342583289213</v>
      </c>
      <c r="DA160" s="197">
        <f>DB160*(1+$DD160+各项系数!$J$5+各项系数!$L$5)</f>
        <v>18.16158274401938</v>
      </c>
      <c r="DB160" s="199">
        <f t="shared" si="593"/>
        <v>17.463060330787865</v>
      </c>
      <c r="DC160" s="213">
        <f t="shared" si="698"/>
        <v>0</v>
      </c>
      <c r="DD160" s="213">
        <f t="shared" si="594"/>
        <v>0.02</v>
      </c>
      <c r="DE160" s="53" t="s">
        <v>498</v>
      </c>
      <c r="DF160" s="53" t="s">
        <v>513</v>
      </c>
      <c r="DG160" s="196">
        <f>DH160+各项系数!$M$9*$NQ160</f>
        <v>16.737828211546319</v>
      </c>
      <c r="DH160" s="196">
        <f>DI160*(1+$EA160+(VLOOKUP($AM160,$A$12:$B$323,2,0))+各项系数!$J$6+各项系数!$M$5)*(1+$E$2)+各项系数!$M$9*$NK160</f>
        <v>16.519686780716469</v>
      </c>
      <c r="DI160" s="197">
        <f>DJ160+各项系数!$L$9*$NQ160</f>
        <v>16.090025920522169</v>
      </c>
      <c r="DJ160" s="197">
        <f>DK160*(1+$EB160+各项系数!$J$5+各项系数!$L$5)</f>
        <v>15.87188448969232</v>
      </c>
      <c r="DK160" s="197">
        <f t="shared" si="595"/>
        <v>15.116080466373637</v>
      </c>
      <c r="DL160" s="196">
        <f>DM160+各项系数!$M$9*$NQ160</f>
        <v>17.632103867777751</v>
      </c>
      <c r="DM160" s="196">
        <f>DN160*(1+$EA160+(VLOOKUP($AM160,$A$12:$B$323,2,0))+各项系数!$J$6+各项系数!$M$5)*(1+$E$2)+各项系数!$M$9*$NK160</f>
        <v>17.413962436947902</v>
      </c>
      <c r="DN160" s="197">
        <f>DO160+各项系数!$L$9*$NQ160</f>
        <v>16.967454939587544</v>
      </c>
      <c r="DO160" s="197">
        <f>DP160*(1+$EB160+各项系数!$J$5+各项系数!$L$5)</f>
        <v>16.749313508757695</v>
      </c>
      <c r="DP160" s="197">
        <f t="shared" si="596"/>
        <v>15.951727151197804</v>
      </c>
      <c r="DQ160" s="196">
        <f>DR160+各项系数!$M$9*$NV160</f>
        <v>18.239658281482537</v>
      </c>
      <c r="DR160" s="196">
        <f t="shared" si="597"/>
        <v>18.014898442212704</v>
      </c>
      <c r="DS160" s="197">
        <f>DT160+各项系数!$L$9*$NV160</f>
        <v>17.675528298874315</v>
      </c>
      <c r="DT160" s="197">
        <f>DU160*(1+$EB160+各项系数!$J$5+各项系数!$L$5)</f>
        <v>17.450768459604483</v>
      </c>
      <c r="DU160" s="199">
        <f t="shared" si="598"/>
        <v>16.619779485337602</v>
      </c>
      <c r="DV160" s="196">
        <f>DW160+各项系数!$M$9*$NV160</f>
        <v>17.972557307196084</v>
      </c>
      <c r="DW160" s="196">
        <f t="shared" si="599"/>
        <v>17.747797467926251</v>
      </c>
      <c r="DX160" s="197">
        <f>DY160+各项系数!$L$9*$NV160</f>
        <v>17.413459054087763</v>
      </c>
      <c r="DY160" s="197">
        <f>DZ160*(1+$EB160+各项系数!$J$5+各项系数!$L$5)</f>
        <v>17.18869921481793</v>
      </c>
      <c r="DZ160" s="199">
        <f t="shared" si="600"/>
        <v>16.370189728398028</v>
      </c>
      <c r="EA160" s="213">
        <f t="shared" si="699"/>
        <v>0</v>
      </c>
      <c r="EB160" s="213">
        <f t="shared" si="601"/>
        <v>0.03</v>
      </c>
      <c r="EC160" s="235">
        <f t="shared" si="649"/>
        <v>20</v>
      </c>
      <c r="ED160" s="235" t="str">
        <f t="shared" si="708"/>
        <v>20*1</v>
      </c>
      <c r="EE160" s="189">
        <f t="shared" si="709"/>
        <v>1</v>
      </c>
      <c r="EF160" s="189">
        <f>LOOKUP(EH160,{1,7,10,14,19,24,30,37,48,61},{1,"1+6","2+8","4+10","1+6+12","2+8+14","4+10+16","1+6+12+18","3+9+15+21","1+6+12+18+24"})</f>
        <v>1</v>
      </c>
      <c r="EG160" s="188">
        <f t="shared" si="602"/>
        <v>20</v>
      </c>
      <c r="EH160" s="197">
        <f>VLOOKUP(EE160,各项系数!$B$87:$C$124,2,0)</f>
        <v>1</v>
      </c>
      <c r="EI160" s="188">
        <f>IF(EH160=0,0,VLOOKUP(EH160,各项系数!$D$142:$E$195,2,0))*1</f>
        <v>1</v>
      </c>
      <c r="EJ160" s="238">
        <f t="shared" si="650"/>
        <v>110.31595161029</v>
      </c>
      <c r="EK160" s="189">
        <f t="shared" si="689"/>
        <v>0</v>
      </c>
      <c r="EL160" s="189">
        <f t="shared" si="603"/>
        <v>0</v>
      </c>
      <c r="EM160" s="189">
        <f t="shared" si="690"/>
        <v>0</v>
      </c>
      <c r="EN160" s="189">
        <f>IF(EP160=0,0,LOOKUP(EP160,{1,7,10,14,19,24,30,37,48,61},{1,"1+6","2+8","4+10","1+6+12","2+8+14","4+10+16","1+6+12+18","3+9+15+21","1+6+12+18+24"}))</f>
        <v>0</v>
      </c>
      <c r="EO160" s="189">
        <f t="shared" si="691"/>
        <v>0</v>
      </c>
      <c r="EP160" s="189">
        <f>IF(EM160=0,0,IF(EM160&lt;10,1,IF(AND(EM160&gt;=10,EM160&lt;=35),7,LOOKUP(EM160,{50,70,95,120,150,185,240,300},{10,14,19,24,30,37,48,61})*1)))</f>
        <v>0</v>
      </c>
      <c r="EQ160" s="189">
        <f>IF(EP160=0,0,VLOOKUP(EP160,各项系数!$D$142:$E$195,2,0))*1</f>
        <v>0</v>
      </c>
      <c r="ER160" s="53">
        <f t="shared" si="710"/>
        <v>0</v>
      </c>
      <c r="ES160" s="412">
        <f t="shared" si="692"/>
        <v>20</v>
      </c>
      <c r="ET160" s="189">
        <f>VLOOKUP(ES160,各项系数!$D$142:$E$195,2,0)*1</f>
        <v>5.33</v>
      </c>
      <c r="EU160" s="243">
        <f>((各项系数!$F$76/4*$EJ160^2*$EG160*$EH160*1*10^-7)*(1-$H160)*AA160)*(VLOOKUP($EY$9,各项系数!$D$4:$F$143,3,0))*各项系数!$J$4</f>
        <v>0.169091333872674</v>
      </c>
      <c r="EV160" s="244">
        <f>EU160*(VLOOKUP($EY$9,各项系数!$D$4:$F$143,2,0))</f>
        <v>11.075482368660147</v>
      </c>
      <c r="EW160" s="252">
        <f>(IF($EO160=0,0,(各项系数!$F$76/4*$ER160^2*$EO160*$EP160*1*10^-7))*(1-$K160)*$AF160)*(VLOOKUP($EY$9,各项系数!$D$4:$F$143,3,0))*各项系数!$J$4</f>
        <v>0</v>
      </c>
      <c r="EX160" s="253">
        <f>EW160*(VLOOKUP($EY$9,各项系数!$D$4:$F$143,2,0))</f>
        <v>0</v>
      </c>
      <c r="EY160" s="189">
        <f>((各项系数!$F$76/4*$EJ160^2*$EG160*$EH160*1*10^-7)*(1-$H160)*AA160+IF($EO160=0,0,(各项系数!$F$76/4*$ER160^2*$EO160*$EP160*1*10^-7))*(1-$K160)*$AF160)*(VLOOKUP($EY$9,各项系数!$D$4:$F$143,3,0))*各项系数!$J$4</f>
        <v>0.169091333872674</v>
      </c>
      <c r="EZ160" s="102">
        <v>1</v>
      </c>
      <c r="FA160" s="189">
        <f t="shared" si="711"/>
        <v>0.169091333872674</v>
      </c>
      <c r="FB160" s="254">
        <f>FA160*(VLOOKUP($EY$9,各项系数!$D$4:$F$143,2,0))</f>
        <v>11.075482368660147</v>
      </c>
      <c r="FC160" s="255"/>
      <c r="FD160" s="235">
        <f>各项系数!$F$76/4*($MN160^2-MK160^2)*10^-2*(VLOOKUP(L160,各项系数!$D$1:$F$143,3,0))*10^-3*10^2*$EG160*各项系数!$J$4</f>
        <v>7.0275219547419499E-2</v>
      </c>
      <c r="FE160" s="262">
        <f>FD160*VLOOKUP(L160,各项系数!$D$1:$F$143,2,0)</f>
        <v>0.80816502479532426</v>
      </c>
      <c r="FF160" s="188">
        <f>各项系数!$F$76/4*($MO160^2-ML160^2)*10^-2*(VLOOKUP(L160,各项系数!$D$1:$F$143,3,0))*10^-3*10^2*$EO160*各项系数!$J$4</f>
        <v>0</v>
      </c>
      <c r="FG160" s="262">
        <f>FF160*VLOOKUP(L160,各项系数!$D$1:$F$143,2,0)</f>
        <v>0</v>
      </c>
      <c r="FH160" s="235">
        <f t="shared" si="651"/>
        <v>7.0275219547419499E-2</v>
      </c>
      <c r="FI160" s="102">
        <v>1</v>
      </c>
      <c r="FJ160" s="189">
        <f t="shared" si="712"/>
        <v>7.0275219547419499E-2</v>
      </c>
      <c r="FK160" s="262">
        <f>FJ160*VLOOKUP(L160,各项系数!$D$1:$F$143,2,0)</f>
        <v>0.80816502479532426</v>
      </c>
      <c r="FL160" s="235"/>
      <c r="FM160" s="102"/>
      <c r="FN160" s="189"/>
      <c r="FO160" s="262"/>
      <c r="FP160" s="282">
        <f t="shared" si="713"/>
        <v>7.0275219547419499E-2</v>
      </c>
      <c r="FQ160" s="282">
        <f t="shared" si="714"/>
        <v>0.80816502479532426</v>
      </c>
      <c r="FR160" s="283">
        <f>各项系数!$F$76/4*($MQ160^2-$MN160^2*$EG160-$MO160^2*$EO160)*10^-2</f>
        <v>0.35032982042627886</v>
      </c>
      <c r="FS160" s="284">
        <f t="shared" si="652"/>
        <v>1</v>
      </c>
      <c r="FT160" s="285">
        <f t="shared" si="604"/>
        <v>0.35032982042627886</v>
      </c>
      <c r="FU160" s="302">
        <f>$FT160*(VLOOKUP($FT$9,各项系数!$D$1:$F$143,3,0))*10^-3*10^2*各项系数!$J$55</f>
        <v>4.1829380558897705E-2</v>
      </c>
      <c r="FV160" s="303">
        <v>1</v>
      </c>
      <c r="FW160" s="304">
        <f t="shared" si="715"/>
        <v>4.1829380558897705E-2</v>
      </c>
      <c r="FX160" s="285">
        <f>FW160*(VLOOKUP($FT$9,各项系数!$D$1:$F$143,2,0))</f>
        <v>0.12548814167669312</v>
      </c>
      <c r="FY160" s="302">
        <f>IF($BK160&lt;&gt;$FY$9,0,各项系数!$F$76/4*($MS160^2-$MQ160^2)*10^-2*(VLOOKUP($FY$9,各项系数!$D$1:$F$143,3,0))*10^-3*10^2)*各项系数!$J$4</f>
        <v>0</v>
      </c>
      <c r="FZ160" s="303">
        <v>1</v>
      </c>
      <c r="GA160" s="304">
        <f t="shared" si="716"/>
        <v>0</v>
      </c>
      <c r="GB160" s="285">
        <f>GA160*(VLOOKUP($FY$9,各项系数!$D$1:$F$143,2,0))</f>
        <v>0</v>
      </c>
      <c r="GC160" s="302">
        <f>IF($BK160&lt;&gt;$GC$9,0,各项系数!$F$76/4*($MS160^2-$MQ160^2)*10^-2*(VLOOKUP($GC$9,各项系数!$D$1:$F$143,3,0))*10^-3*10^2)*各项系数!$J$4</f>
        <v>3.3670084386930779E-3</v>
      </c>
      <c r="GD160" s="303">
        <v>1</v>
      </c>
      <c r="GE160" s="304">
        <f t="shared" si="717"/>
        <v>3.3670084386930779E-3</v>
      </c>
      <c r="GF160" s="285">
        <f>GE160*(VLOOKUP($GC$9,各项系数!$D$1:$F$143,2,0))</f>
        <v>4.3434408859140704E-2</v>
      </c>
      <c r="GG160" s="302">
        <f>IF($BK160&lt;&gt;$GG$9,0,各项系数!$F$76/4*($MS160^2-$MQ160^2)*10^-2*(VLOOKUP($GG$9,各项系数!$D$1:$F$143,3,0))*10^-3*10^2)*各项系数!$J$4</f>
        <v>0</v>
      </c>
      <c r="GH160" s="303">
        <v>1</v>
      </c>
      <c r="GI160" s="304">
        <f t="shared" si="718"/>
        <v>0</v>
      </c>
      <c r="GJ160" s="285">
        <f>GI160*(VLOOKUP($GG$9,各项系数!$D$1:$F$143,2,0))</f>
        <v>0</v>
      </c>
      <c r="GK160" s="302">
        <f>IF($BK160&lt;&gt;$GK$9,0,各项系数!$F$76/4*($MS160^2-$MQ160^2)*10^-2*(VLOOKUP($GK$9,各项系数!$D$1:$F$143,3,0))*10^-3*10^2)*各项系数!$J$4</f>
        <v>0</v>
      </c>
      <c r="GL160" s="303">
        <v>1</v>
      </c>
      <c r="GM160" s="304">
        <f t="shared" si="719"/>
        <v>0</v>
      </c>
      <c r="GN160" s="285">
        <f>GM160*(VLOOKUP($GK$9,各项系数!$D$1:$F$143,2,0))</f>
        <v>0</v>
      </c>
      <c r="GO160" s="304">
        <f t="shared" si="720"/>
        <v>3.3670084386930779E-3</v>
      </c>
      <c r="GP160" s="304">
        <f t="shared" si="721"/>
        <v>4.3434408859140704E-2</v>
      </c>
      <c r="GQ160" s="315">
        <f>各项系数!$F$76/4*($MU160^2-$MS160^2)*10^-2*(VLOOKUP($S160,各项系数!$D$1:$F$143,3,0))*10^-3*10^2*各项系数!$J$4</f>
        <v>0.19142678527699641</v>
      </c>
      <c r="GR160" s="303">
        <v>1</v>
      </c>
      <c r="GS160" s="304">
        <f t="shared" si="722"/>
        <v>0.19142678527699641</v>
      </c>
      <c r="GT160" s="304">
        <f t="shared" si="696"/>
        <v>0</v>
      </c>
      <c r="GU160" s="304">
        <f>ROUND($GS160*(VLOOKUP($S160,各项系数!$D$1:$F$143,2,0))+$E$3*GS160,GT160)</f>
        <v>1</v>
      </c>
      <c r="GV160" s="315">
        <f>各项系数!$F$76/4*($MT160^2-$MS160^2)*10^-2*(VLOOKUP($GV$9,各项系数!$D$1:$F$143,3,0))*10^-3*10^2*各项系数!$J$4*PI()/4*R160</f>
        <v>1.7504891348484014E-2</v>
      </c>
      <c r="GW160" s="303">
        <v>1</v>
      </c>
      <c r="GX160" s="304">
        <f t="shared" si="723"/>
        <v>1.7504891348484014E-2</v>
      </c>
      <c r="GY160" s="304">
        <f>$GX160*(VLOOKUP($GV$9,各项系数!$D$1:$F$143,2,0))</f>
        <v>1.181580166022671</v>
      </c>
      <c r="GZ160" s="315">
        <f>各项系数!$F$76/4*($MV160^2-$MS160^2)*10^-2*(VLOOKUP($GZ$9,各项系数!$D$1:$F$143,3,0))*10^-3*10^2*各项系数!$J$4</f>
        <v>0.11627448005148616</v>
      </c>
      <c r="HA160" s="303">
        <v>1</v>
      </c>
      <c r="HB160" s="304">
        <f t="shared" si="653"/>
        <v>0.11627448005148616</v>
      </c>
      <c r="HC160" s="304">
        <f>HB160*(VLOOKUP($GZ$9,各项系数!$D$1:$F$143,2,0))</f>
        <v>1.9766661608752647</v>
      </c>
      <c r="HD160" s="315">
        <f>各项系数!$F$76/4*($MW160^2-$MT160^2)*10^-2*(VLOOKUP($HD$9,各项系数!$D$1:$F$143,3,0))*10^-3*10^2*各项系数!$J$4</f>
        <v>0.11757984949816458</v>
      </c>
      <c r="HE160" s="303">
        <v>1</v>
      </c>
      <c r="HF160" s="304">
        <f t="shared" si="654"/>
        <v>0.11757984949816458</v>
      </c>
      <c r="HG160" s="304">
        <f>HF160*(VLOOKUP($HD$9,各项系数!$D$1:$F$143,2,0))</f>
        <v>1.9988574414687978</v>
      </c>
      <c r="HH160" s="315">
        <f>各项系数!$F$76/4*($MV160^2-$MS160^2)*10^-2*(VLOOKUP($HH$9,各项系数!$D$1:$F$143,3,0))*10^-3*10^2*各项系数!$J$4</f>
        <v>0.11627448005148616</v>
      </c>
      <c r="HI160" s="322">
        <v>1</v>
      </c>
      <c r="HJ160" s="304">
        <f t="shared" si="655"/>
        <v>0.11627448005148616</v>
      </c>
      <c r="HK160" s="304">
        <f>HJ160*(VLOOKUP($HH$9,各项系数!$D$1:$F$143,2,0))</f>
        <v>1.9766661608752647</v>
      </c>
      <c r="HL160" s="315">
        <f>各项系数!$F$76/4*($MW160^2-$MT160^2)*10^-2*(VLOOKUP($HL$9,各项系数!$D$1:$F$143,3,0))*10^-3*10^2*各项系数!$J$4</f>
        <v>0.11757984949816458</v>
      </c>
      <c r="HM160" s="322">
        <v>1</v>
      </c>
      <c r="HN160" s="304">
        <f t="shared" si="605"/>
        <v>0.11757984949816458</v>
      </c>
      <c r="HO160" s="304">
        <f>HN160*(VLOOKUP($HL$9,各项系数!$D$1:$F$143,2,0))</f>
        <v>1.9988574414687978</v>
      </c>
      <c r="HP160" s="315">
        <f>各项系数!$F$76/4*($MV160^2-$MS160^2)*10^-2*(VLOOKUP(AN160,各项系数!$D$1:$F$143,3,0))*10^-3*10^2*各项系数!$J$4</f>
        <v>0.11787826598323081</v>
      </c>
      <c r="HQ160" s="303">
        <v>1</v>
      </c>
      <c r="HR160" s="304">
        <f t="shared" si="724"/>
        <v>0.11787826598323081</v>
      </c>
      <c r="HS160" s="304">
        <f>HR160*(VLOOKUP(AN160,各项系数!$D$1:$F$143,2,0))</f>
        <v>1.1787826598323081</v>
      </c>
      <c r="HT160" s="315">
        <f>各项系数!$F$76/4*($MW160^2-$MT160^2)*10^-2*(VLOOKUP(AN160,各项系数!$D$1:$F$143,3,0))*10^-3*10^2*各项系数!$J$4</f>
        <v>0.11920164052572549</v>
      </c>
      <c r="HU160" s="303">
        <v>1</v>
      </c>
      <c r="HV160" s="304">
        <f t="shared" si="725"/>
        <v>0.11920164052572549</v>
      </c>
      <c r="HW160" s="304">
        <f>HV160*(VLOOKUP(AN160,各项系数!$D$1:$F$143,2,0))</f>
        <v>1.1920164052572548</v>
      </c>
      <c r="HX160" s="315">
        <f>各项系数!$F$76/4*($MV160^2-$MS160^2)*10^-2*(VLOOKUP($HX$9,各项系数!$D$1:$F$143,3,0))*10^-3*10^2*各项系数!$J$4</f>
        <v>0.11787826598323081</v>
      </c>
      <c r="HY160" s="322">
        <v>1</v>
      </c>
      <c r="HZ160" s="304">
        <f t="shared" si="726"/>
        <v>0.11787826598323081</v>
      </c>
      <c r="IA160" s="304">
        <f>HZ160*(VLOOKUP($HX$9,各项系数!$D$1:$F$143,2,0))</f>
        <v>1.296660925815539</v>
      </c>
      <c r="IB160" s="315">
        <f>各项系数!$F$76/4*($MW160^2-$MT160^2)*10^-2*(VLOOKUP($IB$9,各项系数!$D$1:$F$143,3,0))*10^-3*10^2*各项系数!$J$4</f>
        <v>0.11920164052572549</v>
      </c>
      <c r="IC160" s="322">
        <v>1</v>
      </c>
      <c r="ID160" s="304">
        <f t="shared" si="727"/>
        <v>0.11920164052572549</v>
      </c>
      <c r="IE160" s="304">
        <f>ID160*(VLOOKUP($IB$9,各项系数!$D$1:$F$143,2,0))</f>
        <v>1.3112180457829803</v>
      </c>
      <c r="IF160" s="328"/>
      <c r="IG160" s="315">
        <f t="shared" si="656"/>
        <v>3.9475033754826132E-2</v>
      </c>
      <c r="IH160" s="303">
        <v>1</v>
      </c>
      <c r="II160" s="304">
        <f t="shared" si="728"/>
        <v>3.9475033754826132E-2</v>
      </c>
      <c r="IJ160" s="304">
        <f>II160*(VLOOKUP($IG$8,各项系数!$D$1:$F$143,2,0))</f>
        <v>0.9868758438706533</v>
      </c>
      <c r="IK160" s="315">
        <f>(各项系数!$F$76/4*($MX160^2-$MK160^2)*$EG160)*10^-2*(VLOOKUP($IG$8,各项系数!$D$1:$F$143,3,0))*10^-3*10^2*各项系数!$J$4</f>
        <v>3.9475033754826132E-2</v>
      </c>
      <c r="IL160" s="303">
        <f>IK160*(VLOOKUP($IG$8,各项系数!$D$1:$F$143,2,0))</f>
        <v>0.9868758438706533</v>
      </c>
      <c r="IM160" s="304">
        <f>(各项系数!$F$76/4*(($MM160+3*$X160)^2-MM160^2)*$EO160)*10^-2*(VLOOKUP($IG$8,各项系数!$D$1:$F$143,3,0))*10^-3*10^2*各项系数!$J$4</f>
        <v>0</v>
      </c>
      <c r="IN160" s="303">
        <f>IM160*(VLOOKUP($IG$8,各项系数!$D$1:$F$143,2,0))</f>
        <v>0</v>
      </c>
      <c r="IO160" s="315">
        <f>各项系数!$F$76/4*($MZ160^2-$MX160^2)*10^-2*(VLOOKUP(L160,各项系数!$D$1:$F$143,3,0))*10^-3*10^2*$ES160*各项系数!$J$4</f>
        <v>9.5032226294768499E-2</v>
      </c>
      <c r="IP160" s="303">
        <v>1</v>
      </c>
      <c r="IQ160" s="304">
        <f t="shared" si="729"/>
        <v>9.5032226294768499E-2</v>
      </c>
      <c r="IR160" s="285">
        <f>IQ160*(VLOOKUP(L160,各项系数!$D$1:$F$143,2,0))</f>
        <v>1.0928706023898378</v>
      </c>
      <c r="IS160" s="315">
        <f>IF($L160&lt;&gt;$IS$9,0,各项系数!$F$76/4*($MZ160^2-$MX160^2)*10^-2*各项系数!$F$12*10^-3*10^2)*$ES160*各项系数!$J$4</f>
        <v>0</v>
      </c>
      <c r="IT160" s="303">
        <v>1</v>
      </c>
      <c r="IU160" s="304">
        <f t="shared" si="730"/>
        <v>0</v>
      </c>
      <c r="IV160" s="285">
        <f>IU160*各项系数!$E$12</f>
        <v>0</v>
      </c>
      <c r="IW160" s="302">
        <f t="shared" si="731"/>
        <v>9.5032226294768499E-2</v>
      </c>
      <c r="IX160" s="302">
        <f t="shared" si="732"/>
        <v>1.0928706023898378</v>
      </c>
      <c r="IY160" s="339">
        <f>各项系数!$F$76/4*($NB160^2-$MZ160^2*$EG160-$NA160^2*$EO160)*10^-2</f>
        <v>0.55663545869879827</v>
      </c>
      <c r="IZ160" s="284">
        <f t="shared" si="697"/>
        <v>1</v>
      </c>
      <c r="JA160" s="285">
        <f t="shared" si="606"/>
        <v>0.55663545869879827</v>
      </c>
      <c r="JB160" s="282">
        <f>IF($DE160&lt;&gt;$JB$9,0,$JA160*各项系数!$F$32*10^-3*10^2)*各项系数!$J$4</f>
        <v>0</v>
      </c>
      <c r="JC160" s="102">
        <v>1</v>
      </c>
      <c r="JD160" s="189">
        <f t="shared" si="733"/>
        <v>0</v>
      </c>
      <c r="JE160" s="262">
        <f>JD160*各项系数!$E$32</f>
        <v>0</v>
      </c>
      <c r="JF160" s="282">
        <f>IF($DE160&lt;&gt;$JF$9,0,$JA160*VLOOKUP($JF$9,各项系数!$D$4:$F$540,2,0)*10^-3*10^2)*各项系数!$J$4</f>
        <v>0.27692614070265215</v>
      </c>
      <c r="JG160" s="102">
        <v>1</v>
      </c>
      <c r="JH160" s="189">
        <f t="shared" si="607"/>
        <v>0.27692614070265215</v>
      </c>
      <c r="JI160" s="262">
        <f>JH160*VLOOKUP($JF$9,各项系数!$D$4:$F$540,3,0)</f>
        <v>0.33231136884318258</v>
      </c>
      <c r="JJ160" s="282">
        <f t="shared" si="734"/>
        <v>0.27692614070265215</v>
      </c>
      <c r="JK160" s="189">
        <f t="shared" si="735"/>
        <v>0.33231136884318258</v>
      </c>
      <c r="JL160" s="282">
        <f>IF($DF160&lt;&gt;$JL$9,0,各项系数!$F$76/4*($NE160^2-$NC160^2)*10^-2*各项系数!$F$39*10^-3*10^2)*各项系数!$J$4</f>
        <v>1.7548036729034696E-3</v>
      </c>
      <c r="JM160" s="102">
        <v>1</v>
      </c>
      <c r="JN160" s="189">
        <f t="shared" si="736"/>
        <v>1.7548036729034696E-3</v>
      </c>
      <c r="JO160" s="262">
        <f>JN160*各项系数!$E$39</f>
        <v>3.5096073458069393E-2</v>
      </c>
      <c r="JP160" s="282">
        <f>IF($DF160&lt;&gt;$JP$9,0,各项系数!$F$76/4*($NE160^2-$NC160^2)*10^-2*各项系数!$F$36*10^-3*10^2)*各项系数!$J$4</f>
        <v>0</v>
      </c>
      <c r="JQ160" s="102">
        <v>1</v>
      </c>
      <c r="JR160" s="189">
        <f t="shared" si="737"/>
        <v>0</v>
      </c>
      <c r="JS160" s="262">
        <f>JR160*各项系数!$E$36</f>
        <v>0</v>
      </c>
      <c r="JT160" s="282">
        <f>IF($DF160&lt;&gt;$JT$9,0,各项系数!$F$76/4*($NE160^2-$NC160^2)*10^-2*各项系数!$F$40*10^-3*10^2)*各项系数!$J$4</f>
        <v>0</v>
      </c>
      <c r="JU160" s="102">
        <v>1</v>
      </c>
      <c r="JV160" s="189">
        <f t="shared" si="738"/>
        <v>0</v>
      </c>
      <c r="JW160" s="262">
        <f>JV160*各项系数!$E$40</f>
        <v>0</v>
      </c>
      <c r="JX160" s="282">
        <f>IF($DF160&lt;&gt;$JX$9,0,各项系数!$F$76/4*($NE160^2-$NC160^2)*10^-2*各项系数!$F$38*10^-3*10^2)*各项系数!$J$4</f>
        <v>0</v>
      </c>
      <c r="JY160" s="102">
        <v>1</v>
      </c>
      <c r="JZ160" s="189">
        <f t="shared" si="739"/>
        <v>0</v>
      </c>
      <c r="KA160" s="262">
        <f>JZ160*各项系数!$E$38</f>
        <v>0</v>
      </c>
      <c r="KB160" s="282">
        <f>IF($DF160&lt;&gt;$KB$9,0,各项系数!$F$76/4*($NE160^2-$NC160^2)*10^-2*各项系数!$F$41*10^-3*10^2)*各项系数!$J$4</f>
        <v>0</v>
      </c>
      <c r="KC160" s="102">
        <v>1</v>
      </c>
      <c r="KD160" s="189">
        <f t="shared" si="740"/>
        <v>0</v>
      </c>
      <c r="KE160" s="262">
        <f>KD160*各项系数!$E$41</f>
        <v>0</v>
      </c>
      <c r="KF160" s="189">
        <f t="shared" si="741"/>
        <v>1.7548036729034696E-3</v>
      </c>
      <c r="KG160" s="189">
        <f t="shared" si="742"/>
        <v>3.5096073458069393E-2</v>
      </c>
      <c r="KH160" s="235">
        <f>各项系数!$F$76/4*($NG160^2-$NE160^2)*10^-2*各项系数!$F$44*10^-3*10^2*各项系数!$J$4*0.75*$U160</f>
        <v>0.7178082021939528</v>
      </c>
      <c r="KI160" s="102">
        <v>1</v>
      </c>
      <c r="KJ160" s="189">
        <f t="shared" si="743"/>
        <v>0.7178082021939528</v>
      </c>
      <c r="KK160" s="189">
        <f>ROUND(KJ160*各项系数!$E$43,GT160)</f>
        <v>4</v>
      </c>
      <c r="KL160" s="235">
        <f>各项系数!$F$76/4*($NF160^2-$NE160^2)*10^-2*各项系数!$F$46*10^-3*10^2*各项系数!$J$4*PI()/4*R160</f>
        <v>2.2061361466615213E-2</v>
      </c>
      <c r="KM160" s="102">
        <v>1</v>
      </c>
      <c r="KN160" s="189">
        <f t="shared" si="744"/>
        <v>2.2061361466615213E-2</v>
      </c>
      <c r="KO160" s="189">
        <f>KN160*各项系数!$E$46</f>
        <v>1.4891418989965268</v>
      </c>
      <c r="KP160" s="235">
        <f>各项系数!$F$76/4*($NH160^2-$NE160^2)*10^-2*(VLOOKUP($KP$9,各项系数!$D$1:$F$143,3,0))*10^-3*10^2*各项系数!$J$4</f>
        <v>0.14288769964564216</v>
      </c>
      <c r="KQ160" s="102">
        <v>1</v>
      </c>
      <c r="KR160" s="189">
        <f t="shared" si="657"/>
        <v>0.14288769964564216</v>
      </c>
      <c r="KS160" s="189">
        <f>KR160*(VLOOKUP($KP$9,各项系数!$D$1:$F$143,2,0))</f>
        <v>2.4290908939759168</v>
      </c>
      <c r="KT160" s="235">
        <f>各项系数!$F$76/4*($NI160^2-$NF160^2)*10^-2*(VLOOKUP($KT$9,各项系数!$D$1:$F$143,3,0))*10^-3*10^2*各项系数!$J$4</f>
        <v>0.14419306909232057</v>
      </c>
      <c r="KU160" s="102">
        <v>1</v>
      </c>
      <c r="KV160" s="189">
        <f t="shared" si="658"/>
        <v>0.14419306909232057</v>
      </c>
      <c r="KW160" s="189">
        <f>KV160*(VLOOKUP($KT$9,各项系数!$D$1:$F$143,2,0))</f>
        <v>2.45128217456945</v>
      </c>
      <c r="KX160" s="189">
        <f>各项系数!$F$76/4*($NH160^2-$NE160^2)*10^-2*(VLOOKUP($KX$9,各项系数!$D$1:$F$143,3,0))*10^-3*10^2*各项系数!$J$4</f>
        <v>0.14288769964564216</v>
      </c>
      <c r="KY160" s="353">
        <v>1</v>
      </c>
      <c r="KZ160" s="189">
        <f t="shared" si="659"/>
        <v>0.14288769964564216</v>
      </c>
      <c r="LA160" s="189">
        <f>KZ160*(VLOOKUP($KX$9,各项系数!$D$1:$F$143,2,0))</f>
        <v>2.4290908939759168</v>
      </c>
      <c r="LB160" s="189">
        <f>各项系数!$F$76/4*($NI160^2-$NF160^2)*10^-2*(VLOOKUP($LB$9,各项系数!$D$1:$F$143,3,0))*10^-3*10^2*各项系数!$J$4</f>
        <v>0.14419306909232057</v>
      </c>
      <c r="LC160" s="353">
        <v>1</v>
      </c>
      <c r="LD160" s="189">
        <f t="shared" si="660"/>
        <v>0.14419306909232057</v>
      </c>
      <c r="LE160" s="189">
        <f>LD160*(VLOOKUP($LB$9,各项系数!$D$1:$F$143,2,0))</f>
        <v>2.45128217456945</v>
      </c>
      <c r="LF160" s="235">
        <f>各项系数!$F$76/4*($NH160^2-$NE160^2)*10^-2*(VLOOKUP(AN160,各项系数!$D$1:$F$143,3,0))*10^-3*10^2*各项系数!$J$4</f>
        <v>0.14485856446834069</v>
      </c>
      <c r="LG160" s="102">
        <v>1</v>
      </c>
      <c r="LH160" s="189">
        <f t="shared" si="745"/>
        <v>0.14485856446834069</v>
      </c>
      <c r="LI160" s="189">
        <f>LH160*(VLOOKUP(AN160,各项系数!$D$1:$F$143,2,0))</f>
        <v>1.4485856446834069</v>
      </c>
      <c r="LJ160" s="235">
        <f>各项系数!$F$76/4*($NI160^2-$NF160^2)*10^-2*(VLOOKUP(AN160,各项系数!$D$1:$F$143,3,0))*10^-3*10^2*各项系数!$J$4</f>
        <v>0.14618193901083537</v>
      </c>
      <c r="LK160" s="102">
        <v>1</v>
      </c>
      <c r="LL160" s="189">
        <f t="shared" si="746"/>
        <v>0.14618193901083537</v>
      </c>
      <c r="LM160" s="189">
        <f>LL160*(VLOOKUP(AN160,各项系数!$D$1:$F$143,2,0))</f>
        <v>1.4618193901083538</v>
      </c>
      <c r="LN160" s="189">
        <f>各项系数!$F$76/4*($NH160^2-$NE160^2)*10^-2*(VLOOKUP($LN$9,各项系数!$D$1:$F$143,3,0))*10^-3*10^2*各项系数!$J$4</f>
        <v>0.14485856446834069</v>
      </c>
      <c r="LO160" s="353">
        <v>1</v>
      </c>
      <c r="LP160" s="189">
        <f t="shared" si="747"/>
        <v>0.14485856446834069</v>
      </c>
      <c r="LQ160" s="189">
        <f>LP160*(VLOOKUP($LN$9,各项系数!$D$1:$F$143,2,0))</f>
        <v>1.5934442091517476</v>
      </c>
      <c r="LR160" s="189">
        <f>各项系数!$F$76/4*($NI160^2-$NF160^2)*10^-2*(VLOOKUP($LR$9,各项系数!$D$1:$F$143,3,0))*10^-3*10^2*各项系数!$J$4</f>
        <v>0.14618193901083537</v>
      </c>
      <c r="LS160" s="353">
        <v>1</v>
      </c>
      <c r="LT160" s="189">
        <f t="shared" si="748"/>
        <v>0.14618193901083537</v>
      </c>
      <c r="LU160" s="189">
        <f>LT160*(VLOOKUP($LR$9,各项系数!$D$1:$F$143,2,0))</f>
        <v>1.608001329119189</v>
      </c>
      <c r="LV160" s="227">
        <f t="shared" si="661"/>
        <v>19.115977529999999</v>
      </c>
      <c r="LW160" s="227">
        <f t="shared" si="662"/>
        <v>19.115977529999999</v>
      </c>
      <c r="LX160" s="227">
        <f t="shared" si="663"/>
        <v>4.9334793531000818</v>
      </c>
      <c r="LY160" s="227">
        <f t="shared" si="664"/>
        <v>0</v>
      </c>
      <c r="LZ160" s="374">
        <f t="shared" si="608"/>
        <v>1</v>
      </c>
      <c r="MA160" s="375">
        <f t="shared" si="609"/>
        <v>19.115977529999999</v>
      </c>
      <c r="MB160" s="375">
        <f t="shared" si="665"/>
        <v>1.1031595199999999</v>
      </c>
      <c r="MC160" s="227">
        <f t="shared" si="666"/>
        <v>0</v>
      </c>
      <c r="MD160" s="227">
        <f t="shared" si="667"/>
        <v>0</v>
      </c>
      <c r="ME160" s="227">
        <f t="shared" si="668"/>
        <v>0</v>
      </c>
      <c r="MF160" s="227">
        <f t="shared" si="669"/>
        <v>0</v>
      </c>
      <c r="MG160" s="374">
        <f t="shared" si="670"/>
        <v>1</v>
      </c>
      <c r="MH160" s="375">
        <f t="shared" si="610"/>
        <v>0</v>
      </c>
      <c r="MI160" s="375">
        <f t="shared" si="671"/>
        <v>0</v>
      </c>
      <c r="MJ160" s="189">
        <f t="shared" si="611"/>
        <v>1.1031595199999999</v>
      </c>
      <c r="MK160" s="189">
        <f t="shared" si="672"/>
        <v>1.1031595199999999</v>
      </c>
      <c r="ML160" s="189">
        <f t="shared" si="749"/>
        <v>0</v>
      </c>
      <c r="MM160" s="189">
        <f t="shared" si="612"/>
        <v>0</v>
      </c>
      <c r="MN160" s="189">
        <f t="shared" si="613"/>
        <v>2.3031595199999999</v>
      </c>
      <c r="MO160" s="189">
        <f t="shared" si="673"/>
        <v>0</v>
      </c>
      <c r="MP160" s="189">
        <f t="shared" si="674"/>
        <v>12.275840240000001</v>
      </c>
      <c r="MQ160" s="189">
        <f t="shared" si="750"/>
        <v>12.275840240000001</v>
      </c>
      <c r="MR160" s="246">
        <f t="shared" si="675"/>
        <v>12.275840240000001</v>
      </c>
      <c r="MS160" s="380">
        <f t="shared" si="614"/>
        <v>12.451840240000001</v>
      </c>
      <c r="MT160" s="380">
        <f t="shared" si="615"/>
        <v>12.611840240000001</v>
      </c>
      <c r="MU160" s="380">
        <f t="shared" si="616"/>
        <v>13.651840240000002</v>
      </c>
      <c r="MV160" s="380">
        <f t="shared" si="617"/>
        <v>16.051840240000001</v>
      </c>
      <c r="MW160" s="380">
        <f t="shared" si="618"/>
        <v>16.211840240000001</v>
      </c>
      <c r="MX160" s="254">
        <f t="shared" si="619"/>
        <v>1.70315952</v>
      </c>
      <c r="MY160" s="254">
        <f t="shared" si="620"/>
        <v>0</v>
      </c>
      <c r="MZ160" s="189">
        <f t="shared" si="621"/>
        <v>2.90315952</v>
      </c>
      <c r="NA160" s="189">
        <f t="shared" si="622"/>
        <v>0</v>
      </c>
      <c r="NB160" s="189">
        <f t="shared" si="676"/>
        <v>15.473840239999999</v>
      </c>
      <c r="NC160" s="254">
        <f t="shared" si="751"/>
        <v>15.473840239999999</v>
      </c>
      <c r="ND160" s="246">
        <f t="shared" si="677"/>
        <v>15.473840239999999</v>
      </c>
      <c r="NE160" s="386">
        <f t="shared" si="678"/>
        <v>15.71384024</v>
      </c>
      <c r="NF160" s="380">
        <f t="shared" si="623"/>
        <v>15.87384024</v>
      </c>
      <c r="NG160" s="387">
        <f t="shared" si="624"/>
        <v>16.913840239999999</v>
      </c>
      <c r="NH160" s="254">
        <f t="shared" si="625"/>
        <v>19.313840240000001</v>
      </c>
      <c r="NI160" s="380">
        <f t="shared" si="626"/>
        <v>19.473840240000001</v>
      </c>
      <c r="NK160" s="388">
        <f t="shared" si="627"/>
        <v>0.40244120840091507</v>
      </c>
      <c r="NL160" s="388">
        <f t="shared" si="628"/>
        <v>13.231352603823611</v>
      </c>
      <c r="NM160" s="388">
        <f t="shared" si="629"/>
        <v>0.40244120840091507</v>
      </c>
      <c r="NN160" s="388">
        <f t="shared" si="630"/>
        <v>13.349230869806842</v>
      </c>
      <c r="NO160" s="388">
        <f t="shared" si="631"/>
        <v>0.72713810276616497</v>
      </c>
      <c r="NP160" s="388">
        <f t="shared" si="632"/>
        <v>14.971221901905297</v>
      </c>
      <c r="NQ160" s="388">
        <f t="shared" si="633"/>
        <v>0.72713810276616497</v>
      </c>
      <c r="NR160" s="388">
        <f t="shared" si="634"/>
        <v>15.116080466373637</v>
      </c>
      <c r="NS160" s="388">
        <f t="shared" si="635"/>
        <v>0.41994609974939912</v>
      </c>
      <c r="NT160" s="388">
        <f t="shared" si="636"/>
        <v>0.41994609974939912</v>
      </c>
      <c r="NU160" s="388">
        <f t="shared" si="637"/>
        <v>0.74919946423278017</v>
      </c>
      <c r="NV160" s="388">
        <f t="shared" si="638"/>
        <v>0.74919946423278017</v>
      </c>
      <c r="NW160">
        <f t="shared" si="639"/>
        <v>0.59386799367791143</v>
      </c>
      <c r="NX160">
        <f>各项系数!$M$9*NK160</f>
        <v>0.12073236252027451</v>
      </c>
      <c r="NY160">
        <f t="shared" si="640"/>
        <v>0.41994609974939912</v>
      </c>
    </row>
    <row r="161" spans="1:389" ht="15" hidden="1" customHeight="1">
      <c r="A161" s="69"/>
      <c r="B161" s="70"/>
      <c r="C161" s="69"/>
      <c r="D161" s="102" t="s">
        <v>298</v>
      </c>
      <c r="E161" s="61">
        <f t="shared" si="687"/>
        <v>17.59495712</v>
      </c>
      <c r="F161" s="405">
        <f t="shared" si="693"/>
        <v>110.31595161029</v>
      </c>
      <c r="G161" s="16"/>
      <c r="H161" s="16"/>
      <c r="I161" s="145">
        <v>0</v>
      </c>
      <c r="J161" s="16"/>
      <c r="K161" s="16"/>
      <c r="L161" s="97" t="s">
        <v>469</v>
      </c>
      <c r="M161" s="103">
        <f t="shared" si="582"/>
        <v>0.6</v>
      </c>
      <c r="N161" s="103">
        <f t="shared" si="583"/>
        <v>0</v>
      </c>
      <c r="O161" s="53">
        <f t="shared" si="703"/>
        <v>0.08</v>
      </c>
      <c r="P161" s="99">
        <v>0.1</v>
      </c>
      <c r="Q161" s="133">
        <f t="shared" si="700"/>
        <v>0.1</v>
      </c>
      <c r="R161" s="406">
        <v>0.8</v>
      </c>
      <c r="S161" s="142" t="str">
        <f>各项系数!$D$43</f>
        <v>钢带</v>
      </c>
      <c r="T161" s="102">
        <v>0.2</v>
      </c>
      <c r="U161" s="62">
        <v>4</v>
      </c>
      <c r="V161" s="143"/>
      <c r="W161" s="141">
        <f t="shared" ref="W161:W164" si="752">$W$160</f>
        <v>1.8</v>
      </c>
      <c r="X161" s="135">
        <f t="shared" si="701"/>
        <v>0.2</v>
      </c>
      <c r="Y161" s="135"/>
      <c r="Z161" s="168"/>
      <c r="AA161" s="153">
        <v>1</v>
      </c>
      <c r="AB161" s="153">
        <f>PI()*EJ161*EJ161/4*EH161*(1-H161)*AA161*各项系数!$F$5*各项系数!$J$4*10^-7</f>
        <v>8.4545666936336993E-3</v>
      </c>
      <c r="AC161" s="153">
        <f t="shared" si="704"/>
        <v>110.31595161029</v>
      </c>
      <c r="AD161" s="153">
        <f t="shared" si="584"/>
        <v>0.95579886989884189</v>
      </c>
      <c r="AE161" s="153">
        <f>POWER(4*EU161/PI()/EG161/10^-7/EH161/(1-H161)/各项系数!$F$5/各项系数!$J$4,0.5)</f>
        <v>110.31595161029</v>
      </c>
      <c r="AF161" s="69">
        <v>1</v>
      </c>
      <c r="AG161" s="69">
        <f>IF(EM161=0,0,PI()*ER161*ER161/4*EP161*(1-K161)*(1+AF161)*各项系数!$F$5*各项系数!$J$4*10^-7)</f>
        <v>0</v>
      </c>
      <c r="AH161" s="69">
        <f t="shared" si="705"/>
        <v>0</v>
      </c>
      <c r="AI161" s="69">
        <f t="shared" si="641"/>
        <v>0</v>
      </c>
      <c r="AJ161" s="69">
        <f>IF(OR(EP161="",EP161=0),0,POWER(4*EW161/PI()/EO161/10^-7/EP161/(1-K161)/各项系数!$F$5/各项系数!$J$4,0.5))</f>
        <v>0</v>
      </c>
      <c r="AK161" s="69" t="str">
        <f t="shared" si="585"/>
        <v>√</v>
      </c>
      <c r="AL161" s="69">
        <f t="shared" si="706"/>
        <v>17.374164254701856</v>
      </c>
      <c r="AM161" s="188">
        <f t="shared" si="707"/>
        <v>1</v>
      </c>
      <c r="AN161" s="97" t="s">
        <v>486</v>
      </c>
      <c r="AO161" s="196">
        <f>AP161+各项系数!$M$9*$NK161</f>
        <v>17.033494367354759</v>
      </c>
      <c r="AP161" s="196">
        <f>AQ161*(1+$BI161+(VLOOKUP($AM161,$A$12:$B$323,2,0))+各项系数!$J$6+各项系数!$M$5)*(1+$E$2)</f>
        <v>16.889085874506645</v>
      </c>
      <c r="AQ161" s="197">
        <f>AR161+各项系数!$L$9*$NK161</f>
        <v>16.570924131187837</v>
      </c>
      <c r="AR161" s="197">
        <f>AS161*(1+$BJ161+各项系数!$J$5+各项系数!$L$5)</f>
        <v>16.426515638339723</v>
      </c>
      <c r="AS161" s="197">
        <f t="shared" si="642"/>
        <v>15.794726575326656</v>
      </c>
      <c r="AT161" s="196">
        <f>AU161+各项系数!$M$9*$NM161</f>
        <v>17.9707968013407</v>
      </c>
      <c r="AU161" s="196">
        <f>AV161*(1+$BI161+(VLOOKUP($AM161,$A$12:$B$323,2,0))+各项系数!$J$6+各项系数!$M$5)*(1+$E$2)</f>
        <v>17.826388308492586</v>
      </c>
      <c r="AV161" s="197">
        <f>AW161+各项系数!$L$9*$NM161</f>
        <v>17.490569376464467</v>
      </c>
      <c r="AW161" s="197">
        <f>AX161*(1+$BJ161+各项系数!$J$5+各项系数!$L$5)</f>
        <v>17.346160883616353</v>
      </c>
      <c r="AX161" s="197">
        <f t="shared" si="643"/>
        <v>16.679000849631109</v>
      </c>
      <c r="AY161" s="196">
        <f>AZ161+各项系数!$M$9*$NS161</f>
        <v>18.466088067219033</v>
      </c>
      <c r="AZ161" s="196">
        <f>BA161*(1+$BI161+(VLOOKUP($AM161,$A$12:$B$214,2,0))+各项系数!$J$6+各项系数!$M$5)*(1+$E$2)</f>
        <v>18.315781463868351</v>
      </c>
      <c r="BA161" s="197">
        <f>BB161+各项系数!$L$9*$NS161</f>
        <v>17.970743194533313</v>
      </c>
      <c r="BB161" s="197">
        <f>BC161*(1+$BJ161+各项系数!$J$5+各项系数!$L$5)</f>
        <v>17.820436591182631</v>
      </c>
      <c r="BC161" s="199">
        <f t="shared" si="644"/>
        <v>17.135035183829451</v>
      </c>
      <c r="BD161" s="196">
        <f>BE161+各项系数!$M$9*$NS161</f>
        <v>19.412885201842549</v>
      </c>
      <c r="BE161" s="196">
        <f>BF161*(1+$BI161+(VLOOKUP($AM161,$A$12:$B$214,2,0))+各项系数!$J$6+各项系数!$M$5)*(1+$E$2)</f>
        <v>19.262578598491867</v>
      </c>
      <c r="BF161" s="197">
        <f>BG161+各项系数!$L$9*$NS161</f>
        <v>18.899704276385272</v>
      </c>
      <c r="BG161" s="197">
        <f>BH161*(1+$BJ161+各项系数!$J$5+各项系数!$L$5)</f>
        <v>18.74939767303459</v>
      </c>
      <c r="BH161" s="199">
        <f t="shared" si="645"/>
        <v>18.028266993302491</v>
      </c>
      <c r="BI161" s="213"/>
      <c r="BJ161" s="208">
        <f t="shared" si="695"/>
        <v>0.02</v>
      </c>
      <c r="BK161" s="102" t="s">
        <v>514</v>
      </c>
      <c r="BL161" s="196">
        <f>BM161+各项系数!$M$9*$NM161</f>
        <v>17.334281556023832</v>
      </c>
      <c r="BM161" s="196">
        <f>BN161*(1+$CF161+(VLOOKUP($AM161,$A$12:$B$323,2,0))+各项系数!$J$6+各项系数!$M$5)*(1+$E$2)</f>
        <v>17.189873063175718</v>
      </c>
      <c r="BN161" s="197">
        <f>BO161+各项系数!$L$9*$NM161</f>
        <v>16.866044999191246</v>
      </c>
      <c r="BO161" s="197">
        <f>BP161*(1+$CG161+各项系数!$J$5+各项系数!$L$5)</f>
        <v>16.721636506343131</v>
      </c>
      <c r="BP161" s="197">
        <f t="shared" si="646"/>
        <v>15.925368101279172</v>
      </c>
      <c r="BQ161" s="196">
        <f>BR161+各项系数!$M$9*$NM161</f>
        <v>18.140789178000144</v>
      </c>
      <c r="BR161" s="196">
        <f>BS161*(1+$CF161+(VLOOKUP($AM161,$A$12:$B$323,2,0))+各项系数!$J$6+各项系数!$M$5)*(1+$E$2)</f>
        <v>17.99638068515203</v>
      </c>
      <c r="BS161" s="197">
        <f>BT161+各项系数!$L$9*$NM161</f>
        <v>17.657359384960781</v>
      </c>
      <c r="BT161" s="197">
        <f>BU161*(1+$CG161+各项系数!$J$5+各项系数!$L$5)</f>
        <v>17.512950892112666</v>
      </c>
      <c r="BU161" s="197">
        <f t="shared" si="647"/>
        <v>16.679000849631109</v>
      </c>
      <c r="BV161" s="196">
        <f>BW161+各项系数!$M$9*$NT161</f>
        <v>18.637181474086898</v>
      </c>
      <c r="BW161" s="196">
        <f>BX161*(1+$CF161+(VLOOKUP($AM161,$A$12:$B$214,2,0))+各项系数!$J$6+各项系数!$M$5)*(1+$E$2)</f>
        <v>18.486874870736216</v>
      </c>
      <c r="BX161" s="197">
        <f>BY161+各项系数!$L$9*$NT$12</f>
        <v>18.138613491695661</v>
      </c>
      <c r="BY161" s="197">
        <f>BZ161*(1+$CG161+各项系数!$J$5+各项系数!$L$5)</f>
        <v>18.130350088540688</v>
      </c>
      <c r="BZ161" s="199">
        <f t="shared" si="586"/>
        <v>17.267000084324465</v>
      </c>
      <c r="CA161" s="196">
        <f>CB161+各项系数!$M$9*$NT161</f>
        <v>19.451858869398826</v>
      </c>
      <c r="CB161" s="196">
        <f>CC161*(1+$CF161+(VLOOKUP($AM161,$A$12:$B$214,2,0))+各项系数!$J$6+各项系数!$M$5)*(1+$E$2)</f>
        <v>19.301552266048144</v>
      </c>
      <c r="CC161" s="197">
        <f>CD161+各项系数!$L$9*$NT$12</f>
        <v>18.937943746122592</v>
      </c>
      <c r="CD161" s="197">
        <f>CE161*(1+$CG161+各项系数!$J$5+各项系数!$L$5)</f>
        <v>18.929680342967618</v>
      </c>
      <c r="CE161" s="199">
        <f t="shared" si="648"/>
        <v>18.028266993302491</v>
      </c>
      <c r="CF161" s="213">
        <f t="shared" si="514"/>
        <v>0</v>
      </c>
      <c r="CG161" s="213">
        <f t="shared" si="587"/>
        <v>0.03</v>
      </c>
      <c r="CH161" s="102"/>
      <c r="CI161" s="196">
        <f>CJ161+各项系数!$M$9*$NO161</f>
        <v>19.686617075402239</v>
      </c>
      <c r="CJ161" s="196">
        <f>CK161*(1+$DC161+(VLOOKUP($AM161,$A$12:$B$323,2,0))+各项系数!$J$6+各项系数!$M$5)*(1+$E$2)+各项系数!$M$9*$NK161</f>
        <v>19.409888415486584</v>
      </c>
      <c r="CK161" s="197">
        <f>CL161+各项系数!$L$9*$NO161</f>
        <v>18.902550944503993</v>
      </c>
      <c r="CL161" s="197">
        <f>CM161*(1+$DD161+各项系数!$J$5+各项系数!$L$5)</f>
        <v>18.625822284588338</v>
      </c>
      <c r="CM161" s="197">
        <f t="shared" si="588"/>
        <v>17.909444504411862</v>
      </c>
      <c r="CN161" s="196">
        <f>CO161+各项系数!$M$9*$NO161</f>
        <v>20.302693270631675</v>
      </c>
      <c r="CO161" s="196">
        <f>CP161*(1+$DC161+(VLOOKUP($AM161,$A$12:$B$323,2,0))+各项系数!$J$6+各项系数!$M$5)*(1+$E$2)+各项系数!$M$9*$NK161</f>
        <v>20.02596461071602</v>
      </c>
      <c r="CP161" s="197">
        <f>CQ161+各项系数!$L$9*$NO161</f>
        <v>19.507021308740093</v>
      </c>
      <c r="CQ161" s="197">
        <f>CR161*(1+$DD161+各项系数!$J$5+各项系数!$L$5)</f>
        <v>19.230292648824438</v>
      </c>
      <c r="CR161" s="197">
        <f t="shared" si="589"/>
        <v>18.490666008485036</v>
      </c>
      <c r="CS161" s="196">
        <f>CT161+各项系数!$M$9*$NU161</f>
        <v>21.344084197367629</v>
      </c>
      <c r="CT161" s="196">
        <f t="shared" si="590"/>
        <v>21.059922027821923</v>
      </c>
      <c r="CU161" s="197">
        <f>CV161+各项系数!$L$9*$NU161</f>
        <v>20.663188802808008</v>
      </c>
      <c r="CV161" s="197">
        <f>CW161*(1+$DD161+各项系数!$J$5+各项系数!$L$5)</f>
        <v>20.379026633262303</v>
      </c>
      <c r="CW161" s="199">
        <f t="shared" si="591"/>
        <v>19.595217916598369</v>
      </c>
      <c r="CX161" s="196">
        <f>CY161+各项系数!$M$9*$NU161</f>
        <v>22.508309976591637</v>
      </c>
      <c r="CY161" s="196">
        <f t="shared" si="592"/>
        <v>22.224147807045931</v>
      </c>
      <c r="CZ161" s="197">
        <f>DA161+各项系数!$L$9*$NU161</f>
        <v>21.805482542235019</v>
      </c>
      <c r="DA161" s="197">
        <f>DB161*(1+$DD161+各项系数!$J$5+各项系数!$L$5)</f>
        <v>21.521320372689313</v>
      </c>
      <c r="DB161" s="199">
        <f t="shared" si="593"/>
        <v>20.693577281432031</v>
      </c>
      <c r="DC161" s="213">
        <f t="shared" si="698"/>
        <v>0</v>
      </c>
      <c r="DD161" s="213">
        <f t="shared" si="594"/>
        <v>0.02</v>
      </c>
      <c r="DE161" s="53" t="s">
        <v>498</v>
      </c>
      <c r="DF161" s="53" t="s">
        <v>513</v>
      </c>
      <c r="DG161" s="196">
        <f>DH161+各项系数!$M$9*$NQ161</f>
        <v>20.041388964463621</v>
      </c>
      <c r="DH161" s="196">
        <f>DI161*(1+$EA161+(VLOOKUP($AM161,$A$12:$B$323,2,0))+各项系数!$J$6+各项系数!$M$5)*(1+$E$2)+各项系数!$M$9*$NK161</f>
        <v>19.764660304547967</v>
      </c>
      <c r="DI161" s="197">
        <f>DJ161+各项系数!$L$9*$NQ161</f>
        <v>19.250639532672537</v>
      </c>
      <c r="DJ161" s="197">
        <f>DK161*(1+$EB161+各项系数!$J$5+各项系数!$L$5)</f>
        <v>18.973910872756882</v>
      </c>
      <c r="DK161" s="197">
        <f t="shared" si="595"/>
        <v>18.070391307387506</v>
      </c>
      <c r="DL161" s="196">
        <f>DM161+各项系数!$M$9*$NQ161</f>
        <v>21.034984395825582</v>
      </c>
      <c r="DM161" s="196">
        <f>DN161*(1+$EA161+(VLOOKUP($AM161,$A$12:$B$323,2,0))+各项系数!$J$6+各项系数!$M$5)*(1+$E$2)+各项系数!$M$9*$NK161</f>
        <v>20.758255735909927</v>
      </c>
      <c r="DN161" s="197">
        <f>DO161+各项系数!$L$9*$NQ161</f>
        <v>20.225517310696443</v>
      </c>
      <c r="DO161" s="197">
        <f>DP161*(1+$EB161+各项系数!$J$5+各项系数!$L$5)</f>
        <v>19.948788650780788</v>
      </c>
      <c r="DP161" s="197">
        <f t="shared" si="596"/>
        <v>18.998846334076941</v>
      </c>
      <c r="DQ161" s="196">
        <f>DR161+各项系数!$M$9*$NV161</f>
        <v>21.717453711546415</v>
      </c>
      <c r="DR161" s="196">
        <f t="shared" si="597"/>
        <v>21.43329154200071</v>
      </c>
      <c r="DS161" s="197">
        <f>DT161+各项系数!$L$9*$NV161</f>
        <v>21.02952466836804</v>
      </c>
      <c r="DT161" s="197">
        <f>DU161*(1+$EB161+各项系数!$J$5+各项系数!$L$5)</f>
        <v>20.745362498822335</v>
      </c>
      <c r="DU161" s="199">
        <f t="shared" si="598"/>
        <v>19.757488094116507</v>
      </c>
      <c r="DV161" s="196">
        <f>DW161+各项系数!$M$9*$NV161</f>
        <v>21.31576323161978</v>
      </c>
      <c r="DW161" s="196">
        <f t="shared" si="599"/>
        <v>21.031601062074074</v>
      </c>
      <c r="DX161" s="197">
        <f>DY161+各项系数!$L$9*$NV161</f>
        <v>20.635401356038141</v>
      </c>
      <c r="DY161" s="197">
        <f>DZ161*(1+$EB161+各项系数!$J$5+各项系数!$L$5)</f>
        <v>20.351239186492435</v>
      </c>
      <c r="DZ161" s="199">
        <f t="shared" si="600"/>
        <v>19.382132558564223</v>
      </c>
      <c r="EA161" s="213">
        <f t="shared" si="699"/>
        <v>0</v>
      </c>
      <c r="EB161" s="213">
        <f t="shared" si="601"/>
        <v>0.03</v>
      </c>
      <c r="EC161" s="235">
        <f t="shared" si="649"/>
        <v>24</v>
      </c>
      <c r="ED161" s="235" t="str">
        <f t="shared" si="708"/>
        <v>24*1</v>
      </c>
      <c r="EE161" s="189">
        <f t="shared" si="709"/>
        <v>1</v>
      </c>
      <c r="EF161" s="189">
        <f>LOOKUP(EH161,{1,7,10,14,19,24,30,37,48,61},{1,"1+6","2+8","4+10","1+6+12","2+8+14","4+10+16","1+6+12+18","3+9+15+21","1+6+12+18+24"})</f>
        <v>1</v>
      </c>
      <c r="EG161" s="188">
        <f t="shared" si="602"/>
        <v>24</v>
      </c>
      <c r="EH161" s="197">
        <f>VLOOKUP(EE161,各项系数!$B$87:$C$124,2,0)</f>
        <v>1</v>
      </c>
      <c r="EI161" s="188">
        <f>IF(EH161=0,0,VLOOKUP(EH161,各项系数!$D$142:$E$195,2,0))*1</f>
        <v>1</v>
      </c>
      <c r="EJ161" s="238">
        <f t="shared" si="650"/>
        <v>110.31595161029</v>
      </c>
      <c r="EK161" s="189">
        <f t="shared" si="689"/>
        <v>0</v>
      </c>
      <c r="EL161" s="189">
        <f t="shared" si="603"/>
        <v>0</v>
      </c>
      <c r="EM161" s="189">
        <f t="shared" si="690"/>
        <v>0</v>
      </c>
      <c r="EN161" s="189">
        <f>IF(EP161=0,0,LOOKUP(EP161,{1,7,10,14,19,24,30,37,48,61},{1,"1+6","2+8","4+10","1+6+12","2+8+14","4+10+16","1+6+12+18","3+9+15+21","1+6+12+18+24"}))</f>
        <v>0</v>
      </c>
      <c r="EO161" s="189">
        <f t="shared" si="691"/>
        <v>0</v>
      </c>
      <c r="EP161" s="189">
        <f>IF(EM161=0,0,IF(EM161&lt;10,1,IF(AND(EM161&gt;=10,EM161&lt;=35),7,LOOKUP(EM161,{50,70,95,120,150,185,240,300},{10,14,19,24,30,37,48,61})*1)))</f>
        <v>0</v>
      </c>
      <c r="EQ161" s="189">
        <f>IF(EP161=0,0,VLOOKUP(EP161,各项系数!$D$142:$E$195,2,0))*1</f>
        <v>0</v>
      </c>
      <c r="ER161" s="53">
        <f t="shared" si="710"/>
        <v>0</v>
      </c>
      <c r="ES161" s="412">
        <f t="shared" si="692"/>
        <v>24</v>
      </c>
      <c r="ET161" s="189">
        <f>VLOOKUP(ES161,各项系数!$D$142:$E$195,2,0)*1</f>
        <v>6</v>
      </c>
      <c r="EU161" s="243">
        <f>((各项系数!$F$76/4*$EJ161^2*$EG161*$EH161*1*10^-7)*(1-$H161)*AA161)*(VLOOKUP($EY$9,各项系数!$D$4:$F$143,3,0))*各项系数!$J$4</f>
        <v>0.20290960064720881</v>
      </c>
      <c r="EV161" s="244">
        <f>EU161*(VLOOKUP($EY$9,各项系数!$D$4:$F$143,2,0))</f>
        <v>13.290578842392177</v>
      </c>
      <c r="EW161" s="252">
        <f>(IF($EO161=0,0,(各项系数!$F$76/4*$ER161^2*$EO161*$EP161*1*10^-7))*(1-$K161)*$AF161)*(VLOOKUP($EY$9,各项系数!$D$4:$F$143,3,0))*各项系数!$J$4</f>
        <v>0</v>
      </c>
      <c r="EX161" s="253">
        <f>EW161*(VLOOKUP($EY$9,各项系数!$D$4:$F$143,2,0))</f>
        <v>0</v>
      </c>
      <c r="EY161" s="189">
        <f>((各项系数!$F$76/4*$EJ161^2*$EG161*$EH161*1*10^-7)*(1-$H161)*AA161+IF($EO161=0,0,(各项系数!$F$76/4*$ER161^2*$EO161*$EP161*1*10^-7))*(1-$K161)*$AF161)*(VLOOKUP($EY$9,各项系数!$D$4:$F$143,3,0))*各项系数!$J$4</f>
        <v>0.20290960064720881</v>
      </c>
      <c r="EZ161" s="102">
        <v>1</v>
      </c>
      <c r="FA161" s="189">
        <f t="shared" si="711"/>
        <v>0.20290960064720881</v>
      </c>
      <c r="FB161" s="254">
        <f>FA161*(VLOOKUP($EY$9,各项系数!$D$4:$F$143,2,0))</f>
        <v>13.290578842392177</v>
      </c>
      <c r="FC161" s="255"/>
      <c r="FD161" s="235">
        <f>各项系数!$F$76/4*($MN161^2-MK161^2)*10^-2*(VLOOKUP(L161,各项系数!$D$1:$F$143,3,0))*10^-3*10^2*$EG161*各项系数!$J$4</f>
        <v>8.4330263456903393E-2</v>
      </c>
      <c r="FE161" s="262">
        <f>FD161*VLOOKUP(L161,各项系数!$D$1:$F$143,2,0)</f>
        <v>0.969798029754389</v>
      </c>
      <c r="FF161" s="188">
        <f>各项系数!$F$76/4*($MO161^2-ML161^2)*10^-2*(VLOOKUP(L161,各项系数!$D$1:$F$143,3,0))*10^-3*10^2*$EO161*各项系数!$J$4</f>
        <v>0</v>
      </c>
      <c r="FG161" s="262">
        <f>FF161*VLOOKUP(L161,各项系数!$D$1:$F$143,2,0)</f>
        <v>0</v>
      </c>
      <c r="FH161" s="235">
        <f t="shared" si="651"/>
        <v>8.4330263456903393E-2</v>
      </c>
      <c r="FI161" s="102">
        <v>1</v>
      </c>
      <c r="FJ161" s="189">
        <f t="shared" si="712"/>
        <v>8.4330263456903393E-2</v>
      </c>
      <c r="FK161" s="262">
        <f>FJ161*VLOOKUP(L161,各项系数!$D$1:$F$143,2,0)</f>
        <v>0.969798029754389</v>
      </c>
      <c r="FL161" s="235"/>
      <c r="FM161" s="102"/>
      <c r="FN161" s="189"/>
      <c r="FO161" s="262"/>
      <c r="FP161" s="282">
        <f t="shared" si="713"/>
        <v>8.4330263456903393E-2</v>
      </c>
      <c r="FQ161" s="282">
        <f t="shared" si="714"/>
        <v>0.969798029754389</v>
      </c>
      <c r="FR161" s="283">
        <f>各项系数!$F$76/4*($MQ161^2-$MN161^2*$EG161-$MO161^2*$EO161)*10^-2</f>
        <v>0.49994147258471999</v>
      </c>
      <c r="FS161" s="284">
        <f t="shared" si="652"/>
        <v>1</v>
      </c>
      <c r="FT161" s="285">
        <f t="shared" si="604"/>
        <v>0.49994147258471999</v>
      </c>
      <c r="FU161" s="302">
        <f>$FT161*(VLOOKUP($FT$9,各项系数!$D$1:$F$143,3,0))*10^-3*10^2*各项系数!$J$55</f>
        <v>5.9693011826615572E-2</v>
      </c>
      <c r="FV161" s="303">
        <v>1</v>
      </c>
      <c r="FW161" s="304">
        <f t="shared" si="715"/>
        <v>5.9693011826615572E-2</v>
      </c>
      <c r="FX161" s="285">
        <f>FW161*(VLOOKUP($FT$9,各项系数!$D$1:$F$143,2,0))</f>
        <v>0.17907903547984672</v>
      </c>
      <c r="FY161" s="302">
        <f>IF($BK161&lt;&gt;$FY$9,0,各项系数!$F$76/4*($MS161^2-$MQ161^2)*10^-2*(VLOOKUP($FY$9,各项系数!$D$1:$F$143,3,0))*10^-3*10^2)*各项系数!$J$4</f>
        <v>0</v>
      </c>
      <c r="FZ161" s="303">
        <v>1</v>
      </c>
      <c r="GA161" s="304">
        <f t="shared" si="716"/>
        <v>0</v>
      </c>
      <c r="GB161" s="285">
        <f>GA161*(VLOOKUP($FY$9,各项系数!$D$1:$F$143,2,0))</f>
        <v>0</v>
      </c>
      <c r="GC161" s="302">
        <f>IF($BK161&lt;&gt;$GC$9,0,各项系数!$F$76/4*($MS161^2-$MQ161^2)*10^-2*(VLOOKUP($GC$9,各项系数!$D$1:$F$143,3,0))*10^-3*10^2)*各项系数!$J$4</f>
        <v>3.7872409438042876E-3</v>
      </c>
      <c r="GD161" s="303">
        <v>1</v>
      </c>
      <c r="GE161" s="304">
        <f t="shared" si="717"/>
        <v>3.7872409438042876E-3</v>
      </c>
      <c r="GF161" s="285">
        <f>GE161*(VLOOKUP($GC$9,各项系数!$D$1:$F$143,2,0))</f>
        <v>4.8855408175075311E-2</v>
      </c>
      <c r="GG161" s="302">
        <f>IF($BK161&lt;&gt;$GG$9,0,各项系数!$F$76/4*($MS161^2-$MQ161^2)*10^-2*(VLOOKUP($GG$9,各项系数!$D$1:$F$143,3,0))*10^-3*10^2)*各项系数!$J$4</f>
        <v>0</v>
      </c>
      <c r="GH161" s="303">
        <v>1</v>
      </c>
      <c r="GI161" s="304">
        <f t="shared" si="718"/>
        <v>0</v>
      </c>
      <c r="GJ161" s="285">
        <f>GI161*(VLOOKUP($GG$9,各项系数!$D$1:$F$143,2,0))</f>
        <v>0</v>
      </c>
      <c r="GK161" s="302">
        <f>IF($BK161&lt;&gt;$GK$9,0,各项系数!$F$76/4*($MS161^2-$MQ161^2)*10^-2*(VLOOKUP($GK$9,各项系数!$D$1:$F$143,3,0))*10^-3*10^2)*各项系数!$J$4</f>
        <v>0</v>
      </c>
      <c r="GL161" s="303">
        <v>1</v>
      </c>
      <c r="GM161" s="304">
        <f t="shared" si="719"/>
        <v>0</v>
      </c>
      <c r="GN161" s="285">
        <f>GM161*(VLOOKUP($GK$9,各项系数!$D$1:$F$143,2,0))</f>
        <v>0</v>
      </c>
      <c r="GO161" s="304">
        <f t="shared" si="720"/>
        <v>3.7872409438042876E-3</v>
      </c>
      <c r="GP161" s="304">
        <f t="shared" si="721"/>
        <v>4.8855408175075311E-2</v>
      </c>
      <c r="GQ161" s="315">
        <f>各项系数!$F$76/4*($MU161^2-$MS161^2)*10^-2*(VLOOKUP($S161,各项系数!$D$1:$F$143,3,0))*10^-3*10^2*各项系数!$J$4</f>
        <v>0.21405914195722717</v>
      </c>
      <c r="GR161" s="303">
        <v>1</v>
      </c>
      <c r="GS161" s="304">
        <f t="shared" si="722"/>
        <v>0.21405914195722717</v>
      </c>
      <c r="GT161" s="304">
        <f t="shared" si="696"/>
        <v>0</v>
      </c>
      <c r="GU161" s="304">
        <f>ROUND($GS161*(VLOOKUP($S161,各项系数!$D$1:$F$143,2,0))+$E$3*GS161,GT161)</f>
        <v>1</v>
      </c>
      <c r="GV161" s="315">
        <f>各项系数!$F$76/4*($MT161^2-$MS161^2)*10^-2*(VLOOKUP($GV$9,各项系数!$D$1:$F$143,3,0))*10^-3*10^2*各项系数!$J$4*PI()/4*R161</f>
        <v>1.9660368341894066E-2</v>
      </c>
      <c r="GW161" s="303">
        <v>1</v>
      </c>
      <c r="GX161" s="304">
        <f t="shared" si="723"/>
        <v>1.9660368341894066E-2</v>
      </c>
      <c r="GY161" s="304">
        <f>$GX161*(VLOOKUP($GV$9,各项系数!$D$1:$F$143,2,0))</f>
        <v>1.3270748630778495</v>
      </c>
      <c r="GZ161" s="315">
        <f>各项系数!$F$76/4*($MV161^2-$MS161^2)*10^-2*(VLOOKUP($GZ$9,各项系数!$D$1:$F$143,3,0))*10^-3*10^2*各项系数!$J$4</f>
        <v>0.12886409022527173</v>
      </c>
      <c r="HA161" s="303">
        <v>1</v>
      </c>
      <c r="HB161" s="304">
        <f t="shared" si="653"/>
        <v>0.12886409022527173</v>
      </c>
      <c r="HC161" s="304">
        <f>HB161*(VLOOKUP($GZ$9,各项系数!$D$1:$F$143,2,0))</f>
        <v>2.1906895338296195</v>
      </c>
      <c r="HD161" s="315">
        <f>各项系数!$F$76/4*($MW161^2-$MT161^2)*10^-2*(VLOOKUP($HD$9,各项系数!$D$1:$F$143,3,0))*10^-3*10^2*各项系数!$J$4</f>
        <v>0.13016945967195021</v>
      </c>
      <c r="HE161" s="303">
        <v>1</v>
      </c>
      <c r="HF161" s="304">
        <f t="shared" si="654"/>
        <v>0.13016945967195021</v>
      </c>
      <c r="HG161" s="304">
        <f>HF161*(VLOOKUP($HD$9,各项系数!$D$1:$F$143,2,0))</f>
        <v>2.2128808144231535</v>
      </c>
      <c r="HH161" s="315">
        <f>各项系数!$F$76/4*($MV161^2-$MS161^2)*10^-2*(VLOOKUP($HH$9,各项系数!$D$1:$F$143,3,0))*10^-3*10^2*各项系数!$J$4</f>
        <v>0.12886409022527173</v>
      </c>
      <c r="HI161" s="322">
        <v>1</v>
      </c>
      <c r="HJ161" s="304">
        <f t="shared" si="655"/>
        <v>0.12886409022527173</v>
      </c>
      <c r="HK161" s="304">
        <f>HJ161*(VLOOKUP($HH$9,各项系数!$D$1:$F$143,2,0))</f>
        <v>2.1906895338296195</v>
      </c>
      <c r="HL161" s="315">
        <f>各项系数!$F$76/4*($MW161^2-$MT161^2)*10^-2*(VLOOKUP($HL$9,各项系数!$D$1:$F$143,3,0))*10^-3*10^2*各项系数!$J$4</f>
        <v>0.13016945967195021</v>
      </c>
      <c r="HM161" s="322">
        <v>1</v>
      </c>
      <c r="HN161" s="304">
        <f t="shared" si="605"/>
        <v>0.13016945967195021</v>
      </c>
      <c r="HO161" s="304">
        <f>HN161*(VLOOKUP($HL$9,各项系数!$D$1:$F$143,2,0))</f>
        <v>2.2128808144231535</v>
      </c>
      <c r="HP161" s="315">
        <f>各项系数!$F$76/4*($MV161^2-$MS161^2)*10^-2*(VLOOKUP(AN161,各项系数!$D$1:$F$143,3,0))*10^-3*10^2*各项系数!$J$4</f>
        <v>0.13064152595251688</v>
      </c>
      <c r="HQ161" s="303">
        <v>1</v>
      </c>
      <c r="HR161" s="304">
        <f t="shared" si="724"/>
        <v>0.13064152595251688</v>
      </c>
      <c r="HS161" s="304">
        <f>HR161*(VLOOKUP(AN161,各项系数!$D$1:$F$143,2,0))</f>
        <v>1.3064152595251688</v>
      </c>
      <c r="HT161" s="315">
        <f>各项系数!$F$76/4*($MW161^2-$MT161^2)*10^-2*(VLOOKUP(AN161,各项系数!$D$1:$F$143,3,0))*10^-3*10^2*各项系数!$J$4</f>
        <v>0.13196490049501156</v>
      </c>
      <c r="HU161" s="303">
        <v>1</v>
      </c>
      <c r="HV161" s="304">
        <f t="shared" si="725"/>
        <v>0.13196490049501156</v>
      </c>
      <c r="HW161" s="304">
        <f>HV161*(VLOOKUP(AN161,各项系数!$D$1:$F$143,2,0))</f>
        <v>1.3196490049501155</v>
      </c>
      <c r="HX161" s="315">
        <f>各项系数!$F$76/4*($MV161^2-$MS161^2)*10^-2*(VLOOKUP($HX$9,各项系数!$D$1:$F$143,3,0))*10^-3*10^2*各项系数!$J$4</f>
        <v>0.13064152595251688</v>
      </c>
      <c r="HY161" s="322">
        <v>1</v>
      </c>
      <c r="HZ161" s="304">
        <f t="shared" si="726"/>
        <v>0.13064152595251688</v>
      </c>
      <c r="IA161" s="304">
        <f>HZ161*(VLOOKUP($HX$9,各项系数!$D$1:$F$143,2,0))</f>
        <v>1.4370567854776857</v>
      </c>
      <c r="IB161" s="315">
        <f>各项系数!$F$76/4*($MW161^2-$MT161^2)*10^-2*(VLOOKUP($IB$9,各项系数!$D$1:$F$143,3,0))*10^-3*10^2*各项系数!$J$4</f>
        <v>0.13196490049501156</v>
      </c>
      <c r="IC161" s="322">
        <v>1</v>
      </c>
      <c r="ID161" s="304">
        <f t="shared" si="727"/>
        <v>0.13196490049501156</v>
      </c>
      <c r="IE161" s="304">
        <f>ID161*(VLOOKUP($IB$9,各项系数!$D$1:$F$143,2,0))</f>
        <v>1.4516139054451271</v>
      </c>
      <c r="IF161" s="328"/>
      <c r="IG161" s="315">
        <f t="shared" si="656"/>
        <v>4.7370040505791369E-2</v>
      </c>
      <c r="IH161" s="303">
        <v>1</v>
      </c>
      <c r="II161" s="304">
        <f t="shared" si="728"/>
        <v>4.7370040505791369E-2</v>
      </c>
      <c r="IJ161" s="304">
        <f>II161*(VLOOKUP($IG$8,各项系数!$D$1:$F$143,2,0))</f>
        <v>1.1842510126447843</v>
      </c>
      <c r="IK161" s="315">
        <f>(各项系数!$F$76/4*($MX161^2-$MK161^2)*$EG161)*10^-2*(VLOOKUP($IG$8,各项系数!$D$1:$F$143,3,0))*10^-3*10^2*各项系数!$J$4</f>
        <v>4.7370040505791369E-2</v>
      </c>
      <c r="IL161" s="303">
        <f>IK161*(VLOOKUP($IG$8,各项系数!$D$1:$F$143,2,0))</f>
        <v>1.1842510126447843</v>
      </c>
      <c r="IM161" s="304">
        <f>(各项系数!$F$76/4*(($MM161+3*$X161)^2-MM161^2)*$EO161)*10^-2*(VLOOKUP($IG$8,各项系数!$D$1:$F$143,3,0))*10^-3*10^2*各项系数!$J$4</f>
        <v>0</v>
      </c>
      <c r="IN161" s="303">
        <f>IM161*(VLOOKUP($IG$8,各项系数!$D$1:$F$143,2,0))</f>
        <v>0</v>
      </c>
      <c r="IO161" s="315">
        <f>各项系数!$F$76/4*($MZ161^2-$MX161^2)*10^-2*(VLOOKUP(L161,各项系数!$D$1:$F$143,3,0))*10^-3*10^2*$ES161*各项系数!$J$4</f>
        <v>0.1140386715537222</v>
      </c>
      <c r="IP161" s="303">
        <v>1</v>
      </c>
      <c r="IQ161" s="304">
        <f t="shared" si="729"/>
        <v>0.1140386715537222</v>
      </c>
      <c r="IR161" s="285">
        <f>IQ161*(VLOOKUP(L161,各项系数!$D$1:$F$143,2,0))</f>
        <v>1.3114447228678052</v>
      </c>
      <c r="IS161" s="315">
        <f>IF($L161&lt;&gt;$IS$9,0,各项系数!$F$76/4*($MZ161^2-$MX161^2)*10^-2*各项系数!$F$12*10^-3*10^2)*$ES161*各项系数!$J$4</f>
        <v>0</v>
      </c>
      <c r="IT161" s="303">
        <v>1</v>
      </c>
      <c r="IU161" s="304">
        <f t="shared" si="730"/>
        <v>0</v>
      </c>
      <c r="IV161" s="285">
        <f>IU161*各项系数!$E$12</f>
        <v>0</v>
      </c>
      <c r="IW161" s="302">
        <f t="shared" si="731"/>
        <v>0.1140386715537222</v>
      </c>
      <c r="IX161" s="302">
        <f t="shared" si="732"/>
        <v>1.3114447228678052</v>
      </c>
      <c r="IY161" s="339">
        <f>各项系数!$F$76/4*($NB161^2-$MZ161^2*$EG161-$NA161^2*$EO161)*10^-2</f>
        <v>0.79435187825427622</v>
      </c>
      <c r="IZ161" s="284">
        <f t="shared" si="697"/>
        <v>1</v>
      </c>
      <c r="JA161" s="285">
        <f t="shared" si="606"/>
        <v>0.79435187825427622</v>
      </c>
      <c r="JB161" s="282">
        <f>IF($DE161&lt;&gt;$JB$9,0,$JA161*各项系数!$F$32*10^-3*10^2)*各项系数!$J$4</f>
        <v>0</v>
      </c>
      <c r="JC161" s="102">
        <v>1</v>
      </c>
      <c r="JD161" s="189">
        <f t="shared" si="733"/>
        <v>0</v>
      </c>
      <c r="JE161" s="262">
        <f>JD161*各项系数!$E$32</f>
        <v>0</v>
      </c>
      <c r="JF161" s="282">
        <f>IF($DE161&lt;&gt;$JF$9,0,$JA161*VLOOKUP($JF$9,各项系数!$D$4:$F$540,2,0)*10^-3*10^2)*各项系数!$J$4</f>
        <v>0.39519005943150237</v>
      </c>
      <c r="JG161" s="102">
        <v>1</v>
      </c>
      <c r="JH161" s="189">
        <f t="shared" si="607"/>
        <v>0.39519005943150237</v>
      </c>
      <c r="JI161" s="262">
        <f>JH161*VLOOKUP($JF$9,各项系数!$D$4:$F$540,3,0)</f>
        <v>0.47422807131780281</v>
      </c>
      <c r="JJ161" s="282">
        <f t="shared" si="734"/>
        <v>0.39519005943150237</v>
      </c>
      <c r="JK161" s="189">
        <f t="shared" si="735"/>
        <v>0.47422807131780281</v>
      </c>
      <c r="JL161" s="282">
        <f>IF($DF161&lt;&gt;$JL$9,0,各项系数!$F$76/4*($NE161^2-$NC161^2)*10^-2*各项系数!$F$39*10^-3*10^2)*各项系数!$J$4</f>
        <v>1.9736912716422838E-3</v>
      </c>
      <c r="JM161" s="102">
        <v>1</v>
      </c>
      <c r="JN161" s="189">
        <f t="shared" si="736"/>
        <v>1.9736912716422838E-3</v>
      </c>
      <c r="JO161" s="262">
        <f>JN161*各项系数!$E$39</f>
        <v>3.947382543284568E-2</v>
      </c>
      <c r="JP161" s="282">
        <f>IF($DF161&lt;&gt;$JP$9,0,各项系数!$F$76/4*($NE161^2-$NC161^2)*10^-2*各项系数!$F$36*10^-3*10^2)*各项系数!$J$4</f>
        <v>0</v>
      </c>
      <c r="JQ161" s="102">
        <v>1</v>
      </c>
      <c r="JR161" s="189">
        <f t="shared" si="737"/>
        <v>0</v>
      </c>
      <c r="JS161" s="262">
        <f>JR161*各项系数!$E$36</f>
        <v>0</v>
      </c>
      <c r="JT161" s="282">
        <f>IF($DF161&lt;&gt;$JT$9,0,各项系数!$F$76/4*($NE161^2-$NC161^2)*10^-2*各项系数!$F$40*10^-3*10^2)*各项系数!$J$4</f>
        <v>0</v>
      </c>
      <c r="JU161" s="102">
        <v>1</v>
      </c>
      <c r="JV161" s="189">
        <f t="shared" si="738"/>
        <v>0</v>
      </c>
      <c r="JW161" s="262">
        <f>JV161*各项系数!$E$40</f>
        <v>0</v>
      </c>
      <c r="JX161" s="282">
        <f>IF($DF161&lt;&gt;$JX$9,0,各项系数!$F$76/4*($NE161^2-$NC161^2)*10^-2*各项系数!$F$38*10^-3*10^2)*各项系数!$J$4</f>
        <v>0</v>
      </c>
      <c r="JY161" s="102">
        <v>1</v>
      </c>
      <c r="JZ161" s="189">
        <f t="shared" si="739"/>
        <v>0</v>
      </c>
      <c r="KA161" s="262">
        <f>JZ161*各项系数!$E$38</f>
        <v>0</v>
      </c>
      <c r="KB161" s="282">
        <f>IF($DF161&lt;&gt;$KB$9,0,各项系数!$F$76/4*($NE161^2-$NC161^2)*10^-2*各项系数!$F$41*10^-3*10^2)*各项系数!$J$4</f>
        <v>0</v>
      </c>
      <c r="KC161" s="102">
        <v>1</v>
      </c>
      <c r="KD161" s="189">
        <f t="shared" si="740"/>
        <v>0</v>
      </c>
      <c r="KE161" s="262">
        <f>KD161*各项系数!$E$41</f>
        <v>0</v>
      </c>
      <c r="KF161" s="189">
        <f t="shared" si="741"/>
        <v>1.9736912716422838E-3</v>
      </c>
      <c r="KG161" s="189">
        <f t="shared" si="742"/>
        <v>3.947382543284568E-2</v>
      </c>
      <c r="KH161" s="235">
        <f>各项系数!$F$76/4*($NG161^2-$NE161^2)*10^-2*各项系数!$F$44*10^-3*10^2*各项系数!$J$4*0.75*$U161</f>
        <v>0.80339325330083589</v>
      </c>
      <c r="KI161" s="102">
        <v>1</v>
      </c>
      <c r="KJ161" s="189">
        <f t="shared" si="743"/>
        <v>0.80339325330083589</v>
      </c>
      <c r="KK161" s="189">
        <f>ROUND(KJ161*各项系数!$E$43,GT161)</f>
        <v>5</v>
      </c>
      <c r="KL161" s="235">
        <f>各项系数!$F$76/4*($NF161^2-$NE161^2)*10^-2*各项系数!$F$46*10^-3*10^2*各项系数!$J$4*PI()/4*R161</f>
        <v>2.4778365433504548E-2</v>
      </c>
      <c r="KM161" s="102">
        <v>1</v>
      </c>
      <c r="KN161" s="189">
        <f t="shared" si="744"/>
        <v>2.4778365433504548E-2</v>
      </c>
      <c r="KO161" s="189">
        <f>KN161*各项系数!$E$46</f>
        <v>1.6725396667615571</v>
      </c>
      <c r="KP161" s="235">
        <f>各项系数!$F$76/4*($NH161^2-$NE161^2)*10^-2*(VLOOKUP($KP$9,各项系数!$D$1:$F$143,3,0))*10^-3*10^2*各项系数!$J$4</f>
        <v>0.15875705055420725</v>
      </c>
      <c r="KQ161" s="102">
        <v>1</v>
      </c>
      <c r="KR161" s="189">
        <f t="shared" si="657"/>
        <v>0.15875705055420725</v>
      </c>
      <c r="KS161" s="189">
        <f>KR161*(VLOOKUP($KP$9,各项系数!$D$1:$F$143,2,0))</f>
        <v>2.698869859421523</v>
      </c>
      <c r="KT161" s="235">
        <f>各项系数!$F$76/4*($NI161^2-$NF161^2)*10^-2*(VLOOKUP($KT$9,各项系数!$D$1:$F$143,3,0))*10^-3*10^2*各项系数!$J$4</f>
        <v>0.16006242000088566</v>
      </c>
      <c r="KU161" s="102">
        <v>1</v>
      </c>
      <c r="KV161" s="189">
        <f t="shared" si="658"/>
        <v>0.16006242000088566</v>
      </c>
      <c r="KW161" s="189">
        <f>KV161*(VLOOKUP($KT$9,各项系数!$D$1:$F$143,2,0))</f>
        <v>2.7210611400150562</v>
      </c>
      <c r="KX161" s="189">
        <f>各项系数!$F$76/4*($NH161^2-$NE161^2)*10^-2*(VLOOKUP($KX$9,各项系数!$D$1:$F$143,3,0))*10^-3*10^2*各项系数!$J$4</f>
        <v>0.15875705055420725</v>
      </c>
      <c r="KY161" s="353">
        <v>1</v>
      </c>
      <c r="KZ161" s="189">
        <f t="shared" si="659"/>
        <v>0.15875705055420725</v>
      </c>
      <c r="LA161" s="189">
        <f>KZ161*(VLOOKUP($KX$9,各项系数!$D$1:$F$143,2,0))</f>
        <v>2.698869859421523</v>
      </c>
      <c r="LB161" s="189">
        <f>各项系数!$F$76/4*($NI161^2-$NF161^2)*10^-2*(VLOOKUP($LB$9,各项系数!$D$1:$F$143,3,0))*10^-3*10^2*各项系数!$J$4</f>
        <v>0.16006242000088566</v>
      </c>
      <c r="LC161" s="353">
        <v>1</v>
      </c>
      <c r="LD161" s="189">
        <f t="shared" si="660"/>
        <v>0.16006242000088566</v>
      </c>
      <c r="LE161" s="189">
        <f>LD161*(VLOOKUP($LB$9,各项系数!$D$1:$F$143,2,0))</f>
        <v>2.7210611400150562</v>
      </c>
      <c r="LF161" s="235">
        <f>各项系数!$F$76/4*($NH161^2-$NE161^2)*10^-2*(VLOOKUP(AN161,各项系数!$D$1:$F$143,3,0))*10^-3*10^2*各项系数!$J$4</f>
        <v>0.16094680297564457</v>
      </c>
      <c r="LG161" s="102">
        <v>1</v>
      </c>
      <c r="LH161" s="189">
        <f t="shared" si="745"/>
        <v>0.16094680297564457</v>
      </c>
      <c r="LI161" s="189">
        <f>LH161*(VLOOKUP(AN161,各项系数!$D$1:$F$143,2,0))</f>
        <v>1.6094680297564457</v>
      </c>
      <c r="LJ161" s="235">
        <f>各项系数!$F$76/4*($NI161^2-$NF161^2)*10^-2*(VLOOKUP(AN161,各项系数!$D$1:$F$143,3,0))*10^-3*10^2*各项系数!$J$4</f>
        <v>0.16227017751813924</v>
      </c>
      <c r="LK161" s="102">
        <v>1</v>
      </c>
      <c r="LL161" s="189">
        <f t="shared" si="746"/>
        <v>0.16227017751813924</v>
      </c>
      <c r="LM161" s="189">
        <f>LL161*(VLOOKUP(AN161,各项系数!$D$1:$F$143,2,0))</f>
        <v>1.6227017751813924</v>
      </c>
      <c r="LN161" s="189">
        <f>各项系数!$F$76/4*($NH161^2-$NE161^2)*10^-2*(VLOOKUP($LN$9,各项系数!$D$1:$F$143,3,0))*10^-3*10^2*各项系数!$J$4</f>
        <v>0.16094680297564457</v>
      </c>
      <c r="LO161" s="353">
        <v>1</v>
      </c>
      <c r="LP161" s="189">
        <f t="shared" si="747"/>
        <v>0.16094680297564457</v>
      </c>
      <c r="LQ161" s="189">
        <f>LP161*(VLOOKUP($LN$9,各项系数!$D$1:$F$143,2,0))</f>
        <v>1.7704148327320901</v>
      </c>
      <c r="LR161" s="189">
        <f>各项系数!$F$76/4*($NI161^2-$NF161^2)*10^-2*(VLOOKUP($LR$9,各项系数!$D$1:$F$143,3,0))*10^-3*10^2*各项系数!$J$4</f>
        <v>0.16227017751813924</v>
      </c>
      <c r="LS161" s="353">
        <v>1</v>
      </c>
      <c r="LT161" s="189">
        <f t="shared" si="748"/>
        <v>0.16227017751813924</v>
      </c>
      <c r="LU161" s="189">
        <f>LT161*(VLOOKUP($LR$9,各项系数!$D$1:$F$143,2,0))</f>
        <v>1.7849719526995316</v>
      </c>
      <c r="LV161" s="227">
        <f t="shared" si="661"/>
        <v>22.93917304</v>
      </c>
      <c r="LW161" s="227">
        <f t="shared" si="662"/>
        <v>22.93917304</v>
      </c>
      <c r="LX161" s="227">
        <f t="shared" si="663"/>
        <v>5.4043558578290085</v>
      </c>
      <c r="LY161" s="227">
        <f t="shared" si="664"/>
        <v>0</v>
      </c>
      <c r="LZ161" s="374">
        <f t="shared" si="608"/>
        <v>1</v>
      </c>
      <c r="MA161" s="375">
        <f t="shared" si="609"/>
        <v>22.93917304</v>
      </c>
      <c r="MB161" s="375">
        <f t="shared" si="665"/>
        <v>1.1031595199999999</v>
      </c>
      <c r="MC161" s="227">
        <f t="shared" si="666"/>
        <v>0</v>
      </c>
      <c r="MD161" s="227">
        <f t="shared" si="667"/>
        <v>0</v>
      </c>
      <c r="ME161" s="227">
        <f t="shared" si="668"/>
        <v>0</v>
      </c>
      <c r="MF161" s="227">
        <f t="shared" si="669"/>
        <v>0</v>
      </c>
      <c r="MG161" s="374">
        <f t="shared" si="670"/>
        <v>1</v>
      </c>
      <c r="MH161" s="375">
        <f t="shared" si="610"/>
        <v>0</v>
      </c>
      <c r="MI161" s="375">
        <f t="shared" si="671"/>
        <v>0</v>
      </c>
      <c r="MJ161" s="189">
        <f t="shared" si="611"/>
        <v>1.1031595199999999</v>
      </c>
      <c r="MK161" s="189">
        <f t="shared" si="672"/>
        <v>1.1031595199999999</v>
      </c>
      <c r="ML161" s="189">
        <f t="shared" si="749"/>
        <v>0</v>
      </c>
      <c r="MM161" s="189">
        <f t="shared" si="612"/>
        <v>0</v>
      </c>
      <c r="MN161" s="189">
        <f t="shared" si="613"/>
        <v>2.3031595199999999</v>
      </c>
      <c r="MO161" s="189">
        <f t="shared" si="673"/>
        <v>0</v>
      </c>
      <c r="MP161" s="189">
        <f t="shared" si="674"/>
        <v>13.81895712</v>
      </c>
      <c r="MQ161" s="189">
        <f t="shared" si="750"/>
        <v>13.81895712</v>
      </c>
      <c r="MR161" s="246">
        <f t="shared" si="675"/>
        <v>13.81895712</v>
      </c>
      <c r="MS161" s="380">
        <f t="shared" si="614"/>
        <v>13.99495712</v>
      </c>
      <c r="MT161" s="380">
        <f t="shared" si="615"/>
        <v>14.154957120000001</v>
      </c>
      <c r="MU161" s="380">
        <f t="shared" si="616"/>
        <v>15.194957120000002</v>
      </c>
      <c r="MV161" s="380">
        <f t="shared" si="617"/>
        <v>17.59495712</v>
      </c>
      <c r="MW161" s="380">
        <f t="shared" si="618"/>
        <v>17.75495712</v>
      </c>
      <c r="MX161" s="254">
        <f t="shared" si="619"/>
        <v>1.70315952</v>
      </c>
      <c r="MY161" s="254">
        <f t="shared" si="620"/>
        <v>0</v>
      </c>
      <c r="MZ161" s="189">
        <f t="shared" si="621"/>
        <v>2.90315952</v>
      </c>
      <c r="NA161" s="189">
        <f t="shared" si="622"/>
        <v>0</v>
      </c>
      <c r="NB161" s="189">
        <f t="shared" si="676"/>
        <v>17.418957120000002</v>
      </c>
      <c r="NC161" s="254">
        <f t="shared" si="751"/>
        <v>17.418957120000002</v>
      </c>
      <c r="ND161" s="246">
        <f t="shared" si="677"/>
        <v>17.418957120000002</v>
      </c>
      <c r="NE161" s="386">
        <f t="shared" si="678"/>
        <v>17.65895712</v>
      </c>
      <c r="NF161" s="380">
        <f t="shared" si="623"/>
        <v>17.81895712</v>
      </c>
      <c r="NG161" s="387">
        <f t="shared" si="624"/>
        <v>18.858957119999999</v>
      </c>
      <c r="NH161" s="254">
        <f t="shared" si="625"/>
        <v>21.258957120000002</v>
      </c>
      <c r="NI161" s="380">
        <f t="shared" si="626"/>
        <v>21.418957120000002</v>
      </c>
      <c r="NK161" s="388">
        <f t="shared" si="627"/>
        <v>0.48136164282704891</v>
      </c>
      <c r="NL161" s="388">
        <f t="shared" si="628"/>
        <v>15.794726575326656</v>
      </c>
      <c r="NM161" s="388">
        <f t="shared" si="629"/>
        <v>0.48136164282704891</v>
      </c>
      <c r="NN161" s="388">
        <f t="shared" si="630"/>
        <v>15.925368101279172</v>
      </c>
      <c r="NO161" s="388">
        <f t="shared" si="631"/>
        <v>0.92242886638551158</v>
      </c>
      <c r="NP161" s="388">
        <f t="shared" si="632"/>
        <v>17.909444504411862</v>
      </c>
      <c r="NQ161" s="388">
        <f t="shared" si="633"/>
        <v>0.92242886638551158</v>
      </c>
      <c r="NR161" s="388">
        <f t="shared" si="634"/>
        <v>18.070391307387506</v>
      </c>
      <c r="NS161" s="388">
        <f t="shared" si="635"/>
        <v>0.50102201116894296</v>
      </c>
      <c r="NT161" s="388">
        <f t="shared" si="636"/>
        <v>0.50102201116894296</v>
      </c>
      <c r="NU161" s="388">
        <f t="shared" si="637"/>
        <v>0.94720723181901612</v>
      </c>
      <c r="NV161" s="388">
        <f t="shared" si="638"/>
        <v>0.94720723181901612</v>
      </c>
      <c r="NW161">
        <f t="shared" si="639"/>
        <v>0.69542078478427605</v>
      </c>
      <c r="NX161">
        <f>各项系数!$M$9*NK161</f>
        <v>0.14440849284811466</v>
      </c>
      <c r="NY161">
        <f t="shared" si="640"/>
        <v>0.50102201116894296</v>
      </c>
    </row>
    <row r="162" spans="1:389" ht="15" hidden="1" customHeight="1">
      <c r="A162" s="69"/>
      <c r="B162" s="70"/>
      <c r="C162" s="69"/>
      <c r="D162" s="102" t="s">
        <v>940</v>
      </c>
      <c r="E162" s="61">
        <f t="shared" si="687"/>
        <v>17.940431050000001</v>
      </c>
      <c r="F162" s="405">
        <f t="shared" si="693"/>
        <v>110.31595161029</v>
      </c>
      <c r="G162" s="16"/>
      <c r="H162" s="16"/>
      <c r="I162" s="145">
        <v>0</v>
      </c>
      <c r="J162" s="16"/>
      <c r="K162" s="16"/>
      <c r="L162" s="97" t="s">
        <v>469</v>
      </c>
      <c r="M162" s="103">
        <f t="shared" si="582"/>
        <v>0.6</v>
      </c>
      <c r="N162" s="103">
        <f t="shared" si="583"/>
        <v>0</v>
      </c>
      <c r="O162" s="53">
        <f t="shared" si="703"/>
        <v>0.08</v>
      </c>
      <c r="P162" s="99">
        <v>0.1</v>
      </c>
      <c r="Q162" s="133">
        <f t="shared" si="700"/>
        <v>0.1</v>
      </c>
      <c r="R162" s="406">
        <v>0.8</v>
      </c>
      <c r="S162" s="142" t="str">
        <f>各项系数!$D$43</f>
        <v>钢带</v>
      </c>
      <c r="T162" s="102">
        <v>0.2</v>
      </c>
      <c r="U162" s="62">
        <v>4</v>
      </c>
      <c r="V162" s="143"/>
      <c r="W162" s="141">
        <f t="shared" si="752"/>
        <v>1.8</v>
      </c>
      <c r="X162" s="135">
        <f t="shared" si="701"/>
        <v>0.2</v>
      </c>
      <c r="Y162" s="135"/>
      <c r="Z162" s="168"/>
      <c r="AA162" s="153">
        <v>1</v>
      </c>
      <c r="AB162" s="153">
        <f>PI()*EJ162*EJ162/4*EH162*(1-H162)*AA162*各项系数!$F$5*各项系数!$J$4*10^-7</f>
        <v>8.4545666936336993E-3</v>
      </c>
      <c r="AC162" s="153">
        <f t="shared" si="704"/>
        <v>110.31595161029</v>
      </c>
      <c r="AD162" s="153">
        <f t="shared" si="584"/>
        <v>0.95579886989884166</v>
      </c>
      <c r="AE162" s="153">
        <f>POWER(4*EU162/PI()/EG162/10^-7/EH162/(1-H162)/各项系数!$F$5/各项系数!$J$4,0.5)</f>
        <v>110.31595161028999</v>
      </c>
      <c r="AF162" s="69">
        <v>1</v>
      </c>
      <c r="AG162" s="69">
        <f>IF(EM162=0,0,PI()*ER162*ER162/4*EP162*(1-K162)*(1+AF162)*各项系数!$F$5*各项系数!$J$4*10^-7)</f>
        <v>0</v>
      </c>
      <c r="AH162" s="69">
        <f t="shared" si="705"/>
        <v>0</v>
      </c>
      <c r="AI162" s="69">
        <f t="shared" si="641"/>
        <v>0</v>
      </c>
      <c r="AJ162" s="69">
        <f>IF(OR(EP162="",EP162=0),0,POWER(4*EW162/PI()/EO162/10^-7/EP162/(1-K162)/各项系数!$F$5/各项系数!$J$4,0.5))</f>
        <v>0</v>
      </c>
      <c r="AK162" s="69" t="str">
        <f t="shared" si="585"/>
        <v>√</v>
      </c>
      <c r="AL162" s="69">
        <f t="shared" si="706"/>
        <v>19.334992882152175</v>
      </c>
      <c r="AM162" s="188">
        <f t="shared" si="707"/>
        <v>1</v>
      </c>
      <c r="AN162" s="97" t="s">
        <v>486</v>
      </c>
      <c r="AO162" s="196">
        <f>AP162+各项系数!$M$9*$NK162</f>
        <v>18.955875374658994</v>
      </c>
      <c r="AP162" s="196">
        <f>AQ162*(1+$BI162+(VLOOKUP($AM162,$A$12:$B$323,2,0))+各项系数!$J$6+各项系数!$M$5)*(1+$E$2)</f>
        <v>18.801567141472702</v>
      </c>
      <c r="AQ162" s="197">
        <f>AR162+各项系数!$L$9*$NK162</f>
        <v>18.447377493595663</v>
      </c>
      <c r="AR162" s="197">
        <f>AS162*(1+$BJ162+各项系数!$J$5+各项系数!$L$5)</f>
        <v>18.293069260409371</v>
      </c>
      <c r="AS162" s="197">
        <f t="shared" si="642"/>
        <v>17.589489673470549</v>
      </c>
      <c r="AT162" s="196">
        <f>AU162+各项系数!$M$9*$NM162</f>
        <v>19.913678880791412</v>
      </c>
      <c r="AU162" s="196">
        <f>AV162*(1+$BI162+(VLOOKUP($AM162,$A$12:$B$323,2,0))+各项系数!$J$6+各项系数!$M$5)*(1+$E$2)</f>
        <v>19.75937064760512</v>
      </c>
      <c r="AV162" s="197">
        <f>AW162+各项系数!$L$9*$NM162</f>
        <v>19.387137605578022</v>
      </c>
      <c r="AW162" s="197">
        <f>AX162*(1+$BJ162+各项系数!$J$5+各项系数!$L$5)</f>
        <v>19.232829372391731</v>
      </c>
      <c r="AX162" s="197">
        <f t="shared" si="643"/>
        <v>18.493105165761278</v>
      </c>
      <c r="AY162" s="196">
        <f>AZ162+各项系数!$M$9*$NS162</f>
        <v>20.423288199642112</v>
      </c>
      <c r="AZ162" s="196">
        <f>BA162*(1+$BI162+(VLOOKUP($AM162,$A$12:$B$214,2,0))+各项系数!$J$6+各项系数!$M$5)*(1+$E$2)</f>
        <v>20.262937085109723</v>
      </c>
      <c r="BA162" s="197">
        <f>BB162+各项系数!$L$9*$NS162</f>
        <v>19.88121770517045</v>
      </c>
      <c r="BB162" s="197">
        <f>BC162*(1+$BJ162+各项系数!$J$5+各项系数!$L$5)</f>
        <v>19.72086659063806</v>
      </c>
      <c r="BC162" s="199">
        <f t="shared" si="644"/>
        <v>18.962371721767365</v>
      </c>
      <c r="BD162" s="196">
        <f>BE162+各项系数!$M$9*$NS162</f>
        <v>21.390586406412105</v>
      </c>
      <c r="BE162" s="196">
        <f>BF162*(1+$BI162+(VLOOKUP($AM162,$A$12:$B$214,2,0))+各项系数!$J$6+各项系数!$M$5)*(1+$E$2)</f>
        <v>21.230235291879715</v>
      </c>
      <c r="BF162" s="197">
        <f>BG162+各项系数!$L$9*$NS162</f>
        <v>20.830293653728138</v>
      </c>
      <c r="BG162" s="197">
        <f>BH162*(1+$BJ162+各项系数!$J$5+各项系数!$L$5)</f>
        <v>20.669942539195748</v>
      </c>
      <c r="BH162" s="199">
        <f t="shared" si="645"/>
        <v>19.874944749226682</v>
      </c>
      <c r="BI162" s="213"/>
      <c r="BJ162" s="208">
        <f t="shared" si="695"/>
        <v>0.02</v>
      </c>
      <c r="BK162" s="102" t="s">
        <v>514</v>
      </c>
      <c r="BL162" s="196">
        <f>BM162+各项系数!$M$9*$NM162</f>
        <v>19.278012713530387</v>
      </c>
      <c r="BM162" s="196">
        <f>BN162*(1+$CF162+(VLOOKUP($AM162,$A$12:$B$323,2,0))+各项系数!$J$6+各项系数!$M$5)*(1+$E$2)</f>
        <v>19.123704480344095</v>
      </c>
      <c r="BN162" s="197">
        <f>BO162+各项系数!$L$9*$NM162</f>
        <v>18.763446311169638</v>
      </c>
      <c r="BO162" s="197">
        <f>BP162*(1+$CG162+各项系数!$J$5+各项系数!$L$5)</f>
        <v>18.609138077983346</v>
      </c>
      <c r="BP162" s="197">
        <f t="shared" si="646"/>
        <v>17.722988645698425</v>
      </c>
      <c r="BQ162" s="196">
        <f>BR162+各项系数!$M$9*$NM162</f>
        <v>20.102160608640855</v>
      </c>
      <c r="BR162" s="196">
        <f>BS162*(1+$CF162+(VLOOKUP($AM162,$A$12:$B$323,2,0))+各项系数!$J$6+各项系数!$M$5)*(1+$E$2)</f>
        <v>19.947852375454563</v>
      </c>
      <c r="BS162" s="197">
        <f>BT162+各项系数!$L$9*$NM162</f>
        <v>19.572068657235636</v>
      </c>
      <c r="BT162" s="197">
        <f>BU162*(1+$CG162+各项系数!$J$5+各项系数!$L$5)</f>
        <v>19.417760424049344</v>
      </c>
      <c r="BU162" s="197">
        <f t="shared" si="647"/>
        <v>18.493105165761278</v>
      </c>
      <c r="BV162" s="196">
        <f>BW162+各项系数!$M$9*$NT162</f>
        <v>20.605826379414285</v>
      </c>
      <c r="BW162" s="196">
        <f>BX162*(1+$CF162+(VLOOKUP($AM162,$A$12:$B$214,2,0))+各项系数!$J$6+各项系数!$M$5)*(1+$E$2)</f>
        <v>20.445475264881896</v>
      </c>
      <c r="BX162" s="197">
        <f>BY162+各项系数!$L$9*$NT$12</f>
        <v>20.060317175119597</v>
      </c>
      <c r="BY162" s="197">
        <f>BZ162*(1+$CG162+各项系数!$J$5+各项系数!$L$5)</f>
        <v>20.052053771964623</v>
      </c>
      <c r="BZ162" s="199">
        <f t="shared" si="586"/>
        <v>19.097194068537735</v>
      </c>
      <c r="CA162" s="196">
        <f>CB162+各项系数!$M$9*$NT162</f>
        <v>21.438144047860366</v>
      </c>
      <c r="CB162" s="196">
        <f>CC162*(1+$CF162+(VLOOKUP($AM162,$A$12:$B$214,2,0))+各项系数!$J$6+各项系数!$M$5)*(1+$E$2)</f>
        <v>21.277792933327976</v>
      </c>
      <c r="CC162" s="197">
        <f>CD162+各项系数!$L$9*$NT$12</f>
        <v>20.87695538984299</v>
      </c>
      <c r="CD162" s="197">
        <f>CE162*(1+$CG162+各项系数!$J$5+各项系数!$L$5)</f>
        <v>20.868691986688017</v>
      </c>
      <c r="CE162" s="199">
        <f t="shared" si="648"/>
        <v>19.874944749226682</v>
      </c>
      <c r="CF162" s="213">
        <f t="shared" ref="CF162:CF193" si="753">BI162+$CF$2</f>
        <v>0</v>
      </c>
      <c r="CG162" s="213">
        <f t="shared" si="587"/>
        <v>0.03</v>
      </c>
      <c r="CH162" s="102"/>
      <c r="CI162" s="196">
        <f>CJ162+各项系数!$M$9*$NO162</f>
        <v>21.784335706018812</v>
      </c>
      <c r="CJ162" s="196">
        <f>CK162*(1+$DC162+(VLOOKUP($AM162,$A$12:$B$323,2,0))+各项系数!$J$6+各项系数!$M$5)*(1+$E$2)+各项系数!$M$9*$NK162</f>
        <v>21.504483261924861</v>
      </c>
      <c r="CK162" s="197">
        <f>CL162+各项系数!$L$9*$NO162</f>
        <v>20.947973929296083</v>
      </c>
      <c r="CL162" s="197">
        <f>CM162*(1+$DD162+各项系数!$J$5+各项系数!$L$5)</f>
        <v>20.668121485202132</v>
      </c>
      <c r="CM162" s="197">
        <f t="shared" si="588"/>
        <v>19.873193735771281</v>
      </c>
      <c r="CN162" s="196">
        <f>CO162+各项系数!$M$9*$NO162</f>
        <v>22.413022590892517</v>
      </c>
      <c r="CO162" s="196">
        <f>CP162*(1+$DC162+(VLOOKUP($AM162,$A$12:$B$323,2,0))+各项系数!$J$6+各项系数!$M$5)*(1+$E$2)+各项系数!$M$9*$NK162</f>
        <v>22.133170146798566</v>
      </c>
      <c r="CP162" s="197">
        <f>CQ162+各项系数!$L$9*$NO162</f>
        <v>21.564817419164321</v>
      </c>
      <c r="CQ162" s="197">
        <f>CR162*(1+$DD162+各项系数!$J$5+各项系数!$L$5)</f>
        <v>21.28496497507037</v>
      </c>
      <c r="CR162" s="197">
        <f t="shared" si="589"/>
        <v>20.466312476029202</v>
      </c>
      <c r="CS162" s="196">
        <f>CT162+各项系数!$M$9*$NU162</f>
        <v>23.475793002160454</v>
      </c>
      <c r="CT162" s="196">
        <f t="shared" si="590"/>
        <v>23.188324563094703</v>
      </c>
      <c r="CU162" s="197">
        <f>CV162+各项系数!$L$9*$NU162</f>
        <v>22.751495842910813</v>
      </c>
      <c r="CV162" s="197">
        <f>CW162*(1+$DD162+各项系数!$J$5+各项系数!$L$5)</f>
        <v>22.464027403845062</v>
      </c>
      <c r="CW162" s="199">
        <f t="shared" si="591"/>
        <v>21.600026349851021</v>
      </c>
      <c r="CX162" s="196">
        <f>CY162+各项系数!$M$9*$NU162</f>
        <v>24.665860622639581</v>
      </c>
      <c r="CY162" s="196">
        <f t="shared" si="592"/>
        <v>24.37839218357383</v>
      </c>
      <c r="CZ162" s="197">
        <f>DA162+各项系数!$L$9*$NU162</f>
        <v>23.919144607117179</v>
      </c>
      <c r="DA162" s="197">
        <f>DB162*(1+$DD162+各项系数!$J$5+各项系数!$L$5)</f>
        <v>23.631676168051428</v>
      </c>
      <c r="DB162" s="199">
        <f t="shared" si="593"/>
        <v>22.722765546203295</v>
      </c>
      <c r="DC162" s="213">
        <f t="shared" si="698"/>
        <v>0</v>
      </c>
      <c r="DD162" s="213">
        <f t="shared" si="594"/>
        <v>0.02</v>
      </c>
      <c r="DE162" s="53" t="s">
        <v>498</v>
      </c>
      <c r="DF162" s="53" t="s">
        <v>513</v>
      </c>
      <c r="DG162" s="196">
        <f>DH162+各项系数!$M$9*$NQ162</f>
        <v>22.16297667710872</v>
      </c>
      <c r="DH162" s="196">
        <f>DI162*(1+$EA162+(VLOOKUP($AM162,$A$12:$B$323,2,0))+各项系数!$J$6+各项系数!$M$5)*(1+$E$2)+各项系数!$M$9*$NK162</f>
        <v>21.883124233014769</v>
      </c>
      <c r="DI162" s="197">
        <f>DJ162+各项系数!$L$9*$NQ162</f>
        <v>21.319481946456513</v>
      </c>
      <c r="DJ162" s="197">
        <f>DK162*(1+$EB162+各项系数!$J$5+各项系数!$L$5)</f>
        <v>21.039629502362562</v>
      </c>
      <c r="DK162" s="197">
        <f t="shared" si="595"/>
        <v>20.037742383202438</v>
      </c>
      <c r="DL162" s="196">
        <f>DM162+各项系数!$M$9*$NQ162</f>
        <v>23.178807879106127</v>
      </c>
      <c r="DM162" s="196">
        <f>DN162*(1+$EA162+(VLOOKUP($AM162,$A$12:$B$323,2,0))+各项系数!$J$6+各项系数!$M$5)*(1+$E$2)+各项系数!$M$9*$NK162</f>
        <v>22.898955435012176</v>
      </c>
      <c r="DN162" s="197">
        <f>DO162+各项系数!$L$9*$NQ162</f>
        <v>22.316176610896669</v>
      </c>
      <c r="DO162" s="197">
        <f>DP162*(1+$EB162+各项系数!$J$5+各项系数!$L$5)</f>
        <v>22.036324166802718</v>
      </c>
      <c r="DP162" s="197">
        <f t="shared" si="596"/>
        <v>20.986975396954968</v>
      </c>
      <c r="DQ162" s="196">
        <f>DR162+各项系数!$M$9*$NV162</f>
        <v>23.87345007375346</v>
      </c>
      <c r="DR162" s="196">
        <f t="shared" si="597"/>
        <v>23.585981634687709</v>
      </c>
      <c r="DS162" s="197">
        <f>DT162+各项系数!$L$9*$NV162</f>
        <v>23.141661729481662</v>
      </c>
      <c r="DT162" s="197">
        <f>DU162*(1+$EB162+各项系数!$J$5+各项系数!$L$5)</f>
        <v>22.85419329041591</v>
      </c>
      <c r="DU162" s="199">
        <f t="shared" si="598"/>
        <v>21.765898371824676</v>
      </c>
      <c r="DV162" s="196">
        <f>DW162+各项系数!$M$9*$NV162</f>
        <v>23.318563403884248</v>
      </c>
      <c r="DW162" s="196">
        <f t="shared" si="599"/>
        <v>23.031094964818497</v>
      </c>
      <c r="DX162" s="197">
        <f>DY162+各项系数!$L$9*$NV162</f>
        <v>22.59722818369162</v>
      </c>
      <c r="DY162" s="197">
        <f>DZ162*(1+$EB162+各项系数!$J$5+各项系数!$L$5)</f>
        <v>22.309759744625868</v>
      </c>
      <c r="DZ162" s="199">
        <f t="shared" si="600"/>
        <v>21.247390232977015</v>
      </c>
      <c r="EA162" s="213">
        <f t="shared" si="699"/>
        <v>0</v>
      </c>
      <c r="EB162" s="213">
        <f t="shared" si="601"/>
        <v>0.03</v>
      </c>
      <c r="EC162" s="235">
        <f t="shared" si="649"/>
        <v>27</v>
      </c>
      <c r="ED162" s="235" t="str">
        <f t="shared" si="708"/>
        <v>27*1</v>
      </c>
      <c r="EE162" s="189">
        <f t="shared" si="709"/>
        <v>1</v>
      </c>
      <c r="EF162" s="189">
        <f>LOOKUP(EH162,{1,7,10,14,19,24,30,37,48,61},{1,"1+6","2+8","4+10","1+6+12","2+8+14","4+10+16","1+6+12+18","3+9+15+21","1+6+12+18+24"})</f>
        <v>1</v>
      </c>
      <c r="EG162" s="188">
        <f t="shared" si="602"/>
        <v>27</v>
      </c>
      <c r="EH162" s="197">
        <f>VLOOKUP(EE162,各项系数!$B$87:$C$124,2,0)</f>
        <v>1</v>
      </c>
      <c r="EI162" s="188">
        <f>IF(EH162=0,0,VLOOKUP(EH162,各项系数!$D$142:$E$195,2,0))*1</f>
        <v>1</v>
      </c>
      <c r="EJ162" s="238">
        <f t="shared" si="650"/>
        <v>110.31595161029</v>
      </c>
      <c r="EK162" s="189">
        <f t="shared" si="689"/>
        <v>0</v>
      </c>
      <c r="EL162" s="189">
        <f t="shared" si="603"/>
        <v>0</v>
      </c>
      <c r="EM162" s="189">
        <f t="shared" si="690"/>
        <v>0</v>
      </c>
      <c r="EN162" s="189">
        <f>IF(EP162=0,0,LOOKUP(EP162,{1,7,10,14,19,24,30,37,48,61},{1,"1+6","2+8","4+10","1+6+12","2+8+14","4+10+16","1+6+12+18","3+9+15+21","1+6+12+18+24"}))</f>
        <v>0</v>
      </c>
      <c r="EO162" s="189">
        <f t="shared" si="691"/>
        <v>0</v>
      </c>
      <c r="EP162" s="189">
        <f>IF(EM162=0,0,IF(EM162&lt;10,1,IF(AND(EM162&gt;=10,EM162&lt;=35),7,LOOKUP(EM162,{50,70,95,120,150,185,240,300},{10,14,19,24,30,37,48,61})*1)))</f>
        <v>0</v>
      </c>
      <c r="EQ162" s="189">
        <f>IF(EP162=0,0,VLOOKUP(EP162,各项系数!$D$142:$E$195,2,0))*1</f>
        <v>0</v>
      </c>
      <c r="ER162" s="53">
        <f t="shared" si="710"/>
        <v>0</v>
      </c>
      <c r="ES162" s="412">
        <f t="shared" si="692"/>
        <v>27</v>
      </c>
      <c r="ET162" s="189">
        <f>VLOOKUP(ES162,各项系数!$D$142:$E$195,2,0)*1</f>
        <v>6.15</v>
      </c>
      <c r="EU162" s="243">
        <f>((各项系数!$F$76/4*$EJ162^2*$EG162*$EH162*1*10^-7)*(1-$H162)*AA162)*(VLOOKUP($EY$9,各项系数!$D$4:$F$143,3,0))*各项系数!$J$4</f>
        <v>0.22827330072810989</v>
      </c>
      <c r="EV162" s="244">
        <f>EU162*(VLOOKUP($EY$9,各项系数!$D$4:$F$143,2,0))</f>
        <v>14.951901197691198</v>
      </c>
      <c r="EW162" s="252">
        <f>(IF($EO162=0,0,(各项系数!$F$76/4*$ER162^2*$EO162*$EP162*1*10^-7))*(1-$K162)*$AF162)*(VLOOKUP($EY$9,各项系数!$D$4:$F$143,3,0))*各项系数!$J$4</f>
        <v>0</v>
      </c>
      <c r="EX162" s="253">
        <f>EW162*(VLOOKUP($EY$9,各项系数!$D$4:$F$143,2,0))</f>
        <v>0</v>
      </c>
      <c r="EY162" s="189">
        <f>((各项系数!$F$76/4*$EJ162^2*$EG162*$EH162*1*10^-7)*(1-$H162)*AA162+IF($EO162=0,0,(各项系数!$F$76/4*$ER162^2*$EO162*$EP162*1*10^-7))*(1-$K162)*$AF162)*(VLOOKUP($EY$9,各项系数!$D$4:$F$143,3,0))*各项系数!$J$4</f>
        <v>0.22827330072810989</v>
      </c>
      <c r="EZ162" s="102">
        <v>1</v>
      </c>
      <c r="FA162" s="189">
        <f t="shared" si="711"/>
        <v>0.22827330072810989</v>
      </c>
      <c r="FB162" s="254">
        <f>FA162*(VLOOKUP($EY$9,各项系数!$D$4:$F$143,2,0))</f>
        <v>14.951901197691198</v>
      </c>
      <c r="FC162" s="255"/>
      <c r="FD162" s="235">
        <f>各项系数!$F$76/4*($MN162^2-MK162^2)*10^-2*(VLOOKUP(L162,各项系数!$D$1:$F$143,3,0))*10^-3*10^2*$EG162*各项系数!$J$4</f>
        <v>9.4871546389016334E-2</v>
      </c>
      <c r="FE162" s="262">
        <f>FD162*VLOOKUP(L162,各项系数!$D$1:$F$143,2,0)</f>
        <v>1.0910227834736879</v>
      </c>
      <c r="FF162" s="188">
        <f>各项系数!$F$76/4*($MO162^2-ML162^2)*10^-2*(VLOOKUP(L162,各项系数!$D$1:$F$143,3,0))*10^-3*10^2*$EO162*各项系数!$J$4</f>
        <v>0</v>
      </c>
      <c r="FG162" s="262">
        <f>FF162*VLOOKUP(L162,各项系数!$D$1:$F$143,2,0)</f>
        <v>0</v>
      </c>
      <c r="FH162" s="235">
        <f t="shared" si="651"/>
        <v>9.4871546389016334E-2</v>
      </c>
      <c r="FI162" s="102">
        <v>1</v>
      </c>
      <c r="FJ162" s="189">
        <f t="shared" si="712"/>
        <v>9.4871546389016334E-2</v>
      </c>
      <c r="FK162" s="262">
        <f>FJ162*VLOOKUP(L162,各项系数!$D$1:$F$143,2,0)</f>
        <v>1.0910227834736879</v>
      </c>
      <c r="FL162" s="235"/>
      <c r="FM162" s="102"/>
      <c r="FN162" s="189"/>
      <c r="FO162" s="262"/>
      <c r="FP162" s="282">
        <f t="shared" si="713"/>
        <v>9.4871546389016334E-2</v>
      </c>
      <c r="FQ162" s="282">
        <f t="shared" si="714"/>
        <v>1.0910227834736879</v>
      </c>
      <c r="FR162" s="283">
        <f>各项系数!$F$76/4*($MQ162^2-$MN162^2*$EG162-$MO162^2*$EO162)*10^-2</f>
        <v>0.45088471603233288</v>
      </c>
      <c r="FS162" s="284">
        <f t="shared" si="652"/>
        <v>1</v>
      </c>
      <c r="FT162" s="285">
        <f t="shared" si="604"/>
        <v>0.45088471603233288</v>
      </c>
      <c r="FU162" s="302">
        <f>$FT162*(VLOOKUP($FT$9,各项系数!$D$1:$F$143,3,0))*10^-3*10^2*各项系数!$J$55</f>
        <v>5.3835635094260544E-2</v>
      </c>
      <c r="FV162" s="303">
        <v>1</v>
      </c>
      <c r="FW162" s="304">
        <f t="shared" si="715"/>
        <v>5.3835635094260544E-2</v>
      </c>
      <c r="FX162" s="285">
        <f>FW162*(VLOOKUP($FT$9,各项系数!$D$1:$F$143,2,0))</f>
        <v>0.16150690528278164</v>
      </c>
      <c r="FY162" s="302">
        <f>IF($BK162&lt;&gt;$FY$9,0,各项系数!$F$76/4*($MS162^2-$MQ162^2)*10^-2*(VLOOKUP($FY$9,各项系数!$D$1:$F$143,3,0))*10^-3*10^2)*各项系数!$J$4</f>
        <v>0</v>
      </c>
      <c r="FZ162" s="303">
        <v>1</v>
      </c>
      <c r="GA162" s="304">
        <f t="shared" si="716"/>
        <v>0</v>
      </c>
      <c r="GB162" s="285">
        <f>GA162*(VLOOKUP($FY$9,各项系数!$D$1:$F$143,2,0))</f>
        <v>0</v>
      </c>
      <c r="GC162" s="302">
        <f>IF($BK162&lt;&gt;$GC$9,0,各项系数!$F$76/4*($MS162^2-$MQ162^2)*10^-2*(VLOOKUP($GC$9,各项系数!$D$1:$F$143,3,0))*10^-3*10^2)*各项系数!$J$4</f>
        <v>3.8813228483807385E-3</v>
      </c>
      <c r="GD162" s="303">
        <v>1</v>
      </c>
      <c r="GE162" s="304">
        <f t="shared" si="717"/>
        <v>3.8813228483807385E-3</v>
      </c>
      <c r="GF162" s="285">
        <f>GE162*(VLOOKUP($GC$9,各项系数!$D$1:$F$143,2,0))</f>
        <v>5.0069064744111526E-2</v>
      </c>
      <c r="GG162" s="302">
        <f>IF($BK162&lt;&gt;$GG$9,0,各项系数!$F$76/4*($MS162^2-$MQ162^2)*10^-2*(VLOOKUP($GG$9,各项系数!$D$1:$F$143,3,0))*10^-3*10^2)*各项系数!$J$4</f>
        <v>0</v>
      </c>
      <c r="GH162" s="303">
        <v>1</v>
      </c>
      <c r="GI162" s="304">
        <f t="shared" si="718"/>
        <v>0</v>
      </c>
      <c r="GJ162" s="285">
        <f>GI162*(VLOOKUP($GG$9,各项系数!$D$1:$F$143,2,0))</f>
        <v>0</v>
      </c>
      <c r="GK162" s="302">
        <f>IF($BK162&lt;&gt;$GK$9,0,各项系数!$F$76/4*($MS162^2-$MQ162^2)*10^-2*(VLOOKUP($GK$9,各项系数!$D$1:$F$143,3,0))*10^-3*10^2)*各项系数!$J$4</f>
        <v>0</v>
      </c>
      <c r="GL162" s="303">
        <v>1</v>
      </c>
      <c r="GM162" s="304">
        <f t="shared" si="719"/>
        <v>0</v>
      </c>
      <c r="GN162" s="285">
        <f>GM162*(VLOOKUP($GK$9,各项系数!$D$1:$F$143,2,0))</f>
        <v>0</v>
      </c>
      <c r="GO162" s="304">
        <f t="shared" si="720"/>
        <v>3.8813228483807385E-3</v>
      </c>
      <c r="GP162" s="304">
        <f t="shared" si="721"/>
        <v>5.0069064744111526E-2</v>
      </c>
      <c r="GQ162" s="315">
        <f>各项系数!$F$76/4*($MU162^2-$MS162^2)*10^-2*(VLOOKUP($S162,各项系数!$D$1:$F$143,3,0))*10^-3*10^2*各项系数!$J$4</f>
        <v>0.21912608750673124</v>
      </c>
      <c r="GR162" s="303">
        <v>1</v>
      </c>
      <c r="GS162" s="304">
        <f t="shared" si="722"/>
        <v>0.21912608750673124</v>
      </c>
      <c r="GT162" s="304">
        <f t="shared" si="696"/>
        <v>0</v>
      </c>
      <c r="GU162" s="304">
        <f>ROUND($GS162*(VLOOKUP($S162,各项系数!$D$1:$F$143,2,0))+$E$3*GS162,GT162)</f>
        <v>1</v>
      </c>
      <c r="GV162" s="315">
        <f>各项系数!$F$76/4*($MT162^2-$MS162^2)*10^-2*(VLOOKUP($GV$9,各项系数!$D$1:$F$143,3,0))*10^-3*10^2*各项系数!$J$4*PI()/4*R162</f>
        <v>2.0142937820324038E-2</v>
      </c>
      <c r="GW162" s="303">
        <v>1</v>
      </c>
      <c r="GX162" s="304">
        <f t="shared" si="723"/>
        <v>2.0142937820324038E-2</v>
      </c>
      <c r="GY162" s="304">
        <f>$GX162*(VLOOKUP($GV$9,各项系数!$D$1:$F$143,2,0))</f>
        <v>1.3596483028718724</v>
      </c>
      <c r="GZ162" s="315">
        <f>各项系数!$F$76/4*($MV162^2-$MS162^2)*10^-2*(VLOOKUP($GZ$9,各项系数!$D$1:$F$143,3,0))*10^-3*10^2*各项系数!$J$4</f>
        <v>0.13168265968055884</v>
      </c>
      <c r="HA162" s="303">
        <v>1</v>
      </c>
      <c r="HB162" s="304">
        <f t="shared" si="653"/>
        <v>0.13168265968055884</v>
      </c>
      <c r="HC162" s="304">
        <f>HB162*(VLOOKUP($GZ$9,各项系数!$D$1:$F$143,2,0))</f>
        <v>2.2386052145695001</v>
      </c>
      <c r="HD162" s="315">
        <f>各项系数!$F$76/4*($MW162^2-$MT162^2)*10^-2*(VLOOKUP($HD$9,各项系数!$D$1:$F$143,3,0))*10^-3*10^2*各项系数!$J$4</f>
        <v>0.13298802912723723</v>
      </c>
      <c r="HE162" s="303">
        <v>1</v>
      </c>
      <c r="HF162" s="304">
        <f t="shared" si="654"/>
        <v>0.13298802912723723</v>
      </c>
      <c r="HG162" s="304">
        <f>HF162*(VLOOKUP($HD$9,各项系数!$D$1:$F$143,2,0))</f>
        <v>2.2607964951630328</v>
      </c>
      <c r="HH162" s="315">
        <f>各项系数!$F$76/4*($MV162^2-$MS162^2)*10^-2*(VLOOKUP($HH$9,各项系数!$D$1:$F$143,3,0))*10^-3*10^2*各项系数!$J$4</f>
        <v>0.13168265968055884</v>
      </c>
      <c r="HI162" s="322">
        <v>1</v>
      </c>
      <c r="HJ162" s="304">
        <f t="shared" si="655"/>
        <v>0.13168265968055884</v>
      </c>
      <c r="HK162" s="304">
        <f>HJ162*(VLOOKUP($HH$9,各项系数!$D$1:$F$143,2,0))</f>
        <v>2.2386052145695001</v>
      </c>
      <c r="HL162" s="315">
        <f>各项系数!$F$76/4*($MW162^2-$MT162^2)*10^-2*(VLOOKUP($HL$9,各项系数!$D$1:$F$143,3,0))*10^-3*10^2*各项系数!$J$4</f>
        <v>0.13298802912723723</v>
      </c>
      <c r="HM162" s="322">
        <v>1</v>
      </c>
      <c r="HN162" s="304">
        <f t="shared" si="605"/>
        <v>0.13298802912723723</v>
      </c>
      <c r="HO162" s="304">
        <f>HN162*(VLOOKUP($HL$9,各项系数!$D$1:$F$143,2,0))</f>
        <v>2.2607964951630328</v>
      </c>
      <c r="HP162" s="315">
        <f>各项系数!$F$76/4*($MV162^2-$MS162^2)*10^-2*(VLOOKUP(AN162,各项系数!$D$1:$F$143,3,0))*10^-3*10^2*各项系数!$J$4</f>
        <v>0.13349897222787688</v>
      </c>
      <c r="HQ162" s="303">
        <v>1</v>
      </c>
      <c r="HR162" s="304">
        <f t="shared" si="724"/>
        <v>0.13349897222787688</v>
      </c>
      <c r="HS162" s="304">
        <f>HR162*(VLOOKUP(AN162,各项系数!$D$1:$F$143,2,0))</f>
        <v>1.3349897222787688</v>
      </c>
      <c r="HT162" s="315">
        <f>各项系数!$F$76/4*($MW162^2-$MT162^2)*10^-2*(VLOOKUP(AN162,各项系数!$D$1:$F$143,3,0))*10^-3*10^2*各项系数!$J$4</f>
        <v>0.13482234677037153</v>
      </c>
      <c r="HU162" s="303">
        <v>1</v>
      </c>
      <c r="HV162" s="304">
        <f t="shared" si="725"/>
        <v>0.13482234677037153</v>
      </c>
      <c r="HW162" s="304">
        <f>HV162*(VLOOKUP(AN162,各项系数!$D$1:$F$143,2,0))</f>
        <v>1.3482234677037153</v>
      </c>
      <c r="HX162" s="315">
        <f>各项系数!$F$76/4*($MV162^2-$MS162^2)*10^-2*(VLOOKUP($HX$9,各项系数!$D$1:$F$143,3,0))*10^-3*10^2*各项系数!$J$4</f>
        <v>0.13349897222787688</v>
      </c>
      <c r="HY162" s="322">
        <v>1</v>
      </c>
      <c r="HZ162" s="304">
        <f t="shared" si="726"/>
        <v>0.13349897222787688</v>
      </c>
      <c r="IA162" s="304">
        <f>HZ162*(VLOOKUP($HX$9,各项系数!$D$1:$F$143,2,0))</f>
        <v>1.4684886945066458</v>
      </c>
      <c r="IB162" s="315">
        <f>各项系数!$F$76/4*($MW162^2-$MT162^2)*10^-2*(VLOOKUP($IB$9,各项系数!$D$1:$F$143,3,0))*10^-3*10^2*各项系数!$J$4</f>
        <v>0.13482234677037153</v>
      </c>
      <c r="IC162" s="322">
        <v>1</v>
      </c>
      <c r="ID162" s="304">
        <f t="shared" si="727"/>
        <v>0.13482234677037153</v>
      </c>
      <c r="IE162" s="304">
        <f>ID162*(VLOOKUP($IB$9,各项系数!$D$1:$F$143,2,0))</f>
        <v>1.4830458144740868</v>
      </c>
      <c r="IF162" s="328"/>
      <c r="IG162" s="315">
        <f t="shared" si="656"/>
        <v>5.3291295569015289E-2</v>
      </c>
      <c r="IH162" s="303">
        <v>1</v>
      </c>
      <c r="II162" s="304">
        <f t="shared" si="728"/>
        <v>5.3291295569015289E-2</v>
      </c>
      <c r="IJ162" s="304">
        <f>II162*(VLOOKUP($IG$8,各项系数!$D$1:$F$143,2,0))</f>
        <v>1.3322823892253821</v>
      </c>
      <c r="IK162" s="315">
        <f>(各项系数!$F$76/4*($MX162^2-$MK162^2)*$EG162)*10^-2*(VLOOKUP($IG$8,各项系数!$D$1:$F$143,3,0))*10^-3*10^2*各项系数!$J$4</f>
        <v>5.3291295569015289E-2</v>
      </c>
      <c r="IL162" s="303">
        <f>IK162*(VLOOKUP($IG$8,各项系数!$D$1:$F$143,2,0))</f>
        <v>1.3322823892253821</v>
      </c>
      <c r="IM162" s="304">
        <f>(各项系数!$F$76/4*(($MM162+3*$X162)^2-MM162^2)*$EO162)*10^-2*(VLOOKUP($IG$8,各项系数!$D$1:$F$143,3,0))*10^-3*10^2*各项系数!$J$4</f>
        <v>0</v>
      </c>
      <c r="IN162" s="303">
        <f>IM162*(VLOOKUP($IG$8,各项系数!$D$1:$F$143,2,0))</f>
        <v>0</v>
      </c>
      <c r="IO162" s="315">
        <f>各项系数!$F$76/4*($MZ162^2-$MX162^2)*10^-2*(VLOOKUP(L162,各项系数!$D$1:$F$143,3,0))*10^-3*10^2*$ES162*各项系数!$J$4</f>
        <v>0.12829350549793747</v>
      </c>
      <c r="IP162" s="303">
        <v>1</v>
      </c>
      <c r="IQ162" s="304">
        <f t="shared" si="729"/>
        <v>0.12829350549793747</v>
      </c>
      <c r="IR162" s="285">
        <f>IQ162*(VLOOKUP(L162,各项系数!$D$1:$F$143,2,0))</f>
        <v>1.475375313226281</v>
      </c>
      <c r="IS162" s="315">
        <f>IF($L162&lt;&gt;$IS$9,0,各项系数!$F$76/4*($MZ162^2-$MX162^2)*10^-2*各项系数!$F$12*10^-3*10^2)*$ES162*各项系数!$J$4</f>
        <v>0</v>
      </c>
      <c r="IT162" s="303">
        <v>1</v>
      </c>
      <c r="IU162" s="304">
        <f t="shared" si="730"/>
        <v>0</v>
      </c>
      <c r="IV162" s="285">
        <f>IU162*各项系数!$E$12</f>
        <v>0</v>
      </c>
      <c r="IW162" s="302">
        <f t="shared" si="731"/>
        <v>0.12829350549793747</v>
      </c>
      <c r="IX162" s="302">
        <f t="shared" si="732"/>
        <v>1.475375313226281</v>
      </c>
      <c r="IY162" s="339">
        <f>各项系数!$F$76/4*($NB162^2-$MZ162^2*$EG162-$NA162^2*$EO162)*10^-2</f>
        <v>0.71640610076148814</v>
      </c>
      <c r="IZ162" s="284">
        <f t="shared" si="697"/>
        <v>1</v>
      </c>
      <c r="JA162" s="285">
        <f t="shared" si="606"/>
        <v>0.71640610076148814</v>
      </c>
      <c r="JB162" s="282">
        <f>IF($DE162&lt;&gt;$JB$9,0,$JA162*各项系数!$F$32*10^-3*10^2)*各项系数!$J$4</f>
        <v>0</v>
      </c>
      <c r="JC162" s="102">
        <v>1</v>
      </c>
      <c r="JD162" s="189">
        <f t="shared" si="733"/>
        <v>0</v>
      </c>
      <c r="JE162" s="262">
        <f>JD162*各项系数!$E$32</f>
        <v>0</v>
      </c>
      <c r="JF162" s="282">
        <f>IF($DE162&lt;&gt;$JF$9,0,$JA162*VLOOKUP($JF$9,各项系数!$D$4:$F$540,2,0)*10^-3*10^2)*各项系数!$J$4</f>
        <v>0.35641203512884034</v>
      </c>
      <c r="JG162" s="102">
        <v>1</v>
      </c>
      <c r="JH162" s="189">
        <f t="shared" si="607"/>
        <v>0.35641203512884034</v>
      </c>
      <c r="JI162" s="262">
        <f>JH162*VLOOKUP($JF$9,各项系数!$D$4:$F$540,3,0)</f>
        <v>0.42769444215460839</v>
      </c>
      <c r="JJ162" s="282">
        <f t="shared" si="734"/>
        <v>0.35641203512884034</v>
      </c>
      <c r="JK162" s="189">
        <f t="shared" si="735"/>
        <v>0.42769444215460839</v>
      </c>
      <c r="JL162" s="282">
        <f>IF($DF162&lt;&gt;$JL$9,0,各项系数!$F$76/4*($NE162^2-$NC162^2)*10^-2*各项系数!$F$39*10^-3*10^2)*各项系数!$J$4</f>
        <v>2.0226959581118443E-3</v>
      </c>
      <c r="JM162" s="102">
        <v>1</v>
      </c>
      <c r="JN162" s="189">
        <f t="shared" si="736"/>
        <v>2.0226959581118443E-3</v>
      </c>
      <c r="JO162" s="262">
        <f>JN162*各项系数!$E$39</f>
        <v>4.0453919162236888E-2</v>
      </c>
      <c r="JP162" s="282">
        <f>IF($DF162&lt;&gt;$JP$9,0,各项系数!$F$76/4*($NE162^2-$NC162^2)*10^-2*各项系数!$F$36*10^-3*10^2)*各项系数!$J$4</f>
        <v>0</v>
      </c>
      <c r="JQ162" s="102">
        <v>1</v>
      </c>
      <c r="JR162" s="189">
        <f t="shared" si="737"/>
        <v>0</v>
      </c>
      <c r="JS162" s="262">
        <f>JR162*各项系数!$E$36</f>
        <v>0</v>
      </c>
      <c r="JT162" s="282">
        <f>IF($DF162&lt;&gt;$JT$9,0,各项系数!$F$76/4*($NE162^2-$NC162^2)*10^-2*各项系数!$F$40*10^-3*10^2)*各项系数!$J$4</f>
        <v>0</v>
      </c>
      <c r="JU162" s="102">
        <v>1</v>
      </c>
      <c r="JV162" s="189">
        <f t="shared" si="738"/>
        <v>0</v>
      </c>
      <c r="JW162" s="262">
        <f>JV162*各项系数!$E$40</f>
        <v>0</v>
      </c>
      <c r="JX162" s="282">
        <f>IF($DF162&lt;&gt;$JX$9,0,各项系数!$F$76/4*($NE162^2-$NC162^2)*10^-2*各项系数!$F$38*10^-3*10^2)*各项系数!$J$4</f>
        <v>0</v>
      </c>
      <c r="JY162" s="102">
        <v>1</v>
      </c>
      <c r="JZ162" s="189">
        <f t="shared" si="739"/>
        <v>0</v>
      </c>
      <c r="KA162" s="262">
        <f>JZ162*各项系数!$E$38</f>
        <v>0</v>
      </c>
      <c r="KB162" s="282">
        <f>IF($DF162&lt;&gt;$KB$9,0,各项系数!$F$76/4*($NE162^2-$NC162^2)*10^-2*各项系数!$F$41*10^-3*10^2)*各项系数!$J$4</f>
        <v>0</v>
      </c>
      <c r="KC162" s="102">
        <v>1</v>
      </c>
      <c r="KD162" s="189">
        <f t="shared" si="740"/>
        <v>0</v>
      </c>
      <c r="KE162" s="262">
        <f>KD162*各项系数!$E$41</f>
        <v>0</v>
      </c>
      <c r="KF162" s="189">
        <f t="shared" si="741"/>
        <v>2.0226959581118443E-3</v>
      </c>
      <c r="KG162" s="189">
        <f t="shared" si="742"/>
        <v>4.0453919162236888E-2</v>
      </c>
      <c r="KH162" s="235">
        <f>各项系数!$F$76/4*($NG162^2-$NE162^2)*10^-2*各项系数!$F$44*10^-3*10^2*各项系数!$J$4*0.75*$U162</f>
        <v>0.82255408571043609</v>
      </c>
      <c r="KI162" s="102">
        <v>1</v>
      </c>
      <c r="KJ162" s="189">
        <f t="shared" si="743"/>
        <v>0.82255408571043609</v>
      </c>
      <c r="KK162" s="189">
        <f>ROUND(KJ162*各项系数!$E$43,GT162)</f>
        <v>5</v>
      </c>
      <c r="KL162" s="235">
        <f>各项系数!$F$76/4*($NF162^2-$NE162^2)*10^-2*各项系数!$F$46*10^-3*10^2*各项系数!$J$4*PI()/4*R162</f>
        <v>2.5386649905996945E-2</v>
      </c>
      <c r="KM162" s="102">
        <v>1</v>
      </c>
      <c r="KN162" s="189">
        <f t="shared" si="744"/>
        <v>2.5386649905996945E-2</v>
      </c>
      <c r="KO162" s="189">
        <f>KN162*各项系数!$E$46</f>
        <v>1.7135988686547938</v>
      </c>
      <c r="KP162" s="235">
        <f>各项系数!$F$76/4*($NH162^2-$NE162^2)*10^-2*(VLOOKUP($KP$9,各项系数!$D$1:$F$143,3,0))*10^-3*10^2*各项系数!$J$4</f>
        <v>0.16230989032325085</v>
      </c>
      <c r="KQ162" s="102">
        <v>1</v>
      </c>
      <c r="KR162" s="189">
        <f t="shared" si="657"/>
        <v>0.16230989032325085</v>
      </c>
      <c r="KS162" s="189">
        <f>KR162*(VLOOKUP($KP$9,各项系数!$D$1:$F$143,2,0))</f>
        <v>2.7592681354952644</v>
      </c>
      <c r="KT162" s="235">
        <f>各项系数!$F$76/4*($NI162^2-$NF162^2)*10^-2*(VLOOKUP($KT$9,各项系数!$D$1:$F$143,3,0))*10^-3*10^2*各项系数!$J$4</f>
        <v>0.16361525976992916</v>
      </c>
      <c r="KU162" s="102">
        <v>1</v>
      </c>
      <c r="KV162" s="189">
        <f t="shared" si="658"/>
        <v>0.16361525976992916</v>
      </c>
      <c r="KW162" s="189">
        <f>KV162*(VLOOKUP($KT$9,各项系数!$D$1:$F$143,2,0))</f>
        <v>2.7814594160887958</v>
      </c>
      <c r="KX162" s="189">
        <f>各项系数!$F$76/4*($NH162^2-$NE162^2)*10^-2*(VLOOKUP($KX$9,各项系数!$D$1:$F$143,3,0))*10^-3*10^2*各项系数!$J$4</f>
        <v>0.16230989032325085</v>
      </c>
      <c r="KY162" s="353">
        <v>1</v>
      </c>
      <c r="KZ162" s="189">
        <f t="shared" si="659"/>
        <v>0.16230989032325085</v>
      </c>
      <c r="LA162" s="189">
        <f>KZ162*(VLOOKUP($KX$9,各项系数!$D$1:$F$143,2,0))</f>
        <v>2.7592681354952644</v>
      </c>
      <c r="LB162" s="189">
        <f>各项系数!$F$76/4*($NI162^2-$NF162^2)*10^-2*(VLOOKUP($LB$9,各项系数!$D$1:$F$143,3,0))*10^-3*10^2*各项系数!$J$4</f>
        <v>0.16361525976992916</v>
      </c>
      <c r="LC162" s="353">
        <v>1</v>
      </c>
      <c r="LD162" s="189">
        <f t="shared" si="660"/>
        <v>0.16361525976992916</v>
      </c>
      <c r="LE162" s="189">
        <f>LD162*(VLOOKUP($LB$9,各项系数!$D$1:$F$143,2,0))</f>
        <v>2.7814594160887958</v>
      </c>
      <c r="LF162" s="235">
        <f>各项系数!$F$76/4*($NH162^2-$NE162^2)*10^-2*(VLOOKUP(AN162,各项系数!$D$1:$F$143,3,0))*10^-3*10^2*各项系数!$J$4</f>
        <v>0.16454864743115777</v>
      </c>
      <c r="LG162" s="102">
        <v>1</v>
      </c>
      <c r="LH162" s="189">
        <f t="shared" si="745"/>
        <v>0.16454864743115777</v>
      </c>
      <c r="LI162" s="189">
        <f>LH162*(VLOOKUP(AN162,各项系数!$D$1:$F$143,2,0))</f>
        <v>1.6454864743115776</v>
      </c>
      <c r="LJ162" s="235">
        <f>各项系数!$F$76/4*($NI162^2-$NF162^2)*10^-2*(VLOOKUP(AN162,各项系数!$D$1:$F$143,3,0))*10^-3*10^2*各项系数!$J$4</f>
        <v>0.16587202197365233</v>
      </c>
      <c r="LK162" s="102">
        <v>1</v>
      </c>
      <c r="LL162" s="189">
        <f t="shared" si="746"/>
        <v>0.16587202197365233</v>
      </c>
      <c r="LM162" s="189">
        <f>LL162*(VLOOKUP(AN162,各项系数!$D$1:$F$143,2,0))</f>
        <v>1.6587202197365234</v>
      </c>
      <c r="LN162" s="189">
        <f>各项系数!$F$76/4*($NH162^2-$NE162^2)*10^-2*(VLOOKUP($LN$9,各项系数!$D$1:$F$143,3,0))*10^-3*10^2*各项系数!$J$4</f>
        <v>0.16454864743115777</v>
      </c>
      <c r="LO162" s="353">
        <v>1</v>
      </c>
      <c r="LP162" s="189">
        <f t="shared" si="747"/>
        <v>0.16454864743115777</v>
      </c>
      <c r="LQ162" s="189">
        <f>LP162*(VLOOKUP($LN$9,各项系数!$D$1:$F$143,2,0))</f>
        <v>1.8100351217427355</v>
      </c>
      <c r="LR162" s="189">
        <f>各项系数!$F$76/4*($NI162^2-$NF162^2)*10^-2*(VLOOKUP($LR$9,各项系数!$D$1:$F$143,3,0))*10^-3*10^2*各项系数!$J$4</f>
        <v>0.16587202197365233</v>
      </c>
      <c r="LS162" s="353">
        <v>1</v>
      </c>
      <c r="LT162" s="189">
        <f t="shared" si="748"/>
        <v>0.16587202197365233</v>
      </c>
      <c r="LU162" s="189">
        <f>LT162*(VLOOKUP($LR$9,各项系数!$D$1:$F$143,2,0))</f>
        <v>1.8245922417101756</v>
      </c>
      <c r="LV162" s="227">
        <f t="shared" si="661"/>
        <v>25.806569669999998</v>
      </c>
      <c r="LW162" s="227">
        <f t="shared" si="662"/>
        <v>25.806569669999998</v>
      </c>
      <c r="LX162" s="227">
        <f t="shared" si="663"/>
        <v>5.7321850125241989</v>
      </c>
      <c r="LY162" s="227">
        <f t="shared" si="664"/>
        <v>0</v>
      </c>
      <c r="LZ162" s="374">
        <f t="shared" si="608"/>
        <v>1</v>
      </c>
      <c r="MA162" s="375">
        <f t="shared" si="609"/>
        <v>25.806569669999998</v>
      </c>
      <c r="MB162" s="375">
        <f t="shared" si="665"/>
        <v>1.1031595199999999</v>
      </c>
      <c r="MC162" s="227">
        <f t="shared" si="666"/>
        <v>0</v>
      </c>
      <c r="MD162" s="227">
        <f t="shared" si="667"/>
        <v>0</v>
      </c>
      <c r="ME162" s="227">
        <f t="shared" si="668"/>
        <v>0</v>
      </c>
      <c r="MF162" s="227">
        <f t="shared" si="669"/>
        <v>0</v>
      </c>
      <c r="MG162" s="374">
        <f t="shared" si="670"/>
        <v>1</v>
      </c>
      <c r="MH162" s="375">
        <f t="shared" si="610"/>
        <v>0</v>
      </c>
      <c r="MI162" s="375">
        <f t="shared" si="671"/>
        <v>0</v>
      </c>
      <c r="MJ162" s="189">
        <f t="shared" si="611"/>
        <v>1.1031595199999999</v>
      </c>
      <c r="MK162" s="189">
        <f t="shared" si="672"/>
        <v>1.1031595199999999</v>
      </c>
      <c r="ML162" s="189">
        <f t="shared" si="749"/>
        <v>0</v>
      </c>
      <c r="MM162" s="189">
        <f t="shared" si="612"/>
        <v>0</v>
      </c>
      <c r="MN162" s="189">
        <f t="shared" si="613"/>
        <v>2.3031595199999999</v>
      </c>
      <c r="MO162" s="189">
        <f t="shared" si="673"/>
        <v>0</v>
      </c>
      <c r="MP162" s="189">
        <f t="shared" si="674"/>
        <v>14.164431049999999</v>
      </c>
      <c r="MQ162" s="189">
        <f t="shared" si="750"/>
        <v>14.164431049999999</v>
      </c>
      <c r="MR162" s="246">
        <f t="shared" si="675"/>
        <v>14.164431049999999</v>
      </c>
      <c r="MS162" s="380">
        <f t="shared" si="614"/>
        <v>14.340431049999999</v>
      </c>
      <c r="MT162" s="380">
        <f t="shared" si="615"/>
        <v>14.50043105</v>
      </c>
      <c r="MU162" s="380">
        <f t="shared" si="616"/>
        <v>15.540431049999999</v>
      </c>
      <c r="MV162" s="380">
        <f t="shared" si="617"/>
        <v>17.940431050000001</v>
      </c>
      <c r="MW162" s="380">
        <f t="shared" si="618"/>
        <v>18.100431050000001</v>
      </c>
      <c r="MX162" s="254">
        <f t="shared" si="619"/>
        <v>1.70315952</v>
      </c>
      <c r="MY162" s="254">
        <f t="shared" si="620"/>
        <v>0</v>
      </c>
      <c r="MZ162" s="189">
        <f t="shared" si="621"/>
        <v>2.90315952</v>
      </c>
      <c r="NA162" s="189">
        <f t="shared" si="622"/>
        <v>0</v>
      </c>
      <c r="NB162" s="189">
        <f t="shared" si="676"/>
        <v>17.854431049999999</v>
      </c>
      <c r="NC162" s="254">
        <f t="shared" si="751"/>
        <v>17.854431049999999</v>
      </c>
      <c r="ND162" s="246">
        <f t="shared" si="677"/>
        <v>17.854431049999999</v>
      </c>
      <c r="NE162" s="386">
        <f t="shared" si="678"/>
        <v>18.094431049999997</v>
      </c>
      <c r="NF162" s="380">
        <f t="shared" si="623"/>
        <v>18.254431049999997</v>
      </c>
      <c r="NG162" s="387">
        <f t="shared" si="624"/>
        <v>19.294431049999996</v>
      </c>
      <c r="NH162" s="254">
        <f t="shared" si="625"/>
        <v>21.694431049999999</v>
      </c>
      <c r="NI162" s="380">
        <f t="shared" si="626"/>
        <v>21.854431049999999</v>
      </c>
      <c r="NK162" s="388">
        <f t="shared" si="627"/>
        <v>0.5143607772876444</v>
      </c>
      <c r="NL162" s="388">
        <f t="shared" si="628"/>
        <v>17.589489673470549</v>
      </c>
      <c r="NM162" s="388">
        <f t="shared" si="629"/>
        <v>0.5143607772876444</v>
      </c>
      <c r="NN162" s="388">
        <f t="shared" si="630"/>
        <v>17.722988645698425</v>
      </c>
      <c r="NO162" s="388">
        <f t="shared" si="631"/>
        <v>0.9328414803131726</v>
      </c>
      <c r="NP162" s="388">
        <f t="shared" si="632"/>
        <v>19.873193735771284</v>
      </c>
      <c r="NQ162" s="388">
        <f t="shared" si="633"/>
        <v>0.9328414803131726</v>
      </c>
      <c r="NR162" s="388">
        <f t="shared" si="634"/>
        <v>20.037742383202438</v>
      </c>
      <c r="NS162" s="388">
        <f t="shared" si="635"/>
        <v>0.53450371510796846</v>
      </c>
      <c r="NT162" s="388">
        <f t="shared" si="636"/>
        <v>0.53450371510796846</v>
      </c>
      <c r="NU162" s="388">
        <f t="shared" si="637"/>
        <v>0.95822813021916953</v>
      </c>
      <c r="NV162" s="388">
        <f t="shared" si="638"/>
        <v>0.95822813021916953</v>
      </c>
      <c r="NW162">
        <f t="shared" si="639"/>
        <v>0.73348686479437564</v>
      </c>
      <c r="NX162">
        <f>各项系数!$M$9*NK162</f>
        <v>0.1543082331862933</v>
      </c>
      <c r="NY162">
        <f t="shared" si="640"/>
        <v>0.53450371510796846</v>
      </c>
    </row>
    <row r="163" spans="1:389" ht="15" hidden="1" customHeight="1">
      <c r="A163" s="69"/>
      <c r="B163" s="70"/>
      <c r="C163" s="69"/>
      <c r="D163" s="102" t="s">
        <v>306</v>
      </c>
      <c r="E163" s="61">
        <f t="shared" si="687"/>
        <v>18.539252520000002</v>
      </c>
      <c r="F163" s="405">
        <f t="shared" si="693"/>
        <v>110.31595161029</v>
      </c>
      <c r="G163" s="16"/>
      <c r="H163" s="16"/>
      <c r="I163" s="145">
        <v>0</v>
      </c>
      <c r="J163" s="16"/>
      <c r="K163" s="16"/>
      <c r="L163" s="97" t="s">
        <v>469</v>
      </c>
      <c r="M163" s="103">
        <f t="shared" si="582"/>
        <v>0.6</v>
      </c>
      <c r="N163" s="103">
        <f t="shared" si="583"/>
        <v>0</v>
      </c>
      <c r="O163" s="53">
        <f t="shared" si="703"/>
        <v>0.08</v>
      </c>
      <c r="P163" s="99">
        <v>0.1</v>
      </c>
      <c r="Q163" s="133">
        <f t="shared" si="700"/>
        <v>0.1</v>
      </c>
      <c r="R163" s="406">
        <v>0.8</v>
      </c>
      <c r="S163" s="142" t="str">
        <f>各项系数!$D$43</f>
        <v>钢带</v>
      </c>
      <c r="T163" s="102">
        <v>0.2</v>
      </c>
      <c r="U163" s="62">
        <v>4</v>
      </c>
      <c r="V163" s="143"/>
      <c r="W163" s="141">
        <f t="shared" si="752"/>
        <v>1.8</v>
      </c>
      <c r="X163" s="135">
        <f t="shared" si="701"/>
        <v>0.2</v>
      </c>
      <c r="Y163" s="135"/>
      <c r="Z163" s="168"/>
      <c r="AA163" s="153">
        <v>1</v>
      </c>
      <c r="AB163" s="153">
        <f>PI()*EJ163*EJ163/4*EH163*(1-H163)*AA163*各项系数!$F$5*各项系数!$J$4*10^-7</f>
        <v>8.4545666936336993E-3</v>
      </c>
      <c r="AC163" s="153">
        <f t="shared" si="704"/>
        <v>110.31595161029</v>
      </c>
      <c r="AD163" s="153">
        <f t="shared" si="584"/>
        <v>0.95579886989884166</v>
      </c>
      <c r="AE163" s="153">
        <f>POWER(4*EU163/PI()/EG163/10^-7/EH163/(1-H163)/各项系数!$F$5/各项系数!$J$4,0.5)</f>
        <v>110.31595161028999</v>
      </c>
      <c r="AF163" s="69">
        <v>1</v>
      </c>
      <c r="AG163" s="69">
        <f>IF(EM163=0,0,PI()*ER163*ER163/4*EP163*(1-K163)*(1+AF163)*各项系数!$F$5*各项系数!$J$4*10^-7)</f>
        <v>0</v>
      </c>
      <c r="AH163" s="69">
        <f t="shared" si="705"/>
        <v>0</v>
      </c>
      <c r="AI163" s="69">
        <f t="shared" si="641"/>
        <v>0</v>
      </c>
      <c r="AJ163" s="69">
        <f>IF(OR(EP163="",EP163=0),0,POWER(4*EW163/PI()/EO163/10^-7/EP163/(1-K163)/各项系数!$F$5/各项系数!$J$4,0.5))</f>
        <v>0</v>
      </c>
      <c r="AK163" s="69" t="str">
        <f t="shared" si="585"/>
        <v>√</v>
      </c>
      <c r="AL163" s="69">
        <f t="shared" si="706"/>
        <v>21.348495775361034</v>
      </c>
      <c r="AM163" s="188">
        <f t="shared" si="707"/>
        <v>1</v>
      </c>
      <c r="AN163" s="97" t="s">
        <v>486</v>
      </c>
      <c r="AO163" s="196">
        <f>AP163+各项系数!$M$9*$NK163</f>
        <v>20.929897818981406</v>
      </c>
      <c r="AP163" s="196">
        <f>AQ163*(1+$BI163+(VLOOKUP($AM163,$A$12:$B$323,2,0))+各项系数!$J$6+各项系数!$M$5)*(1+$E$2)</f>
        <v>20.762886934703847</v>
      </c>
      <c r="AQ163" s="197">
        <f>AR163+各项系数!$L$9*$NK163</f>
        <v>20.3717493472369</v>
      </c>
      <c r="AR163" s="197">
        <f>AS163*(1+$BJ163+各项系数!$J$5+各项系数!$L$5)</f>
        <v>20.204738462959341</v>
      </c>
      <c r="AS163" s="197">
        <f t="shared" si="642"/>
        <v>19.427633137460905</v>
      </c>
      <c r="AT163" s="196">
        <f>AU163+各项系数!$M$9*$NM163</f>
        <v>21.923236516320106</v>
      </c>
      <c r="AU163" s="196">
        <f>AV163*(1+$BI163+(VLOOKUP($AM163,$A$12:$B$323,2,0))+各项系数!$J$6+各项系数!$M$5)*(1+$E$2)</f>
        <v>21.756225632042547</v>
      </c>
      <c r="AV163" s="197">
        <f>AW163+各项系数!$L$9*$NM163</f>
        <v>21.346375227671256</v>
      </c>
      <c r="AW163" s="197">
        <f>AX163*(1+$BJ163+各项系数!$J$5+各项系数!$L$5)</f>
        <v>21.179364343393697</v>
      </c>
      <c r="AX163" s="197">
        <f t="shared" si="643"/>
        <v>20.364773407109322</v>
      </c>
      <c r="AY163" s="196">
        <f>AZ163+各项系数!$M$9*$NS163</f>
        <v>22.457663793297041</v>
      </c>
      <c r="AZ163" s="196">
        <f>BA163*(1+$BI163+(VLOOKUP($AM163,$A$12:$B$214,2,0))+各项系数!$J$6+各项系数!$M$5)*(1+$E$2)</f>
        <v>22.284359091548232</v>
      </c>
      <c r="BA163" s="197">
        <f>BB163+各项系数!$L$9*$NS163</f>
        <v>21.864559548222363</v>
      </c>
      <c r="BB163" s="197">
        <f>BC163*(1+$BJ163+各项系数!$J$5+各项系数!$L$5)</f>
        <v>21.691254846473555</v>
      </c>
      <c r="BC163" s="199">
        <f t="shared" si="644"/>
        <v>20.856975813916879</v>
      </c>
      <c r="BD163" s="196">
        <f>BE163+各项系数!$M$9*$NS163</f>
        <v>23.460497191273312</v>
      </c>
      <c r="BE163" s="196">
        <f>BF163*(1+$BI163+(VLOOKUP($AM163,$A$12:$B$214,2,0))+各项系数!$J$6+各项系数!$M$5)*(1+$E$2)</f>
        <v>23.287192489524504</v>
      </c>
      <c r="BF163" s="197">
        <f>BG163+各项系数!$L$9*$NS163</f>
        <v>22.848501265232045</v>
      </c>
      <c r="BG163" s="197">
        <f>BH163*(1+$BJ163+各项系数!$J$5+各项系数!$L$5)</f>
        <v>22.675196563483237</v>
      </c>
      <c r="BH163" s="199">
        <f t="shared" si="645"/>
        <v>21.80307361873388</v>
      </c>
      <c r="BI163" s="213"/>
      <c r="BJ163" s="208">
        <f t="shared" si="695"/>
        <v>0.02</v>
      </c>
      <c r="BK163" s="102" t="s">
        <v>514</v>
      </c>
      <c r="BL163" s="196">
        <f>BM163+各项系数!$M$9*$NM163</f>
        <v>21.276069918784884</v>
      </c>
      <c r="BM163" s="196">
        <f>BN163*(1+$CF163+(VLOOKUP($AM163,$A$12:$B$323,2,0))+各项系数!$J$6+各项系数!$M$5)*(1+$E$2)</f>
        <v>21.109059034507325</v>
      </c>
      <c r="BN163" s="197">
        <f>BO163+各项系数!$L$9*$NM163</f>
        <v>20.711400151596671</v>
      </c>
      <c r="BO163" s="197">
        <f>BP163*(1+$CG163+各项系数!$J$5+各项系数!$L$5)</f>
        <v>20.544389267319112</v>
      </c>
      <c r="BP163" s="197">
        <f t="shared" si="646"/>
        <v>19.566085016494391</v>
      </c>
      <c r="BQ163" s="196">
        <f>BR163+各项系数!$M$9*$NM163</f>
        <v>22.130794286885358</v>
      </c>
      <c r="BR163" s="196">
        <f>BS163*(1+$CF163+(VLOOKUP($AM163,$A$12:$B$323,2,0))+各项系数!$J$6+各项系数!$M$5)*(1+$E$2)</f>
        <v>21.963783402607799</v>
      </c>
      <c r="BS163" s="197">
        <f>BT163+各项系数!$L$9*$NM163</f>
        <v>21.550022961742346</v>
      </c>
      <c r="BT163" s="197">
        <f>BU163*(1+$CG163+各项系数!$J$5+各项系数!$L$5)</f>
        <v>21.383012077464787</v>
      </c>
      <c r="BU163" s="197">
        <f t="shared" si="647"/>
        <v>20.364773407109322</v>
      </c>
      <c r="BV163" s="196">
        <f>BW163+各项系数!$M$9*$NT163</f>
        <v>22.651609884632517</v>
      </c>
      <c r="BW163" s="196">
        <f>BX163*(1+$CF163+(VLOOKUP($AM163,$A$12:$B$214,2,0))+各项系数!$J$6+各项系数!$M$5)*(1+$E$2)</f>
        <v>22.478305182883709</v>
      </c>
      <c r="BX163" s="197">
        <f>BY163+各项系数!$L$9*$NT$12</f>
        <v>22.054852024022477</v>
      </c>
      <c r="BY163" s="197">
        <f>BZ163*(1+$CG163+各项系数!$J$5+各项系数!$L$5)</f>
        <v>22.046588620867503</v>
      </c>
      <c r="BZ163" s="199">
        <f t="shared" si="586"/>
        <v>20.996751067492859</v>
      </c>
      <c r="CA163" s="196">
        <f>CB163+各项系数!$M$9*$NT163</f>
        <v>23.514504026068607</v>
      </c>
      <c r="CB163" s="196">
        <f>CC163*(1+$CF163+(VLOOKUP($AM163,$A$12:$B$214,2,0))+各项系数!$J$6+各项系数!$M$5)*(1+$E$2)</f>
        <v>23.341199324319799</v>
      </c>
      <c r="CC163" s="197">
        <f>CD163+各项系数!$L$9*$NT$12</f>
        <v>22.901490702825548</v>
      </c>
      <c r="CD163" s="197">
        <f>CE163*(1+$CG163+各项系数!$J$5+各项系数!$L$5)</f>
        <v>22.893227299670574</v>
      </c>
      <c r="CE163" s="199">
        <f t="shared" si="648"/>
        <v>21.80307361873388</v>
      </c>
      <c r="CF163" s="213">
        <f t="shared" si="753"/>
        <v>0</v>
      </c>
      <c r="CG163" s="213">
        <f t="shared" si="587"/>
        <v>0.03</v>
      </c>
      <c r="CH163" s="102"/>
      <c r="CI163" s="196">
        <f>CJ163+各项系数!$M$9*$NO163</f>
        <v>24.004476895631488</v>
      </c>
      <c r="CJ163" s="196">
        <f>CK163*(1+$DC163+(VLOOKUP($AM163,$A$12:$B$323,2,0))+各项系数!$J$6+各项系数!$M$5)*(1+$E$2)+各项系数!$M$9*$NK163</f>
        <v>23.706440011507699</v>
      </c>
      <c r="CK163" s="197">
        <f>CL163+各项系数!$L$9*$NO163</f>
        <v>23.095986192337264</v>
      </c>
      <c r="CL163" s="197">
        <f>CM163*(1+$DD163+各项系数!$J$5+各项系数!$L$5)</f>
        <v>22.797949308213475</v>
      </c>
      <c r="CM163" s="197">
        <f t="shared" si="588"/>
        <v>21.921105104051417</v>
      </c>
      <c r="CN163" s="196">
        <f>CO163+各项系数!$M$9*$NO163</f>
        <v>24.65502230870764</v>
      </c>
      <c r="CO163" s="196">
        <f>CP163*(1+$DC163+(VLOOKUP($AM163,$A$12:$B$323,2,0))+各项系数!$J$6+各项系数!$M$5)*(1+$E$2)+各项系数!$M$9*$NK163</f>
        <v>24.356985424583851</v>
      </c>
      <c r="CP163" s="197">
        <f>CQ163+各项系数!$L$9*$NO163</f>
        <v>23.734276432796598</v>
      </c>
      <c r="CQ163" s="197">
        <f>CR163*(1+$DD163+各项系数!$J$5+各项系数!$L$5)</f>
        <v>23.436239548672809</v>
      </c>
      <c r="CR163" s="197">
        <f t="shared" si="589"/>
        <v>22.534845719877701</v>
      </c>
      <c r="CS163" s="196">
        <f>CT163+各项系数!$M$9*$NU163</f>
        <v>25.759307391633381</v>
      </c>
      <c r="CT163" s="196">
        <f t="shared" si="590"/>
        <v>25.453338204615729</v>
      </c>
      <c r="CU163" s="197">
        <f>CV163+各项系数!$L$9*$NU163</f>
        <v>24.973840467637096</v>
      </c>
      <c r="CV163" s="197">
        <f>CW163*(1+$DD163+各项系数!$J$5+各项系数!$L$5)</f>
        <v>24.667871280619444</v>
      </c>
      <c r="CW163" s="199">
        <f t="shared" si="591"/>
        <v>23.719107000595617</v>
      </c>
      <c r="CX163" s="196">
        <f>CY163+各项系数!$M$9*$NU163</f>
        <v>26.994167536440411</v>
      </c>
      <c r="CY163" s="196">
        <f t="shared" si="592"/>
        <v>26.688198349422759</v>
      </c>
      <c r="CZ163" s="197">
        <f>DA163+各项系数!$L$9*$NU163</f>
        <v>26.185437940956398</v>
      </c>
      <c r="DA163" s="197">
        <f>DB163*(1+$DD163+各项系数!$J$5+各项系数!$L$5)</f>
        <v>25.879468753938745</v>
      </c>
      <c r="DB163" s="199">
        <f t="shared" si="593"/>
        <v>24.884104571094948</v>
      </c>
      <c r="DC163" s="213">
        <f t="shared" si="698"/>
        <v>0</v>
      </c>
      <c r="DD163" s="213">
        <f t="shared" si="594"/>
        <v>0.02</v>
      </c>
      <c r="DE163" s="53" t="s">
        <v>498</v>
      </c>
      <c r="DF163" s="53" t="s">
        <v>513</v>
      </c>
      <c r="DG163" s="196">
        <f>DH163+各项系数!$M$9*$NQ163</f>
        <v>24.41067139907188</v>
      </c>
      <c r="DH163" s="196">
        <f>DI163*(1+$EA163+(VLOOKUP($AM163,$A$12:$B$323,2,0))+各项系数!$J$6+各项系数!$M$5)*(1+$E$2)+各项系数!$M$9*$NK163</f>
        <v>24.112634514948091</v>
      </c>
      <c r="DI163" s="197">
        <f>DJ163+各项系数!$L$9*$NQ163</f>
        <v>23.494528680014259</v>
      </c>
      <c r="DJ163" s="197">
        <f>DK163*(1+$EB163+各项系数!$J$5+各项系数!$L$5)</f>
        <v>23.19649179589047</v>
      </c>
      <c r="DK163" s="197">
        <f t="shared" si="595"/>
        <v>22.091896948467113</v>
      </c>
      <c r="DL163" s="196">
        <f>DM163+各项系数!$M$9*$NQ163</f>
        <v>25.465044603061529</v>
      </c>
      <c r="DM163" s="196">
        <f>DN163*(1+$EA163+(VLOOKUP($AM163,$A$12:$B$323,2,0))+各项系数!$J$6+各项系数!$M$5)*(1+$E$2)+各项系数!$M$9*$NK163</f>
        <v>25.167007718937739</v>
      </c>
      <c r="DN163" s="197">
        <f>DO163+各项系数!$L$9*$NQ163</f>
        <v>24.529039280475057</v>
      </c>
      <c r="DO163" s="197">
        <f>DP163*(1+$EB163+各项系数!$J$5+各项系数!$L$5)</f>
        <v>24.231002396351268</v>
      </c>
      <c r="DP163" s="197">
        <f t="shared" si="596"/>
        <v>23.077145139382161</v>
      </c>
      <c r="DQ163" s="196">
        <f>DR163+各项系数!$M$9*$NV163</f>
        <v>26.18524335290375</v>
      </c>
      <c r="DR163" s="196">
        <f t="shared" si="597"/>
        <v>25.879274165886098</v>
      </c>
      <c r="DS163" s="197">
        <f>DT163+各项系数!$L$9*$NV163</f>
        <v>25.391752517549154</v>
      </c>
      <c r="DT163" s="197">
        <f>DU163*(1+$EB163+各项系数!$J$5+各项系数!$L$5)</f>
        <v>25.085783330531502</v>
      </c>
      <c r="DU163" s="199">
        <f t="shared" si="598"/>
        <v>23.891222219553811</v>
      </c>
      <c r="DV163" s="196">
        <f>DW163+各项系数!$M$9*$NV163</f>
        <v>25.493466724448751</v>
      </c>
      <c r="DW163" s="196">
        <f t="shared" si="599"/>
        <v>25.187497537431099</v>
      </c>
      <c r="DX163" s="197">
        <f>DY163+各项系数!$L$9*$NV163</f>
        <v>24.713007787903354</v>
      </c>
      <c r="DY163" s="197">
        <f>DZ163*(1+$EB163+各项系数!$J$5+各项系数!$L$5)</f>
        <v>24.407038600885702</v>
      </c>
      <c r="DZ163" s="199">
        <f t="shared" si="600"/>
        <v>23.244798667510192</v>
      </c>
      <c r="EA163" s="213">
        <f t="shared" si="699"/>
        <v>0</v>
      </c>
      <c r="EB163" s="213">
        <f t="shared" si="601"/>
        <v>0.03</v>
      </c>
      <c r="EC163" s="235">
        <f t="shared" si="649"/>
        <v>30</v>
      </c>
      <c r="ED163" s="235" t="str">
        <f t="shared" si="708"/>
        <v>30*1</v>
      </c>
      <c r="EE163" s="189">
        <f t="shared" si="709"/>
        <v>1</v>
      </c>
      <c r="EF163" s="189">
        <f>LOOKUP(EH163,{1,7,10,14,19,24,30,37,48,61},{1,"1+6","2+8","4+10","1+6+12","2+8+14","4+10+16","1+6+12+18","3+9+15+21","1+6+12+18+24"})</f>
        <v>1</v>
      </c>
      <c r="EG163" s="188">
        <f t="shared" si="602"/>
        <v>30</v>
      </c>
      <c r="EH163" s="197">
        <f>VLOOKUP(EE163,各项系数!$B$87:$C$124,2,0)</f>
        <v>1</v>
      </c>
      <c r="EI163" s="188">
        <f>IF(EH163=0,0,VLOOKUP(EH163,各项系数!$D$142:$E$195,2,0))*1</f>
        <v>1</v>
      </c>
      <c r="EJ163" s="238">
        <f t="shared" si="650"/>
        <v>110.31595161029</v>
      </c>
      <c r="EK163" s="189">
        <f t="shared" si="689"/>
        <v>0</v>
      </c>
      <c r="EL163" s="189">
        <f t="shared" si="603"/>
        <v>0</v>
      </c>
      <c r="EM163" s="189">
        <f t="shared" si="690"/>
        <v>0</v>
      </c>
      <c r="EN163" s="189">
        <f>IF(EP163=0,0,LOOKUP(EP163,{1,7,10,14,19,24,30,37,48,61},{1,"1+6","2+8","4+10","1+6+12","2+8+14","4+10+16","1+6+12+18","3+9+15+21","1+6+12+18+24"}))</f>
        <v>0</v>
      </c>
      <c r="EO163" s="189">
        <f t="shared" si="691"/>
        <v>0</v>
      </c>
      <c r="EP163" s="189">
        <f>IF(EM163=0,0,IF(EM163&lt;10,1,IF(AND(EM163&gt;=10,EM163&lt;=35),7,LOOKUP(EM163,{50,70,95,120,150,185,240,300},{10,14,19,24,30,37,48,61})*1)))</f>
        <v>0</v>
      </c>
      <c r="EQ163" s="189">
        <f>IF(EP163=0,0,VLOOKUP(EP163,各项系数!$D$142:$E$195,2,0))*1</f>
        <v>0</v>
      </c>
      <c r="ER163" s="53">
        <f t="shared" si="710"/>
        <v>0</v>
      </c>
      <c r="ES163" s="412">
        <f t="shared" si="692"/>
        <v>30</v>
      </c>
      <c r="ET163" s="189">
        <f>VLOOKUP(ES163,各项系数!$D$142:$E$195,2,0)*1</f>
        <v>6.41</v>
      </c>
      <c r="EU163" s="243">
        <f>((各项系数!$F$76/4*$EJ163^2*$EG163*$EH163*1*10^-7)*(1-$H163)*AA163)*(VLOOKUP($EY$9,各项系数!$D$4:$F$143,3,0))*各项系数!$J$4</f>
        <v>0.25363700080901097</v>
      </c>
      <c r="EV163" s="244">
        <f>EU163*(VLOOKUP($EY$9,各项系数!$D$4:$F$143,2,0))</f>
        <v>16.61322355299022</v>
      </c>
      <c r="EW163" s="252">
        <f>(IF($EO163=0,0,(各项系数!$F$76/4*$ER163^2*$EO163*$EP163*1*10^-7))*(1-$K163)*$AF163)*(VLOOKUP($EY$9,各项系数!$D$4:$F$143,3,0))*各项系数!$J$4</f>
        <v>0</v>
      </c>
      <c r="EX163" s="253">
        <f>EW163*(VLOOKUP($EY$9,各项系数!$D$4:$F$143,2,0))</f>
        <v>0</v>
      </c>
      <c r="EY163" s="189">
        <f>((各项系数!$F$76/4*$EJ163^2*$EG163*$EH163*1*10^-7)*(1-$H163)*AA163+IF($EO163=0,0,(各项系数!$F$76/4*$ER163^2*$EO163*$EP163*1*10^-7))*(1-$K163)*$AF163)*(VLOOKUP($EY$9,各项系数!$D$4:$F$143,3,0))*各项系数!$J$4</f>
        <v>0.25363700080901097</v>
      </c>
      <c r="EZ163" s="102">
        <v>1</v>
      </c>
      <c r="FA163" s="189">
        <f t="shared" si="711"/>
        <v>0.25363700080901097</v>
      </c>
      <c r="FB163" s="254">
        <f>FA163*(VLOOKUP($EY$9,各项系数!$D$4:$F$143,2,0))</f>
        <v>16.61322355299022</v>
      </c>
      <c r="FC163" s="255"/>
      <c r="FD163" s="235">
        <f>各项系数!$F$76/4*($MN163^2-MK163^2)*10^-2*(VLOOKUP(L163,各项系数!$D$1:$F$143,3,0))*10^-3*10^2*$EG163*各项系数!$J$4</f>
        <v>0.10541282932112925</v>
      </c>
      <c r="FE163" s="262">
        <f>FD163*VLOOKUP(L163,各项系数!$D$1:$F$143,2,0)</f>
        <v>1.2122475371929864</v>
      </c>
      <c r="FF163" s="188">
        <f>各项系数!$F$76/4*($MO163^2-ML163^2)*10^-2*(VLOOKUP(L163,各项系数!$D$1:$F$143,3,0))*10^-3*10^2*$EO163*各项系数!$J$4</f>
        <v>0</v>
      </c>
      <c r="FG163" s="262">
        <f>FF163*VLOOKUP(L163,各项系数!$D$1:$F$143,2,0)</f>
        <v>0</v>
      </c>
      <c r="FH163" s="235">
        <f t="shared" si="651"/>
        <v>0.10541282932112925</v>
      </c>
      <c r="FI163" s="102">
        <v>1</v>
      </c>
      <c r="FJ163" s="189">
        <f t="shared" si="712"/>
        <v>0.10541282932112925</v>
      </c>
      <c r="FK163" s="262">
        <f>FJ163*VLOOKUP(L163,各项系数!$D$1:$F$143,2,0)</f>
        <v>1.2122475371929864</v>
      </c>
      <c r="FL163" s="235"/>
      <c r="FM163" s="102"/>
      <c r="FN163" s="189"/>
      <c r="FO163" s="262"/>
      <c r="FP163" s="282">
        <f t="shared" si="713"/>
        <v>0.10541282932112925</v>
      </c>
      <c r="FQ163" s="282">
        <f t="shared" si="714"/>
        <v>1.2122475371929864</v>
      </c>
      <c r="FR163" s="283">
        <f>各项系数!$F$76/4*($MQ163^2-$MN163^2*$EG163-$MO163^2*$EO163)*10^-2</f>
        <v>0.46195008610513738</v>
      </c>
      <c r="FS163" s="284">
        <f t="shared" si="652"/>
        <v>1</v>
      </c>
      <c r="FT163" s="285">
        <f t="shared" si="604"/>
        <v>0.46195008610513738</v>
      </c>
      <c r="FU163" s="302">
        <f>$FT163*(VLOOKUP($FT$9,各项系数!$D$1:$F$143,3,0))*10^-3*10^2*各项系数!$J$55</f>
        <v>5.5156840280953398E-2</v>
      </c>
      <c r="FV163" s="303">
        <v>1</v>
      </c>
      <c r="FW163" s="304">
        <f t="shared" si="715"/>
        <v>5.5156840280953398E-2</v>
      </c>
      <c r="FX163" s="285">
        <f>FW163*(VLOOKUP($FT$9,各项系数!$D$1:$F$143,2,0))</f>
        <v>0.16547052084286018</v>
      </c>
      <c r="FY163" s="302">
        <f>IF($BK163&lt;&gt;$FY$9,0,各项系数!$F$76/4*($MS163^2-$MQ163^2)*10^-2*(VLOOKUP($FY$9,各项系数!$D$1:$F$143,3,0))*10^-3*10^2)*各项系数!$J$4</f>
        <v>0</v>
      </c>
      <c r="FZ163" s="303">
        <v>1</v>
      </c>
      <c r="GA163" s="304">
        <f t="shared" si="716"/>
        <v>0</v>
      </c>
      <c r="GB163" s="285">
        <f>GA163*(VLOOKUP($FY$9,各项系数!$D$1:$F$143,2,0))</f>
        <v>0</v>
      </c>
      <c r="GC163" s="302">
        <f>IF($BK163&lt;&gt;$GC$9,0,各项系数!$F$76/4*($MS163^2-$MQ163^2)*10^-2*(VLOOKUP($GC$9,各项系数!$D$1:$F$143,3,0))*10^-3*10^2)*各项系数!$J$4</f>
        <v>4.0443981472864611E-3</v>
      </c>
      <c r="GD163" s="303">
        <v>1</v>
      </c>
      <c r="GE163" s="304">
        <f t="shared" si="717"/>
        <v>4.0443981472864611E-3</v>
      </c>
      <c r="GF163" s="285">
        <f>GE163*(VLOOKUP($GC$9,各项系数!$D$1:$F$143,2,0))</f>
        <v>5.217273609999535E-2</v>
      </c>
      <c r="GG163" s="302">
        <f>IF($BK163&lt;&gt;$GG$9,0,各项系数!$F$76/4*($MS163^2-$MQ163^2)*10^-2*(VLOOKUP($GG$9,各项系数!$D$1:$F$143,3,0))*10^-3*10^2)*各项系数!$J$4</f>
        <v>0</v>
      </c>
      <c r="GH163" s="303">
        <v>1</v>
      </c>
      <c r="GI163" s="304">
        <f t="shared" si="718"/>
        <v>0</v>
      </c>
      <c r="GJ163" s="285">
        <f>GI163*(VLOOKUP($GG$9,各项系数!$D$1:$F$143,2,0))</f>
        <v>0</v>
      </c>
      <c r="GK163" s="302">
        <f>IF($BK163&lt;&gt;$GK$9,0,各项系数!$F$76/4*($MS163^2-$MQ163^2)*10^-2*(VLOOKUP($GK$9,各项系数!$D$1:$F$143,3,0))*10^-3*10^2)*各项系数!$J$4</f>
        <v>0</v>
      </c>
      <c r="GL163" s="303">
        <v>1</v>
      </c>
      <c r="GM163" s="304">
        <f t="shared" si="719"/>
        <v>0</v>
      </c>
      <c r="GN163" s="285">
        <f>GM163*(VLOOKUP($GK$9,各项系数!$D$1:$F$143,2,0))</f>
        <v>0</v>
      </c>
      <c r="GO163" s="304">
        <f t="shared" si="720"/>
        <v>4.0443981472864611E-3</v>
      </c>
      <c r="GP163" s="304">
        <f t="shared" si="721"/>
        <v>5.217273609999535E-2</v>
      </c>
      <c r="GQ163" s="315">
        <f>各项系数!$F$76/4*($MU163^2-$MS163^2)*10^-2*(VLOOKUP($S163,各项系数!$D$1:$F$143,3,0))*10^-3*10^2*各项系数!$J$4</f>
        <v>0.22790879299876132</v>
      </c>
      <c r="GR163" s="303">
        <v>1</v>
      </c>
      <c r="GS163" s="304">
        <f t="shared" si="722"/>
        <v>0.22790879299876132</v>
      </c>
      <c r="GT163" s="304">
        <f t="shared" si="696"/>
        <v>0</v>
      </c>
      <c r="GU163" s="304">
        <f>ROUND($GS163*(VLOOKUP($S163,各项系数!$D$1:$F$143,2,0))+$E$3*GS163,GT163)</f>
        <v>1</v>
      </c>
      <c r="GV163" s="315">
        <f>各项系数!$F$76/4*($MT163^2-$MS163^2)*10^-2*(VLOOKUP($GV$9,各项系数!$D$1:$F$143,3,0))*10^-3*10^2*各项系数!$J$4*PI()/4*R163</f>
        <v>2.0979391570830036E-2</v>
      </c>
      <c r="GW163" s="303">
        <v>1</v>
      </c>
      <c r="GX163" s="304">
        <f t="shared" si="723"/>
        <v>2.0979391570830036E-2</v>
      </c>
      <c r="GY163" s="304">
        <f>$GX163*(VLOOKUP($GV$9,各项系数!$D$1:$F$143,2,0))</f>
        <v>1.4161089310310275</v>
      </c>
      <c r="GZ163" s="315">
        <f>各项系数!$F$76/4*($MV163^2-$MS163^2)*10^-2*(VLOOKUP($GZ$9,各项系数!$D$1:$F$143,3,0))*10^-3*10^2*各项系数!$J$4</f>
        <v>0.13656817999901538</v>
      </c>
      <c r="HA163" s="303">
        <v>1</v>
      </c>
      <c r="HB163" s="304">
        <f t="shared" si="653"/>
        <v>0.13656817999901538</v>
      </c>
      <c r="HC163" s="304">
        <f>HB163*(VLOOKUP($GZ$9,各项系数!$D$1:$F$143,2,0))</f>
        <v>2.3216590599832614</v>
      </c>
      <c r="HD163" s="315">
        <f>各项系数!$F$76/4*($MW163^2-$MT163^2)*10^-2*(VLOOKUP($HD$9,各项系数!$D$1:$F$143,3,0))*10^-3*10^2*各项系数!$J$4</f>
        <v>0.1378735494456938</v>
      </c>
      <c r="HE163" s="303">
        <v>1</v>
      </c>
      <c r="HF163" s="304">
        <f t="shared" si="654"/>
        <v>0.1378735494456938</v>
      </c>
      <c r="HG163" s="304">
        <f>HF163*(VLOOKUP($HD$9,各项系数!$D$1:$F$143,2,0))</f>
        <v>2.3438503405767945</v>
      </c>
      <c r="HH163" s="315">
        <f>各项系数!$F$76/4*($MV163^2-$MS163^2)*10^-2*(VLOOKUP($HH$9,各项系数!$D$1:$F$143,3,0))*10^-3*10^2*各项系数!$J$4</f>
        <v>0.13656817999901538</v>
      </c>
      <c r="HI163" s="322">
        <v>1</v>
      </c>
      <c r="HJ163" s="304">
        <f t="shared" si="655"/>
        <v>0.13656817999901538</v>
      </c>
      <c r="HK163" s="304">
        <f>HJ163*(VLOOKUP($HH$9,各项系数!$D$1:$F$143,2,0))</f>
        <v>2.3216590599832614</v>
      </c>
      <c r="HL163" s="315">
        <f>各项系数!$F$76/4*($MW163^2-$MT163^2)*10^-2*(VLOOKUP($HL$9,各项系数!$D$1:$F$143,3,0))*10^-3*10^2*各项系数!$J$4</f>
        <v>0.1378735494456938</v>
      </c>
      <c r="HM163" s="322">
        <v>1</v>
      </c>
      <c r="HN163" s="304">
        <f t="shared" si="605"/>
        <v>0.1378735494456938</v>
      </c>
      <c r="HO163" s="304">
        <f>HN163*(VLOOKUP($HL$9,各项系数!$D$1:$F$143,2,0))</f>
        <v>2.3438503405767945</v>
      </c>
      <c r="HP163" s="315">
        <f>各项系数!$F$76/4*($MV163^2-$MS163^2)*10^-2*(VLOOKUP(AN163,各项系数!$D$1:$F$143,3,0))*10^-3*10^2*各项系数!$J$4</f>
        <v>0.13845187903348458</v>
      </c>
      <c r="HQ163" s="303">
        <v>1</v>
      </c>
      <c r="HR163" s="304">
        <f t="shared" si="724"/>
        <v>0.13845187903348458</v>
      </c>
      <c r="HS163" s="304">
        <f>HR163*(VLOOKUP(AN163,各项系数!$D$1:$F$143,2,0))</f>
        <v>1.3845187903348457</v>
      </c>
      <c r="HT163" s="315">
        <f>各项系数!$F$76/4*($MW163^2-$MT163^2)*10^-2*(VLOOKUP(AN163,各项系数!$D$1:$F$143,3,0))*10^-3*10^2*各项系数!$J$4</f>
        <v>0.13977525357597922</v>
      </c>
      <c r="HU163" s="303">
        <v>1</v>
      </c>
      <c r="HV163" s="304">
        <f t="shared" si="725"/>
        <v>0.13977525357597922</v>
      </c>
      <c r="HW163" s="304">
        <f>HV163*(VLOOKUP(AN163,各项系数!$D$1:$F$143,2,0))</f>
        <v>1.3977525357597922</v>
      </c>
      <c r="HX163" s="315">
        <f>各项系数!$F$76/4*($MV163^2-$MS163^2)*10^-2*(VLOOKUP($HX$9,各项系数!$D$1:$F$143,3,0))*10^-3*10^2*各项系数!$J$4</f>
        <v>0.13845187903348458</v>
      </c>
      <c r="HY163" s="322">
        <v>1</v>
      </c>
      <c r="HZ163" s="304">
        <f t="shared" si="726"/>
        <v>0.13845187903348458</v>
      </c>
      <c r="IA163" s="304">
        <f>HZ163*(VLOOKUP($HX$9,各项系数!$D$1:$F$143,2,0))</f>
        <v>1.5229706693683303</v>
      </c>
      <c r="IB163" s="315">
        <f>各项系数!$F$76/4*($MW163^2-$MT163^2)*10^-2*(VLOOKUP($IB$9,各项系数!$D$1:$F$143,3,0))*10^-3*10^2*各项系数!$J$4</f>
        <v>0.13977525357597922</v>
      </c>
      <c r="IC163" s="322">
        <v>1</v>
      </c>
      <c r="ID163" s="304">
        <f t="shared" si="727"/>
        <v>0.13977525357597922</v>
      </c>
      <c r="IE163" s="304">
        <f>ID163*(VLOOKUP($IB$9,各项系数!$D$1:$F$143,2,0))</f>
        <v>1.5375277893357715</v>
      </c>
      <c r="IF163" s="328"/>
      <c r="IG163" s="315">
        <f t="shared" si="656"/>
        <v>5.9212550632239201E-2</v>
      </c>
      <c r="IH163" s="303">
        <v>1</v>
      </c>
      <c r="II163" s="304">
        <f t="shared" si="728"/>
        <v>5.9212550632239201E-2</v>
      </c>
      <c r="IJ163" s="304">
        <f>II163*(VLOOKUP($IG$8,各项系数!$D$1:$F$143,2,0))</f>
        <v>1.48031376580598</v>
      </c>
      <c r="IK163" s="315">
        <f>(各项系数!$F$76/4*($MX163^2-$MK163^2)*$EG163)*10^-2*(VLOOKUP($IG$8,各项系数!$D$1:$F$143,3,0))*10^-3*10^2*各项系数!$J$4</f>
        <v>5.9212550632239201E-2</v>
      </c>
      <c r="IL163" s="303">
        <f>IK163*(VLOOKUP($IG$8,各项系数!$D$1:$F$143,2,0))</f>
        <v>1.48031376580598</v>
      </c>
      <c r="IM163" s="304">
        <f>(各项系数!$F$76/4*(($MM163+3*$X163)^2-MM163^2)*$EO163)*10^-2*(VLOOKUP($IG$8,各项系数!$D$1:$F$143,3,0))*10^-3*10^2*各项系数!$J$4</f>
        <v>0</v>
      </c>
      <c r="IN163" s="303">
        <f>IM163*(VLOOKUP($IG$8,各项系数!$D$1:$F$143,2,0))</f>
        <v>0</v>
      </c>
      <c r="IO163" s="315">
        <f>各项系数!$F$76/4*($MZ163^2-$MX163^2)*10^-2*(VLOOKUP(L163,各项系数!$D$1:$F$143,3,0))*10^-3*10^2*$ES163*各项系数!$J$4</f>
        <v>0.14254833944215275</v>
      </c>
      <c r="IP163" s="303">
        <v>1</v>
      </c>
      <c r="IQ163" s="304">
        <f t="shared" si="729"/>
        <v>0.14254833944215275</v>
      </c>
      <c r="IR163" s="285">
        <f>IQ163*(VLOOKUP(L163,各项系数!$D$1:$F$143,2,0))</f>
        <v>1.6393059035847566</v>
      </c>
      <c r="IS163" s="315">
        <f>IF($L163&lt;&gt;$IS$9,0,各项系数!$F$76/4*($MZ163^2-$MX163^2)*10^-2*各项系数!$F$12*10^-3*10^2)*$ES163*各项系数!$J$4</f>
        <v>0</v>
      </c>
      <c r="IT163" s="303">
        <v>1</v>
      </c>
      <c r="IU163" s="304">
        <f t="shared" si="730"/>
        <v>0</v>
      </c>
      <c r="IV163" s="285">
        <f>IU163*各项系数!$E$12</f>
        <v>0</v>
      </c>
      <c r="IW163" s="302">
        <f t="shared" si="731"/>
        <v>0.14254833944215275</v>
      </c>
      <c r="IX163" s="302">
        <f t="shared" si="732"/>
        <v>1.6393059035847566</v>
      </c>
      <c r="IY163" s="339">
        <f>各项系数!$F$76/4*($NB163^2-$MZ163^2*$EG163-$NA163^2*$EO163)*10^-2</f>
        <v>0.73398775417053275</v>
      </c>
      <c r="IZ163" s="284">
        <f t="shared" si="697"/>
        <v>1</v>
      </c>
      <c r="JA163" s="285">
        <f t="shared" si="606"/>
        <v>0.73398775417053275</v>
      </c>
      <c r="JB163" s="282">
        <f>IF($DE163&lt;&gt;$JB$9,0,$JA163*各项系数!$F$32*10^-3*10^2)*各项系数!$J$4</f>
        <v>0</v>
      </c>
      <c r="JC163" s="102">
        <v>1</v>
      </c>
      <c r="JD163" s="189">
        <f t="shared" si="733"/>
        <v>0</v>
      </c>
      <c r="JE163" s="262">
        <f>JD163*各项系数!$E$32</f>
        <v>0</v>
      </c>
      <c r="JF163" s="282">
        <f>IF($DE163&lt;&gt;$JF$9,0,$JA163*VLOOKUP($JF$9,各项系数!$D$4:$F$540,2,0)*10^-3*10^2)*各项系数!$J$4</f>
        <v>0.36515890769984005</v>
      </c>
      <c r="JG163" s="102">
        <v>1</v>
      </c>
      <c r="JH163" s="189">
        <f t="shared" si="607"/>
        <v>0.36515890769984005</v>
      </c>
      <c r="JI163" s="262">
        <f>JH163*VLOOKUP($JF$9,各项系数!$D$4:$F$540,3,0)</f>
        <v>0.43819068923980803</v>
      </c>
      <c r="JJ163" s="282">
        <f t="shared" si="734"/>
        <v>0.36515890769984005</v>
      </c>
      <c r="JK163" s="189">
        <f t="shared" si="735"/>
        <v>0.43819068923980803</v>
      </c>
      <c r="JL163" s="282">
        <f>IF($DF163&lt;&gt;$JL$9,0,各项系数!$F$76/4*($NE163^2-$NC163^2)*10^-2*各项系数!$F$39*10^-3*10^2)*各项系数!$J$4</f>
        <v>2.1076374136838223E-3</v>
      </c>
      <c r="JM163" s="102">
        <v>1</v>
      </c>
      <c r="JN163" s="189">
        <f t="shared" si="736"/>
        <v>2.1076374136838223E-3</v>
      </c>
      <c r="JO163" s="262">
        <f>JN163*各项系数!$E$39</f>
        <v>4.2152748273676446E-2</v>
      </c>
      <c r="JP163" s="282">
        <f>IF($DF163&lt;&gt;$JP$9,0,各项系数!$F$76/4*($NE163^2-$NC163^2)*10^-2*各项系数!$F$36*10^-3*10^2)*各项系数!$J$4</f>
        <v>0</v>
      </c>
      <c r="JQ163" s="102">
        <v>1</v>
      </c>
      <c r="JR163" s="189">
        <f t="shared" si="737"/>
        <v>0</v>
      </c>
      <c r="JS163" s="262">
        <f>JR163*各项系数!$E$36</f>
        <v>0</v>
      </c>
      <c r="JT163" s="282">
        <f>IF($DF163&lt;&gt;$JT$9,0,各项系数!$F$76/4*($NE163^2-$NC163^2)*10^-2*各项系数!$F$40*10^-3*10^2)*各项系数!$J$4</f>
        <v>0</v>
      </c>
      <c r="JU163" s="102">
        <v>1</v>
      </c>
      <c r="JV163" s="189">
        <f t="shared" si="738"/>
        <v>0</v>
      </c>
      <c r="JW163" s="262">
        <f>JV163*各项系数!$E$40</f>
        <v>0</v>
      </c>
      <c r="JX163" s="282">
        <f>IF($DF163&lt;&gt;$JX$9,0,各项系数!$F$76/4*($NE163^2-$NC163^2)*10^-2*各项系数!$F$38*10^-3*10^2)*各项系数!$J$4</f>
        <v>0</v>
      </c>
      <c r="JY163" s="102">
        <v>1</v>
      </c>
      <c r="JZ163" s="189">
        <f t="shared" si="739"/>
        <v>0</v>
      </c>
      <c r="KA163" s="262">
        <f>JZ163*各项系数!$E$38</f>
        <v>0</v>
      </c>
      <c r="KB163" s="282">
        <f>IF($DF163&lt;&gt;$KB$9,0,各项系数!$F$76/4*($NE163^2-$NC163^2)*10^-2*各项系数!$F$41*10^-3*10^2)*各项系数!$J$4</f>
        <v>0</v>
      </c>
      <c r="KC163" s="102">
        <v>1</v>
      </c>
      <c r="KD163" s="189">
        <f t="shared" si="740"/>
        <v>0</v>
      </c>
      <c r="KE163" s="262">
        <f>KD163*各项系数!$E$41</f>
        <v>0</v>
      </c>
      <c r="KF163" s="189">
        <f t="shared" si="741"/>
        <v>2.1076374136838223E-3</v>
      </c>
      <c r="KG163" s="189">
        <f t="shared" si="742"/>
        <v>4.2152748273676446E-2</v>
      </c>
      <c r="KH163" s="235">
        <f>各项系数!$F$76/4*($NG163^2-$NE163^2)*10^-2*各项系数!$F$44*10^-3*10^2*各项系数!$J$4*0.75*$U163</f>
        <v>0.85576619483907646</v>
      </c>
      <c r="KI163" s="102">
        <v>1</v>
      </c>
      <c r="KJ163" s="189">
        <f t="shared" si="743"/>
        <v>0.85576619483907646</v>
      </c>
      <c r="KK163" s="189">
        <f>ROUND(KJ163*各项系数!$E$43,GT163)</f>
        <v>5</v>
      </c>
      <c r="KL163" s="235">
        <f>各项系数!$F$76/4*($NF163^2-$NE163^2)*10^-2*各项系数!$F$46*10^-3*10^2*各项系数!$J$4*PI()/4*R163</f>
        <v>2.6441009646211183E-2</v>
      </c>
      <c r="KM163" s="102">
        <v>1</v>
      </c>
      <c r="KN163" s="189">
        <f t="shared" si="744"/>
        <v>2.6441009646211183E-2</v>
      </c>
      <c r="KO163" s="189">
        <f>KN163*各项系数!$E$46</f>
        <v>1.7847681511192548</v>
      </c>
      <c r="KP163" s="235">
        <f>各项系数!$F$76/4*($NH163^2-$NE163^2)*10^-2*(VLOOKUP($KP$9,各项系数!$D$1:$F$143,3,0))*10^-3*10^2*各项系数!$J$4</f>
        <v>0.16846814585221878</v>
      </c>
      <c r="KQ163" s="102">
        <v>1</v>
      </c>
      <c r="KR163" s="189">
        <f t="shared" si="657"/>
        <v>0.16846814585221878</v>
      </c>
      <c r="KS163" s="189">
        <f>KR163*(VLOOKUP($KP$9,各项系数!$D$1:$F$143,2,0))</f>
        <v>2.8639584794877191</v>
      </c>
      <c r="KT163" s="235">
        <f>各项系数!$F$76/4*($NI163^2-$NF163^2)*10^-2*(VLOOKUP($KT$9,各项系数!$D$1:$F$143,3,0))*10^-3*10^2*各项系数!$J$4</f>
        <v>0.16977351529889717</v>
      </c>
      <c r="KU163" s="102">
        <v>1</v>
      </c>
      <c r="KV163" s="189">
        <f t="shared" si="658"/>
        <v>0.16977351529889717</v>
      </c>
      <c r="KW163" s="189">
        <f>KV163*(VLOOKUP($KT$9,各项系数!$D$1:$F$143,2,0))</f>
        <v>2.8861497600812518</v>
      </c>
      <c r="KX163" s="189">
        <f>各项系数!$F$76/4*($NH163^2-$NE163^2)*10^-2*(VLOOKUP($KX$9,各项系数!$D$1:$F$143,3,0))*10^-3*10^2*各项系数!$J$4</f>
        <v>0.16846814585221878</v>
      </c>
      <c r="KY163" s="353">
        <v>1</v>
      </c>
      <c r="KZ163" s="189">
        <f t="shared" si="659"/>
        <v>0.16846814585221878</v>
      </c>
      <c r="LA163" s="189">
        <f>KZ163*(VLOOKUP($KX$9,各项系数!$D$1:$F$143,2,0))</f>
        <v>2.8639584794877191</v>
      </c>
      <c r="LB163" s="189">
        <f>各项系数!$F$76/4*($NI163^2-$NF163^2)*10^-2*(VLOOKUP($LB$9,各项系数!$D$1:$F$143,3,0))*10^-3*10^2*各项系数!$J$4</f>
        <v>0.16977351529889717</v>
      </c>
      <c r="LC163" s="353">
        <v>1</v>
      </c>
      <c r="LD163" s="189">
        <f t="shared" si="660"/>
        <v>0.16977351529889717</v>
      </c>
      <c r="LE163" s="189">
        <f>LD163*(VLOOKUP($LB$9,各项系数!$D$1:$F$143,2,0))</f>
        <v>2.8861497600812518</v>
      </c>
      <c r="LF163" s="235">
        <f>各项系数!$F$76/4*($NH163^2-$NE163^2)*10^-2*(VLOOKUP(AN163,各项系数!$D$1:$F$143,3,0))*10^-3*10^2*各项系数!$J$4</f>
        <v>0.17079184441569767</v>
      </c>
      <c r="LG163" s="102">
        <v>1</v>
      </c>
      <c r="LH163" s="189">
        <f t="shared" si="745"/>
        <v>0.17079184441569767</v>
      </c>
      <c r="LI163" s="189">
        <f>LH163*(VLOOKUP(AN163,各项系数!$D$1:$F$143,2,0))</f>
        <v>1.7079184441569768</v>
      </c>
      <c r="LJ163" s="235">
        <f>各项系数!$F$76/4*($NI163^2-$NF163^2)*10^-2*(VLOOKUP(AN163,各项系数!$D$1:$F$143,3,0))*10^-3*10^2*各项系数!$J$4</f>
        <v>0.17211521895819232</v>
      </c>
      <c r="LK163" s="102">
        <v>1</v>
      </c>
      <c r="LL163" s="189">
        <f t="shared" si="746"/>
        <v>0.17211521895819232</v>
      </c>
      <c r="LM163" s="189">
        <f>LL163*(VLOOKUP(AN163,各项系数!$D$1:$F$143,2,0))</f>
        <v>1.7211521895819231</v>
      </c>
      <c r="LN163" s="189">
        <f>各项系数!$F$76/4*($NH163^2-$NE163^2)*10^-2*(VLOOKUP($LN$9,各项系数!$D$1:$F$143,3,0))*10^-3*10^2*各项系数!$J$4</f>
        <v>0.17079184441569767</v>
      </c>
      <c r="LO163" s="353">
        <v>1</v>
      </c>
      <c r="LP163" s="189">
        <f t="shared" si="747"/>
        <v>0.17079184441569767</v>
      </c>
      <c r="LQ163" s="189">
        <f>LP163*(VLOOKUP($LN$9,各项系数!$D$1:$F$143,2,0))</f>
        <v>1.8787102885726743</v>
      </c>
      <c r="LR163" s="189">
        <f>各项系数!$F$76/4*($NI163^2-$NF163^2)*10^-2*(VLOOKUP($LR$9,各项系数!$D$1:$F$143,3,0))*10^-3*10^2*各项系数!$J$4</f>
        <v>0.17211521895819232</v>
      </c>
      <c r="LS163" s="353">
        <v>1</v>
      </c>
      <c r="LT163" s="189">
        <f t="shared" si="748"/>
        <v>0.17211521895819232</v>
      </c>
      <c r="LU163" s="189">
        <f>LT163*(VLOOKUP($LR$9,各项系数!$D$1:$F$143,2,0))</f>
        <v>1.8932674085401155</v>
      </c>
      <c r="LV163" s="227">
        <f t="shared" si="661"/>
        <v>28.6739663</v>
      </c>
      <c r="LW163" s="227">
        <f t="shared" si="662"/>
        <v>28.6739663</v>
      </c>
      <c r="LX163" s="227">
        <f t="shared" si="663"/>
        <v>6.0422535363524261</v>
      </c>
      <c r="LY163" s="227">
        <f t="shared" si="664"/>
        <v>0</v>
      </c>
      <c r="LZ163" s="374">
        <f t="shared" si="608"/>
        <v>1</v>
      </c>
      <c r="MA163" s="375">
        <f t="shared" si="609"/>
        <v>28.6739663</v>
      </c>
      <c r="MB163" s="375">
        <f t="shared" si="665"/>
        <v>1.1031595199999999</v>
      </c>
      <c r="MC163" s="227">
        <f t="shared" si="666"/>
        <v>0</v>
      </c>
      <c r="MD163" s="227">
        <f t="shared" si="667"/>
        <v>0</v>
      </c>
      <c r="ME163" s="227">
        <f t="shared" si="668"/>
        <v>0</v>
      </c>
      <c r="MF163" s="227">
        <f t="shared" si="669"/>
        <v>0</v>
      </c>
      <c r="MG163" s="374">
        <f t="shared" si="670"/>
        <v>1</v>
      </c>
      <c r="MH163" s="375">
        <f t="shared" si="610"/>
        <v>0</v>
      </c>
      <c r="MI163" s="375">
        <f t="shared" si="671"/>
        <v>0</v>
      </c>
      <c r="MJ163" s="189">
        <f t="shared" si="611"/>
        <v>1.1031595199999999</v>
      </c>
      <c r="MK163" s="189">
        <f t="shared" si="672"/>
        <v>1.1031595199999999</v>
      </c>
      <c r="ML163" s="189">
        <f t="shared" si="749"/>
        <v>0</v>
      </c>
      <c r="MM163" s="189">
        <f t="shared" si="612"/>
        <v>0</v>
      </c>
      <c r="MN163" s="189">
        <f t="shared" si="613"/>
        <v>2.3031595199999999</v>
      </c>
      <c r="MO163" s="189">
        <f t="shared" si="673"/>
        <v>0</v>
      </c>
      <c r="MP163" s="189">
        <f t="shared" si="674"/>
        <v>14.76325252</v>
      </c>
      <c r="MQ163" s="189">
        <f t="shared" si="750"/>
        <v>14.76325252</v>
      </c>
      <c r="MR163" s="246">
        <f t="shared" si="675"/>
        <v>14.76325252</v>
      </c>
      <c r="MS163" s="380">
        <f t="shared" si="614"/>
        <v>14.93925252</v>
      </c>
      <c r="MT163" s="380">
        <f t="shared" si="615"/>
        <v>15.09925252</v>
      </c>
      <c r="MU163" s="380">
        <f t="shared" si="616"/>
        <v>16.139252519999999</v>
      </c>
      <c r="MV163" s="380">
        <f t="shared" si="617"/>
        <v>18.539252520000002</v>
      </c>
      <c r="MW163" s="380">
        <f t="shared" si="618"/>
        <v>18.699252520000002</v>
      </c>
      <c r="MX163" s="254">
        <f t="shared" si="619"/>
        <v>1.70315952</v>
      </c>
      <c r="MY163" s="254">
        <f t="shared" si="620"/>
        <v>0</v>
      </c>
      <c r="MZ163" s="189">
        <f t="shared" si="621"/>
        <v>2.90315952</v>
      </c>
      <c r="NA163" s="189">
        <f t="shared" si="622"/>
        <v>0</v>
      </c>
      <c r="NB163" s="189">
        <f t="shared" si="676"/>
        <v>18.609252519999998</v>
      </c>
      <c r="NC163" s="254">
        <f t="shared" si="751"/>
        <v>18.609252519999998</v>
      </c>
      <c r="ND163" s="246">
        <f t="shared" si="677"/>
        <v>18.609252519999998</v>
      </c>
      <c r="NE163" s="386">
        <f t="shared" si="678"/>
        <v>18.849252519999997</v>
      </c>
      <c r="NF163" s="380">
        <f t="shared" si="623"/>
        <v>19.009252519999997</v>
      </c>
      <c r="NG163" s="387">
        <f t="shared" si="624"/>
        <v>20.049252519999996</v>
      </c>
      <c r="NH163" s="254">
        <f t="shared" si="625"/>
        <v>22.449252519999998</v>
      </c>
      <c r="NI163" s="380">
        <f t="shared" si="626"/>
        <v>22.609252519999998</v>
      </c>
      <c r="NK163" s="388">
        <f t="shared" si="627"/>
        <v>0.55670294759186467</v>
      </c>
      <c r="NL163" s="388">
        <f t="shared" si="628"/>
        <v>19.427633137460905</v>
      </c>
      <c r="NM163" s="388">
        <f t="shared" si="629"/>
        <v>0.55670294759186467</v>
      </c>
      <c r="NN163" s="388">
        <f t="shared" si="630"/>
        <v>19.566085016494391</v>
      </c>
      <c r="NO163" s="388">
        <f t="shared" si="631"/>
        <v>0.99345628041262446</v>
      </c>
      <c r="NP163" s="388">
        <f t="shared" si="632"/>
        <v>21.921105104051417</v>
      </c>
      <c r="NQ163" s="388">
        <f t="shared" si="633"/>
        <v>0.99345628041262446</v>
      </c>
      <c r="NR163" s="388">
        <f t="shared" si="634"/>
        <v>22.091896948467113</v>
      </c>
      <c r="NS163" s="388">
        <f t="shared" si="635"/>
        <v>0.57768233916269474</v>
      </c>
      <c r="NT163" s="388">
        <f t="shared" si="636"/>
        <v>0.57768233916269474</v>
      </c>
      <c r="NU163" s="388">
        <f t="shared" si="637"/>
        <v>1.0198972900588357</v>
      </c>
      <c r="NV163" s="388">
        <f t="shared" si="638"/>
        <v>1.0198972900588357</v>
      </c>
      <c r="NW163">
        <f t="shared" si="639"/>
        <v>0.78461174059062599</v>
      </c>
      <c r="NX163">
        <f>各项系数!$M$9*NK163</f>
        <v>0.16701088427755939</v>
      </c>
      <c r="NY163">
        <f t="shared" si="640"/>
        <v>0.57768233916269474</v>
      </c>
    </row>
    <row r="164" spans="1:389" ht="15" hidden="1" customHeight="1">
      <c r="A164" s="69"/>
      <c r="B164" s="70"/>
      <c r="C164" s="69"/>
      <c r="D164" s="102" t="s">
        <v>315</v>
      </c>
      <c r="E164" s="61">
        <f t="shared" si="687"/>
        <v>19.898116640000001</v>
      </c>
      <c r="F164" s="405">
        <f t="shared" si="693"/>
        <v>110.31595161029</v>
      </c>
      <c r="G164" s="16"/>
      <c r="H164" s="16"/>
      <c r="I164" s="145">
        <v>0</v>
      </c>
      <c r="J164" s="16"/>
      <c r="K164" s="16"/>
      <c r="L164" s="97" t="s">
        <v>469</v>
      </c>
      <c r="M164" s="103">
        <f t="shared" si="582"/>
        <v>0.6</v>
      </c>
      <c r="N164" s="103">
        <f t="shared" si="583"/>
        <v>0</v>
      </c>
      <c r="O164" s="53">
        <f t="shared" si="703"/>
        <v>0.08</v>
      </c>
      <c r="P164" s="99">
        <v>0.1</v>
      </c>
      <c r="Q164" s="133">
        <f t="shared" ref="Q164:Q173" si="754">$Q$12</f>
        <v>0.1</v>
      </c>
      <c r="R164" s="406">
        <v>0.8</v>
      </c>
      <c r="S164" s="142" t="str">
        <f>各项系数!$D$43</f>
        <v>钢带</v>
      </c>
      <c r="T164" s="102">
        <v>0.2</v>
      </c>
      <c r="U164" s="62">
        <v>4</v>
      </c>
      <c r="V164" s="143"/>
      <c r="W164" s="141">
        <f t="shared" si="752"/>
        <v>1.8</v>
      </c>
      <c r="X164" s="135">
        <f t="shared" ref="X164:X173" si="755">$X$12</f>
        <v>0.2</v>
      </c>
      <c r="Y164" s="135"/>
      <c r="Z164" s="168"/>
      <c r="AA164" s="153">
        <v>1</v>
      </c>
      <c r="AB164" s="153">
        <f>PI()*EJ164*EJ164/4*EH164*(1-H164)*AA164*各项系数!$F$5*各项系数!$J$4*10^-7</f>
        <v>8.4545666936336993E-3</v>
      </c>
      <c r="AC164" s="153">
        <f t="shared" si="704"/>
        <v>110.31595161029</v>
      </c>
      <c r="AD164" s="153">
        <f t="shared" si="584"/>
        <v>0.95579886989884166</v>
      </c>
      <c r="AE164" s="153">
        <f>POWER(4*EU164/PI()/EG164/10^-7/EH164/(1-H164)/各项系数!$F$5/各项系数!$J$4,0.5)</f>
        <v>110.31595161028999</v>
      </c>
      <c r="AF164" s="69">
        <v>1</v>
      </c>
      <c r="AG164" s="69">
        <f>IF(EM164=0,0,PI()*ER164*ER164/4*EP164*(1-K164)*(1+AF164)*各项系数!$F$5*各项系数!$J$4*10^-7)</f>
        <v>0</v>
      </c>
      <c r="AH164" s="69">
        <f t="shared" si="705"/>
        <v>0</v>
      </c>
      <c r="AI164" s="69">
        <f t="shared" si="641"/>
        <v>0</v>
      </c>
      <c r="AJ164" s="69">
        <f>IF(OR(EP164="",EP164=0),0,POWER(4*EW164/PI()/EO164/10^-7/EP164/(1-K164)/各项系数!$F$5/各项系数!$J$4,0.5))</f>
        <v>0</v>
      </c>
      <c r="AK164" s="69" t="str">
        <f t="shared" si="585"/>
        <v>√</v>
      </c>
      <c r="AL164" s="69">
        <f t="shared" si="706"/>
        <v>26.048500094804762</v>
      </c>
      <c r="AM164" s="188">
        <f t="shared" si="707"/>
        <v>1</v>
      </c>
      <c r="AN164" s="97" t="s">
        <v>486</v>
      </c>
      <c r="AO164" s="196">
        <f>AP164+各项系数!$M$9*$NK164</f>
        <v>25.53774519098506</v>
      </c>
      <c r="AP164" s="196">
        <f>AQ164*(1+$BI164+(VLOOKUP($AM164,$A$12:$B$323,2,0))+各项系数!$J$6+各项系数!$M$5)*(1+$E$2)</f>
        <v>25.340757163894327</v>
      </c>
      <c r="AQ164" s="197">
        <f>AR164+各项系数!$L$9*$NK164</f>
        <v>24.863380262847652</v>
      </c>
      <c r="AR164" s="197">
        <f>AS164*(1+$BJ164+各项系数!$J$5+各项系数!$L$5)</f>
        <v>24.66639223575692</v>
      </c>
      <c r="AS164" s="197">
        <f t="shared" si="642"/>
        <v>23.717684842073961</v>
      </c>
      <c r="AT164" s="196">
        <f>AU164+各项系数!$M$9*$NM164</f>
        <v>26.611721438489653</v>
      </c>
      <c r="AU164" s="196">
        <f>AV164*(1+$BI164+(VLOOKUP($AM164,$A$12:$B$323,2,0))+各项系数!$J$6+各项系数!$M$5)*(1+$E$2)</f>
        <v>26.41473341139892</v>
      </c>
      <c r="AV164" s="197">
        <f>AW164+各项系数!$L$9*$NM164</f>
        <v>25.917124618719505</v>
      </c>
      <c r="AW164" s="197">
        <f>AX164*(1+$BJ164+各项系数!$J$5+各项系数!$L$5)</f>
        <v>25.720136591628773</v>
      </c>
      <c r="AX164" s="197">
        <f t="shared" si="643"/>
        <v>24.730900568873817</v>
      </c>
      <c r="AY164" s="196">
        <f>AZ164+各项系数!$M$9*$NS164</f>
        <v>27.20246639029779</v>
      </c>
      <c r="AZ164" s="196">
        <f>BA164*(1+$BI164+(VLOOKUP($AM164,$A$12:$B$214,2,0))+各项系数!$J$6+各项系数!$M$5)*(1+$E$2)</f>
        <v>26.998615113753218</v>
      </c>
      <c r="BA164" s="197">
        <f>BB164+各项系数!$L$9*$NS164</f>
        <v>26.490006979742166</v>
      </c>
      <c r="BB164" s="197">
        <f>BC164*(1+$BJ164+各项系数!$J$5+各项系数!$L$5)</f>
        <v>26.286155703197593</v>
      </c>
      <c r="BC164" s="199">
        <f t="shared" si="644"/>
        <v>25.275149714613068</v>
      </c>
      <c r="BD164" s="196">
        <f>BE164+各项系数!$M$9*$NS164</f>
        <v>28.28593733843995</v>
      </c>
      <c r="BE164" s="196">
        <f>BF164*(1+$BI164+(VLOOKUP($AM164,$A$12:$B$214,2,0))+各项系数!$J$6+各项系数!$M$5)*(1+$E$2)</f>
        <v>28.082086061895378</v>
      </c>
      <c r="BF164" s="197">
        <f>BG164+各项系数!$L$9*$NS164</f>
        <v>27.553067172189341</v>
      </c>
      <c r="BG164" s="197">
        <f>BH164*(1+$BJ164+各项系数!$J$5+各项系数!$L$5)</f>
        <v>27.349215895644768</v>
      </c>
      <c r="BH164" s="199">
        <f t="shared" si="645"/>
        <v>26.297322976581508</v>
      </c>
      <c r="BI164" s="213"/>
      <c r="BJ164" s="208">
        <f t="shared" si="695"/>
        <v>0.02</v>
      </c>
      <c r="BK164" s="102" t="s">
        <v>514</v>
      </c>
      <c r="BL164" s="196">
        <f>BM164+各项系数!$M$9*$NM164</f>
        <v>25.939669334897733</v>
      </c>
      <c r="BM164" s="196">
        <f>BN164*(1+$CF164+(VLOOKUP($AM164,$A$12:$B$323,2,0))+各项系数!$J$6+各项系数!$M$5)*(1+$E$2)</f>
        <v>25.742681307807</v>
      </c>
      <c r="BN164" s="197">
        <f>BO164+各项系数!$L$9*$NM164</f>
        <v>25.257732837330259</v>
      </c>
      <c r="BO164" s="197">
        <f>BP164*(1+$CG164+各项系数!$J$5+各项系数!$L$5)</f>
        <v>25.060744810239527</v>
      </c>
      <c r="BP164" s="197">
        <f t="shared" si="646"/>
        <v>23.867376009751929</v>
      </c>
      <c r="BQ164" s="196">
        <f>BR164+各项系数!$M$9*$NM164</f>
        <v>26.863778777087614</v>
      </c>
      <c r="BR164" s="196">
        <f>BS164*(1+$CF164+(VLOOKUP($AM164,$A$12:$B$323,2,0))+各项系数!$J$6+各项系数!$M$5)*(1+$E$2)</f>
        <v>26.666790749996881</v>
      </c>
      <c r="BS164" s="197">
        <f>BT164+各项系数!$L$9*$NM164</f>
        <v>26.164433624408243</v>
      </c>
      <c r="BT164" s="197">
        <f>BU164*(1+$CG164+各项系数!$J$5+各项系数!$L$5)</f>
        <v>25.967445597317511</v>
      </c>
      <c r="BU164" s="197">
        <f t="shared" si="647"/>
        <v>24.730900568873817</v>
      </c>
      <c r="BV164" s="196">
        <f>BW164+各项系数!$M$9*$NT164</f>
        <v>27.422337278133096</v>
      </c>
      <c r="BW164" s="196">
        <f>BX164*(1+$CF164+(VLOOKUP($AM164,$A$12:$B$214,2,0))+各项系数!$J$6+各项系数!$M$5)*(1+$E$2)</f>
        <v>27.218486001588523</v>
      </c>
      <c r="BX164" s="197">
        <f>BY164+各项系数!$L$9*$NT$12</f>
        <v>26.705735872830182</v>
      </c>
      <c r="BY164" s="197">
        <f>BZ164*(1+$CG164+各项系数!$J$5+各项系数!$L$5)</f>
        <v>26.697472469675208</v>
      </c>
      <c r="BZ164" s="199">
        <f t="shared" si="586"/>
        <v>25.42616425683353</v>
      </c>
      <c r="CA164" s="196">
        <f>CB164+各项系数!$M$9*$NT164</f>
        <v>28.35461649365859</v>
      </c>
      <c r="CB164" s="196">
        <f>CC164*(1+$CF164+(VLOOKUP($AM164,$A$12:$B$214,2,0))+各项系数!$J$6+各项系数!$M$5)*(1+$E$2)</f>
        <v>28.150765217114017</v>
      </c>
      <c r="CC164" s="197">
        <f>CD164+各项系数!$L$9*$NT$12</f>
        <v>27.620452528565558</v>
      </c>
      <c r="CD164" s="197">
        <f>CE164*(1+$CG164+各项系数!$J$5+各项系数!$L$5)</f>
        <v>27.612189125410584</v>
      </c>
      <c r="CE164" s="199">
        <f t="shared" si="648"/>
        <v>26.297322976581508</v>
      </c>
      <c r="CF164" s="213">
        <f t="shared" si="753"/>
        <v>0</v>
      </c>
      <c r="CG164" s="213">
        <f t="shared" si="587"/>
        <v>0.03</v>
      </c>
      <c r="CH164" s="102"/>
      <c r="CI164" s="196">
        <f>CJ164+各项系数!$M$9*$NO164</f>
        <v>29.198607791226788</v>
      </c>
      <c r="CJ164" s="196">
        <f>CK164*(1+$DC164+(VLOOKUP($AM164,$A$12:$B$323,2,0))+各项系数!$J$6+各项系数!$M$5)*(1+$E$2)+各项系数!$M$9*$NK164</f>
        <v>28.855375707245862</v>
      </c>
      <c r="CK164" s="197">
        <f>CL164+各项系数!$L$9*$NO164</f>
        <v>28.118512245050166</v>
      </c>
      <c r="CL164" s="197">
        <f>CM164*(1+$DD164+各项系数!$J$5+各项系数!$L$5)</f>
        <v>27.77528016106924</v>
      </c>
      <c r="CM164" s="197">
        <f t="shared" si="588"/>
        <v>26.707000154874269</v>
      </c>
      <c r="CN164" s="196">
        <f>CO164+各项系数!$M$9*$NO164</f>
        <v>29.898755249960157</v>
      </c>
      <c r="CO164" s="196">
        <f>CP164*(1+$DC164+(VLOOKUP($AM164,$A$12:$B$323,2,0))+各项系数!$J$6+各项系数!$M$5)*(1+$E$2)+各项系数!$M$9*$NK164</f>
        <v>29.555523165979231</v>
      </c>
      <c r="CP164" s="197">
        <f>CQ164+各项系数!$L$9*$NO164</f>
        <v>28.805470112724194</v>
      </c>
      <c r="CQ164" s="197">
        <f>CR164*(1+$DD164+各项系数!$J$5+各项系数!$L$5)</f>
        <v>28.462238028743268</v>
      </c>
      <c r="CR164" s="197">
        <f t="shared" si="589"/>
        <v>27.367536566099297</v>
      </c>
      <c r="CS164" s="196">
        <f>CT164+各项系数!$M$9*$NU164</f>
        <v>31.096094807701913</v>
      </c>
      <c r="CT164" s="196">
        <f t="shared" si="590"/>
        <v>30.744212645151539</v>
      </c>
      <c r="CU164" s="197">
        <f>CV164+各项系数!$L$9*$NU164</f>
        <v>30.165043804112575</v>
      </c>
      <c r="CV164" s="197">
        <f>CW164*(1+$DD164+各项系数!$J$5+各项系数!$L$5)</f>
        <v>29.8131616415622</v>
      </c>
      <c r="CW164" s="199">
        <f t="shared" si="591"/>
        <v>28.666501578425191</v>
      </c>
      <c r="CX164" s="196">
        <f>CY164+各项系数!$M$9*$NU164</f>
        <v>32.432599527835471</v>
      </c>
      <c r="CY164" s="196">
        <f t="shared" si="592"/>
        <v>32.080717365285096</v>
      </c>
      <c r="CZ164" s="197">
        <f>DA164+各项系数!$L$9*$NU164</f>
        <v>31.476371041292289</v>
      </c>
      <c r="DA164" s="197">
        <f>DB164*(1+$DD164+各项系数!$J$5+各项系数!$L$5)</f>
        <v>31.124488878741914</v>
      </c>
      <c r="DB164" s="199">
        <f t="shared" si="593"/>
        <v>29.927393152636455</v>
      </c>
      <c r="DC164" s="213">
        <f t="shared" si="698"/>
        <v>0</v>
      </c>
      <c r="DD164" s="213">
        <f t="shared" si="594"/>
        <v>0.02</v>
      </c>
      <c r="DE164" s="53" t="s">
        <v>498</v>
      </c>
      <c r="DF164" s="53" t="s">
        <v>513</v>
      </c>
      <c r="DG164" s="196">
        <f>DH164+各项系数!$M$9*$NQ164</f>
        <v>29.668741366443072</v>
      </c>
      <c r="DH164" s="196">
        <f>DI164*(1+$EA164+(VLOOKUP($AM164,$A$12:$B$323,2,0))+各项系数!$J$6+各项系数!$M$5)*(1+$E$2)+各项系数!$M$9*$NK164</f>
        <v>29.325509282462146</v>
      </c>
      <c r="DI164" s="197">
        <f>DJ164+各项系数!$L$9*$NQ164</f>
        <v>28.579789300796129</v>
      </c>
      <c r="DJ164" s="197">
        <f>DK164*(1+$EB164+各项系数!$J$5+各项系数!$L$5)</f>
        <v>28.236557216815203</v>
      </c>
      <c r="DK164" s="197">
        <f t="shared" si="595"/>
        <v>26.891959254109718</v>
      </c>
      <c r="DL164" s="196">
        <f>DM164+各项系数!$M$9*$NQ164</f>
        <v>30.810575268027179</v>
      </c>
      <c r="DM164" s="196">
        <f>DN164*(1+$EA164+(VLOOKUP($AM164,$A$12:$B$323,2,0))+各项系数!$J$6+各项系数!$M$5)*(1+$E$2)+各项系数!$M$9*$NK164</f>
        <v>30.467343184046253</v>
      </c>
      <c r="DN164" s="197">
        <f>DO164+各项系数!$L$9*$NQ164</f>
        <v>29.70011298759372</v>
      </c>
      <c r="DO164" s="197">
        <f>DP164*(1+$EB164+各项系数!$J$5+各项系数!$L$5)</f>
        <v>29.356880903612794</v>
      </c>
      <c r="DP164" s="197">
        <f t="shared" si="596"/>
        <v>27.958934193916946</v>
      </c>
      <c r="DQ164" s="196">
        <f>DR164+各项系数!$M$9*$NV164</f>
        <v>31.587615843927427</v>
      </c>
      <c r="DR164" s="196">
        <f t="shared" si="597"/>
        <v>31.235733681377052</v>
      </c>
      <c r="DS164" s="197">
        <f>DT164+各项系数!$L$9*$NV164</f>
        <v>30.647305417363672</v>
      </c>
      <c r="DT164" s="197">
        <f>DU164*(1+$EB164+各项系数!$J$5+各项系数!$L$5)</f>
        <v>30.295423254813297</v>
      </c>
      <c r="DU164" s="199">
        <f t="shared" si="598"/>
        <v>28.852784052203138</v>
      </c>
      <c r="DV164" s="196">
        <f>DW164+各项系数!$M$9*$NV164</f>
        <v>30.57395867171816</v>
      </c>
      <c r="DW164" s="196">
        <f t="shared" si="599"/>
        <v>30.222076509167785</v>
      </c>
      <c r="DX164" s="197">
        <f>DY164+各项系数!$L$9*$NV164</f>
        <v>29.652743827676396</v>
      </c>
      <c r="DY164" s="197">
        <f>DZ164*(1+$EB164+各项系数!$J$5+各项系数!$L$5)</f>
        <v>29.300861665126021</v>
      </c>
      <c r="DZ164" s="199">
        <f t="shared" si="600"/>
        <v>27.905582538215256</v>
      </c>
      <c r="EA164" s="213">
        <f t="shared" si="699"/>
        <v>0</v>
      </c>
      <c r="EB164" s="213">
        <f t="shared" si="601"/>
        <v>0.03</v>
      </c>
      <c r="EC164" s="235">
        <f t="shared" si="649"/>
        <v>37</v>
      </c>
      <c r="ED164" s="235" t="str">
        <f t="shared" ref="ED164:ED190" si="756">IF(COUNTIF($D164,"*+*")&gt;0,MID($D164,1,FIND("+",$D164)-1),MID($D164,1,LEN($D164)))</f>
        <v>37*1</v>
      </c>
      <c r="EE164" s="189">
        <f t="shared" si="709"/>
        <v>1</v>
      </c>
      <c r="EF164" s="189">
        <f>LOOKUP(EH164,{1,7,10,14,19,24,30,37,48,61},{1,"1+6","2+8","4+10","1+6+12","2+8+14","4+10+16","1+6+12+18","3+9+15+21","1+6+12+18+24"})</f>
        <v>1</v>
      </c>
      <c r="EG164" s="188">
        <f t="shared" si="602"/>
        <v>37</v>
      </c>
      <c r="EH164" s="197">
        <f>VLOOKUP(EE164,各项系数!$B$87:$C$124,2,0)</f>
        <v>1</v>
      </c>
      <c r="EI164" s="188">
        <f>IF(EH164=0,0,VLOOKUP(EH164,各项系数!$D$142:$E$195,2,0))*1</f>
        <v>1</v>
      </c>
      <c r="EJ164" s="238">
        <f t="shared" si="650"/>
        <v>110.31595161029</v>
      </c>
      <c r="EK164" s="189">
        <f t="shared" si="689"/>
        <v>0</v>
      </c>
      <c r="EL164" s="189">
        <f t="shared" si="603"/>
        <v>0</v>
      </c>
      <c r="EM164" s="189">
        <f t="shared" si="690"/>
        <v>0</v>
      </c>
      <c r="EN164" s="189">
        <f>IF(EP164=0,0,LOOKUP(EP164,{1,7,10,14,19,24,30,37,48,61},{1,"1+6","2+8","4+10","1+6+12","2+8+14","4+10+16","1+6+12+18","3+9+15+21","1+6+12+18+24"}))</f>
        <v>0</v>
      </c>
      <c r="EO164" s="189">
        <f t="shared" si="691"/>
        <v>0</v>
      </c>
      <c r="EP164" s="189">
        <f>IF(EM164=0,0,IF(EM164&lt;10,1,IF(AND(EM164&gt;=10,EM164&lt;=35),7,LOOKUP(EM164,{50,70,95,120,150,185,240,300},{10,14,19,24,30,37,48,61})*1)))</f>
        <v>0</v>
      </c>
      <c r="EQ164" s="189">
        <f>IF(EP164=0,0,VLOOKUP(EP164,各项系数!$D$142:$E$195,2,0))*1</f>
        <v>0</v>
      </c>
      <c r="ER164" s="53">
        <f t="shared" si="710"/>
        <v>0</v>
      </c>
      <c r="ES164" s="412">
        <f t="shared" si="692"/>
        <v>37</v>
      </c>
      <c r="ET164" s="189">
        <f>VLOOKUP(ES164,各项系数!$D$142:$E$195,2,0)*1</f>
        <v>7</v>
      </c>
      <c r="EU164" s="243">
        <f>((各项系数!$F$76/4*$EJ164^2*$EG164*$EH164*1*10^-7)*(1-$H164)*AA164)*(VLOOKUP($EY$9,各项系数!$D$4:$F$143,3,0))*各项系数!$J$4</f>
        <v>0.31281896766444689</v>
      </c>
      <c r="EV164" s="244">
        <f>EU164*(VLOOKUP($EY$9,各项系数!$D$4:$F$143,2,0))</f>
        <v>20.48964238202127</v>
      </c>
      <c r="EW164" s="252">
        <f>(IF($EO164=0,0,(各项系数!$F$76/4*$ER164^2*$EO164*$EP164*1*10^-7))*(1-$K164)*$AF164)*(VLOOKUP($EY$9,各项系数!$D$4:$F$143,3,0))*各项系数!$J$4</f>
        <v>0</v>
      </c>
      <c r="EX164" s="253">
        <f>EW164*(VLOOKUP($EY$9,各项系数!$D$4:$F$143,2,0))</f>
        <v>0</v>
      </c>
      <c r="EY164" s="189">
        <f>((各项系数!$F$76/4*$EJ164^2*$EG164*$EH164*1*10^-7)*(1-$H164)*AA164+IF($EO164=0,0,(各项系数!$F$76/4*$ER164^2*$EO164*$EP164*1*10^-7))*(1-$K164)*$AF164)*(VLOOKUP($EY$9,各项系数!$D$4:$F$143,3,0))*各项系数!$J$4</f>
        <v>0.31281896766444689</v>
      </c>
      <c r="EZ164" s="102">
        <v>1</v>
      </c>
      <c r="FA164" s="189">
        <f t="shared" ref="FA164:FA190" si="757">EZ164*EY164</f>
        <v>0.31281896766444689</v>
      </c>
      <c r="FB164" s="254">
        <f>FA164*(VLOOKUP($EY$9,各项系数!$D$4:$F$143,2,0))</f>
        <v>20.48964238202127</v>
      </c>
      <c r="FC164" s="255"/>
      <c r="FD164" s="235">
        <f>各项系数!$F$76/4*($MN164^2-MK164^2)*10^-2*(VLOOKUP(L164,各项系数!$D$1:$F$143,3,0))*10^-3*10^2*$EG164*各项系数!$J$4</f>
        <v>0.13000915616272607</v>
      </c>
      <c r="FE164" s="262">
        <f>FD164*VLOOKUP(L164,各项系数!$D$1:$F$143,2,0)</f>
        <v>1.4951052958713498</v>
      </c>
      <c r="FF164" s="188">
        <f>各项系数!$F$76/4*($MO164^2-ML164^2)*10^-2*(VLOOKUP(L164,各项系数!$D$1:$F$143,3,0))*10^-3*10^2*$EO164*各项系数!$J$4</f>
        <v>0</v>
      </c>
      <c r="FG164" s="262">
        <f>FF164*VLOOKUP(L164,各项系数!$D$1:$F$143,2,0)</f>
        <v>0</v>
      </c>
      <c r="FH164" s="235">
        <f t="shared" si="651"/>
        <v>0.13000915616272607</v>
      </c>
      <c r="FI164" s="102">
        <v>1</v>
      </c>
      <c r="FJ164" s="189">
        <f t="shared" ref="FJ164:FJ190" si="758">FI164*FH164</f>
        <v>0.13000915616272607</v>
      </c>
      <c r="FK164" s="262">
        <f>FJ164*VLOOKUP(L164,各项系数!$D$1:$F$143,2,0)</f>
        <v>1.4951052958713498</v>
      </c>
      <c r="FL164" s="235"/>
      <c r="FM164" s="102"/>
      <c r="FN164" s="189"/>
      <c r="FO164" s="262"/>
      <c r="FP164" s="282">
        <f t="shared" ref="FP164:FP190" si="759">FJ164</f>
        <v>0.13000915616272607</v>
      </c>
      <c r="FQ164" s="282">
        <f t="shared" ref="FQ164:FQ190" si="760">FK164</f>
        <v>1.4951052958713498</v>
      </c>
      <c r="FR164" s="283">
        <f>各项系数!$F$76/4*($MQ164^2-$MN164^2*$EG164-$MO164^2*$EO164)*10^-2</f>
        <v>0.49994147258472033</v>
      </c>
      <c r="FS164" s="284">
        <f t="shared" si="652"/>
        <v>1</v>
      </c>
      <c r="FT164" s="285">
        <f t="shared" si="604"/>
        <v>0.49994147258472033</v>
      </c>
      <c r="FU164" s="302">
        <f>$FT164*(VLOOKUP($FT$9,各项系数!$D$1:$F$143,3,0))*10^-3*10^2*各项系数!$J$55</f>
        <v>5.9693011826615607E-2</v>
      </c>
      <c r="FV164" s="303">
        <v>1</v>
      </c>
      <c r="FW164" s="304">
        <f t="shared" ref="FW164:FW190" si="761">FV164*FU164</f>
        <v>5.9693011826615607E-2</v>
      </c>
      <c r="FX164" s="285">
        <f>FW164*(VLOOKUP($FT$9,各项系数!$D$1:$F$143,2,0))</f>
        <v>0.17907903547984683</v>
      </c>
      <c r="FY164" s="302">
        <f>IF($BK164&lt;&gt;$FY$9,0,各项系数!$F$76/4*($MS164^2-$MQ164^2)*10^-2*(VLOOKUP($FY$9,各项系数!$D$1:$F$143,3,0))*10^-3*10^2)*各项系数!$J$4</f>
        <v>0</v>
      </c>
      <c r="FZ164" s="303">
        <v>1</v>
      </c>
      <c r="GA164" s="304">
        <f t="shared" ref="GA164:GA190" si="762">FZ164*FY164</f>
        <v>0</v>
      </c>
      <c r="GB164" s="285">
        <f>GA164*(VLOOKUP($FY$9,各项系数!$D$1:$F$143,2,0))</f>
        <v>0</v>
      </c>
      <c r="GC164" s="302">
        <f>IF($BK164&lt;&gt;$GC$9,0,各项系数!$F$76/4*($MS164^2-$MQ164^2)*10^-2*(VLOOKUP($GC$9,各项系数!$D$1:$F$143,3,0))*10^-3*10^2)*各项系数!$J$4</f>
        <v>4.4144536373497221E-3</v>
      </c>
      <c r="GD164" s="303">
        <v>1</v>
      </c>
      <c r="GE164" s="304">
        <f t="shared" ref="GE164:GE190" si="763">GD164*GC164</f>
        <v>4.4144536373497221E-3</v>
      </c>
      <c r="GF164" s="285">
        <f>GE164*(VLOOKUP($GC$9,各项系数!$D$1:$F$143,2,0))</f>
        <v>5.6946451921811414E-2</v>
      </c>
      <c r="GG164" s="302">
        <f>IF($BK164&lt;&gt;$GG$9,0,各项系数!$F$76/4*($MS164^2-$MQ164^2)*10^-2*(VLOOKUP($GG$9,各项系数!$D$1:$F$143,3,0))*10^-3*10^2)*各项系数!$J$4</f>
        <v>0</v>
      </c>
      <c r="GH164" s="303">
        <v>1</v>
      </c>
      <c r="GI164" s="304">
        <f t="shared" ref="GI164:GI190" si="764">GH164*GG164</f>
        <v>0</v>
      </c>
      <c r="GJ164" s="285">
        <f>GI164*(VLOOKUP($GG$9,各项系数!$D$1:$F$143,2,0))</f>
        <v>0</v>
      </c>
      <c r="GK164" s="302">
        <f>IF($BK164&lt;&gt;$GK$9,0,各项系数!$F$76/4*($MS164^2-$MQ164^2)*10^-2*(VLOOKUP($GK$9,各项系数!$D$1:$F$143,3,0))*10^-3*10^2)*各项系数!$J$4</f>
        <v>0</v>
      </c>
      <c r="GL164" s="303">
        <v>1</v>
      </c>
      <c r="GM164" s="304">
        <f t="shared" ref="GM164:GM190" si="765">GL164*GK164</f>
        <v>0</v>
      </c>
      <c r="GN164" s="285">
        <f>GM164*(VLOOKUP($GK$9,各项系数!$D$1:$F$143,2,0))</f>
        <v>0</v>
      </c>
      <c r="GO164" s="304">
        <f t="shared" ref="GO164:GO190" si="766">GM164+GI164+GE164+GA164</f>
        <v>4.4144536373497221E-3</v>
      </c>
      <c r="GP164" s="304">
        <f t="shared" ref="GP164:GP190" si="767">GN164+GJ164+GF164+GB164</f>
        <v>5.6946451921811414E-2</v>
      </c>
      <c r="GQ164" s="315">
        <f>各项系数!$F$76/4*($MU164^2-$MS164^2)*10^-2*(VLOOKUP($S164,各项系数!$D$1:$F$143,3,0))*10^-3*10^2*各项系数!$J$4</f>
        <v>0.24783877875836727</v>
      </c>
      <c r="GR164" s="303">
        <v>1</v>
      </c>
      <c r="GS164" s="304">
        <f t="shared" ref="GS164:GS190" si="768">$GR164*$GQ164</f>
        <v>0.24783877875836727</v>
      </c>
      <c r="GT164" s="304">
        <f t="shared" si="696"/>
        <v>0</v>
      </c>
      <c r="GU164" s="304">
        <f>ROUND($GS164*(VLOOKUP($S164,各项系数!$D$1:$F$143,2,0))+$E$3*GS164,GT164)</f>
        <v>1</v>
      </c>
      <c r="GV164" s="315">
        <f>各项系数!$F$76/4*($MT164^2-$MS164^2)*10^-2*(VLOOKUP($GV$9,各项系数!$D$1:$F$143,3,0))*10^-3*10^2*各项系数!$J$4*PI()/4*R164</f>
        <v>2.2877498179469019E-2</v>
      </c>
      <c r="GW164" s="303">
        <v>1</v>
      </c>
      <c r="GX164" s="304">
        <f t="shared" ref="GX164:GX190" si="769">$GW164*$GV164</f>
        <v>2.2877498179469019E-2</v>
      </c>
      <c r="GY164" s="304">
        <f>$GX164*(VLOOKUP($GV$9,各项系数!$D$1:$F$143,2,0))</f>
        <v>1.5442311271141589</v>
      </c>
      <c r="GZ164" s="315">
        <f>各项系数!$F$76/4*($MV164^2-$MS164^2)*10^-2*(VLOOKUP($GZ$9,各项系数!$D$1:$F$143,3,0))*10^-3*10^2*各项系数!$J$4</f>
        <v>0.14765455315173748</v>
      </c>
      <c r="HA164" s="303">
        <v>1</v>
      </c>
      <c r="HB164" s="304">
        <f t="shared" si="653"/>
        <v>0.14765455315173748</v>
      </c>
      <c r="HC164" s="304">
        <f>HB164*(VLOOKUP($GZ$9,各项系数!$D$1:$F$143,2,0))</f>
        <v>2.5101274035795371</v>
      </c>
      <c r="HD164" s="315">
        <f>各项系数!$F$76/4*($MW164^2-$MT164^2)*10^-2*(VLOOKUP($HD$9,各项系数!$D$1:$F$143,3,0))*10^-3*10^2*各项系数!$J$4</f>
        <v>0.14895992259841581</v>
      </c>
      <c r="HE164" s="303">
        <v>1</v>
      </c>
      <c r="HF164" s="304">
        <f t="shared" si="654"/>
        <v>0.14895992259841581</v>
      </c>
      <c r="HG164" s="304">
        <f>HF164*(VLOOKUP($HD$9,各项系数!$D$1:$F$143,2,0))</f>
        <v>2.5323186841730689</v>
      </c>
      <c r="HH164" s="315">
        <f>各项系数!$F$76/4*($MV164^2-$MS164^2)*10^-2*(VLOOKUP($HH$9,各项系数!$D$1:$F$143,3,0))*10^-3*10^2*各项系数!$J$4</f>
        <v>0.14765455315173748</v>
      </c>
      <c r="HI164" s="322">
        <v>1</v>
      </c>
      <c r="HJ164" s="304">
        <f t="shared" si="655"/>
        <v>0.14765455315173748</v>
      </c>
      <c r="HK164" s="304">
        <f>HJ164*(VLOOKUP($HH$9,各项系数!$D$1:$F$143,2,0))</f>
        <v>2.5101274035795371</v>
      </c>
      <c r="HL164" s="315">
        <f>各项系数!$F$76/4*($MW164^2-$MT164^2)*10^-2*(VLOOKUP($HL$9,各项系数!$D$1:$F$143,3,0))*10^-3*10^2*各项系数!$J$4</f>
        <v>0.14895992259841581</v>
      </c>
      <c r="HM164" s="322">
        <v>1</v>
      </c>
      <c r="HN164" s="304">
        <f t="shared" si="605"/>
        <v>0.14895992259841581</v>
      </c>
      <c r="HO164" s="304">
        <f>HN164*(VLOOKUP($HL$9,各项系数!$D$1:$F$143,2,0))</f>
        <v>2.5323186841730689</v>
      </c>
      <c r="HP164" s="315">
        <f>各项系数!$F$76/4*($MV164^2-$MS164^2)*10^-2*(VLOOKUP(AN164,各项系数!$D$1:$F$143,3,0))*10^-3*10^2*各项系数!$J$4</f>
        <v>0.14969116767796833</v>
      </c>
      <c r="HQ164" s="303">
        <v>1</v>
      </c>
      <c r="HR164" s="304">
        <f t="shared" ref="HR164:HR190" si="770">HQ164*HP164</f>
        <v>0.14969116767796833</v>
      </c>
      <c r="HS164" s="304">
        <f>HR164*(VLOOKUP(AN164,各项系数!$D$1:$F$143,2,0))</f>
        <v>1.4969116767796833</v>
      </c>
      <c r="HT164" s="315">
        <f>各项系数!$F$76/4*($MW164^2-$MT164^2)*10^-2*(VLOOKUP(AN164,各项系数!$D$1:$F$143,3,0))*10^-3*10^2*各项系数!$J$4</f>
        <v>0.15101454222046296</v>
      </c>
      <c r="HU164" s="303">
        <v>1</v>
      </c>
      <c r="HV164" s="304">
        <f t="shared" ref="HV164:HV190" si="771">HU164*HT164</f>
        <v>0.15101454222046296</v>
      </c>
      <c r="HW164" s="304">
        <f>HV164*(VLOOKUP(AN164,各项系数!$D$1:$F$143,2,0))</f>
        <v>1.5101454222046296</v>
      </c>
      <c r="HX164" s="315">
        <f>各项系数!$F$76/4*($MV164^2-$MS164^2)*10^-2*(VLOOKUP($HX$9,各项系数!$D$1:$F$143,3,0))*10^-3*10^2*各项系数!$J$4</f>
        <v>0.14969116767796833</v>
      </c>
      <c r="HY164" s="322">
        <v>1</v>
      </c>
      <c r="HZ164" s="304">
        <f t="shared" ref="HZ164:HZ190" si="772">HY164*HX164</f>
        <v>0.14969116767796833</v>
      </c>
      <c r="IA164" s="304">
        <f>HZ164*(VLOOKUP($HX$9,各项系数!$D$1:$F$143,2,0))</f>
        <v>1.6466028444576517</v>
      </c>
      <c r="IB164" s="315">
        <f>各项系数!$F$76/4*($MW164^2-$MT164^2)*10^-2*(VLOOKUP($IB$9,各项系数!$D$1:$F$143,3,0))*10^-3*10^2*各项系数!$J$4</f>
        <v>0.15101454222046296</v>
      </c>
      <c r="IC164" s="322">
        <v>1</v>
      </c>
      <c r="ID164" s="304">
        <f t="shared" ref="ID164:ID190" si="773">IC164*IB164</f>
        <v>0.15101454222046296</v>
      </c>
      <c r="IE164" s="304">
        <f>ID164*(VLOOKUP($IB$9,各项系数!$D$1:$F$143,2,0))</f>
        <v>1.6611599644250925</v>
      </c>
      <c r="IF164" s="328"/>
      <c r="IG164" s="315">
        <f t="shared" si="656"/>
        <v>7.3028812446428337E-2</v>
      </c>
      <c r="IH164" s="303">
        <v>1</v>
      </c>
      <c r="II164" s="304">
        <f t="shared" ref="II164:II190" si="774">IH164*IG164</f>
        <v>7.3028812446428337E-2</v>
      </c>
      <c r="IJ164" s="304">
        <f>II164*(VLOOKUP($IG$8,各项系数!$D$1:$F$143,2,0))</f>
        <v>1.8257203111607083</v>
      </c>
      <c r="IK164" s="315">
        <f>(各项系数!$F$76/4*($MX164^2-$MK164^2)*$EG164)*10^-2*(VLOOKUP($IG$8,各项系数!$D$1:$F$143,3,0))*10^-3*10^2*各项系数!$J$4</f>
        <v>7.3028812446428337E-2</v>
      </c>
      <c r="IL164" s="303">
        <f>IK164*(VLOOKUP($IG$8,各项系数!$D$1:$F$143,2,0))</f>
        <v>1.8257203111607083</v>
      </c>
      <c r="IM164" s="304">
        <f>(各项系数!$F$76/4*(($MM164+3*$X164)^2-MM164^2)*$EO164)*10^-2*(VLOOKUP($IG$8,各项系数!$D$1:$F$143,3,0))*10^-3*10^2*各项系数!$J$4</f>
        <v>0</v>
      </c>
      <c r="IN164" s="303">
        <f>IM164*(VLOOKUP($IG$8,各项系数!$D$1:$F$143,2,0))</f>
        <v>0</v>
      </c>
      <c r="IO164" s="315">
        <f>各项系数!$F$76/4*($MZ164^2-$MX164^2)*10^-2*(VLOOKUP(L164,各项系数!$D$1:$F$143,3,0))*10^-3*10^2*$ES164*各项系数!$J$4</f>
        <v>0.17580961864532174</v>
      </c>
      <c r="IP164" s="303">
        <v>1</v>
      </c>
      <c r="IQ164" s="304">
        <f t="shared" ref="IQ164:IQ190" si="775">IP164*IO164</f>
        <v>0.17580961864532174</v>
      </c>
      <c r="IR164" s="285">
        <f>IQ164*(VLOOKUP(L164,各项系数!$D$1:$F$143,2,0))</f>
        <v>2.0218106144212</v>
      </c>
      <c r="IS164" s="315">
        <f>IF($L164&lt;&gt;$IS$9,0,各项系数!$F$76/4*($MZ164^2-$MX164^2)*10^-2*各项系数!$F$12*10^-3*10^2)*$ES164*各项系数!$J$4</f>
        <v>0</v>
      </c>
      <c r="IT164" s="303">
        <v>1</v>
      </c>
      <c r="IU164" s="304">
        <f t="shared" ref="IU164:IU190" si="776">IT164*IS164</f>
        <v>0</v>
      </c>
      <c r="IV164" s="285">
        <f>IU164*各项系数!$E$12</f>
        <v>0</v>
      </c>
      <c r="IW164" s="302">
        <f t="shared" ref="IW164:IW190" si="777">IQ164</f>
        <v>0.17580961864532174</v>
      </c>
      <c r="IX164" s="302">
        <f t="shared" ref="IX164:IX190" si="778">IR164</f>
        <v>2.0218106144212</v>
      </c>
      <c r="IY164" s="339">
        <f>各项系数!$F$76/4*($NB164^2-$MZ164^2*$EG164-$NA164^2*$EO164)*10^-2</f>
        <v>0.79435187825427622</v>
      </c>
      <c r="IZ164" s="284">
        <f t="shared" si="697"/>
        <v>1</v>
      </c>
      <c r="JA164" s="285">
        <f t="shared" si="606"/>
        <v>0.79435187825427622</v>
      </c>
      <c r="JB164" s="282">
        <f>IF($DE164&lt;&gt;$JB$9,0,$JA164*各项系数!$F$32*10^-3*10^2)*各项系数!$J$4</f>
        <v>0</v>
      </c>
      <c r="JC164" s="102">
        <v>1</v>
      </c>
      <c r="JD164" s="189">
        <f t="shared" ref="JD164:JD190" si="779">JC164*JB164</f>
        <v>0</v>
      </c>
      <c r="JE164" s="262">
        <f>JD164*各项系数!$E$32</f>
        <v>0</v>
      </c>
      <c r="JF164" s="282">
        <f>IF($DE164&lt;&gt;$JF$9,0,$JA164*VLOOKUP($JF$9,各项系数!$D$4:$F$540,2,0)*10^-3*10^2)*各项系数!$J$4</f>
        <v>0.39519005943150237</v>
      </c>
      <c r="JG164" s="102">
        <v>1</v>
      </c>
      <c r="JH164" s="189">
        <f t="shared" si="607"/>
        <v>0.39519005943150237</v>
      </c>
      <c r="JI164" s="262">
        <f>JH164*VLOOKUP($JF$9,各项系数!$D$4:$F$540,3,0)</f>
        <v>0.47422807131780281</v>
      </c>
      <c r="JJ164" s="282">
        <f t="shared" ref="JJ164:JJ190" si="780">JH164+JD164</f>
        <v>0.39519005943150237</v>
      </c>
      <c r="JK164" s="189">
        <f t="shared" ref="JK164:JK190" si="781">JI164+JE164</f>
        <v>0.47422807131780281</v>
      </c>
      <c r="JL164" s="282">
        <f>IF($DF164&lt;&gt;$JL$9,0,各项系数!$F$76/4*($NE164^2-$NC164^2)*10^-2*各项系数!$F$39*10^-3*10^2)*各项系数!$J$4</f>
        <v>2.3003891799389603E-3</v>
      </c>
      <c r="JM164" s="102">
        <v>1</v>
      </c>
      <c r="JN164" s="189">
        <f t="shared" ref="JN164:JN190" si="782">JM164*JL164</f>
        <v>2.3003891799389603E-3</v>
      </c>
      <c r="JO164" s="262">
        <f>JN164*各项系数!$E$39</f>
        <v>4.6007783598779203E-2</v>
      </c>
      <c r="JP164" s="282">
        <f>IF($DF164&lt;&gt;$JP$9,0,各项系数!$F$76/4*($NE164^2-$NC164^2)*10^-2*各项系数!$F$36*10^-3*10^2)*各项系数!$J$4</f>
        <v>0</v>
      </c>
      <c r="JQ164" s="102">
        <v>1</v>
      </c>
      <c r="JR164" s="189">
        <f t="shared" ref="JR164:JR190" si="783">JQ164*JP164</f>
        <v>0</v>
      </c>
      <c r="JS164" s="262">
        <f>JR164*各项系数!$E$36</f>
        <v>0</v>
      </c>
      <c r="JT164" s="282">
        <f>IF($DF164&lt;&gt;$JT$9,0,各项系数!$F$76/4*($NE164^2-$NC164^2)*10^-2*各项系数!$F$40*10^-3*10^2)*各项系数!$J$4</f>
        <v>0</v>
      </c>
      <c r="JU164" s="102">
        <v>1</v>
      </c>
      <c r="JV164" s="189">
        <f t="shared" ref="JV164:JV190" si="784">JU164*JT164</f>
        <v>0</v>
      </c>
      <c r="JW164" s="262">
        <f>JV164*各项系数!$E$40</f>
        <v>0</v>
      </c>
      <c r="JX164" s="282">
        <f>IF($DF164&lt;&gt;$JX$9,0,各项系数!$F$76/4*($NE164^2-$NC164^2)*10^-2*各项系数!$F$38*10^-3*10^2)*各项系数!$J$4</f>
        <v>0</v>
      </c>
      <c r="JY164" s="102">
        <v>1</v>
      </c>
      <c r="JZ164" s="189">
        <f t="shared" ref="JZ164:JZ190" si="785">JY164*JX164</f>
        <v>0</v>
      </c>
      <c r="KA164" s="262">
        <f>JZ164*各项系数!$E$38</f>
        <v>0</v>
      </c>
      <c r="KB164" s="282">
        <f>IF($DF164&lt;&gt;$KB$9,0,各项系数!$F$76/4*($NE164^2-$NC164^2)*10^-2*各项系数!$F$41*10^-3*10^2)*各项系数!$J$4</f>
        <v>0</v>
      </c>
      <c r="KC164" s="102">
        <v>1</v>
      </c>
      <c r="KD164" s="189">
        <f t="shared" ref="KD164:KD190" si="786">KC164*KB164</f>
        <v>0</v>
      </c>
      <c r="KE164" s="262">
        <f>KD164*各项系数!$E$41</f>
        <v>0</v>
      </c>
      <c r="KF164" s="189">
        <f t="shared" ref="KF164:KF190" si="787">KD164+JZ164+JV164+JR164+JN164</f>
        <v>2.3003891799389603E-3</v>
      </c>
      <c r="KG164" s="189">
        <f t="shared" ref="KG164:KG190" si="788">KE164+KA164+JW164+JS164+JO164</f>
        <v>4.6007783598779203E-2</v>
      </c>
      <c r="KH164" s="235">
        <f>各项系数!$F$76/4*($NG164^2-$NE164^2)*10^-2*各项系数!$F$44*10^-3*10^2*各项系数!$J$4*0.75*$U164</f>
        <v>0.93113213544483953</v>
      </c>
      <c r="KI164" s="102">
        <v>1</v>
      </c>
      <c r="KJ164" s="189">
        <f t="shared" ref="KJ164:KJ190" si="789">KI164*KH164</f>
        <v>0.93113213544483953</v>
      </c>
      <c r="KK164" s="189">
        <f>ROUND(KJ164*各项系数!$E$43,GT164)</f>
        <v>5</v>
      </c>
      <c r="KL164" s="235">
        <f>各项系数!$F$76/4*($NF164^2-$NE164^2)*10^-2*各项系数!$F$46*10^-3*10^2*各项系数!$J$4*PI()/4*R164</f>
        <v>2.8833595231495941E-2</v>
      </c>
      <c r="KM164" s="102">
        <v>1</v>
      </c>
      <c r="KN164" s="189">
        <f t="shared" ref="KN164:KN190" si="790">$KL164*$KM164</f>
        <v>2.8833595231495941E-2</v>
      </c>
      <c r="KO164" s="189">
        <f>KN164*各项系数!$E$46</f>
        <v>1.946267678125976</v>
      </c>
      <c r="KP164" s="235">
        <f>各项系数!$F$76/4*($NH164^2-$NE164^2)*10^-2*(VLOOKUP($KP$9,各项系数!$D$1:$F$143,3,0))*10^-3*10^2*各项系数!$J$4</f>
        <v>0.18244264890571693</v>
      </c>
      <c r="KQ164" s="102">
        <v>1</v>
      </c>
      <c r="KR164" s="189">
        <f t="shared" si="657"/>
        <v>0.18244264890571693</v>
      </c>
      <c r="KS164" s="189">
        <f>KR164*(VLOOKUP($KP$9,各项系数!$D$1:$F$143,2,0))</f>
        <v>3.1015250313971876</v>
      </c>
      <c r="KT164" s="235">
        <f>各项系数!$F$76/4*($NI164^2-$NF164^2)*10^-2*(VLOOKUP($KT$9,各项系数!$D$1:$F$143,3,0))*10^-3*10^2*各项系数!$J$4</f>
        <v>0.18374801835239532</v>
      </c>
      <c r="KU164" s="102">
        <v>1</v>
      </c>
      <c r="KV164" s="189">
        <f t="shared" si="658"/>
        <v>0.18374801835239532</v>
      </c>
      <c r="KW164" s="189">
        <f>KV164*(VLOOKUP($KT$9,各项系数!$D$1:$F$143,2,0))</f>
        <v>3.1237163119907203</v>
      </c>
      <c r="KX164" s="189">
        <f>各项系数!$F$76/4*($NH164^2-$NE164^2)*10^-2*(VLOOKUP($KX$9,各项系数!$D$1:$F$143,3,0))*10^-3*10^2*各项系数!$J$4</f>
        <v>0.18244264890571693</v>
      </c>
      <c r="KY164" s="353">
        <v>1</v>
      </c>
      <c r="KZ164" s="189">
        <f t="shared" si="659"/>
        <v>0.18244264890571693</v>
      </c>
      <c r="LA164" s="189">
        <f>KZ164*(VLOOKUP($KX$9,各项系数!$D$1:$F$143,2,0))</f>
        <v>3.1015250313971876</v>
      </c>
      <c r="LB164" s="189">
        <f>各项系数!$F$76/4*($NI164^2-$NF164^2)*10^-2*(VLOOKUP($LB$9,各项系数!$D$1:$F$143,3,0))*10^-3*10^2*各项系数!$J$4</f>
        <v>0.18374801835239532</v>
      </c>
      <c r="LC164" s="353">
        <v>1</v>
      </c>
      <c r="LD164" s="189">
        <f t="shared" si="660"/>
        <v>0.18374801835239532</v>
      </c>
      <c r="LE164" s="189">
        <f>LD164*(VLOOKUP($LB$9,各项系数!$D$1:$F$143,2,0))</f>
        <v>3.1237163119907203</v>
      </c>
      <c r="LF164" s="235">
        <f>各项系数!$F$76/4*($NH164^2-$NE164^2)*10^-2*(VLOOKUP(AN164,各项系数!$D$1:$F$143,3,0))*10^-3*10^2*各项系数!$J$4</f>
        <v>0.18495909923545098</v>
      </c>
      <c r="LG164" s="102">
        <v>1</v>
      </c>
      <c r="LH164" s="189">
        <f t="shared" ref="LH164:LH190" si="791">LG164*LF164</f>
        <v>0.18495909923545098</v>
      </c>
      <c r="LI164" s="189">
        <f>LH164*(VLOOKUP(AN164,各项系数!$D$1:$F$143,2,0))</f>
        <v>1.8495909923545097</v>
      </c>
      <c r="LJ164" s="235">
        <f>各项系数!$F$76/4*($NI164^2-$NF164^2)*10^-2*(VLOOKUP(AN164,各项系数!$D$1:$F$143,3,0))*10^-3*10^2*各项系数!$J$4</f>
        <v>0.1862824737779456</v>
      </c>
      <c r="LK164" s="102">
        <v>1</v>
      </c>
      <c r="LL164" s="189">
        <f t="shared" ref="LL164:LL190" si="792">LK164*LJ164</f>
        <v>0.1862824737779456</v>
      </c>
      <c r="LM164" s="189">
        <f>LL164*(VLOOKUP(AN164,各项系数!$D$1:$F$143,2,0))</f>
        <v>1.862824737779456</v>
      </c>
      <c r="LN164" s="189">
        <f>各项系数!$F$76/4*($NH164^2-$NE164^2)*10^-2*(VLOOKUP($LN$9,各项系数!$D$1:$F$143,3,0))*10^-3*10^2*各项系数!$J$4</f>
        <v>0.18495909923545098</v>
      </c>
      <c r="LO164" s="353">
        <v>1</v>
      </c>
      <c r="LP164" s="189">
        <f t="shared" ref="LP164:LP190" si="793">LO164*LN164</f>
        <v>0.18495909923545098</v>
      </c>
      <c r="LQ164" s="189">
        <f>LP164*(VLOOKUP($LN$9,各项系数!$D$1:$F$143,2,0))</f>
        <v>2.0345500915899608</v>
      </c>
      <c r="LR164" s="189">
        <f>各项系数!$F$76/4*($NI164^2-$NF164^2)*10^-2*(VLOOKUP($LR$9,各项系数!$D$1:$F$143,3,0))*10^-3*10^2*各项系数!$J$4</f>
        <v>0.1862824737779456</v>
      </c>
      <c r="LS164" s="353">
        <v>1</v>
      </c>
      <c r="LT164" s="189">
        <f t="shared" ref="LT164:LT190" si="794">LS164*LR164</f>
        <v>0.1862824737779456</v>
      </c>
      <c r="LU164" s="189">
        <f>LT164*(VLOOKUP($LR$9,各项系数!$D$1:$F$143,2,0))</f>
        <v>2.0491072115574016</v>
      </c>
      <c r="LV164" s="227">
        <f t="shared" si="661"/>
        <v>35.364558440000003</v>
      </c>
      <c r="LW164" s="227">
        <f t="shared" si="662"/>
        <v>35.364558440000003</v>
      </c>
      <c r="LX164" s="227">
        <f t="shared" si="663"/>
        <v>6.7102573935658878</v>
      </c>
      <c r="LY164" s="227">
        <f t="shared" si="664"/>
        <v>0</v>
      </c>
      <c r="LZ164" s="374">
        <f t="shared" si="608"/>
        <v>1</v>
      </c>
      <c r="MA164" s="375">
        <f t="shared" si="609"/>
        <v>35.364558440000003</v>
      </c>
      <c r="MB164" s="375">
        <f t="shared" si="665"/>
        <v>1.1031595199999999</v>
      </c>
      <c r="MC164" s="227">
        <f t="shared" si="666"/>
        <v>0</v>
      </c>
      <c r="MD164" s="227">
        <f t="shared" si="667"/>
        <v>0</v>
      </c>
      <c r="ME164" s="227">
        <f t="shared" si="668"/>
        <v>0</v>
      </c>
      <c r="MF164" s="227">
        <f t="shared" si="669"/>
        <v>0</v>
      </c>
      <c r="MG164" s="374">
        <f t="shared" si="670"/>
        <v>1</v>
      </c>
      <c r="MH164" s="375">
        <f t="shared" si="610"/>
        <v>0</v>
      </c>
      <c r="MI164" s="375">
        <f t="shared" si="671"/>
        <v>0</v>
      </c>
      <c r="MJ164" s="189">
        <f t="shared" si="611"/>
        <v>1.1031595199999999</v>
      </c>
      <c r="MK164" s="189">
        <f t="shared" si="672"/>
        <v>1.1031595199999999</v>
      </c>
      <c r="ML164" s="189">
        <f t="shared" ref="ML164:ML190" si="795">$ER164*$EQ164*10^-2</f>
        <v>0</v>
      </c>
      <c r="MM164" s="189">
        <f t="shared" si="612"/>
        <v>0</v>
      </c>
      <c r="MN164" s="189">
        <f t="shared" si="613"/>
        <v>2.3031595199999999</v>
      </c>
      <c r="MO164" s="189">
        <f t="shared" si="673"/>
        <v>0</v>
      </c>
      <c r="MP164" s="189">
        <f t="shared" si="674"/>
        <v>16.122116640000002</v>
      </c>
      <c r="MQ164" s="189">
        <f t="shared" ref="MQ164:MQ190" si="796">MP164</f>
        <v>16.122116640000002</v>
      </c>
      <c r="MR164" s="246">
        <f t="shared" si="675"/>
        <v>16.122116640000002</v>
      </c>
      <c r="MS164" s="380">
        <f t="shared" si="614"/>
        <v>16.29811664</v>
      </c>
      <c r="MT164" s="380">
        <f t="shared" si="615"/>
        <v>16.45811664</v>
      </c>
      <c r="MU164" s="380">
        <f t="shared" si="616"/>
        <v>17.498116639999999</v>
      </c>
      <c r="MV164" s="380">
        <f t="shared" si="617"/>
        <v>19.898116640000001</v>
      </c>
      <c r="MW164" s="380">
        <f t="shared" si="618"/>
        <v>20.058116640000001</v>
      </c>
      <c r="MX164" s="254">
        <f t="shared" si="619"/>
        <v>1.70315952</v>
      </c>
      <c r="MY164" s="254">
        <f t="shared" si="620"/>
        <v>0</v>
      </c>
      <c r="MZ164" s="189">
        <f t="shared" si="621"/>
        <v>2.90315952</v>
      </c>
      <c r="NA164" s="189">
        <f t="shared" si="622"/>
        <v>0</v>
      </c>
      <c r="NB164" s="189">
        <f t="shared" si="676"/>
        <v>20.322116640000001</v>
      </c>
      <c r="NC164" s="254">
        <f t="shared" ref="NC164:NC190" si="797">NB164</f>
        <v>20.322116640000001</v>
      </c>
      <c r="ND164" s="246">
        <f t="shared" si="677"/>
        <v>20.322116640000001</v>
      </c>
      <c r="NE164" s="386">
        <f t="shared" si="678"/>
        <v>20.562116639999999</v>
      </c>
      <c r="NF164" s="380">
        <f t="shared" si="623"/>
        <v>20.722116639999999</v>
      </c>
      <c r="NG164" s="387">
        <f t="shared" si="624"/>
        <v>21.762116639999999</v>
      </c>
      <c r="NH164" s="254">
        <f t="shared" si="625"/>
        <v>24.162116640000001</v>
      </c>
      <c r="NI164" s="380">
        <f t="shared" si="626"/>
        <v>24.322116640000001</v>
      </c>
      <c r="NK164" s="388">
        <f t="shared" si="627"/>
        <v>0.65662675696910666</v>
      </c>
      <c r="NL164" s="388">
        <f t="shared" si="628"/>
        <v>23.717684842073961</v>
      </c>
      <c r="NM164" s="388">
        <f t="shared" si="629"/>
        <v>0.65662675696910666</v>
      </c>
      <c r="NN164" s="388">
        <f t="shared" si="630"/>
        <v>23.867376009751929</v>
      </c>
      <c r="NO164" s="388">
        <f t="shared" si="631"/>
        <v>1.1441069466030893</v>
      </c>
      <c r="NP164" s="388">
        <f t="shared" si="632"/>
        <v>26.707000154874269</v>
      </c>
      <c r="NQ164" s="388">
        <f t="shared" si="633"/>
        <v>1.1441069466030893</v>
      </c>
      <c r="NR164" s="388">
        <f t="shared" si="634"/>
        <v>26.891959254109718</v>
      </c>
      <c r="NS164" s="388">
        <f t="shared" si="635"/>
        <v>0.67950425514857571</v>
      </c>
      <c r="NT164" s="388">
        <f t="shared" si="636"/>
        <v>0.67950425514857571</v>
      </c>
      <c r="NU164" s="388">
        <f t="shared" si="637"/>
        <v>1.1729405418345853</v>
      </c>
      <c r="NV164" s="388">
        <f t="shared" si="638"/>
        <v>1.1729405418345853</v>
      </c>
      <c r="NW164">
        <f t="shared" si="639"/>
        <v>0.9044655357274739</v>
      </c>
      <c r="NX164">
        <f>各项系数!$M$9*NK164</f>
        <v>0.19698802709073199</v>
      </c>
      <c r="NY164">
        <f t="shared" si="640"/>
        <v>0.67950425514857571</v>
      </c>
    </row>
    <row r="165" spans="1:389" ht="15" hidden="1" customHeight="1">
      <c r="A165" s="69"/>
      <c r="B165" s="70"/>
      <c r="C165" s="69"/>
      <c r="D165" s="102" t="s">
        <v>144</v>
      </c>
      <c r="E165" s="61">
        <f t="shared" si="687"/>
        <v>8.0613789699999998</v>
      </c>
      <c r="F165" s="62">
        <f>$F$16</f>
        <v>134.922667214547</v>
      </c>
      <c r="G165" s="16"/>
      <c r="H165" s="16"/>
      <c r="I165" s="145">
        <v>0</v>
      </c>
      <c r="J165" s="16"/>
      <c r="K165" s="16"/>
      <c r="L165" s="97" t="s">
        <v>469</v>
      </c>
      <c r="M165" s="103">
        <f t="shared" si="582"/>
        <v>0.7</v>
      </c>
      <c r="N165" s="103">
        <f t="shared" si="583"/>
        <v>0</v>
      </c>
      <c r="O165" s="53">
        <f t="shared" si="703"/>
        <v>0.08</v>
      </c>
      <c r="P165" s="99">
        <v>0.1</v>
      </c>
      <c r="Q165" s="133">
        <f t="shared" si="754"/>
        <v>0.1</v>
      </c>
      <c r="R165" s="406">
        <v>0.8</v>
      </c>
      <c r="S165" s="142" t="str">
        <f>各项系数!$D$43</f>
        <v>钢带</v>
      </c>
      <c r="T165" s="102">
        <v>0.2</v>
      </c>
      <c r="U165" s="62">
        <v>4</v>
      </c>
      <c r="V165" s="143"/>
      <c r="W165" s="407">
        <v>1.2</v>
      </c>
      <c r="X165" s="135">
        <f t="shared" si="755"/>
        <v>0.2</v>
      </c>
      <c r="Y165" s="135"/>
      <c r="Z165" s="168"/>
      <c r="AA165" s="153">
        <v>1</v>
      </c>
      <c r="AB165" s="153">
        <f>PI()*EJ165*EJ165/4*EH165*(1-H165)*AA165*各项系数!$F$5*各项系数!$J$4*10^-7</f>
        <v>1.2646913814443796E-2</v>
      </c>
      <c r="AC165" s="153">
        <f t="shared" si="704"/>
        <v>134.922667214547</v>
      </c>
      <c r="AD165" s="153">
        <f t="shared" si="584"/>
        <v>1.4297487227412424</v>
      </c>
      <c r="AE165" s="153">
        <f>POWER(4*EU165/PI()/EG165/10^-7/EH165/(1-H165)/各项系数!$F$5/各项系数!$J$4,0.5)</f>
        <v>134.922667214547</v>
      </c>
      <c r="AF165" s="69">
        <v>1</v>
      </c>
      <c r="AG165" s="69">
        <f>IF(EM165=0,0,PI()*ER165*ER165/4*EP165*(1-K165)*(1+AF165)*各项系数!$F$5*各项系数!$J$4*10^-7)</f>
        <v>0</v>
      </c>
      <c r="AH165" s="69">
        <f t="shared" si="705"/>
        <v>0</v>
      </c>
      <c r="AI165" s="69">
        <f t="shared" si="641"/>
        <v>0</v>
      </c>
      <c r="AJ165" s="69">
        <f>IF(OR(EP165="",EP165=0),0,POWER(4*EW165/PI()/EO165/10^-7/EP165/(1-K165)/各项系数!$F$5/各项系数!$J$4,0.5))</f>
        <v>0</v>
      </c>
      <c r="AK165" s="69" t="str">
        <f t="shared" si="585"/>
        <v>√</v>
      </c>
      <c r="AL165" s="69">
        <f t="shared" si="706"/>
        <v>2.3010347967917899</v>
      </c>
      <c r="AM165" s="188">
        <f t="shared" si="707"/>
        <v>1.5</v>
      </c>
      <c r="AN165" s="97" t="s">
        <v>486</v>
      </c>
      <c r="AO165" s="196">
        <f>AP165+各项系数!$M$9*$NK165</f>
        <v>2.2559164674429311</v>
      </c>
      <c r="AP165" s="196">
        <f>AQ165*(1+$BI165+(VLOOKUP($AM165,$A$12:$B$323,2,0))+各项系数!$J$6+各项系数!$M$5)*(1+$E$2)</f>
        <v>2.233384052946974</v>
      </c>
      <c r="AQ165" s="197">
        <f>AR165+各项系数!$L$9*$NK165</f>
        <v>2.256399326072918</v>
      </c>
      <c r="AR165" s="197">
        <f>AS165*(1+$BJ165+各项系数!$J$5+各项系数!$L$5)</f>
        <v>2.2338669115769609</v>
      </c>
      <c r="AS165" s="197">
        <f t="shared" si="642"/>
        <v>2.1688028267737485</v>
      </c>
      <c r="AT165" s="196">
        <f>AU165+各项系数!$M$9*$NM165</f>
        <v>2.5169963216486555</v>
      </c>
      <c r="AU165" s="196">
        <f>AV165*(1+$BI165+(VLOOKUP($AM165,$A$12:$B$323,2,0))+各项系数!$J$6+各项系数!$M$5)*(1+$E$2)</f>
        <v>2.4944639071526984</v>
      </c>
      <c r="AV165" s="197">
        <f>AW165+各项系数!$L$9*$NM165</f>
        <v>2.5201696374547367</v>
      </c>
      <c r="AW165" s="197">
        <f>AX165*(1+$BJ165+各项系数!$J$5+各项系数!$L$5)</f>
        <v>2.4976372229587795</v>
      </c>
      <c r="AX165" s="197">
        <f t="shared" si="643"/>
        <v>2.4248905077269702</v>
      </c>
      <c r="AY165" s="196">
        <f>AZ165+各项系数!$M$9*$NS165</f>
        <v>2.82158407336133</v>
      </c>
      <c r="AZ165" s="196">
        <f>BA165*(1+$BI165+(VLOOKUP($AM165,$A$12:$B$214,2,0))+各项系数!$J$6+各项系数!$M$5)*(1+$E$2)</f>
        <v>2.7966457341216264</v>
      </c>
      <c r="BA165" s="197">
        <f>BB165+各项系数!$L$9*$NS165</f>
        <v>2.8254654820384184</v>
      </c>
      <c r="BB165" s="197">
        <f>BC165*(1+$BJ165+各项系数!$J$5+各项系数!$L$5)</f>
        <v>2.8005271427987148</v>
      </c>
      <c r="BC165" s="199">
        <f t="shared" si="644"/>
        <v>2.7189583910667134</v>
      </c>
      <c r="BD165" s="196">
        <f>BE165+各项系数!$M$9*$NS165</f>
        <v>3.0887520298064959</v>
      </c>
      <c r="BE165" s="196">
        <f>BF165*(1+$BI165+(VLOOKUP($AM165,$A$12:$B$214,2,0))+各项系数!$J$6+各项系数!$M$5)*(1+$E$2)</f>
        <v>3.0638136905667923</v>
      </c>
      <c r="BF165" s="197">
        <f>BG165+各项系数!$L$9*$NS165</f>
        <v>3.0953866342359997</v>
      </c>
      <c r="BG165" s="197">
        <f>BH165*(1+$BJ165+各项系数!$J$5+各项系数!$L$5)</f>
        <v>3.0704482949962961</v>
      </c>
      <c r="BH165" s="199">
        <f t="shared" si="645"/>
        <v>2.9810177621323262</v>
      </c>
      <c r="BI165" s="213"/>
      <c r="BJ165" s="411">
        <v>0.01</v>
      </c>
      <c r="BK165" s="102" t="s">
        <v>514</v>
      </c>
      <c r="BL165" s="196">
        <f>BM165+各项系数!$M$9*$NM165</f>
        <v>2.3163293558932461</v>
      </c>
      <c r="BM165" s="196">
        <f>BN165*(1+$CF165+(VLOOKUP($AM165,$A$12:$B$323,2,0))+各项系数!$J$6+各项系数!$M$5)*(1+$E$2)</f>
        <v>2.293796941397289</v>
      </c>
      <c r="BN165" s="197">
        <f>BO165+各项系数!$L$9*$NM165</f>
        <v>2.3174347761136485</v>
      </c>
      <c r="BO165" s="197">
        <f>BP165*(1+$CG165+各项系数!$J$5+各项系数!$L$5)</f>
        <v>2.2949023616176913</v>
      </c>
      <c r="BP165" s="197">
        <f t="shared" si="646"/>
        <v>2.2066368861708572</v>
      </c>
      <c r="BQ165" s="196">
        <f>BR165+各项系数!$M$9*$NM165</f>
        <v>2.5409978878941368</v>
      </c>
      <c r="BR165" s="196">
        <f>BS165*(1+$CF165+(VLOOKUP($AM165,$A$12:$B$323,2,0))+各项系数!$J$6+各项系数!$M$5)*(1+$E$2)</f>
        <v>2.5184654733981797</v>
      </c>
      <c r="BS165" s="197">
        <f>BT165+各项系数!$L$9*$NM165</f>
        <v>2.5444185425320063</v>
      </c>
      <c r="BT165" s="197">
        <f>BU165*(1+$CG165+各项系数!$J$5+各项系数!$L$5)</f>
        <v>2.5218861280360492</v>
      </c>
      <c r="BU165" s="197">
        <f t="shared" si="647"/>
        <v>2.4248905077269702</v>
      </c>
      <c r="BV165" s="196">
        <f>BW165+各项系数!$M$9*$NT165</f>
        <v>2.8718457306283836</v>
      </c>
      <c r="BW165" s="196">
        <f>BX165*(1+$CF165+(VLOOKUP($AM165,$A$12:$B$214,2,0))+各项系数!$J$6+各项系数!$M$5)*(1+$E$2)</f>
        <v>2.84690739138868</v>
      </c>
      <c r="BX165" s="197">
        <f>BY165+各项系数!$L$9*$NT$12</f>
        <v>2.8762450913201456</v>
      </c>
      <c r="BY165" s="197">
        <f>BZ165*(1+$CG165+各项系数!$J$5+各项系数!$L$5)</f>
        <v>2.8679816881651718</v>
      </c>
      <c r="BZ165" s="199">
        <f t="shared" si="586"/>
        <v>2.7576747001588191</v>
      </c>
      <c r="CA165" s="196">
        <f>CB165+各项系数!$M$9*$NT165</f>
        <v>3.1017532918794162</v>
      </c>
      <c r="CB165" s="196">
        <f>CC165*(1+$CF165+(VLOOKUP($AM165,$A$12:$B$214,2,0))+各项系数!$J$6+各项系数!$M$5)*(1+$E$2)</f>
        <v>3.0768149526397126</v>
      </c>
      <c r="CC165" s="197">
        <f>CD165+各项系数!$L$9*$NT$12</f>
        <v>3.1085218757725932</v>
      </c>
      <c r="CD165" s="197">
        <f>CE165*(1+$CG165+各项系数!$J$5+各项系数!$L$5)</f>
        <v>3.1002584726176194</v>
      </c>
      <c r="CE165" s="199">
        <f t="shared" si="648"/>
        <v>2.9810177621323262</v>
      </c>
      <c r="CF165" s="213">
        <f t="shared" si="753"/>
        <v>0</v>
      </c>
      <c r="CG165" s="213">
        <f t="shared" si="587"/>
        <v>0.02</v>
      </c>
      <c r="CH165" s="102"/>
      <c r="CI165" s="196">
        <f>CJ165+各项系数!$M$9*$NO165</f>
        <v>2.5111730680689908</v>
      </c>
      <c r="CJ165" s="196">
        <f>CK165*(1+$DC165+(VLOOKUP($AM165,$A$12:$B$323,2,0))+各项系数!$J$6+各项系数!$M$5)*(1+$E$2)+各项系数!$M$9*$NK165</f>
        <v>2.4834010954450769</v>
      </c>
      <c r="CK165" s="197">
        <f>CL165+各项系数!$L$9*$NO165</f>
        <v>2.4862282086776317</v>
      </c>
      <c r="CL165" s="197">
        <f>CM165*(1+$DD165+各项系数!$J$5+各项系数!$L$5)</f>
        <v>2.4584562360537179</v>
      </c>
      <c r="CM165" s="197">
        <f t="shared" si="588"/>
        <v>2.3868507146152602</v>
      </c>
      <c r="CN165" s="196">
        <f>CO165+各项系数!$M$9*$NO165</f>
        <v>2.7013569136950033</v>
      </c>
      <c r="CO165" s="196">
        <f>CP165*(1+$DC165+(VLOOKUP($AM165,$A$12:$B$323,2,0))+各项系数!$J$6+各项系数!$M$5)*(1+$E$2)+各项系数!$M$9*$NK165</f>
        <v>2.6735849410710895</v>
      </c>
      <c r="CP165" s="197">
        <f>CQ165+各项系数!$L$9*$NO165</f>
        <v>2.6783719201607723</v>
      </c>
      <c r="CQ165" s="197">
        <f>CR165*(1+$DD165+各项系数!$J$5+各项系数!$L$5)</f>
        <v>2.6505999475368585</v>
      </c>
      <c r="CR165" s="197">
        <f t="shared" si="589"/>
        <v>2.5733980073173384</v>
      </c>
      <c r="CS165" s="196">
        <f>CT165+各项系数!$M$9*$NU165</f>
        <v>3.1765866225617692</v>
      </c>
      <c r="CT165" s="196">
        <f t="shared" si="590"/>
        <v>3.1458802417321485</v>
      </c>
      <c r="CU165" s="197">
        <f>CV165+各项系数!$L$9*$NU165</f>
        <v>3.1782988904143754</v>
      </c>
      <c r="CV165" s="197">
        <f>CW165*(1+$DD165+各项系数!$J$5+各项系数!$L$5)</f>
        <v>3.1475925095847548</v>
      </c>
      <c r="CW165" s="199">
        <f t="shared" si="591"/>
        <v>3.0559150578492762</v>
      </c>
      <c r="CX165" s="196">
        <f>CY165+各项系数!$M$9*$NU165</f>
        <v>3.4917420133857191</v>
      </c>
      <c r="CY165" s="196">
        <f t="shared" si="592"/>
        <v>3.4610356325560985</v>
      </c>
      <c r="CZ165" s="197">
        <f>DA165+各项系数!$L$9*$NU165</f>
        <v>3.4967019928835104</v>
      </c>
      <c r="DA165" s="197">
        <f>DB165*(1+$DD165+各项系数!$J$5+各项系数!$L$5)</f>
        <v>3.4659956120538897</v>
      </c>
      <c r="DB165" s="199">
        <f t="shared" si="593"/>
        <v>3.3650442835474657</v>
      </c>
      <c r="DC165" s="213">
        <f t="shared" si="698"/>
        <v>0</v>
      </c>
      <c r="DD165" s="213">
        <f t="shared" si="594"/>
        <v>0.01</v>
      </c>
      <c r="DE165" s="53" t="s">
        <v>498</v>
      </c>
      <c r="DF165" s="53" t="s">
        <v>513</v>
      </c>
      <c r="DG165" s="196">
        <f>DH165+各项系数!$M$9*$NQ165</f>
        <v>2.5809026264474242</v>
      </c>
      <c r="DH165" s="196">
        <f>DI165*(1+$EA165+(VLOOKUP($AM165,$A$12:$B$323,2,0))+各项系数!$J$6+各项系数!$M$5)*(1+$E$2)+各项系数!$M$9*$NK165</f>
        <v>2.5531306538235103</v>
      </c>
      <c r="DI165" s="197">
        <f>DJ165+各项系数!$L$9*$NQ165</f>
        <v>2.5566763379748969</v>
      </c>
      <c r="DJ165" s="197">
        <f>DK165*(1+$EB165+各项系数!$J$5+各项系数!$L$5)</f>
        <v>2.5289043653509831</v>
      </c>
      <c r="DK165" s="197">
        <f t="shared" si="595"/>
        <v>2.4316388128374835</v>
      </c>
      <c r="DL165" s="196">
        <f>DM165+各项系数!$M$9*$NQ165</f>
        <v>2.8468660583139891</v>
      </c>
      <c r="DM165" s="196">
        <f>DN165*(1+$EA165+(VLOOKUP($AM165,$A$12:$B$323,2,0))+各项系数!$J$6+各项系数!$M$5)*(1+$E$2)+各项系数!$M$9*$NK165</f>
        <v>2.8190940856900752</v>
      </c>
      <c r="DN165" s="197">
        <f>DO165+各项系数!$L$9*$NQ165</f>
        <v>2.8253805528330149</v>
      </c>
      <c r="DO165" s="197">
        <f>DP165*(1+$EB165+各项系数!$J$5+各项系数!$L$5)</f>
        <v>2.7976085802091011</v>
      </c>
      <c r="DP165" s="197">
        <f t="shared" si="596"/>
        <v>2.6900082502010587</v>
      </c>
      <c r="DQ165" s="196">
        <f>DR165+各项系数!$M$9*$NV165</f>
        <v>3.2538467605875643</v>
      </c>
      <c r="DR165" s="196">
        <f t="shared" si="597"/>
        <v>3.2231403797579437</v>
      </c>
      <c r="DS165" s="197">
        <f>DT165+各项系数!$L$9*$NV165</f>
        <v>3.2563552028267768</v>
      </c>
      <c r="DT165" s="197">
        <f>DU165*(1+$EB165+各项系数!$J$5+各项系数!$L$5)</f>
        <v>3.2256488219971562</v>
      </c>
      <c r="DU165" s="199">
        <f t="shared" si="598"/>
        <v>3.1015854057664964</v>
      </c>
      <c r="DV165" s="196">
        <f>DW165+各项系数!$M$9*$NV165</f>
        <v>3.3740789551366115</v>
      </c>
      <c r="DW165" s="196">
        <f t="shared" si="599"/>
        <v>3.3433725743069909</v>
      </c>
      <c r="DX165" s="197">
        <f>DY165+各项系数!$L$9*$NV165</f>
        <v>3.3778264036239554</v>
      </c>
      <c r="DY165" s="197">
        <f>DZ165*(1+$EB165+各项系数!$J$5+各项系数!$L$5)</f>
        <v>3.3471200227943347</v>
      </c>
      <c r="DZ165" s="199">
        <f t="shared" si="600"/>
        <v>3.2183846373022447</v>
      </c>
      <c r="EA165" s="213">
        <f t="shared" si="699"/>
        <v>0</v>
      </c>
      <c r="EB165" s="213">
        <f t="shared" si="601"/>
        <v>0.02</v>
      </c>
      <c r="EC165" s="235">
        <f t="shared" si="649"/>
        <v>2</v>
      </c>
      <c r="ED165" s="235" t="str">
        <f t="shared" si="756"/>
        <v>2*1.5</v>
      </c>
      <c r="EE165" s="189">
        <f t="shared" si="709"/>
        <v>1.5</v>
      </c>
      <c r="EF165" s="189">
        <f>LOOKUP(EH165,{1,7,10,14,19,24,30,37,48,61},{1,"1+6","2+8","4+10","1+6+12","2+8+14","4+10+16","1+6+12+18","3+9+15+21","1+6+12+18+24"})</f>
        <v>1</v>
      </c>
      <c r="EG165" s="188">
        <f t="shared" si="602"/>
        <v>2</v>
      </c>
      <c r="EH165" s="197">
        <f>VLOOKUP(EE165,各项系数!$B$87:$C$124,2,0)</f>
        <v>1</v>
      </c>
      <c r="EI165" s="188">
        <f>IF(EH165=0,0,VLOOKUP(EH165,各项系数!$D$142:$E$195,2,0))*1</f>
        <v>1</v>
      </c>
      <c r="EJ165" s="238">
        <f t="shared" si="650"/>
        <v>134.922667214547</v>
      </c>
      <c r="EK165" s="189">
        <f t="shared" si="689"/>
        <v>0</v>
      </c>
      <c r="EL165" s="189">
        <f t="shared" si="603"/>
        <v>0</v>
      </c>
      <c r="EM165" s="189">
        <f t="shared" si="690"/>
        <v>0</v>
      </c>
      <c r="EN165" s="189">
        <f>IF(EP165=0,0,LOOKUP(EP165,{1,7,10,14,19,24,30,37,48,61},{1,"1+6","2+8","4+10","1+6+12","2+8+14","4+10+16","1+6+12+18","3+9+15+21","1+6+12+18+24"}))</f>
        <v>0</v>
      </c>
      <c r="EO165" s="189">
        <f t="shared" si="691"/>
        <v>0</v>
      </c>
      <c r="EP165" s="189">
        <f>IF(EM165=0,0,IF(EM165&lt;10,1,IF(AND(EM165&gt;=10,EM165&lt;=35),7,LOOKUP(EM165,{50,70,95,120,150,185,240,300},{10,14,19,24,30,37,48,61})*1)))</f>
        <v>0</v>
      </c>
      <c r="EQ165" s="189">
        <f>IF(EP165=0,0,VLOOKUP(EP165,各项系数!$D$142:$E$195,2,0))*1</f>
        <v>0</v>
      </c>
      <c r="ER165" s="53">
        <f t="shared" si="710"/>
        <v>0</v>
      </c>
      <c r="ES165" s="412">
        <f t="shared" si="692"/>
        <v>2</v>
      </c>
      <c r="ET165" s="189">
        <f>VLOOKUP(ES165,各项系数!$D$142:$E$195,2,0)*1</f>
        <v>2</v>
      </c>
      <c r="EU165" s="243">
        <f>((各项系数!$F$76/4*$EJ165^2*$EG165*$EH165*1*10^-7)*(1-$H165)*AA165)*(VLOOKUP($EY$9,各项系数!$D$4:$F$143,3,0))*各项系数!$J$4</f>
        <v>2.5293827628887596E-2</v>
      </c>
      <c r="EV165" s="244">
        <f>EU165*(VLOOKUP($EY$9,各项系数!$D$4:$F$143,2,0))</f>
        <v>1.6567457096921376</v>
      </c>
      <c r="EW165" s="252">
        <f>(IF($EO165=0,0,(各项系数!$F$76/4*$ER165^2*$EO165*$EP165*1*10^-7))*(1-$K165)*$AF165)*(VLOOKUP($EY$9,各项系数!$D$4:$F$143,3,0))*各项系数!$J$4</f>
        <v>0</v>
      </c>
      <c r="EX165" s="253">
        <f>EW165*(VLOOKUP($EY$9,各项系数!$D$4:$F$143,2,0))</f>
        <v>0</v>
      </c>
      <c r="EY165" s="189">
        <f>((各项系数!$F$76/4*$EJ165^2*$EG165*$EH165*1*10^-7)*(1-$H165)*AA165+IF($EO165=0,0,(各项系数!$F$76/4*$ER165^2*$EO165*$EP165*1*10^-7))*(1-$K165)*$AF165)*(VLOOKUP($EY$9,各项系数!$D$4:$F$143,3,0))*各项系数!$J$4</f>
        <v>2.5293827628887596E-2</v>
      </c>
      <c r="EZ165" s="102">
        <v>1</v>
      </c>
      <c r="FA165" s="189">
        <f t="shared" si="757"/>
        <v>2.5293827628887596E-2</v>
      </c>
      <c r="FB165" s="254">
        <f>FA165*(VLOOKUP($EY$9,各项系数!$D$4:$F$143,2,0))</f>
        <v>1.6567457096921376</v>
      </c>
      <c r="FC165" s="255"/>
      <c r="FD165" s="235">
        <f>各项系数!$F$76/4*($MN165^2-MK165^2)*10^-2*(VLOOKUP(L165,各项系数!$D$1:$F$143,3,0))*10^-3*10^2*$EG165*各项系数!$J$4</f>
        <v>9.8646952631184087E-3</v>
      </c>
      <c r="FE165" s="262">
        <f>FD165*VLOOKUP(L165,各项系数!$D$1:$F$143,2,0)</f>
        <v>0.11344399552586171</v>
      </c>
      <c r="FF165" s="188">
        <f>各项系数!$F$76/4*($MO165^2-ML165^2)*10^-2*(VLOOKUP(L165,各项系数!$D$1:$F$143,3,0))*10^-3*10^2*$EO165*各项系数!$J$4</f>
        <v>0</v>
      </c>
      <c r="FG165" s="262">
        <f>FF165*VLOOKUP(L165,各项系数!$D$1:$F$143,2,0)</f>
        <v>0</v>
      </c>
      <c r="FH165" s="235">
        <f t="shared" si="651"/>
        <v>9.8646952631184087E-3</v>
      </c>
      <c r="FI165" s="102">
        <v>1</v>
      </c>
      <c r="FJ165" s="189">
        <f t="shared" si="758"/>
        <v>9.8646952631184087E-3</v>
      </c>
      <c r="FK165" s="262">
        <f>FJ165*VLOOKUP(L165,各项系数!$D$1:$F$143,2,0)</f>
        <v>0.11344399552586171</v>
      </c>
      <c r="FL165" s="235"/>
      <c r="FM165" s="102"/>
      <c r="FN165" s="189"/>
      <c r="FO165" s="262"/>
      <c r="FP165" s="282">
        <f t="shared" si="759"/>
        <v>9.8646952631184087E-3</v>
      </c>
      <c r="FQ165" s="282">
        <f t="shared" si="760"/>
        <v>0.11344399552586171</v>
      </c>
      <c r="FR165" s="283">
        <f>各项系数!$F$76/4*($MQ165^2-$MN165^2*$EG165-$MO165^2*$EO165)*10^-2</f>
        <v>0.11872467069205626</v>
      </c>
      <c r="FS165" s="284">
        <f t="shared" si="652"/>
        <v>0.05</v>
      </c>
      <c r="FT165" s="285">
        <f t="shared" si="604"/>
        <v>5.9362335346028134E-3</v>
      </c>
      <c r="FU165" s="302">
        <f>$FT165*(VLOOKUP($FT$9,各项系数!$D$1:$F$143,3,0))*10^-3*10^2*各项系数!$J$55</f>
        <v>7.0878628403157591E-4</v>
      </c>
      <c r="FV165" s="303">
        <v>1</v>
      </c>
      <c r="FW165" s="304">
        <f t="shared" si="761"/>
        <v>7.0878628403157591E-4</v>
      </c>
      <c r="FX165" s="285">
        <f>FW165*(VLOOKUP($FT$9,各项系数!$D$1:$F$143,2,0))</f>
        <v>2.1263588520947277E-3</v>
      </c>
      <c r="FY165" s="302">
        <f>IF($BK165&lt;&gt;$FY$9,0,各项系数!$F$76/4*($MS165^2-$MQ165^2)*10^-2*(VLOOKUP($FY$9,各项系数!$D$1:$F$143,3,0))*10^-3*10^2)*各项系数!$J$4</f>
        <v>0</v>
      </c>
      <c r="FZ165" s="303">
        <v>1</v>
      </c>
      <c r="GA165" s="304">
        <f t="shared" si="762"/>
        <v>0</v>
      </c>
      <c r="GB165" s="285">
        <f>GA165*(VLOOKUP($FY$9,各项系数!$D$1:$F$143,2,0))</f>
        <v>0</v>
      </c>
      <c r="GC165" s="302">
        <f>IF($BK165&lt;&gt;$GC$9,0,各项系数!$F$76/4*($MS165^2-$MQ165^2)*10^-2*(VLOOKUP($GC$9,各项系数!$D$1:$F$143,3,0))*10^-3*10^2)*各项系数!$J$4</f>
        <v>1.4066797467102861E-3</v>
      </c>
      <c r="GD165" s="303">
        <v>1</v>
      </c>
      <c r="GE165" s="304">
        <f t="shared" si="763"/>
        <v>1.4066797467102861E-3</v>
      </c>
      <c r="GF165" s="285">
        <f>GE165*(VLOOKUP($GC$9,各项系数!$D$1:$F$143,2,0))</f>
        <v>1.8146168732562692E-2</v>
      </c>
      <c r="GG165" s="302">
        <f>IF($BK165&lt;&gt;$GG$9,0,各项系数!$F$76/4*($MS165^2-$MQ165^2)*10^-2*(VLOOKUP($GG$9,各项系数!$D$1:$F$143,3,0))*10^-3*10^2)*各项系数!$J$4</f>
        <v>0</v>
      </c>
      <c r="GH165" s="303">
        <v>1</v>
      </c>
      <c r="GI165" s="304">
        <f t="shared" si="764"/>
        <v>0</v>
      </c>
      <c r="GJ165" s="285">
        <f>GI165*(VLOOKUP($GG$9,各项系数!$D$1:$F$143,2,0))</f>
        <v>0</v>
      </c>
      <c r="GK165" s="302">
        <f>IF($BK165&lt;&gt;$GK$9,0,各项系数!$F$76/4*($MS165^2-$MQ165^2)*10^-2*(VLOOKUP($GK$9,各项系数!$D$1:$F$143,3,0))*10^-3*10^2)*各项系数!$J$4</f>
        <v>0</v>
      </c>
      <c r="GL165" s="303">
        <v>1</v>
      </c>
      <c r="GM165" s="304">
        <f t="shared" si="765"/>
        <v>0</v>
      </c>
      <c r="GN165" s="285">
        <f>GM165*(VLOOKUP($GK$9,各项系数!$D$1:$F$143,2,0))</f>
        <v>0</v>
      </c>
      <c r="GO165" s="304">
        <f t="shared" si="766"/>
        <v>1.4066797467102861E-3</v>
      </c>
      <c r="GP165" s="304">
        <f t="shared" si="767"/>
        <v>1.8146168732562692E-2</v>
      </c>
      <c r="GQ165" s="315">
        <f>各项系数!$F$76/4*($MU165^2-$MS165^2)*10^-2*(VLOOKUP($S165,各项系数!$D$1:$F$143,3,0))*10^-3*10^2*各项系数!$J$4</f>
        <v>9.1833459925041952E-2</v>
      </c>
      <c r="GR165" s="303">
        <v>1</v>
      </c>
      <c r="GS165" s="304">
        <f t="shared" si="768"/>
        <v>9.1833459925041952E-2</v>
      </c>
      <c r="GT165" s="304">
        <f t="shared" si="696"/>
        <v>1</v>
      </c>
      <c r="GU165" s="304">
        <f>ROUND($GS165*(VLOOKUP($S165,各项系数!$D$1:$F$143,2,0))+$E$3*GS165,GT165)</f>
        <v>0.5</v>
      </c>
      <c r="GV165" s="315">
        <f>各项系数!$F$76/4*($MT165^2-$MS165^2)*10^-2*(VLOOKUP($GV$9,各项系数!$D$1:$F$143,3,0))*10^-3*10^2*各项系数!$J$4*PI()/4*R165</f>
        <v>8.0197491458222341E-3</v>
      </c>
      <c r="GW165" s="303">
        <v>1</v>
      </c>
      <c r="GX165" s="304">
        <f t="shared" si="769"/>
        <v>8.0197491458222341E-3</v>
      </c>
      <c r="GY165" s="304">
        <f>$GX165*(VLOOKUP($GV$9,各项系数!$D$1:$F$143,2,0))</f>
        <v>0.5413330673430008</v>
      </c>
      <c r="GZ165" s="315">
        <f>各项系数!$F$76/4*($MV165^2-$MS165^2)*10^-2*(VLOOKUP($GZ$9,各项系数!$D$1:$F$143,3,0))*10^-3*10^2*各项系数!$J$4</f>
        <v>3.7319310289665501E-2</v>
      </c>
      <c r="HA165" s="303">
        <v>1</v>
      </c>
      <c r="HB165" s="304">
        <f t="shared" si="653"/>
        <v>3.7319310289665501E-2</v>
      </c>
      <c r="HC165" s="304">
        <f>HB165*(VLOOKUP($GZ$9,各项系数!$D$1:$F$143,2,0))</f>
        <v>0.63442827492431353</v>
      </c>
      <c r="HD165" s="315">
        <f>各项系数!$F$76/4*($MW165^2-$MT165^2)*10^-2*(VLOOKUP($HD$9,各项系数!$D$1:$F$143,3,0))*10^-3*10^2*各项系数!$J$4</f>
        <v>3.8189556587451115E-2</v>
      </c>
      <c r="HE165" s="303">
        <v>1</v>
      </c>
      <c r="HF165" s="304">
        <f t="shared" si="654"/>
        <v>3.8189556587451115E-2</v>
      </c>
      <c r="HG165" s="304">
        <f>HF165*(VLOOKUP($HD$9,各项系数!$D$1:$F$143,2,0))</f>
        <v>0.649222461986669</v>
      </c>
      <c r="HH165" s="315">
        <f>各项系数!$F$76/4*($MV165^2-$MS165^2)*10^-2*(VLOOKUP($HH$9,各项系数!$D$1:$F$143,3,0))*10^-3*10^2*各项系数!$J$4</f>
        <v>3.7319310289665501E-2</v>
      </c>
      <c r="HI165" s="322">
        <v>1</v>
      </c>
      <c r="HJ165" s="304">
        <f t="shared" si="655"/>
        <v>3.7319310289665501E-2</v>
      </c>
      <c r="HK165" s="304">
        <f>HJ165*(VLOOKUP($HH$9,各项系数!$D$1:$F$143,2,0))</f>
        <v>0.63442827492431353</v>
      </c>
      <c r="HL165" s="315">
        <f>各项系数!$F$76/4*($MW165^2-$MT165^2)*10^-2*(VLOOKUP($HL$9,各项系数!$D$1:$F$143,3,0))*10^-3*10^2*各项系数!$J$4</f>
        <v>3.8189556587451115E-2</v>
      </c>
      <c r="HM165" s="322">
        <v>1</v>
      </c>
      <c r="HN165" s="304">
        <f t="shared" si="605"/>
        <v>3.8189556587451115E-2</v>
      </c>
      <c r="HO165" s="304">
        <f>HN165*(VLOOKUP($HL$9,各项系数!$D$1:$F$143,2,0))</f>
        <v>0.649222461986669</v>
      </c>
      <c r="HP165" s="315">
        <f>各项系数!$F$76/4*($MV165^2-$MS165^2)*10^-2*(VLOOKUP(AN165,各项系数!$D$1:$F$143,3,0))*10^-3*10^2*各项系数!$J$4</f>
        <v>3.7834059397109154E-2</v>
      </c>
      <c r="HQ165" s="303">
        <v>1</v>
      </c>
      <c r="HR165" s="304">
        <f t="shared" si="770"/>
        <v>3.7834059397109154E-2</v>
      </c>
      <c r="HS165" s="304">
        <f>HR165*(VLOOKUP(AN165,各项系数!$D$1:$F$143,2,0))</f>
        <v>0.37834059397109154</v>
      </c>
      <c r="HT165" s="315">
        <f>各项系数!$F$76/4*($MW165^2-$MT165^2)*10^-2*(VLOOKUP(AN165,各项系数!$D$1:$F$143,3,0))*10^-3*10^2*各项系数!$J$4</f>
        <v>3.8716309092105619E-2</v>
      </c>
      <c r="HU165" s="303">
        <v>1</v>
      </c>
      <c r="HV165" s="304">
        <f t="shared" si="771"/>
        <v>3.8716309092105619E-2</v>
      </c>
      <c r="HW165" s="304">
        <f>HV165*(VLOOKUP(AN165,各项系数!$D$1:$F$143,2,0))</f>
        <v>0.38716309092105616</v>
      </c>
      <c r="HX165" s="315">
        <f>各项系数!$F$76/4*($MV165^2-$MS165^2)*10^-2*(VLOOKUP($HX$9,各项系数!$D$1:$F$143,3,0))*10^-3*10^2*各项系数!$J$4</f>
        <v>3.7834059397109154E-2</v>
      </c>
      <c r="HY165" s="322">
        <v>1</v>
      </c>
      <c r="HZ165" s="304">
        <f t="shared" si="772"/>
        <v>3.7834059397109154E-2</v>
      </c>
      <c r="IA165" s="304">
        <f>HZ165*(VLOOKUP($HX$9,各项系数!$D$1:$F$143,2,0))</f>
        <v>0.4161746533682007</v>
      </c>
      <c r="IB165" s="315">
        <f>各项系数!$F$76/4*($MW165^2-$MT165^2)*10^-2*(VLOOKUP($IB$9,各项系数!$D$1:$F$143,3,0))*10^-3*10^2*各项系数!$J$4</f>
        <v>3.8716309092105619E-2</v>
      </c>
      <c r="IC165" s="322">
        <v>1</v>
      </c>
      <c r="ID165" s="304">
        <f t="shared" si="773"/>
        <v>3.8716309092105619E-2</v>
      </c>
      <c r="IE165" s="304">
        <f>ID165*(VLOOKUP($IB$9,各项系数!$D$1:$F$143,2,0))</f>
        <v>0.42587940001316182</v>
      </c>
      <c r="IF165" s="328"/>
      <c r="IG165" s="315">
        <f t="shared" si="656"/>
        <v>4.6397631587611309E-3</v>
      </c>
      <c r="IH165" s="303">
        <v>1</v>
      </c>
      <c r="II165" s="304">
        <f t="shared" si="774"/>
        <v>4.6397631587611309E-3</v>
      </c>
      <c r="IJ165" s="304">
        <f>II165*(VLOOKUP($IG$8,各项系数!$D$1:$F$143,2,0))</f>
        <v>0.11599407896902827</v>
      </c>
      <c r="IK165" s="315">
        <f>(各项系数!$F$76/4*($MX165^2-$MK165^2)*$EG165)*10^-2*(VLOOKUP($IG$8,各项系数!$D$1:$F$143,3,0))*10^-3*10^2*各项系数!$J$4</f>
        <v>4.6397631587611309E-3</v>
      </c>
      <c r="IL165" s="303">
        <f>IK165*(VLOOKUP($IG$8,各项系数!$D$1:$F$143,2,0))</f>
        <v>0.11599407896902827</v>
      </c>
      <c r="IM165" s="304">
        <f>(各项系数!$F$76/4*(($MM165+3*$X165)^2-MM165^2)*$EO165)*10^-2*(VLOOKUP($IG$8,各项系数!$D$1:$F$143,3,0))*10^-3*10^2*各项系数!$J$4</f>
        <v>0</v>
      </c>
      <c r="IN165" s="303">
        <f>IM165*(VLOOKUP($IG$8,各项系数!$D$1:$F$143,2,0))</f>
        <v>0</v>
      </c>
      <c r="IO165" s="315">
        <f>各项系数!$F$76/4*($MZ165^2-$MX165^2)*10^-2*(VLOOKUP(L165,各项系数!$D$1:$F$143,3,0))*10^-3*10^2*$ES165*各项系数!$J$4</f>
        <v>1.2753012716975796E-2</v>
      </c>
      <c r="IP165" s="303">
        <v>1</v>
      </c>
      <c r="IQ165" s="304">
        <f t="shared" si="775"/>
        <v>1.2753012716975796E-2</v>
      </c>
      <c r="IR165" s="285">
        <f>IQ165*(VLOOKUP(L165,各项系数!$D$1:$F$143,2,0))</f>
        <v>0.14665964624522165</v>
      </c>
      <c r="IS165" s="315">
        <f>IF($L165&lt;&gt;$IS$9,0,各项系数!$F$76/4*($MZ165^2-$MX165^2)*10^-2*各项系数!$F$12*10^-3*10^2)*$ES165*各项系数!$J$4</f>
        <v>0</v>
      </c>
      <c r="IT165" s="303">
        <v>1</v>
      </c>
      <c r="IU165" s="304">
        <f t="shared" si="776"/>
        <v>0</v>
      </c>
      <c r="IV165" s="285">
        <f>IU165*各项系数!$E$12</f>
        <v>0</v>
      </c>
      <c r="IW165" s="302">
        <f t="shared" si="777"/>
        <v>1.2753012716975796E-2</v>
      </c>
      <c r="IX165" s="302">
        <f t="shared" si="778"/>
        <v>0.14665964624522165</v>
      </c>
      <c r="IY165" s="339">
        <f>各项系数!$F$76/4*($NB165^2-$MZ165^2*$EG165-$NA165^2*$EO165)*10^-2</f>
        <v>0.17620123932566867</v>
      </c>
      <c r="IZ165" s="284">
        <f t="shared" si="697"/>
        <v>0.05</v>
      </c>
      <c r="JA165" s="285">
        <f t="shared" si="606"/>
        <v>8.8100619662834345E-3</v>
      </c>
      <c r="JB165" s="282">
        <f>IF($DE165&lt;&gt;$JB$9,0,$JA165*各项系数!$F$32*10^-3*10^2)*各项系数!$J$4</f>
        <v>0</v>
      </c>
      <c r="JC165" s="102">
        <v>1</v>
      </c>
      <c r="JD165" s="189">
        <f t="shared" si="779"/>
        <v>0</v>
      </c>
      <c r="JE165" s="262">
        <f>JD165*各项系数!$E$32</f>
        <v>0</v>
      </c>
      <c r="JF165" s="282">
        <f>IF($DE165&lt;&gt;$JF$9,0,$JA165*VLOOKUP($JF$9,各项系数!$D$4:$F$540,2,0)*10^-3*10^2)*各项系数!$J$4</f>
        <v>4.3830058282260083E-3</v>
      </c>
      <c r="JG165" s="102">
        <v>1</v>
      </c>
      <c r="JH165" s="189">
        <f t="shared" si="607"/>
        <v>4.3830058282260083E-3</v>
      </c>
      <c r="JI165" s="262">
        <f>JH165*VLOOKUP($JF$9,各项系数!$D$4:$F$540,3,0)</f>
        <v>5.2596069938712102E-3</v>
      </c>
      <c r="JJ165" s="282">
        <f t="shared" si="780"/>
        <v>4.3830058282260083E-3</v>
      </c>
      <c r="JK165" s="189">
        <f t="shared" si="781"/>
        <v>5.2596069938712102E-3</v>
      </c>
      <c r="JL165" s="282">
        <f>IF($DF165&lt;&gt;$JL$9,0,各项系数!$F$76/4*($NE165^2-$NC165^2)*10^-2*各项系数!$F$39*10^-3*10^2)*各项系数!$J$4</f>
        <v>7.1553452463829904E-4</v>
      </c>
      <c r="JM165" s="102">
        <v>1</v>
      </c>
      <c r="JN165" s="189">
        <f t="shared" si="782"/>
        <v>7.1553452463829904E-4</v>
      </c>
      <c r="JO165" s="262">
        <f>JN165*各项系数!$E$39</f>
        <v>1.4310690492765982E-2</v>
      </c>
      <c r="JP165" s="282">
        <f>IF($DF165&lt;&gt;$JP$9,0,各项系数!$F$76/4*($NE165^2-$NC165^2)*10^-2*各项系数!$F$36*10^-3*10^2)*各项系数!$J$4</f>
        <v>0</v>
      </c>
      <c r="JQ165" s="102">
        <v>1</v>
      </c>
      <c r="JR165" s="189">
        <f t="shared" si="783"/>
        <v>0</v>
      </c>
      <c r="JS165" s="262">
        <f>JR165*各项系数!$E$36</f>
        <v>0</v>
      </c>
      <c r="JT165" s="282">
        <f>IF($DF165&lt;&gt;$JT$9,0,各项系数!$F$76/4*($NE165^2-$NC165^2)*10^-2*各项系数!$F$40*10^-3*10^2)*各项系数!$J$4</f>
        <v>0</v>
      </c>
      <c r="JU165" s="102">
        <v>1</v>
      </c>
      <c r="JV165" s="189">
        <f t="shared" si="784"/>
        <v>0</v>
      </c>
      <c r="JW165" s="262">
        <f>JV165*各项系数!$E$40</f>
        <v>0</v>
      </c>
      <c r="JX165" s="282">
        <f>IF($DF165&lt;&gt;$JX$9,0,各项系数!$F$76/4*($NE165^2-$NC165^2)*10^-2*各项系数!$F$38*10^-3*10^2)*各项系数!$J$4</f>
        <v>0</v>
      </c>
      <c r="JY165" s="102">
        <v>1</v>
      </c>
      <c r="JZ165" s="189">
        <f t="shared" si="785"/>
        <v>0</v>
      </c>
      <c r="KA165" s="262">
        <f>JZ165*各项系数!$E$38</f>
        <v>0</v>
      </c>
      <c r="KB165" s="282">
        <f>IF($DF165&lt;&gt;$KB$9,0,各项系数!$F$76/4*($NE165^2-$NC165^2)*10^-2*各项系数!$F$41*10^-3*10^2)*各项系数!$J$4</f>
        <v>0</v>
      </c>
      <c r="KC165" s="102">
        <v>1</v>
      </c>
      <c r="KD165" s="189">
        <f t="shared" si="786"/>
        <v>0</v>
      </c>
      <c r="KE165" s="262">
        <f>KD165*各项系数!$E$41</f>
        <v>0</v>
      </c>
      <c r="KF165" s="189">
        <f t="shared" si="787"/>
        <v>7.1553452463829904E-4</v>
      </c>
      <c r="KG165" s="189">
        <f t="shared" si="788"/>
        <v>1.4310690492765982E-2</v>
      </c>
      <c r="KH165" s="235">
        <f>各项系数!$F$76/4*($NG165^2-$NE165^2)*10^-2*各项系数!$F$44*10^-3*10^2*各项系数!$J$4*0.75*$U165</f>
        <v>0.33099077121634463</v>
      </c>
      <c r="KI165" s="102">
        <v>1</v>
      </c>
      <c r="KJ165" s="189">
        <f t="shared" si="789"/>
        <v>0.33099077121634463</v>
      </c>
      <c r="KK165" s="189">
        <f>ROUND(KJ165*各项系数!$E$43,GT165)</f>
        <v>1.9</v>
      </c>
      <c r="KL165" s="235">
        <f>各项系数!$F$76/4*($NF165^2-$NE165^2)*10^-2*各项系数!$F$46*10^-3*10^2*各项系数!$J$4*PI()/4*R165</f>
        <v>9.7813606856896607E-3</v>
      </c>
      <c r="KM165" s="102">
        <v>1</v>
      </c>
      <c r="KN165" s="189">
        <f t="shared" si="790"/>
        <v>9.7813606856896607E-3</v>
      </c>
      <c r="KO165" s="189">
        <f>KN165*各项系数!$E$46</f>
        <v>0.66024184628405214</v>
      </c>
      <c r="KP165" s="235">
        <f>各项系数!$F$76/4*($NH165^2-$NE165^2)*10^-2*(VLOOKUP($KP$9,各项系数!$D$1:$F$143,3,0))*10^-3*10^2*各项系数!$J$4</f>
        <v>4.4178736341649039E-2</v>
      </c>
      <c r="KQ165" s="102">
        <v>1</v>
      </c>
      <c r="KR165" s="189">
        <f t="shared" si="657"/>
        <v>4.4178736341649039E-2</v>
      </c>
      <c r="KS165" s="189">
        <f>KR165*(VLOOKUP($KP$9,各项系数!$D$1:$F$143,2,0))</f>
        <v>0.75103851780803366</v>
      </c>
      <c r="KT165" s="235">
        <f>各项系数!$F$76/4*($NI165^2-$NF165^2)*10^-2*(VLOOKUP($KT$9,各项系数!$D$1:$F$143,3,0))*10^-3*10^2*各项系数!$J$4</f>
        <v>4.5048982639434645E-2</v>
      </c>
      <c r="KU165" s="102">
        <v>1</v>
      </c>
      <c r="KV165" s="189">
        <f t="shared" si="658"/>
        <v>4.5048982639434645E-2</v>
      </c>
      <c r="KW165" s="189">
        <f>KV165*(VLOOKUP($KT$9,各项系数!$D$1:$F$143,2,0))</f>
        <v>0.76583270487038901</v>
      </c>
      <c r="KX165" s="189">
        <f>各项系数!$F$76/4*($NH165^2-$NE165^2)*10^-2*(VLOOKUP($KX$9,各项系数!$D$1:$F$143,3,0))*10^-3*10^2*各项系数!$J$4</f>
        <v>4.4178736341649039E-2</v>
      </c>
      <c r="KY165" s="353">
        <v>1</v>
      </c>
      <c r="KZ165" s="189">
        <f t="shared" si="659"/>
        <v>4.4178736341649039E-2</v>
      </c>
      <c r="LA165" s="189">
        <f>KZ165*(VLOOKUP($KX$9,各项系数!$D$1:$F$143,2,0))</f>
        <v>0.75103851780803366</v>
      </c>
      <c r="LB165" s="189">
        <f>各项系数!$F$76/4*($NI165^2-$NF165^2)*10^-2*(VLOOKUP($LB$9,各项系数!$D$1:$F$143,3,0))*10^-3*10^2*各项系数!$J$4</f>
        <v>4.5048982639434645E-2</v>
      </c>
      <c r="LC165" s="353">
        <v>1</v>
      </c>
      <c r="LD165" s="189">
        <f t="shared" si="660"/>
        <v>4.5048982639434645E-2</v>
      </c>
      <c r="LE165" s="189">
        <f>LD165*(VLOOKUP($LB$9,各项系数!$D$1:$F$143,2,0))</f>
        <v>0.76583270487038901</v>
      </c>
      <c r="LF165" s="235">
        <f>各项系数!$F$76/4*($NH165^2-$NE165^2)*10^-2*(VLOOKUP(AN165,各项系数!$D$1:$F$143,3,0))*10^-3*10^2*各项系数!$J$4</f>
        <v>4.4788098222223516E-2</v>
      </c>
      <c r="LG165" s="102">
        <v>1</v>
      </c>
      <c r="LH165" s="189">
        <f t="shared" si="791"/>
        <v>4.4788098222223516E-2</v>
      </c>
      <c r="LI165" s="189">
        <f>LH165*(VLOOKUP(AN165,各项系数!$D$1:$F$143,2,0))</f>
        <v>0.44788098222223516</v>
      </c>
      <c r="LJ165" s="235">
        <f>各项系数!$F$76/4*($NI165^2-$NF165^2)*10^-2*(VLOOKUP(AN165,各项系数!$D$1:$F$143,3,0))*10^-3*10^2*各项系数!$J$4</f>
        <v>4.5670347917219953E-2</v>
      </c>
      <c r="LK165" s="102">
        <v>1</v>
      </c>
      <c r="LL165" s="189">
        <f t="shared" si="792"/>
        <v>4.5670347917219953E-2</v>
      </c>
      <c r="LM165" s="189">
        <f>LL165*(VLOOKUP(AN165,各项系数!$D$1:$F$143,2,0))</f>
        <v>0.45670347917219956</v>
      </c>
      <c r="LN165" s="189">
        <f>各项系数!$F$76/4*($NH165^2-$NE165^2)*10^-2*(VLOOKUP($LN$9,各项系数!$D$1:$F$143,3,0))*10^-3*10^2*各项系数!$J$4</f>
        <v>4.4788098222223516E-2</v>
      </c>
      <c r="LO165" s="353">
        <v>1</v>
      </c>
      <c r="LP165" s="189">
        <f t="shared" si="793"/>
        <v>4.4788098222223516E-2</v>
      </c>
      <c r="LQ165" s="189">
        <f>LP165*(VLOOKUP($LN$9,各项系数!$D$1:$F$143,2,0))</f>
        <v>0.49266908044445867</v>
      </c>
      <c r="LR165" s="189">
        <f>各项系数!$F$76/4*($NI165^2-$NF165^2)*10^-2*(VLOOKUP($LR$9,各项系数!$D$1:$F$143,3,0))*10^-3*10^2*各项系数!$J$4</f>
        <v>4.5670347917219953E-2</v>
      </c>
      <c r="LS165" s="353">
        <v>1</v>
      </c>
      <c r="LT165" s="189">
        <f t="shared" si="794"/>
        <v>4.5670347917219953E-2</v>
      </c>
      <c r="LU165" s="189">
        <f>LT165*(VLOOKUP($LR$9,各项系数!$D$1:$F$143,2,0))</f>
        <v>0.50237382708941947</v>
      </c>
      <c r="LV165" s="227">
        <f t="shared" si="661"/>
        <v>2.8594974400000002</v>
      </c>
      <c r="LW165" s="227">
        <f t="shared" si="662"/>
        <v>2.8594974400000002</v>
      </c>
      <c r="LX165" s="227">
        <f t="shared" si="663"/>
        <v>1.9080946566344563</v>
      </c>
      <c r="LY165" s="227">
        <f t="shared" si="664"/>
        <v>0</v>
      </c>
      <c r="LZ165" s="374">
        <f t="shared" si="608"/>
        <v>1</v>
      </c>
      <c r="MA165" s="375">
        <f t="shared" si="609"/>
        <v>2.8594974400000002</v>
      </c>
      <c r="MB165" s="375">
        <f t="shared" si="665"/>
        <v>1.34922667</v>
      </c>
      <c r="MC165" s="227">
        <f t="shared" si="666"/>
        <v>0</v>
      </c>
      <c r="MD165" s="227">
        <f t="shared" si="667"/>
        <v>0</v>
      </c>
      <c r="ME165" s="227">
        <f t="shared" si="668"/>
        <v>0</v>
      </c>
      <c r="MF165" s="227">
        <f t="shared" si="669"/>
        <v>0</v>
      </c>
      <c r="MG165" s="374">
        <f t="shared" si="670"/>
        <v>1</v>
      </c>
      <c r="MH165" s="375">
        <f t="shared" si="610"/>
        <v>0</v>
      </c>
      <c r="MI165" s="375">
        <f t="shared" si="671"/>
        <v>0</v>
      </c>
      <c r="MJ165" s="189">
        <f t="shared" si="611"/>
        <v>1.34922667</v>
      </c>
      <c r="MK165" s="189">
        <f t="shared" si="672"/>
        <v>1.34922667</v>
      </c>
      <c r="ML165" s="189">
        <f t="shared" si="795"/>
        <v>0</v>
      </c>
      <c r="MM165" s="189">
        <f t="shared" si="612"/>
        <v>0</v>
      </c>
      <c r="MN165" s="189">
        <f t="shared" si="613"/>
        <v>2.7492266699999997</v>
      </c>
      <c r="MO165" s="189">
        <f t="shared" si="673"/>
        <v>0</v>
      </c>
      <c r="MP165" s="189">
        <f t="shared" si="674"/>
        <v>5.4984533400000002</v>
      </c>
      <c r="MQ165" s="189">
        <f t="shared" si="796"/>
        <v>5.4984533400000002</v>
      </c>
      <c r="MR165" s="246">
        <f t="shared" si="675"/>
        <v>5.4853789700000002</v>
      </c>
      <c r="MS165" s="380">
        <f t="shared" si="614"/>
        <v>5.6613789700000003</v>
      </c>
      <c r="MT165" s="380">
        <f t="shared" si="615"/>
        <v>5.8213789700000005</v>
      </c>
      <c r="MU165" s="380">
        <f t="shared" si="616"/>
        <v>6.8613789700000005</v>
      </c>
      <c r="MV165" s="380">
        <f t="shared" si="617"/>
        <v>8.0613789699999998</v>
      </c>
      <c r="MW165" s="380">
        <f t="shared" si="618"/>
        <v>8.22137897</v>
      </c>
      <c r="MX165" s="254">
        <f t="shared" si="619"/>
        <v>1.9492266700000001</v>
      </c>
      <c r="MY165" s="254">
        <f t="shared" si="620"/>
        <v>0</v>
      </c>
      <c r="MZ165" s="189">
        <f t="shared" si="621"/>
        <v>3.3492266700000002</v>
      </c>
      <c r="NA165" s="189">
        <f t="shared" si="622"/>
        <v>0</v>
      </c>
      <c r="NB165" s="189">
        <f t="shared" si="676"/>
        <v>6.6984533400000004</v>
      </c>
      <c r="NC165" s="254">
        <f t="shared" si="797"/>
        <v>6.6984533400000004</v>
      </c>
      <c r="ND165" s="246">
        <f t="shared" si="677"/>
        <v>6.6825255800000001</v>
      </c>
      <c r="NE165" s="386">
        <f t="shared" si="678"/>
        <v>6.9225255800000003</v>
      </c>
      <c r="NF165" s="380">
        <f t="shared" si="623"/>
        <v>7.0825255800000004</v>
      </c>
      <c r="NG165" s="387">
        <f t="shared" si="624"/>
        <v>8.1225255800000014</v>
      </c>
      <c r="NH165" s="254">
        <f t="shared" si="625"/>
        <v>9.3225255800000006</v>
      </c>
      <c r="NI165" s="380">
        <f t="shared" si="626"/>
        <v>9.4825255800000008</v>
      </c>
      <c r="NK165" s="388">
        <f t="shared" si="627"/>
        <v>7.5108048319857026E-2</v>
      </c>
      <c r="NL165" s="388">
        <f t="shared" si="628"/>
        <v>2.1688028267737485</v>
      </c>
      <c r="NM165" s="388">
        <f t="shared" si="629"/>
        <v>7.5108048319857026E-2</v>
      </c>
      <c r="NN165" s="388">
        <f t="shared" si="630"/>
        <v>2.2066368861708572</v>
      </c>
      <c r="NO165" s="388">
        <f t="shared" si="631"/>
        <v>9.2573242079712362E-2</v>
      </c>
      <c r="NP165" s="388">
        <f t="shared" si="632"/>
        <v>2.3868507146152598</v>
      </c>
      <c r="NQ165" s="388">
        <f t="shared" si="633"/>
        <v>9.2573242079712362E-2</v>
      </c>
      <c r="NR165" s="388">
        <f t="shared" si="634"/>
        <v>2.4316388128374835</v>
      </c>
      <c r="NS165" s="388">
        <f t="shared" si="635"/>
        <v>8.3127797465679262E-2</v>
      </c>
      <c r="NT165" s="388">
        <f t="shared" si="636"/>
        <v>8.3127797465679262E-2</v>
      </c>
      <c r="NU165" s="388">
        <f t="shared" si="637"/>
        <v>0.10235460276540202</v>
      </c>
      <c r="NV165" s="388">
        <f t="shared" si="638"/>
        <v>0.10235460276540202</v>
      </c>
      <c r="NW165">
        <f t="shared" si="639"/>
        <v>0.16694150824489898</v>
      </c>
      <c r="NX165">
        <f>各项系数!$M$9*NK165</f>
        <v>2.2532414495957106E-2</v>
      </c>
      <c r="NY165">
        <f t="shared" si="640"/>
        <v>8.3127797465679262E-2</v>
      </c>
    </row>
    <row r="166" spans="1:389" ht="15" hidden="1" customHeight="1">
      <c r="A166" s="69"/>
      <c r="B166" s="70"/>
      <c r="C166" s="69"/>
      <c r="D166" s="102" t="s">
        <v>143</v>
      </c>
      <c r="E166" s="61">
        <f t="shared" si="687"/>
        <v>8.5143296100000008</v>
      </c>
      <c r="F166" s="62">
        <f t="shared" ref="F166:F181" si="798">$F$16</f>
        <v>134.922667214547</v>
      </c>
      <c r="G166" s="16"/>
      <c r="H166" s="16"/>
      <c r="I166" s="145">
        <v>0</v>
      </c>
      <c r="J166" s="16"/>
      <c r="K166" s="16"/>
      <c r="L166" s="97" t="s">
        <v>469</v>
      </c>
      <c r="M166" s="103">
        <f t="shared" si="582"/>
        <v>0.7</v>
      </c>
      <c r="N166" s="103">
        <f t="shared" si="583"/>
        <v>0</v>
      </c>
      <c r="O166" s="53">
        <f t="shared" si="703"/>
        <v>0.08</v>
      </c>
      <c r="P166" s="99">
        <v>0.1</v>
      </c>
      <c r="Q166" s="133">
        <f t="shared" si="754"/>
        <v>0.1</v>
      </c>
      <c r="R166" s="406">
        <v>0.8</v>
      </c>
      <c r="S166" s="142" t="str">
        <f>各项系数!$D$43</f>
        <v>钢带</v>
      </c>
      <c r="T166" s="102">
        <v>0.2</v>
      </c>
      <c r="U166" s="62">
        <v>4</v>
      </c>
      <c r="V166" s="143"/>
      <c r="W166" s="141">
        <f t="shared" ref="W166:W171" si="799">$W$165</f>
        <v>1.2</v>
      </c>
      <c r="X166" s="135">
        <f t="shared" si="755"/>
        <v>0.2</v>
      </c>
      <c r="Y166" s="135"/>
      <c r="Z166" s="168"/>
      <c r="AA166" s="153">
        <v>1</v>
      </c>
      <c r="AB166" s="153">
        <f>PI()*EJ166*EJ166/4*EH166*(1-H166)*AA166*各项系数!$F$5*各项系数!$J$4*10^-7</f>
        <v>1.2646913814443796E-2</v>
      </c>
      <c r="AC166" s="153">
        <f t="shared" si="704"/>
        <v>134.922667214547</v>
      </c>
      <c r="AD166" s="153">
        <f t="shared" si="584"/>
        <v>1.4297487227412424</v>
      </c>
      <c r="AE166" s="153">
        <f>POWER(4*EU166/PI()/EG166/10^-7/EH166/(1-H166)/各项系数!$F$5/各项系数!$J$4,0.5)</f>
        <v>134.922667214547</v>
      </c>
      <c r="AF166" s="69">
        <v>1</v>
      </c>
      <c r="AG166" s="69">
        <f>IF(EM166=0,0,PI()*ER166*ER166/4*EP166*(1-K166)*(1+AF166)*各项系数!$F$5*各项系数!$J$4*10^-7)</f>
        <v>0</v>
      </c>
      <c r="AH166" s="69">
        <f t="shared" si="705"/>
        <v>0</v>
      </c>
      <c r="AI166" s="69">
        <f t="shared" si="641"/>
        <v>0</v>
      </c>
      <c r="AJ166" s="69">
        <f>IF(OR(EP166="",EP166=0),0,POWER(4*EW166/PI()/EO166/10^-7/EP166/(1-K166)/各项系数!$F$5/各项系数!$J$4,0.5))</f>
        <v>0</v>
      </c>
      <c r="AK166" s="69" t="str">
        <f t="shared" si="585"/>
        <v>√</v>
      </c>
      <c r="AL166" s="69">
        <f t="shared" si="706"/>
        <v>3.3042895749345194</v>
      </c>
      <c r="AM166" s="188">
        <f t="shared" si="707"/>
        <v>1.5</v>
      </c>
      <c r="AN166" s="97" t="s">
        <v>486</v>
      </c>
      <c r="AO166" s="196">
        <f>AP166+各项系数!$M$9*$NK166</f>
        <v>3.2394995832691365</v>
      </c>
      <c r="AP166" s="196">
        <f>AQ166*(1+$BI166+(VLOOKUP($AM166,$A$12:$B$323,2,0))+各项系数!$J$6+各项系数!$M$5)*(1+$E$2)</f>
        <v>3.2075447478394237</v>
      </c>
      <c r="AQ166" s="197">
        <f>AR166+各项系数!$L$9*$NK166</f>
        <v>3.2405988561723822</v>
      </c>
      <c r="AR166" s="197">
        <f>AS166*(1+$BJ166+各项系数!$J$5+各项系数!$L$5)</f>
        <v>3.2086440207426694</v>
      </c>
      <c r="AS166" s="197">
        <f t="shared" si="642"/>
        <v>3.1151883696530769</v>
      </c>
      <c r="AT166" s="196">
        <f>AU166+各项系数!$M$9*$NM166</f>
        <v>3.5178144987607394</v>
      </c>
      <c r="AU166" s="196">
        <f>AV166*(1+$BI166+(VLOOKUP($AM166,$A$12:$B$323,2,0))+各项系数!$J$6+各项系数!$M$5)*(1+$E$2)</f>
        <v>3.4858596633310266</v>
      </c>
      <c r="AV166" s="197">
        <f>AW166+各项系数!$L$9*$NM166</f>
        <v>3.5217818380794368</v>
      </c>
      <c r="AW166" s="197">
        <f>AX166*(1+$BJ166+各项系数!$J$5+各项系数!$L$5)</f>
        <v>3.489827002649724</v>
      </c>
      <c r="AX166" s="197">
        <f t="shared" si="643"/>
        <v>3.3881815559706059</v>
      </c>
      <c r="AY166" s="196">
        <f>AZ166+各项系数!$M$9*$NS166</f>
        <v>3.8490844168688305</v>
      </c>
      <c r="AZ166" s="196">
        <f>BA166*(1+$BI166+(VLOOKUP($AM166,$A$12:$B$214,2,0))+各项系数!$J$6+各项系数!$M$5)*(1+$E$2)</f>
        <v>3.8145338477386437</v>
      </c>
      <c r="BA166" s="197">
        <f>BB166+各项系数!$L$9*$NS166</f>
        <v>3.8538430468161686</v>
      </c>
      <c r="BB166" s="197">
        <f>BC166*(1+$BJ166+各项系数!$J$5+各项系数!$L$5)</f>
        <v>3.8192924776859818</v>
      </c>
      <c r="BC166" s="199">
        <f t="shared" si="644"/>
        <v>3.7080509492096909</v>
      </c>
      <c r="BD166" s="196">
        <f>BE166+各项系数!$M$9*$NS166</f>
        <v>4.1334874345998749</v>
      </c>
      <c r="BE166" s="196">
        <f>BF166*(1+$BI166+(VLOOKUP($AM166,$A$12:$B$214,2,0))+各项系数!$J$6+各项系数!$M$5)*(1+$E$2)</f>
        <v>4.0989368654696881</v>
      </c>
      <c r="BF166" s="197">
        <f>BG166+各项系数!$L$9*$NS166</f>
        <v>4.1411768695389854</v>
      </c>
      <c r="BG166" s="197">
        <f>BH166*(1+$BJ166+各项系数!$J$5+各项系数!$L$5)</f>
        <v>4.1066263004087986</v>
      </c>
      <c r="BH166" s="199">
        <f t="shared" si="645"/>
        <v>3.9870158256396104</v>
      </c>
      <c r="BI166" s="213"/>
      <c r="BJ166" s="208">
        <f t="shared" ref="BJ166:BJ181" si="800">$BJ$165</f>
        <v>0.01</v>
      </c>
      <c r="BK166" s="102" t="s">
        <v>514</v>
      </c>
      <c r="BL166" s="196">
        <f>BM166+各项系数!$M$9*$NM166</f>
        <v>3.3118508024769042</v>
      </c>
      <c r="BM166" s="196">
        <f>BN166*(1+$CF166+(VLOOKUP($AM166,$A$12:$B$323,2,0))+各项系数!$J$6+各项系数!$M$5)*(1+$E$2)</f>
        <v>3.2798959670471914</v>
      </c>
      <c r="BN166" s="197">
        <f>BO166+各项系数!$L$9*$NM166</f>
        <v>3.3136956628078313</v>
      </c>
      <c r="BO166" s="197">
        <f>BP166*(1+$CG166+各项系数!$J$5+各项系数!$L$5)</f>
        <v>3.2817408273781186</v>
      </c>
      <c r="BP166" s="197">
        <f t="shared" si="646"/>
        <v>3.1555200263251137</v>
      </c>
      <c r="BQ166" s="196">
        <f>BR166+各项系数!$M$9*$NM166</f>
        <v>3.5513507198017362</v>
      </c>
      <c r="BR166" s="196">
        <f>BS166*(1+$CF166+(VLOOKUP($AM166,$A$12:$B$323,2,0))+各项系数!$J$6+各项系数!$M$5)*(1+$E$2)</f>
        <v>3.5193958843720234</v>
      </c>
      <c r="BS166" s="197">
        <f>BT166+各项系数!$L$9*$NM166</f>
        <v>3.5556636536391428</v>
      </c>
      <c r="BT166" s="197">
        <f>BU166*(1+$CG166+各项系数!$J$5+各项系数!$L$5)</f>
        <v>3.52370881820943</v>
      </c>
      <c r="BU166" s="197">
        <f t="shared" si="647"/>
        <v>3.3881815559706059</v>
      </c>
      <c r="BV166" s="196">
        <f>BW166+各项系数!$M$9*$NT166</f>
        <v>3.9021929337848156</v>
      </c>
      <c r="BW166" s="196">
        <f>BX166*(1+$CF166+(VLOOKUP($AM166,$A$12:$B$214,2,0))+各项系数!$J$6+各项系数!$M$5)*(1+$E$2)</f>
        <v>3.8676423646546287</v>
      </c>
      <c r="BX166" s="197">
        <f>BY166+各项系数!$L$9*$NT$12</f>
        <v>3.9074988529547672</v>
      </c>
      <c r="BY166" s="197">
        <f>BZ166*(1+$CG166+各项系数!$J$5+各项系数!$L$5)</f>
        <v>3.8992354497997934</v>
      </c>
      <c r="BZ166" s="199">
        <f t="shared" si="586"/>
        <v>3.7492648555767243</v>
      </c>
      <c r="CA166" s="196">
        <f>CB166+各项系数!$M$9*$NT166</f>
        <v>4.1469318803597899</v>
      </c>
      <c r="CB166" s="196">
        <f>CC166*(1+$CF166+(VLOOKUP($AM166,$A$12:$B$214,2,0))+各项系数!$J$6+各项系数!$M$5)*(1+$E$2)</f>
        <v>4.112381311229603</v>
      </c>
      <c r="CC166" s="197">
        <f>CD166+各项系数!$L$9*$NT$12</f>
        <v>4.1547598618201684</v>
      </c>
      <c r="CD166" s="197">
        <f>CE166*(1+$CG166+各项系数!$J$5+各项系数!$L$5)</f>
        <v>4.1464964586651947</v>
      </c>
      <c r="CE166" s="199">
        <f t="shared" si="648"/>
        <v>3.9870158256396104</v>
      </c>
      <c r="CF166" s="213">
        <f t="shared" si="753"/>
        <v>0</v>
      </c>
      <c r="CG166" s="213">
        <f t="shared" si="587"/>
        <v>0.02</v>
      </c>
      <c r="CH166" s="102"/>
      <c r="CI166" s="196">
        <f>CJ166+各项系数!$M$9*$NO166</f>
        <v>3.6718441850300652</v>
      </c>
      <c r="CJ166" s="196">
        <f>CK166*(1+$DC166+(VLOOKUP($AM166,$A$12:$B$323,2,0))+各项系数!$J$6+各项系数!$M$5)*(1+$E$2)+各项系数!$M$9*$NK166</f>
        <v>3.6161366972667404</v>
      </c>
      <c r="CK166" s="197">
        <f>CL166+各项系数!$L$9*$NO166</f>
        <v>3.6211172578672737</v>
      </c>
      <c r="CL166" s="197">
        <f>CM166*(1+$DD166+各项系数!$J$5+各项系数!$L$5)</f>
        <v>3.5654097701039489</v>
      </c>
      <c r="CM166" s="197">
        <f t="shared" si="588"/>
        <v>3.4615628835960668</v>
      </c>
      <c r="CN166" s="196">
        <f>CO166+各项系数!$M$9*$NO166</f>
        <v>3.8737059975248584</v>
      </c>
      <c r="CO166" s="196">
        <f>CP166*(1+$DC166+(VLOOKUP($AM166,$A$12:$B$323,2,0))+各项系数!$J$6+各项系数!$M$5)*(1+$E$2)+各项系数!$M$9*$NK166</f>
        <v>3.8179985097615337</v>
      </c>
      <c r="CP166" s="197">
        <f>CQ166+各项系数!$L$9*$NO166</f>
        <v>3.8250592789773905</v>
      </c>
      <c r="CQ166" s="197">
        <f>CR166*(1+$DD166+各项系数!$J$5+各项系数!$L$5)</f>
        <v>3.7693517912140657</v>
      </c>
      <c r="CR166" s="197">
        <f t="shared" si="589"/>
        <v>3.6595648458388985</v>
      </c>
      <c r="CS166" s="196">
        <f>CT166+各项系数!$M$9*$NU166</f>
        <v>4.3813371818847546</v>
      </c>
      <c r="CT166" s="196">
        <f t="shared" si="590"/>
        <v>4.3224640524478728</v>
      </c>
      <c r="CU166" s="197">
        <f>CV166+各项系数!$L$9*$NU166</f>
        <v>4.3670075292461839</v>
      </c>
      <c r="CV166" s="197">
        <f>CW166*(1+$DD166+各项系数!$J$5+各项系数!$L$5)</f>
        <v>4.308134399809302</v>
      </c>
      <c r="CW166" s="199">
        <f t="shared" si="591"/>
        <v>4.1826547570964099</v>
      </c>
      <c r="CX166" s="196">
        <f>CY166+各项系数!$M$9*$NU166</f>
        <v>4.7174890686510542</v>
      </c>
      <c r="CY166" s="196">
        <f t="shared" si="592"/>
        <v>4.6586159392141724</v>
      </c>
      <c r="CZ166" s="197">
        <f>DA166+各项系数!$L$9*$NU166</f>
        <v>4.7066234989029825</v>
      </c>
      <c r="DA166" s="197">
        <f>DB166*(1+$DD166+各项系数!$J$5+各项系数!$L$5)</f>
        <v>4.6477503694661007</v>
      </c>
      <c r="DB166" s="199">
        <f t="shared" si="593"/>
        <v>4.5123789994816512</v>
      </c>
      <c r="DC166" s="213">
        <f t="shared" si="698"/>
        <v>0</v>
      </c>
      <c r="DD166" s="213">
        <f t="shared" si="594"/>
        <v>0.01</v>
      </c>
      <c r="DE166" s="53" t="s">
        <v>498</v>
      </c>
      <c r="DF166" s="53" t="s">
        <v>513</v>
      </c>
      <c r="DG166" s="196">
        <f>DH166+各项系数!$M$9*$NQ166</f>
        <v>3.7553433557901101</v>
      </c>
      <c r="DH166" s="196">
        <f>DI166*(1+$EA166+(VLOOKUP($AM166,$A$12:$B$323,2,0))+各项系数!$J$6+各项系数!$M$5)*(1+$E$2)+各项系数!$M$9*$NK166</f>
        <v>3.6996358680267853</v>
      </c>
      <c r="DI166" s="197">
        <f>DJ166+各项系数!$L$9*$NQ166</f>
        <v>3.7054768969459211</v>
      </c>
      <c r="DJ166" s="197">
        <f>DK166*(1+$EB166+各项系数!$J$5+各项系数!$L$5)</f>
        <v>3.6497694091825963</v>
      </c>
      <c r="DK166" s="197">
        <f t="shared" si="595"/>
        <v>3.5093936626755733</v>
      </c>
      <c r="DL166" s="196">
        <f>DM166+各项系数!$M$9*$NQ166</f>
        <v>4.0393750217411535</v>
      </c>
      <c r="DM166" s="196">
        <f>DN166*(1+$EA166+(VLOOKUP($AM166,$A$12:$B$323,2,0))+各项系数!$J$6+各项系数!$M$5)*(1+$E$2)+各项系数!$M$9*$NK166</f>
        <v>3.9836675339778287</v>
      </c>
      <c r="DN166" s="197">
        <f>DO166+各项系数!$L$9*$NQ166</f>
        <v>3.9924355410669992</v>
      </c>
      <c r="DO166" s="197">
        <f>DP166*(1+$EB166+各项系数!$J$5+各项系数!$L$5)</f>
        <v>3.9367280533036744</v>
      </c>
      <c r="DP166" s="197">
        <f t="shared" si="596"/>
        <v>3.7853154358689176</v>
      </c>
      <c r="DQ166" s="196">
        <f>DR166+各项系数!$M$9*$NV166</f>
        <v>4.4728819007867386</v>
      </c>
      <c r="DR166" s="196">
        <f t="shared" si="597"/>
        <v>4.4140087713498568</v>
      </c>
      <c r="DS166" s="197">
        <f>DT166+各项系数!$L$9*$NV166</f>
        <v>4.4594956267426316</v>
      </c>
      <c r="DT166" s="197">
        <f>DU166*(1+$EB166+各项系数!$J$5+各项系数!$L$5)</f>
        <v>4.4006224973057497</v>
      </c>
      <c r="DU166" s="199">
        <f t="shared" si="598"/>
        <v>4.2313677858709129</v>
      </c>
      <c r="DV166" s="196">
        <f>DW166+各项系数!$M$9*$NV166</f>
        <v>4.5356971961364323</v>
      </c>
      <c r="DW166" s="196">
        <f t="shared" si="599"/>
        <v>4.4768240666995505</v>
      </c>
      <c r="DX166" s="197">
        <f>DY166+各项系数!$L$9*$NV166</f>
        <v>4.522958240755254</v>
      </c>
      <c r="DY166" s="197">
        <f>DZ166*(1+$EB166+各项系数!$J$5+各项系数!$L$5)</f>
        <v>4.4640851113183722</v>
      </c>
      <c r="DZ166" s="199">
        <f t="shared" si="600"/>
        <v>4.2923895301138195</v>
      </c>
      <c r="EA166" s="213">
        <f t="shared" si="699"/>
        <v>0</v>
      </c>
      <c r="EB166" s="213">
        <f t="shared" si="601"/>
        <v>0.02</v>
      </c>
      <c r="EC166" s="235">
        <f t="shared" si="649"/>
        <v>3</v>
      </c>
      <c r="ED166" s="235" t="str">
        <f t="shared" si="756"/>
        <v>3*1.5</v>
      </c>
      <c r="EE166" s="189">
        <f t="shared" si="709"/>
        <v>1.5</v>
      </c>
      <c r="EF166" s="189">
        <f>LOOKUP(EH166,{1,7,10,14,19,24,30,37,48,61},{1,"1+6","2+8","4+10","1+6+12","2+8+14","4+10+16","1+6+12+18","3+9+15+21","1+6+12+18+24"})</f>
        <v>1</v>
      </c>
      <c r="EG166" s="188">
        <f t="shared" si="602"/>
        <v>3</v>
      </c>
      <c r="EH166" s="197">
        <f>VLOOKUP(EE166,各项系数!$B$87:$C$124,2,0)</f>
        <v>1</v>
      </c>
      <c r="EI166" s="188">
        <f>IF(EH166=0,0,VLOOKUP(EH166,各项系数!$D$142:$E$195,2,0))*1</f>
        <v>1</v>
      </c>
      <c r="EJ166" s="238">
        <f t="shared" si="650"/>
        <v>134.922667214547</v>
      </c>
      <c r="EK166" s="189">
        <f t="shared" si="689"/>
        <v>0</v>
      </c>
      <c r="EL166" s="189">
        <f t="shared" si="603"/>
        <v>0</v>
      </c>
      <c r="EM166" s="189">
        <f t="shared" si="690"/>
        <v>0</v>
      </c>
      <c r="EN166" s="189">
        <f>IF(EP166=0,0,LOOKUP(EP166,{1,7,10,14,19,24,30,37,48,61},{1,"1+6","2+8","4+10","1+6+12","2+8+14","4+10+16","1+6+12+18","3+9+15+21","1+6+12+18+24"}))</f>
        <v>0</v>
      </c>
      <c r="EO166" s="189">
        <f t="shared" si="691"/>
        <v>0</v>
      </c>
      <c r="EP166" s="189">
        <f>IF(EM166=0,0,IF(EM166&lt;10,1,IF(AND(EM166&gt;=10,EM166&lt;=35),7,LOOKUP(EM166,{50,70,95,120,150,185,240,300},{10,14,19,24,30,37,48,61})*1)))</f>
        <v>0</v>
      </c>
      <c r="EQ166" s="189">
        <f>IF(EP166=0,0,VLOOKUP(EP166,各项系数!$D$142:$E$195,2,0))*1</f>
        <v>0</v>
      </c>
      <c r="ER166" s="53">
        <f t="shared" si="710"/>
        <v>0</v>
      </c>
      <c r="ES166" s="412">
        <f t="shared" si="692"/>
        <v>3</v>
      </c>
      <c r="ET166" s="189">
        <f>VLOOKUP(ES166,各项系数!$D$142:$E$195,2,0)*1</f>
        <v>2.16</v>
      </c>
      <c r="EU166" s="243">
        <f>((各项系数!$F$76/4*$EJ166^2*$EG166*$EH166*1*10^-7)*(1-$H166)*AA166)*(VLOOKUP($EY$9,各项系数!$D$4:$F$143,3,0))*各项系数!$J$4</f>
        <v>3.7940741443331386E-2</v>
      </c>
      <c r="EV166" s="244">
        <f>EU166*(VLOOKUP($EY$9,各项系数!$D$4:$F$143,2,0))</f>
        <v>2.4851185645382059</v>
      </c>
      <c r="EW166" s="252">
        <f>(IF($EO166=0,0,(各项系数!$F$76/4*$ER166^2*$EO166*$EP166*1*10^-7))*(1-$K166)*$AF166)*(VLOOKUP($EY$9,各项系数!$D$4:$F$143,3,0))*各项系数!$J$4</f>
        <v>0</v>
      </c>
      <c r="EX166" s="253">
        <f>EW166*(VLOOKUP($EY$9,各项系数!$D$4:$F$143,2,0))</f>
        <v>0</v>
      </c>
      <c r="EY166" s="189">
        <f>((各项系数!$F$76/4*$EJ166^2*$EG166*$EH166*1*10^-7)*(1-$H166)*AA166+IF($EO166=0,0,(各项系数!$F$76/4*$ER166^2*$EO166*$EP166*1*10^-7))*(1-$K166)*$AF166)*(VLOOKUP($EY$9,各项系数!$D$4:$F$143,3,0))*各项系数!$J$4</f>
        <v>3.7940741443331386E-2</v>
      </c>
      <c r="EZ166" s="102">
        <v>1</v>
      </c>
      <c r="FA166" s="189">
        <f t="shared" si="757"/>
        <v>3.7940741443331386E-2</v>
      </c>
      <c r="FB166" s="254">
        <f>FA166*(VLOOKUP($EY$9,各项系数!$D$4:$F$143,2,0))</f>
        <v>2.4851185645382059</v>
      </c>
      <c r="FC166" s="255"/>
      <c r="FD166" s="235">
        <f>各项系数!$F$76/4*($MN166^2-MK166^2)*10^-2*(VLOOKUP(L166,各项系数!$D$1:$F$143,3,0))*10^-3*10^2*$EG166*各项系数!$J$4</f>
        <v>1.4797042894677611E-2</v>
      </c>
      <c r="FE166" s="262">
        <f>FD166*VLOOKUP(L166,各项系数!$D$1:$F$143,2,0)</f>
        <v>0.17016599328879253</v>
      </c>
      <c r="FF166" s="188">
        <f>各项系数!$F$76/4*($MO166^2-ML166^2)*10^-2*(VLOOKUP(L166,各项系数!$D$1:$F$143,3,0))*10^-3*10^2*$EO166*各项系数!$J$4</f>
        <v>0</v>
      </c>
      <c r="FG166" s="262">
        <f>FF166*VLOOKUP(L166,各项系数!$D$1:$F$143,2,0)</f>
        <v>0</v>
      </c>
      <c r="FH166" s="235">
        <f t="shared" si="651"/>
        <v>1.4797042894677611E-2</v>
      </c>
      <c r="FI166" s="102">
        <v>1</v>
      </c>
      <c r="FJ166" s="189">
        <f t="shared" si="758"/>
        <v>1.4797042894677611E-2</v>
      </c>
      <c r="FK166" s="262">
        <f>FJ166*VLOOKUP(L166,各项系数!$D$1:$F$143,2,0)</f>
        <v>0.17016599328879253</v>
      </c>
      <c r="FL166" s="235"/>
      <c r="FM166" s="102"/>
      <c r="FN166" s="189"/>
      <c r="FO166" s="262"/>
      <c r="FP166" s="282">
        <f t="shared" si="759"/>
        <v>1.4797042894677611E-2</v>
      </c>
      <c r="FQ166" s="282">
        <f t="shared" si="760"/>
        <v>0.17016599328879253</v>
      </c>
      <c r="FR166" s="283">
        <f>各项系数!$F$76/4*($MQ166^2-$MN166^2*$EG166-$MO166^2*$EO166)*10^-2</f>
        <v>9.8873906013525845E-2</v>
      </c>
      <c r="FS166" s="284">
        <f t="shared" si="652"/>
        <v>1</v>
      </c>
      <c r="FT166" s="285">
        <f t="shared" si="604"/>
        <v>9.8873906013525845E-2</v>
      </c>
      <c r="FU166" s="302">
        <f>$FT166*(VLOOKUP($FT$9,各项系数!$D$1:$F$143,3,0))*10^-3*10^2*各项系数!$J$55</f>
        <v>1.1805544378014987E-2</v>
      </c>
      <c r="FV166" s="303">
        <v>1</v>
      </c>
      <c r="FW166" s="304">
        <f t="shared" si="761"/>
        <v>1.1805544378014987E-2</v>
      </c>
      <c r="FX166" s="285">
        <f>FW166*(VLOOKUP($FT$9,各项系数!$D$1:$F$143,2,0))</f>
        <v>3.5416633134044959E-2</v>
      </c>
      <c r="FY166" s="302">
        <f>IF($BK166&lt;&gt;$FY$9,0,各项系数!$F$76/4*($MS166^2-$MQ166^2)*10^-2*(VLOOKUP($FY$9,各项系数!$D$1:$F$143,3,0))*10^-3*10^2)*各项系数!$J$4</f>
        <v>0</v>
      </c>
      <c r="FZ166" s="303">
        <v>1</v>
      </c>
      <c r="GA166" s="304">
        <f t="shared" si="762"/>
        <v>0</v>
      </c>
      <c r="GB166" s="285">
        <f>GA166*(VLOOKUP($FY$9,各项系数!$D$1:$F$143,2,0))</f>
        <v>0</v>
      </c>
      <c r="GC166" s="302">
        <f>IF($BK166&lt;&gt;$GC$9,0,各项系数!$F$76/4*($MS166^2-$MQ166^2)*10^-2*(VLOOKUP($GC$9,各项系数!$D$1:$F$143,3,0))*10^-3*10^2)*各项系数!$J$4</f>
        <v>1.6411327109817121E-3</v>
      </c>
      <c r="GD166" s="303">
        <v>1</v>
      </c>
      <c r="GE166" s="304">
        <f t="shared" si="763"/>
        <v>1.6411327109817121E-3</v>
      </c>
      <c r="GF166" s="285">
        <f>GE166*(VLOOKUP($GC$9,各项系数!$D$1:$F$143,2,0))</f>
        <v>2.1170611971664085E-2</v>
      </c>
      <c r="GG166" s="302">
        <f>IF($BK166&lt;&gt;$GG$9,0,各项系数!$F$76/4*($MS166^2-$MQ166^2)*10^-2*(VLOOKUP($GG$9,各项系数!$D$1:$F$143,3,0))*10^-3*10^2)*各项系数!$J$4</f>
        <v>0</v>
      </c>
      <c r="GH166" s="303">
        <v>1</v>
      </c>
      <c r="GI166" s="304">
        <f t="shared" si="764"/>
        <v>0</v>
      </c>
      <c r="GJ166" s="285">
        <f>GI166*(VLOOKUP($GG$9,各项系数!$D$1:$F$143,2,0))</f>
        <v>0</v>
      </c>
      <c r="GK166" s="302">
        <f>IF($BK166&lt;&gt;$GK$9,0,各项系数!$F$76/4*($MS166^2-$MQ166^2)*10^-2*(VLOOKUP($GK$9,各项系数!$D$1:$F$143,3,0))*10^-3*10^2)*各项系数!$J$4</f>
        <v>0</v>
      </c>
      <c r="GL166" s="303">
        <v>1</v>
      </c>
      <c r="GM166" s="304">
        <f t="shared" si="765"/>
        <v>0</v>
      </c>
      <c r="GN166" s="285">
        <f>GM166*(VLOOKUP($GK$9,各项系数!$D$1:$F$143,2,0))</f>
        <v>0</v>
      </c>
      <c r="GO166" s="304">
        <f t="shared" si="766"/>
        <v>1.6411327109817121E-3</v>
      </c>
      <c r="GP166" s="304">
        <f t="shared" si="767"/>
        <v>2.1170611971664085E-2</v>
      </c>
      <c r="GQ166" s="315">
        <f>各项系数!$F$76/4*($MU166^2-$MS166^2)*10^-2*(VLOOKUP($S166,各项系数!$D$1:$F$143,3,0))*10^-3*10^2*各项系数!$J$4</f>
        <v>9.8476728867196731E-2</v>
      </c>
      <c r="GR166" s="303">
        <v>1</v>
      </c>
      <c r="GS166" s="304">
        <f t="shared" si="768"/>
        <v>9.8476728867196731E-2</v>
      </c>
      <c r="GT166" s="304">
        <f t="shared" si="696"/>
        <v>1</v>
      </c>
      <c r="GU166" s="304">
        <f>ROUND($GS166*(VLOOKUP($S166,各项系数!$D$1:$F$143,2,0))+$E$3*GS166,GT166)</f>
        <v>0.6</v>
      </c>
      <c r="GV166" s="315">
        <f>各项系数!$F$76/4*($MT166^2-$MS166^2)*10^-2*(VLOOKUP($GV$9,各项系数!$D$1:$F$143,3,0))*10^-3*10^2*各项系数!$J$4*PI()/4*R166</f>
        <v>8.6524456682466645E-3</v>
      </c>
      <c r="GW166" s="303">
        <v>1</v>
      </c>
      <c r="GX166" s="304">
        <f t="shared" si="769"/>
        <v>8.6524456682466645E-3</v>
      </c>
      <c r="GY166" s="304">
        <f>$GX166*(VLOOKUP($GV$9,各项系数!$D$1:$F$143,2,0))</f>
        <v>0.58404008260664986</v>
      </c>
      <c r="GZ166" s="315">
        <f>各项系数!$F$76/4*($MV166^2-$MS166^2)*10^-2*(VLOOKUP($GZ$9,各项系数!$D$1:$F$143,3,0))*10^-3*10^2*各项系数!$J$4</f>
        <v>3.9782926649288147E-2</v>
      </c>
      <c r="HA166" s="303">
        <v>1</v>
      </c>
      <c r="HB166" s="304">
        <f t="shared" si="653"/>
        <v>3.9782926649288147E-2</v>
      </c>
      <c r="HC166" s="304">
        <f>HB166*(VLOOKUP($GZ$9,各项系数!$D$1:$F$143,2,0))</f>
        <v>0.67630975303789853</v>
      </c>
      <c r="HD166" s="315">
        <f>各项系数!$F$76/4*($MW166^2-$MT166^2)*10^-2*(VLOOKUP($HD$9,各项系数!$D$1:$F$143,3,0))*10^-3*10^2*各项系数!$J$4</f>
        <v>4.0653172947073733E-2</v>
      </c>
      <c r="HE166" s="303">
        <v>1</v>
      </c>
      <c r="HF166" s="304">
        <f t="shared" si="654"/>
        <v>4.0653172947073733E-2</v>
      </c>
      <c r="HG166" s="304">
        <f>HF166*(VLOOKUP($HD$9,各项系数!$D$1:$F$143,2,0))</f>
        <v>0.69110394010025344</v>
      </c>
      <c r="HH166" s="315">
        <f>各项系数!$F$76/4*($MV166^2-$MS166^2)*10^-2*(VLOOKUP($HH$9,各项系数!$D$1:$F$143,3,0))*10^-3*10^2*各项系数!$J$4</f>
        <v>3.9782926649288147E-2</v>
      </c>
      <c r="HI166" s="322">
        <v>1</v>
      </c>
      <c r="HJ166" s="304">
        <f t="shared" si="655"/>
        <v>3.9782926649288147E-2</v>
      </c>
      <c r="HK166" s="304">
        <f>HJ166*(VLOOKUP($HH$9,各项系数!$D$1:$F$143,2,0))</f>
        <v>0.67630975303789853</v>
      </c>
      <c r="HL166" s="315">
        <f>各项系数!$F$76/4*($MW166^2-$MT166^2)*10^-2*(VLOOKUP($HL$9,各项系数!$D$1:$F$143,3,0))*10^-3*10^2*各项系数!$J$4</f>
        <v>4.0653172947073733E-2</v>
      </c>
      <c r="HM166" s="322">
        <v>1</v>
      </c>
      <c r="HN166" s="304">
        <f t="shared" si="605"/>
        <v>4.0653172947073733E-2</v>
      </c>
      <c r="HO166" s="304">
        <f>HN166*(VLOOKUP($HL$9,各项系数!$D$1:$F$143,2,0))</f>
        <v>0.69110394010025344</v>
      </c>
      <c r="HP166" s="315">
        <f>各项系数!$F$76/4*($MV166^2-$MS166^2)*10^-2*(VLOOKUP(AN166,各项系数!$D$1:$F$143,3,0))*10^-3*10^2*各项系数!$J$4</f>
        <v>4.0331656672036947E-2</v>
      </c>
      <c r="HQ166" s="303">
        <v>1</v>
      </c>
      <c r="HR166" s="304">
        <f t="shared" si="770"/>
        <v>4.0331656672036947E-2</v>
      </c>
      <c r="HS166" s="304">
        <f>HR166*(VLOOKUP(AN166,各项系数!$D$1:$F$143,2,0))</f>
        <v>0.40331656672036947</v>
      </c>
      <c r="HT166" s="315">
        <f>各项系数!$F$76/4*($MW166^2-$MT166^2)*10^-2*(VLOOKUP(AN166,各项系数!$D$1:$F$143,3,0))*10^-3*10^2*各项系数!$J$4</f>
        <v>4.1213906367033377E-2</v>
      </c>
      <c r="HU166" s="303">
        <v>1</v>
      </c>
      <c r="HV166" s="304">
        <f t="shared" si="771"/>
        <v>4.1213906367033377E-2</v>
      </c>
      <c r="HW166" s="304">
        <f>HV166*(VLOOKUP(AN166,各项系数!$D$1:$F$143,2,0))</f>
        <v>0.41213906367033376</v>
      </c>
      <c r="HX166" s="315">
        <f>各项系数!$F$76/4*($MV166^2-$MS166^2)*10^-2*(VLOOKUP($HX$9,各项系数!$D$1:$F$143,3,0))*10^-3*10^2*各项系数!$J$4</f>
        <v>4.0331656672036947E-2</v>
      </c>
      <c r="HY166" s="322">
        <v>1</v>
      </c>
      <c r="HZ166" s="304">
        <f t="shared" si="772"/>
        <v>4.0331656672036947E-2</v>
      </c>
      <c r="IA166" s="304">
        <f>HZ166*(VLOOKUP($HX$9,各项系数!$D$1:$F$143,2,0))</f>
        <v>0.44364822339240639</v>
      </c>
      <c r="IB166" s="315">
        <f>各项系数!$F$76/4*($MW166^2-$MT166^2)*10^-2*(VLOOKUP($IB$9,各项系数!$D$1:$F$143,3,0))*10^-3*10^2*各项系数!$J$4</f>
        <v>4.1213906367033377E-2</v>
      </c>
      <c r="IC166" s="322">
        <v>1</v>
      </c>
      <c r="ID166" s="304">
        <f t="shared" si="773"/>
        <v>4.1213906367033377E-2</v>
      </c>
      <c r="IE166" s="304">
        <f>ID166*(VLOOKUP($IB$9,各项系数!$D$1:$F$143,2,0))</f>
        <v>0.45335297003736713</v>
      </c>
      <c r="IF166" s="328"/>
      <c r="IG166" s="315">
        <f t="shared" si="656"/>
        <v>6.9596447381416928E-3</v>
      </c>
      <c r="IH166" s="303">
        <v>1</v>
      </c>
      <c r="II166" s="304">
        <f t="shared" si="774"/>
        <v>6.9596447381416928E-3</v>
      </c>
      <c r="IJ166" s="304">
        <f>II166*(VLOOKUP($IG$8,各项系数!$D$1:$F$143,2,0))</f>
        <v>0.17399111845354231</v>
      </c>
      <c r="IK166" s="315">
        <f>(各项系数!$F$76/4*($MX166^2-$MK166^2)*$EG166)*10^-2*(VLOOKUP($IG$8,各项系数!$D$1:$F$143,3,0))*10^-3*10^2*各项系数!$J$4</f>
        <v>6.9596447381416928E-3</v>
      </c>
      <c r="IL166" s="303">
        <f>IK166*(VLOOKUP($IG$8,各项系数!$D$1:$F$143,2,0))</f>
        <v>0.17399111845354231</v>
      </c>
      <c r="IM166" s="304">
        <f>(各项系数!$F$76/4*(($MM166+3*$X166)^2-MM166^2)*$EO166)*10^-2*(VLOOKUP($IG$8,各项系数!$D$1:$F$143,3,0))*10^-3*10^2*各项系数!$J$4</f>
        <v>0</v>
      </c>
      <c r="IN166" s="303">
        <f>IM166*(VLOOKUP($IG$8,各项系数!$D$1:$F$143,2,0))</f>
        <v>0</v>
      </c>
      <c r="IO166" s="315">
        <f>各项系数!$F$76/4*($MZ166^2-$MX166^2)*10^-2*(VLOOKUP(L166,各项系数!$D$1:$F$143,3,0))*10^-3*10^2*$ES166*各项系数!$J$4</f>
        <v>1.9129519075463692E-2</v>
      </c>
      <c r="IP166" s="303">
        <v>1</v>
      </c>
      <c r="IQ166" s="304">
        <f t="shared" si="775"/>
        <v>1.9129519075463692E-2</v>
      </c>
      <c r="IR166" s="285">
        <f>IQ166*(VLOOKUP(L166,各项系数!$D$1:$F$143,2,0))</f>
        <v>0.21998946936783245</v>
      </c>
      <c r="IS166" s="315">
        <f>IF($L166&lt;&gt;$IS$9,0,各项系数!$F$76/4*($MZ166^2-$MX166^2)*10^-2*各项系数!$F$12*10^-3*10^2)*$ES166*各项系数!$J$4</f>
        <v>0</v>
      </c>
      <c r="IT166" s="303">
        <v>1</v>
      </c>
      <c r="IU166" s="304">
        <f t="shared" si="776"/>
        <v>0</v>
      </c>
      <c r="IV166" s="285">
        <f>IU166*各项系数!$E$12</f>
        <v>0</v>
      </c>
      <c r="IW166" s="302">
        <f t="shared" si="777"/>
        <v>1.9129519075463692E-2</v>
      </c>
      <c r="IX166" s="302">
        <f t="shared" si="778"/>
        <v>0.21998946936783245</v>
      </c>
      <c r="IY166" s="339">
        <f>各项系数!$F$76/4*($NB166^2-$MZ166^2*$EG166-$NA166^2*$EO166)*10^-2</f>
        <v>0.14674039242859921</v>
      </c>
      <c r="IZ166" s="284">
        <f t="shared" si="697"/>
        <v>1</v>
      </c>
      <c r="JA166" s="285">
        <f t="shared" si="606"/>
        <v>0.14674039242859921</v>
      </c>
      <c r="JB166" s="282">
        <f>IF($DE166&lt;&gt;$JB$9,0,$JA166*各项系数!$F$32*10^-3*10^2)*各项系数!$J$4</f>
        <v>0</v>
      </c>
      <c r="JC166" s="102">
        <v>1</v>
      </c>
      <c r="JD166" s="189">
        <f t="shared" si="779"/>
        <v>0</v>
      </c>
      <c r="JE166" s="262">
        <f>JD166*各项系数!$E$32</f>
        <v>0</v>
      </c>
      <c r="JF166" s="282">
        <f>IF($DE166&lt;&gt;$JF$9,0,$JA166*VLOOKUP($JF$9,各项系数!$D$4:$F$540,2,0)*10^-3*10^2)*各项系数!$J$4</f>
        <v>7.3003345233228115E-2</v>
      </c>
      <c r="JG166" s="102">
        <v>1</v>
      </c>
      <c r="JH166" s="189">
        <f t="shared" si="607"/>
        <v>7.3003345233228115E-2</v>
      </c>
      <c r="JI166" s="262">
        <f>JH166*VLOOKUP($JF$9,各项系数!$D$4:$F$540,3,0)</f>
        <v>8.7604014279873729E-2</v>
      </c>
      <c r="JJ166" s="282">
        <f t="shared" si="780"/>
        <v>7.3003345233228115E-2</v>
      </c>
      <c r="JK166" s="189">
        <f t="shared" si="781"/>
        <v>8.7604014279873729E-2</v>
      </c>
      <c r="JL166" s="282">
        <f>IF($DF166&lt;&gt;$JL$9,0,各项系数!$F$76/4*($NE166^2-$NC166^2)*10^-2*各项系数!$F$39*10^-3*10^2)*各项系数!$J$4</f>
        <v>8.2759630807726606E-4</v>
      </c>
      <c r="JM166" s="102">
        <v>1</v>
      </c>
      <c r="JN166" s="189">
        <f t="shared" si="782"/>
        <v>8.2759630807726606E-4</v>
      </c>
      <c r="JO166" s="262">
        <f>JN166*各项系数!$E$39</f>
        <v>1.655192616154532E-2</v>
      </c>
      <c r="JP166" s="282">
        <f>IF($DF166&lt;&gt;$JP$9,0,各项系数!$F$76/4*($NE166^2-$NC166^2)*10^-2*各项系数!$F$36*10^-3*10^2)*各项系数!$J$4</f>
        <v>0</v>
      </c>
      <c r="JQ166" s="102">
        <v>1</v>
      </c>
      <c r="JR166" s="189">
        <f t="shared" si="783"/>
        <v>0</v>
      </c>
      <c r="JS166" s="262">
        <f>JR166*各项系数!$E$36</f>
        <v>0</v>
      </c>
      <c r="JT166" s="282">
        <f>IF($DF166&lt;&gt;$JT$9,0,各项系数!$F$76/4*($NE166^2-$NC166^2)*10^-2*各项系数!$F$40*10^-3*10^2)*各项系数!$J$4</f>
        <v>0</v>
      </c>
      <c r="JU166" s="102">
        <v>1</v>
      </c>
      <c r="JV166" s="189">
        <f t="shared" si="784"/>
        <v>0</v>
      </c>
      <c r="JW166" s="262">
        <f>JV166*各项系数!$E$40</f>
        <v>0</v>
      </c>
      <c r="JX166" s="282">
        <f>IF($DF166&lt;&gt;$JX$9,0,各项系数!$F$76/4*($NE166^2-$NC166^2)*10^-2*各项系数!$F$38*10^-3*10^2)*各项系数!$J$4</f>
        <v>0</v>
      </c>
      <c r="JY166" s="102">
        <v>1</v>
      </c>
      <c r="JZ166" s="189">
        <f t="shared" si="785"/>
        <v>0</v>
      </c>
      <c r="KA166" s="262">
        <f>JZ166*各项系数!$E$38</f>
        <v>0</v>
      </c>
      <c r="KB166" s="282">
        <f>IF($DF166&lt;&gt;$KB$9,0,各项系数!$F$76/4*($NE166^2-$NC166^2)*10^-2*各项系数!$F$41*10^-3*10^2)*各项系数!$J$4</f>
        <v>0</v>
      </c>
      <c r="KC166" s="102">
        <v>1</v>
      </c>
      <c r="KD166" s="189">
        <f t="shared" si="786"/>
        <v>0</v>
      </c>
      <c r="KE166" s="262">
        <f>KD166*各项系数!$E$41</f>
        <v>0</v>
      </c>
      <c r="KF166" s="189">
        <f t="shared" si="787"/>
        <v>8.2759630807726606E-4</v>
      </c>
      <c r="KG166" s="189">
        <f t="shared" si="788"/>
        <v>1.655192616154532E-2</v>
      </c>
      <c r="KH166" s="235">
        <f>各项系数!$F$76/4*($NG166^2-$NE166^2)*10^-2*各项系数!$F$44*10^-3*10^2*各项系数!$J$4*0.75*$U166</f>
        <v>0.35527012254690998</v>
      </c>
      <c r="KI166" s="102">
        <v>1</v>
      </c>
      <c r="KJ166" s="189">
        <f t="shared" si="789"/>
        <v>0.35527012254690998</v>
      </c>
      <c r="KK166" s="189">
        <f>ROUND(KJ166*各项系数!$E$43,GT166)</f>
        <v>2.1</v>
      </c>
      <c r="KL166" s="235">
        <f>各项系数!$F$76/4*($NF166^2-$NE166^2)*10^-2*各项系数!$F$46*10^-3*10^2*各项系数!$J$4*PI()/4*R166</f>
        <v>1.055213891185746E-2</v>
      </c>
      <c r="KM166" s="102">
        <v>1</v>
      </c>
      <c r="KN166" s="189">
        <f t="shared" si="790"/>
        <v>1.055213891185746E-2</v>
      </c>
      <c r="KO166" s="189">
        <f>KN166*各项系数!$E$46</f>
        <v>0.71226937655037859</v>
      </c>
      <c r="KP166" s="235">
        <f>各项系数!$F$76/4*($NH166^2-$NE166^2)*10^-2*(VLOOKUP($KP$9,各项系数!$D$1:$F$143,3,0))*10^-3*10^2*各项系数!$J$4</f>
        <v>4.7180020180465757E-2</v>
      </c>
      <c r="KQ166" s="102">
        <v>1</v>
      </c>
      <c r="KR166" s="189">
        <f t="shared" si="657"/>
        <v>4.7180020180465757E-2</v>
      </c>
      <c r="KS166" s="189">
        <f>KR166*(VLOOKUP($KP$9,各项系数!$D$1:$F$143,2,0))</f>
        <v>0.80206034306791785</v>
      </c>
      <c r="KT166" s="235">
        <f>各项系数!$F$76/4*($NI166^2-$NF166^2)*10^-2*(VLOOKUP($KT$9,各项系数!$D$1:$F$143,3,0))*10^-3*10^2*各项系数!$J$4</f>
        <v>4.8050266478251363E-2</v>
      </c>
      <c r="KU166" s="102">
        <v>1</v>
      </c>
      <c r="KV166" s="189">
        <f t="shared" si="658"/>
        <v>4.8050266478251363E-2</v>
      </c>
      <c r="KW166" s="189">
        <f>KV166*(VLOOKUP($KT$9,各项系数!$D$1:$F$143,2,0))</f>
        <v>0.8168545301302732</v>
      </c>
      <c r="KX166" s="189">
        <f>各项系数!$F$76/4*($NH166^2-$NE166^2)*10^-2*(VLOOKUP($KX$9,各项系数!$D$1:$F$143,3,0))*10^-3*10^2*各项系数!$J$4</f>
        <v>4.7180020180465757E-2</v>
      </c>
      <c r="KY166" s="353">
        <v>1</v>
      </c>
      <c r="KZ166" s="189">
        <f t="shared" si="659"/>
        <v>4.7180020180465757E-2</v>
      </c>
      <c r="LA166" s="189">
        <f>KZ166*(VLOOKUP($KX$9,各项系数!$D$1:$F$143,2,0))</f>
        <v>0.80206034306791785</v>
      </c>
      <c r="LB166" s="189">
        <f>各项系数!$F$76/4*($NI166^2-$NF166^2)*10^-2*(VLOOKUP($LB$9,各项系数!$D$1:$F$143,3,0))*10^-3*10^2*各项系数!$J$4</f>
        <v>4.8050266478251363E-2</v>
      </c>
      <c r="LC166" s="353">
        <v>1</v>
      </c>
      <c r="LD166" s="189">
        <f t="shared" si="660"/>
        <v>4.8050266478251363E-2</v>
      </c>
      <c r="LE166" s="189">
        <f>LD166*(VLOOKUP($LB$9,各项系数!$D$1:$F$143,2,0))</f>
        <v>0.8168545301302732</v>
      </c>
      <c r="LF166" s="235">
        <f>各项系数!$F$76/4*($NH166^2-$NE166^2)*10^-2*(VLOOKUP(AN166,各项系数!$D$1:$F$143,3,0))*10^-3*10^2*各项系数!$J$4</f>
        <v>4.7830779079506662E-2</v>
      </c>
      <c r="LG166" s="102">
        <v>1</v>
      </c>
      <c r="LH166" s="189">
        <f t="shared" si="791"/>
        <v>4.7830779079506662E-2</v>
      </c>
      <c r="LI166" s="189">
        <f>LH166*(VLOOKUP(AN166,各项系数!$D$1:$F$143,2,0))</f>
        <v>0.47830779079506663</v>
      </c>
      <c r="LJ166" s="235">
        <f>各项系数!$F$76/4*($NI166^2-$NF166^2)*10^-2*(VLOOKUP(AN166,各项系数!$D$1:$F$143,3,0))*10^-3*10^2*各项系数!$J$4</f>
        <v>4.8713028774503113E-2</v>
      </c>
      <c r="LK166" s="102">
        <v>1</v>
      </c>
      <c r="LL166" s="189">
        <f t="shared" si="792"/>
        <v>4.8713028774503113E-2</v>
      </c>
      <c r="LM166" s="189">
        <f>LL166*(VLOOKUP(AN166,各项系数!$D$1:$F$143,2,0))</f>
        <v>0.48713028774503114</v>
      </c>
      <c r="LN166" s="189">
        <f>各项系数!$F$76/4*($NH166^2-$NE166^2)*10^-2*(VLOOKUP($LN$9,各项系数!$D$1:$F$143,3,0))*10^-3*10^2*各项系数!$J$4</f>
        <v>4.7830779079506662E-2</v>
      </c>
      <c r="LO166" s="353">
        <v>1</v>
      </c>
      <c r="LP166" s="189">
        <f t="shared" si="793"/>
        <v>4.7830779079506662E-2</v>
      </c>
      <c r="LQ166" s="189">
        <f>LP166*(VLOOKUP($LN$9,各项系数!$D$1:$F$143,2,0))</f>
        <v>0.5261385698745733</v>
      </c>
      <c r="LR166" s="189">
        <f>各项系数!$F$76/4*($NI166^2-$NF166^2)*10^-2*(VLOOKUP($LR$9,各项系数!$D$1:$F$143,3,0))*10^-3*10^2*各项系数!$J$4</f>
        <v>4.8713028774503113E-2</v>
      </c>
      <c r="LS166" s="353">
        <v>1</v>
      </c>
      <c r="LT166" s="189">
        <f t="shared" si="794"/>
        <v>4.8713028774503113E-2</v>
      </c>
      <c r="LU166" s="189">
        <f>LT166*(VLOOKUP($LR$9,各项系数!$D$1:$F$143,2,0))</f>
        <v>0.53584331651953421</v>
      </c>
      <c r="LV166" s="227">
        <f t="shared" si="661"/>
        <v>4.2892461500000003</v>
      </c>
      <c r="LW166" s="227">
        <f t="shared" si="662"/>
        <v>4.2892461500000003</v>
      </c>
      <c r="LX166" s="227">
        <f t="shared" si="663"/>
        <v>2.3369291421185729</v>
      </c>
      <c r="LY166" s="227">
        <f t="shared" si="664"/>
        <v>0</v>
      </c>
      <c r="LZ166" s="374">
        <f t="shared" si="608"/>
        <v>1</v>
      </c>
      <c r="MA166" s="375">
        <f t="shared" si="609"/>
        <v>4.2892461500000003</v>
      </c>
      <c r="MB166" s="375">
        <f t="shared" si="665"/>
        <v>1.34922667</v>
      </c>
      <c r="MC166" s="227">
        <f t="shared" si="666"/>
        <v>0</v>
      </c>
      <c r="MD166" s="227">
        <f t="shared" si="667"/>
        <v>0</v>
      </c>
      <c r="ME166" s="227">
        <f t="shared" si="668"/>
        <v>0</v>
      </c>
      <c r="MF166" s="227">
        <f t="shared" si="669"/>
        <v>0</v>
      </c>
      <c r="MG166" s="374">
        <f t="shared" si="670"/>
        <v>1</v>
      </c>
      <c r="MH166" s="375">
        <f t="shared" si="610"/>
        <v>0</v>
      </c>
      <c r="MI166" s="375">
        <f t="shared" si="671"/>
        <v>0</v>
      </c>
      <c r="MJ166" s="189">
        <f t="shared" si="611"/>
        <v>1.34922667</v>
      </c>
      <c r="MK166" s="189">
        <f t="shared" si="672"/>
        <v>1.34922667</v>
      </c>
      <c r="ML166" s="189">
        <f t="shared" si="795"/>
        <v>0</v>
      </c>
      <c r="MM166" s="189">
        <f t="shared" si="612"/>
        <v>0</v>
      </c>
      <c r="MN166" s="189">
        <f t="shared" si="613"/>
        <v>2.7492266699999997</v>
      </c>
      <c r="MO166" s="189">
        <f t="shared" si="673"/>
        <v>0</v>
      </c>
      <c r="MP166" s="189">
        <f t="shared" si="674"/>
        <v>5.9383296100000003</v>
      </c>
      <c r="MQ166" s="189">
        <f t="shared" si="796"/>
        <v>5.9383296100000003</v>
      </c>
      <c r="MR166" s="246">
        <f t="shared" si="675"/>
        <v>5.9383296100000003</v>
      </c>
      <c r="MS166" s="380">
        <f t="shared" si="614"/>
        <v>6.1143296100000004</v>
      </c>
      <c r="MT166" s="380">
        <f t="shared" si="615"/>
        <v>6.2743296100000006</v>
      </c>
      <c r="MU166" s="380">
        <f t="shared" si="616"/>
        <v>7.3143296100000006</v>
      </c>
      <c r="MV166" s="380">
        <f t="shared" si="617"/>
        <v>8.5143296100000008</v>
      </c>
      <c r="MW166" s="380">
        <f t="shared" si="618"/>
        <v>8.6743296100000009</v>
      </c>
      <c r="MX166" s="254">
        <f t="shared" si="619"/>
        <v>1.9492266700000001</v>
      </c>
      <c r="MY166" s="254">
        <f t="shared" si="620"/>
        <v>0</v>
      </c>
      <c r="MZ166" s="189">
        <f t="shared" si="621"/>
        <v>3.3492266700000002</v>
      </c>
      <c r="NA166" s="189">
        <f t="shared" si="622"/>
        <v>0</v>
      </c>
      <c r="NB166" s="189">
        <f t="shared" si="676"/>
        <v>7.2343296099999996</v>
      </c>
      <c r="NC166" s="254">
        <f t="shared" si="797"/>
        <v>7.2343296099999996</v>
      </c>
      <c r="ND166" s="246">
        <f t="shared" si="677"/>
        <v>7.2343296099999996</v>
      </c>
      <c r="NE166" s="386">
        <f t="shared" si="678"/>
        <v>7.4743296099999998</v>
      </c>
      <c r="NF166" s="380">
        <f t="shared" si="623"/>
        <v>7.63432961</v>
      </c>
      <c r="NG166" s="387">
        <f t="shared" si="624"/>
        <v>8.6743296100000009</v>
      </c>
      <c r="NH166" s="254">
        <f t="shared" si="625"/>
        <v>9.8743296100000002</v>
      </c>
      <c r="NI166" s="380">
        <f t="shared" si="626"/>
        <v>10.03432961</v>
      </c>
      <c r="NK166" s="388">
        <f t="shared" si="627"/>
        <v>0.10651611809904264</v>
      </c>
      <c r="NL166" s="388">
        <f t="shared" si="628"/>
        <v>3.1151883696530769</v>
      </c>
      <c r="NM166" s="388">
        <f t="shared" si="629"/>
        <v>0.10651611809904264</v>
      </c>
      <c r="NN166" s="388">
        <f t="shared" si="630"/>
        <v>3.1555200263251137</v>
      </c>
      <c r="NO166" s="388">
        <f t="shared" si="631"/>
        <v>0.18569162587774884</v>
      </c>
      <c r="NP166" s="388">
        <f t="shared" si="632"/>
        <v>3.4615628835960663</v>
      </c>
      <c r="NQ166" s="388">
        <f t="shared" si="633"/>
        <v>0.18569162587774884</v>
      </c>
      <c r="NR166" s="388">
        <f t="shared" si="634"/>
        <v>3.5093936626755733</v>
      </c>
      <c r="NS166" s="388">
        <f t="shared" si="635"/>
        <v>0.1151685637672893</v>
      </c>
      <c r="NT166" s="388">
        <f t="shared" si="636"/>
        <v>0.1151685637672893</v>
      </c>
      <c r="NU166" s="388">
        <f t="shared" si="637"/>
        <v>0.19624376478960631</v>
      </c>
      <c r="NV166" s="388">
        <f t="shared" si="638"/>
        <v>0.19624376478960631</v>
      </c>
      <c r="NW166">
        <f t="shared" si="639"/>
        <v>0.20499284696623937</v>
      </c>
      <c r="NX166">
        <f>各项系数!$M$9*NK166</f>
        <v>3.1954835429712794E-2</v>
      </c>
      <c r="NY166">
        <f t="shared" si="640"/>
        <v>0.1151685637672893</v>
      </c>
    </row>
    <row r="167" spans="1:389" ht="15" hidden="1" customHeight="1">
      <c r="A167" s="69"/>
      <c r="B167" s="70"/>
      <c r="C167" s="69"/>
      <c r="D167" s="102" t="s">
        <v>142</v>
      </c>
      <c r="E167" s="61">
        <f t="shared" si="687"/>
        <v>9.2291285399999996</v>
      </c>
      <c r="F167" s="62">
        <f t="shared" si="798"/>
        <v>134.922667214547</v>
      </c>
      <c r="G167" s="16"/>
      <c r="H167" s="16"/>
      <c r="I167" s="145">
        <v>0</v>
      </c>
      <c r="J167" s="16"/>
      <c r="K167" s="16"/>
      <c r="L167" s="97" t="s">
        <v>469</v>
      </c>
      <c r="M167" s="103">
        <f t="shared" si="582"/>
        <v>0.7</v>
      </c>
      <c r="N167" s="103">
        <f t="shared" si="583"/>
        <v>0</v>
      </c>
      <c r="O167" s="53">
        <f t="shared" si="703"/>
        <v>0.08</v>
      </c>
      <c r="P167" s="99">
        <v>0.1</v>
      </c>
      <c r="Q167" s="133">
        <f t="shared" si="754"/>
        <v>0.1</v>
      </c>
      <c r="R167" s="406">
        <v>0.8</v>
      </c>
      <c r="S167" s="142" t="str">
        <f>各项系数!$D$43</f>
        <v>钢带</v>
      </c>
      <c r="T167" s="102">
        <v>0.2</v>
      </c>
      <c r="U167" s="62">
        <v>4</v>
      </c>
      <c r="V167" s="143"/>
      <c r="W167" s="141">
        <f t="shared" si="799"/>
        <v>1.2</v>
      </c>
      <c r="X167" s="135">
        <f t="shared" si="755"/>
        <v>0.2</v>
      </c>
      <c r="Y167" s="135"/>
      <c r="Z167" s="168"/>
      <c r="AA167" s="153">
        <v>1</v>
      </c>
      <c r="AB167" s="153">
        <f>PI()*EJ167*EJ167/4*EH167*(1-H167)*AA167*各项系数!$F$5*各项系数!$J$4*10^-7</f>
        <v>1.2646913814443796E-2</v>
      </c>
      <c r="AC167" s="153">
        <f t="shared" si="704"/>
        <v>134.922667214547</v>
      </c>
      <c r="AD167" s="153">
        <f t="shared" si="584"/>
        <v>1.4297487227412424</v>
      </c>
      <c r="AE167" s="153">
        <f>POWER(4*EU167/PI()/EG167/10^-7/EH167/(1-H167)/各项系数!$F$5/各项系数!$J$4,0.5)</f>
        <v>134.922667214547</v>
      </c>
      <c r="AF167" s="69">
        <v>1</v>
      </c>
      <c r="AG167" s="69">
        <f>IF(EM167=0,0,PI()*ER167*ER167/4*EP167*(1-K167)*(1+AF167)*各项系数!$F$5*各项系数!$J$4*10^-7)</f>
        <v>0</v>
      </c>
      <c r="AH167" s="69">
        <f t="shared" si="705"/>
        <v>0</v>
      </c>
      <c r="AI167" s="69">
        <f t="shared" si="641"/>
        <v>0</v>
      </c>
      <c r="AJ167" s="69">
        <f>IF(OR(EP167="",EP167=0),0,POWER(4*EW167/PI()/EO167/10^-7/EP167/(1-K167)/各项系数!$F$5/各项系数!$J$4,0.5))</f>
        <v>0</v>
      </c>
      <c r="AK167" s="69" t="str">
        <f t="shared" si="585"/>
        <v>√</v>
      </c>
      <c r="AL167" s="69">
        <f t="shared" si="706"/>
        <v>4.2865475030057132</v>
      </c>
      <c r="AM167" s="188">
        <f t="shared" si="707"/>
        <v>1.5</v>
      </c>
      <c r="AN167" s="97" t="s">
        <v>486</v>
      </c>
      <c r="AO167" s="196">
        <f>AP167+各项系数!$M$9*$NK167</f>
        <v>4.2024975519663856</v>
      </c>
      <c r="AP167" s="196">
        <f>AQ167*(1+$BI167+(VLOOKUP($AM167,$A$12:$B$323,2,0))+各项系数!$J$6+各项系数!$M$5)*(1+$E$2)</f>
        <v>4.1636223977344038</v>
      </c>
      <c r="AQ167" s="197">
        <f>AR167+各项系数!$L$9*$NK167</f>
        <v>4.2065289934677752</v>
      </c>
      <c r="AR167" s="197">
        <f>AS167*(1+$BJ167+各项系数!$J$5+各项系数!$L$5)</f>
        <v>4.1676538392357934</v>
      </c>
      <c r="AS167" s="197">
        <f t="shared" si="642"/>
        <v>4.046265863335722</v>
      </c>
      <c r="AT167" s="196">
        <f>AU167+各项系数!$M$9*$NM167</f>
        <v>4.5080110234985105</v>
      </c>
      <c r="AU167" s="196">
        <f>AV167*(1+$BI167+(VLOOKUP($AM167,$A$12:$B$323,2,0))+各项系数!$J$6+各项系数!$M$5)*(1+$E$2)</f>
        <v>4.4691358692665286</v>
      </c>
      <c r="AV167" s="197">
        <f>AW167+各项系数!$L$9*$NM167</f>
        <v>4.5151908155855009</v>
      </c>
      <c r="AW167" s="197">
        <f>AX167*(1+$BJ167+各项系数!$J$5+各项系数!$L$5)</f>
        <v>4.4763156613535191</v>
      </c>
      <c r="AX167" s="197">
        <f t="shared" si="643"/>
        <v>4.345937535294679</v>
      </c>
      <c r="AY167" s="196">
        <f>AZ167+各项系数!$M$9*$NS167</f>
        <v>4.8813879226002124</v>
      </c>
      <c r="AZ167" s="196">
        <f>BA167*(1+$BI167+(VLOOKUP($AM167,$A$12:$B$214,2,0))+各项系数!$J$6+各项系数!$M$5)*(1+$E$2)</f>
        <v>4.8396174981902877</v>
      </c>
      <c r="BA167" s="197">
        <f>BB167+各项系数!$L$9*$NS167</f>
        <v>4.8894902992425617</v>
      </c>
      <c r="BB167" s="197">
        <f>BC167*(1+$BJ167+各项系数!$J$5+各项系数!$L$5)</f>
        <v>4.8477198748326371</v>
      </c>
      <c r="BC167" s="199">
        <f t="shared" si="644"/>
        <v>4.7065241503229487</v>
      </c>
      <c r="BD167" s="196">
        <f>BE167+各项系数!$M$9*$NS167</f>
        <v>5.1929894963717791</v>
      </c>
      <c r="BE167" s="196">
        <f>BF167*(1+$BI167+(VLOOKUP($AM167,$A$12:$B$214,2,0))+各项系数!$J$6+各项系数!$M$5)*(1+$E$2)</f>
        <v>5.1512190719618545</v>
      </c>
      <c r="BF167" s="197">
        <f>BG167+各项系数!$L$9*$NS167</f>
        <v>5.2043029621760502</v>
      </c>
      <c r="BG167" s="197">
        <f>BH167*(1+$BJ167+各项系数!$J$5+各项系数!$L$5)</f>
        <v>5.1625325377661255</v>
      </c>
      <c r="BH167" s="199">
        <f t="shared" si="645"/>
        <v>5.0121675123942966</v>
      </c>
      <c r="BI167" s="213"/>
      <c r="BJ167" s="208">
        <f t="shared" si="800"/>
        <v>0.01</v>
      </c>
      <c r="BK167" s="102" t="s">
        <v>514</v>
      </c>
      <c r="BL167" s="196">
        <f>BM167+各项系数!$M$9*$NM167</f>
        <v>4.2881218677590223</v>
      </c>
      <c r="BM167" s="196">
        <f>BN167*(1+$CF167+(VLOOKUP($AM167,$A$12:$B$323,2,0))+各项系数!$J$6+各项系数!$M$5)*(1+$E$2)</f>
        <v>4.2492467135270404</v>
      </c>
      <c r="BN167" s="197">
        <f>BO167+各项系数!$L$9*$NM167</f>
        <v>4.2930356774368965</v>
      </c>
      <c r="BO167" s="197">
        <f>BP167*(1+$CG167+各项系数!$J$5+各项系数!$L$5)</f>
        <v>4.2541605232049147</v>
      </c>
      <c r="BP167" s="197">
        <f t="shared" si="646"/>
        <v>4.0905389646201105</v>
      </c>
      <c r="BQ167" s="196">
        <f>BR167+各项系数!$M$9*$NM167</f>
        <v>4.5510271132228581</v>
      </c>
      <c r="BR167" s="196">
        <f>BS167*(1+$CF167+(VLOOKUP($AM167,$A$12:$B$323,2,0))+各项系数!$J$6+各项系数!$M$5)*(1+$E$2)</f>
        <v>4.5121519589908763</v>
      </c>
      <c r="BS167" s="197">
        <f>BT167+各项系数!$L$9*$NM167</f>
        <v>4.5586501909384483</v>
      </c>
      <c r="BT167" s="197">
        <f>BU167*(1+$CG167+各项系数!$J$5+各项系数!$L$5)</f>
        <v>4.5197750367064664</v>
      </c>
      <c r="BU167" s="197">
        <f t="shared" si="647"/>
        <v>4.345937535294679</v>
      </c>
      <c r="BV167" s="196">
        <f>BW167+各项系数!$M$9*$NT167</f>
        <v>4.9412904060573295</v>
      </c>
      <c r="BW167" s="196">
        <f>BX167*(1+$CF167+(VLOOKUP($AM167,$A$12:$B$214,2,0))+各项系数!$J$6+各项系数!$M$5)*(1+$E$2)</f>
        <v>4.8995199816474049</v>
      </c>
      <c r="BX167" s="197">
        <f>BY167+各项系数!$L$9*$NT$12</f>
        <v>4.9500100845094011</v>
      </c>
      <c r="BY167" s="197">
        <f>BZ167*(1+$CG167+各项系数!$J$5+各项系数!$L$5)</f>
        <v>4.9417466813544273</v>
      </c>
      <c r="BZ167" s="199">
        <f t="shared" si="586"/>
        <v>4.7516795013023341</v>
      </c>
      <c r="CA167" s="196">
        <f>CB167+各项系数!$M$9*$NT167</f>
        <v>5.2094346807713077</v>
      </c>
      <c r="CB167" s="196">
        <f>CC167*(1+$CF167+(VLOOKUP($AM167,$A$12:$B$214,2,0))+各项系数!$J$6+各项系数!$M$5)*(1+$E$2)</f>
        <v>5.167664256361383</v>
      </c>
      <c r="CC167" s="197">
        <f>CD167+各项系数!$L$9*$NT$12</f>
        <v>5.2209176160450426</v>
      </c>
      <c r="CD167" s="197">
        <f>CE167*(1+$CG167+各项系数!$J$5+各项系数!$L$5)</f>
        <v>5.2126542128900688</v>
      </c>
      <c r="CE167" s="199">
        <f t="shared" si="648"/>
        <v>5.0121675123942966</v>
      </c>
      <c r="CF167" s="213">
        <f t="shared" si="753"/>
        <v>0</v>
      </c>
      <c r="CG167" s="213">
        <f t="shared" si="587"/>
        <v>0.02</v>
      </c>
      <c r="CH167" s="102"/>
      <c r="CI167" s="196">
        <f>CJ167+各项系数!$M$9*$NO167</f>
        <v>4.739011566669407</v>
      </c>
      <c r="CJ167" s="196">
        <f>CK167*(1+$DC167+(VLOOKUP($AM167,$A$12:$B$323,2,0))+各项系数!$J$6+各项系数!$M$5)*(1+$E$2)+各项系数!$M$9*$NK167</f>
        <v>4.6729223667148405</v>
      </c>
      <c r="CK167" s="197">
        <f>CL167+各项系数!$L$9*$NO167</f>
        <v>4.6818015886874704</v>
      </c>
      <c r="CL167" s="197">
        <f>CM167*(1+$DD167+各项系数!$J$5+各项系数!$L$5)</f>
        <v>4.6157123887329039</v>
      </c>
      <c r="CM167" s="197">
        <f t="shared" si="588"/>
        <v>4.4812741638183535</v>
      </c>
      <c r="CN167" s="196">
        <f>CO167+各项系数!$M$9*$NO167</f>
        <v>4.9593023145668527</v>
      </c>
      <c r="CO167" s="196">
        <f>CP167*(1+$DC167+(VLOOKUP($AM167,$A$12:$B$323,2,0))+各项系数!$J$6+各项系数!$M$5)*(1+$E$2)+各项系数!$M$9*$NK167</f>
        <v>4.8932131146122861</v>
      </c>
      <c r="CP167" s="197">
        <f>CQ167+各项系数!$L$9*$NO167</f>
        <v>4.9043624574462559</v>
      </c>
      <c r="CQ167" s="197">
        <f>CR167*(1+$DD167+各项系数!$J$5+各项系数!$L$5)</f>
        <v>4.8382732574916893</v>
      </c>
      <c r="CR167" s="197">
        <f t="shared" si="589"/>
        <v>4.6973526771763972</v>
      </c>
      <c r="CS167" s="196">
        <f>CT167+各项系数!$M$9*$NU167</f>
        <v>5.5260152433697973</v>
      </c>
      <c r="CT167" s="196">
        <f t="shared" si="590"/>
        <v>5.4563954934672916</v>
      </c>
      <c r="CU167" s="197">
        <f>CV167+各项系数!$L$9*$NU167</f>
        <v>5.5126242609287646</v>
      </c>
      <c r="CV167" s="197">
        <f>CW167*(1+$DD167+各项系数!$J$5+各项系数!$L$5)</f>
        <v>5.4430045110262588</v>
      </c>
      <c r="CW167" s="199">
        <f t="shared" si="591"/>
        <v>5.2844703990546202</v>
      </c>
      <c r="CX167" s="196">
        <f>CY167+各项系数!$M$9*$NU167</f>
        <v>5.8953015858600759</v>
      </c>
      <c r="CY167" s="196">
        <f t="shared" si="592"/>
        <v>5.8256818359575702</v>
      </c>
      <c r="CZ167" s="197">
        <f>DA167+各项系数!$L$9*$NU167</f>
        <v>5.8857161405916045</v>
      </c>
      <c r="DA167" s="197">
        <f>DB167*(1+$DD167+各项系数!$J$5+各项系数!$L$5)</f>
        <v>5.8160963906890988</v>
      </c>
      <c r="DB167" s="199">
        <f t="shared" si="593"/>
        <v>5.6466955249408723</v>
      </c>
      <c r="DC167" s="213">
        <f t="shared" si="698"/>
        <v>0</v>
      </c>
      <c r="DD167" s="213">
        <f t="shared" si="594"/>
        <v>0.01</v>
      </c>
      <c r="DE167" s="53" t="s">
        <v>498</v>
      </c>
      <c r="DF167" s="53" t="s">
        <v>513</v>
      </c>
      <c r="DG167" s="196">
        <f>DH167+各项系数!$M$9*$NQ167</f>
        <v>4.8375466074920714</v>
      </c>
      <c r="DH167" s="196">
        <f>DI167*(1+$EA167+(VLOOKUP($AM167,$A$12:$B$323,2,0))+各项系数!$J$6+各项系数!$M$5)*(1+$E$2)+各项系数!$M$9*$NK167</f>
        <v>4.7714574075375049</v>
      </c>
      <c r="DI167" s="197">
        <f>DJ167+各项系数!$L$9*$NQ167</f>
        <v>4.7813520441559136</v>
      </c>
      <c r="DJ167" s="197">
        <f>DK167*(1+$EB167+各项系数!$J$5+各项系数!$L$5)</f>
        <v>4.7152628442013471</v>
      </c>
      <c r="DK167" s="197">
        <f t="shared" si="595"/>
        <v>4.5339065809628334</v>
      </c>
      <c r="DL167" s="196">
        <f>DM167+各项系数!$M$9*$NQ167</f>
        <v>5.1500916551010061</v>
      </c>
      <c r="DM167" s="196">
        <f>DN167*(1+$EA167+(VLOOKUP($AM167,$A$12:$B$323,2,0))+各项系数!$J$6+各项系数!$M$5)*(1+$E$2)+各项系数!$M$9*$NK167</f>
        <v>5.0840024551464396</v>
      </c>
      <c r="DN167" s="197">
        <f>DO167+各项系数!$L$9*$NQ167</f>
        <v>5.097117903530469</v>
      </c>
      <c r="DO167" s="197">
        <f>DP167*(1+$EB167+各项系数!$J$5+各项系数!$L$5)</f>
        <v>5.0310287035759025</v>
      </c>
      <c r="DP167" s="197">
        <f t="shared" si="596"/>
        <v>4.8375275995922138</v>
      </c>
      <c r="DQ167" s="196">
        <f>DR167+各项系数!$M$9*$NV167</f>
        <v>5.633408501306862</v>
      </c>
      <c r="DR167" s="196">
        <f t="shared" si="597"/>
        <v>5.5637887514043562</v>
      </c>
      <c r="DS167" s="197">
        <f>DT167+各项系数!$L$9*$NV167</f>
        <v>5.6211242184323664</v>
      </c>
      <c r="DT167" s="197">
        <f>DU167*(1+$EB167+各项系数!$J$5+各项系数!$L$5)</f>
        <v>5.5515044685298607</v>
      </c>
      <c r="DU167" s="199">
        <f t="shared" si="598"/>
        <v>5.337985065894097</v>
      </c>
      <c r="DV167" s="196">
        <f>DW167+各项系数!$M$9*$NV167</f>
        <v>5.6492520450306181</v>
      </c>
      <c r="DW167" s="196">
        <f t="shared" si="599"/>
        <v>5.5796322951281123</v>
      </c>
      <c r="DX167" s="197">
        <f>DY167+各项系数!$L$9*$NV167</f>
        <v>5.6371310316509522</v>
      </c>
      <c r="DY167" s="197">
        <f>DZ167*(1+$EB167+各项系数!$J$5+各项系数!$L$5)</f>
        <v>5.5675112817484465</v>
      </c>
      <c r="DZ167" s="199">
        <f t="shared" si="600"/>
        <v>5.3533762324504295</v>
      </c>
      <c r="EA167" s="213">
        <f t="shared" si="699"/>
        <v>0</v>
      </c>
      <c r="EB167" s="213">
        <f t="shared" si="601"/>
        <v>0.02</v>
      </c>
      <c r="EC167" s="235">
        <f t="shared" si="649"/>
        <v>4</v>
      </c>
      <c r="ED167" s="235" t="str">
        <f t="shared" si="756"/>
        <v>4*1.5</v>
      </c>
      <c r="EE167" s="189">
        <f t="shared" si="709"/>
        <v>1.5</v>
      </c>
      <c r="EF167" s="189">
        <f>LOOKUP(EH167,{1,7,10,14,19,24,30,37,48,61},{1,"1+6","2+8","4+10","1+6+12","2+8+14","4+10+16","1+6+12+18","3+9+15+21","1+6+12+18+24"})</f>
        <v>1</v>
      </c>
      <c r="EG167" s="188">
        <f t="shared" si="602"/>
        <v>4</v>
      </c>
      <c r="EH167" s="197">
        <f>VLOOKUP(EE167,各项系数!$B$87:$C$124,2,0)</f>
        <v>1</v>
      </c>
      <c r="EI167" s="188">
        <f>IF(EH167=0,0,VLOOKUP(EH167,各项系数!$D$142:$E$195,2,0))*1</f>
        <v>1</v>
      </c>
      <c r="EJ167" s="238">
        <f t="shared" si="650"/>
        <v>134.922667214547</v>
      </c>
      <c r="EK167" s="189">
        <f t="shared" si="689"/>
        <v>0</v>
      </c>
      <c r="EL167" s="189">
        <f t="shared" si="603"/>
        <v>0</v>
      </c>
      <c r="EM167" s="189">
        <f t="shared" si="690"/>
        <v>0</v>
      </c>
      <c r="EN167" s="189">
        <f>IF(EP167=0,0,LOOKUP(EP167,{1,7,10,14,19,24,30,37,48,61},{1,"1+6","2+8","4+10","1+6+12","2+8+14","4+10+16","1+6+12+18","3+9+15+21","1+6+12+18+24"}))</f>
        <v>0</v>
      </c>
      <c r="EO167" s="189">
        <f t="shared" si="691"/>
        <v>0</v>
      </c>
      <c r="EP167" s="189">
        <f>IF(EM167=0,0,IF(EM167&lt;10,1,IF(AND(EM167&gt;=10,EM167&lt;=35),7,LOOKUP(EM167,{50,70,95,120,150,185,240,300},{10,14,19,24,30,37,48,61})*1)))</f>
        <v>0</v>
      </c>
      <c r="EQ167" s="189">
        <f>IF(EP167=0,0,VLOOKUP(EP167,各项系数!$D$142:$E$195,2,0))*1</f>
        <v>0</v>
      </c>
      <c r="ER167" s="53">
        <f t="shared" si="710"/>
        <v>0</v>
      </c>
      <c r="ES167" s="412">
        <f t="shared" si="692"/>
        <v>4</v>
      </c>
      <c r="ET167" s="189">
        <f>VLOOKUP(ES167,各项系数!$D$142:$E$195,2,0)*1</f>
        <v>2.42</v>
      </c>
      <c r="EU167" s="243">
        <f>((各项系数!$F$76/4*$EJ167^2*$EG167*$EH167*1*10^-7)*(1-$H167)*AA167)*(VLOOKUP($EY$9,各项系数!$D$4:$F$143,3,0))*各项系数!$J$4</f>
        <v>5.0587655257775192E-2</v>
      </c>
      <c r="EV167" s="244">
        <f>EU167*(VLOOKUP($EY$9,各项系数!$D$4:$F$143,2,0))</f>
        <v>3.3134914193842753</v>
      </c>
      <c r="EW167" s="252">
        <f>(IF($EO167=0,0,(各项系数!$F$76/4*$ER167^2*$EO167*$EP167*1*10^-7))*(1-$K167)*$AF167)*(VLOOKUP($EY$9,各项系数!$D$4:$F$143,3,0))*各项系数!$J$4</f>
        <v>0</v>
      </c>
      <c r="EX167" s="253">
        <f>EW167*(VLOOKUP($EY$9,各项系数!$D$4:$F$143,2,0))</f>
        <v>0</v>
      </c>
      <c r="EY167" s="189">
        <f>((各项系数!$F$76/4*$EJ167^2*$EG167*$EH167*1*10^-7)*(1-$H167)*AA167+IF($EO167=0,0,(各项系数!$F$76/4*$ER167^2*$EO167*$EP167*1*10^-7))*(1-$K167)*$AF167)*(VLOOKUP($EY$9,各项系数!$D$4:$F$143,3,0))*各项系数!$J$4</f>
        <v>5.0587655257775192E-2</v>
      </c>
      <c r="EZ167" s="102">
        <v>1</v>
      </c>
      <c r="FA167" s="189">
        <f t="shared" si="757"/>
        <v>5.0587655257775192E-2</v>
      </c>
      <c r="FB167" s="254">
        <f>FA167*(VLOOKUP($EY$9,各项系数!$D$4:$F$143,2,0))</f>
        <v>3.3134914193842753</v>
      </c>
      <c r="FC167" s="255"/>
      <c r="FD167" s="235">
        <f>各项系数!$F$76/4*($MN167^2-MK167^2)*10^-2*(VLOOKUP(L167,各项系数!$D$1:$F$143,3,0))*10^-3*10^2*$EG167*各项系数!$J$4</f>
        <v>1.9729390526236817E-2</v>
      </c>
      <c r="FE167" s="262">
        <f>FD167*VLOOKUP(L167,各项系数!$D$1:$F$143,2,0)</f>
        <v>0.22688799105172341</v>
      </c>
      <c r="FF167" s="188">
        <f>各项系数!$F$76/4*($MO167^2-ML167^2)*10^-2*(VLOOKUP(L167,各项系数!$D$1:$F$143,3,0))*10^-3*10^2*$EO167*各项系数!$J$4</f>
        <v>0</v>
      </c>
      <c r="FG167" s="262">
        <f>FF167*VLOOKUP(L167,各项系数!$D$1:$F$143,2,0)</f>
        <v>0</v>
      </c>
      <c r="FH167" s="235">
        <f t="shared" si="651"/>
        <v>1.9729390526236817E-2</v>
      </c>
      <c r="FI167" s="102">
        <v>1</v>
      </c>
      <c r="FJ167" s="189">
        <f t="shared" si="758"/>
        <v>1.9729390526236817E-2</v>
      </c>
      <c r="FK167" s="262">
        <f>FJ167*VLOOKUP(L167,各项系数!$D$1:$F$143,2,0)</f>
        <v>0.22688799105172341</v>
      </c>
      <c r="FL167" s="235"/>
      <c r="FM167" s="102"/>
      <c r="FN167" s="189"/>
      <c r="FO167" s="262"/>
      <c r="FP167" s="282">
        <f t="shared" si="759"/>
        <v>1.9729390526236817E-2</v>
      </c>
      <c r="FQ167" s="282">
        <f t="shared" si="760"/>
        <v>0.22688799105172341</v>
      </c>
      <c r="FR167" s="283">
        <f>各项系数!$F$76/4*($MQ167^2-$MN167^2*$EG167-$MO167^2*$EO167)*10^-2</f>
        <v>0.11020023919005673</v>
      </c>
      <c r="FS167" s="284">
        <f t="shared" si="652"/>
        <v>1</v>
      </c>
      <c r="FT167" s="285">
        <f t="shared" si="604"/>
        <v>0.11020023919005673</v>
      </c>
      <c r="FU167" s="302">
        <f>$FT167*(VLOOKUP($FT$9,各项系数!$D$1:$F$143,3,0))*10^-3*10^2*各项系数!$J$55</f>
        <v>1.3157908559292773E-2</v>
      </c>
      <c r="FV167" s="303">
        <v>1</v>
      </c>
      <c r="FW167" s="304">
        <f t="shared" si="761"/>
        <v>1.3157908559292773E-2</v>
      </c>
      <c r="FX167" s="285">
        <f>FW167*(VLOOKUP($FT$9,各项系数!$D$1:$F$143,2,0))</f>
        <v>3.9473725677878317E-2</v>
      </c>
      <c r="FY167" s="302">
        <f>IF($BK167&lt;&gt;$FY$9,0,各项系数!$F$76/4*($MS167^2-$MQ167^2)*10^-2*(VLOOKUP($FY$9,各项系数!$D$1:$F$143,3,0))*10^-3*10^2)*各项系数!$J$4</f>
        <v>0</v>
      </c>
      <c r="FZ167" s="303">
        <v>1</v>
      </c>
      <c r="GA167" s="304">
        <f t="shared" si="762"/>
        <v>0</v>
      </c>
      <c r="GB167" s="285">
        <f>GA167*(VLOOKUP($FY$9,各项系数!$D$1:$F$143,2,0))</f>
        <v>0</v>
      </c>
      <c r="GC167" s="302">
        <f>IF($BK167&lt;&gt;$GC$9,0,各项系数!$F$76/4*($MS167^2-$MQ167^2)*10^-2*(VLOOKUP($GC$9,各项系数!$D$1:$F$143,3,0))*10^-3*10^2)*各项系数!$J$4</f>
        <v>1.8357918122447977E-3</v>
      </c>
      <c r="GD167" s="303">
        <v>1</v>
      </c>
      <c r="GE167" s="304">
        <f t="shared" si="763"/>
        <v>1.8357918122447977E-3</v>
      </c>
      <c r="GF167" s="285">
        <f>GE167*(VLOOKUP($GC$9,各项系数!$D$1:$F$143,2,0))</f>
        <v>2.368171437795789E-2</v>
      </c>
      <c r="GG167" s="302">
        <f>IF($BK167&lt;&gt;$GG$9,0,各项系数!$F$76/4*($MS167^2-$MQ167^2)*10^-2*(VLOOKUP($GG$9,各项系数!$D$1:$F$143,3,0))*10^-3*10^2)*各项系数!$J$4</f>
        <v>0</v>
      </c>
      <c r="GH167" s="303">
        <v>1</v>
      </c>
      <c r="GI167" s="304">
        <f t="shared" si="764"/>
        <v>0</v>
      </c>
      <c r="GJ167" s="285">
        <f>GI167*(VLOOKUP($GG$9,各项系数!$D$1:$F$143,2,0))</f>
        <v>0</v>
      </c>
      <c r="GK167" s="302">
        <f>IF($BK167&lt;&gt;$GK$9,0,各项系数!$F$76/4*($MS167^2-$MQ167^2)*10^-2*(VLOOKUP($GK$9,各项系数!$D$1:$F$143,3,0))*10^-3*10^2)*各项系数!$J$4</f>
        <v>0</v>
      </c>
      <c r="GL167" s="303">
        <v>1</v>
      </c>
      <c r="GM167" s="304">
        <f t="shared" si="765"/>
        <v>0</v>
      </c>
      <c r="GN167" s="285">
        <f>GM167*(VLOOKUP($GK$9,各项系数!$D$1:$F$143,2,0))</f>
        <v>0</v>
      </c>
      <c r="GO167" s="304">
        <f t="shared" si="766"/>
        <v>1.8357918122447977E-3</v>
      </c>
      <c r="GP167" s="304">
        <f t="shared" si="767"/>
        <v>2.368171437795789E-2</v>
      </c>
      <c r="GQ167" s="315">
        <f>各项系数!$F$76/4*($MU167^2-$MS167^2)*10^-2*(VLOOKUP($S167,各项系数!$D$1:$F$143,3,0))*10^-3*10^2*各项系数!$J$4</f>
        <v>0.10896043528508473</v>
      </c>
      <c r="GR167" s="303">
        <v>1</v>
      </c>
      <c r="GS167" s="304">
        <f t="shared" si="768"/>
        <v>0.10896043528508473</v>
      </c>
      <c r="GT167" s="304">
        <f t="shared" si="696"/>
        <v>1</v>
      </c>
      <c r="GU167" s="304">
        <f>ROUND($GS167*(VLOOKUP($S167,各项系数!$D$1:$F$143,2,0))+$E$3*GS167,GT167)</f>
        <v>0.6</v>
      </c>
      <c r="GV167" s="315">
        <f>各项系数!$F$76/4*($MT167^2-$MS167^2)*10^-2*(VLOOKUP($GV$9,各项系数!$D$1:$F$143,3,0))*10^-3*10^2*各项系数!$J$4*PI()/4*R167</f>
        <v>9.6509005931446276E-3</v>
      </c>
      <c r="GW167" s="303">
        <v>1</v>
      </c>
      <c r="GX167" s="304">
        <f t="shared" si="769"/>
        <v>9.6509005931446276E-3</v>
      </c>
      <c r="GY167" s="304">
        <f>$GX167*(VLOOKUP($GV$9,各项系数!$D$1:$F$143,2,0))</f>
        <v>0.65143579003726237</v>
      </c>
      <c r="GZ167" s="315">
        <f>各项系数!$F$76/4*($MV167^2-$MS167^2)*10^-2*(VLOOKUP($GZ$9,各项系数!$D$1:$F$143,3,0))*10^-3*10^2*各项系数!$J$4</f>
        <v>4.3670746164873174E-2</v>
      </c>
      <c r="HA167" s="303">
        <v>1</v>
      </c>
      <c r="HB167" s="304">
        <f t="shared" si="653"/>
        <v>4.3670746164873174E-2</v>
      </c>
      <c r="HC167" s="304">
        <f>HB167*(VLOOKUP($GZ$9,各项系数!$D$1:$F$143,2,0))</f>
        <v>0.74240268480284399</v>
      </c>
      <c r="HD167" s="315">
        <f>各项系数!$F$76/4*($MW167^2-$MT167^2)*10^-2*(VLOOKUP($HD$9,各项系数!$D$1:$F$143,3,0))*10^-3*10^2*各项系数!$J$4</f>
        <v>4.4540992462658795E-2</v>
      </c>
      <c r="HE167" s="303">
        <v>1</v>
      </c>
      <c r="HF167" s="304">
        <f t="shared" si="654"/>
        <v>4.4540992462658795E-2</v>
      </c>
      <c r="HG167" s="304">
        <f>HF167*(VLOOKUP($HD$9,各项系数!$D$1:$F$143,2,0))</f>
        <v>0.75719687186519946</v>
      </c>
      <c r="HH167" s="315">
        <f>各项系数!$F$76/4*($MV167^2-$MS167^2)*10^-2*(VLOOKUP($HH$9,各项系数!$D$1:$F$143,3,0))*10^-3*10^2*各项系数!$J$4</f>
        <v>4.3670746164873174E-2</v>
      </c>
      <c r="HI167" s="322">
        <v>1</v>
      </c>
      <c r="HJ167" s="304">
        <f t="shared" si="655"/>
        <v>4.3670746164873174E-2</v>
      </c>
      <c r="HK167" s="304">
        <f>HJ167*(VLOOKUP($HH$9,各项系数!$D$1:$F$143,2,0))</f>
        <v>0.74240268480284399</v>
      </c>
      <c r="HL167" s="315">
        <f>各项系数!$F$76/4*($MW167^2-$MT167^2)*10^-2*(VLOOKUP($HL$9,各项系数!$D$1:$F$143,3,0))*10^-3*10^2*各项系数!$J$4</f>
        <v>4.4540992462658795E-2</v>
      </c>
      <c r="HM167" s="322">
        <v>1</v>
      </c>
      <c r="HN167" s="304">
        <f t="shared" si="605"/>
        <v>4.4540992462658795E-2</v>
      </c>
      <c r="HO167" s="304">
        <f>HN167*(VLOOKUP($HL$9,各项系数!$D$1:$F$143,2,0))</f>
        <v>0.75719687186519946</v>
      </c>
      <c r="HP167" s="315">
        <f>各项系数!$F$76/4*($MV167^2-$MS167^2)*10^-2*(VLOOKUP(AN167,各项系数!$D$1:$F$143,3,0))*10^-3*10^2*各项系数!$J$4</f>
        <v>4.4273101284388675E-2</v>
      </c>
      <c r="HQ167" s="303">
        <v>1</v>
      </c>
      <c r="HR167" s="304">
        <f t="shared" si="770"/>
        <v>4.4273101284388675E-2</v>
      </c>
      <c r="HS167" s="304">
        <f>HR167*(VLOOKUP(AN167,各项系数!$D$1:$F$143,2,0))</f>
        <v>0.44273101284388672</v>
      </c>
      <c r="HT167" s="315">
        <f>各项系数!$F$76/4*($MW167^2-$MT167^2)*10^-2*(VLOOKUP(AN167,各项系数!$D$1:$F$143,3,0))*10^-3*10^2*各项系数!$J$4</f>
        <v>4.5155350979385118E-2</v>
      </c>
      <c r="HU167" s="303">
        <v>1</v>
      </c>
      <c r="HV167" s="304">
        <f t="shared" si="771"/>
        <v>4.5155350979385118E-2</v>
      </c>
      <c r="HW167" s="304">
        <f>HV167*(VLOOKUP(AN167,各项系数!$D$1:$F$143,2,0))</f>
        <v>0.45155350979385117</v>
      </c>
      <c r="HX167" s="315">
        <f>各项系数!$F$76/4*($MV167^2-$MS167^2)*10^-2*(VLOOKUP($HX$9,各项系数!$D$1:$F$143,3,0))*10^-3*10^2*各项系数!$J$4</f>
        <v>4.4273101284388675E-2</v>
      </c>
      <c r="HY167" s="322">
        <v>1</v>
      </c>
      <c r="HZ167" s="304">
        <f t="shared" si="772"/>
        <v>4.4273101284388675E-2</v>
      </c>
      <c r="IA167" s="304">
        <f>HZ167*(VLOOKUP($HX$9,各项系数!$D$1:$F$143,2,0))</f>
        <v>0.48700411412827543</v>
      </c>
      <c r="IB167" s="315">
        <f>各项系数!$F$76/4*($MW167^2-$MT167^2)*10^-2*(VLOOKUP($IB$9,各项系数!$D$1:$F$143,3,0))*10^-3*10^2*各项系数!$J$4</f>
        <v>4.5155350979385118E-2</v>
      </c>
      <c r="IC167" s="322">
        <v>1</v>
      </c>
      <c r="ID167" s="304">
        <f t="shared" si="773"/>
        <v>4.5155350979385118E-2</v>
      </c>
      <c r="IE167" s="304">
        <f>ID167*(VLOOKUP($IB$9,各项系数!$D$1:$F$143,2,0))</f>
        <v>0.49670886077323628</v>
      </c>
      <c r="IF167" s="328"/>
      <c r="IG167" s="315">
        <f t="shared" si="656"/>
        <v>9.2795263175222617E-3</v>
      </c>
      <c r="IH167" s="303">
        <v>1</v>
      </c>
      <c r="II167" s="304">
        <f t="shared" si="774"/>
        <v>9.2795263175222617E-3</v>
      </c>
      <c r="IJ167" s="304">
        <f>II167*(VLOOKUP($IG$8,各项系数!$D$1:$F$143,2,0))</f>
        <v>0.23198815793805655</v>
      </c>
      <c r="IK167" s="315">
        <f>(各项系数!$F$76/4*($MX167^2-$MK167^2)*$EG167)*10^-2*(VLOOKUP($IG$8,各项系数!$D$1:$F$143,3,0))*10^-3*10^2*各项系数!$J$4</f>
        <v>9.2795263175222617E-3</v>
      </c>
      <c r="IL167" s="303">
        <f>IK167*(VLOOKUP($IG$8,各项系数!$D$1:$F$143,2,0))</f>
        <v>0.23198815793805655</v>
      </c>
      <c r="IM167" s="304">
        <f>(各项系数!$F$76/4*(($MM167+3*$X167)^2-MM167^2)*$EO167)*10^-2*(VLOOKUP($IG$8,各项系数!$D$1:$F$143,3,0))*10^-3*10^2*各项系数!$J$4</f>
        <v>0</v>
      </c>
      <c r="IN167" s="303">
        <f>IM167*(VLOOKUP($IG$8,各项系数!$D$1:$F$143,2,0))</f>
        <v>0</v>
      </c>
      <c r="IO167" s="315">
        <f>各项系数!$F$76/4*($MZ167^2-$MX167^2)*10^-2*(VLOOKUP(L167,各项系数!$D$1:$F$143,3,0))*10^-3*10^2*$ES167*各项系数!$J$4</f>
        <v>2.5506025433951592E-2</v>
      </c>
      <c r="IP167" s="303">
        <v>1</v>
      </c>
      <c r="IQ167" s="304">
        <f t="shared" si="775"/>
        <v>2.5506025433951592E-2</v>
      </c>
      <c r="IR167" s="285">
        <f>IQ167*(VLOOKUP(L167,各项系数!$D$1:$F$143,2,0))</f>
        <v>0.29331929249044331</v>
      </c>
      <c r="IS167" s="315">
        <f>IF($L167&lt;&gt;$IS$9,0,各项系数!$F$76/4*($MZ167^2-$MX167^2)*10^-2*各项系数!$F$12*10^-3*10^2)*$ES167*各项系数!$J$4</f>
        <v>0</v>
      </c>
      <c r="IT167" s="303">
        <v>1</v>
      </c>
      <c r="IU167" s="304">
        <f t="shared" si="776"/>
        <v>0</v>
      </c>
      <c r="IV167" s="285">
        <f>IU167*各项系数!$E$12</f>
        <v>0</v>
      </c>
      <c r="IW167" s="302">
        <f t="shared" si="777"/>
        <v>2.5506025433951592E-2</v>
      </c>
      <c r="IX167" s="302">
        <f t="shared" si="778"/>
        <v>0.29331929249044331</v>
      </c>
      <c r="IY167" s="339">
        <f>各项系数!$F$76/4*($NB167^2-$MZ167^2*$EG167-$NA167^2*$EO167)*10^-2</f>
        <v>0.16354999016384464</v>
      </c>
      <c r="IZ167" s="284">
        <f t="shared" si="697"/>
        <v>1</v>
      </c>
      <c r="JA167" s="285">
        <f t="shared" si="606"/>
        <v>0.16354999016384464</v>
      </c>
      <c r="JB167" s="282">
        <f>IF($DE167&lt;&gt;$JB$9,0,$JA167*各项系数!$F$32*10^-3*10^2)*各项系数!$J$4</f>
        <v>0</v>
      </c>
      <c r="JC167" s="102">
        <v>1</v>
      </c>
      <c r="JD167" s="189">
        <f t="shared" si="779"/>
        <v>0</v>
      </c>
      <c r="JE167" s="262">
        <f>JD167*各项系数!$E$32</f>
        <v>0</v>
      </c>
      <c r="JF167" s="282">
        <f>IF($DE167&lt;&gt;$JF$9,0,$JA167*VLOOKUP($JF$9,各项系数!$D$4:$F$540,2,0)*10^-3*10^2)*各项系数!$J$4</f>
        <v>8.1366120106512702E-2</v>
      </c>
      <c r="JG167" s="102">
        <v>1</v>
      </c>
      <c r="JH167" s="189">
        <f t="shared" si="607"/>
        <v>8.1366120106512702E-2</v>
      </c>
      <c r="JI167" s="262">
        <f>JH167*VLOOKUP($JF$9,各项系数!$D$4:$F$540,3,0)</f>
        <v>9.7639344127815234E-2</v>
      </c>
      <c r="JJ167" s="282">
        <f t="shared" si="780"/>
        <v>8.1366120106512702E-2</v>
      </c>
      <c r="JK167" s="189">
        <f t="shared" si="781"/>
        <v>9.7639344127815234E-2</v>
      </c>
      <c r="JL167" s="282">
        <f>IF($DF167&lt;&gt;$JL$9,0,各项系数!$F$76/4*($NE167^2-$NC167^2)*10^-2*各项系数!$F$39*10^-3*10^2)*各项系数!$J$4</f>
        <v>9.2558892164814862E-4</v>
      </c>
      <c r="JM167" s="102">
        <v>1</v>
      </c>
      <c r="JN167" s="189">
        <f t="shared" si="782"/>
        <v>9.2558892164814862E-4</v>
      </c>
      <c r="JO167" s="262">
        <f>JN167*各项系数!$E$39</f>
        <v>1.8511778432962971E-2</v>
      </c>
      <c r="JP167" s="282">
        <f>IF($DF167&lt;&gt;$JP$9,0,各项系数!$F$76/4*($NE167^2-$NC167^2)*10^-2*各项系数!$F$36*10^-3*10^2)*各项系数!$J$4</f>
        <v>0</v>
      </c>
      <c r="JQ167" s="102">
        <v>1</v>
      </c>
      <c r="JR167" s="189">
        <f t="shared" si="783"/>
        <v>0</v>
      </c>
      <c r="JS167" s="262">
        <f>JR167*各项系数!$E$36</f>
        <v>0</v>
      </c>
      <c r="JT167" s="282">
        <f>IF($DF167&lt;&gt;$JT$9,0,各项系数!$F$76/4*($NE167^2-$NC167^2)*10^-2*各项系数!$F$40*10^-3*10^2)*各项系数!$J$4</f>
        <v>0</v>
      </c>
      <c r="JU167" s="102">
        <v>1</v>
      </c>
      <c r="JV167" s="189">
        <f t="shared" si="784"/>
        <v>0</v>
      </c>
      <c r="JW167" s="262">
        <f>JV167*各项系数!$E$40</f>
        <v>0</v>
      </c>
      <c r="JX167" s="282">
        <f>IF($DF167&lt;&gt;$JX$9,0,各项系数!$F$76/4*($NE167^2-$NC167^2)*10^-2*各项系数!$F$38*10^-3*10^2)*各项系数!$J$4</f>
        <v>0</v>
      </c>
      <c r="JY167" s="102">
        <v>1</v>
      </c>
      <c r="JZ167" s="189">
        <f t="shared" si="785"/>
        <v>0</v>
      </c>
      <c r="KA167" s="262">
        <f>JZ167*各项系数!$E$38</f>
        <v>0</v>
      </c>
      <c r="KB167" s="282">
        <f>IF($DF167&lt;&gt;$KB$9,0,各项系数!$F$76/4*($NE167^2-$NC167^2)*10^-2*各项系数!$F$41*10^-3*10^2)*各项系数!$J$4</f>
        <v>0</v>
      </c>
      <c r="KC167" s="102">
        <v>1</v>
      </c>
      <c r="KD167" s="189">
        <f t="shared" si="786"/>
        <v>0</v>
      </c>
      <c r="KE167" s="262">
        <f>KD167*各项系数!$E$41</f>
        <v>0</v>
      </c>
      <c r="KF167" s="189">
        <f t="shared" si="787"/>
        <v>9.2558892164814862E-4</v>
      </c>
      <c r="KG167" s="189">
        <f t="shared" si="788"/>
        <v>1.8511778432962971E-2</v>
      </c>
      <c r="KH167" s="235">
        <f>各项系数!$F$76/4*($NG167^2-$NE167^2)*10^-2*各项系数!$F$44*10^-3*10^2*各项系数!$J$4*0.75*$U167</f>
        <v>0.39358523445312488</v>
      </c>
      <c r="KI167" s="102">
        <v>1</v>
      </c>
      <c r="KJ167" s="189">
        <f t="shared" si="789"/>
        <v>0.39358523445312488</v>
      </c>
      <c r="KK167" s="189">
        <f>ROUND(KJ167*各项系数!$E$43,GT167)</f>
        <v>2.2999999999999998</v>
      </c>
      <c r="KL167" s="235">
        <f>各项系数!$F$76/4*($NF167^2-$NE167^2)*10^-2*各项系数!$F$46*10^-3*10^2*各项系数!$J$4*PI()/4*R167</f>
        <v>1.1768499826463753E-2</v>
      </c>
      <c r="KM167" s="102">
        <v>1</v>
      </c>
      <c r="KN167" s="189">
        <f t="shared" si="790"/>
        <v>1.1768499826463753E-2</v>
      </c>
      <c r="KO167" s="189">
        <f>KN167*各项系数!$E$46</f>
        <v>0.79437373828630331</v>
      </c>
      <c r="KP167" s="235">
        <f>各项系数!$F$76/4*($NH167^2-$NE167^2)*10^-2*(VLOOKUP($KP$9,各项系数!$D$1:$F$143,3,0))*10^-3*10^2*各项系数!$J$4</f>
        <v>5.1916329836391786E-2</v>
      </c>
      <c r="KQ167" s="102">
        <v>1</v>
      </c>
      <c r="KR167" s="189">
        <f t="shared" si="657"/>
        <v>5.1916329836391786E-2</v>
      </c>
      <c r="KS167" s="189">
        <f>KR167*(VLOOKUP($KP$9,各项系数!$D$1:$F$143,2,0))</f>
        <v>0.88257760721866041</v>
      </c>
      <c r="KT167" s="235">
        <f>各项系数!$F$76/4*($NI167^2-$NF167^2)*10^-2*(VLOOKUP($KT$9,各项系数!$D$1:$F$143,3,0))*10^-3*10^2*各项系数!$J$4</f>
        <v>5.2786576134177372E-2</v>
      </c>
      <c r="KU167" s="102">
        <v>1</v>
      </c>
      <c r="KV167" s="189">
        <f t="shared" si="658"/>
        <v>5.2786576134177372E-2</v>
      </c>
      <c r="KW167" s="189">
        <f>KV167*(VLOOKUP($KT$9,各项系数!$D$1:$F$143,2,0))</f>
        <v>0.89737179428101532</v>
      </c>
      <c r="KX167" s="189">
        <f>各项系数!$F$76/4*($NH167^2-$NE167^2)*10^-2*(VLOOKUP($KX$9,各项系数!$D$1:$F$143,3,0))*10^-3*10^2*各项系数!$J$4</f>
        <v>5.1916329836391786E-2</v>
      </c>
      <c r="KY167" s="353">
        <v>1</v>
      </c>
      <c r="KZ167" s="189">
        <f t="shared" si="659"/>
        <v>5.1916329836391786E-2</v>
      </c>
      <c r="LA167" s="189">
        <f>KZ167*(VLOOKUP($KX$9,各项系数!$D$1:$F$143,2,0))</f>
        <v>0.88257760721866041</v>
      </c>
      <c r="LB167" s="189">
        <f>各项系数!$F$76/4*($NI167^2-$NF167^2)*10^-2*(VLOOKUP($LB$9,各项系数!$D$1:$F$143,3,0))*10^-3*10^2*各项系数!$J$4</f>
        <v>5.2786576134177372E-2</v>
      </c>
      <c r="LC167" s="353">
        <v>1</v>
      </c>
      <c r="LD167" s="189">
        <f t="shared" si="660"/>
        <v>5.2786576134177372E-2</v>
      </c>
      <c r="LE167" s="189">
        <f>LD167*(VLOOKUP($LB$9,各项系数!$D$1:$F$143,2,0))</f>
        <v>0.89737179428101532</v>
      </c>
      <c r="LF167" s="235">
        <f>各项系数!$F$76/4*($NH167^2-$NE167^2)*10^-2*(VLOOKUP(AN167,各项系数!$D$1:$F$143,3,0))*10^-3*10^2*各项系数!$J$4</f>
        <v>5.263241714447995E-2</v>
      </c>
      <c r="LG167" s="102">
        <v>1</v>
      </c>
      <c r="LH167" s="189">
        <f t="shared" si="791"/>
        <v>5.263241714447995E-2</v>
      </c>
      <c r="LI167" s="189">
        <f>LH167*(VLOOKUP(AN167,各项系数!$D$1:$F$143,2,0))</f>
        <v>0.52632417144479948</v>
      </c>
      <c r="LJ167" s="235">
        <f>各项系数!$F$76/4*($NI167^2-$NF167^2)*10^-2*(VLOOKUP(AN167,各项系数!$D$1:$F$143,3,0))*10^-3*10^2*各项系数!$J$4</f>
        <v>5.3514666839476373E-2</v>
      </c>
      <c r="LK167" s="102">
        <v>1</v>
      </c>
      <c r="LL167" s="189">
        <f t="shared" si="792"/>
        <v>5.3514666839476373E-2</v>
      </c>
      <c r="LM167" s="189">
        <f>LL167*(VLOOKUP(AN167,各项系数!$D$1:$F$143,2,0))</f>
        <v>0.53514666839476377</v>
      </c>
      <c r="LN167" s="189">
        <f>各项系数!$F$76/4*($NH167^2-$NE167^2)*10^-2*(VLOOKUP($LN$9,各项系数!$D$1:$F$143,3,0))*10^-3*10^2*各项系数!$J$4</f>
        <v>5.263241714447995E-2</v>
      </c>
      <c r="LO167" s="353">
        <v>1</v>
      </c>
      <c r="LP167" s="189">
        <f t="shared" si="793"/>
        <v>5.263241714447995E-2</v>
      </c>
      <c r="LQ167" s="189">
        <f>LP167*(VLOOKUP($LN$9,各项系数!$D$1:$F$143,2,0))</f>
        <v>0.57895658858927945</v>
      </c>
      <c r="LR167" s="189">
        <f>各项系数!$F$76/4*($NI167^2-$NF167^2)*10^-2*(VLOOKUP($LR$9,各项系数!$D$1:$F$143,3,0))*10^-3*10^2*各项系数!$J$4</f>
        <v>5.3514666839476373E-2</v>
      </c>
      <c r="LS167" s="353">
        <v>1</v>
      </c>
      <c r="LT167" s="189">
        <f t="shared" si="794"/>
        <v>5.3514666839476373E-2</v>
      </c>
      <c r="LU167" s="189">
        <f>LT167*(VLOOKUP($LR$9,各项系数!$D$1:$F$143,2,0))</f>
        <v>0.58866133523424014</v>
      </c>
      <c r="LV167" s="227">
        <f t="shared" si="661"/>
        <v>5.7189948700000004</v>
      </c>
      <c r="LW167" s="227">
        <f t="shared" si="662"/>
        <v>5.7189948700000004</v>
      </c>
      <c r="LX167" s="227">
        <f t="shared" si="663"/>
        <v>2.6984533393448795</v>
      </c>
      <c r="LY167" s="227">
        <f t="shared" si="664"/>
        <v>0</v>
      </c>
      <c r="LZ167" s="374">
        <f t="shared" si="608"/>
        <v>1</v>
      </c>
      <c r="MA167" s="375">
        <f t="shared" si="609"/>
        <v>5.7189948700000004</v>
      </c>
      <c r="MB167" s="375">
        <f t="shared" si="665"/>
        <v>1.34922667</v>
      </c>
      <c r="MC167" s="227">
        <f t="shared" si="666"/>
        <v>0</v>
      </c>
      <c r="MD167" s="227">
        <f t="shared" si="667"/>
        <v>0</v>
      </c>
      <c r="ME167" s="227">
        <f t="shared" si="668"/>
        <v>0</v>
      </c>
      <c r="MF167" s="227">
        <f t="shared" si="669"/>
        <v>0</v>
      </c>
      <c r="MG167" s="374">
        <f t="shared" si="670"/>
        <v>1</v>
      </c>
      <c r="MH167" s="375">
        <f t="shared" si="610"/>
        <v>0</v>
      </c>
      <c r="MI167" s="375">
        <f t="shared" si="671"/>
        <v>0</v>
      </c>
      <c r="MJ167" s="189">
        <f t="shared" si="611"/>
        <v>1.34922667</v>
      </c>
      <c r="MK167" s="189">
        <f t="shared" si="672"/>
        <v>1.34922667</v>
      </c>
      <c r="ML167" s="189">
        <f t="shared" si="795"/>
        <v>0</v>
      </c>
      <c r="MM167" s="189">
        <f t="shared" si="612"/>
        <v>0</v>
      </c>
      <c r="MN167" s="189">
        <f t="shared" si="613"/>
        <v>2.7492266699999997</v>
      </c>
      <c r="MO167" s="189">
        <f t="shared" si="673"/>
        <v>0</v>
      </c>
      <c r="MP167" s="189">
        <f t="shared" si="674"/>
        <v>6.65312854</v>
      </c>
      <c r="MQ167" s="189">
        <f t="shared" si="796"/>
        <v>6.65312854</v>
      </c>
      <c r="MR167" s="246">
        <f t="shared" si="675"/>
        <v>6.65312854</v>
      </c>
      <c r="MS167" s="380">
        <f t="shared" si="614"/>
        <v>6.8291285400000001</v>
      </c>
      <c r="MT167" s="380">
        <f t="shared" si="615"/>
        <v>6.9891285400000003</v>
      </c>
      <c r="MU167" s="380">
        <f t="shared" si="616"/>
        <v>8.0291285400000003</v>
      </c>
      <c r="MV167" s="380">
        <f t="shared" si="617"/>
        <v>9.2291285399999996</v>
      </c>
      <c r="MW167" s="380">
        <f t="shared" si="618"/>
        <v>9.3891285399999997</v>
      </c>
      <c r="MX167" s="254">
        <f t="shared" si="619"/>
        <v>1.9492266700000001</v>
      </c>
      <c r="MY167" s="254">
        <f t="shared" si="620"/>
        <v>0</v>
      </c>
      <c r="MZ167" s="189">
        <f t="shared" si="621"/>
        <v>3.3492266700000002</v>
      </c>
      <c r="NA167" s="189">
        <f t="shared" si="622"/>
        <v>0</v>
      </c>
      <c r="NB167" s="189">
        <f t="shared" si="676"/>
        <v>8.1051285400000008</v>
      </c>
      <c r="NC167" s="254">
        <f t="shared" si="797"/>
        <v>8.1051285400000008</v>
      </c>
      <c r="ND167" s="246">
        <f t="shared" si="677"/>
        <v>8.1051285400000008</v>
      </c>
      <c r="NE167" s="386">
        <f t="shared" si="678"/>
        <v>8.345128540000001</v>
      </c>
      <c r="NF167" s="380">
        <f t="shared" si="623"/>
        <v>8.5051285400000012</v>
      </c>
      <c r="NG167" s="387">
        <f t="shared" si="624"/>
        <v>9.5451285400000003</v>
      </c>
      <c r="NH167" s="254">
        <f t="shared" si="625"/>
        <v>10.745128540000001</v>
      </c>
      <c r="NI167" s="380">
        <f t="shared" si="626"/>
        <v>10.905128540000002</v>
      </c>
      <c r="NK167" s="388">
        <f t="shared" si="627"/>
        <v>0.12958384743993825</v>
      </c>
      <c r="NL167" s="388">
        <f t="shared" si="628"/>
        <v>4.046265863335722</v>
      </c>
      <c r="NM167" s="388">
        <f t="shared" si="629"/>
        <v>0.12958384743993825</v>
      </c>
      <c r="NN167" s="388">
        <f t="shared" si="630"/>
        <v>4.0905389646201105</v>
      </c>
      <c r="NO167" s="388">
        <f t="shared" si="631"/>
        <v>0.22029733318188985</v>
      </c>
      <c r="NP167" s="388">
        <f t="shared" si="632"/>
        <v>4.4812741638183526</v>
      </c>
      <c r="NQ167" s="388">
        <f t="shared" si="633"/>
        <v>0.22029733318188985</v>
      </c>
      <c r="NR167" s="388">
        <f t="shared" si="634"/>
        <v>4.5339065809628334</v>
      </c>
      <c r="NS167" s="388">
        <f t="shared" si="635"/>
        <v>0.13923474803308289</v>
      </c>
      <c r="NT167" s="388">
        <f t="shared" si="636"/>
        <v>0.13923474803308289</v>
      </c>
      <c r="NU167" s="388">
        <f t="shared" si="637"/>
        <v>0.23206583300835359</v>
      </c>
      <c r="NV167" s="388">
        <f t="shared" si="638"/>
        <v>0.23206583300835359</v>
      </c>
      <c r="NW167">
        <f t="shared" si="639"/>
        <v>0.23854428272502298</v>
      </c>
      <c r="NX167">
        <f>各项系数!$M$9*NK167</f>
        <v>3.8875154231981478E-2</v>
      </c>
      <c r="NY167">
        <f t="shared" si="640"/>
        <v>0.13923474803308289</v>
      </c>
    </row>
    <row r="168" spans="1:389" ht="15" hidden="1" customHeight="1">
      <c r="A168" s="69"/>
      <c r="B168" s="70"/>
      <c r="C168" s="69"/>
      <c r="D168" s="102" t="s">
        <v>141</v>
      </c>
      <c r="E168" s="61">
        <f t="shared" si="687"/>
        <v>9.9989120099999997</v>
      </c>
      <c r="F168" s="62">
        <f t="shared" si="798"/>
        <v>134.922667214547</v>
      </c>
      <c r="G168" s="16"/>
      <c r="H168" s="16"/>
      <c r="I168" s="145">
        <v>0</v>
      </c>
      <c r="J168" s="16"/>
      <c r="K168" s="16"/>
      <c r="L168" s="97" t="s">
        <v>469</v>
      </c>
      <c r="M168" s="103">
        <f t="shared" si="582"/>
        <v>0.7</v>
      </c>
      <c r="N168" s="103">
        <f t="shared" si="583"/>
        <v>0</v>
      </c>
      <c r="O168" s="53">
        <f t="shared" ref="O168:O177" si="801">$O$36</f>
        <v>0.08</v>
      </c>
      <c r="P168" s="99">
        <v>0.1</v>
      </c>
      <c r="Q168" s="133">
        <f t="shared" si="754"/>
        <v>0.1</v>
      </c>
      <c r="R168" s="406">
        <v>0.8</v>
      </c>
      <c r="S168" s="142" t="str">
        <f>各项系数!$D$43</f>
        <v>钢带</v>
      </c>
      <c r="T168" s="102">
        <v>0.2</v>
      </c>
      <c r="U168" s="62">
        <v>4</v>
      </c>
      <c r="V168" s="143"/>
      <c r="W168" s="141">
        <f t="shared" si="799"/>
        <v>1.2</v>
      </c>
      <c r="X168" s="135">
        <f t="shared" si="755"/>
        <v>0.2</v>
      </c>
      <c r="Y168" s="135"/>
      <c r="Z168" s="168"/>
      <c r="AA168" s="153">
        <v>1</v>
      </c>
      <c r="AB168" s="153">
        <f>PI()*EJ168*EJ168/4*EH168*(1-H168)*AA168*各项系数!$F$5*各项系数!$J$4*10^-7</f>
        <v>1.2646913814443796E-2</v>
      </c>
      <c r="AC168" s="153">
        <f t="shared" si="704"/>
        <v>134.922667214547</v>
      </c>
      <c r="AD168" s="153">
        <f t="shared" si="584"/>
        <v>1.4297487227412424</v>
      </c>
      <c r="AE168" s="153">
        <f>POWER(4*EU168/PI()/EG168/10^-7/EH168/(1-H168)/各项系数!$F$5/各项系数!$J$4,0.5)</f>
        <v>134.922667214547</v>
      </c>
      <c r="AF168" s="69">
        <v>1</v>
      </c>
      <c r="AG168" s="69">
        <f>IF(EM168=0,0,PI()*ER168*ER168/4*EP168*(1-K168)*(1+AF168)*各项系数!$F$5*各项系数!$J$4*10^-7)</f>
        <v>0</v>
      </c>
      <c r="AH168" s="69">
        <f t="shared" si="705"/>
        <v>0</v>
      </c>
      <c r="AI168" s="69">
        <f t="shared" si="641"/>
        <v>0</v>
      </c>
      <c r="AJ168" s="69">
        <f>IF(OR(EP168="",EP168=0),0,POWER(4*EW168/PI()/EO168/10^-7/EP168/(1-K168)/各项系数!$F$5/各项系数!$J$4,0.5))</f>
        <v>0</v>
      </c>
      <c r="AK168" s="69" t="str">
        <f t="shared" si="585"/>
        <v>√</v>
      </c>
      <c r="AL168" s="69">
        <f t="shared" si="706"/>
        <v>5.2787693746418833</v>
      </c>
      <c r="AM168" s="188">
        <f t="shared" si="707"/>
        <v>1.5</v>
      </c>
      <c r="AN168" s="97" t="s">
        <v>486</v>
      </c>
      <c r="AO168" s="196">
        <f>AP168+各项系数!$M$9*$NK168</f>
        <v>5.1752640927861604</v>
      </c>
      <c r="AP168" s="196">
        <f>AQ168*(1+$BI168+(VLOOKUP($AM168,$A$12:$B$323,2,0))+各项系数!$J$6+各项系数!$M$5)*(1+$E$2)</f>
        <v>5.1288568912393524</v>
      </c>
      <c r="AQ168" s="197">
        <f>AR168+各项系数!$L$9*$NK168</f>
        <v>5.1817103366734214</v>
      </c>
      <c r="AR168" s="197">
        <f>AS168*(1+$BJ168+各项系数!$J$5+各项系数!$L$5)</f>
        <v>5.1353031351266134</v>
      </c>
      <c r="AS168" s="197">
        <f t="shared" si="642"/>
        <v>4.9857311991520517</v>
      </c>
      <c r="AT168" s="196">
        <f>AU168+各项系数!$M$9*$NM168</f>
        <v>5.5100683172407372</v>
      </c>
      <c r="AU168" s="196">
        <f>AV168*(1+$BI168+(VLOOKUP($AM168,$A$12:$B$323,2,0))+各项系数!$J$6+各项系数!$M$5)*(1+$E$2)</f>
        <v>5.4636611156939292</v>
      </c>
      <c r="AV168" s="197">
        <f>AW168+各项系数!$L$9*$NM168</f>
        <v>5.5199647562072434</v>
      </c>
      <c r="AW168" s="197">
        <f>AX168*(1+$BJ168+各项系数!$J$5+各项系数!$L$5)</f>
        <v>5.4735575546604354</v>
      </c>
      <c r="AX168" s="197">
        <f t="shared" si="643"/>
        <v>5.3141335482140146</v>
      </c>
      <c r="AY168" s="196">
        <f>AZ168+各项系数!$M$9*$NS168</f>
        <v>5.9287911962818436</v>
      </c>
      <c r="AZ168" s="196">
        <f>BA168*(1+$BI168+(VLOOKUP($AM168,$A$12:$B$214,2,0))+各项系数!$J$6+各项系数!$M$5)*(1+$E$2)</f>
        <v>5.879166146809224</v>
      </c>
      <c r="BA168" s="197">
        <f>BB168+各项系数!$L$9*$NS168</f>
        <v>5.9397516132645221</v>
      </c>
      <c r="BB168" s="197">
        <f>BC168*(1+$BJ168+各项系数!$J$5+各项系数!$L$5)</f>
        <v>5.8901265637919025</v>
      </c>
      <c r="BC168" s="199">
        <f t="shared" si="644"/>
        <v>5.7185694794096138</v>
      </c>
      <c r="BD168" s="196">
        <f>BE168+各项系数!$M$9*$NS168</f>
        <v>6.2696835229758623</v>
      </c>
      <c r="BE168" s="196">
        <f>BF168*(1+$BI168+(VLOOKUP($AM168,$A$12:$B$214,2,0))+各项系数!$J$6+各项系数!$M$5)*(1+$E$2)</f>
        <v>6.2200584735032427</v>
      </c>
      <c r="BF168" s="197">
        <f>BG168+各项系数!$L$9*$NS168</f>
        <v>6.2841568736141067</v>
      </c>
      <c r="BG168" s="197">
        <f>BH168*(1+$BJ168+各项系数!$J$5+各项系数!$L$5)</f>
        <v>6.2345318241414871</v>
      </c>
      <c r="BH168" s="199">
        <f t="shared" si="645"/>
        <v>6.0529435185839677</v>
      </c>
      <c r="BI168" s="213"/>
      <c r="BJ168" s="208">
        <f t="shared" si="800"/>
        <v>0.01</v>
      </c>
      <c r="BK168" s="102" t="s">
        <v>514</v>
      </c>
      <c r="BL168" s="196">
        <f>BM168+各项系数!$M$9*$NM168</f>
        <v>5.2745566274145848</v>
      </c>
      <c r="BM168" s="196">
        <f>BN168*(1+$CF168+(VLOOKUP($AM168,$A$12:$B$323,2,0))+各项系数!$J$6+各项系数!$M$5)*(1+$E$2)</f>
        <v>5.2281494258677768</v>
      </c>
      <c r="BN168" s="197">
        <f>BO168+各项系数!$L$9*$NM168</f>
        <v>5.282026092006241</v>
      </c>
      <c r="BO168" s="197">
        <f>BP168*(1+$CG168+各项系数!$J$5+各项系数!$L$5)</f>
        <v>5.235618890459433</v>
      </c>
      <c r="BP168" s="197">
        <f t="shared" si="646"/>
        <v>5.0342489331340703</v>
      </c>
      <c r="BQ168" s="196">
        <f>BR168+各项系数!$M$9*$NM168</f>
        <v>5.5626676111009594</v>
      </c>
      <c r="BR168" s="196">
        <f>BS168*(1+$CF168+(VLOOKUP($AM168,$A$12:$B$323,2,0))+各项系数!$J$6+各项系数!$M$5)*(1+$E$2)</f>
        <v>5.5162604095541514</v>
      </c>
      <c r="BS168" s="197">
        <f>BT168+各项系数!$L$9*$NM168</f>
        <v>5.5731060916893833</v>
      </c>
      <c r="BT168" s="197">
        <f>BU168*(1+$CG168+各项系数!$J$5+各项系数!$L$5)</f>
        <v>5.5266988901425753</v>
      </c>
      <c r="BU168" s="197">
        <f t="shared" si="647"/>
        <v>5.3141335482140146</v>
      </c>
      <c r="BV168" s="196">
        <f>BW168+各项系数!$M$9*$NT168</f>
        <v>5.9953057874610831</v>
      </c>
      <c r="BW168" s="196">
        <f>BX168*(1+$CF168+(VLOOKUP($AM168,$A$12:$B$214,2,0))+各项系数!$J$6+各项系数!$M$5)*(1+$E$2)</f>
        <v>5.9456807379884635</v>
      </c>
      <c r="BX168" s="197">
        <f>BY168+各项系数!$L$9*$NT$12</f>
        <v>6.0069516447650679</v>
      </c>
      <c r="BY168" s="197">
        <f>BZ168*(1+$CG168+各项系数!$J$5+各项系数!$L$5)</f>
        <v>5.9986882416100942</v>
      </c>
      <c r="BZ168" s="199">
        <f t="shared" si="586"/>
        <v>5.7679694630866285</v>
      </c>
      <c r="CA168" s="196">
        <f>CB168+各项系数!$M$9*$NT168</f>
        <v>6.2886558003976001</v>
      </c>
      <c r="CB168" s="196">
        <f>CC168*(1+$CF168+(VLOOKUP($AM168,$A$12:$B$214,2,0))+各项系数!$J$6+各项系数!$M$5)*(1+$E$2)</f>
        <v>6.2390307509249805</v>
      </c>
      <c r="CC168" s="197">
        <f>CD168+各项系数!$L$9*$NT$12</f>
        <v>6.3033246624823001</v>
      </c>
      <c r="CD168" s="197">
        <f>CE168*(1+$CG168+各项系数!$J$5+各项系数!$L$5)</f>
        <v>6.2950612593273263</v>
      </c>
      <c r="CE168" s="199">
        <f t="shared" si="648"/>
        <v>6.0529435185839677</v>
      </c>
      <c r="CF168" s="213">
        <f t="shared" si="753"/>
        <v>0</v>
      </c>
      <c r="CG168" s="213">
        <f t="shared" si="587"/>
        <v>0.02</v>
      </c>
      <c r="CH168" s="102"/>
      <c r="CI168" s="196">
        <f>CJ168+各项系数!$M$9*$NO168</f>
        <v>5.8303067974565774</v>
      </c>
      <c r="CJ168" s="196">
        <f>CK168*(1+$DC168+(VLOOKUP($AM168,$A$12:$B$323,2,0))+各项系数!$J$6+各项系数!$M$5)*(1+$E$2)+各项系数!$M$9*$NK168</f>
        <v>5.7505302353316345</v>
      </c>
      <c r="CK168" s="197">
        <f>CL168+各项系数!$L$9*$NO168</f>
        <v>5.7629046613303965</v>
      </c>
      <c r="CL168" s="197">
        <f>CM168*(1+$DD168+各项系数!$J$5+各项系数!$L$5)</f>
        <v>5.6831280992054536</v>
      </c>
      <c r="CM168" s="197">
        <f t="shared" si="588"/>
        <v>5.5176000963159746</v>
      </c>
      <c r="CN168" s="196">
        <f>CO168+各项系数!$M$9*$NO168</f>
        <v>6.0704440914356939</v>
      </c>
      <c r="CO168" s="196">
        <f>CP168*(1+$DC168+(VLOOKUP($AM168,$A$12:$B$323,2,0))+各项系数!$J$6+各项系数!$M$5)*(1+$E$2)+各项系数!$M$9*$NK168</f>
        <v>5.990667529310751</v>
      </c>
      <c r="CP168" s="197">
        <f>CQ168+各项系数!$L$9*$NO168</f>
        <v>6.0055165970538926</v>
      </c>
      <c r="CQ168" s="197">
        <f>CR168*(1+$DD168+各项系数!$J$5+各项系数!$L$5)</f>
        <v>5.9257400349289497</v>
      </c>
      <c r="CR168" s="197">
        <f t="shared" si="589"/>
        <v>5.7531456649795629</v>
      </c>
      <c r="CS168" s="196">
        <f>CT168+各项系数!$M$9*$NU168</f>
        <v>6.7007041183650493</v>
      </c>
      <c r="CT168" s="196">
        <f t="shared" si="590"/>
        <v>6.6170040281476235</v>
      </c>
      <c r="CU168" s="197">
        <f>CV168+各项系数!$L$9*$NU168</f>
        <v>6.6851929967141075</v>
      </c>
      <c r="CV168" s="197">
        <f>CW168*(1+$DD168+各项系数!$J$5+各项系数!$L$5)</f>
        <v>6.6014929064966825</v>
      </c>
      <c r="CW168" s="199">
        <f t="shared" si="591"/>
        <v>6.4092164140744492</v>
      </c>
      <c r="CX168" s="196">
        <f>CY168+各项系数!$M$9*$NU168</f>
        <v>7.1056737211291949</v>
      </c>
      <c r="CY168" s="196">
        <f t="shared" si="592"/>
        <v>7.0219736309117691</v>
      </c>
      <c r="CZ168" s="197">
        <f>DA168+各项系数!$L$9*$NU168</f>
        <v>7.0943358566495949</v>
      </c>
      <c r="DA168" s="197">
        <f>DB168*(1+$DD168+各项系数!$J$5+各项系数!$L$5)</f>
        <v>7.010635766432169</v>
      </c>
      <c r="DB168" s="199">
        <f t="shared" si="593"/>
        <v>6.8064424916817172</v>
      </c>
      <c r="DC168" s="213">
        <f t="shared" si="698"/>
        <v>0</v>
      </c>
      <c r="DD168" s="213">
        <f t="shared" si="594"/>
        <v>0.01</v>
      </c>
      <c r="DE168" s="53" t="s">
        <v>498</v>
      </c>
      <c r="DF168" s="53" t="s">
        <v>513</v>
      </c>
      <c r="DG168" s="196">
        <f>DH168+各项系数!$M$9*$NQ168</f>
        <v>5.9444223731179155</v>
      </c>
      <c r="DH168" s="196">
        <f>DI168*(1+$EA168+(VLOOKUP($AM168,$A$12:$B$323,2,0))+各项系数!$J$6+各项系数!$M$5)*(1+$E$2)+各项系数!$M$9*$NK168</f>
        <v>5.8646458109929727</v>
      </c>
      <c r="DI168" s="197">
        <f>DJ168+各项系数!$L$9*$NQ168</f>
        <v>5.8781962107962871</v>
      </c>
      <c r="DJ168" s="197">
        <f>DK168*(1+$EB168+各项系数!$J$5+各项系数!$L$5)</f>
        <v>5.7984196486713442</v>
      </c>
      <c r="DK168" s="197">
        <f t="shared" si="595"/>
        <v>5.575403508337831</v>
      </c>
      <c r="DL168" s="196">
        <f>DM168+各项系数!$M$9*$NQ168</f>
        <v>6.2876741396620401</v>
      </c>
      <c r="DM168" s="196">
        <f>DN168*(1+$EA168+(VLOOKUP($AM168,$A$12:$B$323,2,0))+各项系数!$J$6+各项系数!$M$5)*(1+$E$2)+各项系数!$M$9*$NK168</f>
        <v>6.2078975775370973</v>
      </c>
      <c r="DN168" s="197">
        <f>DO168+各项系数!$L$9*$NQ168</f>
        <v>6.2249852252882292</v>
      </c>
      <c r="DO168" s="197">
        <f>DP168*(1+$EB168+各项系数!$J$5+各项系数!$L$5)</f>
        <v>6.1452086631632863</v>
      </c>
      <c r="DP168" s="197">
        <f t="shared" si="596"/>
        <v>5.9088544838108517</v>
      </c>
      <c r="DQ168" s="196">
        <f>DR168+各项系数!$M$9*$NV168</f>
        <v>6.8245530931175935</v>
      </c>
      <c r="DR168" s="196">
        <f t="shared" si="597"/>
        <v>6.7408530029001685</v>
      </c>
      <c r="DS168" s="197">
        <f>DT168+各项系数!$L$9*$NV168</f>
        <v>6.81031824904038</v>
      </c>
      <c r="DT168" s="197">
        <f>DU168*(1+$EB168+各项系数!$J$5+各项系数!$L$5)</f>
        <v>6.726618158822955</v>
      </c>
      <c r="DU168" s="199">
        <f t="shared" si="598"/>
        <v>6.4679020757913026</v>
      </c>
      <c r="DV168" s="196">
        <f>DW168+各项系数!$M$9*$NV168</f>
        <v>6.7956182224927044</v>
      </c>
      <c r="DW168" s="196">
        <f t="shared" si="599"/>
        <v>6.7119181322752794</v>
      </c>
      <c r="DX168" s="197">
        <f>DY168+各项系数!$L$9*$NV168</f>
        <v>6.7810852013288336</v>
      </c>
      <c r="DY168" s="197">
        <f>DZ168*(1+$EB168+各项系数!$J$5+各项系数!$L$5)</f>
        <v>6.6973851111114087</v>
      </c>
      <c r="DZ168" s="199">
        <f t="shared" si="600"/>
        <v>6.4397933760686623</v>
      </c>
      <c r="EA168" s="213">
        <f t="shared" si="699"/>
        <v>0</v>
      </c>
      <c r="EB168" s="213">
        <f t="shared" si="601"/>
        <v>0.02</v>
      </c>
      <c r="EC168" s="235">
        <f t="shared" si="649"/>
        <v>5</v>
      </c>
      <c r="ED168" s="235" t="str">
        <f t="shared" si="756"/>
        <v>5*1.5</v>
      </c>
      <c r="EE168" s="189">
        <f t="shared" si="709"/>
        <v>1.5</v>
      </c>
      <c r="EF168" s="189">
        <f>LOOKUP(EH168,{1,7,10,14,19,24,30,37,48,61},{1,"1+6","2+8","4+10","1+6+12","2+8+14","4+10+16","1+6+12+18","3+9+15+21","1+6+12+18+24"})</f>
        <v>1</v>
      </c>
      <c r="EG168" s="188">
        <f t="shared" si="602"/>
        <v>5</v>
      </c>
      <c r="EH168" s="197">
        <f>VLOOKUP(EE168,各项系数!$B$87:$C$124,2,0)</f>
        <v>1</v>
      </c>
      <c r="EI168" s="188">
        <f>IF(EH168=0,0,VLOOKUP(EH168,各项系数!$D$142:$E$195,2,0))*1</f>
        <v>1</v>
      </c>
      <c r="EJ168" s="238">
        <f t="shared" si="650"/>
        <v>134.922667214547</v>
      </c>
      <c r="EK168" s="189">
        <f t="shared" si="689"/>
        <v>0</v>
      </c>
      <c r="EL168" s="189">
        <f t="shared" si="603"/>
        <v>0</v>
      </c>
      <c r="EM168" s="189">
        <f t="shared" si="690"/>
        <v>0</v>
      </c>
      <c r="EN168" s="189">
        <f>IF(EP168=0,0,LOOKUP(EP168,{1,7,10,14,19,24,30,37,48,61},{1,"1+6","2+8","4+10","1+6+12","2+8+14","4+10+16","1+6+12+18","3+9+15+21","1+6+12+18+24"}))</f>
        <v>0</v>
      </c>
      <c r="EO168" s="189">
        <f t="shared" si="691"/>
        <v>0</v>
      </c>
      <c r="EP168" s="189">
        <f>IF(EM168=0,0,IF(EM168&lt;10,1,IF(AND(EM168&gt;=10,EM168&lt;=35),7,LOOKUP(EM168,{50,70,95,120,150,185,240,300},{10,14,19,24,30,37,48,61})*1)))</f>
        <v>0</v>
      </c>
      <c r="EQ168" s="189">
        <f>IF(EP168=0,0,VLOOKUP(EP168,各项系数!$D$142:$E$195,2,0))*1</f>
        <v>0</v>
      </c>
      <c r="ER168" s="53">
        <f t="shared" si="710"/>
        <v>0</v>
      </c>
      <c r="ES168" s="412">
        <f t="shared" si="692"/>
        <v>5</v>
      </c>
      <c r="ET168" s="189">
        <f>VLOOKUP(ES168,各项系数!$D$142:$E$195,2,0)*1</f>
        <v>2.7</v>
      </c>
      <c r="EU168" s="243">
        <f>((各项系数!$F$76/4*$EJ168^2*$EG168*$EH168*1*10^-7)*(1-$H168)*AA168)*(VLOOKUP($EY$9,各项系数!$D$4:$F$143,3,0))*各项系数!$J$4</f>
        <v>6.3234569072218971E-2</v>
      </c>
      <c r="EV168" s="244">
        <f>EU168*(VLOOKUP($EY$9,各项系数!$D$4:$F$143,2,0))</f>
        <v>4.1418642742303424</v>
      </c>
      <c r="EW168" s="252">
        <f>(IF($EO168=0,0,(各项系数!$F$76/4*$ER168^2*$EO168*$EP168*1*10^-7))*(1-$K168)*$AF168)*(VLOOKUP($EY$9,各项系数!$D$4:$F$143,3,0))*各项系数!$J$4</f>
        <v>0</v>
      </c>
      <c r="EX168" s="253">
        <f>EW168*(VLOOKUP($EY$9,各项系数!$D$4:$F$143,2,0))</f>
        <v>0</v>
      </c>
      <c r="EY168" s="189">
        <f>((各项系数!$F$76/4*$EJ168^2*$EG168*$EH168*1*10^-7)*(1-$H168)*AA168+IF($EO168=0,0,(各项系数!$F$76/4*$ER168^2*$EO168*$EP168*1*10^-7))*(1-$K168)*$AF168)*(VLOOKUP($EY$9,各项系数!$D$4:$F$143,3,0))*各项系数!$J$4</f>
        <v>6.3234569072218971E-2</v>
      </c>
      <c r="EZ168" s="102">
        <v>1</v>
      </c>
      <c r="FA168" s="189">
        <f t="shared" si="757"/>
        <v>6.3234569072218971E-2</v>
      </c>
      <c r="FB168" s="254">
        <f>FA168*(VLOOKUP($EY$9,各项系数!$D$4:$F$143,2,0))</f>
        <v>4.1418642742303424</v>
      </c>
      <c r="FC168" s="255"/>
      <c r="FD168" s="235">
        <f>各项系数!$F$76/4*($MN168^2-MK168^2)*10^-2*(VLOOKUP(L168,各项系数!$D$1:$F$143,3,0))*10^-3*10^2*$EG168*各项系数!$J$4</f>
        <v>2.4661738157796022E-2</v>
      </c>
      <c r="FE168" s="262">
        <f>FD168*VLOOKUP(L168,各项系数!$D$1:$F$143,2,0)</f>
        <v>0.28360998881465427</v>
      </c>
      <c r="FF168" s="188">
        <f>各项系数!$F$76/4*($MO168^2-ML168^2)*10^-2*(VLOOKUP(L168,各项系数!$D$1:$F$143,3,0))*10^-3*10^2*$EO168*各项系数!$J$4</f>
        <v>0</v>
      </c>
      <c r="FG168" s="262">
        <f>FF168*VLOOKUP(L168,各项系数!$D$1:$F$143,2,0)</f>
        <v>0</v>
      </c>
      <c r="FH168" s="235">
        <f t="shared" si="651"/>
        <v>2.4661738157796022E-2</v>
      </c>
      <c r="FI168" s="102">
        <v>1</v>
      </c>
      <c r="FJ168" s="189">
        <f t="shared" si="758"/>
        <v>2.4661738157796022E-2</v>
      </c>
      <c r="FK168" s="262">
        <f>FJ168*VLOOKUP(L168,各项系数!$D$1:$F$143,2,0)</f>
        <v>0.28360998881465427</v>
      </c>
      <c r="FL168" s="235"/>
      <c r="FM168" s="102"/>
      <c r="FN168" s="189"/>
      <c r="FO168" s="262"/>
      <c r="FP168" s="282">
        <f t="shared" si="759"/>
        <v>2.4661738157796022E-2</v>
      </c>
      <c r="FQ168" s="282">
        <f t="shared" si="760"/>
        <v>0.28360998881465427</v>
      </c>
      <c r="FR168" s="283">
        <f>各项系数!$F$76/4*($MQ168^2-$MN168^2*$EG168-$MO168^2*$EO168)*10^-2</f>
        <v>0.13593974805900325</v>
      </c>
      <c r="FS168" s="284">
        <f t="shared" si="652"/>
        <v>1</v>
      </c>
      <c r="FT168" s="285">
        <f t="shared" si="604"/>
        <v>0.13593974805900325</v>
      </c>
      <c r="FU168" s="302">
        <f>$FT168*(VLOOKUP($FT$9,各项系数!$D$1:$F$143,3,0))*10^-3*10^2*各项系数!$J$55</f>
        <v>1.6231205918244989E-2</v>
      </c>
      <c r="FV168" s="303">
        <v>1</v>
      </c>
      <c r="FW168" s="304">
        <f t="shared" si="761"/>
        <v>1.6231205918244989E-2</v>
      </c>
      <c r="FX168" s="285">
        <f>FW168*(VLOOKUP($FT$9,各项系数!$D$1:$F$143,2,0))</f>
        <v>4.8693617754734964E-2</v>
      </c>
      <c r="FY168" s="302">
        <f>IF($BK168&lt;&gt;$FY$9,0,各项系数!$F$76/4*($MS168^2-$MQ168^2)*10^-2*(VLOOKUP($FY$9,各项系数!$D$1:$F$143,3,0))*10^-3*10^2)*各项系数!$J$4</f>
        <v>0</v>
      </c>
      <c r="FZ168" s="303">
        <v>1</v>
      </c>
      <c r="GA168" s="304">
        <f t="shared" si="762"/>
        <v>0</v>
      </c>
      <c r="GB168" s="285">
        <f>GA168*(VLOOKUP($FY$9,各项系数!$D$1:$F$143,2,0))</f>
        <v>0</v>
      </c>
      <c r="GC168" s="302">
        <f>IF($BK168&lt;&gt;$GC$9,0,各项系数!$F$76/4*($MS168^2-$MQ168^2)*10^-2*(VLOOKUP($GC$9,各项系数!$D$1:$F$143,3,0))*10^-3*10^2)*各项系数!$J$4</f>
        <v>2.0454246924134648E-3</v>
      </c>
      <c r="GD168" s="303">
        <v>1</v>
      </c>
      <c r="GE168" s="304">
        <f t="shared" si="763"/>
        <v>2.0454246924134648E-3</v>
      </c>
      <c r="GF168" s="285">
        <f>GE168*(VLOOKUP($GC$9,各项系数!$D$1:$F$143,2,0))</f>
        <v>2.6385978532133696E-2</v>
      </c>
      <c r="GG168" s="302">
        <f>IF($BK168&lt;&gt;$GG$9,0,各项系数!$F$76/4*($MS168^2-$MQ168^2)*10^-2*(VLOOKUP($GG$9,各项系数!$D$1:$F$143,3,0))*10^-3*10^2)*各项系数!$J$4</f>
        <v>0</v>
      </c>
      <c r="GH168" s="303">
        <v>1</v>
      </c>
      <c r="GI168" s="304">
        <f t="shared" si="764"/>
        <v>0</v>
      </c>
      <c r="GJ168" s="285">
        <f>GI168*(VLOOKUP($GG$9,各项系数!$D$1:$F$143,2,0))</f>
        <v>0</v>
      </c>
      <c r="GK168" s="302">
        <f>IF($BK168&lt;&gt;$GK$9,0,各项系数!$F$76/4*($MS168^2-$MQ168^2)*10^-2*(VLOOKUP($GK$9,各项系数!$D$1:$F$143,3,0))*10^-3*10^2)*各项系数!$J$4</f>
        <v>0</v>
      </c>
      <c r="GL168" s="303">
        <v>1</v>
      </c>
      <c r="GM168" s="304">
        <f t="shared" si="765"/>
        <v>0</v>
      </c>
      <c r="GN168" s="285">
        <f>GM168*(VLOOKUP($GK$9,各项系数!$D$1:$F$143,2,0))</f>
        <v>0</v>
      </c>
      <c r="GO168" s="304">
        <f t="shared" si="766"/>
        <v>2.0454246924134648E-3</v>
      </c>
      <c r="GP168" s="304">
        <f t="shared" si="767"/>
        <v>2.6385978532133696E-2</v>
      </c>
      <c r="GQ168" s="315">
        <f>各项系数!$F$76/4*($MU168^2-$MS168^2)*10^-2*(VLOOKUP($S168,各项系数!$D$1:$F$143,3,0))*10^-3*10^2*各项系数!$J$4</f>
        <v>0.12025058075973322</v>
      </c>
      <c r="GR168" s="303">
        <v>1</v>
      </c>
      <c r="GS168" s="304">
        <f t="shared" si="768"/>
        <v>0.12025058075973322</v>
      </c>
      <c r="GT168" s="304">
        <f t="shared" si="696"/>
        <v>1</v>
      </c>
      <c r="GU168" s="304">
        <f>ROUND($GS168*(VLOOKUP($S168,各项系数!$D$1:$F$143,2,0))+$E$3*GS168,GT168)</f>
        <v>0.7</v>
      </c>
      <c r="GV168" s="315">
        <f>各项系数!$F$76/4*($MT168^2-$MS168^2)*10^-2*(VLOOKUP($GV$9,各项系数!$D$1:$F$143,3,0))*10^-3*10^2*各项系数!$J$4*PI()/4*R168</f>
        <v>1.0726159752705147E-2</v>
      </c>
      <c r="GW168" s="303">
        <v>1</v>
      </c>
      <c r="GX168" s="304">
        <f t="shared" si="769"/>
        <v>1.0726159752705147E-2</v>
      </c>
      <c r="GY168" s="304">
        <f>$GX168*(VLOOKUP($GV$9,各项系数!$D$1:$F$143,2,0))</f>
        <v>0.72401578330759742</v>
      </c>
      <c r="GZ168" s="315">
        <f>各项系数!$F$76/4*($MV168^2-$MS168^2)*10^-2*(VLOOKUP($GZ$9,各项系数!$D$1:$F$143,3,0))*10^-3*10^2*各项系数!$J$4</f>
        <v>4.7857628757773517E-2</v>
      </c>
      <c r="HA168" s="303">
        <v>1</v>
      </c>
      <c r="HB168" s="304">
        <f t="shared" si="653"/>
        <v>4.7857628757773517E-2</v>
      </c>
      <c r="HC168" s="304">
        <f>HB168*(VLOOKUP($GZ$9,各项系数!$D$1:$F$143,2,0))</f>
        <v>0.81357968888214982</v>
      </c>
      <c r="HD168" s="315">
        <f>各项系数!$F$76/4*($MW168^2-$MT168^2)*10^-2*(VLOOKUP($HD$9,各项系数!$D$1:$F$143,3,0))*10^-3*10^2*各项系数!$J$4</f>
        <v>4.8727875055559117E-2</v>
      </c>
      <c r="HE168" s="303">
        <v>1</v>
      </c>
      <c r="HF168" s="304">
        <f t="shared" si="654"/>
        <v>4.8727875055559117E-2</v>
      </c>
      <c r="HG168" s="304">
        <f>HF168*(VLOOKUP($HD$9,各项系数!$D$1:$F$143,2,0))</f>
        <v>0.82837387594450496</v>
      </c>
      <c r="HH168" s="315">
        <f>各项系数!$F$76/4*($MV168^2-$MS168^2)*10^-2*(VLOOKUP($HH$9,各项系数!$D$1:$F$143,3,0))*10^-3*10^2*各项系数!$J$4</f>
        <v>4.7857628757773517E-2</v>
      </c>
      <c r="HI168" s="322">
        <v>1</v>
      </c>
      <c r="HJ168" s="304">
        <f t="shared" si="655"/>
        <v>4.7857628757773517E-2</v>
      </c>
      <c r="HK168" s="304">
        <f>HJ168*(VLOOKUP($HH$9,各项系数!$D$1:$F$143,2,0))</f>
        <v>0.81357968888214982</v>
      </c>
      <c r="HL168" s="315">
        <f>各项系数!$F$76/4*($MW168^2-$MT168^2)*10^-2*(VLOOKUP($HL$9,各项系数!$D$1:$F$143,3,0))*10^-3*10^2*各项系数!$J$4</f>
        <v>4.8727875055559117E-2</v>
      </c>
      <c r="HM168" s="322">
        <v>1</v>
      </c>
      <c r="HN168" s="304">
        <f t="shared" si="605"/>
        <v>4.8727875055559117E-2</v>
      </c>
      <c r="HO168" s="304">
        <f>HN168*(VLOOKUP($HL$9,各项系数!$D$1:$F$143,2,0))</f>
        <v>0.82837387594450496</v>
      </c>
      <c r="HP168" s="315">
        <f>各项系数!$F$76/4*($MV168^2-$MS168^2)*10^-2*(VLOOKUP(AN168,各项系数!$D$1:$F$143,3,0))*10^-3*10^2*各项系数!$J$4</f>
        <v>4.8517733982018668E-2</v>
      </c>
      <c r="HQ168" s="303">
        <v>1</v>
      </c>
      <c r="HR168" s="304">
        <f t="shared" si="770"/>
        <v>4.8517733982018668E-2</v>
      </c>
      <c r="HS168" s="304">
        <f>HR168*(VLOOKUP(AN168,各项系数!$D$1:$F$143,2,0))</f>
        <v>0.48517733982018668</v>
      </c>
      <c r="HT168" s="315">
        <f>各项系数!$F$76/4*($MW168^2-$MT168^2)*10^-2*(VLOOKUP(AN168,各项系数!$D$1:$F$143,3,0))*10^-3*10^2*各项系数!$J$4</f>
        <v>4.9399983677015112E-2</v>
      </c>
      <c r="HU168" s="303">
        <v>1</v>
      </c>
      <c r="HV168" s="304">
        <f t="shared" si="771"/>
        <v>4.9399983677015112E-2</v>
      </c>
      <c r="HW168" s="304">
        <f>HV168*(VLOOKUP(AN168,各项系数!$D$1:$F$143,2,0))</f>
        <v>0.49399983677015114</v>
      </c>
      <c r="HX168" s="315">
        <f>各项系数!$F$76/4*($MV168^2-$MS168^2)*10^-2*(VLOOKUP($HX$9,各项系数!$D$1:$F$143,3,0))*10^-3*10^2*各项系数!$J$4</f>
        <v>4.8517733982018668E-2</v>
      </c>
      <c r="HY168" s="322">
        <v>1</v>
      </c>
      <c r="HZ168" s="304">
        <f t="shared" si="772"/>
        <v>4.8517733982018668E-2</v>
      </c>
      <c r="IA168" s="304">
        <f>HZ168*(VLOOKUP($HX$9,各项系数!$D$1:$F$143,2,0))</f>
        <v>0.53369507380220538</v>
      </c>
      <c r="IB168" s="315">
        <f>各项系数!$F$76/4*($MW168^2-$MT168^2)*10^-2*(VLOOKUP($IB$9,各项系数!$D$1:$F$143,3,0))*10^-3*10^2*各项系数!$J$4</f>
        <v>4.9399983677015112E-2</v>
      </c>
      <c r="IC168" s="322">
        <v>1</v>
      </c>
      <c r="ID168" s="304">
        <f t="shared" si="773"/>
        <v>4.9399983677015112E-2</v>
      </c>
      <c r="IE168" s="304">
        <f>ID168*(VLOOKUP($IB$9,各项系数!$D$1:$F$143,2,0))</f>
        <v>0.54339982044716628</v>
      </c>
      <c r="IF168" s="328"/>
      <c r="IG168" s="315">
        <f t="shared" si="656"/>
        <v>1.1599407896902824E-2</v>
      </c>
      <c r="IH168" s="303">
        <v>1</v>
      </c>
      <c r="II168" s="304">
        <f t="shared" si="774"/>
        <v>1.1599407896902824E-2</v>
      </c>
      <c r="IJ168" s="304">
        <f>II168*(VLOOKUP($IG$8,各项系数!$D$1:$F$143,2,0))</f>
        <v>0.28998519742257062</v>
      </c>
      <c r="IK168" s="315">
        <f>(各项系数!$F$76/4*($MX168^2-$MK168^2)*$EG168)*10^-2*(VLOOKUP($IG$8,各项系数!$D$1:$F$143,3,0))*10^-3*10^2*各项系数!$J$4</f>
        <v>1.1599407896902824E-2</v>
      </c>
      <c r="IL168" s="303">
        <f>IK168*(VLOOKUP($IG$8,各项系数!$D$1:$F$143,2,0))</f>
        <v>0.28998519742257062</v>
      </c>
      <c r="IM168" s="304">
        <f>(各项系数!$F$76/4*(($MM168+3*$X168)^2-MM168^2)*$EO168)*10^-2*(VLOOKUP($IG$8,各项系数!$D$1:$F$143,3,0))*10^-3*10^2*各项系数!$J$4</f>
        <v>0</v>
      </c>
      <c r="IN168" s="303">
        <f>IM168*(VLOOKUP($IG$8,各项系数!$D$1:$F$143,2,0))</f>
        <v>0</v>
      </c>
      <c r="IO168" s="315">
        <f>各项系数!$F$76/4*($MZ168^2-$MX168^2)*10^-2*(VLOOKUP(L168,各项系数!$D$1:$F$143,3,0))*10^-3*10^2*$ES168*各项系数!$J$4</f>
        <v>3.1882531792439488E-2</v>
      </c>
      <c r="IP168" s="303">
        <v>1</v>
      </c>
      <c r="IQ168" s="304">
        <f t="shared" si="775"/>
        <v>3.1882531792439488E-2</v>
      </c>
      <c r="IR168" s="285">
        <f>IQ168*(VLOOKUP(L168,各项系数!$D$1:$F$143,2,0))</f>
        <v>0.36664911561305413</v>
      </c>
      <c r="IS168" s="315">
        <f>IF($L168&lt;&gt;$IS$9,0,各项系数!$F$76/4*($MZ168^2-$MX168^2)*10^-2*各项系数!$F$12*10^-3*10^2)*$ES168*各项系数!$J$4</f>
        <v>0</v>
      </c>
      <c r="IT168" s="303">
        <v>1</v>
      </c>
      <c r="IU168" s="304">
        <f t="shared" si="776"/>
        <v>0</v>
      </c>
      <c r="IV168" s="285">
        <f>IU168*各项系数!$E$12</f>
        <v>0</v>
      </c>
      <c r="IW168" s="302">
        <f t="shared" si="777"/>
        <v>3.1882531792439488E-2</v>
      </c>
      <c r="IX168" s="302">
        <f t="shared" si="778"/>
        <v>0.36664911561305413</v>
      </c>
      <c r="IY168" s="339">
        <f>各项系数!$F$76/4*($NB168^2-$MZ168^2*$EG168-$NA168^2*$EO168)*10^-2</f>
        <v>0.20175041916993633</v>
      </c>
      <c r="IZ168" s="284">
        <f t="shared" si="697"/>
        <v>1</v>
      </c>
      <c r="JA168" s="285">
        <f t="shared" si="606"/>
        <v>0.20175041916993633</v>
      </c>
      <c r="JB168" s="282">
        <f>IF($DE168&lt;&gt;$JB$9,0,$JA168*各项系数!$F$32*10^-3*10^2)*各项系数!$J$4</f>
        <v>0</v>
      </c>
      <c r="JC168" s="102">
        <v>1</v>
      </c>
      <c r="JD168" s="189">
        <f t="shared" si="779"/>
        <v>0</v>
      </c>
      <c r="JE168" s="262">
        <f>JD168*各项系数!$E$32</f>
        <v>0</v>
      </c>
      <c r="JF168" s="282">
        <f>IF($DE168&lt;&gt;$JF$9,0,$JA168*VLOOKUP($JF$9,各项系数!$D$4:$F$540,2,0)*10^-3*10^2)*各项系数!$J$4</f>
        <v>0.10037083353704332</v>
      </c>
      <c r="JG168" s="102">
        <v>1</v>
      </c>
      <c r="JH168" s="189">
        <f t="shared" si="607"/>
        <v>0.10037083353704332</v>
      </c>
      <c r="JI168" s="262">
        <f>JH168*VLOOKUP($JF$9,各项系数!$D$4:$F$540,3,0)</f>
        <v>0.12044500024445198</v>
      </c>
      <c r="JJ168" s="282">
        <f t="shared" si="780"/>
        <v>0.10037083353704332</v>
      </c>
      <c r="JK168" s="189">
        <f t="shared" si="781"/>
        <v>0.12044500024445198</v>
      </c>
      <c r="JL168" s="282">
        <f>IF($DF168&lt;&gt;$JL$9,0,各项系数!$F$76/4*($NE168^2-$NC168^2)*10^-2*各项系数!$F$39*10^-3*10^2)*各项系数!$J$4</f>
        <v>1.0311194293497064E-3</v>
      </c>
      <c r="JM168" s="102">
        <v>1</v>
      </c>
      <c r="JN168" s="189">
        <f t="shared" si="782"/>
        <v>1.0311194293497064E-3</v>
      </c>
      <c r="JO168" s="262">
        <f>JN168*各项系数!$E$39</f>
        <v>2.0622388586994129E-2</v>
      </c>
      <c r="JP168" s="282">
        <f>IF($DF168&lt;&gt;$JP$9,0,各项系数!$F$76/4*($NE168^2-$NC168^2)*10^-2*各项系数!$F$36*10^-3*10^2)*各项系数!$J$4</f>
        <v>0</v>
      </c>
      <c r="JQ168" s="102">
        <v>1</v>
      </c>
      <c r="JR168" s="189">
        <f t="shared" si="783"/>
        <v>0</v>
      </c>
      <c r="JS168" s="262">
        <f>JR168*各项系数!$E$36</f>
        <v>0</v>
      </c>
      <c r="JT168" s="282">
        <f>IF($DF168&lt;&gt;$JT$9,0,各项系数!$F$76/4*($NE168^2-$NC168^2)*10^-2*各项系数!$F$40*10^-3*10^2)*各项系数!$J$4</f>
        <v>0</v>
      </c>
      <c r="JU168" s="102">
        <v>1</v>
      </c>
      <c r="JV168" s="189">
        <f t="shared" si="784"/>
        <v>0</v>
      </c>
      <c r="JW168" s="262">
        <f>JV168*各项系数!$E$40</f>
        <v>0</v>
      </c>
      <c r="JX168" s="282">
        <f>IF($DF168&lt;&gt;$JX$9,0,各项系数!$F$76/4*($NE168^2-$NC168^2)*10^-2*各项系数!$F$38*10^-3*10^2)*各项系数!$J$4</f>
        <v>0</v>
      </c>
      <c r="JY168" s="102">
        <v>1</v>
      </c>
      <c r="JZ168" s="189">
        <f t="shared" si="785"/>
        <v>0</v>
      </c>
      <c r="KA168" s="262">
        <f>JZ168*各项系数!$E$38</f>
        <v>0</v>
      </c>
      <c r="KB168" s="282">
        <f>IF($DF168&lt;&gt;$KB$9,0,各项系数!$F$76/4*($NE168^2-$NC168^2)*10^-2*各项系数!$F$41*10^-3*10^2)*各项系数!$J$4</f>
        <v>0</v>
      </c>
      <c r="KC168" s="102">
        <v>1</v>
      </c>
      <c r="KD168" s="189">
        <f t="shared" si="786"/>
        <v>0</v>
      </c>
      <c r="KE168" s="262">
        <f>KD168*各项系数!$E$41</f>
        <v>0</v>
      </c>
      <c r="KF168" s="189">
        <f t="shared" si="787"/>
        <v>1.0311194293497064E-3</v>
      </c>
      <c r="KG168" s="189">
        <f t="shared" si="788"/>
        <v>2.0622388586994129E-2</v>
      </c>
      <c r="KH168" s="235">
        <f>各项系数!$F$76/4*($NG168^2-$NE168^2)*10^-2*各项系数!$F$44*10^-3*10^2*各项系数!$J$4*0.75*$U168</f>
        <v>0.43484766296443345</v>
      </c>
      <c r="KI168" s="102">
        <v>1</v>
      </c>
      <c r="KJ168" s="189">
        <f t="shared" si="789"/>
        <v>0.43484766296443345</v>
      </c>
      <c r="KK168" s="189">
        <f>ROUND(KJ168*各项系数!$E$43,GT168)</f>
        <v>2.5</v>
      </c>
      <c r="KL168" s="235">
        <f>各项系数!$F$76/4*($NF168^2-$NE168^2)*10^-2*各项系数!$F$46*10^-3*10^2*各项系数!$J$4*PI()/4*R168</f>
        <v>1.3078426974940889E-2</v>
      </c>
      <c r="KM168" s="102">
        <v>1</v>
      </c>
      <c r="KN168" s="189">
        <f t="shared" si="790"/>
        <v>1.3078426974940889E-2</v>
      </c>
      <c r="KO168" s="189">
        <f>KN168*各项系数!$E$46</f>
        <v>0.88279382080850999</v>
      </c>
      <c r="KP168" s="235">
        <f>各项系数!$F$76/4*($NH168^2-$NE168^2)*10^-2*(VLOOKUP($KP$9,各项系数!$D$1:$F$143,3,0))*10^-3*10^2*各项系数!$J$4</f>
        <v>5.7016971041967006E-2</v>
      </c>
      <c r="KQ168" s="102">
        <v>1</v>
      </c>
      <c r="KR168" s="189">
        <f t="shared" si="657"/>
        <v>5.7016971041967006E-2</v>
      </c>
      <c r="KS168" s="189">
        <f>KR168*(VLOOKUP($KP$9,各项系数!$D$1:$F$143,2,0))</f>
        <v>0.96928850771343911</v>
      </c>
      <c r="KT168" s="235">
        <f>各项系数!$F$76/4*($NI168^2-$NF168^2)*10^-2*(VLOOKUP($KT$9,各项系数!$D$1:$F$143,3,0))*10^-3*10^2*各项系数!$J$4</f>
        <v>5.7887217339752606E-2</v>
      </c>
      <c r="KU168" s="102">
        <v>1</v>
      </c>
      <c r="KV168" s="189">
        <f t="shared" si="658"/>
        <v>5.7887217339752606E-2</v>
      </c>
      <c r="KW168" s="189">
        <f>KV168*(VLOOKUP($KT$9,各项系数!$D$1:$F$143,2,0))</f>
        <v>0.98408269477579435</v>
      </c>
      <c r="KX168" s="189">
        <f>各项系数!$F$76/4*($NH168^2-$NE168^2)*10^-2*(VLOOKUP($KX$9,各项系数!$D$1:$F$143,3,0))*10^-3*10^2*各项系数!$J$4</f>
        <v>5.7016971041967006E-2</v>
      </c>
      <c r="KY168" s="353">
        <v>1</v>
      </c>
      <c r="KZ168" s="189">
        <f t="shared" si="659"/>
        <v>5.7016971041967006E-2</v>
      </c>
      <c r="LA168" s="189">
        <f>KZ168*(VLOOKUP($KX$9,各项系数!$D$1:$F$143,2,0))</f>
        <v>0.96928850771343911</v>
      </c>
      <c r="LB168" s="189">
        <f>各项系数!$F$76/4*($NI168^2-$NF168^2)*10^-2*(VLOOKUP($LB$9,各项系数!$D$1:$F$143,3,0))*10^-3*10^2*各项系数!$J$4</f>
        <v>5.7887217339752606E-2</v>
      </c>
      <c r="LC168" s="353">
        <v>1</v>
      </c>
      <c r="LD168" s="189">
        <f t="shared" si="660"/>
        <v>5.7887217339752606E-2</v>
      </c>
      <c r="LE168" s="189">
        <f>LD168*(VLOOKUP($LB$9,各项系数!$D$1:$F$143,2,0))</f>
        <v>0.98408269477579435</v>
      </c>
      <c r="LF168" s="235">
        <f>各项系数!$F$76/4*($NH168^2-$NE168^2)*10^-2*(VLOOKUP(AN168,各项系数!$D$1:$F$143,3,0))*10^-3*10^2*各项系数!$J$4</f>
        <v>5.780341202185621E-2</v>
      </c>
      <c r="LG168" s="102">
        <v>1</v>
      </c>
      <c r="LH168" s="189">
        <f t="shared" si="791"/>
        <v>5.780341202185621E-2</v>
      </c>
      <c r="LI168" s="189">
        <f>LH168*(VLOOKUP(AN168,各项系数!$D$1:$F$143,2,0))</f>
        <v>0.57803412021856215</v>
      </c>
      <c r="LJ168" s="235">
        <f>各项系数!$F$76/4*($NI168^2-$NF168^2)*10^-2*(VLOOKUP(AN168,各项系数!$D$1:$F$143,3,0))*10^-3*10^2*各项系数!$J$4</f>
        <v>5.8685661716852647E-2</v>
      </c>
      <c r="LK168" s="102">
        <v>1</v>
      </c>
      <c r="LL168" s="189">
        <f t="shared" si="792"/>
        <v>5.8685661716852647E-2</v>
      </c>
      <c r="LM168" s="189">
        <f>LL168*(VLOOKUP(AN168,各项系数!$D$1:$F$143,2,0))</f>
        <v>0.58685661716852644</v>
      </c>
      <c r="LN168" s="189">
        <f>各项系数!$F$76/4*($NH168^2-$NE168^2)*10^-2*(VLOOKUP($LN$9,各项系数!$D$1:$F$143,3,0))*10^-3*10^2*各项系数!$J$4</f>
        <v>5.780341202185621E-2</v>
      </c>
      <c r="LO168" s="353">
        <v>1</v>
      </c>
      <c r="LP168" s="189">
        <f t="shared" si="793"/>
        <v>5.780341202185621E-2</v>
      </c>
      <c r="LQ168" s="189">
        <f>LP168*(VLOOKUP($LN$9,各项系数!$D$1:$F$143,2,0))</f>
        <v>0.63583753224041828</v>
      </c>
      <c r="LR168" s="189">
        <f>各项系数!$F$76/4*($NI168^2-$NF168^2)*10^-2*(VLOOKUP($LR$9,各项系数!$D$1:$F$143,3,0))*10^-3*10^2*各项系数!$J$4</f>
        <v>5.8685661716852647E-2</v>
      </c>
      <c r="LS168" s="353">
        <v>1</v>
      </c>
      <c r="LT168" s="189">
        <f t="shared" si="794"/>
        <v>5.8685661716852647E-2</v>
      </c>
      <c r="LU168" s="189">
        <f>LT168*(VLOOKUP($LR$9,各项系数!$D$1:$F$143,2,0))</f>
        <v>0.64554227888537907</v>
      </c>
      <c r="LV168" s="227">
        <f t="shared" si="661"/>
        <v>7.1487435899999996</v>
      </c>
      <c r="LW168" s="227">
        <f t="shared" si="662"/>
        <v>7.1487435899999996</v>
      </c>
      <c r="LX168" s="227">
        <f t="shared" si="663"/>
        <v>3.0169625509707627</v>
      </c>
      <c r="LY168" s="227">
        <f t="shared" si="664"/>
        <v>0</v>
      </c>
      <c r="LZ168" s="374">
        <f t="shared" si="608"/>
        <v>1</v>
      </c>
      <c r="MA168" s="375">
        <f t="shared" si="609"/>
        <v>7.1487435899999996</v>
      </c>
      <c r="MB168" s="375">
        <f t="shared" si="665"/>
        <v>1.34922667</v>
      </c>
      <c r="MC168" s="227">
        <f t="shared" si="666"/>
        <v>0</v>
      </c>
      <c r="MD168" s="227">
        <f t="shared" si="667"/>
        <v>0</v>
      </c>
      <c r="ME168" s="227">
        <f t="shared" si="668"/>
        <v>0</v>
      </c>
      <c r="MF168" s="227">
        <f t="shared" si="669"/>
        <v>0</v>
      </c>
      <c r="MG168" s="374">
        <f t="shared" si="670"/>
        <v>1</v>
      </c>
      <c r="MH168" s="375">
        <f t="shared" si="610"/>
        <v>0</v>
      </c>
      <c r="MI168" s="375">
        <f t="shared" si="671"/>
        <v>0</v>
      </c>
      <c r="MJ168" s="189">
        <f t="shared" si="611"/>
        <v>1.34922667</v>
      </c>
      <c r="MK168" s="189">
        <f t="shared" si="672"/>
        <v>1.34922667</v>
      </c>
      <c r="ML168" s="189">
        <f t="shared" si="795"/>
        <v>0</v>
      </c>
      <c r="MM168" s="189">
        <f t="shared" si="612"/>
        <v>0</v>
      </c>
      <c r="MN168" s="189">
        <f t="shared" si="613"/>
        <v>2.7492266699999997</v>
      </c>
      <c r="MO168" s="189">
        <f t="shared" si="673"/>
        <v>0</v>
      </c>
      <c r="MP168" s="189">
        <f t="shared" si="674"/>
        <v>7.4229120100000001</v>
      </c>
      <c r="MQ168" s="189">
        <f t="shared" si="796"/>
        <v>7.4229120100000001</v>
      </c>
      <c r="MR168" s="246">
        <f t="shared" si="675"/>
        <v>7.4229120100000001</v>
      </c>
      <c r="MS168" s="380">
        <f t="shared" si="614"/>
        <v>7.5989120100000003</v>
      </c>
      <c r="MT168" s="380">
        <f t="shared" si="615"/>
        <v>7.7589120100000004</v>
      </c>
      <c r="MU168" s="380">
        <f t="shared" si="616"/>
        <v>8.7989120100000004</v>
      </c>
      <c r="MV168" s="380">
        <f t="shared" si="617"/>
        <v>9.9989120099999997</v>
      </c>
      <c r="MW168" s="380">
        <f t="shared" si="618"/>
        <v>10.15891201</v>
      </c>
      <c r="MX168" s="254">
        <f t="shared" si="619"/>
        <v>1.9492266700000001</v>
      </c>
      <c r="MY168" s="254">
        <f t="shared" si="620"/>
        <v>0</v>
      </c>
      <c r="MZ168" s="189">
        <f t="shared" si="621"/>
        <v>3.3492266700000002</v>
      </c>
      <c r="NA168" s="189">
        <f t="shared" si="622"/>
        <v>0</v>
      </c>
      <c r="NB168" s="189">
        <f t="shared" si="676"/>
        <v>9.0429120100000002</v>
      </c>
      <c r="NC168" s="254">
        <f t="shared" si="797"/>
        <v>9.0429120100000002</v>
      </c>
      <c r="ND168" s="246">
        <f t="shared" si="677"/>
        <v>9.0429120100000002</v>
      </c>
      <c r="NE168" s="386">
        <f t="shared" si="678"/>
        <v>9.2829120100000004</v>
      </c>
      <c r="NF168" s="380">
        <f t="shared" si="623"/>
        <v>9.4429120100000006</v>
      </c>
      <c r="NG168" s="387">
        <f t="shared" si="624"/>
        <v>10.48291201</v>
      </c>
      <c r="NH168" s="254">
        <f t="shared" si="625"/>
        <v>11.682912010000001</v>
      </c>
      <c r="NI168" s="380">
        <f t="shared" si="626"/>
        <v>11.842912010000001</v>
      </c>
      <c r="NK168" s="388">
        <f t="shared" si="627"/>
        <v>0.15469067182269211</v>
      </c>
      <c r="NL168" s="388">
        <f t="shared" si="628"/>
        <v>4.9857311991520517</v>
      </c>
      <c r="NM168" s="388">
        <f t="shared" si="629"/>
        <v>0.15469067182269211</v>
      </c>
      <c r="NN168" s="388">
        <f t="shared" si="630"/>
        <v>5.0342489331340703</v>
      </c>
      <c r="NO168" s="388">
        <f t="shared" si="631"/>
        <v>0.26592187374981052</v>
      </c>
      <c r="NP168" s="388">
        <f t="shared" si="632"/>
        <v>5.5176000963159755</v>
      </c>
      <c r="NQ168" s="388">
        <f t="shared" si="633"/>
        <v>0.26592187374981052</v>
      </c>
      <c r="NR168" s="388">
        <f t="shared" si="634"/>
        <v>5.575403508337831</v>
      </c>
      <c r="NS168" s="388">
        <f t="shared" si="635"/>
        <v>0.16541683157539727</v>
      </c>
      <c r="NT168" s="388">
        <f t="shared" si="636"/>
        <v>0.16541683157539727</v>
      </c>
      <c r="NU168" s="388">
        <f t="shared" si="637"/>
        <v>0.2790003007247514</v>
      </c>
      <c r="NV168" s="388">
        <f t="shared" si="638"/>
        <v>0.2790003007247514</v>
      </c>
      <c r="NW168">
        <f t="shared" si="639"/>
        <v>0.2749412525824253</v>
      </c>
      <c r="NX168">
        <f>各项系数!$M$9*NK168</f>
        <v>4.6407201546807629E-2</v>
      </c>
      <c r="NY168">
        <f t="shared" si="640"/>
        <v>0.16541683157539727</v>
      </c>
    </row>
    <row r="169" spans="1:389" ht="15" hidden="1" customHeight="1">
      <c r="A169" s="69"/>
      <c r="B169" s="70"/>
      <c r="C169" s="69"/>
      <c r="D169" s="102" t="s">
        <v>362</v>
      </c>
      <c r="E169" s="61">
        <f t="shared" si="687"/>
        <v>10.82368001</v>
      </c>
      <c r="F169" s="62">
        <f t="shared" si="798"/>
        <v>134.922667214547</v>
      </c>
      <c r="G169" s="62"/>
      <c r="H169" s="16"/>
      <c r="I169" s="145">
        <v>0</v>
      </c>
      <c r="J169" s="16"/>
      <c r="K169" s="16"/>
      <c r="L169" s="97" t="s">
        <v>469</v>
      </c>
      <c r="M169" s="103">
        <f t="shared" si="582"/>
        <v>0.7</v>
      </c>
      <c r="N169" s="103">
        <f t="shared" si="583"/>
        <v>0</v>
      </c>
      <c r="O169" s="53">
        <f t="shared" si="801"/>
        <v>0.08</v>
      </c>
      <c r="P169" s="99">
        <v>0.1</v>
      </c>
      <c r="Q169" s="133">
        <f t="shared" si="754"/>
        <v>0.1</v>
      </c>
      <c r="R169" s="406">
        <v>0.8</v>
      </c>
      <c r="S169" s="142" t="str">
        <f>各项系数!$D$43</f>
        <v>钢带</v>
      </c>
      <c r="T169" s="102">
        <v>0.2</v>
      </c>
      <c r="U169" s="62">
        <v>4</v>
      </c>
      <c r="V169" s="143"/>
      <c r="W169" s="141">
        <f t="shared" si="799"/>
        <v>1.2</v>
      </c>
      <c r="X169" s="135">
        <f t="shared" si="755"/>
        <v>0.2</v>
      </c>
      <c r="Y169" s="135"/>
      <c r="Z169" s="168"/>
      <c r="AA169" s="153">
        <v>1</v>
      </c>
      <c r="AB169" s="153">
        <f>PI()*EJ169*EJ169/4*EH169*(1-H169)*AA169*各项系数!$F$5*各项系数!$J$4*10^-7</f>
        <v>1.2646913814443796E-2</v>
      </c>
      <c r="AC169" s="153">
        <f t="shared" si="704"/>
        <v>134.922667214547</v>
      </c>
      <c r="AD169" s="153">
        <f t="shared" si="584"/>
        <v>1.4297487227412424</v>
      </c>
      <c r="AE169" s="153">
        <f>POWER(4*EU169/PI()/EG169/10^-7/EH169/(1-H169)/各项系数!$F$5/各项系数!$J$4,0.5)</f>
        <v>134.922667214547</v>
      </c>
      <c r="AF169" s="69">
        <v>1</v>
      </c>
      <c r="AG169" s="69">
        <f>IF(EM169=0,0,PI()*ER169*ER169/4*EP169*(1-K169)*(1+AF169)*各项系数!$F$5*各项系数!$J$4*10^-7)</f>
        <v>0</v>
      </c>
      <c r="AH169" s="69">
        <f t="shared" si="705"/>
        <v>0</v>
      </c>
      <c r="AI169" s="69">
        <f t="shared" si="641"/>
        <v>0</v>
      </c>
      <c r="AJ169" s="69">
        <f>IF(OR(EP169="",EP169=0),0,POWER(4*EW169/PI()/EO169/10^-7/EP169/(1-K169)/各项系数!$F$5/各项系数!$J$4,0.5))</f>
        <v>0</v>
      </c>
      <c r="AK169" s="69" t="str">
        <f t="shared" si="585"/>
        <v>√</v>
      </c>
      <c r="AL169" s="69">
        <f t="shared" si="706"/>
        <v>6.2818431464255857</v>
      </c>
      <c r="AM169" s="188">
        <f t="shared" si="707"/>
        <v>1.5</v>
      </c>
      <c r="AN169" s="97" t="s">
        <v>486</v>
      </c>
      <c r="AO169" s="196">
        <f>AP169+各项系数!$M$9*$NK169</f>
        <v>6.1586697513976327</v>
      </c>
      <c r="AP169" s="196">
        <f>AQ169*(1+$BI169+(VLOOKUP($AM169,$A$12:$B$323,2,0))+各项系数!$J$6+各项系数!$M$5)*(1+$E$2)</f>
        <v>6.104047328420978</v>
      </c>
      <c r="AQ169" s="197">
        <f>AR169+各项系数!$L$9*$NK169</f>
        <v>6.166950220671831</v>
      </c>
      <c r="AR169" s="197">
        <f>AS169*(1+$BJ169+各项系数!$J$5+各项系数!$L$5)</f>
        <v>6.1123277976951762</v>
      </c>
      <c r="AS169" s="197">
        <f t="shared" si="642"/>
        <v>5.9342988327137629</v>
      </c>
      <c r="AT169" s="196">
        <f>AU169+各项系数!$M$9*$NM169</f>
        <v>6.524856925276084</v>
      </c>
      <c r="AU169" s="196">
        <f>AV169*(1+$BI169+(VLOOKUP($AM169,$A$12:$B$323,2,0))+各项系数!$J$6+各项系数!$M$5)*(1+$E$2)</f>
        <v>6.4702345022994292</v>
      </c>
      <c r="AV169" s="197">
        <f>AW169+各项系数!$L$9*$NM169</f>
        <v>6.5369109944427457</v>
      </c>
      <c r="AW169" s="197">
        <f>AX169*(1+$BJ169+各项系数!$J$5+各项系数!$L$5)</f>
        <v>6.4822885714660909</v>
      </c>
      <c r="AX169" s="197">
        <f t="shared" si="643"/>
        <v>6.2934840499670788</v>
      </c>
      <c r="AY169" s="196">
        <f>AZ169+各项系数!$M$9*$NS169</f>
        <v>6.9921647826133091</v>
      </c>
      <c r="AZ169" s="196">
        <f>BA169*(1+$BI169+(VLOOKUP($AM169,$A$12:$B$214,2,0))+各项系数!$J$6+各项系数!$M$5)*(1+$E$2)</f>
        <v>6.933978892696766</v>
      </c>
      <c r="BA169" s="197">
        <f>BB169+各项系数!$L$9*$NS169</f>
        <v>7.005434322789216</v>
      </c>
      <c r="BB169" s="197">
        <f>BC169*(1+$BJ169+各项系数!$J$5+各项系数!$L$5)</f>
        <v>6.9472484328726729</v>
      </c>
      <c r="BC169" s="199">
        <f t="shared" si="644"/>
        <v>6.7449013911385176</v>
      </c>
      <c r="BD169" s="196">
        <f>BE169+各项系数!$M$9*$NS169</f>
        <v>7.3644400587312031</v>
      </c>
      <c r="BE169" s="196">
        <f>BF169*(1+$BI169+(VLOOKUP($AM169,$A$12:$B$214,2,0))+各项系数!$J$6+各项系数!$M$5)*(1+$E$2)</f>
        <v>7.3062541688146601</v>
      </c>
      <c r="BF169" s="197">
        <f>BG169+各项系数!$L$9*$NS169</f>
        <v>7.3815459373758943</v>
      </c>
      <c r="BG169" s="197">
        <f>BH169*(1+$BJ169+各项系数!$J$5+各项系数!$L$5)</f>
        <v>7.3233600474593512</v>
      </c>
      <c r="BH169" s="199">
        <f t="shared" si="645"/>
        <v>7.1100582985042244</v>
      </c>
      <c r="BI169" s="213"/>
      <c r="BJ169" s="208">
        <f t="shared" si="800"/>
        <v>0.01</v>
      </c>
      <c r="BK169" s="102" t="s">
        <v>514</v>
      </c>
      <c r="BL169" s="196">
        <f>BM169+各项系数!$M$9*$NM169</f>
        <v>6.2720326987376493</v>
      </c>
      <c r="BM169" s="196">
        <f>BN169*(1+$CF169+(VLOOKUP($AM169,$A$12:$B$323,2,0))+各项系数!$J$6+各项系数!$M$5)*(1+$E$2)</f>
        <v>6.2174102757609946</v>
      </c>
      <c r="BN169" s="197">
        <f>BO169+各项系数!$L$9*$NM169</f>
        <v>6.2814813858971457</v>
      </c>
      <c r="BO169" s="197">
        <f>BP169*(1+$CG169+各项系数!$J$5+各项系数!$L$5)</f>
        <v>6.2268589629204909</v>
      </c>
      <c r="BP169" s="197">
        <f t="shared" si="646"/>
        <v>5.9873643874235487</v>
      </c>
      <c r="BQ169" s="196">
        <f>BR169+各项系数!$M$9*$NM169</f>
        <v>6.5871498304026588</v>
      </c>
      <c r="BR169" s="196">
        <f>BS169*(1+$CF169+(VLOOKUP($AM169,$A$12:$B$323,2,0))+各项系数!$J$6+各项系数!$M$5)*(1+$E$2)</f>
        <v>6.532527407426004</v>
      </c>
      <c r="BS169" s="197">
        <f>BT169+各项系数!$L$9*$NM169</f>
        <v>6.5998458349424167</v>
      </c>
      <c r="BT169" s="197">
        <f>BU169*(1+$CG169+各项系数!$J$5+各项系数!$L$5)</f>
        <v>6.545223411965762</v>
      </c>
      <c r="BU169" s="197">
        <f t="shared" si="647"/>
        <v>6.2934840499670788</v>
      </c>
      <c r="BV169" s="196">
        <f>BW169+各项系数!$M$9*$NT169</f>
        <v>7.0650459774580447</v>
      </c>
      <c r="BW169" s="196">
        <f>BX169*(1+$CF169+(VLOOKUP($AM169,$A$12:$B$214,2,0))+各项系数!$J$6+各项系数!$M$5)*(1+$E$2)</f>
        <v>7.0068600875415017</v>
      </c>
      <c r="BX169" s="197">
        <f>BY169+各项系数!$L$9*$NT$12</f>
        <v>7.0790665665200061</v>
      </c>
      <c r="BY169" s="197">
        <f>BZ169*(1+$CG169+各项系数!$J$5+各项系数!$L$5)</f>
        <v>7.0708031633650323</v>
      </c>
      <c r="BZ169" s="199">
        <f t="shared" si="586"/>
        <v>6.7988491955433004</v>
      </c>
      <c r="CA169" s="196">
        <f>CB169+各项系数!$M$9*$NT169</f>
        <v>7.3854021383731974</v>
      </c>
      <c r="CB169" s="196">
        <f>CC169*(1+$CF169+(VLOOKUP($AM169,$A$12:$B$214,2,0))+各项系数!$J$6+各项系数!$M$5)*(1+$E$2)</f>
        <v>7.3272162484566543</v>
      </c>
      <c r="CC169" s="197">
        <f>CD169+各项系数!$L$9*$NT$12</f>
        <v>7.4027240335993678</v>
      </c>
      <c r="CD169" s="197">
        <f>CE169*(1+$CG169+各项系数!$J$5+各项系数!$L$5)</f>
        <v>7.3944606304443941</v>
      </c>
      <c r="CE169" s="199">
        <f t="shared" si="648"/>
        <v>7.1100582985042244</v>
      </c>
      <c r="CF169" s="213">
        <f t="shared" si="753"/>
        <v>0</v>
      </c>
      <c r="CG169" s="213">
        <f t="shared" si="587"/>
        <v>0.02</v>
      </c>
      <c r="CH169" s="102"/>
      <c r="CI169" s="196">
        <f>CJ169+各项系数!$M$9*$NO169</f>
        <v>6.9484821070523344</v>
      </c>
      <c r="CJ169" s="196">
        <f>CK169*(1+$DC169+(VLOOKUP($AM169,$A$12:$B$323,2,0))+各项系数!$J$6+各项系数!$M$5)*(1+$E$2)+各项系数!$M$9*$NK169</f>
        <v>6.8512707259981731</v>
      </c>
      <c r="CK169" s="197">
        <f>CL169+各项系数!$L$9*$NO169</f>
        <v>6.8666885259865813</v>
      </c>
      <c r="CL169" s="197">
        <f>CM169*(1+$DD169+各项系数!$J$5+各项系数!$L$5)</f>
        <v>6.76947714493242</v>
      </c>
      <c r="CM169" s="197">
        <f t="shared" si="588"/>
        <v>6.5723079077013784</v>
      </c>
      <c r="CN169" s="196">
        <f>CO169+各项系数!$M$9*$NO169</f>
        <v>7.2098835574116293</v>
      </c>
      <c r="CO169" s="196">
        <f>CP169*(1+$DC169+(VLOOKUP($AM169,$A$12:$B$323,2,0))+各项系数!$J$6+各项系数!$M$5)*(1+$E$2)+各项系数!$M$9*$NK169</f>
        <v>7.1126721763574681</v>
      </c>
      <c r="CP169" s="197">
        <f>CQ169+各项系数!$L$9*$NO169</f>
        <v>7.1307837476063991</v>
      </c>
      <c r="CQ169" s="197">
        <f>CR169*(1+$DD169+各项系数!$J$5+各项系数!$L$5)</f>
        <v>7.0335723665522378</v>
      </c>
      <c r="CR169" s="197">
        <f t="shared" si="589"/>
        <v>6.8287110354876095</v>
      </c>
      <c r="CS169" s="196">
        <f>CT169+各项系数!$M$9*$NU169</f>
        <v>7.9080845899592225</v>
      </c>
      <c r="CT169" s="196">
        <f t="shared" si="590"/>
        <v>7.8065286328020651</v>
      </c>
      <c r="CU169" s="197">
        <f>CV169+各项系数!$L$9*$NU169</f>
        <v>7.8869757858174019</v>
      </c>
      <c r="CV169" s="197">
        <f>CW169*(1+$DD169+各项系数!$J$5+各项系数!$L$5)</f>
        <v>7.7854198286602445</v>
      </c>
      <c r="CW169" s="199">
        <f t="shared" si="591"/>
        <v>7.5586600278254803</v>
      </c>
      <c r="CX169" s="196">
        <f>CY169+各项系数!$M$9*$NU169</f>
        <v>8.3512862571666151</v>
      </c>
      <c r="CY169" s="196">
        <f t="shared" si="592"/>
        <v>8.2497303000094568</v>
      </c>
      <c r="CZ169" s="197">
        <f>DA169+各项系数!$L$9*$NU169</f>
        <v>8.334744695907716</v>
      </c>
      <c r="DA169" s="197">
        <f>DB169*(1+$DD169+各项系数!$J$5+各项系数!$L$5)</f>
        <v>8.2331887387505578</v>
      </c>
      <c r="DB169" s="199">
        <f t="shared" si="593"/>
        <v>7.9933871250005408</v>
      </c>
      <c r="DC169" s="213">
        <f t="shared" si="698"/>
        <v>0</v>
      </c>
      <c r="DD169" s="213">
        <f t="shared" si="594"/>
        <v>0.01</v>
      </c>
      <c r="DE169" s="53" t="s">
        <v>498</v>
      </c>
      <c r="DF169" s="53" t="s">
        <v>513</v>
      </c>
      <c r="DG169" s="196">
        <f>DH169+各项系数!$M$9*$NQ169</f>
        <v>7.078740374280649</v>
      </c>
      <c r="DH169" s="196">
        <f>DI169*(1+$EA169+(VLOOKUP($AM169,$A$12:$B$323,2,0))+各项系数!$J$6+各项系数!$M$5)*(1+$E$2)+各项系数!$M$9*$NK169</f>
        <v>6.9815289932264877</v>
      </c>
      <c r="DI169" s="197">
        <f>DJ169+各项系数!$L$9*$NQ169</f>
        <v>6.9982891192663503</v>
      </c>
      <c r="DJ169" s="197">
        <f>DK169*(1+$EB169+各项系数!$J$5+各项系数!$L$5)</f>
        <v>6.9010777382121891</v>
      </c>
      <c r="DK169" s="197">
        <f t="shared" si="595"/>
        <v>6.6356516713578735</v>
      </c>
      <c r="DL169" s="196">
        <f>DM169+各项系数!$M$9*$NQ169</f>
        <v>7.4548921967098165</v>
      </c>
      <c r="DM169" s="196">
        <f>DN169*(1+$EA169+(VLOOKUP($AM169,$A$12:$B$323,2,0))+各项系数!$J$6+各项系数!$M$5)*(1+$E$2)+各项系数!$M$9*$NK169</f>
        <v>7.3576808156556552</v>
      </c>
      <c r="DN169" s="197">
        <f>DO169+各项系数!$L$9*$NQ169</f>
        <v>7.3783172284087701</v>
      </c>
      <c r="DO169" s="197">
        <f>DP169*(1+$EB169+各项系数!$J$5+各项系数!$L$5)</f>
        <v>7.2811058473546089</v>
      </c>
      <c r="DP169" s="197">
        <f t="shared" si="596"/>
        <v>7.0010633147640471</v>
      </c>
      <c r="DQ169" s="196">
        <f>DR169+各项系数!$M$9*$NV169</f>
        <v>8.0490139512505579</v>
      </c>
      <c r="DR169" s="196">
        <f t="shared" si="597"/>
        <v>7.9474579940933996</v>
      </c>
      <c r="DS169" s="197">
        <f>DT169+各项系数!$L$9*$NV169</f>
        <v>8.029357439981208</v>
      </c>
      <c r="DT169" s="197">
        <f>DU169*(1+$EB169+各项系数!$J$5+各项系数!$L$5)</f>
        <v>7.9278014828240506</v>
      </c>
      <c r="DU169" s="199">
        <f t="shared" si="598"/>
        <v>7.6228860411769714</v>
      </c>
      <c r="DV169" s="196">
        <f>DW169+各项系数!$M$9*$NV169</f>
        <v>7.9774940032268837</v>
      </c>
      <c r="DW169" s="196">
        <f t="shared" si="599"/>
        <v>7.8759380460697264</v>
      </c>
      <c r="DX169" s="197">
        <f>DY169+各项系数!$L$9*$NV169</f>
        <v>7.9571004708726285</v>
      </c>
      <c r="DY169" s="197">
        <f>DZ169*(1+$EB169+各项系数!$J$5+各项系数!$L$5)</f>
        <v>7.8555445137154711</v>
      </c>
      <c r="DZ169" s="199">
        <f t="shared" si="600"/>
        <v>7.5534081862648756</v>
      </c>
      <c r="EA169" s="213">
        <f t="shared" ref="EA169:EA187" si="802">BI169+$EA$2</f>
        <v>0</v>
      </c>
      <c r="EB169" s="213">
        <f t="shared" si="601"/>
        <v>0.02</v>
      </c>
      <c r="EC169" s="235">
        <f t="shared" si="649"/>
        <v>6</v>
      </c>
      <c r="ED169" s="235" t="str">
        <f t="shared" si="756"/>
        <v>6*1.5</v>
      </c>
      <c r="EE169" s="189">
        <f t="shared" si="709"/>
        <v>1.5</v>
      </c>
      <c r="EF169" s="189">
        <f>LOOKUP(EH169,{1,7,10,14,19,24,30,37,48,61},{1,"1+6","2+8","4+10","1+6+12","2+8+14","4+10+16","1+6+12+18","3+9+15+21","1+6+12+18+24"})</f>
        <v>1</v>
      </c>
      <c r="EG169" s="188">
        <f t="shared" si="602"/>
        <v>6</v>
      </c>
      <c r="EH169" s="197">
        <f>VLOOKUP(EE169,各项系数!$B$87:$C$124,2,0)</f>
        <v>1</v>
      </c>
      <c r="EI169" s="188">
        <f>IF(EH169=0,0,VLOOKUP(EH169,各项系数!$D$142:$E$195,2,0))*1</f>
        <v>1</v>
      </c>
      <c r="EJ169" s="238">
        <f t="shared" si="650"/>
        <v>134.922667214547</v>
      </c>
      <c r="EK169" s="189">
        <f t="shared" si="689"/>
        <v>0</v>
      </c>
      <c r="EL169" s="189">
        <f t="shared" si="603"/>
        <v>0</v>
      </c>
      <c r="EM169" s="189">
        <f t="shared" si="690"/>
        <v>0</v>
      </c>
      <c r="EN169" s="189">
        <f>IF(EP169=0,0,LOOKUP(EP169,{1,7,10,14,19,24,30,37,48,61},{1,"1+6","2+8","4+10","1+6+12","2+8+14","4+10+16","1+6+12+18","3+9+15+21","1+6+12+18+24"}))</f>
        <v>0</v>
      </c>
      <c r="EO169" s="189">
        <f t="shared" si="691"/>
        <v>0</v>
      </c>
      <c r="EP169" s="189">
        <f>IF(EM169=0,0,IF(EM169&lt;10,1,IF(AND(EM169&gt;=10,EM169&lt;=35),7,LOOKUP(EM169,{50,70,95,120,150,185,240,300},{10,14,19,24,30,37,48,61})*1)))</f>
        <v>0</v>
      </c>
      <c r="EQ169" s="189">
        <f>IF(EP169=0,0,VLOOKUP(EP169,各项系数!$D$142:$E$195,2,0))*1</f>
        <v>0</v>
      </c>
      <c r="ER169" s="53">
        <f t="shared" si="710"/>
        <v>0</v>
      </c>
      <c r="ES169" s="412">
        <f t="shared" si="692"/>
        <v>6</v>
      </c>
      <c r="ET169" s="189">
        <f>VLOOKUP(ES169,各项系数!$D$142:$E$195,2,0)*1</f>
        <v>3</v>
      </c>
      <c r="EU169" s="243">
        <f>((各项系数!$F$76/4*$EJ169^2*$EG169*$EH169*1*10^-7)*(1-$H169)*AA169)*(VLOOKUP($EY$9,各项系数!$D$4:$F$143,3,0))*各项系数!$J$4</f>
        <v>7.5881482886662771E-2</v>
      </c>
      <c r="EV169" s="244">
        <f>EU169*(VLOOKUP($EY$9,各项系数!$D$4:$F$143,2,0))</f>
        <v>4.9702371290764118</v>
      </c>
      <c r="EW169" s="252">
        <f>(IF($EO169=0,0,(各项系数!$F$76/4*$ER169^2*$EO169*$EP169*1*10^-7))*(1-$K169)*$AF169)*(VLOOKUP($EY$9,各项系数!$D$4:$F$143,3,0))*各项系数!$J$4</f>
        <v>0</v>
      </c>
      <c r="EX169" s="253">
        <f>EW169*(VLOOKUP($EY$9,各项系数!$D$4:$F$143,2,0))</f>
        <v>0</v>
      </c>
      <c r="EY169" s="189">
        <f>((各项系数!$F$76/4*$EJ169^2*$EG169*$EH169*1*10^-7)*(1-$H169)*AA169+IF($EO169=0,0,(各项系数!$F$76/4*$ER169^2*$EO169*$EP169*1*10^-7))*(1-$K169)*$AF169)*(VLOOKUP($EY$9,各项系数!$D$4:$F$143,3,0))*各项系数!$J$4</f>
        <v>7.5881482886662771E-2</v>
      </c>
      <c r="EZ169" s="102">
        <v>1</v>
      </c>
      <c r="FA169" s="189">
        <f t="shared" si="757"/>
        <v>7.5881482886662771E-2</v>
      </c>
      <c r="FB169" s="254">
        <f>FA169*(VLOOKUP($EY$9,各项系数!$D$4:$F$143,2,0))</f>
        <v>4.9702371290764118</v>
      </c>
      <c r="FC169" s="255"/>
      <c r="FD169" s="235">
        <f>各项系数!$F$76/4*($MN169^2-MK169^2)*10^-2*(VLOOKUP(L169,各项系数!$D$1:$F$143,3,0))*10^-3*10^2*$EG169*各项系数!$J$4</f>
        <v>2.9594085789355223E-2</v>
      </c>
      <c r="FE169" s="262">
        <f>FD169*VLOOKUP(L169,各项系数!$D$1:$F$143,2,0)</f>
        <v>0.34033198657758507</v>
      </c>
      <c r="FF169" s="188">
        <f>各项系数!$F$76/4*($MO169^2-ML169^2)*10^-2*(VLOOKUP(L169,各项系数!$D$1:$F$143,3,0))*10^-3*10^2*$EO169*各项系数!$J$4</f>
        <v>0</v>
      </c>
      <c r="FG169" s="262">
        <f>FF169*VLOOKUP(L169,各项系数!$D$1:$F$143,2,0)</f>
        <v>0</v>
      </c>
      <c r="FH169" s="235">
        <f t="shared" si="651"/>
        <v>2.9594085789355223E-2</v>
      </c>
      <c r="FI169" s="102">
        <v>1</v>
      </c>
      <c r="FJ169" s="189">
        <f t="shared" si="758"/>
        <v>2.9594085789355223E-2</v>
      </c>
      <c r="FK169" s="262">
        <f>FJ169*VLOOKUP(L169,各项系数!$D$1:$F$143,2,0)</f>
        <v>0.34033198657758507</v>
      </c>
      <c r="FL169" s="235"/>
      <c r="FM169" s="102"/>
      <c r="FN169" s="189"/>
      <c r="FO169" s="262"/>
      <c r="FP169" s="282">
        <f t="shared" si="759"/>
        <v>2.9594085789355223E-2</v>
      </c>
      <c r="FQ169" s="282">
        <f t="shared" si="760"/>
        <v>0.34033198657758507</v>
      </c>
      <c r="FR169" s="283">
        <f>各项系数!$F$76/4*($MQ169^2-$MN169^2*$EG169-$MO169^2*$EO169)*10^-2</f>
        <v>0.17808700603808436</v>
      </c>
      <c r="FS169" s="284">
        <f t="shared" si="652"/>
        <v>1</v>
      </c>
      <c r="FT169" s="285">
        <f t="shared" si="604"/>
        <v>0.17808700603808436</v>
      </c>
      <c r="FU169" s="302">
        <f>$FT169*(VLOOKUP($FT$9,各项系数!$D$1:$F$143,3,0))*10^-3*10^2*各项系数!$J$55</f>
        <v>2.1263588520947268E-2</v>
      </c>
      <c r="FV169" s="303">
        <v>1</v>
      </c>
      <c r="FW169" s="304">
        <f t="shared" si="761"/>
        <v>2.1263588520947268E-2</v>
      </c>
      <c r="FX169" s="285">
        <f>FW169*(VLOOKUP($FT$9,各项系数!$D$1:$F$143,2,0))</f>
        <v>6.37907655628418E-2</v>
      </c>
      <c r="FY169" s="302">
        <f>IF($BK169&lt;&gt;$FY$9,0,各项系数!$F$76/4*($MS169^2-$MQ169^2)*10^-2*(VLOOKUP($FY$9,各项系数!$D$1:$F$143,3,0))*10^-3*10^2)*各项系数!$J$4</f>
        <v>0</v>
      </c>
      <c r="FZ169" s="303">
        <v>1</v>
      </c>
      <c r="GA169" s="304">
        <f t="shared" si="762"/>
        <v>0</v>
      </c>
      <c r="GB169" s="285">
        <f>GA169*(VLOOKUP($FY$9,各项系数!$D$1:$F$143,2,0))</f>
        <v>0</v>
      </c>
      <c r="GC169" s="302">
        <f>IF($BK169&lt;&gt;$GC$9,0,各项系数!$F$76/4*($MS169^2-$MQ169^2)*10^-2*(VLOOKUP($GC$9,各项系数!$D$1:$F$143,3,0))*10^-3*10^2)*各项系数!$J$4</f>
        <v>2.2700313487644423E-3</v>
      </c>
      <c r="GD169" s="303">
        <v>1</v>
      </c>
      <c r="GE169" s="304">
        <f t="shared" si="763"/>
        <v>2.2700313487644423E-3</v>
      </c>
      <c r="GF169" s="285">
        <f>GE169*(VLOOKUP($GC$9,各项系数!$D$1:$F$143,2,0))</f>
        <v>2.9283404399061307E-2</v>
      </c>
      <c r="GG169" s="302">
        <f>IF($BK169&lt;&gt;$GG$9,0,各项系数!$F$76/4*($MS169^2-$MQ169^2)*10^-2*(VLOOKUP($GG$9,各项系数!$D$1:$F$143,3,0))*10^-3*10^2)*各项系数!$J$4</f>
        <v>0</v>
      </c>
      <c r="GH169" s="303">
        <v>1</v>
      </c>
      <c r="GI169" s="304">
        <f t="shared" si="764"/>
        <v>0</v>
      </c>
      <c r="GJ169" s="285">
        <f>GI169*(VLOOKUP($GG$9,各项系数!$D$1:$F$143,2,0))</f>
        <v>0</v>
      </c>
      <c r="GK169" s="302">
        <f>IF($BK169&lt;&gt;$GK$9,0,各项系数!$F$76/4*($MS169^2-$MQ169^2)*10^-2*(VLOOKUP($GK$9,各项系数!$D$1:$F$143,3,0))*10^-3*10^2)*各项系数!$J$4</f>
        <v>0</v>
      </c>
      <c r="GL169" s="303">
        <v>1</v>
      </c>
      <c r="GM169" s="304">
        <f t="shared" si="765"/>
        <v>0</v>
      </c>
      <c r="GN169" s="285">
        <f>GM169*(VLOOKUP($GK$9,各项系数!$D$1:$F$143,2,0))</f>
        <v>0</v>
      </c>
      <c r="GO169" s="304">
        <f t="shared" si="766"/>
        <v>2.2700313487644423E-3</v>
      </c>
      <c r="GP169" s="304">
        <f t="shared" si="767"/>
        <v>2.9283404399061307E-2</v>
      </c>
      <c r="GQ169" s="315">
        <f>各项系数!$F$76/4*($MU169^2-$MS169^2)*10^-2*(VLOOKUP($S169,各项系数!$D$1:$F$143,3,0))*10^-3*10^2*各项系数!$J$4</f>
        <v>0.13234716514447578</v>
      </c>
      <c r="GR169" s="303">
        <v>1</v>
      </c>
      <c r="GS169" s="304">
        <f t="shared" si="768"/>
        <v>0.13234716514447578</v>
      </c>
      <c r="GT169" s="304">
        <f t="shared" si="696"/>
        <v>1</v>
      </c>
      <c r="GU169" s="304">
        <f>ROUND($GS169*(VLOOKUP($S169,各项系数!$D$1:$F$143,2,0))+$E$3*GS169,GT169)</f>
        <v>0.8</v>
      </c>
      <c r="GV169" s="315">
        <f>各项系数!$F$76/4*($MT169^2-$MS169^2)*10^-2*(VLOOKUP($GV$9,各项系数!$D$1:$F$143,3,0))*10^-3*10^2*各项系数!$J$4*PI()/4*R169</f>
        <v>1.1878223132959857E-2</v>
      </c>
      <c r="GW169" s="303">
        <v>1</v>
      </c>
      <c r="GX169" s="304">
        <f t="shared" si="769"/>
        <v>1.1878223132959857E-2</v>
      </c>
      <c r="GY169" s="304">
        <f>$GX169*(VLOOKUP($GV$9,各项系数!$D$1:$F$143,2,0))</f>
        <v>0.80178006147479031</v>
      </c>
      <c r="GZ169" s="315">
        <f>各项系数!$F$76/4*($MV169^2-$MS169^2)*10^-2*(VLOOKUP($GZ$9,各项系数!$D$1:$F$143,3,0))*10^-3*10^2*各项系数!$J$4</f>
        <v>5.2343574373598753E-2</v>
      </c>
      <c r="HA169" s="303">
        <v>1</v>
      </c>
      <c r="HB169" s="304">
        <f t="shared" si="653"/>
        <v>5.2343574373598753E-2</v>
      </c>
      <c r="HC169" s="304">
        <f>HB169*(VLOOKUP($GZ$9,各项系数!$D$1:$F$143,2,0))</f>
        <v>0.88984076435117876</v>
      </c>
      <c r="HD169" s="315">
        <f>各项系数!$F$76/4*($MW169^2-$MT169^2)*10^-2*(VLOOKUP($HD$9,各项系数!$D$1:$F$143,3,0))*10^-3*10^2*各项系数!$J$4</f>
        <v>5.3213820671384353E-2</v>
      </c>
      <c r="HE169" s="303">
        <v>1</v>
      </c>
      <c r="HF169" s="304">
        <f t="shared" si="654"/>
        <v>5.3213820671384353E-2</v>
      </c>
      <c r="HG169" s="304">
        <f>HF169*(VLOOKUP($HD$9,各项系数!$D$1:$F$143,2,0))</f>
        <v>0.90463495141353401</v>
      </c>
      <c r="HH169" s="315">
        <f>各项系数!$F$76/4*($MV169^2-$MS169^2)*10^-2*(VLOOKUP($HH$9,各项系数!$D$1:$F$143,3,0))*10^-3*10^2*各项系数!$J$4</f>
        <v>5.2343574373598753E-2</v>
      </c>
      <c r="HI169" s="322">
        <v>1</v>
      </c>
      <c r="HJ169" s="304">
        <f t="shared" si="655"/>
        <v>5.2343574373598753E-2</v>
      </c>
      <c r="HK169" s="304">
        <f>HJ169*(VLOOKUP($HH$9,各项系数!$D$1:$F$143,2,0))</f>
        <v>0.88984076435117876</v>
      </c>
      <c r="HL169" s="315">
        <f>各项系数!$F$76/4*($MW169^2-$MT169^2)*10^-2*(VLOOKUP($HL$9,各项系数!$D$1:$F$143,3,0))*10^-3*10^2*各项系数!$J$4</f>
        <v>5.3213820671384353E-2</v>
      </c>
      <c r="HM169" s="322">
        <v>1</v>
      </c>
      <c r="HN169" s="304">
        <f t="shared" si="605"/>
        <v>5.3213820671384353E-2</v>
      </c>
      <c r="HO169" s="304">
        <f>HN169*(VLOOKUP($HL$9,各项系数!$D$1:$F$143,2,0))</f>
        <v>0.90463495141353401</v>
      </c>
      <c r="HP169" s="315">
        <f>各项系数!$F$76/4*($MV169^2-$MS169^2)*10^-2*(VLOOKUP(AN169,各项系数!$D$1:$F$143,3,0))*10^-3*10^2*各项系数!$J$4</f>
        <v>5.3065554709786307E-2</v>
      </c>
      <c r="HQ169" s="303">
        <v>1</v>
      </c>
      <c r="HR169" s="304">
        <f t="shared" si="770"/>
        <v>5.3065554709786307E-2</v>
      </c>
      <c r="HS169" s="304">
        <f>HR169*(VLOOKUP(AN169,各项系数!$D$1:$F$143,2,0))</f>
        <v>0.53065554709786311</v>
      </c>
      <c r="HT169" s="315">
        <f>各项系数!$F$76/4*($MW169^2-$MT169^2)*10^-2*(VLOOKUP(AN169,各项系数!$D$1:$F$143,3,0))*10^-3*10^2*各项系数!$J$4</f>
        <v>5.3947804404782765E-2</v>
      </c>
      <c r="HU169" s="303">
        <v>1</v>
      </c>
      <c r="HV169" s="304">
        <f t="shared" si="771"/>
        <v>5.3947804404782765E-2</v>
      </c>
      <c r="HW169" s="304">
        <f>HV169*(VLOOKUP(AN169,各项系数!$D$1:$F$143,2,0))</f>
        <v>0.53947804404782762</v>
      </c>
      <c r="HX169" s="315">
        <f>各项系数!$F$76/4*($MV169^2-$MS169^2)*10^-2*(VLOOKUP($HX$9,各项系数!$D$1:$F$143,3,0))*10^-3*10^2*各项系数!$J$4</f>
        <v>5.3065554709786307E-2</v>
      </c>
      <c r="HY169" s="322">
        <v>1</v>
      </c>
      <c r="HZ169" s="304">
        <f t="shared" si="772"/>
        <v>5.3065554709786307E-2</v>
      </c>
      <c r="IA169" s="304">
        <f>HZ169*(VLOOKUP($HX$9,各项系数!$D$1:$F$143,2,0))</f>
        <v>0.58372110180764936</v>
      </c>
      <c r="IB169" s="315">
        <f>各项系数!$F$76/4*($MW169^2-$MT169^2)*10^-2*(VLOOKUP($IB$9,各项系数!$D$1:$F$143,3,0))*10^-3*10^2*各项系数!$J$4</f>
        <v>5.3947804404782765E-2</v>
      </c>
      <c r="IC169" s="322">
        <v>1</v>
      </c>
      <c r="ID169" s="304">
        <f t="shared" si="773"/>
        <v>5.3947804404782765E-2</v>
      </c>
      <c r="IE169" s="304">
        <f>ID169*(VLOOKUP($IB$9,各项系数!$D$1:$F$143,2,0))</f>
        <v>0.59342584845261037</v>
      </c>
      <c r="IF169" s="328"/>
      <c r="IG169" s="315">
        <f t="shared" si="656"/>
        <v>1.3919289476283386E-2</v>
      </c>
      <c r="IH169" s="303">
        <v>1</v>
      </c>
      <c r="II169" s="304">
        <f t="shared" si="774"/>
        <v>1.3919289476283386E-2</v>
      </c>
      <c r="IJ169" s="304">
        <f>II169*(VLOOKUP($IG$8,各项系数!$D$1:$F$143,2,0))</f>
        <v>0.34798223690708463</v>
      </c>
      <c r="IK169" s="315">
        <f>(各项系数!$F$76/4*($MX169^2-$MK169^2)*$EG169)*10^-2*(VLOOKUP($IG$8,各项系数!$D$1:$F$143,3,0))*10^-3*10^2*各项系数!$J$4</f>
        <v>1.3919289476283386E-2</v>
      </c>
      <c r="IL169" s="303">
        <f>IK169*(VLOOKUP($IG$8,各项系数!$D$1:$F$143,2,0))</f>
        <v>0.34798223690708463</v>
      </c>
      <c r="IM169" s="304">
        <f>(各项系数!$F$76/4*(($MM169+3*$X169)^2-MM169^2)*$EO169)*10^-2*(VLOOKUP($IG$8,各项系数!$D$1:$F$143,3,0))*10^-3*10^2*各项系数!$J$4</f>
        <v>0</v>
      </c>
      <c r="IN169" s="303">
        <f>IM169*(VLOOKUP($IG$8,各项系数!$D$1:$F$143,2,0))</f>
        <v>0</v>
      </c>
      <c r="IO169" s="315">
        <f>各项系数!$F$76/4*($MZ169^2-$MX169^2)*10^-2*(VLOOKUP(L169,各项系数!$D$1:$F$143,3,0))*10^-3*10^2*$ES169*各项系数!$J$4</f>
        <v>3.8259038150927384E-2</v>
      </c>
      <c r="IP169" s="303">
        <v>1</v>
      </c>
      <c r="IQ169" s="304">
        <f t="shared" si="775"/>
        <v>3.8259038150927384E-2</v>
      </c>
      <c r="IR169" s="285">
        <f>IQ169*(VLOOKUP(L169,各项系数!$D$1:$F$143,2,0))</f>
        <v>0.4399789387356649</v>
      </c>
      <c r="IS169" s="315">
        <f>IF($L169&lt;&gt;$IS$9,0,各项系数!$F$76/4*($MZ169^2-$MX169^2)*10^-2*各项系数!$F$12*10^-3*10^2)*$ES169*各项系数!$J$4</f>
        <v>0</v>
      </c>
      <c r="IT169" s="303">
        <v>1</v>
      </c>
      <c r="IU169" s="304">
        <f t="shared" si="776"/>
        <v>0</v>
      </c>
      <c r="IV169" s="285">
        <f>IU169*各项系数!$E$12</f>
        <v>0</v>
      </c>
      <c r="IW169" s="302">
        <f t="shared" si="777"/>
        <v>3.8259038150927384E-2</v>
      </c>
      <c r="IX169" s="302">
        <f t="shared" si="778"/>
        <v>0.4399789387356649</v>
      </c>
      <c r="IY169" s="339">
        <f>各项系数!$F$76/4*($NB169^2-$MZ169^2*$EG169-$NA169^2*$EO169)*10^-2</f>
        <v>0.26430185898850295</v>
      </c>
      <c r="IZ169" s="284">
        <f t="shared" si="697"/>
        <v>1</v>
      </c>
      <c r="JA169" s="285">
        <f t="shared" si="606"/>
        <v>0.26430185898850295</v>
      </c>
      <c r="JB169" s="282">
        <f>IF($DE169&lt;&gt;$JB$9,0,$JA169*各项系数!$F$32*10^-3*10^2)*各项系数!$J$4</f>
        <v>0</v>
      </c>
      <c r="JC169" s="102">
        <v>1</v>
      </c>
      <c r="JD169" s="189">
        <f t="shared" si="779"/>
        <v>0</v>
      </c>
      <c r="JE169" s="262">
        <f>JD169*各项系数!$E$32</f>
        <v>0</v>
      </c>
      <c r="JF169" s="282">
        <f>IF($DE169&lt;&gt;$JF$9,0,$JA169*VLOOKUP($JF$9,各项系数!$D$4:$F$540,2,0)*10^-3*10^2)*各项系数!$J$4</f>
        <v>0.13149017484678022</v>
      </c>
      <c r="JG169" s="102">
        <v>1</v>
      </c>
      <c r="JH169" s="189">
        <f t="shared" si="607"/>
        <v>0.13149017484678022</v>
      </c>
      <c r="JI169" s="262">
        <f>JH169*VLOOKUP($JF$9,各项系数!$D$4:$F$540,3,0)</f>
        <v>0.15778820981613625</v>
      </c>
      <c r="JJ169" s="282">
        <f t="shared" si="780"/>
        <v>0.13149017484678022</v>
      </c>
      <c r="JK169" s="189">
        <f t="shared" si="781"/>
        <v>0.15778820981613625</v>
      </c>
      <c r="JL169" s="282">
        <f>IF($DF169&lt;&gt;$JL$9,0,各项系数!$F$76/4*($NE169^2-$NC169^2)*10^-2*各项系数!$F$39*10^-3*10^2)*各项系数!$J$4</f>
        <v>1.1441878300566188E-3</v>
      </c>
      <c r="JM169" s="102">
        <v>1</v>
      </c>
      <c r="JN169" s="189">
        <f t="shared" si="782"/>
        <v>1.1441878300566188E-3</v>
      </c>
      <c r="JO169" s="262">
        <f>JN169*各项系数!$E$39</f>
        <v>2.2883756601132375E-2</v>
      </c>
      <c r="JP169" s="282">
        <f>IF($DF169&lt;&gt;$JP$9,0,各项系数!$F$76/4*($NE169^2-$NC169^2)*10^-2*各项系数!$F$36*10^-3*10^2)*各项系数!$J$4</f>
        <v>0</v>
      </c>
      <c r="JQ169" s="102">
        <v>1</v>
      </c>
      <c r="JR169" s="189">
        <f t="shared" si="783"/>
        <v>0</v>
      </c>
      <c r="JS169" s="262">
        <f>JR169*各项系数!$E$36</f>
        <v>0</v>
      </c>
      <c r="JT169" s="282">
        <f>IF($DF169&lt;&gt;$JT$9,0,各项系数!$F$76/4*($NE169^2-$NC169^2)*10^-2*各项系数!$F$40*10^-3*10^2)*各项系数!$J$4</f>
        <v>0</v>
      </c>
      <c r="JU169" s="102">
        <v>1</v>
      </c>
      <c r="JV169" s="189">
        <f t="shared" si="784"/>
        <v>0</v>
      </c>
      <c r="JW169" s="262">
        <f>JV169*各项系数!$E$40</f>
        <v>0</v>
      </c>
      <c r="JX169" s="282">
        <f>IF($DF169&lt;&gt;$JX$9,0,各项系数!$F$76/4*($NE169^2-$NC169^2)*10^-2*各项系数!$F$38*10^-3*10^2)*各项系数!$J$4</f>
        <v>0</v>
      </c>
      <c r="JY169" s="102">
        <v>1</v>
      </c>
      <c r="JZ169" s="189">
        <f t="shared" si="785"/>
        <v>0</v>
      </c>
      <c r="KA169" s="262">
        <f>JZ169*各项系数!$E$38</f>
        <v>0</v>
      </c>
      <c r="KB169" s="282">
        <f>IF($DF169&lt;&gt;$KB$9,0,各项系数!$F$76/4*($NE169^2-$NC169^2)*10^-2*各项系数!$F$41*10^-3*10^2)*各项系数!$J$4</f>
        <v>0</v>
      </c>
      <c r="KC169" s="102">
        <v>1</v>
      </c>
      <c r="KD169" s="189">
        <f t="shared" si="786"/>
        <v>0</v>
      </c>
      <c r="KE169" s="262">
        <f>KD169*各项系数!$E$41</f>
        <v>0</v>
      </c>
      <c r="KF169" s="189">
        <f t="shared" si="787"/>
        <v>1.1441878300566188E-3</v>
      </c>
      <c r="KG169" s="189">
        <f t="shared" si="788"/>
        <v>2.2883756601132375E-2</v>
      </c>
      <c r="KH169" s="235">
        <f>各项系数!$F$76/4*($NG169^2-$NE169^2)*10^-2*各项系数!$F$44*10^-3*10^2*各项系数!$J$4*0.75*$U169</f>
        <v>0.47905740764083604</v>
      </c>
      <c r="KI169" s="102">
        <v>1</v>
      </c>
      <c r="KJ169" s="189">
        <f t="shared" si="789"/>
        <v>0.47905740764083604</v>
      </c>
      <c r="KK169" s="189">
        <f>ROUND(KJ169*各项系数!$E$43,GT169)</f>
        <v>2.8</v>
      </c>
      <c r="KL169" s="235">
        <f>各项系数!$F$76/4*($NF169^2-$NE169^2)*10^-2*各项系数!$F$46*10^-3*10^2*各项系数!$J$4*PI()/4*R169</f>
        <v>1.4481920343320562E-2</v>
      </c>
      <c r="KM169" s="102">
        <v>1</v>
      </c>
      <c r="KN169" s="189">
        <f t="shared" si="790"/>
        <v>1.4481920343320562E-2</v>
      </c>
      <c r="KO169" s="189">
        <f>KN169*各项系数!$E$46</f>
        <v>0.97752962317413794</v>
      </c>
      <c r="KP169" s="235">
        <f>各项系数!$F$76/4*($NH169^2-$NE169^2)*10^-2*(VLOOKUP($KP$9,各项系数!$D$1:$F$143,3,0))*10^-3*10^2*各项系数!$J$4</f>
        <v>6.2481943742800999E-2</v>
      </c>
      <c r="KQ169" s="102">
        <v>1</v>
      </c>
      <c r="KR169" s="189">
        <f t="shared" si="657"/>
        <v>6.2481943742800999E-2</v>
      </c>
      <c r="KS169" s="189">
        <f>KR169*(VLOOKUP($KP$9,各项系数!$D$1:$F$143,2,0))</f>
        <v>1.062193043627617</v>
      </c>
      <c r="KT169" s="235">
        <f>各项系数!$F$76/4*($NI169^2-$NF169^2)*10^-2*(VLOOKUP($KT$9,各项系数!$D$1:$F$143,3,0))*10^-3*10^2*各项系数!$J$4</f>
        <v>6.335219004058662E-2</v>
      </c>
      <c r="KU169" s="102">
        <v>1</v>
      </c>
      <c r="KV169" s="189">
        <f t="shared" si="658"/>
        <v>6.335219004058662E-2</v>
      </c>
      <c r="KW169" s="189">
        <f>KV169*(VLOOKUP($KT$9,各项系数!$D$1:$F$143,2,0))</f>
        <v>1.0769872306899726</v>
      </c>
      <c r="KX169" s="189">
        <f>各项系数!$F$76/4*($NH169^2-$NE169^2)*10^-2*(VLOOKUP($KX$9,各项系数!$D$1:$F$143,3,0))*10^-3*10^2*各项系数!$J$4</f>
        <v>6.2481943742800999E-2</v>
      </c>
      <c r="KY169" s="353">
        <v>1</v>
      </c>
      <c r="KZ169" s="189">
        <f t="shared" si="659"/>
        <v>6.2481943742800999E-2</v>
      </c>
      <c r="LA169" s="189">
        <f>KZ169*(VLOOKUP($KX$9,各项系数!$D$1:$F$143,2,0))</f>
        <v>1.062193043627617</v>
      </c>
      <c r="LB169" s="189">
        <f>各项系数!$F$76/4*($NI169^2-$NF169^2)*10^-2*(VLOOKUP($LB$9,各项系数!$D$1:$F$143,3,0))*10^-3*10^2*各项系数!$J$4</f>
        <v>6.335219004058662E-2</v>
      </c>
      <c r="LC169" s="353">
        <v>1</v>
      </c>
      <c r="LD169" s="189">
        <f t="shared" si="660"/>
        <v>6.335219004058662E-2</v>
      </c>
      <c r="LE169" s="189">
        <f>LD169*(VLOOKUP($LB$9,各项系数!$D$1:$F$143,2,0))</f>
        <v>1.0769872306899726</v>
      </c>
      <c r="LF169" s="235">
        <f>各项系数!$F$76/4*($NH169^2-$NE169^2)*10^-2*(VLOOKUP(AN169,各项系数!$D$1:$F$143,3,0))*10^-3*10^2*各项系数!$J$4</f>
        <v>6.3343763656494814E-2</v>
      </c>
      <c r="LG169" s="102">
        <v>1</v>
      </c>
      <c r="LH169" s="189">
        <f t="shared" si="791"/>
        <v>6.3343763656494814E-2</v>
      </c>
      <c r="LI169" s="189">
        <f>LH169*(VLOOKUP(AN169,各项系数!$D$1:$F$143,2,0))</f>
        <v>0.63343763656494811</v>
      </c>
      <c r="LJ169" s="235">
        <f>各项系数!$F$76/4*($NI169^2-$NF169^2)*10^-2*(VLOOKUP(AN169,各项系数!$D$1:$F$143,3,0))*10^-3*10^2*各项系数!$J$4</f>
        <v>6.4226013351491251E-2</v>
      </c>
      <c r="LK169" s="102">
        <v>1</v>
      </c>
      <c r="LL169" s="189">
        <f t="shared" si="792"/>
        <v>6.4226013351491251E-2</v>
      </c>
      <c r="LM169" s="189">
        <f>LL169*(VLOOKUP(AN169,各项系数!$D$1:$F$143,2,0))</f>
        <v>0.64226013351491251</v>
      </c>
      <c r="LN169" s="189">
        <f>各项系数!$F$76/4*($NH169^2-$NE169^2)*10^-2*(VLOOKUP($LN$9,各项系数!$D$1:$F$143,3,0))*10^-3*10^2*各项系数!$J$4</f>
        <v>6.3343763656494814E-2</v>
      </c>
      <c r="LO169" s="353">
        <v>1</v>
      </c>
      <c r="LP169" s="189">
        <f t="shared" si="793"/>
        <v>6.3343763656494814E-2</v>
      </c>
      <c r="LQ169" s="189">
        <f>LP169*(VLOOKUP($LN$9,各项系数!$D$1:$F$143,2,0))</f>
        <v>0.69678140022144297</v>
      </c>
      <c r="LR169" s="189">
        <f>各项系数!$F$76/4*($NI169^2-$NF169^2)*10^-2*(VLOOKUP($LR$9,各项系数!$D$1:$F$143,3,0))*10^-3*10^2*各项系数!$J$4</f>
        <v>6.4226013351491251E-2</v>
      </c>
      <c r="LS169" s="353">
        <v>1</v>
      </c>
      <c r="LT169" s="189">
        <f t="shared" si="794"/>
        <v>6.4226013351491251E-2</v>
      </c>
      <c r="LU169" s="189">
        <f>LT169*(VLOOKUP($LR$9,各项系数!$D$1:$F$143,2,0))</f>
        <v>0.70648614686640376</v>
      </c>
      <c r="LV169" s="227">
        <f t="shared" si="661"/>
        <v>8.5784923099999997</v>
      </c>
      <c r="LW169" s="227">
        <f t="shared" si="662"/>
        <v>8.5784923099999997</v>
      </c>
      <c r="LX169" s="227">
        <f t="shared" si="663"/>
        <v>3.3049168890152885</v>
      </c>
      <c r="LY169" s="227">
        <f t="shared" si="664"/>
        <v>0</v>
      </c>
      <c r="LZ169" s="374">
        <f t="shared" si="608"/>
        <v>1</v>
      </c>
      <c r="MA169" s="375">
        <f t="shared" si="609"/>
        <v>8.5784923099999997</v>
      </c>
      <c r="MB169" s="375">
        <f t="shared" si="665"/>
        <v>1.34922667</v>
      </c>
      <c r="MC169" s="227">
        <f t="shared" si="666"/>
        <v>0</v>
      </c>
      <c r="MD169" s="227">
        <f t="shared" si="667"/>
        <v>0</v>
      </c>
      <c r="ME169" s="227">
        <f t="shared" si="668"/>
        <v>0</v>
      </c>
      <c r="MF169" s="227">
        <f t="shared" si="669"/>
        <v>0</v>
      </c>
      <c r="MG169" s="374">
        <f t="shared" si="670"/>
        <v>1</v>
      </c>
      <c r="MH169" s="375">
        <f t="shared" si="610"/>
        <v>0</v>
      </c>
      <c r="MI169" s="375">
        <f t="shared" si="671"/>
        <v>0</v>
      </c>
      <c r="MJ169" s="189">
        <f t="shared" si="611"/>
        <v>1.34922667</v>
      </c>
      <c r="MK169" s="189">
        <f t="shared" si="672"/>
        <v>1.34922667</v>
      </c>
      <c r="ML169" s="189">
        <f t="shared" si="795"/>
        <v>0</v>
      </c>
      <c r="MM169" s="189">
        <f t="shared" si="612"/>
        <v>0</v>
      </c>
      <c r="MN169" s="189">
        <f t="shared" si="613"/>
        <v>2.7492266699999997</v>
      </c>
      <c r="MO169" s="189">
        <f t="shared" si="673"/>
        <v>0</v>
      </c>
      <c r="MP169" s="189">
        <f t="shared" si="674"/>
        <v>8.2476800099999998</v>
      </c>
      <c r="MQ169" s="189">
        <f t="shared" si="796"/>
        <v>8.2476800099999998</v>
      </c>
      <c r="MR169" s="246">
        <f t="shared" si="675"/>
        <v>8.2476800099999998</v>
      </c>
      <c r="MS169" s="380">
        <f t="shared" si="614"/>
        <v>8.42368001</v>
      </c>
      <c r="MT169" s="380">
        <f t="shared" si="615"/>
        <v>8.5836800100000001</v>
      </c>
      <c r="MU169" s="380">
        <f t="shared" si="616"/>
        <v>9.6236800100000011</v>
      </c>
      <c r="MV169" s="380">
        <f t="shared" si="617"/>
        <v>10.82368001</v>
      </c>
      <c r="MW169" s="380">
        <f t="shared" si="618"/>
        <v>10.98368001</v>
      </c>
      <c r="MX169" s="254">
        <f t="shared" si="619"/>
        <v>1.9492266700000001</v>
      </c>
      <c r="MY169" s="254">
        <f t="shared" si="620"/>
        <v>0</v>
      </c>
      <c r="MZ169" s="189">
        <f t="shared" si="621"/>
        <v>3.3492266700000002</v>
      </c>
      <c r="NA169" s="189">
        <f t="shared" si="622"/>
        <v>0</v>
      </c>
      <c r="NB169" s="189">
        <f t="shared" si="676"/>
        <v>10.047680010000001</v>
      </c>
      <c r="NC169" s="254">
        <f t="shared" si="797"/>
        <v>10.047680010000001</v>
      </c>
      <c r="ND169" s="246">
        <f t="shared" si="677"/>
        <v>10.047680010000001</v>
      </c>
      <c r="NE169" s="386">
        <f t="shared" si="678"/>
        <v>10.287680010000001</v>
      </c>
      <c r="NF169" s="380">
        <f t="shared" si="623"/>
        <v>10.447680010000001</v>
      </c>
      <c r="NG169" s="387">
        <f t="shared" si="624"/>
        <v>11.487680010000002</v>
      </c>
      <c r="NH169" s="254">
        <f t="shared" si="625"/>
        <v>12.687680010000001</v>
      </c>
      <c r="NI169" s="380">
        <f t="shared" si="626"/>
        <v>12.847680010000001</v>
      </c>
      <c r="NK169" s="388">
        <f t="shared" si="627"/>
        <v>0.18207474325551601</v>
      </c>
      <c r="NL169" s="388">
        <f t="shared" si="628"/>
        <v>5.9342988327137629</v>
      </c>
      <c r="NM169" s="388">
        <f t="shared" si="629"/>
        <v>0.18207474325551601</v>
      </c>
      <c r="NN169" s="388">
        <f t="shared" si="630"/>
        <v>5.9873643874235487</v>
      </c>
      <c r="NO169" s="388">
        <f t="shared" si="631"/>
        <v>0.32403793684720517</v>
      </c>
      <c r="NP169" s="388">
        <f t="shared" si="632"/>
        <v>6.5723079077013784</v>
      </c>
      <c r="NQ169" s="388">
        <f t="shared" si="633"/>
        <v>0.32403793684720517</v>
      </c>
      <c r="NR169" s="388">
        <f t="shared" si="634"/>
        <v>6.6356516713578735</v>
      </c>
      <c r="NS169" s="388">
        <f t="shared" si="635"/>
        <v>0.19395296638847587</v>
      </c>
      <c r="NT169" s="388">
        <f t="shared" si="636"/>
        <v>0.19395296638847587</v>
      </c>
      <c r="NU169" s="388">
        <f t="shared" si="637"/>
        <v>0.33851985719052574</v>
      </c>
      <c r="NV169" s="388">
        <f t="shared" si="638"/>
        <v>0.33851985719052574</v>
      </c>
      <c r="NW169">
        <f t="shared" si="639"/>
        <v>0.31442190839999179</v>
      </c>
      <c r="NX169">
        <f>各项系数!$M$9*NK169</f>
        <v>5.4622422976654803E-2</v>
      </c>
      <c r="NY169">
        <f t="shared" si="640"/>
        <v>0.19395296638847587</v>
      </c>
    </row>
    <row r="170" spans="1:389" ht="15" hidden="1" customHeight="1">
      <c r="A170" s="69"/>
      <c r="B170" s="70"/>
      <c r="C170" s="69"/>
      <c r="D170" s="102" t="s">
        <v>369</v>
      </c>
      <c r="E170" s="61">
        <f t="shared" si="687"/>
        <v>10.82368001</v>
      </c>
      <c r="F170" s="62">
        <f t="shared" si="798"/>
        <v>134.922667214547</v>
      </c>
      <c r="G170" s="62"/>
      <c r="H170" s="16"/>
      <c r="I170" s="145">
        <v>0</v>
      </c>
      <c r="J170" s="16"/>
      <c r="K170" s="16"/>
      <c r="L170" s="97" t="s">
        <v>469</v>
      </c>
      <c r="M170" s="103">
        <f t="shared" si="582"/>
        <v>0.7</v>
      </c>
      <c r="N170" s="103">
        <f t="shared" si="583"/>
        <v>0</v>
      </c>
      <c r="O170" s="53">
        <f t="shared" si="801"/>
        <v>0.08</v>
      </c>
      <c r="P170" s="99">
        <v>0.1</v>
      </c>
      <c r="Q170" s="133">
        <f t="shared" si="754"/>
        <v>0.1</v>
      </c>
      <c r="R170" s="406">
        <v>0.8</v>
      </c>
      <c r="S170" s="142" t="str">
        <f>各项系数!$D$43</f>
        <v>钢带</v>
      </c>
      <c r="T170" s="102">
        <v>0.2</v>
      </c>
      <c r="U170" s="62">
        <v>4</v>
      </c>
      <c r="V170" s="143"/>
      <c r="W170" s="141">
        <f t="shared" si="799"/>
        <v>1.2</v>
      </c>
      <c r="X170" s="135">
        <f t="shared" si="755"/>
        <v>0.2</v>
      </c>
      <c r="Y170" s="135"/>
      <c r="Z170" s="168"/>
      <c r="AA170" s="153">
        <v>1</v>
      </c>
      <c r="AB170" s="153">
        <f>PI()*EJ170*EJ170/4*EH170*(1-H170)*AA170*各项系数!$F$5*各项系数!$J$4*10^-7</f>
        <v>1.2646913814443796E-2</v>
      </c>
      <c r="AC170" s="153">
        <f t="shared" si="704"/>
        <v>134.922667214547</v>
      </c>
      <c r="AD170" s="153">
        <f t="shared" si="584"/>
        <v>1.4297487227412424</v>
      </c>
      <c r="AE170" s="153">
        <f>POWER(4*EU170/PI()/EG170/10^-7/EH170/(1-H170)/各项系数!$F$5/各项系数!$J$4,0.5)</f>
        <v>134.922667214547</v>
      </c>
      <c r="AF170" s="69">
        <v>1</v>
      </c>
      <c r="AG170" s="69">
        <f>IF(EM170=0,0,PI()*ER170*ER170/4*EP170*(1-K170)*(1+AF170)*各项系数!$F$5*各项系数!$J$4*10^-7)</f>
        <v>0</v>
      </c>
      <c r="AH170" s="69">
        <f t="shared" si="705"/>
        <v>0</v>
      </c>
      <c r="AI170" s="69">
        <f t="shared" si="641"/>
        <v>0</v>
      </c>
      <c r="AJ170" s="69">
        <f>IF(OR(EP170="",EP170=0),0,POWER(4*EW170/PI()/EO170/10^-7/EP170/(1-K170)/各项系数!$F$5/各项系数!$J$4,0.5))</f>
        <v>0</v>
      </c>
      <c r="AK170" s="69" t="str">
        <f t="shared" si="585"/>
        <v>√</v>
      </c>
      <c r="AL170" s="69">
        <f t="shared" si="706"/>
        <v>7.1865153431841282</v>
      </c>
      <c r="AM170" s="188">
        <f t="shared" si="707"/>
        <v>1.5</v>
      </c>
      <c r="AN170" s="97" t="s">
        <v>486</v>
      </c>
      <c r="AO170" s="196">
        <f>AP170+各项系数!$M$9*$NK170</f>
        <v>7.0456032776314981</v>
      </c>
      <c r="AP170" s="196">
        <f>AQ170*(1+$BI170+(VLOOKUP($AM170,$A$12:$B$323,2,0))+各项系数!$J$6+各项系数!$M$5)*(1+$E$2)</f>
        <v>6.9878334350731368</v>
      </c>
      <c r="AQ170" s="197">
        <f>AR170+各项系数!$L$9*$NK170</f>
        <v>7.0598438422642316</v>
      </c>
      <c r="AR170" s="197">
        <f>AS170*(1+$BJ170+各项系数!$J$5+各项系数!$L$5)</f>
        <v>7.0020739997058703</v>
      </c>
      <c r="AS170" s="197">
        <f t="shared" si="642"/>
        <v>6.7981300968018159</v>
      </c>
      <c r="AT170" s="196">
        <f>AU170+各项系数!$M$9*$NM170</f>
        <v>7.4117904515099493</v>
      </c>
      <c r="AU170" s="196">
        <f>AV170*(1+$BI170+(VLOOKUP($AM170,$A$12:$B$323,2,0))+各项系数!$J$6+各项系数!$M$5)*(1+$E$2)</f>
        <v>7.354020608951588</v>
      </c>
      <c r="AV170" s="197">
        <f>AW170+各项系数!$L$9*$NM170</f>
        <v>7.4298046160351463</v>
      </c>
      <c r="AW170" s="197">
        <f>AX170*(1+$BJ170+各项系数!$J$5+各项系数!$L$5)</f>
        <v>7.372034773476785</v>
      </c>
      <c r="AX170" s="197">
        <f t="shared" si="643"/>
        <v>7.1573153140551309</v>
      </c>
      <c r="AY170" s="196">
        <f>AZ170+各项系数!$M$9*$NS170</f>
        <v>7.8790983088471727</v>
      </c>
      <c r="AZ170" s="196">
        <f>BA170*(1+$BI170+(VLOOKUP($AM170,$A$12:$B$214,2,0))+各项系数!$J$6+各项系数!$M$5)*(1+$E$2)</f>
        <v>7.817764999348924</v>
      </c>
      <c r="BA170" s="197">
        <f>BB170+各项系数!$L$9*$NS170</f>
        <v>7.8983279443816166</v>
      </c>
      <c r="BB170" s="197">
        <f>BC170*(1+$BJ170+各项系数!$J$5+各项系数!$L$5)</f>
        <v>7.8369946348833679</v>
      </c>
      <c r="BC170" s="199">
        <f t="shared" si="644"/>
        <v>7.6087326552265706</v>
      </c>
      <c r="BD170" s="196">
        <f>BE170+各项系数!$M$9*$NS170</f>
        <v>8.2513735849650676</v>
      </c>
      <c r="BE170" s="196">
        <f>BF170*(1+$BI170+(VLOOKUP($AM170,$A$12:$B$214,2,0))+各项系数!$J$6+各项系数!$M$5)*(1+$E$2)</f>
        <v>8.1900402754668189</v>
      </c>
      <c r="BF170" s="197">
        <f>BG170+各项系数!$L$9*$NS170</f>
        <v>8.2744395589682949</v>
      </c>
      <c r="BG170" s="197">
        <f>BH170*(1+$BJ170+各项系数!$J$5+各项系数!$L$5)</f>
        <v>8.2131062494700462</v>
      </c>
      <c r="BH170" s="199">
        <f t="shared" si="645"/>
        <v>7.9738895625922774</v>
      </c>
      <c r="BI170" s="213"/>
      <c r="BJ170" s="208">
        <f t="shared" si="800"/>
        <v>0.01</v>
      </c>
      <c r="BK170" s="102" t="s">
        <v>514</v>
      </c>
      <c r="BL170" s="196">
        <f>BM170+各项系数!$M$9*$NM170</f>
        <v>7.1675164268234584</v>
      </c>
      <c r="BM170" s="196">
        <f>BN170*(1+$CF170+(VLOOKUP($AM170,$A$12:$B$323,2,0))+各项系数!$J$6+各项系数!$M$5)*(1+$E$2)</f>
        <v>7.1097465842650971</v>
      </c>
      <c r="BN170" s="197">
        <f>BO170+各项系数!$L$9*$NM170</f>
        <v>7.1830133201304269</v>
      </c>
      <c r="BO170" s="197">
        <f>BP170*(1+$CG170+各项系数!$J$5+各项系数!$L$5)</f>
        <v>7.1252434775720657</v>
      </c>
      <c r="BP170" s="197">
        <f t="shared" si="646"/>
        <v>6.8511956515116017</v>
      </c>
      <c r="BQ170" s="196">
        <f>BR170+各项系数!$M$9*$NM170</f>
        <v>7.4826335584884678</v>
      </c>
      <c r="BR170" s="196">
        <f>BS170*(1+$CF170+(VLOOKUP($AM170,$A$12:$B$323,2,0))+各项系数!$J$6+各项系数!$M$5)*(1+$E$2)</f>
        <v>7.4248637159301065</v>
      </c>
      <c r="BS170" s="197">
        <f>BT170+各项系数!$L$9*$NM170</f>
        <v>7.501377769175698</v>
      </c>
      <c r="BT170" s="197">
        <f>BU170*(1+$CG170+各项系数!$J$5+各项系数!$L$5)</f>
        <v>7.4436079266173367</v>
      </c>
      <c r="BU170" s="197">
        <f t="shared" si="647"/>
        <v>7.1573153140551309</v>
      </c>
      <c r="BV170" s="196">
        <f>BW170+各项系数!$M$9*$NT170</f>
        <v>7.9574143896418796</v>
      </c>
      <c r="BW170" s="196">
        <f>BX170*(1+$CF170+(VLOOKUP($AM170,$A$12:$B$214,2,0))+各项系数!$J$6+各项系数!$M$5)*(1+$E$2)</f>
        <v>7.896081080143631</v>
      </c>
      <c r="BX170" s="197">
        <f>BY170+各项系数!$L$9*$NT$12</f>
        <v>7.9774510811715817</v>
      </c>
      <c r="BY170" s="197">
        <f>BZ170*(1+$CG170+各项系数!$J$5+各项系数!$L$5)</f>
        <v>7.969187678016608</v>
      </c>
      <c r="BZ170" s="199">
        <f t="shared" si="586"/>
        <v>7.6626804596313534</v>
      </c>
      <c r="CA170" s="196">
        <f>CB170+各项系数!$M$9*$NT170</f>
        <v>8.2777705505570314</v>
      </c>
      <c r="CB170" s="196">
        <f>CC170*(1+$CF170+(VLOOKUP($AM170,$A$12:$B$214,2,0))+各项系数!$J$6+各项系数!$M$5)*(1+$E$2)</f>
        <v>8.2164372410587827</v>
      </c>
      <c r="CC170" s="197">
        <f>CD170+各项系数!$L$9*$NT$12</f>
        <v>8.3011085482509426</v>
      </c>
      <c r="CD170" s="197">
        <f>CE170*(1+$CG170+各项系数!$J$5+各项系数!$L$5)</f>
        <v>8.2928451450959688</v>
      </c>
      <c r="CE170" s="199">
        <f t="shared" si="648"/>
        <v>7.9738895625922774</v>
      </c>
      <c r="CF170" s="213">
        <f t="shared" si="753"/>
        <v>0</v>
      </c>
      <c r="CG170" s="213">
        <f t="shared" si="587"/>
        <v>0.02</v>
      </c>
      <c r="CH170" s="102"/>
      <c r="CI170" s="196">
        <f>CJ170+各项系数!$M$9*$NO170</f>
        <v>7.8629930082101822</v>
      </c>
      <c r="CJ170" s="196">
        <f>CK170*(1+$DC170+(VLOOKUP($AM170,$A$12:$B$323,2,0))+各项系数!$J$6+各项系数!$M$5)*(1+$E$2)+各项系数!$M$9*$NK170</f>
        <v>7.772527654115005</v>
      </c>
      <c r="CK170" s="197">
        <f>CL170+各项系数!$L$9*$NO170</f>
        <v>7.7942592559675123</v>
      </c>
      <c r="CL170" s="197">
        <f>CM170*(1+$DD170+各项系数!$J$5+各项系数!$L$5)</f>
        <v>7.7037939018723351</v>
      </c>
      <c r="CM170" s="197">
        <f t="shared" si="588"/>
        <v>7.4794115552158589</v>
      </c>
      <c r="CN170" s="196">
        <f>CO170+各项系数!$M$9*$NO170</f>
        <v>8.1243944585694781</v>
      </c>
      <c r="CO170" s="196">
        <f>CP170*(1+$DC170+(VLOOKUP($AM170,$A$12:$B$323,2,0))+各项系数!$J$6+各项系数!$M$5)*(1+$E$2)+各项系数!$M$9*$NK170</f>
        <v>8.0339291044743</v>
      </c>
      <c r="CP170" s="197">
        <f>CQ170+各项系数!$L$9*$NO170</f>
        <v>8.058354477587331</v>
      </c>
      <c r="CQ170" s="197">
        <f>CR170*(1+$DD170+各项系数!$J$5+各项系数!$L$5)</f>
        <v>7.9678891234921529</v>
      </c>
      <c r="CR170" s="197">
        <f t="shared" si="589"/>
        <v>7.73581468300209</v>
      </c>
      <c r="CS170" s="196">
        <f>CT170+各项系数!$M$9*$NU170</f>
        <v>8.8194480715353656</v>
      </c>
      <c r="CT170" s="196">
        <f t="shared" si="590"/>
        <v>8.7246381413371914</v>
      </c>
      <c r="CU170" s="197">
        <f>CV170+各项系数!$L$9*$NU170</f>
        <v>8.8145465157983338</v>
      </c>
      <c r="CV170" s="197">
        <f>CW170*(1+$DD170+各项系数!$J$5+各项系数!$L$5)</f>
        <v>8.7197365856001596</v>
      </c>
      <c r="CW170" s="199">
        <f t="shared" si="591"/>
        <v>8.4657636753399608</v>
      </c>
      <c r="CX170" s="196">
        <f>CY170+各项系数!$M$9*$NU170</f>
        <v>9.2626497387427555</v>
      </c>
      <c r="CY170" s="196">
        <f t="shared" si="592"/>
        <v>9.1678398085445814</v>
      </c>
      <c r="CZ170" s="197">
        <f>DA170+各项系数!$L$9*$NU170</f>
        <v>9.2623154258886462</v>
      </c>
      <c r="DA170" s="197">
        <f>DB170*(1+$DD170+各项系数!$J$5+各项系数!$L$5)</f>
        <v>9.167505495690472</v>
      </c>
      <c r="DB170" s="199">
        <f t="shared" si="593"/>
        <v>8.9004907725150204</v>
      </c>
      <c r="DC170" s="213">
        <f t="shared" si="698"/>
        <v>0</v>
      </c>
      <c r="DD170" s="213">
        <f t="shared" si="594"/>
        <v>0.01</v>
      </c>
      <c r="DE170" s="53" t="s">
        <v>498</v>
      </c>
      <c r="DF170" s="53" t="s">
        <v>513</v>
      </c>
      <c r="DG170" s="196">
        <f>DH170+各项系数!$M$9*$NQ170</f>
        <v>8.0022297873415962</v>
      </c>
      <c r="DH170" s="196">
        <f>DI170*(1+$EA170+(VLOOKUP($AM170,$A$12:$B$323,2,0))+各项系数!$J$6+各项系数!$M$5)*(1+$E$2)+各项系数!$M$9*$NK170</f>
        <v>7.9117644332464181</v>
      </c>
      <c r="DI170" s="197">
        <f>DJ170+各项系数!$L$9*$NQ170</f>
        <v>7.9349308857224257</v>
      </c>
      <c r="DJ170" s="197">
        <f>DK170*(1+$EB170+各项系数!$J$5+各项系数!$L$5)</f>
        <v>7.8444655316272485</v>
      </c>
      <c r="DK170" s="197">
        <f t="shared" si="595"/>
        <v>7.542755318872354</v>
      </c>
      <c r="DL170" s="196">
        <f>DM170+各项系数!$M$9*$NQ170</f>
        <v>8.3783816097707646</v>
      </c>
      <c r="DM170" s="196">
        <f>DN170*(1+$EA170+(VLOOKUP($AM170,$A$12:$B$323,2,0))+各项系数!$J$6+各项系数!$M$5)*(1+$E$2)+各项系数!$M$9*$NK170</f>
        <v>8.2879162556755865</v>
      </c>
      <c r="DN170" s="197">
        <f>DO170+各项系数!$L$9*$NQ170</f>
        <v>8.3149589948648472</v>
      </c>
      <c r="DO170" s="197">
        <f>DP170*(1+$EB170+各项系数!$J$5+各项系数!$L$5)</f>
        <v>8.2244936407696692</v>
      </c>
      <c r="DP170" s="197">
        <f t="shared" si="596"/>
        <v>7.9081669622785276</v>
      </c>
      <c r="DQ170" s="196">
        <f>DR170+各项系数!$M$9*$NV170</f>
        <v>8.9693559447297986</v>
      </c>
      <c r="DR170" s="196">
        <f t="shared" si="597"/>
        <v>8.8745460145316244</v>
      </c>
      <c r="DS170" s="197">
        <f>DT170+各项系数!$L$9*$NV170</f>
        <v>8.9659992064372851</v>
      </c>
      <c r="DT170" s="197">
        <f>DU170*(1+$EB170+各项系数!$J$5+各项系数!$L$5)</f>
        <v>8.8711892762391109</v>
      </c>
      <c r="DU170" s="199">
        <f t="shared" si="598"/>
        <v>8.5299896886914528</v>
      </c>
      <c r="DV170" s="196">
        <f>DW170+各项系数!$M$9*$NV170</f>
        <v>8.8223508634222956</v>
      </c>
      <c r="DW170" s="196">
        <f t="shared" si="599"/>
        <v>8.7275409332241214</v>
      </c>
      <c r="DX170" s="197">
        <f>DY170+各项系数!$L$9*$NV170</f>
        <v>8.8174792212811894</v>
      </c>
      <c r="DY170" s="197">
        <f>DZ170*(1+$EB170+各项系数!$J$5+各项系数!$L$5)</f>
        <v>8.7226692910830153</v>
      </c>
      <c r="DZ170" s="199">
        <f t="shared" si="600"/>
        <v>8.3871820106567458</v>
      </c>
      <c r="EA170" s="213">
        <f t="shared" si="802"/>
        <v>0</v>
      </c>
      <c r="EB170" s="213">
        <f t="shared" si="601"/>
        <v>0.02</v>
      </c>
      <c r="EC170" s="235">
        <f t="shared" si="649"/>
        <v>7</v>
      </c>
      <c r="ED170" s="235" t="str">
        <f t="shared" si="756"/>
        <v>7*1.5</v>
      </c>
      <c r="EE170" s="189">
        <f t="shared" si="709"/>
        <v>1.5</v>
      </c>
      <c r="EF170" s="189">
        <f>LOOKUP(EH170,{1,7,10,14,19,24,30,37,48,61},{1,"1+6","2+8","4+10","1+6+12","2+8+14","4+10+16","1+6+12+18","3+9+15+21","1+6+12+18+24"})</f>
        <v>1</v>
      </c>
      <c r="EG170" s="188">
        <f t="shared" si="602"/>
        <v>7</v>
      </c>
      <c r="EH170" s="197">
        <f>VLOOKUP(EE170,各项系数!$B$87:$C$124,2,0)</f>
        <v>1</v>
      </c>
      <c r="EI170" s="188">
        <f>IF(EH170=0,0,VLOOKUP(EH170,各项系数!$D$142:$E$195,2,0))*1</f>
        <v>1</v>
      </c>
      <c r="EJ170" s="238">
        <f t="shared" si="650"/>
        <v>134.922667214547</v>
      </c>
      <c r="EK170" s="189">
        <f t="shared" si="689"/>
        <v>0</v>
      </c>
      <c r="EL170" s="189">
        <f t="shared" si="603"/>
        <v>0</v>
      </c>
      <c r="EM170" s="189">
        <f t="shared" si="690"/>
        <v>0</v>
      </c>
      <c r="EN170" s="189">
        <f>IF(EP170=0,0,LOOKUP(EP170,{1,7,10,14,19,24,30,37,48,61},{1,"1+6","2+8","4+10","1+6+12","2+8+14","4+10+16","1+6+12+18","3+9+15+21","1+6+12+18+24"}))</f>
        <v>0</v>
      </c>
      <c r="EO170" s="189">
        <f t="shared" si="691"/>
        <v>0</v>
      </c>
      <c r="EP170" s="189">
        <f>IF(EM170=0,0,IF(EM170&lt;10,1,IF(AND(EM170&gt;=10,EM170&lt;=35),7,LOOKUP(EM170,{50,70,95,120,150,185,240,300},{10,14,19,24,30,37,48,61})*1)))</f>
        <v>0</v>
      </c>
      <c r="EQ170" s="189">
        <f>IF(EP170=0,0,VLOOKUP(EP170,各项系数!$D$142:$E$195,2,0))*1</f>
        <v>0</v>
      </c>
      <c r="ER170" s="53">
        <f t="shared" si="710"/>
        <v>0</v>
      </c>
      <c r="ES170" s="412">
        <f t="shared" si="692"/>
        <v>7</v>
      </c>
      <c r="ET170" s="189">
        <f>VLOOKUP(ES170,各项系数!$D$142:$E$195,2,0)*1</f>
        <v>3</v>
      </c>
      <c r="EU170" s="243">
        <f>((各项系数!$F$76/4*$EJ170^2*$EG170*$EH170*1*10^-7)*(1-$H170)*AA170)*(VLOOKUP($EY$9,各项系数!$D$4:$F$143,3,0))*各项系数!$J$4</f>
        <v>8.8528396701106571E-2</v>
      </c>
      <c r="EV170" s="244">
        <f>EU170*(VLOOKUP($EY$9,各项系数!$D$4:$F$143,2,0))</f>
        <v>5.7986099839224803</v>
      </c>
      <c r="EW170" s="252">
        <f>(IF($EO170=0,0,(各项系数!$F$76/4*$ER170^2*$EO170*$EP170*1*10^-7))*(1-$K170)*$AF170)*(VLOOKUP($EY$9,各项系数!$D$4:$F$143,3,0))*各项系数!$J$4</f>
        <v>0</v>
      </c>
      <c r="EX170" s="253">
        <f>EW170*(VLOOKUP($EY$9,各项系数!$D$4:$F$143,2,0))</f>
        <v>0</v>
      </c>
      <c r="EY170" s="189">
        <f>((各项系数!$F$76/4*$EJ170^2*$EG170*$EH170*1*10^-7)*(1-$H170)*AA170+IF($EO170=0,0,(各项系数!$F$76/4*$ER170^2*$EO170*$EP170*1*10^-7))*(1-$K170)*$AF170)*(VLOOKUP($EY$9,各项系数!$D$4:$F$143,3,0))*各项系数!$J$4</f>
        <v>8.8528396701106571E-2</v>
      </c>
      <c r="EZ170" s="102">
        <v>1</v>
      </c>
      <c r="FA170" s="189">
        <f t="shared" si="757"/>
        <v>8.8528396701106571E-2</v>
      </c>
      <c r="FB170" s="254">
        <f>FA170*(VLOOKUP($EY$9,各项系数!$D$4:$F$143,2,0))</f>
        <v>5.7986099839224803</v>
      </c>
      <c r="FC170" s="255"/>
      <c r="FD170" s="235">
        <f>各项系数!$F$76/4*($MN170^2-MK170^2)*10^-2*(VLOOKUP(L170,各项系数!$D$1:$F$143,3,0))*10^-3*10^2*$EG170*各项系数!$J$4</f>
        <v>3.4526433420914431E-2</v>
      </c>
      <c r="FE170" s="262">
        <f>FD170*VLOOKUP(L170,各项系数!$D$1:$F$143,2,0)</f>
        <v>0.39705398434051598</v>
      </c>
      <c r="FF170" s="188">
        <f>各项系数!$F$76/4*($MO170^2-ML170^2)*10^-2*(VLOOKUP(L170,各项系数!$D$1:$F$143,3,0))*10^-3*10^2*$EO170*各项系数!$J$4</f>
        <v>0</v>
      </c>
      <c r="FG170" s="262">
        <f>FF170*VLOOKUP(L170,各项系数!$D$1:$F$143,2,0)</f>
        <v>0</v>
      </c>
      <c r="FH170" s="235">
        <f t="shared" si="651"/>
        <v>3.4526433420914431E-2</v>
      </c>
      <c r="FI170" s="102">
        <v>1</v>
      </c>
      <c r="FJ170" s="189">
        <f t="shared" si="758"/>
        <v>3.4526433420914431E-2</v>
      </c>
      <c r="FK170" s="262">
        <f>FJ170*VLOOKUP(L170,各项系数!$D$1:$F$143,2,0)</f>
        <v>0.39705398434051598</v>
      </c>
      <c r="FL170" s="235"/>
      <c r="FM170" s="102"/>
      <c r="FN170" s="189"/>
      <c r="FO170" s="262"/>
      <c r="FP170" s="282">
        <f t="shared" si="759"/>
        <v>3.4526433420914431E-2</v>
      </c>
      <c r="FQ170" s="282">
        <f t="shared" si="760"/>
        <v>0.39705398434051598</v>
      </c>
      <c r="FR170" s="283">
        <f>各项系数!$F$76/4*($MQ170^2-$MN170^2*$EG170-$MO170^2*$EO170)*10^-2</f>
        <v>0.11872467069205628</v>
      </c>
      <c r="FS170" s="284">
        <f t="shared" si="652"/>
        <v>1</v>
      </c>
      <c r="FT170" s="285">
        <f t="shared" si="604"/>
        <v>0.11872467069205628</v>
      </c>
      <c r="FU170" s="302">
        <f>$FT170*(VLOOKUP($FT$9,各项系数!$D$1:$F$143,3,0))*10^-3*10^2*各项系数!$J$55</f>
        <v>1.417572568063152E-2</v>
      </c>
      <c r="FV170" s="303">
        <v>1</v>
      </c>
      <c r="FW170" s="304">
        <f t="shared" si="761"/>
        <v>1.417572568063152E-2</v>
      </c>
      <c r="FX170" s="285">
        <f>FW170*(VLOOKUP($FT$9,各项系数!$D$1:$F$143,2,0))</f>
        <v>4.2527177041894557E-2</v>
      </c>
      <c r="FY170" s="302">
        <f>IF($BK170&lt;&gt;$FY$9,0,各项系数!$F$76/4*($MS170^2-$MQ170^2)*10^-2*(VLOOKUP($FY$9,各项系数!$D$1:$F$143,3,0))*10^-3*10^2)*各项系数!$J$4</f>
        <v>0</v>
      </c>
      <c r="FZ170" s="303">
        <v>1</v>
      </c>
      <c r="GA170" s="304">
        <f t="shared" si="762"/>
        <v>0</v>
      </c>
      <c r="GB170" s="285">
        <f>GA170*(VLOOKUP($FY$9,各项系数!$D$1:$F$143,2,0))</f>
        <v>0</v>
      </c>
      <c r="GC170" s="302">
        <f>IF($BK170&lt;&gt;$GC$9,0,各项系数!$F$76/4*($MS170^2-$MQ170^2)*10^-2*(VLOOKUP($GC$9,各项系数!$D$1:$F$143,3,0))*10^-3*10^2)*各项系数!$J$4</f>
        <v>2.2700313487644423E-3</v>
      </c>
      <c r="GD170" s="303">
        <v>1</v>
      </c>
      <c r="GE170" s="304">
        <f t="shared" si="763"/>
        <v>2.2700313487644423E-3</v>
      </c>
      <c r="GF170" s="285">
        <f>GE170*(VLOOKUP($GC$9,各项系数!$D$1:$F$143,2,0))</f>
        <v>2.9283404399061307E-2</v>
      </c>
      <c r="GG170" s="302">
        <f>IF($BK170&lt;&gt;$GG$9,0,各项系数!$F$76/4*($MS170^2-$MQ170^2)*10^-2*(VLOOKUP($GG$9,各项系数!$D$1:$F$143,3,0))*10^-3*10^2)*各项系数!$J$4</f>
        <v>0</v>
      </c>
      <c r="GH170" s="303">
        <v>1</v>
      </c>
      <c r="GI170" s="304">
        <f t="shared" si="764"/>
        <v>0</v>
      </c>
      <c r="GJ170" s="285">
        <f>GI170*(VLOOKUP($GG$9,各项系数!$D$1:$F$143,2,0))</f>
        <v>0</v>
      </c>
      <c r="GK170" s="302">
        <f>IF($BK170&lt;&gt;$GK$9,0,各项系数!$F$76/4*($MS170^2-$MQ170^2)*10^-2*(VLOOKUP($GK$9,各项系数!$D$1:$F$143,3,0))*10^-3*10^2)*各项系数!$J$4</f>
        <v>0</v>
      </c>
      <c r="GL170" s="303">
        <v>1</v>
      </c>
      <c r="GM170" s="304">
        <f t="shared" si="765"/>
        <v>0</v>
      </c>
      <c r="GN170" s="285">
        <f>GM170*(VLOOKUP($GK$9,各项系数!$D$1:$F$143,2,0))</f>
        <v>0</v>
      </c>
      <c r="GO170" s="304">
        <f t="shared" si="766"/>
        <v>2.2700313487644423E-3</v>
      </c>
      <c r="GP170" s="304">
        <f t="shared" si="767"/>
        <v>2.9283404399061307E-2</v>
      </c>
      <c r="GQ170" s="315">
        <f>各项系数!$F$76/4*($MU170^2-$MS170^2)*10^-2*(VLOOKUP($S170,各项系数!$D$1:$F$143,3,0))*10^-3*10^2*各项系数!$J$4</f>
        <v>0.13234716514447578</v>
      </c>
      <c r="GR170" s="303">
        <v>1</v>
      </c>
      <c r="GS170" s="304">
        <f t="shared" si="768"/>
        <v>0.13234716514447578</v>
      </c>
      <c r="GT170" s="304">
        <f t="shared" si="696"/>
        <v>1</v>
      </c>
      <c r="GU170" s="304">
        <f>ROUND($GS170*(VLOOKUP($S170,各项系数!$D$1:$F$143,2,0))+$E$3*GS170,GT170)</f>
        <v>0.8</v>
      </c>
      <c r="GV170" s="315">
        <f>各项系数!$F$76/4*($MT170^2-$MS170^2)*10^-2*(VLOOKUP($GV$9,各项系数!$D$1:$F$143,3,0))*10^-3*10^2*各项系数!$J$4*PI()/4*R170</f>
        <v>1.1878223132959857E-2</v>
      </c>
      <c r="GW170" s="303">
        <v>1</v>
      </c>
      <c r="GX170" s="304">
        <f t="shared" si="769"/>
        <v>1.1878223132959857E-2</v>
      </c>
      <c r="GY170" s="304">
        <f>$GX170*(VLOOKUP($GV$9,各项系数!$D$1:$F$143,2,0))</f>
        <v>0.80178006147479031</v>
      </c>
      <c r="GZ170" s="315">
        <f>各项系数!$F$76/4*($MV170^2-$MS170^2)*10^-2*(VLOOKUP($GZ$9,各项系数!$D$1:$F$143,3,0))*10^-3*10^2*各项系数!$J$4</f>
        <v>5.2343574373598753E-2</v>
      </c>
      <c r="HA170" s="303">
        <v>1</v>
      </c>
      <c r="HB170" s="304">
        <f t="shared" si="653"/>
        <v>5.2343574373598753E-2</v>
      </c>
      <c r="HC170" s="304">
        <f>HB170*(VLOOKUP($GZ$9,各项系数!$D$1:$F$143,2,0))</f>
        <v>0.88984076435117876</v>
      </c>
      <c r="HD170" s="315">
        <f>各项系数!$F$76/4*($MW170^2-$MT170^2)*10^-2*(VLOOKUP($HD$9,各项系数!$D$1:$F$143,3,0))*10^-3*10^2*各项系数!$J$4</f>
        <v>5.3213820671384353E-2</v>
      </c>
      <c r="HE170" s="303">
        <v>1</v>
      </c>
      <c r="HF170" s="304">
        <f t="shared" si="654"/>
        <v>5.3213820671384353E-2</v>
      </c>
      <c r="HG170" s="304">
        <f>HF170*(VLOOKUP($HD$9,各项系数!$D$1:$F$143,2,0))</f>
        <v>0.90463495141353401</v>
      </c>
      <c r="HH170" s="315">
        <f>各项系数!$F$76/4*($MV170^2-$MS170^2)*10^-2*(VLOOKUP($HH$9,各项系数!$D$1:$F$143,3,0))*10^-3*10^2*各项系数!$J$4</f>
        <v>5.2343574373598753E-2</v>
      </c>
      <c r="HI170" s="322">
        <v>1</v>
      </c>
      <c r="HJ170" s="304">
        <f t="shared" si="655"/>
        <v>5.2343574373598753E-2</v>
      </c>
      <c r="HK170" s="304">
        <f>HJ170*(VLOOKUP($HH$9,各项系数!$D$1:$F$143,2,0))</f>
        <v>0.88984076435117876</v>
      </c>
      <c r="HL170" s="315">
        <f>各项系数!$F$76/4*($MW170^2-$MT170^2)*10^-2*(VLOOKUP($HL$9,各项系数!$D$1:$F$143,3,0))*10^-3*10^2*各项系数!$J$4</f>
        <v>5.3213820671384353E-2</v>
      </c>
      <c r="HM170" s="322">
        <v>1</v>
      </c>
      <c r="HN170" s="304">
        <f t="shared" si="605"/>
        <v>5.3213820671384353E-2</v>
      </c>
      <c r="HO170" s="304">
        <f>HN170*(VLOOKUP($HL$9,各项系数!$D$1:$F$143,2,0))</f>
        <v>0.90463495141353401</v>
      </c>
      <c r="HP170" s="315">
        <f>各项系数!$F$76/4*($MV170^2-$MS170^2)*10^-2*(VLOOKUP(AN170,各项系数!$D$1:$F$143,3,0))*10^-3*10^2*各项系数!$J$4</f>
        <v>5.3065554709786307E-2</v>
      </c>
      <c r="HQ170" s="303">
        <v>1</v>
      </c>
      <c r="HR170" s="304">
        <f t="shared" si="770"/>
        <v>5.3065554709786307E-2</v>
      </c>
      <c r="HS170" s="304">
        <f>HR170*(VLOOKUP(AN170,各项系数!$D$1:$F$143,2,0))</f>
        <v>0.53065554709786311</v>
      </c>
      <c r="HT170" s="315">
        <f>各项系数!$F$76/4*($MW170^2-$MT170^2)*10^-2*(VLOOKUP(AN170,各项系数!$D$1:$F$143,3,0))*10^-3*10^2*各项系数!$J$4</f>
        <v>5.3947804404782765E-2</v>
      </c>
      <c r="HU170" s="303">
        <v>1</v>
      </c>
      <c r="HV170" s="304">
        <f t="shared" si="771"/>
        <v>5.3947804404782765E-2</v>
      </c>
      <c r="HW170" s="304">
        <f>HV170*(VLOOKUP(AN170,各项系数!$D$1:$F$143,2,0))</f>
        <v>0.53947804404782762</v>
      </c>
      <c r="HX170" s="315">
        <f>各项系数!$F$76/4*($MV170^2-$MS170^2)*10^-2*(VLOOKUP($HX$9,各项系数!$D$1:$F$143,3,0))*10^-3*10^2*各项系数!$J$4</f>
        <v>5.3065554709786307E-2</v>
      </c>
      <c r="HY170" s="322">
        <v>1</v>
      </c>
      <c r="HZ170" s="304">
        <f t="shared" si="772"/>
        <v>5.3065554709786307E-2</v>
      </c>
      <c r="IA170" s="304">
        <f>HZ170*(VLOOKUP($HX$9,各项系数!$D$1:$F$143,2,0))</f>
        <v>0.58372110180764936</v>
      </c>
      <c r="IB170" s="315">
        <f>各项系数!$F$76/4*($MW170^2-$MT170^2)*10^-2*(VLOOKUP($IB$9,各项系数!$D$1:$F$143,3,0))*10^-3*10^2*各项系数!$J$4</f>
        <v>5.3947804404782765E-2</v>
      </c>
      <c r="IC170" s="322">
        <v>1</v>
      </c>
      <c r="ID170" s="304">
        <f t="shared" si="773"/>
        <v>5.3947804404782765E-2</v>
      </c>
      <c r="IE170" s="304">
        <f>ID170*(VLOOKUP($IB$9,各项系数!$D$1:$F$143,2,0))</f>
        <v>0.59342584845261037</v>
      </c>
      <c r="IF170" s="328"/>
      <c r="IG170" s="315">
        <f t="shared" si="656"/>
        <v>1.6239171055663956E-2</v>
      </c>
      <c r="IH170" s="303">
        <v>1</v>
      </c>
      <c r="II170" s="304">
        <f t="shared" si="774"/>
        <v>1.6239171055663956E-2</v>
      </c>
      <c r="IJ170" s="304">
        <f>II170*(VLOOKUP($IG$8,各项系数!$D$1:$F$143,2,0))</f>
        <v>0.40597927639159892</v>
      </c>
      <c r="IK170" s="315">
        <f>(各项系数!$F$76/4*($MX170^2-$MK170^2)*$EG170)*10^-2*(VLOOKUP($IG$8,各项系数!$D$1:$F$143,3,0))*10^-3*10^2*各项系数!$J$4</f>
        <v>1.6239171055663956E-2</v>
      </c>
      <c r="IL170" s="303">
        <f>IK170*(VLOOKUP($IG$8,各项系数!$D$1:$F$143,2,0))</f>
        <v>0.40597927639159892</v>
      </c>
      <c r="IM170" s="304">
        <f>(各项系数!$F$76/4*(($MM170+3*$X170)^2-MM170^2)*$EO170)*10^-2*(VLOOKUP($IG$8,各项系数!$D$1:$F$143,3,0))*10^-3*10^2*各项系数!$J$4</f>
        <v>0</v>
      </c>
      <c r="IN170" s="303">
        <f>IM170*(VLOOKUP($IG$8,各项系数!$D$1:$F$143,2,0))</f>
        <v>0</v>
      </c>
      <c r="IO170" s="315">
        <f>各项系数!$F$76/4*($MZ170^2-$MX170^2)*10^-2*(VLOOKUP(L170,各项系数!$D$1:$F$143,3,0))*10^-3*10^2*$ES170*各项系数!$J$4</f>
        <v>4.463554450941528E-2</v>
      </c>
      <c r="IP170" s="303">
        <v>1</v>
      </c>
      <c r="IQ170" s="304">
        <f t="shared" si="775"/>
        <v>4.463554450941528E-2</v>
      </c>
      <c r="IR170" s="285">
        <f>IQ170*(VLOOKUP(L170,各项系数!$D$1:$F$143,2,0))</f>
        <v>0.51330876185827568</v>
      </c>
      <c r="IS170" s="315">
        <f>IF($L170&lt;&gt;$IS$9,0,各项系数!$F$76/4*($MZ170^2-$MX170^2)*10^-2*各项系数!$F$12*10^-3*10^2)*$ES170*各项系数!$J$4</f>
        <v>0</v>
      </c>
      <c r="IT170" s="303">
        <v>1</v>
      </c>
      <c r="IU170" s="304">
        <f t="shared" si="776"/>
        <v>0</v>
      </c>
      <c r="IV170" s="285">
        <f>IU170*各项系数!$E$12</f>
        <v>0</v>
      </c>
      <c r="IW170" s="302">
        <f t="shared" si="777"/>
        <v>4.463554450941528E-2</v>
      </c>
      <c r="IX170" s="302">
        <f t="shared" si="778"/>
        <v>0.51330876185827568</v>
      </c>
      <c r="IY170" s="339">
        <f>各项系数!$F$76/4*($NB170^2-$MZ170^2*$EG170-$NA170^2*$EO170)*10^-2</f>
        <v>0.17620123932566864</v>
      </c>
      <c r="IZ170" s="284">
        <f t="shared" si="697"/>
        <v>1</v>
      </c>
      <c r="JA170" s="285">
        <f t="shared" si="606"/>
        <v>0.17620123932566864</v>
      </c>
      <c r="JB170" s="282">
        <f>IF($DE170&lt;&gt;$JB$9,0,$JA170*各项系数!$F$32*10^-3*10^2)*各项系数!$J$4</f>
        <v>0</v>
      </c>
      <c r="JC170" s="102">
        <v>1</v>
      </c>
      <c r="JD170" s="189">
        <f t="shared" si="779"/>
        <v>0</v>
      </c>
      <c r="JE170" s="262">
        <f>JD170*各项系数!$E$32</f>
        <v>0</v>
      </c>
      <c r="JF170" s="282">
        <f>IF($DE170&lt;&gt;$JF$9,0,$JA170*VLOOKUP($JF$9,各项系数!$D$4:$F$540,2,0)*10^-3*10^2)*各项系数!$J$4</f>
        <v>8.7660116564520149E-2</v>
      </c>
      <c r="JG170" s="102">
        <v>1</v>
      </c>
      <c r="JH170" s="189">
        <f t="shared" si="607"/>
        <v>8.7660116564520149E-2</v>
      </c>
      <c r="JI170" s="262">
        <f>JH170*VLOOKUP($JF$9,各项系数!$D$4:$F$540,3,0)</f>
        <v>0.10519213987742418</v>
      </c>
      <c r="JJ170" s="282">
        <f t="shared" si="780"/>
        <v>8.7660116564520149E-2</v>
      </c>
      <c r="JK170" s="189">
        <f t="shared" si="781"/>
        <v>0.10519213987742418</v>
      </c>
      <c r="JL170" s="282">
        <f>IF($DF170&lt;&gt;$JL$9,0,各项系数!$F$76/4*($NE170^2-$NC170^2)*10^-2*各项系数!$F$39*10^-3*10^2)*各项系数!$J$4</f>
        <v>1.1441878300566188E-3</v>
      </c>
      <c r="JM170" s="102">
        <v>1</v>
      </c>
      <c r="JN170" s="189">
        <f t="shared" si="782"/>
        <v>1.1441878300566188E-3</v>
      </c>
      <c r="JO170" s="262">
        <f>JN170*各项系数!$E$39</f>
        <v>2.2883756601132375E-2</v>
      </c>
      <c r="JP170" s="282">
        <f>IF($DF170&lt;&gt;$JP$9,0,各项系数!$F$76/4*($NE170^2-$NC170^2)*10^-2*各项系数!$F$36*10^-3*10^2)*各项系数!$J$4</f>
        <v>0</v>
      </c>
      <c r="JQ170" s="102">
        <v>1</v>
      </c>
      <c r="JR170" s="189">
        <f t="shared" si="783"/>
        <v>0</v>
      </c>
      <c r="JS170" s="262">
        <f>JR170*各项系数!$E$36</f>
        <v>0</v>
      </c>
      <c r="JT170" s="282">
        <f>IF($DF170&lt;&gt;$JT$9,0,各项系数!$F$76/4*($NE170^2-$NC170^2)*10^-2*各项系数!$F$40*10^-3*10^2)*各项系数!$J$4</f>
        <v>0</v>
      </c>
      <c r="JU170" s="102">
        <v>1</v>
      </c>
      <c r="JV170" s="189">
        <f t="shared" si="784"/>
        <v>0</v>
      </c>
      <c r="JW170" s="262">
        <f>JV170*各项系数!$E$40</f>
        <v>0</v>
      </c>
      <c r="JX170" s="282">
        <f>IF($DF170&lt;&gt;$JX$9,0,各项系数!$F$76/4*($NE170^2-$NC170^2)*10^-2*各项系数!$F$38*10^-3*10^2)*各项系数!$J$4</f>
        <v>0</v>
      </c>
      <c r="JY170" s="102">
        <v>1</v>
      </c>
      <c r="JZ170" s="189">
        <f t="shared" si="785"/>
        <v>0</v>
      </c>
      <c r="KA170" s="262">
        <f>JZ170*各项系数!$E$38</f>
        <v>0</v>
      </c>
      <c r="KB170" s="282">
        <f>IF($DF170&lt;&gt;$KB$9,0,各项系数!$F$76/4*($NE170^2-$NC170^2)*10^-2*各项系数!$F$41*10^-3*10^2)*各项系数!$J$4</f>
        <v>0</v>
      </c>
      <c r="KC170" s="102">
        <v>1</v>
      </c>
      <c r="KD170" s="189">
        <f t="shared" si="786"/>
        <v>0</v>
      </c>
      <c r="KE170" s="262">
        <f>KD170*各项系数!$E$41</f>
        <v>0</v>
      </c>
      <c r="KF170" s="189">
        <f t="shared" si="787"/>
        <v>1.1441878300566188E-3</v>
      </c>
      <c r="KG170" s="189">
        <f t="shared" si="788"/>
        <v>2.2883756601132375E-2</v>
      </c>
      <c r="KH170" s="235">
        <f>各项系数!$F$76/4*($NG170^2-$NE170^2)*10^-2*各项系数!$F$44*10^-3*10^2*各项系数!$J$4*0.75*$U170</f>
        <v>0.47905740764083604</v>
      </c>
      <c r="KI170" s="102">
        <v>1</v>
      </c>
      <c r="KJ170" s="189">
        <f t="shared" si="789"/>
        <v>0.47905740764083604</v>
      </c>
      <c r="KK170" s="189">
        <f>ROUND(KJ170*各项系数!$E$43,GT170)</f>
        <v>2.8</v>
      </c>
      <c r="KL170" s="235">
        <f>各项系数!$F$76/4*($NF170^2-$NE170^2)*10^-2*各项系数!$F$46*10^-3*10^2*各项系数!$J$4*PI()/4*R170</f>
        <v>1.4481920343320562E-2</v>
      </c>
      <c r="KM170" s="102">
        <v>1</v>
      </c>
      <c r="KN170" s="189">
        <f t="shared" si="790"/>
        <v>1.4481920343320562E-2</v>
      </c>
      <c r="KO170" s="189">
        <f>KN170*各项系数!$E$46</f>
        <v>0.97752962317413794</v>
      </c>
      <c r="KP170" s="235">
        <f>各项系数!$F$76/4*($NH170^2-$NE170^2)*10^-2*(VLOOKUP($KP$9,各项系数!$D$1:$F$143,3,0))*10^-3*10^2*各项系数!$J$4</f>
        <v>6.2481943742800999E-2</v>
      </c>
      <c r="KQ170" s="102">
        <v>1</v>
      </c>
      <c r="KR170" s="189">
        <f t="shared" si="657"/>
        <v>6.2481943742800999E-2</v>
      </c>
      <c r="KS170" s="189">
        <f>KR170*(VLOOKUP($KP$9,各项系数!$D$1:$F$143,2,0))</f>
        <v>1.062193043627617</v>
      </c>
      <c r="KT170" s="235">
        <f>各项系数!$F$76/4*($NI170^2-$NF170^2)*10^-2*(VLOOKUP($KT$9,各项系数!$D$1:$F$143,3,0))*10^-3*10^2*各项系数!$J$4</f>
        <v>6.335219004058662E-2</v>
      </c>
      <c r="KU170" s="102">
        <v>1</v>
      </c>
      <c r="KV170" s="189">
        <f t="shared" si="658"/>
        <v>6.335219004058662E-2</v>
      </c>
      <c r="KW170" s="189">
        <f>KV170*(VLOOKUP($KT$9,各项系数!$D$1:$F$143,2,0))</f>
        <v>1.0769872306899726</v>
      </c>
      <c r="KX170" s="189">
        <f>各项系数!$F$76/4*($NH170^2-$NE170^2)*10^-2*(VLOOKUP($KX$9,各项系数!$D$1:$F$143,3,0))*10^-3*10^2*各项系数!$J$4</f>
        <v>6.2481943742800999E-2</v>
      </c>
      <c r="KY170" s="353">
        <v>1</v>
      </c>
      <c r="KZ170" s="189">
        <f t="shared" si="659"/>
        <v>6.2481943742800999E-2</v>
      </c>
      <c r="LA170" s="189">
        <f>KZ170*(VLOOKUP($KX$9,各项系数!$D$1:$F$143,2,0))</f>
        <v>1.062193043627617</v>
      </c>
      <c r="LB170" s="189">
        <f>各项系数!$F$76/4*($NI170^2-$NF170^2)*10^-2*(VLOOKUP($LB$9,各项系数!$D$1:$F$143,3,0))*10^-3*10^2*各项系数!$J$4</f>
        <v>6.335219004058662E-2</v>
      </c>
      <c r="LC170" s="353">
        <v>1</v>
      </c>
      <c r="LD170" s="189">
        <f t="shared" si="660"/>
        <v>6.335219004058662E-2</v>
      </c>
      <c r="LE170" s="189">
        <f>LD170*(VLOOKUP($LB$9,各项系数!$D$1:$F$143,2,0))</f>
        <v>1.0769872306899726</v>
      </c>
      <c r="LF170" s="235">
        <f>各项系数!$F$76/4*($NH170^2-$NE170^2)*10^-2*(VLOOKUP(AN170,各项系数!$D$1:$F$143,3,0))*10^-3*10^2*各项系数!$J$4</f>
        <v>6.3343763656494814E-2</v>
      </c>
      <c r="LG170" s="102">
        <v>1</v>
      </c>
      <c r="LH170" s="189">
        <f t="shared" si="791"/>
        <v>6.3343763656494814E-2</v>
      </c>
      <c r="LI170" s="189">
        <f>LH170*(VLOOKUP(AN170,各项系数!$D$1:$F$143,2,0))</f>
        <v>0.63343763656494811</v>
      </c>
      <c r="LJ170" s="235">
        <f>各项系数!$F$76/4*($NI170^2-$NF170^2)*10^-2*(VLOOKUP(AN170,各项系数!$D$1:$F$143,3,0))*10^-3*10^2*各项系数!$J$4</f>
        <v>6.4226013351491251E-2</v>
      </c>
      <c r="LK170" s="102">
        <v>1</v>
      </c>
      <c r="LL170" s="189">
        <f t="shared" si="792"/>
        <v>6.4226013351491251E-2</v>
      </c>
      <c r="LM170" s="189">
        <f>LL170*(VLOOKUP(AN170,各项系数!$D$1:$F$143,2,0))</f>
        <v>0.64226013351491251</v>
      </c>
      <c r="LN170" s="189">
        <f>各项系数!$F$76/4*($NH170^2-$NE170^2)*10^-2*(VLOOKUP($LN$9,各项系数!$D$1:$F$143,3,0))*10^-3*10^2*各项系数!$J$4</f>
        <v>6.3343763656494814E-2</v>
      </c>
      <c r="LO170" s="353">
        <v>1</v>
      </c>
      <c r="LP170" s="189">
        <f t="shared" si="793"/>
        <v>6.3343763656494814E-2</v>
      </c>
      <c r="LQ170" s="189">
        <f>LP170*(VLOOKUP($LN$9,各项系数!$D$1:$F$143,2,0))</f>
        <v>0.69678140022144297</v>
      </c>
      <c r="LR170" s="189">
        <f>各项系数!$F$76/4*($NI170^2-$NF170^2)*10^-2*(VLOOKUP($LR$9,各项系数!$D$1:$F$143,3,0))*10^-3*10^2*各项系数!$J$4</f>
        <v>6.4226013351491251E-2</v>
      </c>
      <c r="LS170" s="353">
        <v>1</v>
      </c>
      <c r="LT170" s="189">
        <f t="shared" si="794"/>
        <v>6.4226013351491251E-2</v>
      </c>
      <c r="LU170" s="189">
        <f>LT170*(VLOOKUP($LR$9,各项系数!$D$1:$F$143,2,0))</f>
        <v>0.70648614686640376</v>
      </c>
      <c r="LV170" s="227">
        <f t="shared" si="661"/>
        <v>10.008241030000001</v>
      </c>
      <c r="LW170" s="227">
        <f t="shared" si="662"/>
        <v>10.008241030000001</v>
      </c>
      <c r="LX170" s="227">
        <f t="shared" si="663"/>
        <v>3.5697182315467111</v>
      </c>
      <c r="LY170" s="227">
        <f t="shared" si="664"/>
        <v>0</v>
      </c>
      <c r="LZ170" s="374">
        <f t="shared" si="608"/>
        <v>1</v>
      </c>
      <c r="MA170" s="375">
        <f t="shared" si="609"/>
        <v>10.008241030000001</v>
      </c>
      <c r="MB170" s="375">
        <f t="shared" si="665"/>
        <v>1.34922667</v>
      </c>
      <c r="MC170" s="227">
        <f t="shared" si="666"/>
        <v>0</v>
      </c>
      <c r="MD170" s="227">
        <f t="shared" si="667"/>
        <v>0</v>
      </c>
      <c r="ME170" s="227">
        <f t="shared" si="668"/>
        <v>0</v>
      </c>
      <c r="MF170" s="227">
        <f t="shared" si="669"/>
        <v>0</v>
      </c>
      <c r="MG170" s="374">
        <f t="shared" si="670"/>
        <v>1</v>
      </c>
      <c r="MH170" s="375">
        <f t="shared" si="610"/>
        <v>0</v>
      </c>
      <c r="MI170" s="375">
        <f t="shared" si="671"/>
        <v>0</v>
      </c>
      <c r="MJ170" s="189">
        <f t="shared" si="611"/>
        <v>1.34922667</v>
      </c>
      <c r="MK170" s="189">
        <f t="shared" si="672"/>
        <v>1.34922667</v>
      </c>
      <c r="ML170" s="189">
        <f t="shared" si="795"/>
        <v>0</v>
      </c>
      <c r="MM170" s="189">
        <f t="shared" si="612"/>
        <v>0</v>
      </c>
      <c r="MN170" s="189">
        <f t="shared" si="613"/>
        <v>2.7492266699999997</v>
      </c>
      <c r="MO170" s="189">
        <f t="shared" si="673"/>
        <v>0</v>
      </c>
      <c r="MP170" s="189">
        <f t="shared" si="674"/>
        <v>8.2476800099999998</v>
      </c>
      <c r="MQ170" s="189">
        <f t="shared" si="796"/>
        <v>8.2476800099999998</v>
      </c>
      <c r="MR170" s="246">
        <f t="shared" si="675"/>
        <v>8.2476800099999998</v>
      </c>
      <c r="MS170" s="380">
        <f t="shared" si="614"/>
        <v>8.42368001</v>
      </c>
      <c r="MT170" s="380">
        <f t="shared" si="615"/>
        <v>8.5836800100000001</v>
      </c>
      <c r="MU170" s="380">
        <f t="shared" si="616"/>
        <v>9.6236800100000011</v>
      </c>
      <c r="MV170" s="380">
        <f t="shared" si="617"/>
        <v>10.82368001</v>
      </c>
      <c r="MW170" s="380">
        <f t="shared" si="618"/>
        <v>10.98368001</v>
      </c>
      <c r="MX170" s="254">
        <f t="shared" si="619"/>
        <v>1.9492266700000001</v>
      </c>
      <c r="MY170" s="254">
        <f t="shared" si="620"/>
        <v>0</v>
      </c>
      <c r="MZ170" s="189">
        <f t="shared" si="621"/>
        <v>3.3492266700000002</v>
      </c>
      <c r="NA170" s="189">
        <f t="shared" si="622"/>
        <v>0</v>
      </c>
      <c r="NB170" s="189">
        <f t="shared" si="676"/>
        <v>10.047680010000001</v>
      </c>
      <c r="NC170" s="254">
        <f t="shared" si="797"/>
        <v>10.047680010000001</v>
      </c>
      <c r="ND170" s="246">
        <f t="shared" si="677"/>
        <v>10.047680010000001</v>
      </c>
      <c r="NE170" s="386">
        <f t="shared" si="678"/>
        <v>10.287680010000001</v>
      </c>
      <c r="NF170" s="380">
        <f t="shared" si="623"/>
        <v>10.447680010000001</v>
      </c>
      <c r="NG170" s="387">
        <f t="shared" si="624"/>
        <v>11.487680010000002</v>
      </c>
      <c r="NH170" s="254">
        <f t="shared" si="625"/>
        <v>12.687680010000001</v>
      </c>
      <c r="NI170" s="380">
        <f t="shared" si="626"/>
        <v>12.847680010000001</v>
      </c>
      <c r="NK170" s="388">
        <f t="shared" si="627"/>
        <v>0.19256614186120327</v>
      </c>
      <c r="NL170" s="388">
        <f t="shared" si="628"/>
        <v>6.7981300968018159</v>
      </c>
      <c r="NM170" s="388">
        <f t="shared" si="629"/>
        <v>0.19256614186120327</v>
      </c>
      <c r="NN170" s="388">
        <f t="shared" si="630"/>
        <v>6.8511956515116017</v>
      </c>
      <c r="NO170" s="388">
        <f t="shared" si="631"/>
        <v>0.30155118031725742</v>
      </c>
      <c r="NP170" s="388">
        <f t="shared" si="632"/>
        <v>7.4794115552158598</v>
      </c>
      <c r="NQ170" s="388">
        <f t="shared" si="633"/>
        <v>0.30155118031725742</v>
      </c>
      <c r="NR170" s="388">
        <f t="shared" si="634"/>
        <v>7.542755318872354</v>
      </c>
      <c r="NS170" s="388">
        <f t="shared" si="635"/>
        <v>0.20444436499416313</v>
      </c>
      <c r="NT170" s="388">
        <f t="shared" si="636"/>
        <v>0.20444436499416313</v>
      </c>
      <c r="NU170" s="388">
        <f t="shared" si="637"/>
        <v>0.31603310066057799</v>
      </c>
      <c r="NV170" s="388">
        <f t="shared" si="638"/>
        <v>0.31603310066057799</v>
      </c>
      <c r="NW170">
        <f t="shared" si="639"/>
        <v>0.32491330700567905</v>
      </c>
      <c r="NX170">
        <f>各项系数!$M$9*NK170</f>
        <v>5.7769842558360977E-2</v>
      </c>
      <c r="NY170">
        <f t="shared" si="640"/>
        <v>0.20444436499416313</v>
      </c>
    </row>
    <row r="171" spans="1:389" ht="15" hidden="1" customHeight="1">
      <c r="A171" s="69"/>
      <c r="B171" s="70"/>
      <c r="C171" s="69"/>
      <c r="D171" s="102" t="s">
        <v>375</v>
      </c>
      <c r="E171" s="61">
        <f t="shared" si="687"/>
        <v>12.06083201</v>
      </c>
      <c r="F171" s="62">
        <f t="shared" si="798"/>
        <v>134.922667214547</v>
      </c>
      <c r="G171" s="16"/>
      <c r="H171" s="16"/>
      <c r="I171" s="145">
        <v>0</v>
      </c>
      <c r="J171" s="16"/>
      <c r="K171" s="16"/>
      <c r="L171" s="97" t="s">
        <v>469</v>
      </c>
      <c r="M171" s="103">
        <f t="shared" si="582"/>
        <v>0.7</v>
      </c>
      <c r="N171" s="103">
        <f t="shared" si="583"/>
        <v>0</v>
      </c>
      <c r="O171" s="53">
        <f t="shared" si="801"/>
        <v>0.08</v>
      </c>
      <c r="P171" s="99">
        <v>0.1</v>
      </c>
      <c r="Q171" s="133">
        <f t="shared" si="754"/>
        <v>0.1</v>
      </c>
      <c r="R171" s="406">
        <v>0.8</v>
      </c>
      <c r="S171" s="142" t="str">
        <f>各项系数!$D$43</f>
        <v>钢带</v>
      </c>
      <c r="T171" s="102">
        <v>0.2</v>
      </c>
      <c r="U171" s="62">
        <v>4</v>
      </c>
      <c r="V171" s="143"/>
      <c r="W171" s="141">
        <f t="shared" si="799"/>
        <v>1.2</v>
      </c>
      <c r="X171" s="135">
        <f t="shared" si="755"/>
        <v>0.2</v>
      </c>
      <c r="Y171" s="135"/>
      <c r="Z171" s="168"/>
      <c r="AA171" s="153">
        <v>1</v>
      </c>
      <c r="AB171" s="153">
        <f>PI()*EJ171*EJ171/4*EH171*(1-H171)*AA171*各项系数!$F$5*各项系数!$J$4*10^-7</f>
        <v>1.2646913814443796E-2</v>
      </c>
      <c r="AC171" s="153">
        <f t="shared" si="704"/>
        <v>134.922667214547</v>
      </c>
      <c r="AD171" s="153">
        <f t="shared" si="584"/>
        <v>1.4297487227412424</v>
      </c>
      <c r="AE171" s="153">
        <f>POWER(4*EU171/PI()/EG171/10^-7/EH171/(1-H171)/各项系数!$F$5/各项系数!$J$4,0.5)</f>
        <v>134.922667214547</v>
      </c>
      <c r="AF171" s="69">
        <v>1</v>
      </c>
      <c r="AG171" s="69">
        <f>IF(EM171=0,0,PI()*ER171*ER171/4*EP171*(1-K171)*(1+AF171)*各项系数!$F$5*各项系数!$J$4*10^-7)</f>
        <v>0</v>
      </c>
      <c r="AH171" s="69">
        <f t="shared" si="705"/>
        <v>0</v>
      </c>
      <c r="AI171" s="69">
        <f t="shared" si="641"/>
        <v>0</v>
      </c>
      <c r="AJ171" s="69">
        <f>IF(OR(EP171="",EP171=0),0,POWER(4*EW171/PI()/EO171/10^-7/EP171/(1-K171)/各项系数!$F$5/各项系数!$J$4,0.5))</f>
        <v>0</v>
      </c>
      <c r="AK171" s="69" t="str">
        <f t="shared" si="585"/>
        <v>√</v>
      </c>
      <c r="AL171" s="69">
        <f t="shared" si="706"/>
        <v>8.2477091203784791</v>
      </c>
      <c r="AM171" s="188">
        <f t="shared" si="707"/>
        <v>1.5</v>
      </c>
      <c r="AN171" s="97" t="s">
        <v>486</v>
      </c>
      <c r="AO171" s="196">
        <f>AP171+各项系数!$M$9*$NK171</f>
        <v>8.0859893337043918</v>
      </c>
      <c r="AP171" s="196">
        <f>AQ171*(1+$BI171+(VLOOKUP($AM171,$A$12:$B$323,2,0))+各项系数!$J$6+各项系数!$M$5)*(1+$E$2)</f>
        <v>8.0167527226812716</v>
      </c>
      <c r="AQ171" s="197">
        <f>AR171+各项系数!$L$9*$NK171</f>
        <v>8.0993662585181578</v>
      </c>
      <c r="AR171" s="197">
        <f>AS171*(1+$BJ171+各项系数!$J$5+各项系数!$L$5)</f>
        <v>8.0301296474950377</v>
      </c>
      <c r="AS171" s="197">
        <f t="shared" si="642"/>
        <v>7.7962423762087738</v>
      </c>
      <c r="AT171" s="196">
        <f>AU171+各项系数!$M$9*$NM171</f>
        <v>8.4992509317186542</v>
      </c>
      <c r="AU171" s="196">
        <f>AV171*(1+$BI171+(VLOOKUP($AM171,$A$12:$B$323,2,0))+各项系数!$J$6+各项系数!$M$5)*(1+$E$2)</f>
        <v>8.430014320695534</v>
      </c>
      <c r="AV171" s="197">
        <f>AW171+各项系数!$L$9*$NM171</f>
        <v>8.5168865636447109</v>
      </c>
      <c r="AW171" s="197">
        <f>AX171*(1+$BJ171+各项系数!$J$5+各项系数!$L$5)</f>
        <v>8.4476499526215907</v>
      </c>
      <c r="AX171" s="197">
        <f t="shared" si="643"/>
        <v>8.2016018957491177</v>
      </c>
      <c r="AY171" s="196">
        <f>AZ171+各项系数!$M$9*$NS171</f>
        <v>9.039436256500057</v>
      </c>
      <c r="AZ171" s="196">
        <f>BA171*(1+$BI171+(VLOOKUP($AM171,$A$12:$B$214,2,0))+各项系数!$J$6+各项系数!$M$5)*(1+$E$2)</f>
        <v>8.9661177500159344</v>
      </c>
      <c r="BA171" s="197">
        <f>BB171+各项系数!$L$9*$NS171</f>
        <v>9.0585145989249689</v>
      </c>
      <c r="BB171" s="197">
        <f>BC171*(1+$BJ171+各项系数!$J$5+各项系数!$L$5)</f>
        <v>8.9851960924408463</v>
      </c>
      <c r="BC171" s="199">
        <f t="shared" si="644"/>
        <v>8.7234913518843165</v>
      </c>
      <c r="BD171" s="196">
        <f>BE171+各项系数!$M$9*$NS171</f>
        <v>9.4587859567537631</v>
      </c>
      <c r="BE171" s="196">
        <f>BF171*(1+$BI171+(VLOOKUP($AM171,$A$12:$B$214,2,0))+各项系数!$J$6+各项系数!$M$5)*(1+$E$2)</f>
        <v>9.3854674502696405</v>
      </c>
      <c r="BF171" s="197">
        <f>BG171+各项系数!$L$9*$NS171</f>
        <v>9.4821857448672855</v>
      </c>
      <c r="BG171" s="197">
        <f>BH171*(1+$BJ171+各项系数!$J$5+各项系数!$L$5)</f>
        <v>9.4088672383831629</v>
      </c>
      <c r="BH171" s="199">
        <f t="shared" si="645"/>
        <v>9.1348225615370513</v>
      </c>
      <c r="BI171" s="213"/>
      <c r="BJ171" s="208">
        <f t="shared" si="800"/>
        <v>0.01</v>
      </c>
      <c r="BK171" s="102" t="s">
        <v>514</v>
      </c>
      <c r="BL171" s="196">
        <f>BM171+各项系数!$M$9*$NM171</f>
        <v>8.2248040336498214</v>
      </c>
      <c r="BM171" s="196">
        <f>BN171*(1+$CF171+(VLOOKUP($AM171,$A$12:$B$323,2,0))+各项系数!$J$6+各项系数!$M$5)*(1+$E$2)</f>
        <v>8.1555674226267012</v>
      </c>
      <c r="BN171" s="197">
        <f>BO171+各项系数!$L$9*$NM171</f>
        <v>8.2396114595137409</v>
      </c>
      <c r="BO171" s="197">
        <f>BP171*(1+$CG171+各项系数!$J$5+各项系数!$L$5)</f>
        <v>8.1703748484906207</v>
      </c>
      <c r="BP171" s="197">
        <f t="shared" si="646"/>
        <v>7.8561296620102112</v>
      </c>
      <c r="BQ171" s="196">
        <f>BR171+各项系数!$M$9*$NM171</f>
        <v>8.5804303872827816</v>
      </c>
      <c r="BR171" s="196">
        <f>BS171*(1+$CF171+(VLOOKUP($AM171,$A$12:$B$323,2,0))+各项系数!$J$6+各项系数!$M$5)*(1+$E$2)</f>
        <v>8.5111937762596614</v>
      </c>
      <c r="BS171" s="197">
        <f>BT171+各项系数!$L$9*$NM171</f>
        <v>8.5989025826022036</v>
      </c>
      <c r="BT171" s="197">
        <f>BU171*(1+$CG171+各项系数!$J$5+各项系数!$L$5)</f>
        <v>8.5296659715790835</v>
      </c>
      <c r="BU171" s="197">
        <f t="shared" si="647"/>
        <v>8.2016018957491177</v>
      </c>
      <c r="BV171" s="196">
        <f>BW171+各项系数!$M$9*$NT171</f>
        <v>9.1239455063095622</v>
      </c>
      <c r="BW171" s="196">
        <f>BX171*(1+$CF171+(VLOOKUP($AM171,$A$12:$B$214,2,0))+各项系数!$J$6+各项系数!$M$5)*(1+$E$2)</f>
        <v>9.0506269998254396</v>
      </c>
      <c r="BX171" s="197">
        <f>BY171+各项系数!$L$9*$NT$12</f>
        <v>9.1438947260309558</v>
      </c>
      <c r="BY171" s="197">
        <f>BZ171*(1+$CG171+各项系数!$J$5+各项系数!$L$5)</f>
        <v>9.135631322875982</v>
      </c>
      <c r="BZ171" s="199">
        <f t="shared" si="586"/>
        <v>8.7842608873807517</v>
      </c>
      <c r="CA171" s="196">
        <f>CB171+各项系数!$M$9*$NT171</f>
        <v>9.4848108891926657</v>
      </c>
      <c r="CB171" s="196">
        <f>CC171*(1+$CF171+(VLOOKUP($AM171,$A$12:$B$214,2,0))+各项系数!$J$6+各项系数!$M$5)*(1+$E$2)</f>
        <v>9.411492382708543</v>
      </c>
      <c r="CC171" s="197">
        <f>CD171+各项系数!$L$9*$NT$12</f>
        <v>9.5084788671535083</v>
      </c>
      <c r="CD171" s="197">
        <f>CE171*(1+$CG171+各项系数!$J$5+各项系数!$L$5)</f>
        <v>9.5002154639985346</v>
      </c>
      <c r="CE171" s="199">
        <f t="shared" si="648"/>
        <v>9.1348225615370513</v>
      </c>
      <c r="CF171" s="213">
        <f t="shared" si="753"/>
        <v>0</v>
      </c>
      <c r="CG171" s="213">
        <f t="shared" si="587"/>
        <v>0.02</v>
      </c>
      <c r="CH171" s="102"/>
      <c r="CI171" s="196">
        <f>CJ171+各项系数!$M$9*$NO171</f>
        <v>9.1106457043741624</v>
      </c>
      <c r="CJ171" s="196">
        <f>CK171*(1+$DC171+(VLOOKUP($AM171,$A$12:$B$323,2,0))+各项系数!$J$6+各项系数!$M$5)*(1+$E$2)+各项系数!$M$9*$NK171</f>
        <v>8.9862173150134197</v>
      </c>
      <c r="CK171" s="197">
        <f>CL171+各项系数!$L$9*$NO171</f>
        <v>9.0088711901296215</v>
      </c>
      <c r="CL171" s="197">
        <f>CM171*(1+$DD171+各项系数!$J$5+各项系数!$L$5)</f>
        <v>8.8844428007688787</v>
      </c>
      <c r="CM171" s="197">
        <f t="shared" si="588"/>
        <v>8.6256726221057072</v>
      </c>
      <c r="CN171" s="196">
        <f>CO171+各项系数!$M$9*$NO171</f>
        <v>9.4039433893037252</v>
      </c>
      <c r="CO171" s="196">
        <f>CP171*(1+$DC171+(VLOOKUP($AM171,$A$12:$B$323,2,0))+各项系数!$J$6+各项系数!$M$5)*(1+$E$2)+各项系数!$M$9*$NK171</f>
        <v>9.2795149999429825</v>
      </c>
      <c r="CP171" s="197">
        <f>CQ171+各项系数!$L$9*$NO171</f>
        <v>9.3051913405939217</v>
      </c>
      <c r="CQ171" s="197">
        <f>CR171*(1+$DD171+各项系数!$J$5+各项系数!$L$5)</f>
        <v>9.180762951233179</v>
      </c>
      <c r="CR171" s="197">
        <f t="shared" si="589"/>
        <v>8.9133620885759015</v>
      </c>
      <c r="CS171" s="196">
        <f>CT171+各项系数!$M$9*$NU171</f>
        <v>10.201764574376977</v>
      </c>
      <c r="CT171" s="196">
        <f t="shared" si="590"/>
        <v>10.072360036897468</v>
      </c>
      <c r="CU171" s="197">
        <f>CV171+各项系数!$L$9*$NU171</f>
        <v>10.176156836631105</v>
      </c>
      <c r="CV171" s="197">
        <f>CW171*(1+$DD171+各项系数!$J$5+各项系数!$L$5)</f>
        <v>10.046752299151596</v>
      </c>
      <c r="CW171" s="199">
        <f t="shared" si="591"/>
        <v>9.7541284457782478</v>
      </c>
      <c r="CX171" s="196">
        <f>CY171+各项系数!$M$9*$NU171</f>
        <v>10.702314338249238</v>
      </c>
      <c r="CY171" s="196">
        <f t="shared" si="592"/>
        <v>10.572909800769729</v>
      </c>
      <c r="CZ171" s="197">
        <f>DA171+各项系数!$L$9*$NU171</f>
        <v>10.681864821953656</v>
      </c>
      <c r="DA171" s="197">
        <f>DB171*(1+$DD171+各项系数!$J$5+各项系数!$L$5)</f>
        <v>10.552460284474147</v>
      </c>
      <c r="DB171" s="199">
        <f t="shared" si="593"/>
        <v>10.245107072304997</v>
      </c>
      <c r="DC171" s="213">
        <f t="shared" ref="DC171:DC188" si="803">BI171+$DC$2</f>
        <v>0</v>
      </c>
      <c r="DD171" s="213">
        <f t="shared" si="594"/>
        <v>0.01</v>
      </c>
      <c r="DE171" s="53" t="s">
        <v>498</v>
      </c>
      <c r="DF171" s="53" t="s">
        <v>513</v>
      </c>
      <c r="DG171" s="196">
        <f>DH171+各项系数!$M$9*$NQ171</f>
        <v>9.2697829660204771</v>
      </c>
      <c r="DH171" s="196">
        <f>DI171*(1+$EA171+(VLOOKUP($AM171,$A$12:$B$323,2,0))+各项系数!$J$6+各项系数!$M$5)*(1+$E$2)+各项系数!$M$9*$NK171</f>
        <v>9.1453545766597344</v>
      </c>
      <c r="DI171" s="197">
        <f>DJ171+各项系数!$L$9*$NQ171</f>
        <v>9.1696483791034691</v>
      </c>
      <c r="DJ171" s="197">
        <f>DK171*(1+$EB171+各项系数!$J$5+各项系数!$L$5)</f>
        <v>9.0452199897427263</v>
      </c>
      <c r="DK171" s="197">
        <f t="shared" si="595"/>
        <v>8.6973269132141588</v>
      </c>
      <c r="DL171" s="196">
        <f>DM171+各项系数!$M$9*$NQ171</f>
        <v>9.6952848722772114</v>
      </c>
      <c r="DM171" s="196">
        <f>DN171*(1+$EA171+(VLOOKUP($AM171,$A$12:$B$323,2,0))+各项系数!$J$6+各项系数!$M$5)*(1+$E$2)+各项系数!$M$9*$NK171</f>
        <v>9.5708564829164686</v>
      </c>
      <c r="DN171" s="197">
        <f>DO171+各项系数!$L$9*$NQ171</f>
        <v>9.599535130221609</v>
      </c>
      <c r="DO171" s="197">
        <f>DP171*(1+$EB171+各项系数!$J$5+各项系数!$L$5)</f>
        <v>9.4751067408608662</v>
      </c>
      <c r="DP171" s="197">
        <f t="shared" si="596"/>
        <v>9.1106795585200633</v>
      </c>
      <c r="DQ171" s="196">
        <f>DR171+各项系数!$M$9*$NV171</f>
        <v>10.372979472544035</v>
      </c>
      <c r="DR171" s="196">
        <f t="shared" si="597"/>
        <v>10.243574935064526</v>
      </c>
      <c r="DS171" s="197">
        <f>DT171+各项系数!$L$9*$NV171</f>
        <v>10.349136123524476</v>
      </c>
      <c r="DT171" s="197">
        <f>DU171*(1+$EB171+各项系数!$J$5+各项系数!$L$5)</f>
        <v>10.219731586044967</v>
      </c>
      <c r="DU171" s="199">
        <f t="shared" si="598"/>
        <v>9.8266649865816991</v>
      </c>
      <c r="DV171" s="196">
        <f>DW171+各项系数!$M$9*$NV171</f>
        <v>10.199839341780267</v>
      </c>
      <c r="DW171" s="196">
        <f t="shared" si="599"/>
        <v>10.070434804300758</v>
      </c>
      <c r="DX171" s="197">
        <f>DY171+各项系数!$L$9*$NV171</f>
        <v>10.174211764296583</v>
      </c>
      <c r="DY171" s="197">
        <f>DZ171*(1+$EB171+各项系数!$J$5+各项系数!$L$5)</f>
        <v>10.044807226817074</v>
      </c>
      <c r="DZ171" s="199">
        <f t="shared" si="600"/>
        <v>9.6584684873241091</v>
      </c>
      <c r="EA171" s="213">
        <f t="shared" si="802"/>
        <v>0</v>
      </c>
      <c r="EB171" s="213">
        <f t="shared" si="601"/>
        <v>0.02</v>
      </c>
      <c r="EC171" s="235">
        <f t="shared" si="649"/>
        <v>8</v>
      </c>
      <c r="ED171" s="235" t="str">
        <f t="shared" si="756"/>
        <v>8*1.5</v>
      </c>
      <c r="EE171" s="189">
        <f t="shared" si="709"/>
        <v>1.5</v>
      </c>
      <c r="EF171" s="189">
        <f>LOOKUP(EH171,{1,7,10,14,19,24,30,37,48,61},{1,"1+6","2+8","4+10","1+6+12","2+8+14","4+10+16","1+6+12+18","3+9+15+21","1+6+12+18+24"})</f>
        <v>1</v>
      </c>
      <c r="EG171" s="188">
        <f t="shared" si="602"/>
        <v>8</v>
      </c>
      <c r="EH171" s="197">
        <f>VLOOKUP(EE171,各项系数!$B$87:$C$124,2,0)</f>
        <v>1</v>
      </c>
      <c r="EI171" s="188">
        <f>IF(EH171=0,0,VLOOKUP(EH171,各项系数!$D$142:$E$195,2,0))*1</f>
        <v>1</v>
      </c>
      <c r="EJ171" s="238">
        <f t="shared" si="650"/>
        <v>134.922667214547</v>
      </c>
      <c r="EK171" s="189">
        <f t="shared" si="689"/>
        <v>0</v>
      </c>
      <c r="EL171" s="189">
        <f t="shared" si="603"/>
        <v>0</v>
      </c>
      <c r="EM171" s="189">
        <f t="shared" si="690"/>
        <v>0</v>
      </c>
      <c r="EN171" s="189">
        <f>IF(EP171=0,0,LOOKUP(EP171,{1,7,10,14,19,24,30,37,48,61},{1,"1+6","2+8","4+10","1+6+12","2+8+14","4+10+16","1+6+12+18","3+9+15+21","1+6+12+18+24"}))</f>
        <v>0</v>
      </c>
      <c r="EO171" s="189">
        <f t="shared" si="691"/>
        <v>0</v>
      </c>
      <c r="EP171" s="189">
        <f>IF(EM171=0,0,IF(EM171&lt;10,1,IF(AND(EM171&gt;=10,EM171&lt;=35),7,LOOKUP(EM171,{50,70,95,120,150,185,240,300},{10,14,19,24,30,37,48,61})*1)))</f>
        <v>0</v>
      </c>
      <c r="EQ171" s="189">
        <f>IF(EP171=0,0,VLOOKUP(EP171,各项系数!$D$142:$E$195,2,0))*1</f>
        <v>0</v>
      </c>
      <c r="ER171" s="53">
        <f t="shared" si="710"/>
        <v>0</v>
      </c>
      <c r="ES171" s="412">
        <f t="shared" si="692"/>
        <v>8</v>
      </c>
      <c r="ET171" s="189">
        <f>VLOOKUP(ES171,各项系数!$D$142:$E$195,2,0)*1</f>
        <v>3.45</v>
      </c>
      <c r="EU171" s="243">
        <f>((各项系数!$F$76/4*$EJ171^2*$EG171*$EH171*1*10^-7)*(1-$H171)*AA171)*(VLOOKUP($EY$9,各项系数!$D$4:$F$143,3,0))*各项系数!$J$4</f>
        <v>0.10117531051555038</v>
      </c>
      <c r="EV171" s="244">
        <f>EU171*(VLOOKUP($EY$9,各项系数!$D$4:$F$143,2,0))</f>
        <v>6.6269828387685505</v>
      </c>
      <c r="EW171" s="252">
        <f>(IF($EO171=0,0,(各项系数!$F$76/4*$ER171^2*$EO171*$EP171*1*10^-7))*(1-$K171)*$AF171)*(VLOOKUP($EY$9,各项系数!$D$4:$F$143,3,0))*各项系数!$J$4</f>
        <v>0</v>
      </c>
      <c r="EX171" s="253">
        <f>EW171*(VLOOKUP($EY$9,各项系数!$D$4:$F$143,2,0))</f>
        <v>0</v>
      </c>
      <c r="EY171" s="189">
        <f>((各项系数!$F$76/4*$EJ171^2*$EG171*$EH171*1*10^-7)*(1-$H171)*AA171+IF($EO171=0,0,(各项系数!$F$76/4*$ER171^2*$EO171*$EP171*1*10^-7))*(1-$K171)*$AF171)*(VLOOKUP($EY$9,各项系数!$D$4:$F$143,3,0))*各项系数!$J$4</f>
        <v>0.10117531051555038</v>
      </c>
      <c r="EZ171" s="102">
        <v>1</v>
      </c>
      <c r="FA171" s="189">
        <f t="shared" si="757"/>
        <v>0.10117531051555038</v>
      </c>
      <c r="FB171" s="254">
        <f>FA171*(VLOOKUP($EY$9,各项系数!$D$4:$F$143,2,0))</f>
        <v>6.6269828387685505</v>
      </c>
      <c r="FC171" s="255"/>
      <c r="FD171" s="235">
        <f>各项系数!$F$76/4*($MN171^2-MK171^2)*10^-2*(VLOOKUP(L171,各项系数!$D$1:$F$143,3,0))*10^-3*10^2*$EG171*各项系数!$J$4</f>
        <v>3.9458781052473635E-2</v>
      </c>
      <c r="FE171" s="262">
        <f>FD171*VLOOKUP(L171,各项系数!$D$1:$F$143,2,0)</f>
        <v>0.45377598210344683</v>
      </c>
      <c r="FF171" s="188">
        <f>各项系数!$F$76/4*($MO171^2-ML171^2)*10^-2*(VLOOKUP(L171,各项系数!$D$1:$F$143,3,0))*10^-3*10^2*$EO171*各项系数!$J$4</f>
        <v>0</v>
      </c>
      <c r="FG171" s="262">
        <f>FF171*VLOOKUP(L171,各项系数!$D$1:$F$143,2,0)</f>
        <v>0</v>
      </c>
      <c r="FH171" s="235">
        <f t="shared" si="651"/>
        <v>3.9458781052473635E-2</v>
      </c>
      <c r="FI171" s="102">
        <v>1</v>
      </c>
      <c r="FJ171" s="189">
        <f t="shared" si="758"/>
        <v>3.9458781052473635E-2</v>
      </c>
      <c r="FK171" s="262">
        <f>FJ171*VLOOKUP(L171,各项系数!$D$1:$F$143,2,0)</f>
        <v>0.45377598210344683</v>
      </c>
      <c r="FL171" s="235"/>
      <c r="FM171" s="102"/>
      <c r="FN171" s="189"/>
      <c r="FO171" s="262"/>
      <c r="FP171" s="282">
        <f t="shared" si="759"/>
        <v>3.9458781052473635E-2</v>
      </c>
      <c r="FQ171" s="282">
        <f t="shared" si="760"/>
        <v>0.45377598210344683</v>
      </c>
      <c r="FR171" s="283">
        <f>各项系数!$F$76/4*($MQ171^2-$MN171^2*$EG171-$MO171^2*$EO171)*10^-2</f>
        <v>0.23166151346439376</v>
      </c>
      <c r="FS171" s="284">
        <f t="shared" si="652"/>
        <v>1</v>
      </c>
      <c r="FT171" s="285">
        <f t="shared" si="604"/>
        <v>0.23166151346439376</v>
      </c>
      <c r="FU171" s="302">
        <f>$FT171*(VLOOKUP($FT$9,各项系数!$D$1:$F$143,3,0))*10^-3*10^2*各项系数!$J$55</f>
        <v>2.7660384707648613E-2</v>
      </c>
      <c r="FV171" s="303">
        <v>1</v>
      </c>
      <c r="FW171" s="304">
        <f t="shared" si="761"/>
        <v>2.7660384707648613E-2</v>
      </c>
      <c r="FX171" s="285">
        <f>FW171*(VLOOKUP($FT$9,各项系数!$D$1:$F$143,2,0))</f>
        <v>8.2981154122945835E-2</v>
      </c>
      <c r="FY171" s="302">
        <f>IF($BK171&lt;&gt;$FY$9,0,各项系数!$F$76/4*($MS171^2-$MQ171^2)*10^-2*(VLOOKUP($FY$9,各项系数!$D$1:$F$143,3,0))*10^-3*10^2)*各项系数!$J$4</f>
        <v>0</v>
      </c>
      <c r="FZ171" s="303">
        <v>1</v>
      </c>
      <c r="GA171" s="304">
        <f t="shared" si="762"/>
        <v>0</v>
      </c>
      <c r="GB171" s="285">
        <f>GA171*(VLOOKUP($FY$9,各项系数!$D$1:$F$143,2,0))</f>
        <v>0</v>
      </c>
      <c r="GC171" s="302">
        <f>IF($BK171&lt;&gt;$GC$9,0,各项系数!$F$76/4*($MS171^2-$MQ171^2)*10^-2*(VLOOKUP($GC$9,各项系数!$D$1:$F$143,3,0))*10^-3*10^2)*各项系数!$J$4</f>
        <v>2.6069413332908942E-3</v>
      </c>
      <c r="GD171" s="303">
        <v>1</v>
      </c>
      <c r="GE171" s="304">
        <f t="shared" si="763"/>
        <v>2.6069413332908942E-3</v>
      </c>
      <c r="GF171" s="285">
        <f>GE171*(VLOOKUP($GC$9,各项系数!$D$1:$F$143,2,0))</f>
        <v>3.3629543199452536E-2</v>
      </c>
      <c r="GG171" s="302">
        <f>IF($BK171&lt;&gt;$GG$9,0,各项系数!$F$76/4*($MS171^2-$MQ171^2)*10^-2*(VLOOKUP($GG$9,各项系数!$D$1:$F$143,3,0))*10^-3*10^2)*各项系数!$J$4</f>
        <v>0</v>
      </c>
      <c r="GH171" s="303">
        <v>1</v>
      </c>
      <c r="GI171" s="304">
        <f t="shared" si="764"/>
        <v>0</v>
      </c>
      <c r="GJ171" s="285">
        <f>GI171*(VLOOKUP($GG$9,各项系数!$D$1:$F$143,2,0))</f>
        <v>0</v>
      </c>
      <c r="GK171" s="302">
        <f>IF($BK171&lt;&gt;$GK$9,0,各项系数!$F$76/4*($MS171^2-$MQ171^2)*10^-2*(VLOOKUP($GK$9,各项系数!$D$1:$F$143,3,0))*10^-3*10^2)*各项系数!$J$4</f>
        <v>0</v>
      </c>
      <c r="GL171" s="303">
        <v>1</v>
      </c>
      <c r="GM171" s="304">
        <f t="shared" si="765"/>
        <v>0</v>
      </c>
      <c r="GN171" s="285">
        <f>GM171*(VLOOKUP($GK$9,各项系数!$D$1:$F$143,2,0))</f>
        <v>0</v>
      </c>
      <c r="GO171" s="304">
        <f t="shared" si="766"/>
        <v>2.6069413332908942E-3</v>
      </c>
      <c r="GP171" s="304">
        <f t="shared" si="767"/>
        <v>3.3629543199452536E-2</v>
      </c>
      <c r="GQ171" s="315">
        <f>各项系数!$F$76/4*($MU171^2-$MS171^2)*10^-2*(VLOOKUP($S171,各项系数!$D$1:$F$143,3,0))*10^-3*10^2*各项系数!$J$4</f>
        <v>0.15049204172158928</v>
      </c>
      <c r="GR171" s="303">
        <v>1</v>
      </c>
      <c r="GS171" s="304">
        <f t="shared" si="768"/>
        <v>0.15049204172158928</v>
      </c>
      <c r="GT171" s="304">
        <f t="shared" si="696"/>
        <v>1</v>
      </c>
      <c r="GU171" s="304">
        <f>ROUND($GS171*(VLOOKUP($S171,各项系数!$D$1:$F$143,2,0))+$E$3*GS171,GT171)</f>
        <v>0.9</v>
      </c>
      <c r="GV171" s="315">
        <f>各项系数!$F$76/4*($MT171^2-$MS171^2)*10^-2*(VLOOKUP($GV$9,各项系数!$D$1:$F$143,3,0))*10^-3*10^2*各项系数!$J$4*PI()/4*R171</f>
        <v>1.36063182033419E-2</v>
      </c>
      <c r="GW171" s="303">
        <v>1</v>
      </c>
      <c r="GX171" s="304">
        <f t="shared" si="769"/>
        <v>1.36063182033419E-2</v>
      </c>
      <c r="GY171" s="304">
        <f>$GX171*(VLOOKUP($GV$9,各项系数!$D$1:$F$143,2,0))</f>
        <v>0.91842647872557825</v>
      </c>
      <c r="GZ171" s="315">
        <f>各项系数!$F$76/4*($MV171^2-$MS171^2)*10^-2*(VLOOKUP($GZ$9,各项系数!$D$1:$F$143,3,0))*10^-3*10^2*各项系数!$J$4</f>
        <v>5.9072492797336583E-2</v>
      </c>
      <c r="HA171" s="303">
        <v>1</v>
      </c>
      <c r="HB171" s="304">
        <f t="shared" si="653"/>
        <v>5.9072492797336583E-2</v>
      </c>
      <c r="HC171" s="304">
        <f>HB171*(VLOOKUP($GZ$9,各项系数!$D$1:$F$143,2,0))</f>
        <v>1.0042323775547219</v>
      </c>
      <c r="HD171" s="315">
        <f>各项系数!$F$76/4*($MW171^2-$MT171^2)*10^-2*(VLOOKUP($HD$9,各项系数!$D$1:$F$143,3,0))*10^-3*10^2*各项系数!$J$4</f>
        <v>5.9942739095122197E-2</v>
      </c>
      <c r="HE171" s="303">
        <v>1</v>
      </c>
      <c r="HF171" s="304">
        <f t="shared" si="654"/>
        <v>5.9942739095122197E-2</v>
      </c>
      <c r="HG171" s="304">
        <f>HF171*(VLOOKUP($HD$9,各项系数!$D$1:$F$143,2,0))</f>
        <v>1.0190265646170773</v>
      </c>
      <c r="HH171" s="315">
        <f>各项系数!$F$76/4*($MV171^2-$MS171^2)*10^-2*(VLOOKUP($HH$9,各项系数!$D$1:$F$143,3,0))*10^-3*10^2*各项系数!$J$4</f>
        <v>5.9072492797336583E-2</v>
      </c>
      <c r="HI171" s="322">
        <v>1</v>
      </c>
      <c r="HJ171" s="304">
        <f t="shared" si="655"/>
        <v>5.9072492797336583E-2</v>
      </c>
      <c r="HK171" s="304">
        <f>HJ171*(VLOOKUP($HH$9,各项系数!$D$1:$F$143,2,0))</f>
        <v>1.0042323775547219</v>
      </c>
      <c r="HL171" s="315">
        <f>各项系数!$F$76/4*($MW171^2-$MT171^2)*10^-2*(VLOOKUP($HL$9,各项系数!$D$1:$F$143,3,0))*10^-3*10^2*各项系数!$J$4</f>
        <v>5.9942739095122197E-2</v>
      </c>
      <c r="HM171" s="322">
        <v>1</v>
      </c>
      <c r="HN171" s="304">
        <f t="shared" si="605"/>
        <v>5.9942739095122197E-2</v>
      </c>
      <c r="HO171" s="304">
        <f>HN171*(VLOOKUP($HL$9,各项系数!$D$1:$F$143,2,0))</f>
        <v>1.0190265646170773</v>
      </c>
      <c r="HP171" s="315">
        <f>各项系数!$F$76/4*($MV171^2-$MS171^2)*10^-2*(VLOOKUP(AN171,各项系数!$D$1:$F$143,3,0))*10^-3*10^2*各项系数!$J$4</f>
        <v>5.9887285801437783E-2</v>
      </c>
      <c r="HQ171" s="303">
        <v>1</v>
      </c>
      <c r="HR171" s="304">
        <f t="shared" si="770"/>
        <v>5.9887285801437783E-2</v>
      </c>
      <c r="HS171" s="304">
        <f>HR171*(VLOOKUP(AN171,各项系数!$D$1:$F$143,2,0))</f>
        <v>0.59887285801437784</v>
      </c>
      <c r="HT171" s="315">
        <f>各项系数!$F$76/4*($MW171^2-$MT171^2)*10^-2*(VLOOKUP(AN171,各项系数!$D$1:$F$143,3,0))*10^-3*10^2*各项系数!$J$4</f>
        <v>6.076953549643424E-2</v>
      </c>
      <c r="HU171" s="303">
        <v>1</v>
      </c>
      <c r="HV171" s="304">
        <f t="shared" si="771"/>
        <v>6.076953549643424E-2</v>
      </c>
      <c r="HW171" s="304">
        <f>HV171*(VLOOKUP(AN171,各项系数!$D$1:$F$143,2,0))</f>
        <v>0.60769535496434246</v>
      </c>
      <c r="HX171" s="315">
        <f>各项系数!$F$76/4*($MV171^2-$MS171^2)*10^-2*(VLOOKUP($HX$9,各项系数!$D$1:$F$143,3,0))*10^-3*10^2*各项系数!$J$4</f>
        <v>5.9887285801437783E-2</v>
      </c>
      <c r="HY171" s="322">
        <v>1</v>
      </c>
      <c r="HZ171" s="304">
        <f t="shared" si="772"/>
        <v>5.9887285801437783E-2</v>
      </c>
      <c r="IA171" s="304">
        <f>HZ171*(VLOOKUP($HX$9,各项系数!$D$1:$F$143,2,0))</f>
        <v>0.6587601438158156</v>
      </c>
      <c r="IB171" s="315">
        <f>各项系数!$F$76/4*($MW171^2-$MT171^2)*10^-2*(VLOOKUP($IB$9,各项系数!$D$1:$F$143,3,0))*10^-3*10^2*各项系数!$J$4</f>
        <v>6.076953549643424E-2</v>
      </c>
      <c r="IC171" s="322">
        <v>1</v>
      </c>
      <c r="ID171" s="304">
        <f t="shared" si="773"/>
        <v>6.076953549643424E-2</v>
      </c>
      <c r="IE171" s="304">
        <f>ID171*(VLOOKUP($IB$9,各项系数!$D$1:$F$143,2,0))</f>
        <v>0.66846489046077662</v>
      </c>
      <c r="IF171" s="328"/>
      <c r="IG171" s="315">
        <f t="shared" si="656"/>
        <v>1.8559052635044523E-2</v>
      </c>
      <c r="IH171" s="303">
        <v>1</v>
      </c>
      <c r="II171" s="304">
        <f t="shared" si="774"/>
        <v>1.8559052635044523E-2</v>
      </c>
      <c r="IJ171" s="304">
        <f>II171*(VLOOKUP($IG$8,各项系数!$D$1:$F$143,2,0))</f>
        <v>0.4639763158761131</v>
      </c>
      <c r="IK171" s="315">
        <f>(各项系数!$F$76/4*($MX171^2-$MK171^2)*$EG171)*10^-2*(VLOOKUP($IG$8,各项系数!$D$1:$F$143,3,0))*10^-3*10^2*各项系数!$J$4</f>
        <v>1.8559052635044523E-2</v>
      </c>
      <c r="IL171" s="303">
        <f>IK171*(VLOOKUP($IG$8,各项系数!$D$1:$F$143,2,0))</f>
        <v>0.4639763158761131</v>
      </c>
      <c r="IM171" s="304">
        <f>(各项系数!$F$76/4*(($MM171+3*$X171)^2-MM171^2)*$EO171)*10^-2*(VLOOKUP($IG$8,各项系数!$D$1:$F$143,3,0))*10^-3*10^2*各项系数!$J$4</f>
        <v>0</v>
      </c>
      <c r="IN171" s="303">
        <f>IM171*(VLOOKUP($IG$8,各项系数!$D$1:$F$143,2,0))</f>
        <v>0</v>
      </c>
      <c r="IO171" s="315">
        <f>各项系数!$F$76/4*($MZ171^2-$MX171^2)*10^-2*(VLOOKUP(L171,各项系数!$D$1:$F$143,3,0))*10^-3*10^2*$ES171*各项系数!$J$4</f>
        <v>5.1012050867903183E-2</v>
      </c>
      <c r="IP171" s="303">
        <v>1</v>
      </c>
      <c r="IQ171" s="304">
        <f t="shared" si="775"/>
        <v>5.1012050867903183E-2</v>
      </c>
      <c r="IR171" s="285">
        <f>IQ171*(VLOOKUP(L171,各项系数!$D$1:$F$143,2,0))</f>
        <v>0.58663858498088661</v>
      </c>
      <c r="IS171" s="315">
        <f>IF($L171&lt;&gt;$IS$9,0,各项系数!$F$76/4*($MZ171^2-$MX171^2)*10^-2*各项系数!$F$12*10^-3*10^2)*$ES171*各项系数!$J$4</f>
        <v>0</v>
      </c>
      <c r="IT171" s="303">
        <v>1</v>
      </c>
      <c r="IU171" s="304">
        <f t="shared" si="776"/>
        <v>0</v>
      </c>
      <c r="IV171" s="285">
        <f>IU171*各项系数!$E$12</f>
        <v>0</v>
      </c>
      <c r="IW171" s="302">
        <f t="shared" si="777"/>
        <v>5.1012050867903183E-2</v>
      </c>
      <c r="IX171" s="302">
        <f t="shared" si="778"/>
        <v>0.58663858498088661</v>
      </c>
      <c r="IY171" s="339">
        <f>各项系数!$F$76/4*($NB171^2-$MZ171^2*$EG171-$NA171^2*$EO171)*10^-2</f>
        <v>0.34381266796195659</v>
      </c>
      <c r="IZ171" s="284">
        <f t="shared" si="697"/>
        <v>1</v>
      </c>
      <c r="JA171" s="285">
        <f t="shared" si="606"/>
        <v>0.34381266796195659</v>
      </c>
      <c r="JB171" s="282">
        <f>IF($DE171&lt;&gt;$JB$9,0,$JA171*各项系数!$F$32*10^-3*10^2)*各项系数!$J$4</f>
        <v>0</v>
      </c>
      <c r="JC171" s="102">
        <v>1</v>
      </c>
      <c r="JD171" s="189">
        <f t="shared" si="779"/>
        <v>0</v>
      </c>
      <c r="JE171" s="262">
        <f>JD171*各项系数!$E$32</f>
        <v>0</v>
      </c>
      <c r="JF171" s="282">
        <f>IF($DE171&lt;&gt;$JF$9,0,$JA171*VLOOKUP($JF$9,各项系数!$D$4:$F$540,2,0)*10^-3*10^2)*各项系数!$J$4</f>
        <v>0.17104680231107339</v>
      </c>
      <c r="JG171" s="102">
        <v>1</v>
      </c>
      <c r="JH171" s="189">
        <f t="shared" si="607"/>
        <v>0.17104680231107339</v>
      </c>
      <c r="JI171" s="262">
        <f>JH171*VLOOKUP($JF$9,各项系数!$D$4:$F$540,3,0)</f>
        <v>0.20525616277328806</v>
      </c>
      <c r="JJ171" s="282">
        <f t="shared" si="780"/>
        <v>0.17104680231107339</v>
      </c>
      <c r="JK171" s="189">
        <f t="shared" si="781"/>
        <v>0.20525616277328806</v>
      </c>
      <c r="JL171" s="282">
        <f>IF($DF171&lt;&gt;$JL$9,0,各项系数!$F$76/4*($NE171^2-$NC171^2)*10^-2*各项系数!$F$39*10^-3*10^2)*各项系数!$J$4</f>
        <v>1.3137904311169809E-3</v>
      </c>
      <c r="JM171" s="102">
        <v>1</v>
      </c>
      <c r="JN171" s="189">
        <f t="shared" si="782"/>
        <v>1.3137904311169809E-3</v>
      </c>
      <c r="JO171" s="262">
        <f>JN171*各项系数!$E$39</f>
        <v>2.6275808622339619E-2</v>
      </c>
      <c r="JP171" s="282">
        <f>IF($DF171&lt;&gt;$JP$9,0,各项系数!$F$76/4*($NE171^2-$NC171^2)*10^-2*各项系数!$F$36*10^-3*10^2)*各项系数!$J$4</f>
        <v>0</v>
      </c>
      <c r="JQ171" s="102">
        <v>1</v>
      </c>
      <c r="JR171" s="189">
        <f t="shared" si="783"/>
        <v>0</v>
      </c>
      <c r="JS171" s="262">
        <f>JR171*各项系数!$E$36</f>
        <v>0</v>
      </c>
      <c r="JT171" s="282">
        <f>IF($DF171&lt;&gt;$JT$9,0,各项系数!$F$76/4*($NE171^2-$NC171^2)*10^-2*各项系数!$F$40*10^-3*10^2)*各项系数!$J$4</f>
        <v>0</v>
      </c>
      <c r="JU171" s="102">
        <v>1</v>
      </c>
      <c r="JV171" s="189">
        <f t="shared" si="784"/>
        <v>0</v>
      </c>
      <c r="JW171" s="262">
        <f>JV171*各项系数!$E$40</f>
        <v>0</v>
      </c>
      <c r="JX171" s="282">
        <f>IF($DF171&lt;&gt;$JX$9,0,各项系数!$F$76/4*($NE171^2-$NC171^2)*10^-2*各项系数!$F$38*10^-3*10^2)*各项系数!$J$4</f>
        <v>0</v>
      </c>
      <c r="JY171" s="102">
        <v>1</v>
      </c>
      <c r="JZ171" s="189">
        <f t="shared" si="785"/>
        <v>0</v>
      </c>
      <c r="KA171" s="262">
        <f>JZ171*各项系数!$E$38</f>
        <v>0</v>
      </c>
      <c r="KB171" s="282">
        <f>IF($DF171&lt;&gt;$KB$9,0,各项系数!$F$76/4*($NE171^2-$NC171^2)*10^-2*各项系数!$F$41*10^-3*10^2)*各项系数!$J$4</f>
        <v>0</v>
      </c>
      <c r="KC171" s="102">
        <v>1</v>
      </c>
      <c r="KD171" s="189">
        <f t="shared" si="786"/>
        <v>0</v>
      </c>
      <c r="KE171" s="262">
        <f>KD171*各项系数!$E$41</f>
        <v>0</v>
      </c>
      <c r="KF171" s="189">
        <f t="shared" si="787"/>
        <v>1.3137904311169809E-3</v>
      </c>
      <c r="KG171" s="189">
        <f t="shared" si="788"/>
        <v>2.6275808622339619E-2</v>
      </c>
      <c r="KH171" s="235">
        <f>各项系数!$F$76/4*($NG171^2-$NE171^2)*10^-2*各项系数!$F$44*10^-3*10^2*各项系数!$J$4*0.75*$U171</f>
        <v>0.54537202465543877</v>
      </c>
      <c r="KI171" s="102">
        <v>1</v>
      </c>
      <c r="KJ171" s="189">
        <f t="shared" si="789"/>
        <v>0.54537202465543877</v>
      </c>
      <c r="KK171" s="189">
        <f>ROUND(KJ171*各项系数!$E$43,GT171)</f>
        <v>3.2</v>
      </c>
      <c r="KL171" s="235">
        <f>各项系数!$F$76/4*($NF171^2-$NE171^2)*10^-2*各项系数!$F$46*10^-3*10^2*各项系数!$J$4*PI()/4*R171</f>
        <v>1.6587160395890043E-2</v>
      </c>
      <c r="KM171" s="102">
        <v>1</v>
      </c>
      <c r="KN171" s="189">
        <f t="shared" si="790"/>
        <v>1.6587160395890043E-2</v>
      </c>
      <c r="KO171" s="189">
        <f>KN171*各项系数!$E$46</f>
        <v>1.119633326722578</v>
      </c>
      <c r="KP171" s="235">
        <f>各项系数!$F$76/4*($NH171^2-$NE171^2)*10^-2*(VLOOKUP($KP$9,各项系数!$D$1:$F$143,3,0))*10^-3*10^2*各项系数!$J$4</f>
        <v>7.0679402794052062E-2</v>
      </c>
      <c r="KQ171" s="102">
        <v>1</v>
      </c>
      <c r="KR171" s="189">
        <f t="shared" si="657"/>
        <v>7.0679402794052062E-2</v>
      </c>
      <c r="KS171" s="189">
        <f>KR171*(VLOOKUP($KP$9,各项系数!$D$1:$F$143,2,0))</f>
        <v>1.201549847498885</v>
      </c>
      <c r="KT171" s="235">
        <f>各项系数!$F$76/4*($NI171^2-$NF171^2)*10^-2*(VLOOKUP($KT$9,各项系数!$D$1:$F$143,3,0))*10^-3*10^2*各项系数!$J$4</f>
        <v>7.1549649091837655E-2</v>
      </c>
      <c r="KU171" s="102">
        <v>1</v>
      </c>
      <c r="KV171" s="189">
        <f t="shared" si="658"/>
        <v>7.1549649091837655E-2</v>
      </c>
      <c r="KW171" s="189">
        <f>KV171*(VLOOKUP($KT$9,各项系数!$D$1:$F$143,2,0))</f>
        <v>1.2163440345612402</v>
      </c>
      <c r="KX171" s="189">
        <f>各项系数!$F$76/4*($NH171^2-$NE171^2)*10^-2*(VLOOKUP($KX$9,各项系数!$D$1:$F$143,3,0))*10^-3*10^2*各项系数!$J$4</f>
        <v>7.0679402794052062E-2</v>
      </c>
      <c r="KY171" s="353">
        <v>1</v>
      </c>
      <c r="KZ171" s="189">
        <f t="shared" si="659"/>
        <v>7.0679402794052062E-2</v>
      </c>
      <c r="LA171" s="189">
        <f>KZ171*(VLOOKUP($KX$9,各项系数!$D$1:$F$143,2,0))</f>
        <v>1.201549847498885</v>
      </c>
      <c r="LB171" s="189">
        <f>各项系数!$F$76/4*($NI171^2-$NF171^2)*10^-2*(VLOOKUP($LB$9,各项系数!$D$1:$F$143,3,0))*10^-3*10^2*各项系数!$J$4</f>
        <v>7.1549649091837655E-2</v>
      </c>
      <c r="LC171" s="353">
        <v>1</v>
      </c>
      <c r="LD171" s="189">
        <f t="shared" si="660"/>
        <v>7.1549649091837655E-2</v>
      </c>
      <c r="LE171" s="189">
        <f>LD171*(VLOOKUP($LB$9,各项系数!$D$1:$F$143,2,0))</f>
        <v>1.2163440345612402</v>
      </c>
      <c r="LF171" s="235">
        <f>各项系数!$F$76/4*($NH171^2-$NE171^2)*10^-2*(VLOOKUP(AN171,各项系数!$D$1:$F$143,3,0))*10^-3*10^2*各项系数!$J$4</f>
        <v>7.1654291108452783E-2</v>
      </c>
      <c r="LG171" s="102">
        <v>1</v>
      </c>
      <c r="LH171" s="189">
        <f t="shared" si="791"/>
        <v>7.1654291108452783E-2</v>
      </c>
      <c r="LI171" s="189">
        <f>LH171*(VLOOKUP(AN171,各项系数!$D$1:$F$143,2,0))</f>
        <v>0.71654291108452783</v>
      </c>
      <c r="LJ171" s="235">
        <f>各项系数!$F$76/4*($NI171^2-$NF171^2)*10^-2*(VLOOKUP(AN171,各项系数!$D$1:$F$143,3,0))*10^-3*10^2*各项系数!$J$4</f>
        <v>7.253654080344922E-2</v>
      </c>
      <c r="LK171" s="102">
        <v>1</v>
      </c>
      <c r="LL171" s="189">
        <f t="shared" si="792"/>
        <v>7.253654080344922E-2</v>
      </c>
      <c r="LM171" s="189">
        <f>LL171*(VLOOKUP(AN171,各项系数!$D$1:$F$143,2,0))</f>
        <v>0.72536540803449223</v>
      </c>
      <c r="LN171" s="189">
        <f>各项系数!$F$76/4*($NH171^2-$NE171^2)*10^-2*(VLOOKUP($LN$9,各项系数!$D$1:$F$143,3,0))*10^-3*10^2*各项系数!$J$4</f>
        <v>7.1654291108452783E-2</v>
      </c>
      <c r="LO171" s="353">
        <v>1</v>
      </c>
      <c r="LP171" s="189">
        <f t="shared" si="793"/>
        <v>7.1654291108452783E-2</v>
      </c>
      <c r="LQ171" s="189">
        <f>LP171*(VLOOKUP($LN$9,各项系数!$D$1:$F$143,2,0))</f>
        <v>0.78819720219298062</v>
      </c>
      <c r="LR171" s="189">
        <f>各项系数!$F$76/4*($NI171^2-$NF171^2)*10^-2*(VLOOKUP($LR$9,各项系数!$D$1:$F$143,3,0))*10^-3*10^2*各项系数!$J$4</f>
        <v>7.253654080344922E-2</v>
      </c>
      <c r="LS171" s="353">
        <v>1</v>
      </c>
      <c r="LT171" s="189">
        <f t="shared" si="794"/>
        <v>7.253654080344922E-2</v>
      </c>
      <c r="LU171" s="189">
        <f>LT171*(VLOOKUP($LR$9,各项系数!$D$1:$F$143,2,0))</f>
        <v>0.79790194883794141</v>
      </c>
      <c r="LV171" s="227">
        <f t="shared" si="661"/>
        <v>11.43798975</v>
      </c>
      <c r="LW171" s="227">
        <f t="shared" si="662"/>
        <v>11.43798975</v>
      </c>
      <c r="LX171" s="227">
        <f t="shared" si="663"/>
        <v>3.8161893116007044</v>
      </c>
      <c r="LY171" s="227">
        <f t="shared" si="664"/>
        <v>0</v>
      </c>
      <c r="LZ171" s="374">
        <f t="shared" si="608"/>
        <v>1</v>
      </c>
      <c r="MA171" s="375">
        <f t="shared" si="609"/>
        <v>11.43798975</v>
      </c>
      <c r="MB171" s="375">
        <f t="shared" si="665"/>
        <v>1.34922667</v>
      </c>
      <c r="MC171" s="227">
        <f t="shared" si="666"/>
        <v>0</v>
      </c>
      <c r="MD171" s="227">
        <f t="shared" si="667"/>
        <v>0</v>
      </c>
      <c r="ME171" s="227">
        <f t="shared" si="668"/>
        <v>0</v>
      </c>
      <c r="MF171" s="227">
        <f t="shared" si="669"/>
        <v>0</v>
      </c>
      <c r="MG171" s="374">
        <f t="shared" si="670"/>
        <v>1</v>
      </c>
      <c r="MH171" s="375">
        <f t="shared" si="610"/>
        <v>0</v>
      </c>
      <c r="MI171" s="375">
        <f t="shared" si="671"/>
        <v>0</v>
      </c>
      <c r="MJ171" s="189">
        <f t="shared" si="611"/>
        <v>1.34922667</v>
      </c>
      <c r="MK171" s="189">
        <f t="shared" si="672"/>
        <v>1.34922667</v>
      </c>
      <c r="ML171" s="189">
        <f t="shared" si="795"/>
        <v>0</v>
      </c>
      <c r="MM171" s="189">
        <f t="shared" si="612"/>
        <v>0</v>
      </c>
      <c r="MN171" s="189">
        <f t="shared" si="613"/>
        <v>2.7492266699999997</v>
      </c>
      <c r="MO171" s="189">
        <f t="shared" si="673"/>
        <v>0</v>
      </c>
      <c r="MP171" s="189">
        <f t="shared" si="674"/>
        <v>9.4848320099999999</v>
      </c>
      <c r="MQ171" s="189">
        <f t="shared" si="796"/>
        <v>9.4848320099999999</v>
      </c>
      <c r="MR171" s="246">
        <f t="shared" si="675"/>
        <v>9.4848320099999999</v>
      </c>
      <c r="MS171" s="380">
        <f t="shared" si="614"/>
        <v>9.66083201</v>
      </c>
      <c r="MT171" s="380">
        <f t="shared" si="615"/>
        <v>9.8208320100000002</v>
      </c>
      <c r="MU171" s="380">
        <f t="shared" si="616"/>
        <v>10.860832009999999</v>
      </c>
      <c r="MV171" s="380">
        <f t="shared" si="617"/>
        <v>12.06083201</v>
      </c>
      <c r="MW171" s="380">
        <f t="shared" si="618"/>
        <v>12.220832010000001</v>
      </c>
      <c r="MX171" s="254">
        <f t="shared" si="619"/>
        <v>1.9492266700000001</v>
      </c>
      <c r="MY171" s="254">
        <f t="shared" si="620"/>
        <v>0</v>
      </c>
      <c r="MZ171" s="189">
        <f t="shared" si="621"/>
        <v>3.3492266700000002</v>
      </c>
      <c r="NA171" s="189">
        <f t="shared" si="622"/>
        <v>0</v>
      </c>
      <c r="NB171" s="189">
        <f t="shared" si="676"/>
        <v>11.55483201</v>
      </c>
      <c r="NC171" s="254">
        <f t="shared" si="797"/>
        <v>11.55483201</v>
      </c>
      <c r="ND171" s="246">
        <f t="shared" si="677"/>
        <v>11.55483201</v>
      </c>
      <c r="NE171" s="386">
        <f t="shared" si="678"/>
        <v>11.79483201</v>
      </c>
      <c r="NF171" s="380">
        <f t="shared" si="623"/>
        <v>11.954832010000001</v>
      </c>
      <c r="NG171" s="387">
        <f t="shared" si="624"/>
        <v>12.99483201</v>
      </c>
      <c r="NH171" s="254">
        <f t="shared" si="625"/>
        <v>14.194832010000001</v>
      </c>
      <c r="NI171" s="380">
        <f t="shared" si="626"/>
        <v>14.354832010000001</v>
      </c>
      <c r="NK171" s="388">
        <f t="shared" si="627"/>
        <v>0.23078870341040131</v>
      </c>
      <c r="NL171" s="388">
        <f t="shared" si="628"/>
        <v>7.7962423762087738</v>
      </c>
      <c r="NM171" s="388">
        <f t="shared" si="629"/>
        <v>0.23078870341040131</v>
      </c>
      <c r="NN171" s="388">
        <f t="shared" si="630"/>
        <v>7.8561296620102112</v>
      </c>
      <c r="NO171" s="388">
        <f t="shared" si="631"/>
        <v>0.41476129786914129</v>
      </c>
      <c r="NP171" s="388">
        <f t="shared" si="632"/>
        <v>8.6256726221057054</v>
      </c>
      <c r="NQ171" s="388">
        <f t="shared" si="633"/>
        <v>0.41476129786914129</v>
      </c>
      <c r="NR171" s="388">
        <f t="shared" si="634"/>
        <v>8.6973269132141588</v>
      </c>
      <c r="NS171" s="388">
        <f t="shared" si="635"/>
        <v>0.24439502161374321</v>
      </c>
      <c r="NT171" s="388">
        <f t="shared" si="636"/>
        <v>0.24439502161374321</v>
      </c>
      <c r="NU171" s="388">
        <f t="shared" si="637"/>
        <v>0.43134845826503132</v>
      </c>
      <c r="NV171" s="388">
        <f t="shared" si="638"/>
        <v>0.43134845826503132</v>
      </c>
      <c r="NW171">
        <f t="shared" si="639"/>
        <v>0.38128074513199062</v>
      </c>
      <c r="NX171">
        <f>各项系数!$M$9*NK171</f>
        <v>6.9236611023120384E-2</v>
      </c>
      <c r="NY171">
        <f t="shared" si="640"/>
        <v>0.24439502161374321</v>
      </c>
    </row>
    <row r="172" spans="1:389" ht="15" hidden="1" customHeight="1">
      <c r="A172" s="69"/>
      <c r="B172" s="70"/>
      <c r="C172" s="69"/>
      <c r="D172" s="102" t="s">
        <v>383</v>
      </c>
      <c r="E172" s="61">
        <f t="shared" si="687"/>
        <v>14.77290668</v>
      </c>
      <c r="F172" s="62">
        <f t="shared" si="798"/>
        <v>134.922667214547</v>
      </c>
      <c r="G172" s="16"/>
      <c r="H172" s="16"/>
      <c r="I172" s="145">
        <v>0</v>
      </c>
      <c r="J172" s="16"/>
      <c r="K172" s="16"/>
      <c r="L172" s="97" t="s">
        <v>469</v>
      </c>
      <c r="M172" s="103">
        <f t="shared" si="582"/>
        <v>0.7</v>
      </c>
      <c r="N172" s="103">
        <f t="shared" ref="N172:N206" si="804">IF(EM172=0,0,VLOOKUP(EM172,$A$12:$C$46,3,0))</f>
        <v>0</v>
      </c>
      <c r="O172" s="53">
        <f t="shared" si="801"/>
        <v>0.08</v>
      </c>
      <c r="P172" s="99">
        <v>0.1</v>
      </c>
      <c r="Q172" s="133">
        <f t="shared" si="754"/>
        <v>0.1</v>
      </c>
      <c r="R172" s="406">
        <v>0.8</v>
      </c>
      <c r="S172" s="142" t="str">
        <f>各项系数!$D$43</f>
        <v>钢带</v>
      </c>
      <c r="T172" s="102">
        <v>0.2</v>
      </c>
      <c r="U172" s="62">
        <v>4</v>
      </c>
      <c r="V172" s="143"/>
      <c r="W172" s="407">
        <v>1.8</v>
      </c>
      <c r="X172" s="135">
        <f t="shared" si="755"/>
        <v>0.2</v>
      </c>
      <c r="Y172" s="135"/>
      <c r="Z172" s="168"/>
      <c r="AA172" s="153">
        <v>1</v>
      </c>
      <c r="AB172" s="153">
        <f>PI()*EJ172*EJ172/4*EH172*(1-H172)*AA172*各项系数!$F$5*各项系数!$J$4*10^-7</f>
        <v>1.2646913814443796E-2</v>
      </c>
      <c r="AC172" s="153">
        <f t="shared" si="704"/>
        <v>134.922667214547</v>
      </c>
      <c r="AD172" s="153">
        <f t="shared" si="584"/>
        <v>1.4297487227412424</v>
      </c>
      <c r="AE172" s="153">
        <f>POWER(4*EU172/PI()/EG172/10^-7/EH172/(1-H172)/各项系数!$F$5/各项系数!$J$4,0.5)</f>
        <v>134.922667214547</v>
      </c>
      <c r="AF172" s="69">
        <v>1</v>
      </c>
      <c r="AG172" s="69">
        <f>IF(EM172=0,0,PI()*ER172*ER172/4*EP172*(1-K172)*(1+AF172)*各项系数!$F$5*各项系数!$J$4*10^-7)</f>
        <v>0</v>
      </c>
      <c r="AH172" s="69">
        <f t="shared" si="705"/>
        <v>0</v>
      </c>
      <c r="AI172" s="69">
        <f t="shared" si="641"/>
        <v>0</v>
      </c>
      <c r="AJ172" s="69">
        <f>IF(OR(EP172="",EP172=0),0,POWER(4*EW172/PI()/EO172/10^-7/EP172/(1-K172)/各项系数!$F$5/各项系数!$J$4,0.5))</f>
        <v>0</v>
      </c>
      <c r="AK172" s="69" t="str">
        <f t="shared" si="585"/>
        <v>√</v>
      </c>
      <c r="AL172" s="69">
        <f t="shared" si="706"/>
        <v>10.693020720465288</v>
      </c>
      <c r="AM172" s="188">
        <f t="shared" si="707"/>
        <v>1.5</v>
      </c>
      <c r="AN172" s="97" t="s">
        <v>486</v>
      </c>
      <c r="AO172" s="196">
        <f>AP172+各项系数!$M$9*$NK172</f>
        <v>10.483353647514988</v>
      </c>
      <c r="AP172" s="196">
        <f>AQ172*(1+$BI172+(VLOOKUP($AM172,$A$12:$B$323,2,0))+各项系数!$J$6+各项系数!$M$5)*(1+$E$2)</f>
        <v>10.384762066923525</v>
      </c>
      <c r="AQ172" s="197">
        <f>AR172+各项系数!$L$9*$NK172</f>
        <v>10.491778204610553</v>
      </c>
      <c r="AR172" s="197">
        <f>AS172*(1+$BJ172+各项系数!$J$5+各项系数!$L$5)</f>
        <v>10.393186624019089</v>
      </c>
      <c r="AS172" s="197">
        <f t="shared" si="642"/>
        <v>10.09047245050397</v>
      </c>
      <c r="AT172" s="196">
        <f>AU172+各项系数!$M$9*$NM172</f>
        <v>11.223794730739151</v>
      </c>
      <c r="AU172" s="196">
        <f>AV172*(1+$BI172+(VLOOKUP($AM172,$A$12:$B$323,2,0))+各项系数!$J$6+各项系数!$M$5)*(1+$E$2)</f>
        <v>11.125203150147687</v>
      </c>
      <c r="AV172" s="197">
        <f>AW172+各项系数!$L$9*$NM172</f>
        <v>11.239849616233267</v>
      </c>
      <c r="AW172" s="197">
        <f>AX172*(1+$BJ172+各项系数!$J$5+各项系数!$L$5)</f>
        <v>11.141258035641803</v>
      </c>
      <c r="AX172" s="197">
        <f t="shared" si="643"/>
        <v>10.816755374409517</v>
      </c>
      <c r="AY172" s="196">
        <f>AZ172+各项系数!$M$9*$NS172</f>
        <v>11.587905679473257</v>
      </c>
      <c r="AZ172" s="196">
        <f>BA172*(1+$BI172+(VLOOKUP($AM172,$A$12:$B$214,2,0))+各项系数!$J$6+各项系数!$M$5)*(1+$E$2)</f>
        <v>11.484598568560255</v>
      </c>
      <c r="BA172" s="197">
        <f>BB172+各项系数!$L$9*$NS172</f>
        <v>11.60294864473657</v>
      </c>
      <c r="BB172" s="197">
        <f>BC172*(1+$BJ172+各项系数!$J$5+各项系数!$L$5)</f>
        <v>11.499641533823567</v>
      </c>
      <c r="BC172" s="199">
        <f t="shared" si="644"/>
        <v>11.164700518275307</v>
      </c>
      <c r="BD172" s="196">
        <f>BE172+各项系数!$M$9*$NS172</f>
        <v>12.337478916056584</v>
      </c>
      <c r="BE172" s="196">
        <f>BF172*(1+$BI172+(VLOOKUP($AM172,$A$12:$B$214,2,0))+各项系数!$J$6+各项系数!$M$5)*(1+$E$2)</f>
        <v>12.234171805143582</v>
      </c>
      <c r="BF172" s="197">
        <f>BG172+各项系数!$L$9*$NS172</f>
        <v>12.360246317582927</v>
      </c>
      <c r="BG172" s="197">
        <f>BH172*(1+$BJ172+各项系数!$J$5+各项系数!$L$5)</f>
        <v>12.256939206669925</v>
      </c>
      <c r="BH172" s="199">
        <f t="shared" si="645"/>
        <v>11.899940977349441</v>
      </c>
      <c r="BI172" s="213"/>
      <c r="BJ172" s="208">
        <f t="shared" si="800"/>
        <v>0.01</v>
      </c>
      <c r="BK172" s="102" t="s">
        <v>514</v>
      </c>
      <c r="BL172" s="196">
        <f>BM172+各项系数!$M$9*$NM172</f>
        <v>10.693682998348601</v>
      </c>
      <c r="BM172" s="196">
        <f>BN172*(1+$CF172+(VLOOKUP($AM172,$A$12:$B$323,2,0))+各项系数!$J$6+各项系数!$M$5)*(1+$E$2)</f>
        <v>10.595091417757137</v>
      </c>
      <c r="BN172" s="197">
        <f>BO172+各项系数!$L$9*$NM172</f>
        <v>10.704275022991652</v>
      </c>
      <c r="BO172" s="197">
        <f>BP172*(1+$CG172+各项系数!$J$5+各项系数!$L$5)</f>
        <v>10.605683442400188</v>
      </c>
      <c r="BP172" s="197">
        <f t="shared" si="646"/>
        <v>10.197772540769412</v>
      </c>
      <c r="BQ172" s="196">
        <f>BR172+各项系数!$M$9*$NM172</f>
        <v>11.330858975435056</v>
      </c>
      <c r="BR172" s="196">
        <f>BS172*(1+$CF172+(VLOOKUP($AM172,$A$12:$B$323,2,0))+各项系数!$J$6+各项系数!$M$5)*(1+$E$2)</f>
        <v>11.232267394843593</v>
      </c>
      <c r="BS172" s="197">
        <f>BT172+各项系数!$L$9*$NM172</f>
        <v>11.348017169977362</v>
      </c>
      <c r="BT172" s="197">
        <f>BU172*(1+$CG172+各项系数!$J$5+各项系数!$L$5)</f>
        <v>11.249425589385899</v>
      </c>
      <c r="BU172" s="197">
        <f t="shared" si="647"/>
        <v>10.816755374409517</v>
      </c>
      <c r="BV172" s="196">
        <f>BW172+各项系数!$M$9*$NT172</f>
        <v>11.716155748949824</v>
      </c>
      <c r="BW172" s="196">
        <f>BX172*(1+$CF172+(VLOOKUP($AM172,$A$12:$B$214,2,0))+各项系数!$J$6+各项系数!$M$5)*(1+$E$2)</f>
        <v>11.612848638036821</v>
      </c>
      <c r="BX172" s="197">
        <f>BY172+各项系数!$L$9*$NT$12</f>
        <v>11.732520345561548</v>
      </c>
      <c r="BY172" s="197">
        <f>BZ172*(1+$CG172+各项系数!$J$5+各项系数!$L$5)</f>
        <v>11.724256942406575</v>
      </c>
      <c r="BZ172" s="199">
        <f t="shared" si="586"/>
        <v>11.273323983083245</v>
      </c>
      <c r="CA172" s="196">
        <f>CB172+各项系数!$M$9*$NT172</f>
        <v>12.361190269911491</v>
      </c>
      <c r="CB172" s="196">
        <f>CC172*(1+$CF172+(VLOOKUP($AM172,$A$12:$B$214,2,0))+各项系数!$J$6+各项系数!$M$5)*(1+$E$2)</f>
        <v>12.257883158998489</v>
      </c>
      <c r="CC172" s="197">
        <f>CD172+各项系数!$L$9*$NT$12</f>
        <v>12.384202019598392</v>
      </c>
      <c r="CD172" s="197">
        <f>CE172*(1+$CG172+各项系数!$J$5+各项系数!$L$5)</f>
        <v>12.375938616443419</v>
      </c>
      <c r="CE172" s="199">
        <f t="shared" si="648"/>
        <v>11.899940977349441</v>
      </c>
      <c r="CF172" s="213">
        <f t="shared" si="753"/>
        <v>0</v>
      </c>
      <c r="CG172" s="213">
        <f t="shared" si="587"/>
        <v>0.02</v>
      </c>
      <c r="CH172" s="102"/>
      <c r="CI172" s="196">
        <f>CJ172+各项系数!$M$9*$NO172</f>
        <v>11.898621631149588</v>
      </c>
      <c r="CJ172" s="196">
        <f>CK172*(1+$DC172+(VLOOKUP($AM172,$A$12:$B$323,2,0))+各项系数!$J$6+各项系数!$M$5)*(1+$E$2)+各项系数!$M$9*$NK172</f>
        <v>11.716937278768789</v>
      </c>
      <c r="CK172" s="197">
        <f>CL172+各项系数!$L$9*$NO172</f>
        <v>11.738074053523263</v>
      </c>
      <c r="CL172" s="197">
        <f>CM172*(1+$DD172+各项系数!$J$5+各项系数!$L$5)</f>
        <v>11.556389701142464</v>
      </c>
      <c r="CM172" s="197">
        <f t="shared" si="588"/>
        <v>11.219795826351907</v>
      </c>
      <c r="CN172" s="196">
        <f>CO172+各项系数!$M$9*$NO172</f>
        <v>12.431290163876541</v>
      </c>
      <c r="CO172" s="196">
        <f>CP172*(1+$DC172+(VLOOKUP($AM172,$A$12:$B$323,2,0))+各项系数!$J$6+各项系数!$M$5)*(1+$E$2)+各项系数!$M$9*$NK172</f>
        <v>12.249605811495742</v>
      </c>
      <c r="CP172" s="197">
        <f>CQ172+各项系数!$L$9*$NO172</f>
        <v>12.276231795215477</v>
      </c>
      <c r="CQ172" s="197">
        <f>CR172*(1+$DD172+各项系数!$J$5+各项系数!$L$5)</f>
        <v>12.094547442834678</v>
      </c>
      <c r="CR172" s="197">
        <f t="shared" si="589"/>
        <v>11.742279070713279</v>
      </c>
      <c r="CS172" s="196">
        <f>CT172+各项系数!$M$9*$NU172</f>
        <v>13.143486809545166</v>
      </c>
      <c r="CT172" s="196">
        <f t="shared" si="590"/>
        <v>12.956054387691594</v>
      </c>
      <c r="CU172" s="197">
        <f>CV172+各项系数!$L$9*$NU172</f>
        <v>13.089567981098801</v>
      </c>
      <c r="CV172" s="197">
        <f>CW172*(1+$DD172+各项系数!$J$5+各项系数!$L$5)</f>
        <v>12.902135559245229</v>
      </c>
      <c r="CW172" s="199">
        <f t="shared" si="591"/>
        <v>12.526345203150708</v>
      </c>
      <c r="CX172" s="196">
        <f>CY172+各项系数!$M$9*$NU172</f>
        <v>14.033695207859596</v>
      </c>
      <c r="CY172" s="196">
        <f t="shared" si="592"/>
        <v>13.846262786006024</v>
      </c>
      <c r="CZ172" s="197">
        <f>DA172+各项系数!$L$9*$NU172</f>
        <v>13.988950076789274</v>
      </c>
      <c r="DA172" s="197">
        <f>DB172*(1+$DD172+各项系数!$J$5+各项系数!$L$5)</f>
        <v>13.801517654935703</v>
      </c>
      <c r="DB172" s="199">
        <f t="shared" si="593"/>
        <v>13.39953170382107</v>
      </c>
      <c r="DC172" s="213">
        <f t="shared" si="803"/>
        <v>0</v>
      </c>
      <c r="DD172" s="213">
        <f t="shared" si="594"/>
        <v>0.01</v>
      </c>
      <c r="DE172" s="53" t="s">
        <v>498</v>
      </c>
      <c r="DF172" s="53" t="s">
        <v>513</v>
      </c>
      <c r="DG172" s="196">
        <f>DH172+各项系数!$M$9*$NQ172</f>
        <v>12.141108000729881</v>
      </c>
      <c r="DH172" s="196">
        <f>DI172*(1+$EA172+(VLOOKUP($AM172,$A$12:$B$323,2,0))+各项系数!$J$6+各项系数!$M$5)*(1+$E$2)+各项系数!$M$9*$NK172</f>
        <v>11.959423648349082</v>
      </c>
      <c r="DI172" s="197">
        <f>DJ172+各项系数!$L$9*$NQ172</f>
        <v>11.983059272335439</v>
      </c>
      <c r="DJ172" s="197">
        <f>DK172*(1+$EB172+各项系数!$J$5+各项系数!$L$5)</f>
        <v>11.80137491995464</v>
      </c>
      <c r="DK172" s="197">
        <f t="shared" si="595"/>
        <v>11.347475884571768</v>
      </c>
      <c r="DL172" s="196">
        <f>DM172+各项系数!$M$9*$NQ172</f>
        <v>12.899305553494626</v>
      </c>
      <c r="DM172" s="196">
        <f>DN172*(1+$EA172+(VLOOKUP($AM172,$A$12:$B$323,2,0))+各项系数!$J$6+各项系数!$M$5)*(1+$E$2)+各项系数!$M$9*$NK172</f>
        <v>12.717621201113827</v>
      </c>
      <c r="DN172" s="197">
        <f>DO172+各项系数!$L$9*$NQ172</f>
        <v>12.749070135908632</v>
      </c>
      <c r="DO172" s="197">
        <f>DP172*(1+$EB172+各项系数!$J$5+各项系数!$L$5)</f>
        <v>12.567385783527833</v>
      </c>
      <c r="DP172" s="197">
        <f t="shared" si="596"/>
        <v>12.084024791853684</v>
      </c>
      <c r="DQ172" s="196">
        <f>DR172+各项系数!$M$9*$NV172</f>
        <v>13.400267676024058</v>
      </c>
      <c r="DR172" s="196">
        <f t="shared" si="597"/>
        <v>13.212835254170486</v>
      </c>
      <c r="DS172" s="197">
        <f>DT172+各项系数!$L$9*$NV172</f>
        <v>13.348995003203157</v>
      </c>
      <c r="DT172" s="197">
        <f>DU172*(1+$EB172+各项系数!$J$5+各项系数!$L$5)</f>
        <v>13.161562581349585</v>
      </c>
      <c r="DU172" s="199">
        <f t="shared" si="598"/>
        <v>12.655348635913063</v>
      </c>
      <c r="DV172" s="196">
        <f>DW172+各项系数!$M$9*$NV172</f>
        <v>13.41147243982571</v>
      </c>
      <c r="DW172" s="196">
        <f t="shared" si="599"/>
        <v>13.224040017972138</v>
      </c>
      <c r="DX172" s="197">
        <f>DY172+各项系数!$L$9*$NV172</f>
        <v>13.360315233352333</v>
      </c>
      <c r="DY172" s="197">
        <f>DZ172*(1+$EB172+各项系数!$J$5+各项系数!$L$5)</f>
        <v>13.172882811498761</v>
      </c>
      <c r="DZ172" s="199">
        <f t="shared" si="600"/>
        <v>12.666233472594962</v>
      </c>
      <c r="EA172" s="213">
        <f t="shared" si="802"/>
        <v>0</v>
      </c>
      <c r="EB172" s="213">
        <f t="shared" si="601"/>
        <v>0.02</v>
      </c>
      <c r="EC172" s="235">
        <f t="shared" si="649"/>
        <v>10</v>
      </c>
      <c r="ED172" s="235" t="str">
        <f t="shared" si="756"/>
        <v>10*1.5</v>
      </c>
      <c r="EE172" s="189">
        <f t="shared" si="709"/>
        <v>1.5</v>
      </c>
      <c r="EF172" s="189">
        <f>LOOKUP(EH172,{1,7,10,14,19,24,30,37,48,61},{1,"1+6","2+8","4+10","1+6+12","2+8+14","4+10+16","1+6+12+18","3+9+15+21","1+6+12+18+24"})</f>
        <v>1</v>
      </c>
      <c r="EG172" s="188">
        <f t="shared" si="602"/>
        <v>10</v>
      </c>
      <c r="EH172" s="197">
        <f>VLOOKUP(EE172,各项系数!$B$87:$C$124,2,0)</f>
        <v>1</v>
      </c>
      <c r="EI172" s="188">
        <f>IF(EH172=0,0,VLOOKUP(EH172,各项系数!$D$142:$E$195,2,0))*1</f>
        <v>1</v>
      </c>
      <c r="EJ172" s="238">
        <f t="shared" si="650"/>
        <v>134.922667214547</v>
      </c>
      <c r="EK172" s="189">
        <f t="shared" si="689"/>
        <v>0</v>
      </c>
      <c r="EL172" s="189">
        <f t="shared" si="603"/>
        <v>0</v>
      </c>
      <c r="EM172" s="189">
        <f t="shared" si="690"/>
        <v>0</v>
      </c>
      <c r="EN172" s="189">
        <f>IF(EP172=0,0,LOOKUP(EP172,{1,7,10,14,19,24,30,37,48,61},{1,"1+6","2+8","4+10","1+6+12","2+8+14","4+10+16","1+6+12+18","3+9+15+21","1+6+12+18+24"}))</f>
        <v>0</v>
      </c>
      <c r="EO172" s="189">
        <f t="shared" si="691"/>
        <v>0</v>
      </c>
      <c r="EP172" s="189">
        <f>IF(EM172=0,0,IF(EM172&lt;10,1,IF(AND(EM172&gt;=10,EM172&lt;=35),7,LOOKUP(EM172,{50,70,95,120,150,185,240,300},{10,14,19,24,30,37,48,61})*1)))</f>
        <v>0</v>
      </c>
      <c r="EQ172" s="189">
        <f>IF(EP172=0,0,VLOOKUP(EP172,各项系数!$D$142:$E$195,2,0))*1</f>
        <v>0</v>
      </c>
      <c r="ER172" s="53">
        <f t="shared" si="710"/>
        <v>0</v>
      </c>
      <c r="ES172" s="412">
        <f t="shared" si="692"/>
        <v>10</v>
      </c>
      <c r="ET172" s="189">
        <f>VLOOKUP(ES172,各项系数!$D$142:$E$195,2,0)*1</f>
        <v>4</v>
      </c>
      <c r="EU172" s="243">
        <f>((各项系数!$F$76/4*$EJ172^2*$EG172*$EH172*1*10^-7)*(1-$H172)*AA172)*(VLOOKUP($EY$9,各项系数!$D$4:$F$143,3,0))*各项系数!$J$4</f>
        <v>0.12646913814443794</v>
      </c>
      <c r="EV172" s="244">
        <f>EU172*(VLOOKUP($EY$9,各项系数!$D$4:$F$143,2,0))</f>
        <v>8.2837285484606848</v>
      </c>
      <c r="EW172" s="252">
        <f>(IF($EO172=0,0,(各项系数!$F$76/4*$ER172^2*$EO172*$EP172*1*10^-7))*(1-$K172)*$AF172)*(VLOOKUP($EY$9,各项系数!$D$4:$F$143,3,0))*各项系数!$J$4</f>
        <v>0</v>
      </c>
      <c r="EX172" s="253">
        <f>EW172*(VLOOKUP($EY$9,各项系数!$D$4:$F$143,2,0))</f>
        <v>0</v>
      </c>
      <c r="EY172" s="189">
        <f>((各项系数!$F$76/4*$EJ172^2*$EG172*$EH172*1*10^-7)*(1-$H172)*AA172+IF($EO172=0,0,(各项系数!$F$76/4*$ER172^2*$EO172*$EP172*1*10^-7))*(1-$K172)*$AF172)*(VLOOKUP($EY$9,各项系数!$D$4:$F$143,3,0))*各项系数!$J$4</f>
        <v>0.12646913814443794</v>
      </c>
      <c r="EZ172" s="102">
        <v>1</v>
      </c>
      <c r="FA172" s="189">
        <f t="shared" si="757"/>
        <v>0.12646913814443794</v>
      </c>
      <c r="FB172" s="254">
        <f>FA172*(VLOOKUP($EY$9,各项系数!$D$4:$F$143,2,0))</f>
        <v>8.2837285484606848</v>
      </c>
      <c r="FC172" s="255"/>
      <c r="FD172" s="235">
        <f>各项系数!$F$76/4*($MN172^2-MK172^2)*10^-2*(VLOOKUP(L172,各项系数!$D$1:$F$143,3,0))*10^-3*10^2*$EG172*各项系数!$J$4</f>
        <v>4.9323476315592044E-2</v>
      </c>
      <c r="FE172" s="262">
        <f>FD172*VLOOKUP(L172,各项系数!$D$1:$F$143,2,0)</f>
        <v>0.56721997762930854</v>
      </c>
      <c r="FF172" s="188">
        <f>各项系数!$F$76/4*($MO172^2-ML172^2)*10^-2*(VLOOKUP(L172,各项系数!$D$1:$F$143,3,0))*10^-3*10^2*$EO172*各项系数!$J$4</f>
        <v>0</v>
      </c>
      <c r="FG172" s="262">
        <f>FF172*VLOOKUP(L172,各项系数!$D$1:$F$143,2,0)</f>
        <v>0</v>
      </c>
      <c r="FH172" s="235">
        <f t="shared" si="651"/>
        <v>4.9323476315592044E-2</v>
      </c>
      <c r="FI172" s="102">
        <v>1</v>
      </c>
      <c r="FJ172" s="189">
        <f t="shared" si="758"/>
        <v>4.9323476315592044E-2</v>
      </c>
      <c r="FK172" s="262">
        <f>FJ172*VLOOKUP(L172,各项系数!$D$1:$F$143,2,0)</f>
        <v>0.56721997762930854</v>
      </c>
      <c r="FL172" s="235"/>
      <c r="FM172" s="102"/>
      <c r="FN172" s="189"/>
      <c r="FO172" s="262"/>
      <c r="FP172" s="282">
        <f t="shared" si="759"/>
        <v>4.9323476315592044E-2</v>
      </c>
      <c r="FQ172" s="282">
        <f t="shared" si="760"/>
        <v>0.56721997762930854</v>
      </c>
      <c r="FR172" s="283">
        <f>各项系数!$F$76/4*($MQ172^2-$MN172^2*$EG172-$MO172^2*$EO172)*10^-2</f>
        <v>0.35617401207616889</v>
      </c>
      <c r="FS172" s="284">
        <f t="shared" si="652"/>
        <v>1</v>
      </c>
      <c r="FT172" s="285">
        <f t="shared" si="604"/>
        <v>0.35617401207616889</v>
      </c>
      <c r="FU172" s="302">
        <f>$FT172*(VLOOKUP($FT$9,各项系数!$D$1:$F$143,3,0))*10^-3*10^2*各项系数!$J$55</f>
        <v>4.2527177041894564E-2</v>
      </c>
      <c r="FV172" s="303">
        <v>1</v>
      </c>
      <c r="FW172" s="304">
        <f t="shared" si="761"/>
        <v>4.2527177041894564E-2</v>
      </c>
      <c r="FX172" s="285">
        <f>FW172*(VLOOKUP($FT$9,各项系数!$D$1:$F$143,2,0))</f>
        <v>0.12758153112568368</v>
      </c>
      <c r="FY172" s="302">
        <f>IF($BK172&lt;&gt;$FY$9,0,各项系数!$F$76/4*($MS172^2-$MQ172^2)*10^-2*(VLOOKUP($FY$9,各项系数!$D$1:$F$143,3,0))*10^-3*10^2)*各项系数!$J$4</f>
        <v>0</v>
      </c>
      <c r="FZ172" s="303">
        <v>1</v>
      </c>
      <c r="GA172" s="304">
        <f t="shared" si="762"/>
        <v>0</v>
      </c>
      <c r="GB172" s="285">
        <f>GA172*(VLOOKUP($FY$9,各项系数!$D$1:$F$143,2,0))</f>
        <v>0</v>
      </c>
      <c r="GC172" s="302">
        <f>IF($BK172&lt;&gt;$GC$9,0,各项系数!$F$76/4*($MS172^2-$MQ172^2)*10^-2*(VLOOKUP($GC$9,各项系数!$D$1:$F$143,3,0))*10^-3*10^2)*各项系数!$J$4</f>
        <v>3.0187202041754356E-3</v>
      </c>
      <c r="GD172" s="303">
        <v>1</v>
      </c>
      <c r="GE172" s="304">
        <f t="shared" si="763"/>
        <v>3.0187202041754356E-3</v>
      </c>
      <c r="GF172" s="285">
        <f>GE172*(VLOOKUP($GC$9,各项系数!$D$1:$F$143,2,0))</f>
        <v>3.8941490633863117E-2</v>
      </c>
      <c r="GG172" s="302">
        <f>IF($BK172&lt;&gt;$GG$9,0,各项系数!$F$76/4*($MS172^2-$MQ172^2)*10^-2*(VLOOKUP($GG$9,各项系数!$D$1:$F$143,3,0))*10^-3*10^2)*各项系数!$J$4</f>
        <v>0</v>
      </c>
      <c r="GH172" s="303">
        <v>1</v>
      </c>
      <c r="GI172" s="304">
        <f t="shared" si="764"/>
        <v>0</v>
      </c>
      <c r="GJ172" s="285">
        <f>GI172*(VLOOKUP($GG$9,各项系数!$D$1:$F$143,2,0))</f>
        <v>0</v>
      </c>
      <c r="GK172" s="302">
        <f>IF($BK172&lt;&gt;$GK$9,0,各项系数!$F$76/4*($MS172^2-$MQ172^2)*10^-2*(VLOOKUP($GK$9,各项系数!$D$1:$F$143,3,0))*10^-3*10^2)*各项系数!$J$4</f>
        <v>0</v>
      </c>
      <c r="GL172" s="303">
        <v>1</v>
      </c>
      <c r="GM172" s="304">
        <f t="shared" si="765"/>
        <v>0</v>
      </c>
      <c r="GN172" s="285">
        <f>GM172*(VLOOKUP($GK$9,各项系数!$D$1:$F$143,2,0))</f>
        <v>0</v>
      </c>
      <c r="GO172" s="304">
        <f t="shared" si="766"/>
        <v>3.0187202041754356E-3</v>
      </c>
      <c r="GP172" s="304">
        <f t="shared" si="767"/>
        <v>3.8941490633863117E-2</v>
      </c>
      <c r="GQ172" s="315">
        <f>各项系数!$F$76/4*($MU172^2-$MS172^2)*10^-2*(VLOOKUP($S172,各项系数!$D$1:$F$143,3,0))*10^-3*10^2*各项系数!$J$4</f>
        <v>0.17266911314250596</v>
      </c>
      <c r="GR172" s="303">
        <v>1</v>
      </c>
      <c r="GS172" s="304">
        <f t="shared" si="768"/>
        <v>0.17266911314250596</v>
      </c>
      <c r="GT172" s="304">
        <f t="shared" si="696"/>
        <v>1</v>
      </c>
      <c r="GU172" s="304">
        <f>ROUND($GS172*(VLOOKUP($S172,各项系数!$D$1:$F$143,2,0))+$E$3*GS172,GT172)</f>
        <v>1</v>
      </c>
      <c r="GV172" s="315">
        <f>各项系数!$F$76/4*($MT172^2-$MS172^2)*10^-2*(VLOOKUP($GV$9,各项系数!$D$1:$F$143,3,0))*10^-3*10^2*各项系数!$J$4*PI()/4*R172</f>
        <v>1.571843440513172E-2</v>
      </c>
      <c r="GW172" s="303">
        <v>1</v>
      </c>
      <c r="GX172" s="304">
        <f t="shared" si="769"/>
        <v>1.571843440513172E-2</v>
      </c>
      <c r="GY172" s="304">
        <f>$GX172*(VLOOKUP($GV$9,各项系数!$D$1:$F$143,2,0))</f>
        <v>1.0609943223463911</v>
      </c>
      <c r="GZ172" s="315">
        <f>各项系数!$F$76/4*($MV172^2-$MS172^2)*10^-2*(VLOOKUP($GZ$9,各项系数!$D$1:$F$143,3,0))*10^-3*10^2*各项系数!$J$4</f>
        <v>0.10584022509176338</v>
      </c>
      <c r="HA172" s="303">
        <v>1</v>
      </c>
      <c r="HB172" s="304">
        <f t="shared" si="653"/>
        <v>0.10584022509176338</v>
      </c>
      <c r="HC172" s="304">
        <f>HB172*(VLOOKUP($GZ$9,各项系数!$D$1:$F$143,2,0))</f>
        <v>1.7992838265599775</v>
      </c>
      <c r="HD172" s="315">
        <f>各项系数!$F$76/4*($MW172^2-$MT172^2)*10^-2*(VLOOKUP($HD$9,各项系数!$D$1:$F$143,3,0))*10^-3*10^2*各项系数!$J$4</f>
        <v>0.1071455945384418</v>
      </c>
      <c r="HE172" s="303">
        <v>1</v>
      </c>
      <c r="HF172" s="304">
        <f t="shared" si="654"/>
        <v>0.1071455945384418</v>
      </c>
      <c r="HG172" s="304">
        <f>HF172*(VLOOKUP($HD$9,各项系数!$D$1:$F$143,2,0))</f>
        <v>1.8214751071535107</v>
      </c>
      <c r="HH172" s="315">
        <f>各项系数!$F$76/4*($MV172^2-$MS172^2)*10^-2*(VLOOKUP($HH$9,各项系数!$D$1:$F$143,3,0))*10^-3*10^2*各项系数!$J$4</f>
        <v>0.10584022509176338</v>
      </c>
      <c r="HI172" s="322">
        <v>1</v>
      </c>
      <c r="HJ172" s="304">
        <f t="shared" si="655"/>
        <v>0.10584022509176338</v>
      </c>
      <c r="HK172" s="304">
        <f>HJ172*(VLOOKUP($HH$9,各项系数!$D$1:$F$143,2,0))</f>
        <v>1.7992838265599775</v>
      </c>
      <c r="HL172" s="315">
        <f>各项系数!$F$76/4*($MW172^2-$MT172^2)*10^-2*(VLOOKUP($HL$9,各项系数!$D$1:$F$143,3,0))*10^-3*10^2*各项系数!$J$4</f>
        <v>0.1071455945384418</v>
      </c>
      <c r="HM172" s="322">
        <v>1</v>
      </c>
      <c r="HN172" s="304">
        <f t="shared" si="605"/>
        <v>0.1071455945384418</v>
      </c>
      <c r="HO172" s="304">
        <f>HN172*(VLOOKUP($HL$9,各项系数!$D$1:$F$143,2,0))</f>
        <v>1.8214751071535107</v>
      </c>
      <c r="HP172" s="315">
        <f>各项系数!$F$76/4*($MV172^2-$MS172^2)*10^-2*(VLOOKUP(AN172,各项系数!$D$1:$F$143,3,0))*10^-3*10^2*各项系数!$J$4</f>
        <v>0.1073000902654429</v>
      </c>
      <c r="HQ172" s="303">
        <v>1</v>
      </c>
      <c r="HR172" s="304">
        <f t="shared" si="770"/>
        <v>0.1073000902654429</v>
      </c>
      <c r="HS172" s="304">
        <f>HR172*(VLOOKUP(AN172,各项系数!$D$1:$F$143,2,0))</f>
        <v>1.0730009026544289</v>
      </c>
      <c r="HT172" s="315">
        <f>各项系数!$F$76/4*($MW172^2-$MT172^2)*10^-2*(VLOOKUP(AN172,各项系数!$D$1:$F$143,3,0))*10^-3*10^2*各项系数!$J$4</f>
        <v>0.10862346480793755</v>
      </c>
      <c r="HU172" s="303">
        <v>1</v>
      </c>
      <c r="HV172" s="304">
        <f t="shared" si="771"/>
        <v>0.10862346480793755</v>
      </c>
      <c r="HW172" s="304">
        <f>HV172*(VLOOKUP(AN172,各项系数!$D$1:$F$143,2,0))</f>
        <v>1.0862346480793756</v>
      </c>
      <c r="HX172" s="315">
        <f>各项系数!$F$76/4*($MV172^2-$MS172^2)*10^-2*(VLOOKUP($HX$9,各项系数!$D$1:$F$143,3,0))*10^-3*10^2*各项系数!$J$4</f>
        <v>0.1073000902654429</v>
      </c>
      <c r="HY172" s="322">
        <v>1</v>
      </c>
      <c r="HZ172" s="304">
        <f t="shared" si="772"/>
        <v>0.1073000902654429</v>
      </c>
      <c r="IA172" s="304">
        <f>HZ172*(VLOOKUP($HX$9,各项系数!$D$1:$F$143,2,0))</f>
        <v>1.180300992919872</v>
      </c>
      <c r="IB172" s="315">
        <f>各项系数!$F$76/4*($MW172^2-$MT172^2)*10^-2*(VLOOKUP($IB$9,各项系数!$D$1:$F$143,3,0))*10^-3*10^2*各项系数!$J$4</f>
        <v>0.10862346480793755</v>
      </c>
      <c r="IC172" s="322">
        <v>1</v>
      </c>
      <c r="ID172" s="304">
        <f t="shared" si="773"/>
        <v>0.10862346480793755</v>
      </c>
      <c r="IE172" s="304">
        <f>ID172*(VLOOKUP($IB$9,各项系数!$D$1:$F$143,2,0))</f>
        <v>1.194858112887313</v>
      </c>
      <c r="IF172" s="328"/>
      <c r="IG172" s="315">
        <f t="shared" si="656"/>
        <v>2.3198815793805647E-2</v>
      </c>
      <c r="IH172" s="303">
        <v>1</v>
      </c>
      <c r="II172" s="304">
        <f t="shared" si="774"/>
        <v>2.3198815793805647E-2</v>
      </c>
      <c r="IJ172" s="304">
        <f>II172*(VLOOKUP($IG$8,各项系数!$D$1:$F$143,2,0))</f>
        <v>0.57997039484514123</v>
      </c>
      <c r="IK172" s="315">
        <f>(各项系数!$F$76/4*($MX172^2-$MK172^2)*$EG172)*10^-2*(VLOOKUP($IG$8,各项系数!$D$1:$F$143,3,0))*10^-3*10^2*各项系数!$J$4</f>
        <v>2.3198815793805647E-2</v>
      </c>
      <c r="IL172" s="303">
        <f>IK172*(VLOOKUP($IG$8,各项系数!$D$1:$F$143,2,0))</f>
        <v>0.57997039484514123</v>
      </c>
      <c r="IM172" s="304">
        <f>(各项系数!$F$76/4*(($MM172+3*$X172)^2-MM172^2)*$EO172)*10^-2*(VLOOKUP($IG$8,各项系数!$D$1:$F$143,3,0))*10^-3*10^2*各项系数!$J$4</f>
        <v>0</v>
      </c>
      <c r="IN172" s="303">
        <f>IM172*(VLOOKUP($IG$8,各项系数!$D$1:$F$143,2,0))</f>
        <v>0</v>
      </c>
      <c r="IO172" s="315">
        <f>各项系数!$F$76/4*($MZ172^2-$MX172^2)*10^-2*(VLOOKUP(L172,各项系数!$D$1:$F$143,3,0))*10^-3*10^2*$ES172*各项系数!$J$4</f>
        <v>6.3765063584878975E-2</v>
      </c>
      <c r="IP172" s="303">
        <v>1</v>
      </c>
      <c r="IQ172" s="304">
        <f t="shared" si="775"/>
        <v>6.3765063584878975E-2</v>
      </c>
      <c r="IR172" s="285">
        <f>IQ172*(VLOOKUP(L172,各项系数!$D$1:$F$143,2,0))</f>
        <v>0.73329823122610827</v>
      </c>
      <c r="IS172" s="315">
        <f>IF($L172&lt;&gt;$IS$9,0,各项系数!$F$76/4*($MZ172^2-$MX172^2)*10^-2*各项系数!$F$12*10^-3*10^2)*$ES172*各项系数!$J$4</f>
        <v>0</v>
      </c>
      <c r="IT172" s="303">
        <v>1</v>
      </c>
      <c r="IU172" s="304">
        <f t="shared" si="776"/>
        <v>0</v>
      </c>
      <c r="IV172" s="285">
        <f>IU172*各项系数!$E$12</f>
        <v>0</v>
      </c>
      <c r="IW172" s="302">
        <f t="shared" si="777"/>
        <v>6.3765063584878975E-2</v>
      </c>
      <c r="IX172" s="302">
        <f t="shared" si="778"/>
        <v>0.73329823122610827</v>
      </c>
      <c r="IY172" s="339">
        <f>各项系数!$F$76/4*($NB172^2-$MZ172^2*$EG172-$NA172^2*$EO172)*10^-2</f>
        <v>0.528603717977006</v>
      </c>
      <c r="IZ172" s="284">
        <f t="shared" si="697"/>
        <v>1</v>
      </c>
      <c r="JA172" s="285">
        <f t="shared" si="606"/>
        <v>0.528603717977006</v>
      </c>
      <c r="JB172" s="282">
        <f>IF($DE172&lt;&gt;$JB$9,0,$JA172*各项系数!$F$32*10^-3*10^2)*各项系数!$J$4</f>
        <v>0</v>
      </c>
      <c r="JC172" s="102">
        <v>1</v>
      </c>
      <c r="JD172" s="189">
        <f t="shared" si="779"/>
        <v>0</v>
      </c>
      <c r="JE172" s="262">
        <f>JD172*各项系数!$E$32</f>
        <v>0</v>
      </c>
      <c r="JF172" s="282">
        <f>IF($DE172&lt;&gt;$JF$9,0,$JA172*VLOOKUP($JF$9,各项系数!$D$4:$F$540,2,0)*10^-3*10^2)*各项系数!$J$4</f>
        <v>0.26298034969356049</v>
      </c>
      <c r="JG172" s="102">
        <v>1</v>
      </c>
      <c r="JH172" s="189">
        <f t="shared" si="607"/>
        <v>0.26298034969356049</v>
      </c>
      <c r="JI172" s="262">
        <f>JH172*VLOOKUP($JF$9,各项系数!$D$4:$F$540,3,0)</f>
        <v>0.31557641963227256</v>
      </c>
      <c r="JJ172" s="282">
        <f t="shared" si="780"/>
        <v>0.26298034969356049</v>
      </c>
      <c r="JK172" s="189">
        <f t="shared" si="781"/>
        <v>0.31557641963227256</v>
      </c>
      <c r="JL172" s="282">
        <f>IF($DF172&lt;&gt;$JL$9,0,各项系数!$F$76/4*($NE172^2-$NC172^2)*10^-2*各项系数!$F$39*10^-3*10^2)*各项系数!$J$4</f>
        <v>1.521082499454761E-3</v>
      </c>
      <c r="JM172" s="102">
        <v>1</v>
      </c>
      <c r="JN172" s="189">
        <f t="shared" si="782"/>
        <v>1.521082499454761E-3</v>
      </c>
      <c r="JO172" s="262">
        <f>JN172*各项系数!$E$39</f>
        <v>3.0421649989095217E-2</v>
      </c>
      <c r="JP172" s="282">
        <f>IF($DF172&lt;&gt;$JP$9,0,各项系数!$F$76/4*($NE172^2-$NC172^2)*10^-2*各项系数!$F$36*10^-3*10^2)*各项系数!$J$4</f>
        <v>0</v>
      </c>
      <c r="JQ172" s="102">
        <v>1</v>
      </c>
      <c r="JR172" s="189">
        <f t="shared" si="783"/>
        <v>0</v>
      </c>
      <c r="JS172" s="262">
        <f>JR172*各项系数!$E$36</f>
        <v>0</v>
      </c>
      <c r="JT172" s="282">
        <f>IF($DF172&lt;&gt;$JT$9,0,各项系数!$F$76/4*($NE172^2-$NC172^2)*10^-2*各项系数!$F$40*10^-3*10^2)*各项系数!$J$4</f>
        <v>0</v>
      </c>
      <c r="JU172" s="102">
        <v>1</v>
      </c>
      <c r="JV172" s="189">
        <f t="shared" si="784"/>
        <v>0</v>
      </c>
      <c r="JW172" s="262">
        <f>JV172*各项系数!$E$40</f>
        <v>0</v>
      </c>
      <c r="JX172" s="282">
        <f>IF($DF172&lt;&gt;$JX$9,0,各项系数!$F$76/4*($NE172^2-$NC172^2)*10^-2*各项系数!$F$38*10^-3*10^2)*各项系数!$J$4</f>
        <v>0</v>
      </c>
      <c r="JY172" s="102">
        <v>1</v>
      </c>
      <c r="JZ172" s="189">
        <f t="shared" si="785"/>
        <v>0</v>
      </c>
      <c r="KA172" s="262">
        <f>JZ172*各项系数!$E$38</f>
        <v>0</v>
      </c>
      <c r="KB172" s="282">
        <f>IF($DF172&lt;&gt;$KB$9,0,各项系数!$F$76/4*($NE172^2-$NC172^2)*10^-2*各项系数!$F$41*10^-3*10^2)*各项系数!$J$4</f>
        <v>0</v>
      </c>
      <c r="KC172" s="102">
        <v>1</v>
      </c>
      <c r="KD172" s="189">
        <f t="shared" si="786"/>
        <v>0</v>
      </c>
      <c r="KE172" s="262">
        <f>KD172*各项系数!$E$41</f>
        <v>0</v>
      </c>
      <c r="KF172" s="189">
        <f t="shared" si="787"/>
        <v>1.521082499454761E-3</v>
      </c>
      <c r="KG172" s="189">
        <f t="shared" si="788"/>
        <v>3.0421649989095217E-2</v>
      </c>
      <c r="KH172" s="235">
        <f>各项系数!$F$76/4*($NG172^2-$NE172^2)*10^-2*各项系数!$F$44*10^-3*10^2*各项系数!$J$4*0.75*$U172</f>
        <v>0.62642322337550982</v>
      </c>
      <c r="KI172" s="102">
        <v>1</v>
      </c>
      <c r="KJ172" s="189">
        <f t="shared" si="789"/>
        <v>0.62642322337550982</v>
      </c>
      <c r="KK172" s="189">
        <f>ROUND(KJ172*各项系数!$E$43,GT172)</f>
        <v>3.6</v>
      </c>
      <c r="KL172" s="235">
        <f>各项系数!$F$76/4*($NF172^2-$NE172^2)*10^-2*各项系数!$F$46*10^-3*10^2*各项系数!$J$4*PI()/4*R172</f>
        <v>1.9160231575908935E-2</v>
      </c>
      <c r="KM172" s="102">
        <v>1</v>
      </c>
      <c r="KN172" s="189">
        <f t="shared" si="790"/>
        <v>1.9160231575908935E-2</v>
      </c>
      <c r="KO172" s="189">
        <f>KN172*各项系数!$E$46</f>
        <v>1.2933156313738532</v>
      </c>
      <c r="KP172" s="235">
        <f>各项系数!$F$76/4*($NH172^2-$NE172^2)*10^-2*(VLOOKUP($KP$9,各项系数!$D$1:$F$143,3,0))*10^-3*10^2*各项系数!$J$4</f>
        <v>0.12594291457061077</v>
      </c>
      <c r="KQ172" s="102">
        <v>1</v>
      </c>
      <c r="KR172" s="189">
        <f t="shared" si="657"/>
        <v>0.12594291457061077</v>
      </c>
      <c r="KS172" s="189">
        <f>KR172*(VLOOKUP($KP$9,各项系数!$D$1:$F$143,2,0))</f>
        <v>2.1410295477003829</v>
      </c>
      <c r="KT172" s="235">
        <f>各项系数!$F$76/4*($NI172^2-$NF172^2)*10^-2*(VLOOKUP($KT$9,各项系数!$D$1:$F$143,3,0))*10^-3*10^2*各项系数!$J$4</f>
        <v>0.12724828401728921</v>
      </c>
      <c r="KU172" s="102">
        <v>1</v>
      </c>
      <c r="KV172" s="189">
        <f t="shared" si="658"/>
        <v>0.12724828401728921</v>
      </c>
      <c r="KW172" s="189">
        <f>KV172*(VLOOKUP($KT$9,各项系数!$D$1:$F$143,2,0))</f>
        <v>2.1632208282939165</v>
      </c>
      <c r="KX172" s="189">
        <f>各项系数!$F$76/4*($NH172^2-$NE172^2)*10^-2*(VLOOKUP($KX$9,各项系数!$D$1:$F$143,3,0))*10^-3*10^2*各项系数!$J$4</f>
        <v>0.12594291457061077</v>
      </c>
      <c r="KY172" s="353">
        <v>1</v>
      </c>
      <c r="KZ172" s="189">
        <f t="shared" si="659"/>
        <v>0.12594291457061077</v>
      </c>
      <c r="LA172" s="189">
        <f>KZ172*(VLOOKUP($KX$9,各项系数!$D$1:$F$143,2,0))</f>
        <v>2.1410295477003829</v>
      </c>
      <c r="LB172" s="189">
        <f>各项系数!$F$76/4*($NI172^2-$NF172^2)*10^-2*(VLOOKUP($LB$9,各项系数!$D$1:$F$143,3,0))*10^-3*10^2*各项系数!$J$4</f>
        <v>0.12724828401728921</v>
      </c>
      <c r="LC172" s="353">
        <v>1</v>
      </c>
      <c r="LD172" s="189">
        <f t="shared" si="660"/>
        <v>0.12724828401728921</v>
      </c>
      <c r="LE172" s="189">
        <f>LD172*(VLOOKUP($LB$9,各项系数!$D$1:$F$143,2,0))</f>
        <v>2.1632208282939165</v>
      </c>
      <c r="LF172" s="235">
        <f>各项系数!$F$76/4*($NH172^2-$NE172^2)*10^-2*(VLOOKUP(AN172,各项系数!$D$1:$F$143,3,0))*10^-3*10^2*各项系数!$J$4</f>
        <v>0.12768005821986059</v>
      </c>
      <c r="LG172" s="102">
        <v>1</v>
      </c>
      <c r="LH172" s="189">
        <f t="shared" si="791"/>
        <v>0.12768005821986059</v>
      </c>
      <c r="LI172" s="189">
        <f>LH172*(VLOOKUP(AN172,各项系数!$D$1:$F$143,2,0))</f>
        <v>1.2768005821986059</v>
      </c>
      <c r="LJ172" s="235">
        <f>各项系数!$F$76/4*($NI172^2-$NF172^2)*10^-2*(VLOOKUP(AN172,各项系数!$D$1:$F$143,3,0))*10^-3*10^2*各项系数!$J$4</f>
        <v>0.12900343276235526</v>
      </c>
      <c r="LK172" s="102">
        <v>1</v>
      </c>
      <c r="LL172" s="189">
        <f t="shared" si="792"/>
        <v>0.12900343276235526</v>
      </c>
      <c r="LM172" s="189">
        <f>LL172*(VLOOKUP(AN172,各项系数!$D$1:$F$143,2,0))</f>
        <v>1.2900343276235526</v>
      </c>
      <c r="LN172" s="189">
        <f>各项系数!$F$76/4*($NH172^2-$NE172^2)*10^-2*(VLOOKUP($LN$9,各项系数!$D$1:$F$143,3,0))*10^-3*10^2*各项系数!$J$4</f>
        <v>0.12768005821986059</v>
      </c>
      <c r="LO172" s="353">
        <v>1</v>
      </c>
      <c r="LP172" s="189">
        <f t="shared" si="793"/>
        <v>0.12768005821986059</v>
      </c>
      <c r="LQ172" s="189">
        <f>LP172*(VLOOKUP($LN$9,各项系数!$D$1:$F$143,2,0))</f>
        <v>1.4044806404184664</v>
      </c>
      <c r="LR172" s="189">
        <f>各项系数!$F$76/4*($NI172^2-$NF172^2)*10^-2*(VLOOKUP($LR$9,各项系数!$D$1:$F$143,3,0))*10^-3*10^2*各项系数!$J$4</f>
        <v>0.12900343276235526</v>
      </c>
      <c r="LS172" s="353">
        <v>1</v>
      </c>
      <c r="LT172" s="189">
        <f t="shared" si="794"/>
        <v>0.12900343276235526</v>
      </c>
      <c r="LU172" s="189">
        <f>LT172*(VLOOKUP($LR$9,各项系数!$D$1:$F$143,2,0))</f>
        <v>1.4190377603859079</v>
      </c>
      <c r="LV172" s="227">
        <f t="shared" si="661"/>
        <v>14.297487179999999</v>
      </c>
      <c r="LW172" s="227">
        <f t="shared" si="662"/>
        <v>14.297487179999999</v>
      </c>
      <c r="LX172" s="227">
        <f t="shared" si="663"/>
        <v>4.2666293567545832</v>
      </c>
      <c r="LY172" s="227">
        <f t="shared" si="664"/>
        <v>0</v>
      </c>
      <c r="LZ172" s="374">
        <f t="shared" si="608"/>
        <v>1</v>
      </c>
      <c r="MA172" s="375">
        <f t="shared" si="609"/>
        <v>14.297487179999999</v>
      </c>
      <c r="MB172" s="375">
        <f t="shared" si="665"/>
        <v>1.34922667</v>
      </c>
      <c r="MC172" s="227">
        <f t="shared" si="666"/>
        <v>0</v>
      </c>
      <c r="MD172" s="227">
        <f t="shared" si="667"/>
        <v>0</v>
      </c>
      <c r="ME172" s="227">
        <f t="shared" si="668"/>
        <v>0</v>
      </c>
      <c r="MF172" s="227">
        <f t="shared" si="669"/>
        <v>0</v>
      </c>
      <c r="MG172" s="374">
        <f t="shared" si="670"/>
        <v>1</v>
      </c>
      <c r="MH172" s="375">
        <f t="shared" si="610"/>
        <v>0</v>
      </c>
      <c r="MI172" s="375">
        <f t="shared" si="671"/>
        <v>0</v>
      </c>
      <c r="MJ172" s="189">
        <f t="shared" si="611"/>
        <v>1.34922667</v>
      </c>
      <c r="MK172" s="189">
        <f t="shared" si="672"/>
        <v>1.34922667</v>
      </c>
      <c r="ML172" s="189">
        <f t="shared" si="795"/>
        <v>0</v>
      </c>
      <c r="MM172" s="189">
        <f t="shared" si="612"/>
        <v>0</v>
      </c>
      <c r="MN172" s="189">
        <f t="shared" si="613"/>
        <v>2.7492266699999997</v>
      </c>
      <c r="MO172" s="189">
        <f t="shared" si="673"/>
        <v>0</v>
      </c>
      <c r="MP172" s="189">
        <f t="shared" si="674"/>
        <v>10.99690668</v>
      </c>
      <c r="MQ172" s="189">
        <f t="shared" si="796"/>
        <v>10.99690668</v>
      </c>
      <c r="MR172" s="246">
        <f t="shared" si="675"/>
        <v>10.99690668</v>
      </c>
      <c r="MS172" s="380">
        <f t="shared" si="614"/>
        <v>11.172906680000001</v>
      </c>
      <c r="MT172" s="380">
        <f t="shared" si="615"/>
        <v>11.332906680000001</v>
      </c>
      <c r="MU172" s="380">
        <f t="shared" si="616"/>
        <v>12.37290668</v>
      </c>
      <c r="MV172" s="380">
        <f t="shared" si="617"/>
        <v>14.77290668</v>
      </c>
      <c r="MW172" s="380">
        <f t="shared" si="618"/>
        <v>14.93290668</v>
      </c>
      <c r="MX172" s="254">
        <f t="shared" si="619"/>
        <v>1.9492266700000001</v>
      </c>
      <c r="MY172" s="254">
        <f t="shared" si="620"/>
        <v>0</v>
      </c>
      <c r="MZ172" s="189">
        <f t="shared" si="621"/>
        <v>3.3492266700000002</v>
      </c>
      <c r="NA172" s="189">
        <f t="shared" si="622"/>
        <v>0</v>
      </c>
      <c r="NB172" s="189">
        <f t="shared" si="676"/>
        <v>13.396906680000001</v>
      </c>
      <c r="NC172" s="254">
        <f t="shared" si="797"/>
        <v>13.396906680000001</v>
      </c>
      <c r="ND172" s="246">
        <f t="shared" si="677"/>
        <v>13.396906680000001</v>
      </c>
      <c r="NE172" s="386">
        <f t="shared" si="678"/>
        <v>13.636906680000001</v>
      </c>
      <c r="NF172" s="380">
        <f t="shared" si="623"/>
        <v>13.796906680000001</v>
      </c>
      <c r="NG172" s="387">
        <f t="shared" si="624"/>
        <v>14.836906680000002</v>
      </c>
      <c r="NH172" s="254">
        <f t="shared" si="625"/>
        <v>17.236906680000001</v>
      </c>
      <c r="NI172" s="380">
        <f t="shared" si="626"/>
        <v>17.396906680000001</v>
      </c>
      <c r="NK172" s="388">
        <f t="shared" si="627"/>
        <v>0.32863860197154288</v>
      </c>
      <c r="NL172" s="388">
        <f t="shared" si="628"/>
        <v>10.09047245050397</v>
      </c>
      <c r="NM172" s="388">
        <f t="shared" si="629"/>
        <v>0.32863860197154288</v>
      </c>
      <c r="NN172" s="388">
        <f t="shared" si="630"/>
        <v>10.197772540769412</v>
      </c>
      <c r="NO172" s="388">
        <f t="shared" si="631"/>
        <v>0.60561450793599847</v>
      </c>
      <c r="NP172" s="388">
        <f t="shared" si="632"/>
        <v>11.219795826351909</v>
      </c>
      <c r="NQ172" s="388">
        <f t="shared" si="633"/>
        <v>0.60561450793599847</v>
      </c>
      <c r="NR172" s="388">
        <f t="shared" si="634"/>
        <v>11.347475884571768</v>
      </c>
      <c r="NS172" s="388">
        <f t="shared" si="635"/>
        <v>0.34435703637667459</v>
      </c>
      <c r="NT172" s="388">
        <f t="shared" si="636"/>
        <v>0.34435703637667459</v>
      </c>
      <c r="NU172" s="388">
        <f t="shared" si="637"/>
        <v>0.62477473951190743</v>
      </c>
      <c r="NV172" s="388">
        <f t="shared" si="638"/>
        <v>0.62477473951190743</v>
      </c>
      <c r="NW172">
        <f t="shared" si="639"/>
        <v>0.50130771511404881</v>
      </c>
      <c r="NX172">
        <f>各项系数!$M$9*NK172</f>
        <v>9.8591580591462863E-2</v>
      </c>
      <c r="NY172">
        <f t="shared" si="640"/>
        <v>0.34435703637667464</v>
      </c>
    </row>
    <row r="173" spans="1:389" ht="15" hidden="1" customHeight="1">
      <c r="A173" s="69"/>
      <c r="B173" s="70"/>
      <c r="C173" s="69"/>
      <c r="D173" s="102" t="s">
        <v>388</v>
      </c>
      <c r="E173" s="61">
        <f t="shared" si="687"/>
        <v>15.212782949999999</v>
      </c>
      <c r="F173" s="62">
        <f t="shared" si="798"/>
        <v>134.922667214547</v>
      </c>
      <c r="G173" s="16"/>
      <c r="H173" s="16"/>
      <c r="I173" s="145">
        <v>0</v>
      </c>
      <c r="J173" s="16"/>
      <c r="K173" s="16"/>
      <c r="L173" s="97" t="s">
        <v>469</v>
      </c>
      <c r="M173" s="103">
        <f t="shared" si="582"/>
        <v>0.7</v>
      </c>
      <c r="N173" s="103">
        <f t="shared" si="804"/>
        <v>0</v>
      </c>
      <c r="O173" s="53">
        <f t="shared" si="801"/>
        <v>0.08</v>
      </c>
      <c r="P173" s="99">
        <v>0.1</v>
      </c>
      <c r="Q173" s="133">
        <f t="shared" si="754"/>
        <v>0.1</v>
      </c>
      <c r="R173" s="406">
        <v>0.8</v>
      </c>
      <c r="S173" s="142" t="str">
        <f>各项系数!$D$43</f>
        <v>钢带</v>
      </c>
      <c r="T173" s="102">
        <v>0.2</v>
      </c>
      <c r="U173" s="62">
        <v>4</v>
      </c>
      <c r="V173" s="143"/>
      <c r="W173" s="141">
        <f>$W$172</f>
        <v>1.8</v>
      </c>
      <c r="X173" s="135">
        <f t="shared" si="755"/>
        <v>0.2</v>
      </c>
      <c r="Y173" s="135"/>
      <c r="Z173" s="168"/>
      <c r="AA173" s="153">
        <v>1</v>
      </c>
      <c r="AB173" s="153">
        <f>PI()*EJ173*EJ173/4*EH173*(1-H173)*AA173*各项系数!$F$5*各项系数!$J$4*10^-7</f>
        <v>1.2646913814443796E-2</v>
      </c>
      <c r="AC173" s="153">
        <f t="shared" si="704"/>
        <v>134.922667214547</v>
      </c>
      <c r="AD173" s="153">
        <f t="shared" si="584"/>
        <v>1.4297487227412424</v>
      </c>
      <c r="AE173" s="153">
        <f>POWER(4*EU173/PI()/EG173/10^-7/EH173/(1-H173)/各项系数!$F$5/各项系数!$J$4,0.5)</f>
        <v>134.922667214547</v>
      </c>
      <c r="AF173" s="69">
        <v>1</v>
      </c>
      <c r="AG173" s="69">
        <f>IF(EM173=0,0,PI()*ER173*ER173/4*EP173*(1-K173)*(1+AF173)*各项系数!$F$5*各项系数!$J$4*10^-7)</f>
        <v>0</v>
      </c>
      <c r="AH173" s="69">
        <f t="shared" si="705"/>
        <v>0</v>
      </c>
      <c r="AI173" s="69">
        <f t="shared" si="641"/>
        <v>0</v>
      </c>
      <c r="AJ173" s="69">
        <f>IF(OR(EP173="",EP173=0),0,POWER(4*EW173/PI()/EO173/10^-7/EP173/(1-K173)/各项系数!$F$5/各项系数!$J$4,0.5))</f>
        <v>0</v>
      </c>
      <c r="AK173" s="69" t="str">
        <f t="shared" si="585"/>
        <v>√</v>
      </c>
      <c r="AL173" s="69">
        <f t="shared" si="706"/>
        <v>12.578597378377536</v>
      </c>
      <c r="AM173" s="188">
        <f t="shared" si="707"/>
        <v>1.5</v>
      </c>
      <c r="AN173" s="97" t="s">
        <v>486</v>
      </c>
      <c r="AO173" s="196">
        <f>AP173+各项系数!$M$9*$NK173</f>
        <v>12.331958214095623</v>
      </c>
      <c r="AP173" s="196">
        <f>AQ173*(1+$BI173+(VLOOKUP($AM173,$A$12:$B$323,2,0))+各项系数!$J$6+各项系数!$M$5)*(1+$E$2)</f>
        <v>12.223168206157212</v>
      </c>
      <c r="AQ173" s="197">
        <f>AR173+各项系数!$L$9*$NK173</f>
        <v>12.349129325275017</v>
      </c>
      <c r="AR173" s="197">
        <f>AS173*(1+$BJ173+各项系数!$J$5+各项系数!$L$5)</f>
        <v>12.240339317336606</v>
      </c>
      <c r="AS173" s="197">
        <f t="shared" si="642"/>
        <v>11.883824579938452</v>
      </c>
      <c r="AT173" s="196">
        <f>AU173+各项系数!$M$9*$NM173</f>
        <v>13.097505657049139</v>
      </c>
      <c r="AU173" s="196">
        <f>AV173*(1+$BI173+(VLOOKUP($AM173,$A$12:$B$323,2,0))+各项系数!$J$6+各项系数!$M$5)*(1+$E$2)</f>
        <v>12.988715649110727</v>
      </c>
      <c r="AV173" s="197">
        <f>AW173+各项系数!$L$9*$NM173</f>
        <v>13.12256582047962</v>
      </c>
      <c r="AW173" s="197">
        <f>AX173*(1+$BJ173+各项系数!$J$5+各项系数!$L$5)</f>
        <v>13.013775812541208</v>
      </c>
      <c r="AX173" s="197">
        <f t="shared" si="643"/>
        <v>12.634733798583698</v>
      </c>
      <c r="AY173" s="196">
        <f>AZ173+各项系数!$M$9*$NS173</f>
        <v>13.479159807827752</v>
      </c>
      <c r="AZ173" s="196">
        <f>BA173*(1+$BI173+(VLOOKUP($AM173,$A$12:$B$214,2,0))+各项系数!$J$6+各项系数!$M$5)*(1+$E$2)</f>
        <v>13.365469939425564</v>
      </c>
      <c r="BA173" s="197">
        <f>BB173+各项系数!$L$9*$NS173</f>
        <v>13.503202606006834</v>
      </c>
      <c r="BB173" s="197">
        <f>BC173*(1+$BJ173+各项系数!$J$5+各项系数!$L$5)</f>
        <v>13.389512737604646</v>
      </c>
      <c r="BC173" s="199">
        <f t="shared" si="644"/>
        <v>12.999526929713248</v>
      </c>
      <c r="BD173" s="196">
        <f>BE173+各项系数!$M$9*$NS173</f>
        <v>14.253839404140431</v>
      </c>
      <c r="BE173" s="196">
        <f>BF173*(1+$BI173+(VLOOKUP($AM173,$A$12:$B$214,2,0))+各项系数!$J$6+各项系数!$M$5)*(1+$E$2)</f>
        <v>14.140149535738242</v>
      </c>
      <c r="BF173" s="197">
        <f>BG173+各项系数!$L$9*$NS173</f>
        <v>14.28586536243508</v>
      </c>
      <c r="BG173" s="197">
        <f>BH173*(1+$BJ173+各项系数!$J$5+各项系数!$L$5)</f>
        <v>14.172175494032892</v>
      </c>
      <c r="BH173" s="199">
        <f t="shared" si="645"/>
        <v>13.75939368352708</v>
      </c>
      <c r="BI173" s="213"/>
      <c r="BJ173" s="208">
        <f t="shared" si="800"/>
        <v>0.01</v>
      </c>
      <c r="BK173" s="102" t="s">
        <v>514</v>
      </c>
      <c r="BL173" s="196">
        <f>BM173+各项系数!$M$9*$NM173</f>
        <v>12.563783356554438</v>
      </c>
      <c r="BM173" s="196">
        <f>BN173*(1+$CF173+(VLOOKUP($AM173,$A$12:$B$323,2,0))+各项系数!$J$6+各项系数!$M$5)*(1+$E$2)</f>
        <v>12.454993348616027</v>
      </c>
      <c r="BN173" s="197">
        <f>BO173+各项系数!$L$9*$NM173</f>
        <v>12.583343451824637</v>
      </c>
      <c r="BO173" s="197">
        <f>BP173*(1+$CG173+各项系数!$J$5+各项系数!$L$5)</f>
        <v>12.474553443886226</v>
      </c>
      <c r="BP173" s="197">
        <f t="shared" si="646"/>
        <v>11.994762926813678</v>
      </c>
      <c r="BQ173" s="196">
        <f>BR173+各项系数!$M$9*$NM173</f>
        <v>13.222564252187521</v>
      </c>
      <c r="BR173" s="196">
        <f>BS173*(1+$CF173+(VLOOKUP($AM173,$A$12:$B$323,2,0))+各项系数!$J$6+各项系数!$M$5)*(1+$E$2)</f>
        <v>13.113774244249109</v>
      </c>
      <c r="BS173" s="197">
        <f>BT173+各项系数!$L$9*$NM173</f>
        <v>13.248913158465458</v>
      </c>
      <c r="BT173" s="197">
        <f>BU173*(1+$CG173+各项系数!$J$5+各项系数!$L$5)</f>
        <v>13.140123150527046</v>
      </c>
      <c r="BU173" s="197">
        <f t="shared" si="647"/>
        <v>12.634733798583698</v>
      </c>
      <c r="BV173" s="196">
        <f>BW173+各项系数!$M$9*$NT173</f>
        <v>13.619039328009993</v>
      </c>
      <c r="BW173" s="196">
        <f>BX173*(1+$CF173+(VLOOKUP($AM173,$A$12:$B$214,2,0))+各项系数!$J$6+各项系数!$M$5)*(1+$E$2)</f>
        <v>13.505349459607805</v>
      </c>
      <c r="BX173" s="197">
        <f>BY173+各项系数!$L$9*$NT$12</f>
        <v>13.644523600331183</v>
      </c>
      <c r="BY173" s="197">
        <f>BZ173*(1+$CG173+各项系数!$J$5+各项系数!$L$5)</f>
        <v>13.63626019717621</v>
      </c>
      <c r="BZ173" s="199">
        <f t="shared" si="586"/>
        <v>13.11178865113097</v>
      </c>
      <c r="CA173" s="196">
        <f>CB173+各项系数!$M$9*$NT173</f>
        <v>14.285678767518288</v>
      </c>
      <c r="CB173" s="196">
        <f>CC173*(1+$CF173+(VLOOKUP($AM173,$A$12:$B$214,2,0))+各项系数!$J$6+各项系数!$M$5)*(1+$E$2)</f>
        <v>14.1719888991161</v>
      </c>
      <c r="CC173" s="197">
        <f>CD173+各项系数!$L$9*$NT$12</f>
        <v>14.318032834023137</v>
      </c>
      <c r="CD173" s="197">
        <f>CE173*(1+$CG173+各项系数!$J$5+各项系数!$L$5)</f>
        <v>14.309769430868164</v>
      </c>
      <c r="CE173" s="199">
        <f t="shared" si="648"/>
        <v>13.75939368352708</v>
      </c>
      <c r="CF173" s="213">
        <f t="shared" si="753"/>
        <v>0</v>
      </c>
      <c r="CG173" s="213">
        <f t="shared" si="587"/>
        <v>0.02</v>
      </c>
      <c r="CH173" s="102"/>
      <c r="CI173" s="196">
        <f>CJ173+各项系数!$M$9*$NO173</f>
        <v>13.884812919972147</v>
      </c>
      <c r="CJ173" s="196">
        <f>CK173*(1+$DC173+(VLOOKUP($AM173,$A$12:$B$323,2,0))+各项系数!$J$6+各项系数!$M$5)*(1+$E$2)+各项系数!$M$9*$NK173</f>
        <v>13.69810548884505</v>
      </c>
      <c r="CK173" s="197">
        <f>CL173+各项系数!$L$9*$NO173</f>
        <v>13.729354900895776</v>
      </c>
      <c r="CL173" s="197">
        <f>CM173*(1+$DD173+各项系数!$J$5+各项系数!$L$5)</f>
        <v>13.54264746976868</v>
      </c>
      <c r="CM173" s="197">
        <f t="shared" si="588"/>
        <v>13.148201426959883</v>
      </c>
      <c r="CN173" s="196">
        <f>CO173+各项系数!$M$9*$NO173</f>
        <v>14.434492777993498</v>
      </c>
      <c r="CO173" s="196">
        <f>CP173*(1+$DC173+(VLOOKUP($AM173,$A$12:$B$323,2,0))+各项系数!$J$6+各项系数!$M$5)*(1+$E$2)+各项系数!$M$9*$NK173</f>
        <v>14.247785346866401</v>
      </c>
      <c r="CP173" s="197">
        <f>CQ173+各项系数!$L$9*$NO173</f>
        <v>14.284699271497262</v>
      </c>
      <c r="CQ173" s="197">
        <f>CR173*(1+$DD173+各项系数!$J$5+各项系数!$L$5)</f>
        <v>14.097991840370165</v>
      </c>
      <c r="CR173" s="197">
        <f t="shared" si="589"/>
        <v>13.687370718805985</v>
      </c>
      <c r="CS173" s="196">
        <f>CT173+各项系数!$M$9*$NU173</f>
        <v>15.171437209172376</v>
      </c>
      <c r="CT173" s="196">
        <f t="shared" si="590"/>
        <v>14.97875714963217</v>
      </c>
      <c r="CU173" s="197">
        <f>CV173+各项系数!$L$9*$NU173</f>
        <v>15.133114921834887</v>
      </c>
      <c r="CV173" s="197">
        <f>CW173*(1+$DD173+各项系数!$J$5+各项系数!$L$5)</f>
        <v>14.94043486229468</v>
      </c>
      <c r="CW173" s="199">
        <f t="shared" si="591"/>
        <v>14.50527656533464</v>
      </c>
      <c r="CX173" s="196">
        <f>CY173+各项系数!$M$9*$NU173</f>
        <v>16.09223125923166</v>
      </c>
      <c r="CY173" s="196">
        <f t="shared" si="592"/>
        <v>15.899551199691453</v>
      </c>
      <c r="CZ173" s="197">
        <f>DA173+各项系数!$L$9*$NU173</f>
        <v>16.063397857841437</v>
      </c>
      <c r="DA173" s="197">
        <f>DB173*(1+$DD173+各项系数!$J$5+各项系数!$L$5)</f>
        <v>15.87071779830123</v>
      </c>
      <c r="DB173" s="199">
        <f t="shared" si="593"/>
        <v>15.408463881845854</v>
      </c>
      <c r="DC173" s="213">
        <f t="shared" si="803"/>
        <v>0</v>
      </c>
      <c r="DD173" s="213">
        <f t="shared" si="594"/>
        <v>0.01</v>
      </c>
      <c r="DE173" s="53" t="s">
        <v>498</v>
      </c>
      <c r="DF173" s="53" t="s">
        <v>513</v>
      </c>
      <c r="DG173" s="196">
        <f>DH173+各项系数!$M$9*$NQ173</f>
        <v>14.150949203135545</v>
      </c>
      <c r="DH173" s="196">
        <f>DI173*(1+$EA173+(VLOOKUP($AM173,$A$12:$B$323,2,0))+各项系数!$J$6+各项系数!$M$5)*(1+$E$2)+各项系数!$M$9*$NK173</f>
        <v>13.964241772008448</v>
      </c>
      <c r="DI173" s="197">
        <f>DJ173+各项系数!$L$9*$NQ173</f>
        <v>13.998233748302724</v>
      </c>
      <c r="DJ173" s="197">
        <f>DK173*(1+$EB173+各项系数!$J$5+各项系数!$L$5)</f>
        <v>13.811526317175627</v>
      </c>
      <c r="DK173" s="197">
        <f t="shared" si="595"/>
        <v>13.280313766515025</v>
      </c>
      <c r="DL173" s="196">
        <f>DM173+各项系数!$M$9*$NQ173</f>
        <v>14.935466800772046</v>
      </c>
      <c r="DM173" s="196">
        <f>DN173*(1+$EA173+(VLOOKUP($AM173,$A$12:$B$323,2,0))+各项系数!$J$6+各项系数!$M$5)*(1+$E$2)+各项系数!$M$9*$NK173</f>
        <v>14.748759369644949</v>
      </c>
      <c r="DN173" s="197">
        <f>DO173+各项系数!$L$9*$NQ173</f>
        <v>14.790835887761707</v>
      </c>
      <c r="DO173" s="197">
        <f>DP173*(1+$EB173+各项系数!$J$5+各项系数!$L$5)</f>
        <v>14.60412845663461</v>
      </c>
      <c r="DP173" s="197">
        <f t="shared" si="596"/>
        <v>14.04243120830251</v>
      </c>
      <c r="DQ173" s="196">
        <f>DR173+各项系数!$M$9*$NV173</f>
        <v>15.452368093222455</v>
      </c>
      <c r="DR173" s="196">
        <f t="shared" si="597"/>
        <v>15.259688033682249</v>
      </c>
      <c r="DS173" s="197">
        <f>DT173+各项系数!$L$9*$NV173</f>
        <v>15.416940830149777</v>
      </c>
      <c r="DT173" s="197">
        <f>DU173*(1+$EB173+各项系数!$J$5+各项系数!$L$5)</f>
        <v>15.22426077060957</v>
      </c>
      <c r="DU173" s="199">
        <f t="shared" si="598"/>
        <v>14.638712279432278</v>
      </c>
      <c r="DV173" s="196">
        <f>DW173+各项系数!$M$9*$NV173</f>
        <v>15.338922635328201</v>
      </c>
      <c r="DW173" s="196">
        <f t="shared" si="599"/>
        <v>15.146242575787994</v>
      </c>
      <c r="DX173" s="197">
        <f>DY173+各项系数!$L$9*$NV173</f>
        <v>15.302326304089711</v>
      </c>
      <c r="DY173" s="197">
        <f>DZ173*(1+$EB173+各项系数!$J$5+各项系数!$L$5)</f>
        <v>15.109646244549504</v>
      </c>
      <c r="DZ173" s="199">
        <f t="shared" si="600"/>
        <v>14.528506004374522</v>
      </c>
      <c r="EA173" s="213">
        <f t="shared" si="802"/>
        <v>0</v>
      </c>
      <c r="EB173" s="213">
        <f t="shared" si="601"/>
        <v>0.02</v>
      </c>
      <c r="EC173" s="235">
        <f t="shared" si="649"/>
        <v>12</v>
      </c>
      <c r="ED173" s="235" t="str">
        <f t="shared" si="756"/>
        <v>12*1.5</v>
      </c>
      <c r="EE173" s="189">
        <f t="shared" si="709"/>
        <v>1.5</v>
      </c>
      <c r="EF173" s="189">
        <f>LOOKUP(EH173,{1,7,10,14,19,24,30,37,48,61},{1,"1+6","2+8","4+10","1+6+12","2+8+14","4+10+16","1+6+12+18","3+9+15+21","1+6+12+18+24"})</f>
        <v>1</v>
      </c>
      <c r="EG173" s="188">
        <f t="shared" si="602"/>
        <v>12</v>
      </c>
      <c r="EH173" s="197">
        <f>VLOOKUP(EE173,各项系数!$B$87:$C$124,2,0)</f>
        <v>1</v>
      </c>
      <c r="EI173" s="188">
        <f>IF(EH173=0,0,VLOOKUP(EH173,各项系数!$D$142:$E$195,2,0))*1</f>
        <v>1</v>
      </c>
      <c r="EJ173" s="238">
        <f t="shared" si="650"/>
        <v>134.922667214547</v>
      </c>
      <c r="EK173" s="189">
        <f t="shared" si="689"/>
        <v>0</v>
      </c>
      <c r="EL173" s="189">
        <f t="shared" si="603"/>
        <v>0</v>
      </c>
      <c r="EM173" s="189">
        <f t="shared" si="690"/>
        <v>0</v>
      </c>
      <c r="EN173" s="189">
        <f>IF(EP173=0,0,LOOKUP(EP173,{1,7,10,14,19,24,30,37,48,61},{1,"1+6","2+8","4+10","1+6+12","2+8+14","4+10+16","1+6+12+18","3+9+15+21","1+6+12+18+24"}))</f>
        <v>0</v>
      </c>
      <c r="EO173" s="189">
        <f t="shared" si="691"/>
        <v>0</v>
      </c>
      <c r="EP173" s="189">
        <f>IF(EM173=0,0,IF(EM173&lt;10,1,IF(AND(EM173&gt;=10,EM173&lt;=35),7,LOOKUP(EM173,{50,70,95,120,150,185,240,300},{10,14,19,24,30,37,48,61})*1)))</f>
        <v>0</v>
      </c>
      <c r="EQ173" s="189">
        <f>IF(EP173=0,0,VLOOKUP(EP173,各项系数!$D$142:$E$195,2,0))*1</f>
        <v>0</v>
      </c>
      <c r="ER173" s="53">
        <f t="shared" si="710"/>
        <v>0</v>
      </c>
      <c r="ES173" s="412">
        <f t="shared" si="692"/>
        <v>12</v>
      </c>
      <c r="ET173" s="189">
        <f>VLOOKUP(ES173,各项系数!$D$142:$E$195,2,0)*1</f>
        <v>4.16</v>
      </c>
      <c r="EU173" s="243">
        <f>((各项系数!$F$76/4*$EJ173^2*$EG173*$EH173*1*10^-7)*(1-$H173)*AA173)*(VLOOKUP($EY$9,各项系数!$D$4:$F$143,3,0))*各项系数!$J$4</f>
        <v>0.15176296577332554</v>
      </c>
      <c r="EV173" s="244">
        <f>EU173*(VLOOKUP($EY$9,各项系数!$D$4:$F$143,2,0))</f>
        <v>9.9404742581528236</v>
      </c>
      <c r="EW173" s="252">
        <f>(IF($EO173=0,0,(各项系数!$F$76/4*$ER173^2*$EO173*$EP173*1*10^-7))*(1-$K173)*$AF173)*(VLOOKUP($EY$9,各项系数!$D$4:$F$143,3,0))*各项系数!$J$4</f>
        <v>0</v>
      </c>
      <c r="EX173" s="253">
        <f>EW173*(VLOOKUP($EY$9,各项系数!$D$4:$F$143,2,0))</f>
        <v>0</v>
      </c>
      <c r="EY173" s="189">
        <f>((各项系数!$F$76/4*$EJ173^2*$EG173*$EH173*1*10^-7)*(1-$H173)*AA173+IF($EO173=0,0,(各项系数!$F$76/4*$ER173^2*$EO173*$EP173*1*10^-7))*(1-$K173)*$AF173)*(VLOOKUP($EY$9,各项系数!$D$4:$F$143,3,0))*各项系数!$J$4</f>
        <v>0.15176296577332554</v>
      </c>
      <c r="EZ173" s="102">
        <v>1</v>
      </c>
      <c r="FA173" s="189">
        <f t="shared" si="757"/>
        <v>0.15176296577332554</v>
      </c>
      <c r="FB173" s="254">
        <f>FA173*(VLOOKUP($EY$9,各项系数!$D$4:$F$143,2,0))</f>
        <v>9.9404742581528236</v>
      </c>
      <c r="FC173" s="255"/>
      <c r="FD173" s="235">
        <f>各项系数!$F$76/4*($MN173^2-MK173^2)*10^-2*(VLOOKUP(L173,各项系数!$D$1:$F$143,3,0))*10^-3*10^2*$EG173*各项系数!$J$4</f>
        <v>5.9188171578710445E-2</v>
      </c>
      <c r="FE173" s="262">
        <f>FD173*VLOOKUP(L173,各项系数!$D$1:$F$143,2,0)</f>
        <v>0.68066397315517013</v>
      </c>
      <c r="FF173" s="188">
        <f>各项系数!$F$76/4*($MO173^2-ML173^2)*10^-2*(VLOOKUP(L173,各项系数!$D$1:$F$143,3,0))*10^-3*10^2*$EO173*各项系数!$J$4</f>
        <v>0</v>
      </c>
      <c r="FG173" s="262">
        <f>FF173*VLOOKUP(L173,各项系数!$D$1:$F$143,2,0)</f>
        <v>0</v>
      </c>
      <c r="FH173" s="235">
        <f t="shared" si="651"/>
        <v>5.9188171578710445E-2</v>
      </c>
      <c r="FI173" s="102">
        <v>1</v>
      </c>
      <c r="FJ173" s="189">
        <f t="shared" si="758"/>
        <v>5.9188171578710445E-2</v>
      </c>
      <c r="FK173" s="262">
        <f>FJ173*VLOOKUP(L173,各项系数!$D$1:$F$143,2,0)</f>
        <v>0.68066397315517013</v>
      </c>
      <c r="FL173" s="235"/>
      <c r="FM173" s="102"/>
      <c r="FN173" s="189"/>
      <c r="FO173" s="262"/>
      <c r="FP173" s="282">
        <f t="shared" si="759"/>
        <v>5.9188171578710445E-2</v>
      </c>
      <c r="FQ173" s="282">
        <f t="shared" si="760"/>
        <v>0.68066397315517013</v>
      </c>
      <c r="FR173" s="283">
        <f>各项系数!$F$76/4*($MQ173^2-$MN173^2*$EG173-$MO173^2*$EO173)*10^-2</f>
        <v>0.31495280691490279</v>
      </c>
      <c r="FS173" s="284">
        <f t="shared" si="652"/>
        <v>1</v>
      </c>
      <c r="FT173" s="285">
        <f t="shared" si="604"/>
        <v>0.31495280691490279</v>
      </c>
      <c r="FU173" s="302">
        <f>$FT173*(VLOOKUP($FT$9,各项系数!$D$1:$F$143,3,0))*10^-3*10^2*各项系数!$J$55</f>
        <v>3.7605365145639391E-2</v>
      </c>
      <c r="FV173" s="303">
        <v>1</v>
      </c>
      <c r="FW173" s="304">
        <f t="shared" si="761"/>
        <v>3.7605365145639391E-2</v>
      </c>
      <c r="FX173" s="285">
        <f>FW173*(VLOOKUP($FT$9,各项系数!$D$1:$F$143,2,0))</f>
        <v>0.11281609543691817</v>
      </c>
      <c r="FY173" s="302">
        <f>IF($BK173&lt;&gt;$FY$9,0,各项系数!$F$76/4*($MS173^2-$MQ173^2)*10^-2*(VLOOKUP($FY$9,各项系数!$D$1:$F$143,3,0))*10^-3*10^2)*各项系数!$J$4</f>
        <v>0</v>
      </c>
      <c r="FZ173" s="303">
        <v>1</v>
      </c>
      <c r="GA173" s="304">
        <f t="shared" si="762"/>
        <v>0</v>
      </c>
      <c r="GB173" s="285">
        <f>GA173*(VLOOKUP($FY$9,各项系数!$D$1:$F$143,2,0))</f>
        <v>0</v>
      </c>
      <c r="GC173" s="302">
        <f>IF($BK173&lt;&gt;$GC$9,0,各项系数!$F$76/4*($MS173^2-$MQ173^2)*10^-2*(VLOOKUP($GC$9,各项系数!$D$1:$F$143,3,0))*10^-3*10^2)*各项系数!$J$4</f>
        <v>3.1385104218037089E-3</v>
      </c>
      <c r="GD173" s="303">
        <v>1</v>
      </c>
      <c r="GE173" s="304">
        <f t="shared" si="763"/>
        <v>3.1385104218037089E-3</v>
      </c>
      <c r="GF173" s="285">
        <f>GE173*(VLOOKUP($GC$9,各项系数!$D$1:$F$143,2,0))</f>
        <v>4.0486784441267847E-2</v>
      </c>
      <c r="GG173" s="302">
        <f>IF($BK173&lt;&gt;$GG$9,0,各项系数!$F$76/4*($MS173^2-$MQ173^2)*10^-2*(VLOOKUP($GG$9,各项系数!$D$1:$F$143,3,0))*10^-3*10^2)*各项系数!$J$4</f>
        <v>0</v>
      </c>
      <c r="GH173" s="303">
        <v>1</v>
      </c>
      <c r="GI173" s="304">
        <f t="shared" si="764"/>
        <v>0</v>
      </c>
      <c r="GJ173" s="285">
        <f>GI173*(VLOOKUP($GG$9,各项系数!$D$1:$F$143,2,0))</f>
        <v>0</v>
      </c>
      <c r="GK173" s="302">
        <f>IF($BK173&lt;&gt;$GK$9,0,各项系数!$F$76/4*($MS173^2-$MQ173^2)*10^-2*(VLOOKUP($GK$9,各项系数!$D$1:$F$143,3,0))*10^-3*10^2)*各项系数!$J$4</f>
        <v>0</v>
      </c>
      <c r="GL173" s="303">
        <v>1</v>
      </c>
      <c r="GM173" s="304">
        <f t="shared" si="765"/>
        <v>0</v>
      </c>
      <c r="GN173" s="285">
        <f>GM173*(VLOOKUP($GK$9,各项系数!$D$1:$F$143,2,0))</f>
        <v>0</v>
      </c>
      <c r="GO173" s="304">
        <f t="shared" si="766"/>
        <v>3.1385104218037089E-3</v>
      </c>
      <c r="GP173" s="304">
        <f t="shared" si="767"/>
        <v>4.0486784441267847E-2</v>
      </c>
      <c r="GQ173" s="315">
        <f>各项系数!$F$76/4*($MU173^2-$MS173^2)*10^-2*(VLOOKUP($S173,各项系数!$D$1:$F$143,3,0))*10^-3*10^2*各项系数!$J$4</f>
        <v>0.17912062486325761</v>
      </c>
      <c r="GR173" s="303">
        <v>1</v>
      </c>
      <c r="GS173" s="304">
        <f t="shared" si="768"/>
        <v>0.17912062486325761</v>
      </c>
      <c r="GT173" s="304">
        <f t="shared" si="696"/>
        <v>1</v>
      </c>
      <c r="GU173" s="304">
        <f>ROUND($GS173*(VLOOKUP($S173,各项系数!$D$1:$F$143,2,0))+$E$3*GS173,GT173)</f>
        <v>1</v>
      </c>
      <c r="GV173" s="315">
        <f>各项系数!$F$76/4*($MT173^2-$MS173^2)*10^-2*(VLOOKUP($GV$9,各项系数!$D$1:$F$143,3,0))*10^-3*10^2*各项系数!$J$4*PI()/4*R173</f>
        <v>1.6332868212590369E-2</v>
      </c>
      <c r="GW173" s="303">
        <v>1</v>
      </c>
      <c r="GX173" s="304">
        <f t="shared" si="769"/>
        <v>1.6332868212590369E-2</v>
      </c>
      <c r="GY173" s="304">
        <f>$GX173*(VLOOKUP($GV$9,各项系数!$D$1:$F$143,2,0))</f>
        <v>1.1024686043498499</v>
      </c>
      <c r="GZ173" s="315">
        <f>各项系数!$F$76/4*($MV173^2-$MS173^2)*10^-2*(VLOOKUP($GZ$9,各项系数!$D$1:$F$143,3,0))*10^-3*10^2*各项系数!$J$4</f>
        <v>0.10942898161161878</v>
      </c>
      <c r="HA173" s="303">
        <v>1</v>
      </c>
      <c r="HB173" s="304">
        <f t="shared" si="653"/>
        <v>0.10942898161161878</v>
      </c>
      <c r="HC173" s="304">
        <f>HB173*(VLOOKUP($GZ$9,各项系数!$D$1:$F$143,2,0))</f>
        <v>1.8602926873975192</v>
      </c>
      <c r="HD173" s="315">
        <f>各项系数!$F$76/4*($MW173^2-$MT173^2)*10^-2*(VLOOKUP($HD$9,各项系数!$D$1:$F$143,3,0))*10^-3*10^2*各项系数!$J$4</f>
        <v>0.11073435105829715</v>
      </c>
      <c r="HE173" s="303">
        <v>1</v>
      </c>
      <c r="HF173" s="304">
        <f t="shared" si="654"/>
        <v>0.11073435105829715</v>
      </c>
      <c r="HG173" s="304">
        <f>HF173*(VLOOKUP($HD$9,各项系数!$D$1:$F$143,2,0))</f>
        <v>1.8824839679910517</v>
      </c>
      <c r="HH173" s="315">
        <f>各项系数!$F$76/4*($MV173^2-$MS173^2)*10^-2*(VLOOKUP($HH$9,各项系数!$D$1:$F$143,3,0))*10^-3*10^2*各项系数!$J$4</f>
        <v>0.10942898161161878</v>
      </c>
      <c r="HI173" s="322">
        <v>1</v>
      </c>
      <c r="HJ173" s="304">
        <f t="shared" si="655"/>
        <v>0.10942898161161878</v>
      </c>
      <c r="HK173" s="304">
        <f>HJ173*(VLOOKUP($HH$9,各项系数!$D$1:$F$143,2,0))</f>
        <v>1.8602926873975192</v>
      </c>
      <c r="HL173" s="315">
        <f>各项系数!$F$76/4*($MW173^2-$MT173^2)*10^-2*(VLOOKUP($HL$9,各项系数!$D$1:$F$143,3,0))*10^-3*10^2*各项系数!$J$4</f>
        <v>0.11073435105829715</v>
      </c>
      <c r="HM173" s="322">
        <v>1</v>
      </c>
      <c r="HN173" s="304">
        <f t="shared" si="605"/>
        <v>0.11073435105829715</v>
      </c>
      <c r="HO173" s="304">
        <f>HN173*(VLOOKUP($HL$9,各项系数!$D$1:$F$143,2,0))</f>
        <v>1.8824839679910517</v>
      </c>
      <c r="HP173" s="315">
        <f>各项系数!$F$76/4*($MV173^2-$MS173^2)*10^-2*(VLOOKUP(AN173,各项系数!$D$1:$F$143,3,0))*10^-3*10^2*各项系数!$J$4</f>
        <v>0.11093834687522731</v>
      </c>
      <c r="HQ173" s="303">
        <v>1</v>
      </c>
      <c r="HR173" s="304">
        <f t="shared" si="770"/>
        <v>0.11093834687522731</v>
      </c>
      <c r="HS173" s="304">
        <f>HR173*(VLOOKUP(AN173,各项系数!$D$1:$F$143,2,0))</f>
        <v>1.1093834687522732</v>
      </c>
      <c r="HT173" s="315">
        <f>各项系数!$F$76/4*($MW173^2-$MT173^2)*10^-2*(VLOOKUP(AN173,各项系数!$D$1:$F$143,3,0))*10^-3*10^2*各项系数!$J$4</f>
        <v>0.11226172141772195</v>
      </c>
      <c r="HU173" s="303">
        <v>1</v>
      </c>
      <c r="HV173" s="304">
        <f t="shared" si="771"/>
        <v>0.11226172141772195</v>
      </c>
      <c r="HW173" s="304">
        <f>HV173*(VLOOKUP(AN173,各项系数!$D$1:$F$143,2,0))</f>
        <v>1.1226172141772195</v>
      </c>
      <c r="HX173" s="315">
        <f>各项系数!$F$76/4*($MV173^2-$MS173^2)*10^-2*(VLOOKUP($HX$9,各项系数!$D$1:$F$143,3,0))*10^-3*10^2*各项系数!$J$4</f>
        <v>0.11093834687522731</v>
      </c>
      <c r="HY173" s="322">
        <v>1</v>
      </c>
      <c r="HZ173" s="304">
        <f t="shared" si="772"/>
        <v>0.11093834687522731</v>
      </c>
      <c r="IA173" s="304">
        <f>HZ173*(VLOOKUP($HX$9,各项系数!$D$1:$F$143,2,0))</f>
        <v>1.2203218156275004</v>
      </c>
      <c r="IB173" s="315">
        <f>各项系数!$F$76/4*($MW173^2-$MT173^2)*10^-2*(VLOOKUP($IB$9,各项系数!$D$1:$F$143,3,0))*10^-3*10^2*各项系数!$J$4</f>
        <v>0.11226172141772195</v>
      </c>
      <c r="IC173" s="322">
        <v>1</v>
      </c>
      <c r="ID173" s="304">
        <f t="shared" si="773"/>
        <v>0.11226172141772195</v>
      </c>
      <c r="IE173" s="304">
        <f>ID173*(VLOOKUP($IB$9,各项系数!$D$1:$F$143,2,0))</f>
        <v>1.2348789355949414</v>
      </c>
      <c r="IF173" s="328"/>
      <c r="IG173" s="315">
        <f t="shared" si="656"/>
        <v>2.7838578952566771E-2</v>
      </c>
      <c r="IH173" s="303">
        <v>1</v>
      </c>
      <c r="II173" s="304">
        <f t="shared" si="774"/>
        <v>2.7838578952566771E-2</v>
      </c>
      <c r="IJ173" s="304">
        <f>II173*(VLOOKUP($IG$8,各项系数!$D$1:$F$143,2,0))</f>
        <v>0.69596447381416926</v>
      </c>
      <c r="IK173" s="315">
        <f>(各项系数!$F$76/4*($MX173^2-$MK173^2)*$EG173)*10^-2*(VLOOKUP($IG$8,各项系数!$D$1:$F$143,3,0))*10^-3*10^2*各项系数!$J$4</f>
        <v>2.7838578952566771E-2</v>
      </c>
      <c r="IL173" s="303">
        <f>IK173*(VLOOKUP($IG$8,各项系数!$D$1:$F$143,2,0))</f>
        <v>0.69596447381416926</v>
      </c>
      <c r="IM173" s="304">
        <f>(各项系数!$F$76/4*(($MM173+3*$X173)^2-MM173^2)*$EO173)*10^-2*(VLOOKUP($IG$8,各项系数!$D$1:$F$143,3,0))*10^-3*10^2*各项系数!$J$4</f>
        <v>0</v>
      </c>
      <c r="IN173" s="303">
        <f>IM173*(VLOOKUP($IG$8,各项系数!$D$1:$F$143,2,0))</f>
        <v>0</v>
      </c>
      <c r="IO173" s="315">
        <f>各项系数!$F$76/4*($MZ173^2-$MX173^2)*10^-2*(VLOOKUP(L173,各项系数!$D$1:$F$143,3,0))*10^-3*10^2*$ES173*各项系数!$J$4</f>
        <v>7.6518076301854768E-2</v>
      </c>
      <c r="IP173" s="303">
        <v>1</v>
      </c>
      <c r="IQ173" s="304">
        <f t="shared" si="775"/>
        <v>7.6518076301854768E-2</v>
      </c>
      <c r="IR173" s="285">
        <f>IQ173*(VLOOKUP(L173,各项系数!$D$1:$F$143,2,0))</f>
        <v>0.87995787747132981</v>
      </c>
      <c r="IS173" s="315">
        <f>IF($L173&lt;&gt;$IS$9,0,各项系数!$F$76/4*($MZ173^2-$MX173^2)*10^-2*各项系数!$F$12*10^-3*10^2)*$ES173*各项系数!$J$4</f>
        <v>0</v>
      </c>
      <c r="IT173" s="303">
        <v>1</v>
      </c>
      <c r="IU173" s="304">
        <f t="shared" si="776"/>
        <v>0</v>
      </c>
      <c r="IV173" s="285">
        <f>IU173*各项系数!$E$12</f>
        <v>0</v>
      </c>
      <c r="IW173" s="302">
        <f t="shared" si="777"/>
        <v>7.6518076301854768E-2</v>
      </c>
      <c r="IX173" s="302">
        <f t="shared" si="778"/>
        <v>0.87995787747132981</v>
      </c>
      <c r="IY173" s="339">
        <f>各项系数!$F$76/4*($NB173^2-$MZ173^2*$EG173-$NA173^2*$EO173)*10^-2</f>
        <v>0.4674266482959295</v>
      </c>
      <c r="IZ173" s="284">
        <f t="shared" si="697"/>
        <v>1</v>
      </c>
      <c r="JA173" s="285">
        <f t="shared" si="606"/>
        <v>0.4674266482959295</v>
      </c>
      <c r="JB173" s="282">
        <f>IF($DE173&lt;&gt;$JB$9,0,$JA173*各项系数!$F$32*10^-3*10^2)*各项系数!$J$4</f>
        <v>0</v>
      </c>
      <c r="JC173" s="102">
        <v>1</v>
      </c>
      <c r="JD173" s="189">
        <f t="shared" si="779"/>
        <v>0</v>
      </c>
      <c r="JE173" s="262">
        <f>JD173*各项系数!$E$32</f>
        <v>0</v>
      </c>
      <c r="JF173" s="282">
        <f>IF($DE173&lt;&gt;$JF$9,0,$JA173*VLOOKUP($JF$9,各项系数!$D$4:$F$540,2,0)*10^-3*10^2)*各项系数!$J$4</f>
        <v>0.23254475752722492</v>
      </c>
      <c r="JG173" s="102">
        <v>1</v>
      </c>
      <c r="JH173" s="189">
        <f t="shared" si="607"/>
        <v>0.23254475752722492</v>
      </c>
      <c r="JI173" s="262">
        <f>JH173*VLOOKUP($JF$9,各项系数!$D$4:$F$540,3,0)</f>
        <v>0.27905370903266991</v>
      </c>
      <c r="JJ173" s="282">
        <f t="shared" si="780"/>
        <v>0.23254475752722492</v>
      </c>
      <c r="JK173" s="189">
        <f t="shared" si="781"/>
        <v>0.27905370903266991</v>
      </c>
      <c r="JL173" s="282">
        <f>IF($DF173&lt;&gt;$JL$9,0,各项系数!$F$76/4*($NE173^2-$NC173^2)*10^-2*各项系数!$F$39*10^-3*10^2)*各项系数!$J$4</f>
        <v>1.5813856468735489E-3</v>
      </c>
      <c r="JM173" s="102">
        <v>1</v>
      </c>
      <c r="JN173" s="189">
        <f t="shared" si="782"/>
        <v>1.5813856468735489E-3</v>
      </c>
      <c r="JO173" s="262">
        <f>JN173*各项系数!$E$39</f>
        <v>3.1627712937470978E-2</v>
      </c>
      <c r="JP173" s="282">
        <f>IF($DF173&lt;&gt;$JP$9,0,各项系数!$F$76/4*($NE173^2-$NC173^2)*10^-2*各项系数!$F$36*10^-3*10^2)*各项系数!$J$4</f>
        <v>0</v>
      </c>
      <c r="JQ173" s="102">
        <v>1</v>
      </c>
      <c r="JR173" s="189">
        <f t="shared" si="783"/>
        <v>0</v>
      </c>
      <c r="JS173" s="262">
        <f>JR173*各项系数!$E$36</f>
        <v>0</v>
      </c>
      <c r="JT173" s="282">
        <f>IF($DF173&lt;&gt;$JT$9,0,各项系数!$F$76/4*($NE173^2-$NC173^2)*10^-2*各项系数!$F$40*10^-3*10^2)*各项系数!$J$4</f>
        <v>0</v>
      </c>
      <c r="JU173" s="102">
        <v>1</v>
      </c>
      <c r="JV173" s="189">
        <f t="shared" si="784"/>
        <v>0</v>
      </c>
      <c r="JW173" s="262">
        <f>JV173*各项系数!$E$40</f>
        <v>0</v>
      </c>
      <c r="JX173" s="282">
        <f>IF($DF173&lt;&gt;$JX$9,0,各项系数!$F$76/4*($NE173^2-$NC173^2)*10^-2*各项系数!$F$38*10^-3*10^2)*各项系数!$J$4</f>
        <v>0</v>
      </c>
      <c r="JY173" s="102">
        <v>1</v>
      </c>
      <c r="JZ173" s="189">
        <f t="shared" si="785"/>
        <v>0</v>
      </c>
      <c r="KA173" s="262">
        <f>JZ173*各项系数!$E$38</f>
        <v>0</v>
      </c>
      <c r="KB173" s="282">
        <f>IF($DF173&lt;&gt;$KB$9,0,各项系数!$F$76/4*($NE173^2-$NC173^2)*10^-2*各项系数!$F$41*10^-3*10^2)*各项系数!$J$4</f>
        <v>0</v>
      </c>
      <c r="KC173" s="102">
        <v>1</v>
      </c>
      <c r="KD173" s="189">
        <f t="shared" si="786"/>
        <v>0</v>
      </c>
      <c r="KE173" s="262">
        <f>KD173*各项系数!$E$41</f>
        <v>0</v>
      </c>
      <c r="KF173" s="189">
        <f t="shared" si="787"/>
        <v>1.5813856468735489E-3</v>
      </c>
      <c r="KG173" s="189">
        <f t="shared" si="788"/>
        <v>3.1627712937470978E-2</v>
      </c>
      <c r="KH173" s="235">
        <f>各项系数!$F$76/4*($NG173^2-$NE173^2)*10^-2*各项系数!$F$44*10^-3*10^2*各项系数!$J$4*0.75*$U173</f>
        <v>0.65000175401625748</v>
      </c>
      <c r="KI173" s="102">
        <v>1</v>
      </c>
      <c r="KJ173" s="189">
        <f t="shared" si="789"/>
        <v>0.65000175401625748</v>
      </c>
      <c r="KK173" s="189">
        <f>ROUND(KJ173*各项系数!$E$43,GT173)</f>
        <v>3.8</v>
      </c>
      <c r="KL173" s="235">
        <f>各项系数!$F$76/4*($NF173^2-$NE173^2)*10^-2*各项系数!$F$46*10^-3*10^2*各项系数!$J$4*PI()/4*R173</f>
        <v>1.9908761377034241E-2</v>
      </c>
      <c r="KM173" s="102">
        <v>1</v>
      </c>
      <c r="KN173" s="189">
        <f t="shared" si="790"/>
        <v>1.9908761377034241E-2</v>
      </c>
      <c r="KO173" s="189">
        <f>KN173*各项系数!$E$46</f>
        <v>1.3438413929498112</v>
      </c>
      <c r="KP173" s="235">
        <f>各项系数!$F$76/4*($NH173^2-$NE173^2)*10^-2*(VLOOKUP($KP$9,各项系数!$D$1:$F$143,3,0))*10^-3*10^2*各项系数!$J$4</f>
        <v>0.13031489275847322</v>
      </c>
      <c r="KQ173" s="102">
        <v>1</v>
      </c>
      <c r="KR173" s="189">
        <f t="shared" si="657"/>
        <v>0.13031489275847322</v>
      </c>
      <c r="KS173" s="189">
        <f>KR173*(VLOOKUP($KP$9,各项系数!$D$1:$F$143,2,0))</f>
        <v>2.2153531768940447</v>
      </c>
      <c r="KT173" s="235">
        <f>各项系数!$F$76/4*($NI173^2-$NF173^2)*10^-2*(VLOOKUP($KT$9,各项系数!$D$1:$F$143,3,0))*10^-3*10^2*各项系数!$J$4</f>
        <v>0.13162026220515161</v>
      </c>
      <c r="KU173" s="102">
        <v>1</v>
      </c>
      <c r="KV173" s="189">
        <f t="shared" si="658"/>
        <v>0.13162026220515161</v>
      </c>
      <c r="KW173" s="189">
        <f>KV173*(VLOOKUP($KT$9,各项系数!$D$1:$F$143,2,0))</f>
        <v>2.2375444574875774</v>
      </c>
      <c r="KX173" s="189">
        <f>各项系数!$F$76/4*($NH173^2-$NE173^2)*10^-2*(VLOOKUP($KX$9,各项系数!$D$1:$F$143,3,0))*10^-3*10^2*各项系数!$J$4</f>
        <v>0.13031489275847322</v>
      </c>
      <c r="KY173" s="353">
        <v>1</v>
      </c>
      <c r="KZ173" s="189">
        <f t="shared" si="659"/>
        <v>0.13031489275847322</v>
      </c>
      <c r="LA173" s="189">
        <f>KZ173*(VLOOKUP($KX$9,各项系数!$D$1:$F$143,2,0))</f>
        <v>2.2153531768940447</v>
      </c>
      <c r="LB173" s="189">
        <f>各项系数!$F$76/4*($NI173^2-$NF173^2)*10^-2*(VLOOKUP($LB$9,各项系数!$D$1:$F$143,3,0))*10^-3*10^2*各项系数!$J$4</f>
        <v>0.13162026220515161</v>
      </c>
      <c r="LC173" s="353">
        <v>1</v>
      </c>
      <c r="LD173" s="189">
        <f t="shared" si="660"/>
        <v>0.13162026220515161</v>
      </c>
      <c r="LE173" s="189">
        <f>LD173*(VLOOKUP($LB$9,各项系数!$D$1:$F$143,2,0))</f>
        <v>2.2375444574875774</v>
      </c>
      <c r="LF173" s="235">
        <f>各项系数!$F$76/4*($NH173^2-$NE173^2)*10^-2*(VLOOKUP(AN173,各项系数!$D$1:$F$143,3,0))*10^-3*10^2*各项系数!$J$4</f>
        <v>0.13211233955514184</v>
      </c>
      <c r="LG173" s="102">
        <v>1</v>
      </c>
      <c r="LH173" s="189">
        <f t="shared" si="791"/>
        <v>0.13211233955514184</v>
      </c>
      <c r="LI173" s="189">
        <f>LH173*(VLOOKUP(AN173,各项系数!$D$1:$F$143,2,0))</f>
        <v>1.3211233955514183</v>
      </c>
      <c r="LJ173" s="235">
        <f>各项系数!$F$76/4*($NI173^2-$NF173^2)*10^-2*(VLOOKUP(AN173,各项系数!$D$1:$F$143,3,0))*10^-3*10^2*各项系数!$J$4</f>
        <v>0.13343571409763647</v>
      </c>
      <c r="LK173" s="102">
        <v>1</v>
      </c>
      <c r="LL173" s="189">
        <f t="shared" si="792"/>
        <v>0.13343571409763647</v>
      </c>
      <c r="LM173" s="189">
        <f>LL173*(VLOOKUP(AN173,各项系数!$D$1:$F$143,2,0))</f>
        <v>1.3343571409763646</v>
      </c>
      <c r="LN173" s="189">
        <f>各项系数!$F$76/4*($NH173^2-$NE173^2)*10^-2*(VLOOKUP($LN$9,各项系数!$D$1:$F$143,3,0))*10^-3*10^2*各项系数!$J$4</f>
        <v>0.13211233955514184</v>
      </c>
      <c r="LO173" s="353">
        <v>1</v>
      </c>
      <c r="LP173" s="189">
        <f t="shared" si="793"/>
        <v>0.13211233955514184</v>
      </c>
      <c r="LQ173" s="189">
        <f>LP173*(VLOOKUP($LN$9,各项系数!$D$1:$F$143,2,0))</f>
        <v>1.4532357351065603</v>
      </c>
      <c r="LR173" s="189">
        <f>各项系数!$F$76/4*($NI173^2-$NF173^2)*10^-2*(VLOOKUP($LR$9,各项系数!$D$1:$F$143,3,0))*10^-3*10^2*各项系数!$J$4</f>
        <v>0.13343571409763647</v>
      </c>
      <c r="LS173" s="353">
        <v>1</v>
      </c>
      <c r="LT173" s="189">
        <f t="shared" si="794"/>
        <v>0.13343571409763647</v>
      </c>
      <c r="LU173" s="189">
        <f>LT173*(VLOOKUP($LR$9,各项系数!$D$1:$F$143,2,0))</f>
        <v>1.4677928550740011</v>
      </c>
      <c r="LV173" s="227">
        <f t="shared" si="661"/>
        <v>17.156984619999999</v>
      </c>
      <c r="LW173" s="227">
        <f t="shared" si="662"/>
        <v>17.156984619999999</v>
      </c>
      <c r="LX173" s="227">
        <f t="shared" si="663"/>
        <v>4.6738582869613179</v>
      </c>
      <c r="LY173" s="227">
        <f t="shared" si="664"/>
        <v>0</v>
      </c>
      <c r="LZ173" s="374">
        <f t="shared" si="608"/>
        <v>1</v>
      </c>
      <c r="MA173" s="375">
        <f t="shared" si="609"/>
        <v>17.156984619999999</v>
      </c>
      <c r="MB173" s="375">
        <f t="shared" si="665"/>
        <v>1.34922667</v>
      </c>
      <c r="MC173" s="227">
        <f t="shared" si="666"/>
        <v>0</v>
      </c>
      <c r="MD173" s="227">
        <f t="shared" si="667"/>
        <v>0</v>
      </c>
      <c r="ME173" s="227">
        <f t="shared" si="668"/>
        <v>0</v>
      </c>
      <c r="MF173" s="227">
        <f t="shared" si="669"/>
        <v>0</v>
      </c>
      <c r="MG173" s="374">
        <f t="shared" si="670"/>
        <v>1</v>
      </c>
      <c r="MH173" s="375">
        <f t="shared" si="610"/>
        <v>0</v>
      </c>
      <c r="MI173" s="375">
        <f t="shared" si="671"/>
        <v>0</v>
      </c>
      <c r="MJ173" s="189">
        <f t="shared" si="611"/>
        <v>1.34922667</v>
      </c>
      <c r="MK173" s="189">
        <f t="shared" si="672"/>
        <v>1.34922667</v>
      </c>
      <c r="ML173" s="189">
        <f t="shared" si="795"/>
        <v>0</v>
      </c>
      <c r="MM173" s="189">
        <f t="shared" si="612"/>
        <v>0</v>
      </c>
      <c r="MN173" s="189">
        <f t="shared" si="613"/>
        <v>2.7492266699999997</v>
      </c>
      <c r="MO173" s="189">
        <f t="shared" si="673"/>
        <v>0</v>
      </c>
      <c r="MP173" s="189">
        <f t="shared" si="674"/>
        <v>11.43678295</v>
      </c>
      <c r="MQ173" s="189">
        <f t="shared" si="796"/>
        <v>11.43678295</v>
      </c>
      <c r="MR173" s="246">
        <f t="shared" si="675"/>
        <v>11.43678295</v>
      </c>
      <c r="MS173" s="380">
        <f t="shared" si="614"/>
        <v>11.61278295</v>
      </c>
      <c r="MT173" s="380">
        <f t="shared" si="615"/>
        <v>11.77278295</v>
      </c>
      <c r="MU173" s="380">
        <f t="shared" si="616"/>
        <v>12.812782949999999</v>
      </c>
      <c r="MV173" s="380">
        <f t="shared" si="617"/>
        <v>15.212782949999999</v>
      </c>
      <c r="MW173" s="380">
        <f t="shared" si="618"/>
        <v>15.37278295</v>
      </c>
      <c r="MX173" s="254">
        <f t="shared" si="619"/>
        <v>1.9492266700000001</v>
      </c>
      <c r="MY173" s="254">
        <f t="shared" si="620"/>
        <v>0</v>
      </c>
      <c r="MZ173" s="189">
        <f t="shared" si="621"/>
        <v>3.3492266700000002</v>
      </c>
      <c r="NA173" s="189">
        <f t="shared" si="622"/>
        <v>0</v>
      </c>
      <c r="NB173" s="189">
        <f t="shared" si="676"/>
        <v>13.93278295</v>
      </c>
      <c r="NC173" s="254">
        <f t="shared" si="797"/>
        <v>13.93278295</v>
      </c>
      <c r="ND173" s="246">
        <f t="shared" si="677"/>
        <v>13.93278295</v>
      </c>
      <c r="NE173" s="386">
        <f t="shared" si="678"/>
        <v>14.17278295</v>
      </c>
      <c r="NF173" s="380">
        <f t="shared" si="623"/>
        <v>14.33278295</v>
      </c>
      <c r="NG173" s="387">
        <f t="shared" si="624"/>
        <v>15.372782950000001</v>
      </c>
      <c r="NH173" s="254">
        <f t="shared" si="625"/>
        <v>17.77278295</v>
      </c>
      <c r="NI173" s="380">
        <f t="shared" si="626"/>
        <v>17.93278295</v>
      </c>
      <c r="NK173" s="388">
        <f t="shared" si="627"/>
        <v>0.36263335979470646</v>
      </c>
      <c r="NL173" s="388">
        <f t="shared" si="628"/>
        <v>11.883824579938452</v>
      </c>
      <c r="NM173" s="388">
        <f t="shared" si="629"/>
        <v>0.36263335979470646</v>
      </c>
      <c r="NN173" s="388">
        <f t="shared" si="630"/>
        <v>11.994762926813678</v>
      </c>
      <c r="NO173" s="388">
        <f t="shared" si="631"/>
        <v>0.62235810375698741</v>
      </c>
      <c r="NP173" s="388">
        <f t="shared" si="632"/>
        <v>13.148201426959883</v>
      </c>
      <c r="NQ173" s="388">
        <f t="shared" si="633"/>
        <v>0.62235810375698741</v>
      </c>
      <c r="NR173" s="388">
        <f t="shared" si="634"/>
        <v>13.280313766515025</v>
      </c>
      <c r="NS173" s="388">
        <f t="shared" si="635"/>
        <v>0.37896622800729685</v>
      </c>
      <c r="NT173" s="388">
        <f t="shared" si="636"/>
        <v>0.37896622800729685</v>
      </c>
      <c r="NU173" s="388">
        <f t="shared" si="637"/>
        <v>0.64226686513402165</v>
      </c>
      <c r="NV173" s="388">
        <f t="shared" si="638"/>
        <v>0.64226686513402165</v>
      </c>
      <c r="NW173">
        <f t="shared" si="639"/>
        <v>0.54175398465796409</v>
      </c>
      <c r="NX173">
        <f>各项系数!$M$9*NK173</f>
        <v>0.10879000793841194</v>
      </c>
      <c r="NY173">
        <f t="shared" si="640"/>
        <v>0.37896622800729679</v>
      </c>
    </row>
    <row r="174" spans="1:389" ht="15" hidden="1" customHeight="1">
      <c r="A174" s="69"/>
      <c r="B174" s="70"/>
      <c r="C174" s="69"/>
      <c r="D174" s="102" t="s">
        <v>393</v>
      </c>
      <c r="E174" s="61">
        <f t="shared" ref="E174:E190" si="805">MV174</f>
        <v>15.90008961</v>
      </c>
      <c r="F174" s="62">
        <f t="shared" si="798"/>
        <v>134.922667214547</v>
      </c>
      <c r="G174" s="16"/>
      <c r="H174" s="16"/>
      <c r="I174" s="145">
        <v>0</v>
      </c>
      <c r="J174" s="16"/>
      <c r="K174" s="16"/>
      <c r="L174" s="97" t="s">
        <v>469</v>
      </c>
      <c r="M174" s="103">
        <f t="shared" si="582"/>
        <v>0.7</v>
      </c>
      <c r="N174" s="103">
        <f t="shared" si="804"/>
        <v>0</v>
      </c>
      <c r="O174" s="53">
        <f t="shared" si="801"/>
        <v>0.08</v>
      </c>
      <c r="P174" s="99">
        <v>0.1</v>
      </c>
      <c r="Q174" s="133">
        <f t="shared" ref="Q174:Q183" si="806">$Q$12</f>
        <v>0.1</v>
      </c>
      <c r="R174" s="406">
        <v>0.8</v>
      </c>
      <c r="S174" s="142" t="str">
        <f>各项系数!$D$43</f>
        <v>钢带</v>
      </c>
      <c r="T174" s="102">
        <v>0.2</v>
      </c>
      <c r="U174" s="62">
        <v>4</v>
      </c>
      <c r="V174" s="143"/>
      <c r="W174" s="141">
        <f>$W$172</f>
        <v>1.8</v>
      </c>
      <c r="X174" s="135">
        <f t="shared" ref="X174:X183" si="807">$X$12</f>
        <v>0.2</v>
      </c>
      <c r="Y174" s="135"/>
      <c r="Z174" s="168"/>
      <c r="AA174" s="153">
        <v>1</v>
      </c>
      <c r="AB174" s="153">
        <f>PI()*EJ174*EJ174/4*EH174*(1-H174)*AA174*各项系数!$F$5*各项系数!$J$4*10^-7</f>
        <v>1.2646913814443796E-2</v>
      </c>
      <c r="AC174" s="153">
        <f t="shared" ref="AC174:AC190" si="808">EJ174</f>
        <v>134.922667214547</v>
      </c>
      <c r="AD174" s="153">
        <f t="shared" si="584"/>
        <v>1.4297487227412424</v>
      </c>
      <c r="AE174" s="153">
        <f>POWER(4*EU174/PI()/EG174/10^-7/EH174/(1-H174)/各项系数!$F$5/各项系数!$J$4,0.5)</f>
        <v>134.922667214547</v>
      </c>
      <c r="AF174" s="69">
        <v>1</v>
      </c>
      <c r="AG174" s="69">
        <f>IF(EM174=0,0,PI()*ER174*ER174/4*EP174*(1-K174)*(1+AF174)*各项系数!$F$5*各项系数!$J$4*10^-7)</f>
        <v>0</v>
      </c>
      <c r="AH174" s="69">
        <f t="shared" ref="AH174:AH190" si="809">ER174</f>
        <v>0</v>
      </c>
      <c r="AI174" s="69">
        <f t="shared" si="641"/>
        <v>0</v>
      </c>
      <c r="AJ174" s="69">
        <f>IF(OR(EP174="",EP174=0),0,POWER(4*EW174/PI()/EO174/10^-7/EP174/(1-K174)/各项系数!$F$5/各项系数!$J$4,0.5))</f>
        <v>0</v>
      </c>
      <c r="AK174" s="69" t="str">
        <f t="shared" si="585"/>
        <v>√</v>
      </c>
      <c r="AL174" s="69">
        <f t="shared" ref="AL174:AL190" si="810">AO174*(1+0.02)</f>
        <v>14.509763482429587</v>
      </c>
      <c r="AM174" s="188">
        <f t="shared" ref="AM174:AM190" si="811">EE174*1</f>
        <v>1.5</v>
      </c>
      <c r="AN174" s="97" t="s">
        <v>486</v>
      </c>
      <c r="AO174" s="196">
        <f>AP174+各项系数!$M$9*$NK174</f>
        <v>14.225258316107439</v>
      </c>
      <c r="AP174" s="196">
        <f>AQ174*(1+$BI174+(VLOOKUP($AM174,$A$12:$B$323,2,0))+各项系数!$J$6+各项系数!$M$5)*(1+$E$2)</f>
        <v>14.103856160795168</v>
      </c>
      <c r="AQ174" s="197">
        <f>AR174+各项系数!$L$9*$NK174</f>
        <v>14.249197980193138</v>
      </c>
      <c r="AR174" s="197">
        <f>AS174*(1+$BJ174+各项系数!$J$5+各项系数!$L$5)</f>
        <v>14.127795824880867</v>
      </c>
      <c r="AS174" s="197">
        <f t="shared" si="642"/>
        <v>13.716306626097929</v>
      </c>
      <c r="AT174" s="196">
        <f>AU174+各项系数!$M$9*$NM174</f>
        <v>15.030034445460293</v>
      </c>
      <c r="AU174" s="196">
        <f>AV174*(1+$BI174+(VLOOKUP($AM174,$A$12:$B$323,2,0))+各项系数!$J$6+各项系数!$M$5)*(1+$E$2)</f>
        <v>14.908632290148022</v>
      </c>
      <c r="AV174" s="197">
        <f>AW174+各项系数!$L$9*$NM174</f>
        <v>15.06226741780968</v>
      </c>
      <c r="AW174" s="197">
        <f>AX174*(1+$BJ174+各项系数!$J$5+各项系数!$L$5)</f>
        <v>14.940865262497409</v>
      </c>
      <c r="AX174" s="197">
        <f t="shared" si="643"/>
        <v>14.505694429609134</v>
      </c>
      <c r="AY174" s="196">
        <f>AZ174+各项系数!$M$9*$NS174</f>
        <v>15.439099848959842</v>
      </c>
      <c r="AZ174" s="196">
        <f>BA174*(1+$BI174+(VLOOKUP($AM174,$A$12:$B$214,2,0))+各项系数!$J$6+各项系数!$M$5)*(1+$E$2)</f>
        <v>15.312509817341523</v>
      </c>
      <c r="BA174" s="197">
        <f>BB174+各项系数!$L$9*$NS174</f>
        <v>15.470306948213299</v>
      </c>
      <c r="BB174" s="197">
        <f>BC174*(1+$BJ174+各项系数!$J$5+各项系数!$L$5)</f>
        <v>15.34371691659498</v>
      </c>
      <c r="BC174" s="199">
        <f t="shared" si="644"/>
        <v>14.896812540383475</v>
      </c>
      <c r="BD174" s="196">
        <f>BE174+各项系数!$M$9*$NS174</f>
        <v>16.253008131671859</v>
      </c>
      <c r="BE174" s="196">
        <f>BF174*(1+$BI174+(VLOOKUP($AM174,$A$12:$B$214,2,0))+各项系数!$J$6+各项系数!$M$5)*(1+$E$2)</f>
        <v>16.126418100053542</v>
      </c>
      <c r="BF174" s="197">
        <f>BG174+各项系数!$L$9*$NS174</f>
        <v>16.292602647053485</v>
      </c>
      <c r="BG174" s="197">
        <f>BH174*(1+$BJ174+各项系数!$J$5+各项系数!$L$5)</f>
        <v>16.166012615435168</v>
      </c>
      <c r="BH174" s="199">
        <f t="shared" si="645"/>
        <v>15.695157879063268</v>
      </c>
      <c r="BI174" s="213"/>
      <c r="BJ174" s="208">
        <f t="shared" si="800"/>
        <v>0.01</v>
      </c>
      <c r="BK174" s="102" t="s">
        <v>514</v>
      </c>
      <c r="BL174" s="196">
        <f>BM174+各项系数!$M$9*$NM174</f>
        <v>14.481073228645625</v>
      </c>
      <c r="BM174" s="196">
        <f>BN174*(1+$CF174+(VLOOKUP($AM174,$A$12:$B$323,2,0))+各项系数!$J$6+各项系数!$M$5)*(1+$E$2)</f>
        <v>14.359671073333354</v>
      </c>
      <c r="BN174" s="197">
        <f>BO174+各项系数!$L$9*$NM174</f>
        <v>14.507649094093104</v>
      </c>
      <c r="BO174" s="197">
        <f>BP174*(1+$CG174+各项系数!$J$5+各项系数!$L$5)</f>
        <v>14.386246938780832</v>
      </c>
      <c r="BP174" s="197">
        <f t="shared" si="646"/>
        <v>13.832929748827723</v>
      </c>
      <c r="BQ174" s="196">
        <f>BR174+各项系数!$M$9*$NM174</f>
        <v>15.173611808924562</v>
      </c>
      <c r="BR174" s="196">
        <f>BS174*(1+$CF174+(VLOOKUP($AM174,$A$12:$B$323,2,0))+各项系数!$J$6+各项系数!$M$5)*(1+$E$2)</f>
        <v>15.052209653612291</v>
      </c>
      <c r="BS174" s="197">
        <f>BT174+各项系数!$L$9*$NM174</f>
        <v>15.207324362105771</v>
      </c>
      <c r="BT174" s="197">
        <f>BU174*(1+$CG174+各项系数!$J$5+各项系数!$L$5)</f>
        <v>15.0859222067935</v>
      </c>
      <c r="BU174" s="197">
        <f t="shared" si="647"/>
        <v>14.505694429609134</v>
      </c>
      <c r="BV174" s="196">
        <f>BW174+各项系数!$M$9*$NT174</f>
        <v>15.590841983351655</v>
      </c>
      <c r="BW174" s="196">
        <f>BX174*(1+$CF174+(VLOOKUP($AM174,$A$12:$B$214,2,0))+各项系数!$J$6+各项系数!$M$5)*(1+$E$2)</f>
        <v>15.464251951733338</v>
      </c>
      <c r="BX174" s="197">
        <f>BY174+各项系数!$L$9*$NT$12</f>
        <v>15.623612802316972</v>
      </c>
      <c r="BY174" s="197">
        <f>BZ174*(1+$CG174+各项系数!$J$5+各项系数!$L$5)</f>
        <v>15.615349399161998</v>
      </c>
      <c r="BZ174" s="199">
        <f t="shared" si="586"/>
        <v>15.014759037655766</v>
      </c>
      <c r="CA174" s="196">
        <f>CB174+各项系数!$M$9*$NT174</f>
        <v>16.29123910750581</v>
      </c>
      <c r="CB174" s="196">
        <f>CC174*(1+$CF174+(VLOOKUP($AM174,$A$12:$B$214,2,0))+各项系数!$J$6+各项系数!$M$5)*(1+$E$2)</f>
        <v>16.164649075887493</v>
      </c>
      <c r="CC174" s="197">
        <f>CD174+各项系数!$L$9*$NT$12</f>
        <v>16.331227597380774</v>
      </c>
      <c r="CD174" s="197">
        <f>CE174*(1+$CG174+各项系数!$J$5+各项系数!$L$5)</f>
        <v>16.322964194225801</v>
      </c>
      <c r="CE174" s="199">
        <f t="shared" si="648"/>
        <v>15.695157879063268</v>
      </c>
      <c r="CF174" s="213">
        <f t="shared" si="753"/>
        <v>0</v>
      </c>
      <c r="CG174" s="213">
        <f t="shared" si="587"/>
        <v>0.02</v>
      </c>
      <c r="CH174" s="102"/>
      <c r="CI174" s="196">
        <f>CJ174+各项系数!$M$9*$NO174</f>
        <v>15.967807985634373</v>
      </c>
      <c r="CJ174" s="196">
        <f>CK174*(1+$DC174+(VLOOKUP($AM174,$A$12:$B$323,2,0))+各项系数!$J$6+各项系数!$M$5)*(1+$E$2)+各项系数!$M$9*$NK174</f>
        <v>15.764314939772131</v>
      </c>
      <c r="CK174" s="197">
        <f>CL174+各项系数!$L$9*$NO174</f>
        <v>15.804114754960455</v>
      </c>
      <c r="CL174" s="197">
        <f>CM174*(1+$DD174+各项系数!$J$5+各项系数!$L$5)</f>
        <v>15.600621709098213</v>
      </c>
      <c r="CM174" s="197">
        <f t="shared" si="588"/>
        <v>15.146234669027391</v>
      </c>
      <c r="CN174" s="196">
        <f>CO174+各项系数!$M$9*$NO174</f>
        <v>16.544068038750439</v>
      </c>
      <c r="CO174" s="196">
        <f>CP174*(1+$DC174+(VLOOKUP($AM174,$A$12:$B$323,2,0))+各项系数!$J$6+各项系数!$M$5)*(1+$E$2)+各项系数!$M$9*$NK174</f>
        <v>16.340574992888197</v>
      </c>
      <c r="CP174" s="197">
        <f>CQ174+各项系数!$L$9*$NO174</f>
        <v>16.386313232547916</v>
      </c>
      <c r="CQ174" s="197">
        <f>CR174*(1+$DD174+各项系数!$J$5+各项系数!$L$5)</f>
        <v>16.182820186685674</v>
      </c>
      <c r="CR174" s="197">
        <f t="shared" si="589"/>
        <v>15.711475909403566</v>
      </c>
      <c r="CS174" s="196">
        <f>CT174+各项系数!$M$9*$NU174</f>
        <v>17.323003779671243</v>
      </c>
      <c r="CT174" s="196">
        <f t="shared" si="590"/>
        <v>17.113187232056589</v>
      </c>
      <c r="CU174" s="197">
        <f>CV174+各项系数!$L$9*$NU174</f>
        <v>17.289540545621932</v>
      </c>
      <c r="CV174" s="197">
        <f>CW174*(1+$DD174+各项系数!$J$5+各项系数!$L$5)</f>
        <v>17.079723998007278</v>
      </c>
      <c r="CW174" s="199">
        <f t="shared" si="591"/>
        <v>16.582256308744931</v>
      </c>
      <c r="CX174" s="196">
        <f>CY174+各项系数!$M$9*$NU174</f>
        <v>18.291587909904074</v>
      </c>
      <c r="CY174" s="196">
        <f t="shared" si="592"/>
        <v>18.08177136228942</v>
      </c>
      <c r="CZ174" s="197">
        <f>DA174+各项系数!$L$9*$NU174</f>
        <v>18.268106043937586</v>
      </c>
      <c r="DA174" s="197">
        <f>DB174*(1+$DD174+各项系数!$J$5+各项系数!$L$5)</f>
        <v>18.058289496322931</v>
      </c>
      <c r="DB174" s="199">
        <f t="shared" si="593"/>
        <v>17.532319899342653</v>
      </c>
      <c r="DC174" s="213">
        <f t="shared" si="803"/>
        <v>0</v>
      </c>
      <c r="DD174" s="213">
        <f t="shared" si="594"/>
        <v>0.01</v>
      </c>
      <c r="DE174" s="53" t="s">
        <v>498</v>
      </c>
      <c r="DF174" s="53" t="s">
        <v>513</v>
      </c>
      <c r="DG174" s="196">
        <f>DH174+各项系数!$M$9*$NQ174</f>
        <v>16.260849793833348</v>
      </c>
      <c r="DH174" s="196">
        <f>DI174*(1+$EA174+(VLOOKUP($AM174,$A$12:$B$323,2,0))+各项系数!$J$6+各项系数!$M$5)*(1+$E$2)+各项系数!$M$9*$NK174</f>
        <v>16.057356747971106</v>
      </c>
      <c r="DI174" s="197">
        <f>DJ174+各项系数!$L$9*$NQ174</f>
        <v>16.100176391855761</v>
      </c>
      <c r="DJ174" s="197">
        <f>DK174*(1+$EB174+各项系数!$J$5+各项系数!$L$5)</f>
        <v>15.89668334599352</v>
      </c>
      <c r="DK174" s="197">
        <f t="shared" si="595"/>
        <v>15.285272448070691</v>
      </c>
      <c r="DL174" s="196">
        <f>DM174+各项系数!$M$9*$NQ174</f>
        <v>17.086492460998716</v>
      </c>
      <c r="DM174" s="196">
        <f>DN174*(1+$EA174+(VLOOKUP($AM174,$A$12:$B$323,2,0))+各项系数!$J$6+各项系数!$M$5)*(1+$E$2)+各项系数!$M$9*$NK174</f>
        <v>16.882999415136474</v>
      </c>
      <c r="DN174" s="197">
        <f>DO174+各项系数!$L$9*$NQ174</f>
        <v>16.934327399297032</v>
      </c>
      <c r="DO174" s="197">
        <f>DP174*(1+$EB174+各项系数!$J$5+各项系数!$L$5)</f>
        <v>16.730834353434791</v>
      </c>
      <c r="DP174" s="197">
        <f t="shared" si="596"/>
        <v>16.087340724456528</v>
      </c>
      <c r="DQ174" s="196">
        <f>DR174+各项系数!$M$9*$NV174</f>
        <v>17.631621601227188</v>
      </c>
      <c r="DR174" s="196">
        <f t="shared" si="597"/>
        <v>17.421805053612534</v>
      </c>
      <c r="DS174" s="197">
        <f>DT174+各项系数!$L$9*$NV174</f>
        <v>17.601338708438607</v>
      </c>
      <c r="DT174" s="197">
        <f>DU174*(1+$EB174+各项系数!$J$5+各项系数!$L$5)</f>
        <v>17.391522160823953</v>
      </c>
      <c r="DU174" s="199">
        <f t="shared" si="598"/>
        <v>16.722617462330724</v>
      </c>
      <c r="DV174" s="196">
        <f>DW174+各项系数!$M$9*$NV174</f>
        <v>17.408330946294139</v>
      </c>
      <c r="DW174" s="196">
        <f t="shared" si="599"/>
        <v>17.198514398679485</v>
      </c>
      <c r="DX174" s="197">
        <f>DY174+各项系数!$L$9*$NV174</f>
        <v>17.375747018265798</v>
      </c>
      <c r="DY174" s="197">
        <f>DZ174*(1+$EB174+各项系数!$J$5+各项系数!$L$5)</f>
        <v>17.165930470651144</v>
      </c>
      <c r="DZ174" s="199">
        <f t="shared" si="600"/>
        <v>16.5057023756261</v>
      </c>
      <c r="EA174" s="213">
        <f t="shared" si="802"/>
        <v>0</v>
      </c>
      <c r="EB174" s="213">
        <f t="shared" si="601"/>
        <v>0.02</v>
      </c>
      <c r="EC174" s="235">
        <f t="shared" si="649"/>
        <v>14</v>
      </c>
      <c r="ED174" s="235" t="str">
        <f t="shared" si="756"/>
        <v>14*1.5</v>
      </c>
      <c r="EE174" s="189">
        <f t="shared" ref="EE174:EE190" si="812">IF($D174="",0,IF(COUNTIF($D174,"*+*")&gt;0,MID($D174,FIND("*",$D174)+1,FIND("+",$D174)-FIND("*",$D174)-1),RIGHT($D174,(LEN($D174)-FIND("*",$D174)))))*1</f>
        <v>1.5</v>
      </c>
      <c r="EF174" s="189">
        <f>LOOKUP(EH174,{1,7,10,14,19,24,30,37,48,61},{1,"1+6","2+8","4+10","1+6+12","2+8+14","4+10+16","1+6+12+18","3+9+15+21","1+6+12+18+24"})</f>
        <v>1</v>
      </c>
      <c r="EG174" s="188">
        <f t="shared" si="602"/>
        <v>14</v>
      </c>
      <c r="EH174" s="197">
        <f>VLOOKUP(EE174,各项系数!$B$87:$C$124,2,0)</f>
        <v>1</v>
      </c>
      <c r="EI174" s="188">
        <f>IF(EH174=0,0,VLOOKUP(EH174,各项系数!$D$142:$E$195,2,0))*1</f>
        <v>1</v>
      </c>
      <c r="EJ174" s="238">
        <f t="shared" si="650"/>
        <v>134.922667214547</v>
      </c>
      <c r="EK174" s="189">
        <f t="shared" ref="EK174:EK190" si="813">IF(COUNTIF($D174,"*+*")&gt;0,MID($D174,FIND("+",$D174)+1,LEN($D174)),0)</f>
        <v>0</v>
      </c>
      <c r="EL174" s="189">
        <f t="shared" si="603"/>
        <v>0</v>
      </c>
      <c r="EM174" s="189">
        <f t="shared" ref="EM174:EM190" si="814">EL174/1</f>
        <v>0</v>
      </c>
      <c r="EN174" s="189">
        <f>IF(EP174=0,0,LOOKUP(EP174,{1,7,10,14,19,24,30,37,48,61},{1,"1+6","2+8","4+10","1+6+12","2+8+14","4+10+16","1+6+12+18","3+9+15+21","1+6+12+18+24"}))</f>
        <v>0</v>
      </c>
      <c r="EO174" s="189">
        <f t="shared" ref="EO174:EO190" si="815">IF(EK174=0,0,MID(EK174,1,1))</f>
        <v>0</v>
      </c>
      <c r="EP174" s="189">
        <f>IF(EM174=0,0,IF(EM174&lt;10,1,IF(AND(EM174&gt;=10,EM174&lt;=35),7,LOOKUP(EM174,{50,70,95,120,150,185,240,300},{10,14,19,24,30,37,48,61})*1)))</f>
        <v>0</v>
      </c>
      <c r="EQ174" s="189">
        <f>IF(EP174=0,0,VLOOKUP(EP174,各项系数!$D$142:$E$195,2,0))*1</f>
        <v>0</v>
      </c>
      <c r="ER174" s="53">
        <f t="shared" ref="ER174:ER190" si="816">$I174-$J174</f>
        <v>0</v>
      </c>
      <c r="ES174" s="412">
        <f t="shared" ref="ES174:ES190" si="817">EO174+EG174</f>
        <v>14</v>
      </c>
      <c r="ET174" s="189">
        <f>VLOOKUP(ES174,各项系数!$D$142:$E$195,2,0)*1</f>
        <v>4.41</v>
      </c>
      <c r="EU174" s="243">
        <f>((各项系数!$F$76/4*$EJ174^2*$EG174*$EH174*1*10^-7)*(1-$H174)*AA174)*(VLOOKUP($EY$9,各项系数!$D$4:$F$143,3,0))*各项系数!$J$4</f>
        <v>0.17705679340221314</v>
      </c>
      <c r="EV174" s="244">
        <f>EU174*(VLOOKUP($EY$9,各项系数!$D$4:$F$143,2,0))</f>
        <v>11.597219967844961</v>
      </c>
      <c r="EW174" s="252">
        <f>(IF($EO174=0,0,(各项系数!$F$76/4*$ER174^2*$EO174*$EP174*1*10^-7))*(1-$K174)*$AF174)*(VLOOKUP($EY$9,各项系数!$D$4:$F$143,3,0))*各项系数!$J$4</f>
        <v>0</v>
      </c>
      <c r="EX174" s="253">
        <f>EW174*(VLOOKUP($EY$9,各项系数!$D$4:$F$143,2,0))</f>
        <v>0</v>
      </c>
      <c r="EY174" s="189">
        <f>((各项系数!$F$76/4*$EJ174^2*$EG174*$EH174*1*10^-7)*(1-$H174)*AA174+IF($EO174=0,0,(各项系数!$F$76/4*$ER174^2*$EO174*$EP174*1*10^-7))*(1-$K174)*$AF174)*(VLOOKUP($EY$9,各项系数!$D$4:$F$143,3,0))*各项系数!$J$4</f>
        <v>0.17705679340221314</v>
      </c>
      <c r="EZ174" s="102">
        <v>1</v>
      </c>
      <c r="FA174" s="189">
        <f t="shared" si="757"/>
        <v>0.17705679340221314</v>
      </c>
      <c r="FB174" s="254">
        <f>FA174*(VLOOKUP($EY$9,各项系数!$D$4:$F$143,2,0))</f>
        <v>11.597219967844961</v>
      </c>
      <c r="FC174" s="255"/>
      <c r="FD174" s="235">
        <f>各项系数!$F$76/4*($MN174^2-MK174^2)*10^-2*(VLOOKUP(L174,各项系数!$D$1:$F$143,3,0))*10^-3*10^2*$EG174*各项系数!$J$4</f>
        <v>6.9052866841828861E-2</v>
      </c>
      <c r="FE174" s="262">
        <f>FD174*VLOOKUP(L174,各项系数!$D$1:$F$143,2,0)</f>
        <v>0.79410796868103195</v>
      </c>
      <c r="FF174" s="188">
        <f>各项系数!$F$76/4*($MO174^2-ML174^2)*10^-2*(VLOOKUP(L174,各项系数!$D$1:$F$143,3,0))*10^-3*10^2*$EO174*各项系数!$J$4</f>
        <v>0</v>
      </c>
      <c r="FG174" s="262">
        <f>FF174*VLOOKUP(L174,各项系数!$D$1:$F$143,2,0)</f>
        <v>0</v>
      </c>
      <c r="FH174" s="235">
        <f t="shared" si="651"/>
        <v>6.9052866841828861E-2</v>
      </c>
      <c r="FI174" s="102">
        <v>1</v>
      </c>
      <c r="FJ174" s="189">
        <f t="shared" si="758"/>
        <v>6.9052866841828861E-2</v>
      </c>
      <c r="FK174" s="262">
        <f>FJ174*VLOOKUP(L174,各项系数!$D$1:$F$143,2,0)</f>
        <v>0.79410796868103195</v>
      </c>
      <c r="FL174" s="235"/>
      <c r="FM174" s="102"/>
      <c r="FN174" s="189"/>
      <c r="FO174" s="262"/>
      <c r="FP174" s="282">
        <f t="shared" si="759"/>
        <v>6.9052866841828861E-2</v>
      </c>
      <c r="FQ174" s="282">
        <f t="shared" si="760"/>
        <v>0.79410796868103195</v>
      </c>
      <c r="FR174" s="283">
        <f>各项系数!$F$76/4*($MQ174^2-$MN174^2*$EG174-$MO174^2*$EO174)*10^-2</f>
        <v>0.32341193830360576</v>
      </c>
      <c r="FS174" s="284">
        <f t="shared" si="652"/>
        <v>1</v>
      </c>
      <c r="FT174" s="285">
        <f t="shared" si="604"/>
        <v>0.32341193830360576</v>
      </c>
      <c r="FU174" s="302">
        <f>$FT174*(VLOOKUP($FT$9,各项系数!$D$1:$F$143,3,0))*10^-3*10^2*各项系数!$J$55</f>
        <v>3.8615385433450528E-2</v>
      </c>
      <c r="FV174" s="303">
        <v>1</v>
      </c>
      <c r="FW174" s="304">
        <f t="shared" si="761"/>
        <v>3.8615385433450528E-2</v>
      </c>
      <c r="FX174" s="285">
        <f>FW174*(VLOOKUP($FT$9,各项系数!$D$1:$F$143,2,0))</f>
        <v>0.11584615630035158</v>
      </c>
      <c r="FY174" s="302">
        <f>IF($BK174&lt;&gt;$FY$9,0,各项系数!$F$76/4*($MS174^2-$MQ174^2)*10^-2*(VLOOKUP($FY$9,各项系数!$D$1:$F$143,3,0))*10^-3*10^2)*各项系数!$J$4</f>
        <v>0</v>
      </c>
      <c r="FZ174" s="303">
        <v>1</v>
      </c>
      <c r="GA174" s="304">
        <f t="shared" si="762"/>
        <v>0</v>
      </c>
      <c r="GB174" s="285">
        <f>GA174*(VLOOKUP($FY$9,各项系数!$D$1:$F$143,2,0))</f>
        <v>0</v>
      </c>
      <c r="GC174" s="302">
        <f>IF($BK174&lt;&gt;$GC$9,0,各项系数!$F$76/4*($MS174^2-$MQ174^2)*10^-2*(VLOOKUP($GC$9,各项系数!$D$1:$F$143,3,0))*10^-3*10^2)*各项系数!$J$4</f>
        <v>3.3256826336139954E-3</v>
      </c>
      <c r="GD174" s="303">
        <v>1</v>
      </c>
      <c r="GE174" s="304">
        <f t="shared" si="763"/>
        <v>3.3256826336139954E-3</v>
      </c>
      <c r="GF174" s="285">
        <f>GE174*(VLOOKUP($GC$9,各项系数!$D$1:$F$143,2,0))</f>
        <v>4.2901305973620539E-2</v>
      </c>
      <c r="GG174" s="302">
        <f>IF($BK174&lt;&gt;$GG$9,0,各项系数!$F$76/4*($MS174^2-$MQ174^2)*10^-2*(VLOOKUP($GG$9,各项系数!$D$1:$F$143,3,0))*10^-3*10^2)*各项系数!$J$4</f>
        <v>0</v>
      </c>
      <c r="GH174" s="303">
        <v>1</v>
      </c>
      <c r="GI174" s="304">
        <f t="shared" si="764"/>
        <v>0</v>
      </c>
      <c r="GJ174" s="285">
        <f>GI174*(VLOOKUP($GG$9,各项系数!$D$1:$F$143,2,0))</f>
        <v>0</v>
      </c>
      <c r="GK174" s="302">
        <f>IF($BK174&lt;&gt;$GK$9,0,各项系数!$F$76/4*($MS174^2-$MQ174^2)*10^-2*(VLOOKUP($GK$9,各项系数!$D$1:$F$143,3,0))*10^-3*10^2)*各项系数!$J$4</f>
        <v>0</v>
      </c>
      <c r="GL174" s="303">
        <v>1</v>
      </c>
      <c r="GM174" s="304">
        <f t="shared" si="765"/>
        <v>0</v>
      </c>
      <c r="GN174" s="285">
        <f>GM174*(VLOOKUP($GK$9,各项系数!$D$1:$F$143,2,0))</f>
        <v>0</v>
      </c>
      <c r="GO174" s="304">
        <f t="shared" si="766"/>
        <v>3.3256826336139954E-3</v>
      </c>
      <c r="GP174" s="304">
        <f t="shared" si="767"/>
        <v>4.2901305973620539E-2</v>
      </c>
      <c r="GQ174" s="315">
        <f>各项系数!$F$76/4*($MU174^2-$MS174^2)*10^-2*(VLOOKUP($S174,各项系数!$D$1:$F$143,3,0))*10^-3*10^2*各项系数!$J$4</f>
        <v>0.18920111175276527</v>
      </c>
      <c r="GR174" s="303">
        <v>1</v>
      </c>
      <c r="GS174" s="304">
        <f t="shared" si="768"/>
        <v>0.18920111175276527</v>
      </c>
      <c r="GT174" s="304">
        <f t="shared" si="696"/>
        <v>1</v>
      </c>
      <c r="GU174" s="304">
        <f>ROUND($GS174*(VLOOKUP($S174,各项系数!$D$1:$F$143,2,0))+$E$3*GS174,GT174)</f>
        <v>1.1000000000000001</v>
      </c>
      <c r="GV174" s="315">
        <f>各项系数!$F$76/4*($MT174^2-$MS174^2)*10^-2*(VLOOKUP($GV$9,各项系数!$D$1:$F$143,3,0))*10^-3*10^2*各项系数!$J$4*PI()/4*R174</f>
        <v>1.7292921020157056E-2</v>
      </c>
      <c r="GW174" s="303">
        <v>1</v>
      </c>
      <c r="GX174" s="304">
        <f t="shared" si="769"/>
        <v>1.7292921020157056E-2</v>
      </c>
      <c r="GY174" s="304">
        <f>$GX174*(VLOOKUP($GV$9,各项系数!$D$1:$F$143,2,0))</f>
        <v>1.1672721688606014</v>
      </c>
      <c r="GZ174" s="315">
        <f>各项系数!$F$76/4*($MV174^2-$MS174^2)*10^-2*(VLOOKUP($GZ$9,各项系数!$D$1:$F$143,3,0))*10^-3*10^2*各项系数!$J$4</f>
        <v>0.11503641357700994</v>
      </c>
      <c r="HA174" s="303">
        <v>1</v>
      </c>
      <c r="HB174" s="304">
        <f t="shared" si="653"/>
        <v>0.11503641357700994</v>
      </c>
      <c r="HC174" s="304">
        <f>HB174*(VLOOKUP($GZ$9,各项系数!$D$1:$F$143,2,0))</f>
        <v>1.955619030809169</v>
      </c>
      <c r="HD174" s="315">
        <f>各项系数!$F$76/4*($MW174^2-$MT174^2)*10^-2*(VLOOKUP($HD$9,各项系数!$D$1:$F$143,3,0))*10^-3*10^2*各项系数!$J$4</f>
        <v>0.11634178302368835</v>
      </c>
      <c r="HE174" s="303">
        <v>1</v>
      </c>
      <c r="HF174" s="304">
        <f t="shared" si="654"/>
        <v>0.11634178302368835</v>
      </c>
      <c r="HG174" s="304">
        <f>HF174*(VLOOKUP($HD$9,各项系数!$D$1:$F$143,2,0))</f>
        <v>1.9778103114027019</v>
      </c>
      <c r="HH174" s="315">
        <f>各项系数!$F$76/4*($MV174^2-$MS174^2)*10^-2*(VLOOKUP($HH$9,各项系数!$D$1:$F$143,3,0))*10^-3*10^2*各项系数!$J$4</f>
        <v>0.11503641357700994</v>
      </c>
      <c r="HI174" s="322">
        <v>1</v>
      </c>
      <c r="HJ174" s="304">
        <f t="shared" si="655"/>
        <v>0.11503641357700994</v>
      </c>
      <c r="HK174" s="304">
        <f>HJ174*(VLOOKUP($HH$9,各项系数!$D$1:$F$143,2,0))</f>
        <v>1.955619030809169</v>
      </c>
      <c r="HL174" s="315">
        <f>各项系数!$F$76/4*($MW174^2-$MT174^2)*10^-2*(VLOOKUP($HL$9,各项系数!$D$1:$F$143,3,0))*10^-3*10^2*各项系数!$J$4</f>
        <v>0.11634178302368835</v>
      </c>
      <c r="HM174" s="322">
        <v>1</v>
      </c>
      <c r="HN174" s="304">
        <f t="shared" si="605"/>
        <v>0.11634178302368835</v>
      </c>
      <c r="HO174" s="304">
        <f>HN174*(VLOOKUP($HL$9,各项系数!$D$1:$F$143,2,0))</f>
        <v>1.9778103114027019</v>
      </c>
      <c r="HP174" s="315">
        <f>各项系数!$F$76/4*($MV174^2-$MS174^2)*10^-2*(VLOOKUP(AN174,各项系数!$D$1:$F$143,3,0))*10^-3*10^2*各项系数!$J$4</f>
        <v>0.11662312272979629</v>
      </c>
      <c r="HQ174" s="303">
        <v>1</v>
      </c>
      <c r="HR174" s="304">
        <f t="shared" si="770"/>
        <v>0.11662312272979629</v>
      </c>
      <c r="HS174" s="304">
        <f>HR174*(VLOOKUP(AN174,各项系数!$D$1:$F$143,2,0))</f>
        <v>1.1662312272979629</v>
      </c>
      <c r="HT174" s="315">
        <f>各项系数!$F$76/4*($MW174^2-$MT174^2)*10^-2*(VLOOKUP(AN174,各项系数!$D$1:$F$143,3,0))*10^-3*10^2*各项系数!$J$4</f>
        <v>0.11794649727229095</v>
      </c>
      <c r="HU174" s="303">
        <v>1</v>
      </c>
      <c r="HV174" s="304">
        <f t="shared" si="771"/>
        <v>0.11794649727229095</v>
      </c>
      <c r="HW174" s="304">
        <f>HV174*(VLOOKUP(AN174,各项系数!$D$1:$F$143,2,0))</f>
        <v>1.1794649727229096</v>
      </c>
      <c r="HX174" s="315">
        <f>各项系数!$F$76/4*($MV174^2-$MS174^2)*10^-2*(VLOOKUP($HX$9,各项系数!$D$1:$F$143,3,0))*10^-3*10^2*各项系数!$J$4</f>
        <v>0.11662312272979629</v>
      </c>
      <c r="HY174" s="322">
        <v>1</v>
      </c>
      <c r="HZ174" s="304">
        <f t="shared" si="772"/>
        <v>0.11662312272979629</v>
      </c>
      <c r="IA174" s="304">
        <f>HZ174*(VLOOKUP($HX$9,各项系数!$D$1:$F$143,2,0))</f>
        <v>1.2828543500277592</v>
      </c>
      <c r="IB174" s="315">
        <f>各项系数!$F$76/4*($MW174^2-$MT174^2)*10^-2*(VLOOKUP($IB$9,各项系数!$D$1:$F$143,3,0))*10^-3*10^2*各项系数!$J$4</f>
        <v>0.11794649727229095</v>
      </c>
      <c r="IC174" s="322">
        <v>1</v>
      </c>
      <c r="ID174" s="304">
        <f t="shared" si="773"/>
        <v>0.11794649727229095</v>
      </c>
      <c r="IE174" s="304">
        <f>ID174*(VLOOKUP($IB$9,各项系数!$D$1:$F$143,2,0))</f>
        <v>1.2974114699952004</v>
      </c>
      <c r="IF174" s="328"/>
      <c r="IG174" s="315">
        <f t="shared" si="656"/>
        <v>3.2478342111327912E-2</v>
      </c>
      <c r="IH174" s="303">
        <v>1</v>
      </c>
      <c r="II174" s="304">
        <f t="shared" si="774"/>
        <v>3.2478342111327912E-2</v>
      </c>
      <c r="IJ174" s="304">
        <f>II174*(VLOOKUP($IG$8,各项系数!$D$1:$F$143,2,0))</f>
        <v>0.81195855278319784</v>
      </c>
      <c r="IK174" s="315">
        <f>(各项系数!$F$76/4*($MX174^2-$MK174^2)*$EG174)*10^-2*(VLOOKUP($IG$8,各项系数!$D$1:$F$143,3,0))*10^-3*10^2*各项系数!$J$4</f>
        <v>3.2478342111327912E-2</v>
      </c>
      <c r="IL174" s="303">
        <f>IK174*(VLOOKUP($IG$8,各项系数!$D$1:$F$143,2,0))</f>
        <v>0.81195855278319784</v>
      </c>
      <c r="IM174" s="304">
        <f>(各项系数!$F$76/4*(($MM174+3*$X174)^2-MM174^2)*$EO174)*10^-2*(VLOOKUP($IG$8,各项系数!$D$1:$F$143,3,0))*10^-3*10^2*各项系数!$J$4</f>
        <v>0</v>
      </c>
      <c r="IN174" s="303">
        <f>IM174*(VLOOKUP($IG$8,各项系数!$D$1:$F$143,2,0))</f>
        <v>0</v>
      </c>
      <c r="IO174" s="315">
        <f>各项系数!$F$76/4*($MZ174^2-$MX174^2)*10^-2*(VLOOKUP(L174,各项系数!$D$1:$F$143,3,0))*10^-3*10^2*$ES174*各项系数!$J$4</f>
        <v>8.927108901883056E-2</v>
      </c>
      <c r="IP174" s="303">
        <v>1</v>
      </c>
      <c r="IQ174" s="304">
        <f t="shared" si="775"/>
        <v>8.927108901883056E-2</v>
      </c>
      <c r="IR174" s="285">
        <f>IQ174*(VLOOKUP(L174,各项系数!$D$1:$F$143,2,0))</f>
        <v>1.0266175237165514</v>
      </c>
      <c r="IS174" s="315">
        <f>IF($L174&lt;&gt;$IS$9,0,各项系数!$F$76/4*($MZ174^2-$MX174^2)*10^-2*各项系数!$F$12*10^-3*10^2)*$ES174*各项系数!$J$4</f>
        <v>0</v>
      </c>
      <c r="IT174" s="303">
        <v>1</v>
      </c>
      <c r="IU174" s="304">
        <f t="shared" si="776"/>
        <v>0</v>
      </c>
      <c r="IV174" s="285">
        <f>IU174*各项系数!$E$12</f>
        <v>0</v>
      </c>
      <c r="IW174" s="302">
        <f t="shared" si="777"/>
        <v>8.927108901883056E-2</v>
      </c>
      <c r="IX174" s="302">
        <f t="shared" si="778"/>
        <v>1.0266175237165514</v>
      </c>
      <c r="IY174" s="339">
        <f>各项系数!$F$76/4*($NB174^2-$MZ174^2*$EG174-$NA174^2*$EO174)*10^-2</f>
        <v>0.47998098489464969</v>
      </c>
      <c r="IZ174" s="284">
        <f t="shared" si="697"/>
        <v>1</v>
      </c>
      <c r="JA174" s="285">
        <f t="shared" si="606"/>
        <v>0.47998098489464969</v>
      </c>
      <c r="JB174" s="282">
        <f>IF($DE174&lt;&gt;$JB$9,0,$JA174*各项系数!$F$32*10^-3*10^2)*各项系数!$J$4</f>
        <v>0</v>
      </c>
      <c r="JC174" s="102">
        <v>1</v>
      </c>
      <c r="JD174" s="189">
        <f t="shared" si="779"/>
        <v>0</v>
      </c>
      <c r="JE174" s="262">
        <f>JD174*各项系数!$E$32</f>
        <v>0</v>
      </c>
      <c r="JF174" s="282">
        <f>IF($DE174&lt;&gt;$JF$9,0,$JA174*VLOOKUP($JF$9,各项系数!$D$4:$F$540,2,0)*10^-3*10^2)*各项系数!$J$4</f>
        <v>0.23879053998508823</v>
      </c>
      <c r="JG174" s="102">
        <v>1</v>
      </c>
      <c r="JH174" s="189">
        <f t="shared" si="607"/>
        <v>0.23879053998508823</v>
      </c>
      <c r="JI174" s="262">
        <f>JH174*VLOOKUP($JF$9,各项系数!$D$4:$F$540,3,0)</f>
        <v>0.28654864798210589</v>
      </c>
      <c r="JJ174" s="282">
        <f t="shared" si="780"/>
        <v>0.23879053998508823</v>
      </c>
      <c r="JK174" s="189">
        <f t="shared" si="781"/>
        <v>0.28654864798210589</v>
      </c>
      <c r="JL174" s="282">
        <f>IF($DF174&lt;&gt;$JL$9,0,各项系数!$F$76/4*($NE174^2-$NC174^2)*10^-2*各项系数!$F$39*10^-3*10^2)*各项系数!$J$4</f>
        <v>1.6756093133790978E-3</v>
      </c>
      <c r="JM174" s="102">
        <v>1</v>
      </c>
      <c r="JN174" s="189">
        <f t="shared" si="782"/>
        <v>1.6756093133790978E-3</v>
      </c>
      <c r="JO174" s="262">
        <f>JN174*各项系数!$E$39</f>
        <v>3.3512186267581956E-2</v>
      </c>
      <c r="JP174" s="282">
        <f>IF($DF174&lt;&gt;$JP$9,0,各项系数!$F$76/4*($NE174^2-$NC174^2)*10^-2*各项系数!$F$36*10^-3*10^2)*各项系数!$J$4</f>
        <v>0</v>
      </c>
      <c r="JQ174" s="102">
        <v>1</v>
      </c>
      <c r="JR174" s="189">
        <f t="shared" si="783"/>
        <v>0</v>
      </c>
      <c r="JS174" s="262">
        <f>JR174*各项系数!$E$36</f>
        <v>0</v>
      </c>
      <c r="JT174" s="282">
        <f>IF($DF174&lt;&gt;$JT$9,0,各项系数!$F$76/4*($NE174^2-$NC174^2)*10^-2*各项系数!$F$40*10^-3*10^2)*各项系数!$J$4</f>
        <v>0</v>
      </c>
      <c r="JU174" s="102">
        <v>1</v>
      </c>
      <c r="JV174" s="189">
        <f t="shared" si="784"/>
        <v>0</v>
      </c>
      <c r="JW174" s="262">
        <f>JV174*各项系数!$E$40</f>
        <v>0</v>
      </c>
      <c r="JX174" s="282">
        <f>IF($DF174&lt;&gt;$JX$9,0,各项系数!$F$76/4*($NE174^2-$NC174^2)*10^-2*各项系数!$F$38*10^-3*10^2)*各项系数!$J$4</f>
        <v>0</v>
      </c>
      <c r="JY174" s="102">
        <v>1</v>
      </c>
      <c r="JZ174" s="189">
        <f t="shared" si="785"/>
        <v>0</v>
      </c>
      <c r="KA174" s="262">
        <f>JZ174*各项系数!$E$38</f>
        <v>0</v>
      </c>
      <c r="KB174" s="282">
        <f>IF($DF174&lt;&gt;$KB$9,0,各项系数!$F$76/4*($NE174^2-$NC174^2)*10^-2*各项系数!$F$41*10^-3*10^2)*各项系数!$J$4</f>
        <v>0</v>
      </c>
      <c r="KC174" s="102">
        <v>1</v>
      </c>
      <c r="KD174" s="189">
        <f t="shared" si="786"/>
        <v>0</v>
      </c>
      <c r="KE174" s="262">
        <f>KD174*各项系数!$E$41</f>
        <v>0</v>
      </c>
      <c r="KF174" s="189">
        <f t="shared" si="787"/>
        <v>1.6756093133790978E-3</v>
      </c>
      <c r="KG174" s="189">
        <f t="shared" si="788"/>
        <v>3.3512186267581956E-2</v>
      </c>
      <c r="KH174" s="235">
        <f>各项系数!$F$76/4*($NG174^2-$NE174^2)*10^-2*各项系数!$F$44*10^-3*10^2*各项系数!$J$4*0.75*$U174</f>
        <v>0.68684320761992645</v>
      </c>
      <c r="KI174" s="102">
        <v>1</v>
      </c>
      <c r="KJ174" s="189">
        <f t="shared" si="789"/>
        <v>0.68684320761992645</v>
      </c>
      <c r="KK174" s="189">
        <f>ROUND(KJ174*各项系数!$E$43,GT174)</f>
        <v>4</v>
      </c>
      <c r="KL174" s="235">
        <f>各项系数!$F$76/4*($NF174^2-$NE174^2)*10^-2*各项系数!$F$46*10^-3*10^2*各项系数!$J$4*PI()/4*R174</f>
        <v>2.1078339174705061E-2</v>
      </c>
      <c r="KM174" s="102">
        <v>1</v>
      </c>
      <c r="KN174" s="189">
        <f t="shared" si="790"/>
        <v>2.1078339174705061E-2</v>
      </c>
      <c r="KO174" s="189">
        <f>KN174*各项系数!$E$46</f>
        <v>1.4227878942925916</v>
      </c>
      <c r="KP174" s="235">
        <f>各项系数!$F$76/4*($NH174^2-$NE174^2)*10^-2*(VLOOKUP($KP$9,各项系数!$D$1:$F$143,3,0))*10^-3*10^2*各项系数!$J$4</f>
        <v>0.13714610858012535</v>
      </c>
      <c r="KQ174" s="102">
        <v>1</v>
      </c>
      <c r="KR174" s="189">
        <f t="shared" si="657"/>
        <v>0.13714610858012535</v>
      </c>
      <c r="KS174" s="189">
        <f>KR174*(VLOOKUP($KP$9,各项系数!$D$1:$F$143,2,0))</f>
        <v>2.331483845862131</v>
      </c>
      <c r="KT174" s="235">
        <f>各项系数!$F$76/4*($NI174^2-$NF174^2)*10^-2*(VLOOKUP($KT$9,各项系数!$D$1:$F$143,3,0))*10^-3*10^2*各项系数!$J$4</f>
        <v>0.13845147802680369</v>
      </c>
      <c r="KU174" s="102">
        <v>1</v>
      </c>
      <c r="KV174" s="189">
        <f t="shared" si="658"/>
        <v>0.13845147802680369</v>
      </c>
      <c r="KW174" s="189">
        <f>KV174*(VLOOKUP($KT$9,各项系数!$D$1:$F$143,2,0))</f>
        <v>2.3536751264556628</v>
      </c>
      <c r="KX174" s="189">
        <f>各项系数!$F$76/4*($NH174^2-$NE174^2)*10^-2*(VLOOKUP($KX$9,各项系数!$D$1:$F$143,3,0))*10^-3*10^2*各项系数!$J$4</f>
        <v>0.13714610858012535</v>
      </c>
      <c r="KY174" s="353">
        <v>1</v>
      </c>
      <c r="KZ174" s="189">
        <f t="shared" si="659"/>
        <v>0.13714610858012535</v>
      </c>
      <c r="LA174" s="189">
        <f>KZ174*(VLOOKUP($KX$9,各项系数!$D$1:$F$143,2,0))</f>
        <v>2.331483845862131</v>
      </c>
      <c r="LB174" s="189">
        <f>各项系数!$F$76/4*($NI174^2-$NF174^2)*10^-2*(VLOOKUP($LB$9,各项系数!$D$1:$F$143,3,0))*10^-3*10^2*各项系数!$J$4</f>
        <v>0.13845147802680369</v>
      </c>
      <c r="LC174" s="353">
        <v>1</v>
      </c>
      <c r="LD174" s="189">
        <f t="shared" si="660"/>
        <v>0.13845147802680369</v>
      </c>
      <c r="LE174" s="189">
        <f>LD174*(VLOOKUP($LB$9,各项系数!$D$1:$F$143,2,0))</f>
        <v>2.3536751264556628</v>
      </c>
      <c r="LF174" s="235">
        <f>各项系数!$F$76/4*($NH174^2-$NE174^2)*10^-2*(VLOOKUP(AN174,各项系数!$D$1:$F$143,3,0))*10^-3*10^2*各项系数!$J$4</f>
        <v>0.1390377790432995</v>
      </c>
      <c r="LG174" s="102">
        <v>1</v>
      </c>
      <c r="LH174" s="189">
        <f t="shared" si="791"/>
        <v>0.1390377790432995</v>
      </c>
      <c r="LI174" s="189">
        <f>LH174*(VLOOKUP(AN174,各项系数!$D$1:$F$143,2,0))</f>
        <v>1.390377790432995</v>
      </c>
      <c r="LJ174" s="235">
        <f>各项系数!$F$76/4*($NI174^2-$NF174^2)*10^-2*(VLOOKUP(AN174,各项系数!$D$1:$F$143,3,0))*10^-3*10^2*各项系数!$J$4</f>
        <v>0.1403611535857941</v>
      </c>
      <c r="LK174" s="102">
        <v>1</v>
      </c>
      <c r="LL174" s="189">
        <f t="shared" si="792"/>
        <v>0.1403611535857941</v>
      </c>
      <c r="LM174" s="189">
        <f>LL174*(VLOOKUP(AN174,各项系数!$D$1:$F$143,2,0))</f>
        <v>1.4036115358579409</v>
      </c>
      <c r="LN174" s="189">
        <f>各项系数!$F$76/4*($NH174^2-$NE174^2)*10^-2*(VLOOKUP($LN$9,各项系数!$D$1:$F$143,3,0))*10^-3*10^2*各项系数!$J$4</f>
        <v>0.1390377790432995</v>
      </c>
      <c r="LO174" s="353">
        <v>1</v>
      </c>
      <c r="LP174" s="189">
        <f t="shared" si="793"/>
        <v>0.1390377790432995</v>
      </c>
      <c r="LQ174" s="189">
        <f>LP174*(VLOOKUP($LN$9,各项系数!$D$1:$F$143,2,0))</f>
        <v>1.5294155694762945</v>
      </c>
      <c r="LR174" s="189">
        <f>各项系数!$F$76/4*($NI174^2-$NF174^2)*10^-2*(VLOOKUP($LR$9,各项系数!$D$1:$F$143,3,0))*10^-3*10^2*各项系数!$J$4</f>
        <v>0.1403611535857941</v>
      </c>
      <c r="LS174" s="353">
        <v>1</v>
      </c>
      <c r="LT174" s="189">
        <f t="shared" si="794"/>
        <v>0.1403611535857941</v>
      </c>
      <c r="LU174" s="189">
        <f>LT174*(VLOOKUP($LR$9,各项系数!$D$1:$F$143,2,0))</f>
        <v>1.5439726894437351</v>
      </c>
      <c r="LV174" s="227">
        <f t="shared" si="661"/>
        <v>20.01648205</v>
      </c>
      <c r="LW174" s="227">
        <f t="shared" si="662"/>
        <v>20.01648205</v>
      </c>
      <c r="LX174" s="227">
        <f t="shared" si="663"/>
        <v>5.0483439356428121</v>
      </c>
      <c r="LY174" s="227">
        <f t="shared" si="664"/>
        <v>0</v>
      </c>
      <c r="LZ174" s="374">
        <f t="shared" si="608"/>
        <v>1</v>
      </c>
      <c r="MA174" s="375">
        <f t="shared" si="609"/>
        <v>20.01648205</v>
      </c>
      <c r="MB174" s="375">
        <f t="shared" si="665"/>
        <v>1.34922667</v>
      </c>
      <c r="MC174" s="227">
        <f t="shared" si="666"/>
        <v>0</v>
      </c>
      <c r="MD174" s="227">
        <f t="shared" si="667"/>
        <v>0</v>
      </c>
      <c r="ME174" s="227">
        <f t="shared" si="668"/>
        <v>0</v>
      </c>
      <c r="MF174" s="227">
        <f t="shared" si="669"/>
        <v>0</v>
      </c>
      <c r="MG174" s="374">
        <f t="shared" si="670"/>
        <v>1</v>
      </c>
      <c r="MH174" s="375">
        <f t="shared" si="610"/>
        <v>0</v>
      </c>
      <c r="MI174" s="375">
        <f t="shared" si="671"/>
        <v>0</v>
      </c>
      <c r="MJ174" s="189">
        <f t="shared" si="611"/>
        <v>1.34922667</v>
      </c>
      <c r="MK174" s="189">
        <f t="shared" si="672"/>
        <v>1.34922667</v>
      </c>
      <c r="ML174" s="189">
        <f t="shared" si="795"/>
        <v>0</v>
      </c>
      <c r="MM174" s="189">
        <f t="shared" si="612"/>
        <v>0</v>
      </c>
      <c r="MN174" s="189">
        <f t="shared" si="613"/>
        <v>2.7492266699999997</v>
      </c>
      <c r="MO174" s="189">
        <f t="shared" si="673"/>
        <v>0</v>
      </c>
      <c r="MP174" s="189">
        <f t="shared" si="674"/>
        <v>12.12408961</v>
      </c>
      <c r="MQ174" s="189">
        <f t="shared" si="796"/>
        <v>12.12408961</v>
      </c>
      <c r="MR174" s="246">
        <f t="shared" si="675"/>
        <v>12.12408961</v>
      </c>
      <c r="MS174" s="380">
        <f t="shared" si="614"/>
        <v>12.300089610000001</v>
      </c>
      <c r="MT174" s="380">
        <f t="shared" si="615"/>
        <v>12.460089610000001</v>
      </c>
      <c r="MU174" s="380">
        <f t="shared" si="616"/>
        <v>13.50008961</v>
      </c>
      <c r="MV174" s="380">
        <f t="shared" si="617"/>
        <v>15.90008961</v>
      </c>
      <c r="MW174" s="380">
        <f t="shared" si="618"/>
        <v>16.060089610000002</v>
      </c>
      <c r="MX174" s="254">
        <f t="shared" si="619"/>
        <v>1.9492266700000001</v>
      </c>
      <c r="MY174" s="254">
        <f t="shared" si="620"/>
        <v>0</v>
      </c>
      <c r="MZ174" s="189">
        <f t="shared" si="621"/>
        <v>3.3492266700000002</v>
      </c>
      <c r="NA174" s="189">
        <f t="shared" si="622"/>
        <v>0</v>
      </c>
      <c r="NB174" s="189">
        <f t="shared" si="676"/>
        <v>14.770089609999999</v>
      </c>
      <c r="NC174" s="254">
        <f t="shared" si="797"/>
        <v>14.770089609999999</v>
      </c>
      <c r="ND174" s="246">
        <f t="shared" si="677"/>
        <v>14.770089609999999</v>
      </c>
      <c r="NE174" s="386">
        <f t="shared" si="678"/>
        <v>15.01008961</v>
      </c>
      <c r="NF174" s="380">
        <f t="shared" si="623"/>
        <v>15.17008961</v>
      </c>
      <c r="NG174" s="387">
        <f t="shared" si="624"/>
        <v>16.210089610000001</v>
      </c>
      <c r="NH174" s="254">
        <f t="shared" si="625"/>
        <v>18.610089609999999</v>
      </c>
      <c r="NI174" s="380">
        <f t="shared" si="626"/>
        <v>18.770089609999999</v>
      </c>
      <c r="NK174" s="388">
        <f t="shared" si="627"/>
        <v>0.40467385104090281</v>
      </c>
      <c r="NL174" s="388">
        <f t="shared" si="628"/>
        <v>13.716306626097929</v>
      </c>
      <c r="NM174" s="388">
        <f t="shared" si="629"/>
        <v>0.40467385104090281</v>
      </c>
      <c r="NN174" s="388">
        <f t="shared" si="630"/>
        <v>13.832929748827723</v>
      </c>
      <c r="NO174" s="388">
        <f t="shared" si="631"/>
        <v>0.67831015287413843</v>
      </c>
      <c r="NP174" s="388">
        <f t="shared" si="632"/>
        <v>15.146234669027393</v>
      </c>
      <c r="NQ174" s="388">
        <f t="shared" si="633"/>
        <v>0.67831015287413843</v>
      </c>
      <c r="NR174" s="388">
        <f t="shared" si="634"/>
        <v>15.285272448070691</v>
      </c>
      <c r="NS174" s="388">
        <f t="shared" si="635"/>
        <v>0.42196677206105987</v>
      </c>
      <c r="NT174" s="388">
        <f t="shared" si="636"/>
        <v>0.42196677206105987</v>
      </c>
      <c r="NU174" s="388">
        <f t="shared" si="637"/>
        <v>0.69938849204884346</v>
      </c>
      <c r="NV174" s="388">
        <f t="shared" si="638"/>
        <v>0.69938849204884346</v>
      </c>
      <c r="NW174">
        <f t="shared" si="639"/>
        <v>0.59387496279366814</v>
      </c>
      <c r="NX174">
        <f>各项系数!$M$9*NK174</f>
        <v>0.12140215531227083</v>
      </c>
      <c r="NY174">
        <f t="shared" si="640"/>
        <v>0.42196677206105987</v>
      </c>
    </row>
    <row r="175" spans="1:389" ht="15" hidden="1" customHeight="1">
      <c r="A175" s="69"/>
      <c r="B175" s="70"/>
      <c r="C175" s="69"/>
      <c r="D175" s="102" t="s">
        <v>398</v>
      </c>
      <c r="E175" s="61">
        <f t="shared" si="805"/>
        <v>16.697365350000002</v>
      </c>
      <c r="F175" s="62">
        <f t="shared" si="798"/>
        <v>134.922667214547</v>
      </c>
      <c r="G175" s="62"/>
      <c r="H175" s="16"/>
      <c r="I175" s="145">
        <v>0</v>
      </c>
      <c r="J175" s="16"/>
      <c r="K175" s="16"/>
      <c r="L175" s="97" t="s">
        <v>469</v>
      </c>
      <c r="M175" s="103">
        <f t="shared" si="582"/>
        <v>0.7</v>
      </c>
      <c r="N175" s="103">
        <f t="shared" si="804"/>
        <v>0</v>
      </c>
      <c r="O175" s="53">
        <f t="shared" si="801"/>
        <v>0.08</v>
      </c>
      <c r="P175" s="99">
        <v>0.1</v>
      </c>
      <c r="Q175" s="133">
        <f t="shared" si="806"/>
        <v>0.1</v>
      </c>
      <c r="R175" s="406">
        <v>0.8</v>
      </c>
      <c r="S175" s="142" t="str">
        <f>各项系数!$D$43</f>
        <v>钢带</v>
      </c>
      <c r="T175" s="102">
        <v>0.2</v>
      </c>
      <c r="U175" s="62">
        <v>4</v>
      </c>
      <c r="V175" s="143"/>
      <c r="W175" s="407">
        <v>1.8</v>
      </c>
      <c r="X175" s="135">
        <f t="shared" si="807"/>
        <v>0.2</v>
      </c>
      <c r="Y175" s="135"/>
      <c r="Z175" s="168"/>
      <c r="AA175" s="153">
        <v>1</v>
      </c>
      <c r="AB175" s="153">
        <f>PI()*EJ175*EJ175/4*EH175*(1-H175)*AA175*各项系数!$F$5*各项系数!$J$4*10^-7</f>
        <v>1.2646913814443796E-2</v>
      </c>
      <c r="AC175" s="153">
        <f t="shared" si="808"/>
        <v>134.922667214547</v>
      </c>
      <c r="AD175" s="153">
        <f t="shared" si="584"/>
        <v>1.4297487227412424</v>
      </c>
      <c r="AE175" s="153">
        <f>POWER(4*EU175/PI()/EG175/10^-7/EH175/(1-H175)/各项系数!$F$5/各项系数!$J$4,0.5)</f>
        <v>134.922667214547</v>
      </c>
      <c r="AF175" s="69">
        <v>1</v>
      </c>
      <c r="AG175" s="69">
        <f>IF(EM175=0,0,PI()*ER175*ER175/4*EP175*(1-K175)*(1+AF175)*各项系数!$F$5*各项系数!$J$4*10^-7)</f>
        <v>0</v>
      </c>
      <c r="AH175" s="69">
        <f t="shared" si="809"/>
        <v>0</v>
      </c>
      <c r="AI175" s="69">
        <f t="shared" si="641"/>
        <v>0</v>
      </c>
      <c r="AJ175" s="69">
        <f>IF(OR(EP175="",EP175=0),0,POWER(4*EW175/PI()/EO175/10^-7/EP175/(1-K175)/各项系数!$F$5/各项系数!$J$4,0.5))</f>
        <v>0</v>
      </c>
      <c r="AK175" s="69" t="str">
        <f t="shared" si="585"/>
        <v>√</v>
      </c>
      <c r="AL175" s="69">
        <f t="shared" si="810"/>
        <v>16.464559579858872</v>
      </c>
      <c r="AM175" s="188">
        <f t="shared" si="811"/>
        <v>1.5</v>
      </c>
      <c r="AN175" s="97" t="s">
        <v>486</v>
      </c>
      <c r="AO175" s="196">
        <f>AP175+各项系数!$M$9*$NK175</f>
        <v>16.14172507829301</v>
      </c>
      <c r="AP175" s="196">
        <f>AQ175*(1+$BI175+(VLOOKUP($AM175,$A$12:$B$323,2,0))+各项系数!$J$6+各项系数!$M$5)*(1+$E$2)</f>
        <v>16.006367018362639</v>
      </c>
      <c r="AQ175" s="197">
        <f>AR175+各项系数!$L$9*$NK175</f>
        <v>16.171314425502768</v>
      </c>
      <c r="AR175" s="197">
        <f>AS175*(1+$BJ175+各项系数!$J$5+各项系数!$L$5)</f>
        <v>16.035956365572396</v>
      </c>
      <c r="AS175" s="197">
        <f t="shared" si="642"/>
        <v>15.568889675313006</v>
      </c>
      <c r="AT175" s="196">
        <f>AU175+各项系数!$M$9*$NM175</f>
        <v>16.992006484690986</v>
      </c>
      <c r="AU175" s="196">
        <f>AV175*(1+$BI175+(VLOOKUP($AM175,$A$12:$B$323,2,0))+各项系数!$J$6+各项系数!$M$5)*(1+$E$2)</f>
        <v>16.856648424760614</v>
      </c>
      <c r="AV175" s="197">
        <f>AW175+各项系数!$L$9*$NM175</f>
        <v>17.030358077147522</v>
      </c>
      <c r="AW175" s="197">
        <f>AX175*(1+$BJ175+各项系数!$J$5+各项系数!$L$5)</f>
        <v>16.89500001721715</v>
      </c>
      <c r="AX175" s="197">
        <f t="shared" si="643"/>
        <v>16.402912638074902</v>
      </c>
      <c r="AY175" s="196">
        <f>AZ175+各项系数!$M$9*$NS175</f>
        <v>17.432868941921118</v>
      </c>
      <c r="AZ175" s="196">
        <f>BA175*(1+$BI175+(VLOOKUP($AM175,$A$12:$B$214,2,0))+各项系数!$J$6+各项系数!$M$5)*(1+$E$2)</f>
        <v>17.291988907301633</v>
      </c>
      <c r="BA175" s="197">
        <f>BB175+各项系数!$L$9*$NS175</f>
        <v>17.470184792181886</v>
      </c>
      <c r="BB175" s="197">
        <f>BC175*(1+$BJ175+各项系数!$J$5+各项系数!$L$5)</f>
        <v>17.329304757562401</v>
      </c>
      <c r="BC175" s="199">
        <f t="shared" si="644"/>
        <v>16.824567725788739</v>
      </c>
      <c r="BD175" s="196">
        <f>BE175+各项系数!$M$9*$NS175</f>
        <v>18.292282501678258</v>
      </c>
      <c r="BE175" s="196">
        <f>BF175*(1+$BI175+(VLOOKUP($AM175,$A$12:$B$214,2,0))+各项系数!$J$6+各项系数!$M$5)*(1+$E$2)</f>
        <v>18.151402467058773</v>
      </c>
      <c r="BF175" s="197">
        <f>BG175+各项系数!$L$9*$NS175</f>
        <v>18.338454705050285</v>
      </c>
      <c r="BG175" s="197">
        <f>BH175*(1+$BJ175+各项系数!$J$5+各项系数!$L$5)</f>
        <v>18.1975746704308</v>
      </c>
      <c r="BH175" s="199">
        <f t="shared" si="645"/>
        <v>17.667548223719223</v>
      </c>
      <c r="BI175" s="213"/>
      <c r="BJ175" s="208">
        <f t="shared" si="800"/>
        <v>0.01</v>
      </c>
      <c r="BK175" s="102" t="s">
        <v>514</v>
      </c>
      <c r="BL175" s="196">
        <f>BM175+各项系数!$M$9*$NM175</f>
        <v>16.422665018807258</v>
      </c>
      <c r="BM175" s="196">
        <f>BN175*(1+$CF175+(VLOOKUP($AM175,$A$12:$B$323,2,0))+各项系数!$J$6+各项系数!$M$5)*(1+$E$2)</f>
        <v>16.287306958876886</v>
      </c>
      <c r="BN175" s="197">
        <f>BO175+各项系数!$L$9*$NM175</f>
        <v>16.455149483609706</v>
      </c>
      <c r="BO175" s="197">
        <f>BP175*(1+$CG175+各项系数!$J$5+各项系数!$L$5)</f>
        <v>16.319791423679334</v>
      </c>
      <c r="BP175" s="197">
        <f t="shared" si="646"/>
        <v>15.692107138153204</v>
      </c>
      <c r="BQ175" s="196">
        <f>BR175+各项系数!$M$9*$NM175</f>
        <v>17.154362513982651</v>
      </c>
      <c r="BR175" s="196">
        <f>BS175*(1+$CF175+(VLOOKUP($AM175,$A$12:$B$323,2,0))+各项系数!$J$6+各项系数!$M$5)*(1+$E$2)</f>
        <v>17.019004454052279</v>
      </c>
      <c r="BS175" s="197">
        <f>BT175+各项系数!$L$9*$NM175</f>
        <v>17.194387203528269</v>
      </c>
      <c r="BT175" s="197">
        <f>BU175*(1+$CG175+各项系数!$J$5+各项系数!$L$5)</f>
        <v>17.059029143597897</v>
      </c>
      <c r="BU175" s="197">
        <f t="shared" si="647"/>
        <v>16.402912638074902</v>
      </c>
      <c r="BV175" s="196">
        <f>BW175+各项系数!$M$9*$NT175</f>
        <v>17.596335913122452</v>
      </c>
      <c r="BW175" s="196">
        <f>BX175*(1+$CF175+(VLOOKUP($AM175,$A$12:$B$214,2,0))+各项系数!$J$6+各项系数!$M$5)*(1+$E$2)</f>
        <v>17.455455878502967</v>
      </c>
      <c r="BX175" s="197">
        <f>BY175+各项系数!$L$9*$NT$12</f>
        <v>17.635336308853269</v>
      </c>
      <c r="BY175" s="197">
        <f>BZ175*(1+$CG175+各项系数!$J$5+各项系数!$L$5)</f>
        <v>17.627072905698295</v>
      </c>
      <c r="BZ175" s="199">
        <f t="shared" si="586"/>
        <v>16.949108563171436</v>
      </c>
      <c r="CA175" s="196">
        <f>CB175+各项系数!$M$9*$NT175</f>
        <v>18.335891952173057</v>
      </c>
      <c r="CB175" s="196">
        <f>CC175*(1+$CF175+(VLOOKUP($AM175,$A$12:$B$214,2,0))+各项系数!$J$6+各项系数!$M$5)*(1+$E$2)</f>
        <v>18.195011917553572</v>
      </c>
      <c r="CC175" s="197">
        <f>CD175+各项系数!$L$9*$NT$12</f>
        <v>18.382513555822968</v>
      </c>
      <c r="CD175" s="197">
        <f>CE175*(1+$CG175+各项系数!$J$5+各项系数!$L$5)</f>
        <v>18.374250152667994</v>
      </c>
      <c r="CE175" s="199">
        <f t="shared" si="648"/>
        <v>17.667548223719223</v>
      </c>
      <c r="CF175" s="213">
        <f t="shared" si="753"/>
        <v>0</v>
      </c>
      <c r="CG175" s="213">
        <f t="shared" si="587"/>
        <v>0.02</v>
      </c>
      <c r="CH175" s="102"/>
      <c r="CI175" s="196">
        <f>CJ175+各项系数!$M$9*$NO175</f>
        <v>18.104266142522199</v>
      </c>
      <c r="CJ175" s="196">
        <f>CK175*(1+$DC175+(VLOOKUP($AM175,$A$12:$B$323,2,0))+各项系数!$J$6+各项系数!$M$5)*(1+$E$2)+各项系数!$M$9*$NK175</f>
        <v>17.877083918271463</v>
      </c>
      <c r="CK175" s="197">
        <f>CL175+各项系数!$L$9*$NO175</f>
        <v>17.924556332937048</v>
      </c>
      <c r="CL175" s="197">
        <f>CM175*(1+$DD175+各项系数!$J$5+各项系数!$L$5)</f>
        <v>17.697374108686311</v>
      </c>
      <c r="CM175" s="197">
        <f t="shared" si="588"/>
        <v>17.181916610375058</v>
      </c>
      <c r="CN175" s="196">
        <f>CO175+各项系数!$M$9*$NO175</f>
        <v>18.711359222770032</v>
      </c>
      <c r="CO175" s="196">
        <f>CP175*(1+$DC175+(VLOOKUP($AM175,$A$12:$B$323,2,0))+各项系数!$J$6+各项系数!$M$5)*(1+$E$2)+各项系数!$M$9*$NK175</f>
        <v>18.484176998519295</v>
      </c>
      <c r="CP175" s="197">
        <f>CQ175+各项系数!$L$9*$NO175</f>
        <v>18.537905575458598</v>
      </c>
      <c r="CQ175" s="197">
        <f>CR175*(1+$DD175+各项系数!$J$5+各项系数!$L$5)</f>
        <v>18.310723351207862</v>
      </c>
      <c r="CR175" s="197">
        <f t="shared" si="589"/>
        <v>17.777401311852294</v>
      </c>
      <c r="CS175" s="196">
        <f>CT175+各项系数!$M$9*$NU175</f>
        <v>19.539679069901332</v>
      </c>
      <c r="CT175" s="196">
        <f t="shared" si="590"/>
        <v>19.30576633081856</v>
      </c>
      <c r="CU175" s="197">
        <f>CV175+各项系数!$L$9*$NU175</f>
        <v>19.504714417880948</v>
      </c>
      <c r="CV175" s="197">
        <f>CW175*(1+$DD175+各项系数!$J$5+各项系数!$L$5)</f>
        <v>19.270801678798176</v>
      </c>
      <c r="CW175" s="199">
        <f t="shared" si="591"/>
        <v>18.709516193007936</v>
      </c>
      <c r="CX175" s="196">
        <f>CY175+各项系数!$M$9*$NU175</f>
        <v>20.563699693957382</v>
      </c>
      <c r="CY175" s="196">
        <f t="shared" si="592"/>
        <v>20.32978695487461</v>
      </c>
      <c r="CZ175" s="197">
        <f>DA175+各项系数!$L$9*$NU175</f>
        <v>20.539287689305528</v>
      </c>
      <c r="DA175" s="197">
        <f>DB175*(1+$DD175+各项系数!$J$5+各项系数!$L$5)</f>
        <v>20.305374950222756</v>
      </c>
      <c r="DB175" s="199">
        <f t="shared" si="593"/>
        <v>19.713956262352191</v>
      </c>
      <c r="DC175" s="213">
        <f t="shared" si="803"/>
        <v>0</v>
      </c>
      <c r="DD175" s="213">
        <f t="shared" si="594"/>
        <v>0.01</v>
      </c>
      <c r="DE175" s="53" t="s">
        <v>498</v>
      </c>
      <c r="DF175" s="53" t="s">
        <v>513</v>
      </c>
      <c r="DG175" s="196">
        <f>DH175+各项系数!$M$9*$NQ175</f>
        <v>18.425726761425722</v>
      </c>
      <c r="DH175" s="196">
        <f>DI175*(1+$EA175+(VLOOKUP($AM175,$A$12:$B$323,2,0))+各项系数!$J$6+各项系数!$M$5)*(1+$E$2)+各项系数!$M$9*$NK175</f>
        <v>18.198544537174985</v>
      </c>
      <c r="DI175" s="197">
        <f>DJ175+各项系数!$L$9*$NQ175</f>
        <v>18.249329639568209</v>
      </c>
      <c r="DJ175" s="197">
        <f>DK175*(1+$EB175+各项系数!$J$5+各项系数!$L$5)</f>
        <v>18.022147415317473</v>
      </c>
      <c r="DK175" s="197">
        <f t="shared" si="595"/>
        <v>17.328987899343723</v>
      </c>
      <c r="DL175" s="196">
        <f>DM175+各项系数!$M$9*$NQ175</f>
        <v>19.299074509951847</v>
      </c>
      <c r="DM175" s="196">
        <f>DN175*(1+$EA175+(VLOOKUP($AM175,$A$12:$B$323,2,0))+各项系数!$J$6+各项系数!$M$5)*(1+$E$2)+各项系数!$M$9*$NK175</f>
        <v>19.071892285701111</v>
      </c>
      <c r="DN175" s="197">
        <f>DO175+各项系数!$L$9*$NQ175</f>
        <v>19.13167733458349</v>
      </c>
      <c r="DO175" s="197">
        <f>DP175*(1+$EB175+各项系数!$J$5+各项系数!$L$5)</f>
        <v>18.904495110332753</v>
      </c>
      <c r="DP175" s="197">
        <f t="shared" si="596"/>
        <v>18.177399144550723</v>
      </c>
      <c r="DQ175" s="196">
        <f>DR175+各项系数!$M$9*$NV175</f>
        <v>19.877622140640806</v>
      </c>
      <c r="DR175" s="196">
        <f t="shared" si="597"/>
        <v>19.643709401558034</v>
      </c>
      <c r="DS175" s="197">
        <f>DT175+各项系数!$L$9*$NV175</f>
        <v>19.846140029862635</v>
      </c>
      <c r="DT175" s="197">
        <f>DU175*(1+$EB175+各项系数!$J$5+各项系数!$L$5)</f>
        <v>19.612227290779863</v>
      </c>
      <c r="DU175" s="199">
        <f t="shared" si="598"/>
        <v>18.857910856519098</v>
      </c>
      <c r="DV175" s="196">
        <f>DW175+各项系数!$M$9*$NV175</f>
        <v>19.551066300500857</v>
      </c>
      <c r="DW175" s="196">
        <f t="shared" si="599"/>
        <v>19.317153561418085</v>
      </c>
      <c r="DX175" s="197">
        <f>DY175+各项系数!$L$9*$NV175</f>
        <v>19.516218995168806</v>
      </c>
      <c r="DY175" s="197">
        <f>DZ175*(1+$EB175+各项系数!$J$5+各项系数!$L$5)</f>
        <v>19.282306256086034</v>
      </c>
      <c r="DZ175" s="199">
        <f t="shared" si="600"/>
        <v>18.540679092390416</v>
      </c>
      <c r="EA175" s="213">
        <f t="shared" si="802"/>
        <v>0</v>
      </c>
      <c r="EB175" s="213">
        <f t="shared" si="601"/>
        <v>0.02</v>
      </c>
      <c r="EC175" s="235">
        <f t="shared" si="649"/>
        <v>16</v>
      </c>
      <c r="ED175" s="235" t="str">
        <f t="shared" si="756"/>
        <v>16*1.5</v>
      </c>
      <c r="EE175" s="189">
        <f t="shared" si="812"/>
        <v>1.5</v>
      </c>
      <c r="EF175" s="189">
        <f>LOOKUP(EH175,{1,7,10,14,19,24,30,37,48,61},{1,"1+6","2+8","4+10","1+6+12","2+8+14","4+10+16","1+6+12+18","3+9+15+21","1+6+12+18+24"})</f>
        <v>1</v>
      </c>
      <c r="EG175" s="188">
        <f t="shared" si="602"/>
        <v>16</v>
      </c>
      <c r="EH175" s="197">
        <f>VLOOKUP(EE175,各项系数!$B$87:$C$124,2,0)</f>
        <v>1</v>
      </c>
      <c r="EI175" s="188">
        <f>IF(EH175=0,0,VLOOKUP(EH175,各项系数!$D$142:$E$195,2,0))*1</f>
        <v>1</v>
      </c>
      <c r="EJ175" s="238">
        <f t="shared" si="650"/>
        <v>134.922667214547</v>
      </c>
      <c r="EK175" s="189">
        <f t="shared" si="813"/>
        <v>0</v>
      </c>
      <c r="EL175" s="189">
        <f t="shared" si="603"/>
        <v>0</v>
      </c>
      <c r="EM175" s="189">
        <f t="shared" si="814"/>
        <v>0</v>
      </c>
      <c r="EN175" s="189">
        <f>IF(EP175=0,0,LOOKUP(EP175,{1,7,10,14,19,24,30,37,48,61},{1,"1+6","2+8","4+10","1+6+12","2+8+14","4+10+16","1+6+12+18","3+9+15+21","1+6+12+18+24"}))</f>
        <v>0</v>
      </c>
      <c r="EO175" s="189">
        <f t="shared" si="815"/>
        <v>0</v>
      </c>
      <c r="EP175" s="189">
        <f>IF(EM175=0,0,IF(EM175&lt;10,1,IF(AND(EM175&gt;=10,EM175&lt;=35),7,LOOKUP(EM175,{50,70,95,120,150,185,240,300},{10,14,19,24,30,37,48,61})*1)))</f>
        <v>0</v>
      </c>
      <c r="EQ175" s="189">
        <f>IF(EP175=0,0,VLOOKUP(EP175,各项系数!$D$142:$E$195,2,0))*1</f>
        <v>0</v>
      </c>
      <c r="ER175" s="53">
        <f t="shared" si="816"/>
        <v>0</v>
      </c>
      <c r="ES175" s="412">
        <f t="shared" si="817"/>
        <v>16</v>
      </c>
      <c r="ET175" s="189">
        <f>VLOOKUP(ES175,各项系数!$D$142:$E$195,2,0)*1</f>
        <v>4.7</v>
      </c>
      <c r="EU175" s="243">
        <f>((各项系数!$F$76/4*$EJ175^2*$EG175*$EH175*1*10^-7)*(1-$H175)*AA175)*(VLOOKUP($EY$9,各项系数!$D$4:$F$143,3,0))*各项系数!$J$4</f>
        <v>0.20235062103110077</v>
      </c>
      <c r="EV175" s="244">
        <f>EU175*(VLOOKUP($EY$9,各项系数!$D$4:$F$143,2,0))</f>
        <v>13.253965677537101</v>
      </c>
      <c r="EW175" s="252">
        <f>(IF($EO175=0,0,(各项系数!$F$76/4*$ER175^2*$EO175*$EP175*1*10^-7))*(1-$K175)*$AF175)*(VLOOKUP($EY$9,各项系数!$D$4:$F$143,3,0))*各项系数!$J$4</f>
        <v>0</v>
      </c>
      <c r="EX175" s="253">
        <f>EW175*(VLOOKUP($EY$9,各项系数!$D$4:$F$143,2,0))</f>
        <v>0</v>
      </c>
      <c r="EY175" s="189">
        <f>((各项系数!$F$76/4*$EJ175^2*$EG175*$EH175*1*10^-7)*(1-$H175)*AA175+IF($EO175=0,0,(各项系数!$F$76/4*$ER175^2*$EO175*$EP175*1*10^-7))*(1-$K175)*$AF175)*(VLOOKUP($EY$9,各项系数!$D$4:$F$143,3,0))*各项系数!$J$4</f>
        <v>0.20235062103110077</v>
      </c>
      <c r="EZ175" s="102">
        <v>1</v>
      </c>
      <c r="FA175" s="189">
        <f t="shared" si="757"/>
        <v>0.20235062103110077</v>
      </c>
      <c r="FB175" s="254">
        <f>FA175*(VLOOKUP($EY$9,各项系数!$D$4:$F$143,2,0))</f>
        <v>13.253965677537101</v>
      </c>
      <c r="FC175" s="255"/>
      <c r="FD175" s="235">
        <f>各项系数!$F$76/4*($MN175^2-MK175^2)*10^-2*(VLOOKUP(L175,各项系数!$D$1:$F$143,3,0))*10^-3*10^2*$EG175*各项系数!$J$4</f>
        <v>7.891756210494727E-2</v>
      </c>
      <c r="FE175" s="262">
        <f>FD175*VLOOKUP(L175,各项系数!$D$1:$F$143,2,0)</f>
        <v>0.90755196420689366</v>
      </c>
      <c r="FF175" s="188">
        <f>各项系数!$F$76/4*($MO175^2-ML175^2)*10^-2*(VLOOKUP(L175,各项系数!$D$1:$F$143,3,0))*10^-3*10^2*$EO175*各项系数!$J$4</f>
        <v>0</v>
      </c>
      <c r="FG175" s="262">
        <f>FF175*VLOOKUP(L175,各项系数!$D$1:$F$143,2,0)</f>
        <v>0</v>
      </c>
      <c r="FH175" s="235">
        <f t="shared" si="651"/>
        <v>7.891756210494727E-2</v>
      </c>
      <c r="FI175" s="102">
        <v>1</v>
      </c>
      <c r="FJ175" s="189">
        <f t="shared" si="758"/>
        <v>7.891756210494727E-2</v>
      </c>
      <c r="FK175" s="262">
        <f>FJ175*VLOOKUP(L175,各项系数!$D$1:$F$143,2,0)</f>
        <v>0.90755196420689366</v>
      </c>
      <c r="FL175" s="235"/>
      <c r="FM175" s="102"/>
      <c r="FN175" s="189"/>
      <c r="FO175" s="262"/>
      <c r="FP175" s="282">
        <f t="shared" si="759"/>
        <v>7.891756210494727E-2</v>
      </c>
      <c r="FQ175" s="282">
        <f t="shared" si="760"/>
        <v>0.90755196420689366</v>
      </c>
      <c r="FR175" s="283">
        <f>各项系数!$F$76/4*($MQ175^2-$MN175^2*$EG175-$MO175^2*$EO175)*10^-2</f>
        <v>0.36151662246027999</v>
      </c>
      <c r="FS175" s="284">
        <f t="shared" si="652"/>
        <v>1</v>
      </c>
      <c r="FT175" s="285">
        <f t="shared" si="604"/>
        <v>0.36151662246027999</v>
      </c>
      <c r="FU175" s="302">
        <f>$FT175*(VLOOKUP($FT$9,各项系数!$D$1:$F$143,3,0))*10^-3*10^2*各项系数!$J$55</f>
        <v>4.3165084721757431E-2</v>
      </c>
      <c r="FV175" s="303">
        <v>1</v>
      </c>
      <c r="FW175" s="304">
        <f t="shared" si="761"/>
        <v>4.3165084721757431E-2</v>
      </c>
      <c r="FX175" s="285">
        <f>FW175*(VLOOKUP($FT$9,各项系数!$D$1:$F$143,2,0))</f>
        <v>0.1294952541652723</v>
      </c>
      <c r="FY175" s="302">
        <f>IF($BK175&lt;&gt;$FY$9,0,各项系数!$F$76/4*($MS175^2-$MQ175^2)*10^-2*(VLOOKUP($FY$9,各项系数!$D$1:$F$143,3,0))*10^-3*10^2)*各项系数!$J$4</f>
        <v>0</v>
      </c>
      <c r="FZ175" s="303">
        <v>1</v>
      </c>
      <c r="GA175" s="304">
        <f t="shared" si="762"/>
        <v>0</v>
      </c>
      <c r="GB175" s="285">
        <f>GA175*(VLOOKUP($FY$9,各项系数!$D$1:$F$143,2,0))</f>
        <v>0</v>
      </c>
      <c r="GC175" s="302">
        <f>IF($BK175&lt;&gt;$GC$9,0,各项系数!$F$76/4*($MS175^2-$MQ175^2)*10^-2*(VLOOKUP($GC$9,各项系数!$D$1:$F$143,3,0))*10^-3*10^2)*各项系数!$J$4</f>
        <v>3.5428024032354562E-3</v>
      </c>
      <c r="GD175" s="303">
        <v>1</v>
      </c>
      <c r="GE175" s="304">
        <f t="shared" si="763"/>
        <v>3.5428024032354562E-3</v>
      </c>
      <c r="GF175" s="285">
        <f>GE175*(VLOOKUP($GC$9,各项系数!$D$1:$F$143,2,0))</f>
        <v>4.5702151001737384E-2</v>
      </c>
      <c r="GG175" s="302">
        <f>IF($BK175&lt;&gt;$GG$9,0,各项系数!$F$76/4*($MS175^2-$MQ175^2)*10^-2*(VLOOKUP($GG$9,各项系数!$D$1:$F$143,3,0))*10^-3*10^2)*各项系数!$J$4</f>
        <v>0</v>
      </c>
      <c r="GH175" s="303">
        <v>1</v>
      </c>
      <c r="GI175" s="304">
        <f t="shared" si="764"/>
        <v>0</v>
      </c>
      <c r="GJ175" s="285">
        <f>GI175*(VLOOKUP($GG$9,各项系数!$D$1:$F$143,2,0))</f>
        <v>0</v>
      </c>
      <c r="GK175" s="302">
        <f>IF($BK175&lt;&gt;$GK$9,0,各项系数!$F$76/4*($MS175^2-$MQ175^2)*10^-2*(VLOOKUP($GK$9,各项系数!$D$1:$F$143,3,0))*10^-3*10^2)*各项系数!$J$4</f>
        <v>0</v>
      </c>
      <c r="GL175" s="303">
        <v>1</v>
      </c>
      <c r="GM175" s="304">
        <f t="shared" si="765"/>
        <v>0</v>
      </c>
      <c r="GN175" s="285">
        <f>GM175*(VLOOKUP($GK$9,各项系数!$D$1:$F$143,2,0))</f>
        <v>0</v>
      </c>
      <c r="GO175" s="304">
        <f t="shared" si="766"/>
        <v>3.5428024032354562E-3</v>
      </c>
      <c r="GP175" s="304">
        <f t="shared" si="767"/>
        <v>4.5702151001737384E-2</v>
      </c>
      <c r="GQ175" s="315">
        <f>各项系数!$F$76/4*($MU175^2-$MS175^2)*10^-2*(VLOOKUP($S175,各项系数!$D$1:$F$143,3,0))*10^-3*10^2*各项系数!$J$4</f>
        <v>0.20089447675579392</v>
      </c>
      <c r="GR175" s="303">
        <v>1</v>
      </c>
      <c r="GS175" s="304">
        <f t="shared" si="768"/>
        <v>0.20089447675579392</v>
      </c>
      <c r="GT175" s="304">
        <f t="shared" si="696"/>
        <v>1</v>
      </c>
      <c r="GU175" s="304">
        <f>ROUND($GS175*(VLOOKUP($S175,各项系数!$D$1:$F$143,2,0))+$E$3*GS175,GT175)</f>
        <v>1.2</v>
      </c>
      <c r="GV175" s="315">
        <f>各项系数!$F$76/4*($MT175^2-$MS175^2)*10^-2*(VLOOKUP($GV$9,各项系数!$D$1:$F$143,3,0))*10^-3*10^2*各项系数!$J$4*PI()/4*R175</f>
        <v>1.8406582297048731E-2</v>
      </c>
      <c r="GW175" s="303">
        <v>1</v>
      </c>
      <c r="GX175" s="304">
        <f t="shared" si="769"/>
        <v>1.8406582297048731E-2</v>
      </c>
      <c r="GY175" s="304">
        <f>$GX175*(VLOOKUP($GV$9,各项系数!$D$1:$F$143,2,0))</f>
        <v>1.2424443050507894</v>
      </c>
      <c r="GZ175" s="315">
        <f>各项系数!$F$76/4*($MV175^2-$MS175^2)*10^-2*(VLOOKUP($GZ$9,各项系数!$D$1:$F$143,3,0))*10^-3*10^2*各项系数!$J$4</f>
        <v>0.12154103477434698</v>
      </c>
      <c r="HA175" s="303">
        <v>1</v>
      </c>
      <c r="HB175" s="304">
        <f t="shared" si="653"/>
        <v>0.12154103477434698</v>
      </c>
      <c r="HC175" s="304">
        <f>HB175*(VLOOKUP($GZ$9,各项系数!$D$1:$F$143,2,0))</f>
        <v>2.0661975911638986</v>
      </c>
      <c r="HD175" s="315">
        <f>各项系数!$F$76/4*($MW175^2-$MT175^2)*10^-2*(VLOOKUP($HD$9,各项系数!$D$1:$F$143,3,0))*10^-3*10^2*各项系数!$J$4</f>
        <v>0.12284640422102534</v>
      </c>
      <c r="HE175" s="303">
        <v>1</v>
      </c>
      <c r="HF175" s="304">
        <f t="shared" si="654"/>
        <v>0.12284640422102534</v>
      </c>
      <c r="HG175" s="304">
        <f>HF175*(VLOOKUP($HD$9,各项系数!$D$1:$F$143,2,0))</f>
        <v>2.0883888717574308</v>
      </c>
      <c r="HH175" s="315">
        <f>各项系数!$F$76/4*($MV175^2-$MS175^2)*10^-2*(VLOOKUP($HH$9,各项系数!$D$1:$F$143,3,0))*10^-3*10^2*各项系数!$J$4</f>
        <v>0.12154103477434698</v>
      </c>
      <c r="HI175" s="322">
        <v>1</v>
      </c>
      <c r="HJ175" s="304">
        <f t="shared" si="655"/>
        <v>0.12154103477434698</v>
      </c>
      <c r="HK175" s="304">
        <f>HJ175*(VLOOKUP($HH$9,各项系数!$D$1:$F$143,2,0))</f>
        <v>2.0661975911638986</v>
      </c>
      <c r="HL175" s="315">
        <f>各项系数!$F$76/4*($MW175^2-$MT175^2)*10^-2*(VLOOKUP($HL$9,各项系数!$D$1:$F$143,3,0))*10^-3*10^2*各项系数!$J$4</f>
        <v>0.12284640422102534</v>
      </c>
      <c r="HM175" s="322">
        <v>1</v>
      </c>
      <c r="HN175" s="304">
        <f t="shared" si="605"/>
        <v>0.12284640422102534</v>
      </c>
      <c r="HO175" s="304">
        <f>HN175*(VLOOKUP($HL$9,各项系数!$D$1:$F$143,2,0))</f>
        <v>2.0883888717574308</v>
      </c>
      <c r="HP175" s="315">
        <f>各项系数!$F$76/4*($MV175^2-$MS175^2)*10^-2*(VLOOKUP(AN175,各项系数!$D$1:$F$143,3,0))*10^-3*10^2*各项系数!$J$4</f>
        <v>0.12321746284020005</v>
      </c>
      <c r="HQ175" s="303">
        <v>1</v>
      </c>
      <c r="HR175" s="304">
        <f t="shared" si="770"/>
        <v>0.12321746284020005</v>
      </c>
      <c r="HS175" s="304">
        <f>HR175*(VLOOKUP(AN175,各项系数!$D$1:$F$143,2,0))</f>
        <v>1.2321746284020005</v>
      </c>
      <c r="HT175" s="315">
        <f>各项系数!$F$76/4*($MW175^2-$MT175^2)*10^-2*(VLOOKUP(AN175,各项系数!$D$1:$F$143,3,0))*10^-3*10^2*各项系数!$J$4</f>
        <v>0.12454083738269467</v>
      </c>
      <c r="HU175" s="303">
        <v>1</v>
      </c>
      <c r="HV175" s="304">
        <f t="shared" si="771"/>
        <v>0.12454083738269467</v>
      </c>
      <c r="HW175" s="304">
        <f>HV175*(VLOOKUP(AN175,各项系数!$D$1:$F$143,2,0))</f>
        <v>1.2454083738269466</v>
      </c>
      <c r="HX175" s="315">
        <f>各项系数!$F$76/4*($MV175^2-$MS175^2)*10^-2*(VLOOKUP($HX$9,各项系数!$D$1:$F$143,3,0))*10^-3*10^2*各项系数!$J$4</f>
        <v>0.12321746284020005</v>
      </c>
      <c r="HY175" s="322">
        <v>1</v>
      </c>
      <c r="HZ175" s="304">
        <f t="shared" si="772"/>
        <v>0.12321746284020005</v>
      </c>
      <c r="IA175" s="304">
        <f>HZ175*(VLOOKUP($HX$9,各项系数!$D$1:$F$143,2,0))</f>
        <v>1.3553920912422006</v>
      </c>
      <c r="IB175" s="315">
        <f>各项系数!$F$76/4*($MW175^2-$MT175^2)*10^-2*(VLOOKUP($IB$9,各项系数!$D$1:$F$143,3,0))*10^-3*10^2*各项系数!$J$4</f>
        <v>0.12454083738269467</v>
      </c>
      <c r="IC175" s="322">
        <v>1</v>
      </c>
      <c r="ID175" s="304">
        <f t="shared" si="773"/>
        <v>0.12454083738269467</v>
      </c>
      <c r="IE175" s="304">
        <f>ID175*(VLOOKUP($IB$9,各项系数!$D$1:$F$143,2,0))</f>
        <v>1.3699492112096414</v>
      </c>
      <c r="IF175" s="328"/>
      <c r="IG175" s="315">
        <f t="shared" si="656"/>
        <v>3.7118105270089047E-2</v>
      </c>
      <c r="IH175" s="303">
        <v>1</v>
      </c>
      <c r="II175" s="304">
        <f t="shared" si="774"/>
        <v>3.7118105270089047E-2</v>
      </c>
      <c r="IJ175" s="304">
        <f>II175*(VLOOKUP($IG$8,各项系数!$D$1:$F$143,2,0))</f>
        <v>0.9279526317522262</v>
      </c>
      <c r="IK175" s="315">
        <f>(各项系数!$F$76/4*($MX175^2-$MK175^2)*$EG175)*10^-2*(VLOOKUP($IG$8,各项系数!$D$1:$F$143,3,0))*10^-3*10^2*各项系数!$J$4</f>
        <v>3.7118105270089047E-2</v>
      </c>
      <c r="IL175" s="303">
        <f>IK175*(VLOOKUP($IG$8,各项系数!$D$1:$F$143,2,0))</f>
        <v>0.9279526317522262</v>
      </c>
      <c r="IM175" s="304">
        <f>(各项系数!$F$76/4*(($MM175+3*$X175)^2-MM175^2)*$EO175)*10^-2*(VLOOKUP($IG$8,各项系数!$D$1:$F$143,3,0))*10^-3*10^2*各项系数!$J$4</f>
        <v>0</v>
      </c>
      <c r="IN175" s="303">
        <f>IM175*(VLOOKUP($IG$8,各项系数!$D$1:$F$143,2,0))</f>
        <v>0</v>
      </c>
      <c r="IO175" s="315">
        <f>各项系数!$F$76/4*($MZ175^2-$MX175^2)*10^-2*(VLOOKUP(L175,各项系数!$D$1:$F$143,3,0))*10^-3*10^2*$ES175*各项系数!$J$4</f>
        <v>0.10202410173580637</v>
      </c>
      <c r="IP175" s="303">
        <v>1</v>
      </c>
      <c r="IQ175" s="304">
        <f t="shared" si="775"/>
        <v>0.10202410173580637</v>
      </c>
      <c r="IR175" s="285">
        <f>IQ175*(VLOOKUP(L175,各项系数!$D$1:$F$143,2,0))</f>
        <v>1.1732771699617732</v>
      </c>
      <c r="IS175" s="315">
        <f>IF($L175&lt;&gt;$IS$9,0,各项系数!$F$76/4*($MZ175^2-$MX175^2)*10^-2*各项系数!$F$12*10^-3*10^2)*$ES175*各项系数!$J$4</f>
        <v>0</v>
      </c>
      <c r="IT175" s="303">
        <v>1</v>
      </c>
      <c r="IU175" s="304">
        <f t="shared" si="776"/>
        <v>0</v>
      </c>
      <c r="IV175" s="285">
        <f>IU175*各项系数!$E$12</f>
        <v>0</v>
      </c>
      <c r="IW175" s="302">
        <f t="shared" si="777"/>
        <v>0.10202410173580637</v>
      </c>
      <c r="IX175" s="302">
        <f t="shared" si="778"/>
        <v>1.1732771699617732</v>
      </c>
      <c r="IY175" s="339">
        <f>各项系数!$F$76/4*($NB175^2-$MZ175^2*$EG175-$NA175^2*$EO175)*10^-2</f>
        <v>0.53653277399392574</v>
      </c>
      <c r="IZ175" s="284">
        <f t="shared" si="697"/>
        <v>1</v>
      </c>
      <c r="JA175" s="285">
        <f t="shared" si="606"/>
        <v>0.53653277399392574</v>
      </c>
      <c r="JB175" s="282">
        <f>IF($DE175&lt;&gt;$JB$9,0,$JA175*各项系数!$F$32*10^-3*10^2)*各项系数!$J$4</f>
        <v>0</v>
      </c>
      <c r="JC175" s="102">
        <v>1</v>
      </c>
      <c r="JD175" s="189">
        <f t="shared" si="779"/>
        <v>0</v>
      </c>
      <c r="JE175" s="262">
        <f>JD175*各项系数!$E$32</f>
        <v>0</v>
      </c>
      <c r="JF175" s="282">
        <f>IF($DE175&lt;&gt;$JF$9,0,$JA175*VLOOKUP($JF$9,各项系数!$D$4:$F$540,2,0)*10^-3*10^2)*各项系数!$J$4</f>
        <v>0.26692505506197806</v>
      </c>
      <c r="JG175" s="102">
        <v>1</v>
      </c>
      <c r="JH175" s="189">
        <f t="shared" si="607"/>
        <v>0.26692505506197806</v>
      </c>
      <c r="JI175" s="262">
        <f>JH175*VLOOKUP($JF$9,各项系数!$D$4:$F$540,3,0)</f>
        <v>0.32031006607437368</v>
      </c>
      <c r="JJ175" s="282">
        <f t="shared" si="780"/>
        <v>0.26692505506197806</v>
      </c>
      <c r="JK175" s="189">
        <f t="shared" si="781"/>
        <v>0.32031006607437368</v>
      </c>
      <c r="JL175" s="282">
        <f>IF($DF175&lt;&gt;$JL$9,0,各项系数!$F$76/4*($NE175^2-$NC175^2)*10^-2*各项系数!$F$39*10^-3*10^2)*各项系数!$J$4</f>
        <v>1.7849087681459938E-3</v>
      </c>
      <c r="JM175" s="102">
        <v>1</v>
      </c>
      <c r="JN175" s="189">
        <f t="shared" si="782"/>
        <v>1.7849087681459938E-3</v>
      </c>
      <c r="JO175" s="262">
        <f>JN175*各项系数!$E$39</f>
        <v>3.5698175362919873E-2</v>
      </c>
      <c r="JP175" s="282">
        <f>IF($DF175&lt;&gt;$JP$9,0,各项系数!$F$76/4*($NE175^2-$NC175^2)*10^-2*各项系数!$F$36*10^-3*10^2)*各项系数!$J$4</f>
        <v>0</v>
      </c>
      <c r="JQ175" s="102">
        <v>1</v>
      </c>
      <c r="JR175" s="189">
        <f t="shared" si="783"/>
        <v>0</v>
      </c>
      <c r="JS175" s="262">
        <f>JR175*各项系数!$E$36</f>
        <v>0</v>
      </c>
      <c r="JT175" s="282">
        <f>IF($DF175&lt;&gt;$JT$9,0,各项系数!$F$76/4*($NE175^2-$NC175^2)*10^-2*各项系数!$F$40*10^-3*10^2)*各项系数!$J$4</f>
        <v>0</v>
      </c>
      <c r="JU175" s="102">
        <v>1</v>
      </c>
      <c r="JV175" s="189">
        <f t="shared" si="784"/>
        <v>0</v>
      </c>
      <c r="JW175" s="262">
        <f>JV175*各项系数!$E$40</f>
        <v>0</v>
      </c>
      <c r="JX175" s="282">
        <f>IF($DF175&lt;&gt;$JX$9,0,各项系数!$F$76/4*($NE175^2-$NC175^2)*10^-2*各项系数!$F$38*10^-3*10^2)*各项系数!$J$4</f>
        <v>0</v>
      </c>
      <c r="JY175" s="102">
        <v>1</v>
      </c>
      <c r="JZ175" s="189">
        <f t="shared" si="785"/>
        <v>0</v>
      </c>
      <c r="KA175" s="262">
        <f>JZ175*各项系数!$E$38</f>
        <v>0</v>
      </c>
      <c r="KB175" s="282">
        <f>IF($DF175&lt;&gt;$KB$9,0,各项系数!$F$76/4*($NE175^2-$NC175^2)*10^-2*各项系数!$F$41*10^-3*10^2)*各项系数!$J$4</f>
        <v>0</v>
      </c>
      <c r="KC175" s="102">
        <v>1</v>
      </c>
      <c r="KD175" s="189">
        <f t="shared" si="786"/>
        <v>0</v>
      </c>
      <c r="KE175" s="262">
        <f>KD175*各项系数!$E$41</f>
        <v>0</v>
      </c>
      <c r="KF175" s="189">
        <f t="shared" si="787"/>
        <v>1.7849087681459938E-3</v>
      </c>
      <c r="KG175" s="189">
        <f t="shared" si="788"/>
        <v>3.5698175362919873E-2</v>
      </c>
      <c r="KH175" s="235">
        <f>各项系数!$F$76/4*($NG175^2-$NE175^2)*10^-2*各项系数!$F$44*10^-3*10^2*各项系数!$J$4*0.75*$U175</f>
        <v>0.72957929443377978</v>
      </c>
      <c r="KI175" s="102">
        <v>1</v>
      </c>
      <c r="KJ175" s="189">
        <f t="shared" si="789"/>
        <v>0.72957929443377978</v>
      </c>
      <c r="KK175" s="189">
        <f>ROUND(KJ175*各项系数!$E$43,GT175)</f>
        <v>4.2</v>
      </c>
      <c r="KL175" s="235">
        <f>各项系数!$F$76/4*($NF175^2-$NE175^2)*10^-2*各项系数!$F$46*10^-3*10^2*各项系数!$J$4*PI()/4*R175</f>
        <v>2.2435049440117517E-2</v>
      </c>
      <c r="KM175" s="102">
        <v>1</v>
      </c>
      <c r="KN175" s="189">
        <f t="shared" si="790"/>
        <v>2.2435049440117517E-2</v>
      </c>
      <c r="KO175" s="189">
        <f>KN175*各项系数!$E$46</f>
        <v>1.5143658372079325</v>
      </c>
      <c r="KP175" s="235">
        <f>各项系数!$F$76/4*($NH175^2-$NE175^2)*10^-2*(VLOOKUP($KP$9,各项系数!$D$1:$F$143,3,0))*10^-3*10^2*各项系数!$J$4</f>
        <v>0.14507031905072515</v>
      </c>
      <c r="KQ175" s="102">
        <v>1</v>
      </c>
      <c r="KR175" s="189">
        <f t="shared" si="657"/>
        <v>0.14507031905072515</v>
      </c>
      <c r="KS175" s="189">
        <f>KR175*(VLOOKUP($KP$9,各项系数!$D$1:$F$143,2,0))</f>
        <v>2.4661954238623274</v>
      </c>
      <c r="KT175" s="235">
        <f>各项系数!$F$76/4*($NI175^2-$NF175^2)*10^-2*(VLOOKUP($KT$9,各项系数!$D$1:$F$143,3,0))*10^-3*10^2*各项系数!$J$4</f>
        <v>0.14637568849740359</v>
      </c>
      <c r="KU175" s="102">
        <v>1</v>
      </c>
      <c r="KV175" s="189">
        <f t="shared" si="658"/>
        <v>0.14637568849740359</v>
      </c>
      <c r="KW175" s="189">
        <f>KV175*(VLOOKUP($KT$9,各项系数!$D$1:$F$143,2,0))</f>
        <v>2.488386704455861</v>
      </c>
      <c r="KX175" s="189">
        <f>各项系数!$F$76/4*($NH175^2-$NE175^2)*10^-2*(VLOOKUP($KX$9,各项系数!$D$1:$F$143,3,0))*10^-3*10^2*各项系数!$J$4</f>
        <v>0.14507031905072515</v>
      </c>
      <c r="KY175" s="353">
        <v>1</v>
      </c>
      <c r="KZ175" s="189">
        <f t="shared" si="659"/>
        <v>0.14507031905072515</v>
      </c>
      <c r="LA175" s="189">
        <f>KZ175*(VLOOKUP($KX$9,各项系数!$D$1:$F$143,2,0))</f>
        <v>2.4661954238623274</v>
      </c>
      <c r="LB175" s="189">
        <f>各项系数!$F$76/4*($NI175^2-$NF175^2)*10^-2*(VLOOKUP($LB$9,各项系数!$D$1:$F$143,3,0))*10^-3*10^2*各项系数!$J$4</f>
        <v>0.14637568849740359</v>
      </c>
      <c r="LC175" s="353">
        <v>1</v>
      </c>
      <c r="LD175" s="189">
        <f t="shared" si="660"/>
        <v>0.14637568849740359</v>
      </c>
      <c r="LE175" s="189">
        <f>LD175*(VLOOKUP($LB$9,各项系数!$D$1:$F$143,2,0))</f>
        <v>2.488386704455861</v>
      </c>
      <c r="LF175" s="235">
        <f>各项系数!$F$76/4*($NH175^2-$NE175^2)*10^-2*(VLOOKUP(AN175,各项系数!$D$1:$F$143,3,0))*10^-3*10^2*各项系数!$J$4</f>
        <v>0.1470712889686662</v>
      </c>
      <c r="LG175" s="102">
        <v>1</v>
      </c>
      <c r="LH175" s="189">
        <f t="shared" si="791"/>
        <v>0.1470712889686662</v>
      </c>
      <c r="LI175" s="189">
        <f>LH175*(VLOOKUP(AN175,各项系数!$D$1:$F$143,2,0))</f>
        <v>1.4707128896866619</v>
      </c>
      <c r="LJ175" s="235">
        <f>各项系数!$F$76/4*($NI175^2-$NF175^2)*10^-2*(VLOOKUP(AN175,各项系数!$D$1:$F$143,3,0))*10^-3*10^2*各项系数!$J$4</f>
        <v>0.14839466351116087</v>
      </c>
      <c r="LK175" s="102">
        <v>1</v>
      </c>
      <c r="LL175" s="189">
        <f t="shared" si="792"/>
        <v>0.14839466351116087</v>
      </c>
      <c r="LM175" s="189">
        <f>LL175*(VLOOKUP(AN175,各项系数!$D$1:$F$143,2,0))</f>
        <v>1.4839466351116086</v>
      </c>
      <c r="LN175" s="189">
        <f>各项系数!$F$76/4*($NH175^2-$NE175^2)*10^-2*(VLOOKUP($LN$9,各项系数!$D$1:$F$143,3,0))*10^-3*10^2*各项系数!$J$4</f>
        <v>0.1470712889686662</v>
      </c>
      <c r="LO175" s="353">
        <v>1</v>
      </c>
      <c r="LP175" s="189">
        <f t="shared" si="793"/>
        <v>0.1470712889686662</v>
      </c>
      <c r="LQ175" s="189">
        <f>LP175*(VLOOKUP($LN$9,各项系数!$D$1:$F$143,2,0))</f>
        <v>1.6177841786553282</v>
      </c>
      <c r="LR175" s="189">
        <f>各项系数!$F$76/4*($NI175^2-$NF175^2)*10^-2*(VLOOKUP($LR$9,各项系数!$D$1:$F$143,3,0))*10^-3*10^2*各项系数!$J$4</f>
        <v>0.14839466351116087</v>
      </c>
      <c r="LS175" s="353">
        <v>1</v>
      </c>
      <c r="LT175" s="189">
        <f t="shared" si="794"/>
        <v>0.14839466351116087</v>
      </c>
      <c r="LU175" s="189">
        <f>LT175*(VLOOKUP($LR$9,各项系数!$D$1:$F$143,2,0))</f>
        <v>1.6323412986227697</v>
      </c>
      <c r="LV175" s="227">
        <f t="shared" si="661"/>
        <v>22.875979489999999</v>
      </c>
      <c r="LW175" s="227">
        <f t="shared" si="662"/>
        <v>22.875979489999999</v>
      </c>
      <c r="LX175" s="227">
        <f t="shared" si="663"/>
        <v>5.3969066798693603</v>
      </c>
      <c r="LY175" s="227">
        <f t="shared" si="664"/>
        <v>0</v>
      </c>
      <c r="LZ175" s="374">
        <f t="shared" si="608"/>
        <v>1</v>
      </c>
      <c r="MA175" s="375">
        <f t="shared" si="609"/>
        <v>22.875979489999999</v>
      </c>
      <c r="MB175" s="375">
        <f t="shared" si="665"/>
        <v>1.34922667</v>
      </c>
      <c r="MC175" s="227">
        <f t="shared" si="666"/>
        <v>0</v>
      </c>
      <c r="MD175" s="227">
        <f t="shared" si="667"/>
        <v>0</v>
      </c>
      <c r="ME175" s="227">
        <f t="shared" si="668"/>
        <v>0</v>
      </c>
      <c r="MF175" s="227">
        <f t="shared" si="669"/>
        <v>0</v>
      </c>
      <c r="MG175" s="374">
        <f t="shared" si="670"/>
        <v>1</v>
      </c>
      <c r="MH175" s="375">
        <f t="shared" si="610"/>
        <v>0</v>
      </c>
      <c r="MI175" s="375">
        <f t="shared" si="671"/>
        <v>0</v>
      </c>
      <c r="MJ175" s="189">
        <f t="shared" si="611"/>
        <v>1.34922667</v>
      </c>
      <c r="MK175" s="189">
        <f t="shared" si="672"/>
        <v>1.34922667</v>
      </c>
      <c r="ML175" s="189">
        <f t="shared" si="795"/>
        <v>0</v>
      </c>
      <c r="MM175" s="189">
        <f t="shared" si="612"/>
        <v>0</v>
      </c>
      <c r="MN175" s="189">
        <f t="shared" si="613"/>
        <v>2.7492266699999997</v>
      </c>
      <c r="MO175" s="189">
        <f t="shared" si="673"/>
        <v>0</v>
      </c>
      <c r="MP175" s="189">
        <f t="shared" si="674"/>
        <v>12.92136535</v>
      </c>
      <c r="MQ175" s="189">
        <f t="shared" si="796"/>
        <v>12.92136535</v>
      </c>
      <c r="MR175" s="246">
        <f t="shared" si="675"/>
        <v>12.92136535</v>
      </c>
      <c r="MS175" s="380">
        <f t="shared" si="614"/>
        <v>13.09736535</v>
      </c>
      <c r="MT175" s="380">
        <f t="shared" si="615"/>
        <v>13.257365350000001</v>
      </c>
      <c r="MU175" s="380">
        <f t="shared" si="616"/>
        <v>14.29736535</v>
      </c>
      <c r="MV175" s="380">
        <f t="shared" si="617"/>
        <v>16.697365350000002</v>
      </c>
      <c r="MW175" s="380">
        <f t="shared" si="618"/>
        <v>16.857365350000002</v>
      </c>
      <c r="MX175" s="254">
        <f t="shared" si="619"/>
        <v>1.9492266700000001</v>
      </c>
      <c r="MY175" s="254">
        <f t="shared" si="620"/>
        <v>0</v>
      </c>
      <c r="MZ175" s="189">
        <f t="shared" si="621"/>
        <v>3.3492266700000002</v>
      </c>
      <c r="NA175" s="189">
        <f t="shared" si="622"/>
        <v>0</v>
      </c>
      <c r="NB175" s="189">
        <f t="shared" si="676"/>
        <v>15.741365350000001</v>
      </c>
      <c r="NC175" s="254">
        <f t="shared" si="797"/>
        <v>15.741365350000001</v>
      </c>
      <c r="ND175" s="246">
        <f t="shared" si="677"/>
        <v>15.741365350000001</v>
      </c>
      <c r="NE175" s="386">
        <f t="shared" si="678"/>
        <v>15.981365350000001</v>
      </c>
      <c r="NF175" s="380">
        <f t="shared" si="623"/>
        <v>16.141365350000001</v>
      </c>
      <c r="NG175" s="387">
        <f t="shared" si="624"/>
        <v>17.18136535</v>
      </c>
      <c r="NH175" s="254">
        <f t="shared" si="625"/>
        <v>19.581365350000002</v>
      </c>
      <c r="NI175" s="380">
        <f t="shared" si="626"/>
        <v>19.741365350000002</v>
      </c>
      <c r="NK175" s="388">
        <f t="shared" si="627"/>
        <v>0.451193533101241</v>
      </c>
      <c r="NL175" s="388">
        <f t="shared" si="628"/>
        <v>15.568889675313006</v>
      </c>
      <c r="NM175" s="388">
        <f t="shared" si="629"/>
        <v>0.451193533101241</v>
      </c>
      <c r="NN175" s="388">
        <f t="shared" si="630"/>
        <v>15.692107138153204</v>
      </c>
      <c r="NO175" s="388">
        <f t="shared" si="631"/>
        <v>0.75727408083578651</v>
      </c>
      <c r="NP175" s="388">
        <f t="shared" si="632"/>
        <v>17.181916610375055</v>
      </c>
      <c r="NQ175" s="388">
        <f t="shared" si="633"/>
        <v>0.75727408083578651</v>
      </c>
      <c r="NR175" s="388">
        <f t="shared" si="634"/>
        <v>17.328987899343723</v>
      </c>
      <c r="NS175" s="388">
        <f t="shared" si="635"/>
        <v>0.46960011539828972</v>
      </c>
      <c r="NT175" s="388">
        <f t="shared" si="636"/>
        <v>0.46960011539828972</v>
      </c>
      <c r="NU175" s="388">
        <f t="shared" si="637"/>
        <v>0.77970913027590405</v>
      </c>
      <c r="NV175" s="388">
        <f t="shared" si="638"/>
        <v>0.77970913027590405</v>
      </c>
      <c r="NW175">
        <f t="shared" si="639"/>
        <v>0.65208800985703497</v>
      </c>
      <c r="NX175">
        <f>各项系数!$M$9*NK175</f>
        <v>0.13535805993037228</v>
      </c>
      <c r="NY175">
        <f t="shared" si="640"/>
        <v>0.46960011539828972</v>
      </c>
    </row>
    <row r="176" spans="1:389" ht="15" hidden="1" customHeight="1">
      <c r="A176" s="69"/>
      <c r="B176" s="70"/>
      <c r="C176" s="69"/>
      <c r="D176" s="102" t="s">
        <v>403</v>
      </c>
      <c r="E176" s="61">
        <f t="shared" si="805"/>
        <v>17.522133350000001</v>
      </c>
      <c r="F176" s="62">
        <f t="shared" si="798"/>
        <v>134.922667214547</v>
      </c>
      <c r="G176" s="16"/>
      <c r="H176" s="16"/>
      <c r="I176" s="145">
        <v>0</v>
      </c>
      <c r="J176" s="16"/>
      <c r="K176" s="16"/>
      <c r="L176" s="97" t="s">
        <v>469</v>
      </c>
      <c r="M176" s="103">
        <f t="shared" si="582"/>
        <v>0.7</v>
      </c>
      <c r="N176" s="103">
        <f t="shared" si="804"/>
        <v>0</v>
      </c>
      <c r="O176" s="53">
        <f t="shared" si="801"/>
        <v>0.08</v>
      </c>
      <c r="P176" s="99">
        <v>0.1</v>
      </c>
      <c r="Q176" s="133">
        <f t="shared" si="806"/>
        <v>0.1</v>
      </c>
      <c r="R176" s="406">
        <v>0.8</v>
      </c>
      <c r="S176" s="142" t="str">
        <f>各项系数!$D$43</f>
        <v>钢带</v>
      </c>
      <c r="T176" s="102">
        <v>0.2</v>
      </c>
      <c r="U176" s="62">
        <v>4</v>
      </c>
      <c r="V176" s="143"/>
      <c r="W176" s="141">
        <f t="shared" ref="W176:W181" si="818">$W$175</f>
        <v>1.8</v>
      </c>
      <c r="X176" s="135">
        <f t="shared" si="807"/>
        <v>0.2</v>
      </c>
      <c r="Y176" s="135"/>
      <c r="Z176" s="168"/>
      <c r="AA176" s="153">
        <v>1</v>
      </c>
      <c r="AB176" s="153">
        <f>PI()*EJ176*EJ176/4*EH176*(1-H176)*AA176*各项系数!$F$5*各项系数!$J$4*10^-7</f>
        <v>1.2646913814443796E-2</v>
      </c>
      <c r="AC176" s="153">
        <f t="shared" si="808"/>
        <v>134.922667214547</v>
      </c>
      <c r="AD176" s="153">
        <f t="shared" si="584"/>
        <v>1.4297487227412424</v>
      </c>
      <c r="AE176" s="153">
        <f>POWER(4*EU176/PI()/EG176/10^-7/EH176/(1-H176)/各项系数!$F$5/各项系数!$J$4,0.5)</f>
        <v>134.922667214547</v>
      </c>
      <c r="AF176" s="69">
        <v>1</v>
      </c>
      <c r="AG176" s="69">
        <f>IF(EM176=0,0,PI()*ER176*ER176/4*EP176*(1-K176)*(1+AF176)*各项系数!$F$5*各项系数!$J$4*10^-7)</f>
        <v>0</v>
      </c>
      <c r="AH176" s="69">
        <f t="shared" si="809"/>
        <v>0</v>
      </c>
      <c r="AI176" s="69">
        <f t="shared" si="641"/>
        <v>0</v>
      </c>
      <c r="AJ176" s="69">
        <f>IF(OR(EP176="",EP176=0),0,POWER(4*EW176/PI()/EO176/10^-7/EP176/(1-K176)/各项系数!$F$5/各项系数!$J$4,0.5))</f>
        <v>0</v>
      </c>
      <c r="AK176" s="69" t="str">
        <f t="shared" si="585"/>
        <v>√</v>
      </c>
      <c r="AL176" s="69">
        <f t="shared" si="810"/>
        <v>19.333721083080146</v>
      </c>
      <c r="AM176" s="188">
        <f t="shared" si="811"/>
        <v>1.5</v>
      </c>
      <c r="AN176" s="97" t="s">
        <v>486</v>
      </c>
      <c r="AO176" s="196">
        <f>AP176+各项系数!$M$9*$NK176</f>
        <v>18.954628512823671</v>
      </c>
      <c r="AP176" s="196">
        <f>AQ176*(1+$BI176+(VLOOKUP($AM176,$A$12:$B$323,2,0))+各项系数!$J$6+各项系数!$M$5)*(1+$E$2)</f>
        <v>18.801526588571456</v>
      </c>
      <c r="AQ176" s="197">
        <f>AR176+各项系数!$L$9*$NK176</f>
        <v>18.995278428542587</v>
      </c>
      <c r="AR176" s="197">
        <f>AS176*(1+$BJ176+各项系数!$J$5+各项系数!$L$5)</f>
        <v>18.842176504290371</v>
      </c>
      <c r="AS176" s="197">
        <f t="shared" si="642"/>
        <v>18.293375246883855</v>
      </c>
      <c r="AT176" s="196">
        <f>AU176+各项系数!$M$9*$NM176</f>
        <v>19.851984343357461</v>
      </c>
      <c r="AU176" s="196">
        <f>AV176*(1+$BI176+(VLOOKUP($AM176,$A$12:$B$323,2,0))+各项系数!$J$6+各项系数!$M$5)*(1+$E$2)</f>
        <v>19.698882419105246</v>
      </c>
      <c r="AV176" s="197">
        <f>AW176+各项系数!$L$9*$NM176</f>
        <v>19.901881611542983</v>
      </c>
      <c r="AW176" s="197">
        <f>AX176*(1+$BJ176+各项系数!$J$5+各项系数!$L$5)</f>
        <v>19.748779687290767</v>
      </c>
      <c r="AX176" s="197">
        <f t="shared" si="643"/>
        <v>19.173572511932782</v>
      </c>
      <c r="AY176" s="196">
        <f>AZ176+各项系数!$M$9*$NS176</f>
        <v>20.325740304171788</v>
      </c>
      <c r="AZ176" s="196">
        <f>BA176*(1+$BI176+(VLOOKUP($AM176,$A$12:$B$214,2,0))+各项系数!$J$6+各项系数!$M$5)*(1+$E$2)</f>
        <v>20.166770786216379</v>
      </c>
      <c r="BA176" s="197">
        <f>BB176+各项系数!$L$9*$NS176</f>
        <v>20.374591620748006</v>
      </c>
      <c r="BB176" s="197">
        <f>BC176*(1+$BJ176+各项系数!$J$5+各项系数!$L$5)</f>
        <v>20.215622102792597</v>
      </c>
      <c r="BC176" s="199">
        <f t="shared" si="644"/>
        <v>19.626817575526793</v>
      </c>
      <c r="BD176" s="196">
        <f>BE176+各项系数!$M$9*$NS176</f>
        <v>21.232228288064743</v>
      </c>
      <c r="BE176" s="196">
        <f>BF176*(1+$BI176+(VLOOKUP($AM176,$A$12:$B$214,2,0))+各项系数!$J$6+各项系数!$M$5)*(1+$E$2)</f>
        <v>21.073258770109334</v>
      </c>
      <c r="BF176" s="197">
        <f>BG176+各项系数!$L$9*$NS176</f>
        <v>21.290421064972048</v>
      </c>
      <c r="BG176" s="197">
        <f>BH176*(1+$BJ176+各项系数!$J$5+各项系数!$L$5)</f>
        <v>21.131451547016638</v>
      </c>
      <c r="BH176" s="199">
        <f t="shared" si="645"/>
        <v>20.515972375744308</v>
      </c>
      <c r="BI176" s="213"/>
      <c r="BJ176" s="208">
        <f t="shared" si="800"/>
        <v>0.01</v>
      </c>
      <c r="BK176" s="102" t="s">
        <v>514</v>
      </c>
      <c r="BL176" s="196">
        <f>BM176+各项系数!$M$9*$NM176</f>
        <v>19.269557646937219</v>
      </c>
      <c r="BM176" s="196">
        <f>BN176*(1+$CF176+(VLOOKUP($AM176,$A$12:$B$323,2,0))+各项系数!$J$6+各项系数!$M$5)*(1+$E$2)</f>
        <v>19.116455722685004</v>
      </c>
      <c r="BN176" s="197">
        <f>BO176+各项系数!$L$9*$NM176</f>
        <v>19.31345294270055</v>
      </c>
      <c r="BO176" s="197">
        <f>BP176*(1+$CG176+各项系数!$J$5+各项系数!$L$5)</f>
        <v>19.160351018448335</v>
      </c>
      <c r="BP176" s="197">
        <f t="shared" si="646"/>
        <v>18.423414440815705</v>
      </c>
      <c r="BQ176" s="196">
        <f>BR176+各项系数!$M$9*$NM176</f>
        <v>20.041764364080571</v>
      </c>
      <c r="BR176" s="196">
        <f>BS176*(1+$CF176+(VLOOKUP($AM176,$A$12:$B$323,2,0))+各项系数!$J$6+各项系数!$M$5)*(1+$E$2)</f>
        <v>19.888662439828355</v>
      </c>
      <c r="BS176" s="197">
        <f>BT176+各项系数!$L$9*$NM176</f>
        <v>20.093617336662309</v>
      </c>
      <c r="BT176" s="197">
        <f>BU176*(1+$CG176+各项系数!$J$5+各项系数!$L$5)</f>
        <v>19.940515412410093</v>
      </c>
      <c r="BU176" s="197">
        <f t="shared" si="647"/>
        <v>19.173572511932782</v>
      </c>
      <c r="BV176" s="196">
        <f>BW176+各项系数!$M$9*$NT176</f>
        <v>20.506061209191827</v>
      </c>
      <c r="BW176" s="196">
        <f>BX176*(1+$CF176+(VLOOKUP($AM176,$A$12:$B$214,2,0))+各项系数!$J$6+各项系数!$M$5)*(1+$E$2)</f>
        <v>20.347091691236418</v>
      </c>
      <c r="BX176" s="197">
        <f>BY176+各项系数!$L$9*$NT$12</f>
        <v>20.556770752916162</v>
      </c>
      <c r="BY176" s="197">
        <f>BZ176*(1+$CG176+各项系数!$J$5+各项系数!$L$5)</f>
        <v>20.548507349761188</v>
      </c>
      <c r="BZ176" s="199">
        <f t="shared" si="586"/>
        <v>19.758180144001141</v>
      </c>
      <c r="CA176" s="196">
        <f>CB176+各项系数!$M$9*$NT176</f>
        <v>21.286126470210391</v>
      </c>
      <c r="CB176" s="196">
        <f>CC176*(1+$CF176+(VLOOKUP($AM176,$A$12:$B$214,2,0))+各项系数!$J$6+各项系数!$M$5)*(1+$E$2)</f>
        <v>21.127156952254982</v>
      </c>
      <c r="CC176" s="197">
        <f>CD176+各项系数!$L$9*$NT$12</f>
        <v>21.344874673929056</v>
      </c>
      <c r="CD176" s="197">
        <f>CE176*(1+$CG176+各项系数!$J$5+各项系数!$L$5)</f>
        <v>21.336611270774082</v>
      </c>
      <c r="CE176" s="199">
        <f t="shared" si="648"/>
        <v>20.515972375744308</v>
      </c>
      <c r="CF176" s="213">
        <f t="shared" si="753"/>
        <v>0</v>
      </c>
      <c r="CG176" s="213">
        <f t="shared" si="587"/>
        <v>0.02</v>
      </c>
      <c r="CH176" s="102"/>
      <c r="CI176" s="196">
        <f>CJ176+各项系数!$M$9*$NO176</f>
        <v>21.18033481432688</v>
      </c>
      <c r="CJ176" s="196">
        <f>CK176*(1+$DC176+(VLOOKUP($AM176,$A$12:$B$323,2,0))+各项系数!$J$6+各项系数!$M$5)*(1+$E$2)+各项系数!$M$9*$NK176</f>
        <v>20.93259995135379</v>
      </c>
      <c r="CK176" s="197">
        <f>CL176+各项系数!$L$9*$NO176</f>
        <v>20.993633084564127</v>
      </c>
      <c r="CL176" s="197">
        <f>CM176*(1+$DD176+各项系数!$J$5+各项系数!$L$5)</f>
        <v>20.745898221591037</v>
      </c>
      <c r="CM176" s="197">
        <f t="shared" si="588"/>
        <v>20.14164875882625</v>
      </c>
      <c r="CN176" s="196">
        <f>CO176+各项系数!$M$9*$NO176</f>
        <v>21.819324129144984</v>
      </c>
      <c r="CO176" s="196">
        <f>CP176*(1+$DC176+(VLOOKUP($AM176,$A$12:$B$323,2,0))+各项系数!$J$6+各项系数!$M$5)*(1+$E$2)+各项系数!$M$9*$NK176</f>
        <v>21.571589266171895</v>
      </c>
      <c r="CP176" s="197">
        <f>CQ176+各项系数!$L$9*$NO176</f>
        <v>21.639207255930167</v>
      </c>
      <c r="CQ176" s="197">
        <f>CR176*(1+$DD176+各项系数!$J$5+各项系数!$L$5)</f>
        <v>21.391472392957077</v>
      </c>
      <c r="CR176" s="197">
        <f t="shared" si="589"/>
        <v>20.768419798987452</v>
      </c>
      <c r="CS176" s="196">
        <f>CT176+各项系数!$M$9*$NU176</f>
        <v>22.695424260812445</v>
      </c>
      <c r="CT176" s="196">
        <f t="shared" si="590"/>
        <v>22.440537834996803</v>
      </c>
      <c r="CU176" s="197">
        <f>CV176+各项系数!$L$9*$NU176</f>
        <v>22.671790093955146</v>
      </c>
      <c r="CV176" s="197">
        <f>CW176*(1+$DD176+各项系数!$J$5+各项系数!$L$5)</f>
        <v>22.416903668139504</v>
      </c>
      <c r="CW176" s="199">
        <f t="shared" si="591"/>
        <v>21.763984143824761</v>
      </c>
      <c r="CX176" s="196">
        <f>CY176+各项系数!$M$9*$NU176</f>
        <v>23.776792981533362</v>
      </c>
      <c r="CY176" s="196">
        <f t="shared" si="592"/>
        <v>23.52190655571772</v>
      </c>
      <c r="CZ176" s="197">
        <f>DA176+各项系数!$L$9*$NU176</f>
        <v>23.764302440611964</v>
      </c>
      <c r="DA176" s="197">
        <f>DB176*(1+$DD176+各项系数!$J$5+各项系数!$L$5)</f>
        <v>23.509416014796322</v>
      </c>
      <c r="DB176" s="199">
        <f t="shared" si="593"/>
        <v>22.8246757425207</v>
      </c>
      <c r="DC176" s="213">
        <f t="shared" si="803"/>
        <v>0</v>
      </c>
      <c r="DD176" s="213">
        <f t="shared" si="594"/>
        <v>0.01</v>
      </c>
      <c r="DE176" s="53" t="s">
        <v>498</v>
      </c>
      <c r="DF176" s="53" t="s">
        <v>513</v>
      </c>
      <c r="DG176" s="196">
        <f>DH176+各项系数!$M$9*$NQ176</f>
        <v>21.539645652510604</v>
      </c>
      <c r="DH176" s="196">
        <f>DI176*(1+$EA176+(VLOOKUP($AM176,$A$12:$B$323,2,0))+各项系数!$J$6+各项系数!$M$5)*(1+$E$2)+各项系数!$M$9*$NK176</f>
        <v>21.291910789537514</v>
      </c>
      <c r="DI176" s="197">
        <f>DJ176+各项系数!$L$9*$NQ176</f>
        <v>21.356646661229842</v>
      </c>
      <c r="DJ176" s="197">
        <f>DK176*(1+$EB176+各项系数!$J$5+各项系数!$L$5)</f>
        <v>21.108911798256752</v>
      </c>
      <c r="DK176" s="197">
        <f t="shared" si="595"/>
        <v>20.297030575246875</v>
      </c>
      <c r="DL176" s="196">
        <f>DM176+各项系数!$M$9*$NQ176</f>
        <v>22.462343484864295</v>
      </c>
      <c r="DM176" s="196">
        <f>DN176*(1+$EA176+(VLOOKUP($AM176,$A$12:$B$323,2,0))+各项系数!$J$6+各项系数!$M$5)*(1+$E$2)+各项系数!$M$9*$NK176</f>
        <v>22.214608621891205</v>
      </c>
      <c r="DN176" s="197">
        <f>DO176+各项系数!$L$9*$NQ176</f>
        <v>22.28885299822084</v>
      </c>
      <c r="DO176" s="197">
        <f>DP176*(1+$EB176+各项系数!$J$5+各项系数!$L$5)</f>
        <v>22.04111813524775</v>
      </c>
      <c r="DP176" s="197">
        <f t="shared" si="596"/>
        <v>21.193382822353605</v>
      </c>
      <c r="DQ176" s="196">
        <f>DR176+各项系数!$M$9*$NV176</f>
        <v>23.072155245803927</v>
      </c>
      <c r="DR176" s="196">
        <f t="shared" si="597"/>
        <v>22.817268819988286</v>
      </c>
      <c r="DS176" s="197">
        <f>DT176+各项系数!$L$9*$NV176</f>
        <v>23.052403333995034</v>
      </c>
      <c r="DT176" s="197">
        <f>DU176*(1+$EB176+各项系数!$J$5+各项系数!$L$5)</f>
        <v>22.797516908179393</v>
      </c>
      <c r="DU176" s="199">
        <f t="shared" si="598"/>
        <v>21.920689334787877</v>
      </c>
      <c r="DV176" s="196">
        <f>DW176+各项系数!$M$9*$NV176</f>
        <v>22.568494089640051</v>
      </c>
      <c r="DW176" s="196">
        <f t="shared" si="599"/>
        <v>22.31360766382441</v>
      </c>
      <c r="DX176" s="197">
        <f>DY176+各项系数!$L$9*$NV176</f>
        <v>22.543551893134378</v>
      </c>
      <c r="DY176" s="197">
        <f>DZ176*(1+$EB176+各项系数!$J$5+各项系数!$L$5)</f>
        <v>22.288665467318737</v>
      </c>
      <c r="DZ176" s="199">
        <f t="shared" si="600"/>
        <v>21.431409103191093</v>
      </c>
      <c r="EA176" s="213">
        <f t="shared" si="802"/>
        <v>0</v>
      </c>
      <c r="EB176" s="213">
        <f t="shared" si="601"/>
        <v>0.02</v>
      </c>
      <c r="EC176" s="235">
        <f t="shared" si="649"/>
        <v>19</v>
      </c>
      <c r="ED176" s="235" t="str">
        <f t="shared" si="756"/>
        <v>19*1.5</v>
      </c>
      <c r="EE176" s="189">
        <f t="shared" si="812"/>
        <v>1.5</v>
      </c>
      <c r="EF176" s="189">
        <f>LOOKUP(EH176,{1,7,10,14,19,24,30,37,48,61},{1,"1+6","2+8","4+10","1+6+12","2+8+14","4+10+16","1+6+12+18","3+9+15+21","1+6+12+18+24"})</f>
        <v>1</v>
      </c>
      <c r="EG176" s="188">
        <f t="shared" si="602"/>
        <v>19</v>
      </c>
      <c r="EH176" s="197">
        <f>VLOOKUP(EE176,各项系数!$B$87:$C$124,2,0)</f>
        <v>1</v>
      </c>
      <c r="EI176" s="188">
        <f>IF(EH176=0,0,VLOOKUP(EH176,各项系数!$D$142:$E$195,2,0))*1</f>
        <v>1</v>
      </c>
      <c r="EJ176" s="238">
        <f t="shared" si="650"/>
        <v>134.922667214547</v>
      </c>
      <c r="EK176" s="189">
        <f t="shared" si="813"/>
        <v>0</v>
      </c>
      <c r="EL176" s="189">
        <f t="shared" si="603"/>
        <v>0</v>
      </c>
      <c r="EM176" s="189">
        <f t="shared" si="814"/>
        <v>0</v>
      </c>
      <c r="EN176" s="189">
        <f>IF(EP176=0,0,LOOKUP(EP176,{1,7,10,14,19,24,30,37,48,61},{1,"1+6","2+8","4+10","1+6+12","2+8+14","4+10+16","1+6+12+18","3+9+15+21","1+6+12+18+24"}))</f>
        <v>0</v>
      </c>
      <c r="EO176" s="189">
        <f t="shared" si="815"/>
        <v>0</v>
      </c>
      <c r="EP176" s="189">
        <f>IF(EM176=0,0,IF(EM176&lt;10,1,IF(AND(EM176&gt;=10,EM176&lt;=35),7,LOOKUP(EM176,{50,70,95,120,150,185,240,300},{10,14,19,24,30,37,48,61})*1)))</f>
        <v>0</v>
      </c>
      <c r="EQ176" s="189">
        <f>IF(EP176=0,0,VLOOKUP(EP176,各项系数!$D$142:$E$195,2,0))*1</f>
        <v>0</v>
      </c>
      <c r="ER176" s="53">
        <f t="shared" si="816"/>
        <v>0</v>
      </c>
      <c r="ES176" s="412">
        <f t="shared" si="817"/>
        <v>19</v>
      </c>
      <c r="ET176" s="189">
        <f>VLOOKUP(ES176,各项系数!$D$142:$E$195,2,0)*1</f>
        <v>5</v>
      </c>
      <c r="EU176" s="243">
        <f>((各项系数!$F$76/4*$EJ176^2*$EG176*$EH176*1*10^-7)*(1-$H176)*AA176)*(VLOOKUP($EY$9,各项系数!$D$4:$F$143,3,0))*各项系数!$J$4</f>
        <v>0.24029136247443211</v>
      </c>
      <c r="EV176" s="244">
        <f>EU176*(VLOOKUP($EY$9,各项系数!$D$4:$F$143,2,0))</f>
        <v>15.739084242075304</v>
      </c>
      <c r="EW176" s="252">
        <f>(IF($EO176=0,0,(各项系数!$F$76/4*$ER176^2*$EO176*$EP176*1*10^-7))*(1-$K176)*$AF176)*(VLOOKUP($EY$9,各项系数!$D$4:$F$143,3,0))*各项系数!$J$4</f>
        <v>0</v>
      </c>
      <c r="EX176" s="253">
        <f>EW176*(VLOOKUP($EY$9,各项系数!$D$4:$F$143,2,0))</f>
        <v>0</v>
      </c>
      <c r="EY176" s="189">
        <f>((各项系数!$F$76/4*$EJ176^2*$EG176*$EH176*1*10^-7)*(1-$H176)*AA176+IF($EO176=0,0,(各项系数!$F$76/4*$ER176^2*$EO176*$EP176*1*10^-7))*(1-$K176)*$AF176)*(VLOOKUP($EY$9,各项系数!$D$4:$F$143,3,0))*各项系数!$J$4</f>
        <v>0.24029136247443211</v>
      </c>
      <c r="EZ176" s="102">
        <v>1</v>
      </c>
      <c r="FA176" s="189">
        <f t="shared" si="757"/>
        <v>0.24029136247443211</v>
      </c>
      <c r="FB176" s="254">
        <f>FA176*(VLOOKUP($EY$9,各项系数!$D$4:$F$143,2,0))</f>
        <v>15.739084242075304</v>
      </c>
      <c r="FC176" s="255"/>
      <c r="FD176" s="235">
        <f>各项系数!$F$76/4*($MN176^2-MK176^2)*10^-2*(VLOOKUP(L176,各项系数!$D$1:$F$143,3,0))*10^-3*10^2*$EG176*各项系数!$J$4</f>
        <v>9.3714604999624876E-2</v>
      </c>
      <c r="FE176" s="262">
        <f>FD176*VLOOKUP(L176,各项系数!$D$1:$F$143,2,0)</f>
        <v>1.0777179574956861</v>
      </c>
      <c r="FF176" s="188">
        <f>各项系数!$F$76/4*($MO176^2-ML176^2)*10^-2*(VLOOKUP(L176,各项系数!$D$1:$F$143,3,0))*10^-3*10^2*$EO176*各项系数!$J$4</f>
        <v>0</v>
      </c>
      <c r="FG176" s="262">
        <f>FF176*VLOOKUP(L176,各项系数!$D$1:$F$143,2,0)</f>
        <v>0</v>
      </c>
      <c r="FH176" s="235">
        <f t="shared" si="651"/>
        <v>9.3714604999624876E-2</v>
      </c>
      <c r="FI176" s="102">
        <v>1</v>
      </c>
      <c r="FJ176" s="189">
        <f t="shared" si="758"/>
        <v>9.3714604999624876E-2</v>
      </c>
      <c r="FK176" s="262">
        <f>FJ176*VLOOKUP(L176,各项系数!$D$1:$F$143,2,0)</f>
        <v>1.0777179574956861</v>
      </c>
      <c r="FL176" s="235"/>
      <c r="FM176" s="102"/>
      <c r="FN176" s="189"/>
      <c r="FO176" s="262"/>
      <c r="FP176" s="282">
        <f t="shared" si="759"/>
        <v>9.3714604999624876E-2</v>
      </c>
      <c r="FQ176" s="282">
        <f t="shared" si="760"/>
        <v>1.0777179574956861</v>
      </c>
      <c r="FR176" s="283">
        <f>各项系数!$F$76/4*($MQ176^2-$MN176^2*$EG176-$MO176^2*$EO176)*10^-2</f>
        <v>0.35617401207616889</v>
      </c>
      <c r="FS176" s="284">
        <f t="shared" si="652"/>
        <v>1</v>
      </c>
      <c r="FT176" s="285">
        <f t="shared" si="604"/>
        <v>0.35617401207616889</v>
      </c>
      <c r="FU176" s="302">
        <f>$FT176*(VLOOKUP($FT$9,各项系数!$D$1:$F$143,3,0))*10^-3*10^2*各项系数!$J$55</f>
        <v>4.2527177041894564E-2</v>
      </c>
      <c r="FV176" s="303">
        <v>1</v>
      </c>
      <c r="FW176" s="304">
        <f t="shared" si="761"/>
        <v>4.2527177041894564E-2</v>
      </c>
      <c r="FX176" s="285">
        <f>FW176*(VLOOKUP($FT$9,各项系数!$D$1:$F$143,2,0))</f>
        <v>0.12758153112568368</v>
      </c>
      <c r="FY176" s="302">
        <f>IF($BK176&lt;&gt;$FY$9,0,各项系数!$F$76/4*($MS176^2-$MQ176^2)*10^-2*(VLOOKUP($FY$9,各项系数!$D$1:$F$143,3,0))*10^-3*10^2)*各项系数!$J$4</f>
        <v>0</v>
      </c>
      <c r="FZ176" s="303">
        <v>1</v>
      </c>
      <c r="GA176" s="304">
        <f t="shared" si="762"/>
        <v>0</v>
      </c>
      <c r="GB176" s="285">
        <f>GA176*(VLOOKUP($FY$9,各项系数!$D$1:$F$143,2,0))</f>
        <v>0</v>
      </c>
      <c r="GC176" s="302">
        <f>IF($BK176&lt;&gt;$GC$9,0,各项系数!$F$76/4*($MS176^2-$MQ176^2)*10^-2*(VLOOKUP($GC$9,各项系数!$D$1:$F$143,3,0))*10^-3*10^2)*各项系数!$J$4</f>
        <v>3.7674090595864172E-3</v>
      </c>
      <c r="GD176" s="303">
        <v>1</v>
      </c>
      <c r="GE176" s="304">
        <f t="shared" si="763"/>
        <v>3.7674090595864172E-3</v>
      </c>
      <c r="GF176" s="285">
        <f>GE176*(VLOOKUP($GC$9,各项系数!$D$1:$F$143,2,0))</f>
        <v>4.8599576868664784E-2</v>
      </c>
      <c r="GG176" s="302">
        <f>IF($BK176&lt;&gt;$GG$9,0,各项系数!$F$76/4*($MS176^2-$MQ176^2)*10^-2*(VLOOKUP($GG$9,各项系数!$D$1:$F$143,3,0))*10^-3*10^2)*各项系数!$J$4</f>
        <v>0</v>
      </c>
      <c r="GH176" s="303">
        <v>1</v>
      </c>
      <c r="GI176" s="304">
        <f t="shared" si="764"/>
        <v>0</v>
      </c>
      <c r="GJ176" s="285">
        <f>GI176*(VLOOKUP($GG$9,各项系数!$D$1:$F$143,2,0))</f>
        <v>0</v>
      </c>
      <c r="GK176" s="302">
        <f>IF($BK176&lt;&gt;$GK$9,0,各项系数!$F$76/4*($MS176^2-$MQ176^2)*10^-2*(VLOOKUP($GK$9,各项系数!$D$1:$F$143,3,0))*10^-3*10^2)*各项系数!$J$4</f>
        <v>0</v>
      </c>
      <c r="GL176" s="303">
        <v>1</v>
      </c>
      <c r="GM176" s="304">
        <f t="shared" si="765"/>
        <v>0</v>
      </c>
      <c r="GN176" s="285">
        <f>GM176*(VLOOKUP($GK$9,各项系数!$D$1:$F$143,2,0))</f>
        <v>0</v>
      </c>
      <c r="GO176" s="304">
        <f t="shared" si="766"/>
        <v>3.7674090595864172E-3</v>
      </c>
      <c r="GP176" s="304">
        <f t="shared" si="767"/>
        <v>4.8599576868664784E-2</v>
      </c>
      <c r="GQ176" s="315">
        <f>各项系数!$F$76/4*($MU176^2-$MS176^2)*10^-2*(VLOOKUP($S176,各项系数!$D$1:$F$143,3,0))*10^-3*10^2*各项系数!$J$4</f>
        <v>0.21299106114053654</v>
      </c>
      <c r="GR176" s="303">
        <v>1</v>
      </c>
      <c r="GS176" s="304">
        <f t="shared" si="768"/>
        <v>0.21299106114053654</v>
      </c>
      <c r="GT176" s="304">
        <f t="shared" si="696"/>
        <v>0</v>
      </c>
      <c r="GU176" s="304">
        <f>ROUND($GS176*(VLOOKUP($S176,各项系数!$D$1:$F$143,2,0))+$E$3*GS176,GT176)</f>
        <v>1</v>
      </c>
      <c r="GV176" s="315">
        <f>各项系数!$F$76/4*($MT176^2-$MS176^2)*10^-2*(VLOOKUP($GV$9,各项系数!$D$1:$F$143,3,0))*10^-3*10^2*各项系数!$J$4*PI()/4*R176</f>
        <v>1.9558645677303591E-2</v>
      </c>
      <c r="GW176" s="303">
        <v>1</v>
      </c>
      <c r="GX176" s="304">
        <f t="shared" si="769"/>
        <v>1.9558645677303591E-2</v>
      </c>
      <c r="GY176" s="304">
        <f>$GX176*(VLOOKUP($GV$9,各项系数!$D$1:$F$143,2,0))</f>
        <v>1.3202085832179924</v>
      </c>
      <c r="GZ176" s="315">
        <f>各项系数!$F$76/4*($MV176^2-$MS176^2)*10^-2*(VLOOKUP($GZ$9,各项系数!$D$1:$F$143,3,0))*10^-3*10^2*各项系数!$J$4</f>
        <v>0.12826995319808479</v>
      </c>
      <c r="HA176" s="303">
        <v>1</v>
      </c>
      <c r="HB176" s="304">
        <f t="shared" si="653"/>
        <v>0.12826995319808479</v>
      </c>
      <c r="HC176" s="304">
        <f>HB176*(VLOOKUP($GZ$9,各项系数!$D$1:$F$143,2,0))</f>
        <v>2.1805892043674415</v>
      </c>
      <c r="HD176" s="315">
        <f>各项系数!$F$76/4*($MW176^2-$MT176^2)*10^-2*(VLOOKUP($HD$9,各项系数!$D$1:$F$143,3,0))*10^-3*10^2*各项系数!$J$4</f>
        <v>0.12957532264476315</v>
      </c>
      <c r="HE176" s="303">
        <v>1</v>
      </c>
      <c r="HF176" s="304">
        <f t="shared" si="654"/>
        <v>0.12957532264476315</v>
      </c>
      <c r="HG176" s="304">
        <f>HF176*(VLOOKUP($HD$9,各项系数!$D$1:$F$143,2,0))</f>
        <v>2.2027804849609738</v>
      </c>
      <c r="HH176" s="315">
        <f>各项系数!$F$76/4*($MV176^2-$MS176^2)*10^-2*(VLOOKUP($HH$9,各项系数!$D$1:$F$143,3,0))*10^-3*10^2*各项系数!$J$4</f>
        <v>0.12826995319808479</v>
      </c>
      <c r="HI176" s="322">
        <v>1</v>
      </c>
      <c r="HJ176" s="304">
        <f t="shared" si="655"/>
        <v>0.12826995319808479</v>
      </c>
      <c r="HK176" s="304">
        <f>HJ176*(VLOOKUP($HH$9,各项系数!$D$1:$F$143,2,0))</f>
        <v>2.1805892043674415</v>
      </c>
      <c r="HL176" s="315">
        <f>各项系数!$F$76/4*($MW176^2-$MT176^2)*10^-2*(VLOOKUP($HL$9,各项系数!$D$1:$F$143,3,0))*10^-3*10^2*各项系数!$J$4</f>
        <v>0.12957532264476315</v>
      </c>
      <c r="HM176" s="322">
        <v>1</v>
      </c>
      <c r="HN176" s="304">
        <f t="shared" si="605"/>
        <v>0.12957532264476315</v>
      </c>
      <c r="HO176" s="304">
        <f>HN176*(VLOOKUP($HL$9,各项系数!$D$1:$F$143,2,0))</f>
        <v>2.2027804849609738</v>
      </c>
      <c r="HP176" s="315">
        <f>各项系数!$F$76/4*($MV176^2-$MS176^2)*10^-2*(VLOOKUP(AN176,各项系数!$D$1:$F$143,3,0))*10^-3*10^2*各项系数!$J$4</f>
        <v>0.13003919393185148</v>
      </c>
      <c r="HQ176" s="303">
        <v>1</v>
      </c>
      <c r="HR176" s="304">
        <f t="shared" si="770"/>
        <v>0.13003919393185148</v>
      </c>
      <c r="HS176" s="304">
        <f>HR176*(VLOOKUP(AN176,各项系数!$D$1:$F$143,2,0))</f>
        <v>1.3003919393185148</v>
      </c>
      <c r="HT176" s="315">
        <f>各项系数!$F$76/4*($MW176^2-$MT176^2)*10^-2*(VLOOKUP(AN176,各项系数!$D$1:$F$143,3,0))*10^-3*10^2*各项系数!$J$4</f>
        <v>0.13136256847434608</v>
      </c>
      <c r="HU176" s="303">
        <v>1</v>
      </c>
      <c r="HV176" s="304">
        <f t="shared" si="771"/>
        <v>0.13136256847434608</v>
      </c>
      <c r="HW176" s="304">
        <f>HV176*(VLOOKUP(AN176,各项系数!$D$1:$F$143,2,0))</f>
        <v>1.3136256847434606</v>
      </c>
      <c r="HX176" s="315">
        <f>各项系数!$F$76/4*($MV176^2-$MS176^2)*10^-2*(VLOOKUP($HX$9,各项系数!$D$1:$F$143,3,0))*10^-3*10^2*各项系数!$J$4</f>
        <v>0.13003919393185148</v>
      </c>
      <c r="HY176" s="322">
        <v>1</v>
      </c>
      <c r="HZ176" s="304">
        <f t="shared" si="772"/>
        <v>0.13003919393185148</v>
      </c>
      <c r="IA176" s="304">
        <f>HZ176*(VLOOKUP($HX$9,各项系数!$D$1:$F$143,2,0))</f>
        <v>1.4304311332503663</v>
      </c>
      <c r="IB176" s="315">
        <f>各项系数!$F$76/4*($MW176^2-$MT176^2)*10^-2*(VLOOKUP($IB$9,各项系数!$D$1:$F$143,3,0))*10^-3*10^2*各项系数!$J$4</f>
        <v>0.13136256847434608</v>
      </c>
      <c r="IC176" s="322">
        <v>1</v>
      </c>
      <c r="ID176" s="304">
        <f t="shared" si="773"/>
        <v>0.13136256847434608</v>
      </c>
      <c r="IE176" s="304">
        <f>ID176*(VLOOKUP($IB$9,各项系数!$D$1:$F$143,2,0))</f>
        <v>1.4449882532178069</v>
      </c>
      <c r="IF176" s="328"/>
      <c r="IG176" s="315">
        <f t="shared" si="656"/>
        <v>4.4077750008230727E-2</v>
      </c>
      <c r="IH176" s="303">
        <v>1</v>
      </c>
      <c r="II176" s="304">
        <f t="shared" si="774"/>
        <v>4.4077750008230727E-2</v>
      </c>
      <c r="IJ176" s="304">
        <f>II176*(VLOOKUP($IG$8,各项系数!$D$1:$F$143,2,0))</f>
        <v>1.1019437502057683</v>
      </c>
      <c r="IK176" s="315">
        <f>(各项系数!$F$76/4*($MX176^2-$MK176^2)*$EG176)*10^-2*(VLOOKUP($IG$8,各项系数!$D$1:$F$143,3,0))*10^-3*10^2*各项系数!$J$4</f>
        <v>4.4077750008230727E-2</v>
      </c>
      <c r="IL176" s="303">
        <f>IK176*(VLOOKUP($IG$8,各项系数!$D$1:$F$143,2,0))</f>
        <v>1.1019437502057683</v>
      </c>
      <c r="IM176" s="304">
        <f>(各项系数!$F$76/4*(($MM176+3*$X176)^2-MM176^2)*$EO176)*10^-2*(VLOOKUP($IG$8,各项系数!$D$1:$F$143,3,0))*10^-3*10^2*各项系数!$J$4</f>
        <v>0</v>
      </c>
      <c r="IN176" s="303">
        <f>IM176*(VLOOKUP($IG$8,各项系数!$D$1:$F$143,2,0))</f>
        <v>0</v>
      </c>
      <c r="IO176" s="315">
        <f>各项系数!$F$76/4*($MZ176^2-$MX176^2)*10^-2*(VLOOKUP(L176,各项系数!$D$1:$F$143,3,0))*10^-3*10^2*$ES176*各项系数!$J$4</f>
        <v>0.12115362081127005</v>
      </c>
      <c r="IP176" s="303">
        <v>1</v>
      </c>
      <c r="IQ176" s="304">
        <f t="shared" si="775"/>
        <v>0.12115362081127005</v>
      </c>
      <c r="IR176" s="285">
        <f>IQ176*(VLOOKUP(L176,各项系数!$D$1:$F$143,2,0))</f>
        <v>1.3932666393296056</v>
      </c>
      <c r="IS176" s="315">
        <f>IF($L176&lt;&gt;$IS$9,0,各项系数!$F$76/4*($MZ176^2-$MX176^2)*10^-2*各项系数!$F$12*10^-3*10^2)*$ES176*各项系数!$J$4</f>
        <v>0</v>
      </c>
      <c r="IT176" s="303">
        <v>1</v>
      </c>
      <c r="IU176" s="304">
        <f t="shared" si="776"/>
        <v>0</v>
      </c>
      <c r="IV176" s="285">
        <f>IU176*各项系数!$E$12</f>
        <v>0</v>
      </c>
      <c r="IW176" s="302">
        <f t="shared" si="777"/>
        <v>0.12115362081127005</v>
      </c>
      <c r="IX176" s="302">
        <f t="shared" si="778"/>
        <v>1.3932666393296056</v>
      </c>
      <c r="IY176" s="339">
        <f>各项系数!$F$76/4*($NB176^2-$MZ176^2*$EG176-$NA176^2*$EO176)*10^-2</f>
        <v>0.52860371797700612</v>
      </c>
      <c r="IZ176" s="284">
        <f t="shared" si="697"/>
        <v>1</v>
      </c>
      <c r="JA176" s="285">
        <f t="shared" si="606"/>
        <v>0.52860371797700612</v>
      </c>
      <c r="JB176" s="282">
        <f>IF($DE176&lt;&gt;$JB$9,0,$JA176*各项系数!$F$32*10^-3*10^2)*各项系数!$J$4</f>
        <v>0</v>
      </c>
      <c r="JC176" s="102">
        <v>1</v>
      </c>
      <c r="JD176" s="189">
        <f t="shared" si="779"/>
        <v>0</v>
      </c>
      <c r="JE176" s="262">
        <f>JD176*各项系数!$E$32</f>
        <v>0</v>
      </c>
      <c r="JF176" s="282">
        <f>IF($DE176&lt;&gt;$JF$9,0,$JA176*VLOOKUP($JF$9,各项系数!$D$4:$F$540,2,0)*10^-3*10^2)*各项系数!$J$4</f>
        <v>0.26298034969356054</v>
      </c>
      <c r="JG176" s="102">
        <v>1</v>
      </c>
      <c r="JH176" s="189">
        <f t="shared" si="607"/>
        <v>0.26298034969356054</v>
      </c>
      <c r="JI176" s="262">
        <f>JH176*VLOOKUP($JF$9,各项系数!$D$4:$F$540,3,0)</f>
        <v>0.31557641963227262</v>
      </c>
      <c r="JJ176" s="282">
        <f t="shared" si="780"/>
        <v>0.26298034969356054</v>
      </c>
      <c r="JK176" s="189">
        <f t="shared" si="781"/>
        <v>0.31557641963227262</v>
      </c>
      <c r="JL176" s="282">
        <f>IF($DF176&lt;&gt;$JL$9,0,各项系数!$F$76/4*($NE176^2-$NC176^2)*10^-2*各项系数!$F$39*10^-3*10^2)*各项系数!$J$4</f>
        <v>1.8979771688528867E-3</v>
      </c>
      <c r="JM176" s="102">
        <v>1</v>
      </c>
      <c r="JN176" s="189">
        <f t="shared" si="782"/>
        <v>1.8979771688528867E-3</v>
      </c>
      <c r="JO176" s="262">
        <f>JN176*各项系数!$E$39</f>
        <v>3.7959543377057731E-2</v>
      </c>
      <c r="JP176" s="282">
        <f>IF($DF176&lt;&gt;$JP$9,0,各项系数!$F$76/4*($NE176^2-$NC176^2)*10^-2*各项系数!$F$36*10^-3*10^2)*各项系数!$J$4</f>
        <v>0</v>
      </c>
      <c r="JQ176" s="102">
        <v>1</v>
      </c>
      <c r="JR176" s="189">
        <f t="shared" si="783"/>
        <v>0</v>
      </c>
      <c r="JS176" s="262">
        <f>JR176*各项系数!$E$36</f>
        <v>0</v>
      </c>
      <c r="JT176" s="282">
        <f>IF($DF176&lt;&gt;$JT$9,0,各项系数!$F$76/4*($NE176^2-$NC176^2)*10^-2*各项系数!$F$40*10^-3*10^2)*各项系数!$J$4</f>
        <v>0</v>
      </c>
      <c r="JU176" s="102">
        <v>1</v>
      </c>
      <c r="JV176" s="189">
        <f t="shared" si="784"/>
        <v>0</v>
      </c>
      <c r="JW176" s="262">
        <f>JV176*各项系数!$E$40</f>
        <v>0</v>
      </c>
      <c r="JX176" s="282">
        <f>IF($DF176&lt;&gt;$JX$9,0,各项系数!$F$76/4*($NE176^2-$NC176^2)*10^-2*各项系数!$F$38*10^-3*10^2)*各项系数!$J$4</f>
        <v>0</v>
      </c>
      <c r="JY176" s="102">
        <v>1</v>
      </c>
      <c r="JZ176" s="189">
        <f t="shared" si="785"/>
        <v>0</v>
      </c>
      <c r="KA176" s="262">
        <f>JZ176*各项系数!$E$38</f>
        <v>0</v>
      </c>
      <c r="KB176" s="282">
        <f>IF($DF176&lt;&gt;$KB$9,0,各项系数!$F$76/4*($NE176^2-$NC176^2)*10^-2*各项系数!$F$41*10^-3*10^2)*各项系数!$J$4</f>
        <v>0</v>
      </c>
      <c r="KC176" s="102">
        <v>1</v>
      </c>
      <c r="KD176" s="189">
        <f t="shared" si="786"/>
        <v>0</v>
      </c>
      <c r="KE176" s="262">
        <f>KD176*各项系数!$E$41</f>
        <v>0</v>
      </c>
      <c r="KF176" s="189">
        <f t="shared" si="787"/>
        <v>1.8979771688528867E-3</v>
      </c>
      <c r="KG176" s="189">
        <f t="shared" si="788"/>
        <v>3.7959543377057731E-2</v>
      </c>
      <c r="KH176" s="235">
        <f>各项系数!$F$76/4*($NG176^2-$NE176^2)*10^-2*各项系数!$F$44*10^-3*10^2*各项系数!$J$4*0.75*$U176</f>
        <v>0.7737890391101826</v>
      </c>
      <c r="KI176" s="102">
        <v>1</v>
      </c>
      <c r="KJ176" s="189">
        <f t="shared" si="789"/>
        <v>0.7737890391101826</v>
      </c>
      <c r="KK176" s="189">
        <f>ROUND(KJ176*各项系数!$E$43,GT176)</f>
        <v>4</v>
      </c>
      <c r="KL176" s="235">
        <f>各项系数!$F$76/4*($NF176^2-$NE176^2)*10^-2*各项系数!$F$46*10^-3*10^2*各项系数!$J$4*PI()/4*R176</f>
        <v>2.3838542808497249E-2</v>
      </c>
      <c r="KM176" s="102">
        <v>1</v>
      </c>
      <c r="KN176" s="189">
        <f t="shared" si="790"/>
        <v>2.3838542808497249E-2</v>
      </c>
      <c r="KO176" s="189">
        <f>KN176*各项系数!$E$46</f>
        <v>1.6091016395735642</v>
      </c>
      <c r="KP176" s="235">
        <f>各项系数!$F$76/4*($NH176^2-$NE176^2)*10^-2*(VLOOKUP($KP$9,各项系数!$D$1:$F$143,3,0))*10^-3*10^2*各项系数!$J$4</f>
        <v>0.1532677781019762</v>
      </c>
      <c r="KQ176" s="102">
        <v>1</v>
      </c>
      <c r="KR176" s="189">
        <f t="shared" si="657"/>
        <v>0.1532677781019762</v>
      </c>
      <c r="KS176" s="189">
        <f>KR176*(VLOOKUP($KP$9,各项系数!$D$1:$F$143,2,0))</f>
        <v>2.6055522277335954</v>
      </c>
      <c r="KT176" s="235">
        <f>各项系数!$F$76/4*($NI176^2-$NF176^2)*10^-2*(VLOOKUP($KT$9,各项系数!$D$1:$F$143,3,0))*10^-3*10^2*各项系数!$J$4</f>
        <v>0.15457314754865462</v>
      </c>
      <c r="KU176" s="102">
        <v>1</v>
      </c>
      <c r="KV176" s="189">
        <f t="shared" si="658"/>
        <v>0.15457314754865462</v>
      </c>
      <c r="KW176" s="189">
        <f>KV176*(VLOOKUP($KT$9,各项系数!$D$1:$F$143,2,0))</f>
        <v>2.6277435083271286</v>
      </c>
      <c r="KX176" s="189">
        <f>各项系数!$F$76/4*($NH176^2-$NE176^2)*10^-2*(VLOOKUP($KX$9,各项系数!$D$1:$F$143,3,0))*10^-3*10^2*各项系数!$J$4</f>
        <v>0.1532677781019762</v>
      </c>
      <c r="KY176" s="353">
        <v>1</v>
      </c>
      <c r="KZ176" s="189">
        <f t="shared" si="659"/>
        <v>0.1532677781019762</v>
      </c>
      <c r="LA176" s="189">
        <f>KZ176*(VLOOKUP($KX$9,各项系数!$D$1:$F$143,2,0))</f>
        <v>2.6055522277335954</v>
      </c>
      <c r="LB176" s="189">
        <f>各项系数!$F$76/4*($NI176^2-$NF176^2)*10^-2*(VLOOKUP($LB$9,各项系数!$D$1:$F$143,3,0))*10^-3*10^2*各项系数!$J$4</f>
        <v>0.15457314754865462</v>
      </c>
      <c r="LC176" s="353">
        <v>1</v>
      </c>
      <c r="LD176" s="189">
        <f t="shared" si="660"/>
        <v>0.15457314754865462</v>
      </c>
      <c r="LE176" s="189">
        <f>LD176*(VLOOKUP($LB$9,各项系数!$D$1:$F$143,2,0))</f>
        <v>2.6277435083271286</v>
      </c>
      <c r="LF176" s="235">
        <f>各项系数!$F$76/4*($NH176^2-$NE176^2)*10^-2*(VLOOKUP(AN176,各项系数!$D$1:$F$143,3,0))*10^-3*10^2*各项系数!$J$4</f>
        <v>0.15538181642062412</v>
      </c>
      <c r="LG176" s="102">
        <v>1</v>
      </c>
      <c r="LH176" s="189">
        <f t="shared" si="791"/>
        <v>0.15538181642062412</v>
      </c>
      <c r="LI176" s="189">
        <f>LH176*(VLOOKUP(AN176,各项系数!$D$1:$F$143,2,0))</f>
        <v>1.5538181642062412</v>
      </c>
      <c r="LJ176" s="235">
        <f>各项系数!$F$76/4*($NI176^2-$NF176^2)*10^-2*(VLOOKUP(AN176,各项系数!$D$1:$F$143,3,0))*10^-3*10^2*各项系数!$J$4</f>
        <v>0.1567051909631188</v>
      </c>
      <c r="LK176" s="102">
        <v>1</v>
      </c>
      <c r="LL176" s="189">
        <f t="shared" si="792"/>
        <v>0.1567051909631188</v>
      </c>
      <c r="LM176" s="189">
        <f>LL176*(VLOOKUP(AN176,各项系数!$D$1:$F$143,2,0))</f>
        <v>1.5670519096311879</v>
      </c>
      <c r="LN176" s="189">
        <f>各项系数!$F$76/4*($NH176^2-$NE176^2)*10^-2*(VLOOKUP($LN$9,各项系数!$D$1:$F$143,3,0))*10^-3*10^2*各项系数!$J$4</f>
        <v>0.15538181642062412</v>
      </c>
      <c r="LO176" s="353">
        <v>1</v>
      </c>
      <c r="LP176" s="189">
        <f t="shared" si="793"/>
        <v>0.15538181642062412</v>
      </c>
      <c r="LQ176" s="189">
        <f>LP176*(VLOOKUP($LN$9,各项系数!$D$1:$F$143,2,0))</f>
        <v>1.7091999806268654</v>
      </c>
      <c r="LR176" s="189">
        <f>各项系数!$F$76/4*($NI176^2-$NF176^2)*10^-2*(VLOOKUP($LR$9,各项系数!$D$1:$F$143,3,0))*10^-3*10^2*各项系数!$J$4</f>
        <v>0.1567051909631188</v>
      </c>
      <c r="LS176" s="353">
        <v>1</v>
      </c>
      <c r="LT176" s="189">
        <f t="shared" si="794"/>
        <v>0.1567051909631188</v>
      </c>
      <c r="LU176" s="189">
        <f>LT176*(VLOOKUP($LR$9,各项系数!$D$1:$F$143,2,0))</f>
        <v>1.7237571005943069</v>
      </c>
      <c r="LV176" s="227">
        <f t="shared" si="661"/>
        <v>27.16522565</v>
      </c>
      <c r="LW176" s="227">
        <f t="shared" si="662"/>
        <v>27.16522565</v>
      </c>
      <c r="LX176" s="227">
        <f t="shared" si="663"/>
        <v>5.8811427069264326</v>
      </c>
      <c r="LY176" s="227">
        <f t="shared" si="664"/>
        <v>0</v>
      </c>
      <c r="LZ176" s="374">
        <f t="shared" si="608"/>
        <v>1</v>
      </c>
      <c r="MA176" s="375">
        <f t="shared" si="609"/>
        <v>27.16522565</v>
      </c>
      <c r="MB176" s="375">
        <f t="shared" si="665"/>
        <v>1.34922667</v>
      </c>
      <c r="MC176" s="227">
        <f t="shared" si="666"/>
        <v>0</v>
      </c>
      <c r="MD176" s="227">
        <f t="shared" si="667"/>
        <v>0</v>
      </c>
      <c r="ME176" s="227">
        <f t="shared" si="668"/>
        <v>0</v>
      </c>
      <c r="MF176" s="227">
        <f t="shared" si="669"/>
        <v>0</v>
      </c>
      <c r="MG176" s="374">
        <f t="shared" si="670"/>
        <v>1</v>
      </c>
      <c r="MH176" s="375">
        <f t="shared" si="610"/>
        <v>0</v>
      </c>
      <c r="MI176" s="375">
        <f t="shared" si="671"/>
        <v>0</v>
      </c>
      <c r="MJ176" s="189">
        <f t="shared" si="611"/>
        <v>1.34922667</v>
      </c>
      <c r="MK176" s="189">
        <f t="shared" si="672"/>
        <v>1.34922667</v>
      </c>
      <c r="ML176" s="189">
        <f t="shared" si="795"/>
        <v>0</v>
      </c>
      <c r="MM176" s="189">
        <f t="shared" si="612"/>
        <v>0</v>
      </c>
      <c r="MN176" s="189">
        <f t="shared" si="613"/>
        <v>2.7492266699999997</v>
      </c>
      <c r="MO176" s="189">
        <f t="shared" si="673"/>
        <v>0</v>
      </c>
      <c r="MP176" s="189">
        <f t="shared" si="674"/>
        <v>13.746133349999999</v>
      </c>
      <c r="MQ176" s="189">
        <f t="shared" si="796"/>
        <v>13.746133349999999</v>
      </c>
      <c r="MR176" s="246">
        <f t="shared" si="675"/>
        <v>13.746133349999999</v>
      </c>
      <c r="MS176" s="380">
        <f t="shared" si="614"/>
        <v>13.922133349999999</v>
      </c>
      <c r="MT176" s="380">
        <f t="shared" si="615"/>
        <v>14.082133349999999</v>
      </c>
      <c r="MU176" s="380">
        <f t="shared" si="616"/>
        <v>15.122133349999999</v>
      </c>
      <c r="MV176" s="380">
        <f t="shared" si="617"/>
        <v>17.522133350000001</v>
      </c>
      <c r="MW176" s="380">
        <f t="shared" si="618"/>
        <v>17.682133350000001</v>
      </c>
      <c r="MX176" s="254">
        <f t="shared" si="619"/>
        <v>1.9492266700000001</v>
      </c>
      <c r="MY176" s="254">
        <f t="shared" si="620"/>
        <v>0</v>
      </c>
      <c r="MZ176" s="189">
        <f t="shared" si="621"/>
        <v>3.3492266700000002</v>
      </c>
      <c r="NA176" s="189">
        <f t="shared" si="622"/>
        <v>0</v>
      </c>
      <c r="NB176" s="189">
        <f t="shared" si="676"/>
        <v>16.746133350000001</v>
      </c>
      <c r="NC176" s="254">
        <f t="shared" si="797"/>
        <v>16.746133350000001</v>
      </c>
      <c r="ND176" s="246">
        <f t="shared" si="677"/>
        <v>16.746133350000001</v>
      </c>
      <c r="NE176" s="386">
        <f t="shared" si="678"/>
        <v>16.986133349999999</v>
      </c>
      <c r="NF176" s="380">
        <f t="shared" si="623"/>
        <v>17.146133349999999</v>
      </c>
      <c r="NG176" s="387">
        <f t="shared" si="624"/>
        <v>18.186133349999999</v>
      </c>
      <c r="NH176" s="254">
        <f t="shared" si="625"/>
        <v>20.586133350000001</v>
      </c>
      <c r="NI176" s="380">
        <f t="shared" si="626"/>
        <v>20.746133350000001</v>
      </c>
      <c r="NK176" s="388">
        <f t="shared" si="627"/>
        <v>0.51033974750738942</v>
      </c>
      <c r="NL176" s="388">
        <f t="shared" si="628"/>
        <v>18.293375246883855</v>
      </c>
      <c r="NM176" s="388">
        <f t="shared" si="629"/>
        <v>0.51033974750738942</v>
      </c>
      <c r="NN176" s="388">
        <f t="shared" si="630"/>
        <v>18.423414440815705</v>
      </c>
      <c r="NO176" s="388">
        <f t="shared" si="631"/>
        <v>0.82578287657697058</v>
      </c>
      <c r="NP176" s="388">
        <f t="shared" si="632"/>
        <v>20.14164875882625</v>
      </c>
      <c r="NQ176" s="388">
        <f t="shared" si="633"/>
        <v>0.82578287657697058</v>
      </c>
      <c r="NR176" s="388">
        <f t="shared" si="634"/>
        <v>20.297030575246875</v>
      </c>
      <c r="NS176" s="388">
        <f t="shared" si="635"/>
        <v>0.52989839318469301</v>
      </c>
      <c r="NT176" s="388">
        <f t="shared" si="636"/>
        <v>0.52989839318469301</v>
      </c>
      <c r="NU176" s="388">
        <f t="shared" si="637"/>
        <v>0.84962141938546787</v>
      </c>
      <c r="NV176" s="388">
        <f t="shared" si="638"/>
        <v>0.84962141938546787</v>
      </c>
      <c r="NW176">
        <f t="shared" si="639"/>
        <v>0.72333080864792598</v>
      </c>
      <c r="NX176">
        <f>各项系数!$M$9*NK176</f>
        <v>0.15310192425221683</v>
      </c>
      <c r="NY176">
        <f t="shared" si="640"/>
        <v>0.52989839318469301</v>
      </c>
    </row>
    <row r="177" spans="1:389" ht="15" hidden="1" customHeight="1">
      <c r="A177" s="69"/>
      <c r="B177" s="70"/>
      <c r="C177" s="69"/>
      <c r="D177" s="102" t="s">
        <v>130</v>
      </c>
      <c r="E177" s="61">
        <f t="shared" si="805"/>
        <v>18.429378150000002</v>
      </c>
      <c r="F177" s="62">
        <f t="shared" si="798"/>
        <v>134.922667214547</v>
      </c>
      <c r="G177" s="16"/>
      <c r="H177" s="16"/>
      <c r="I177" s="145">
        <v>0</v>
      </c>
      <c r="J177" s="16"/>
      <c r="K177" s="16"/>
      <c r="L177" s="97" t="s">
        <v>469</v>
      </c>
      <c r="M177" s="103">
        <f t="shared" si="582"/>
        <v>0.7</v>
      </c>
      <c r="N177" s="103">
        <f t="shared" si="804"/>
        <v>0</v>
      </c>
      <c r="O177" s="53">
        <f t="shared" si="801"/>
        <v>0.08</v>
      </c>
      <c r="P177" s="99">
        <v>0.1</v>
      </c>
      <c r="Q177" s="133">
        <f t="shared" si="806"/>
        <v>0.1</v>
      </c>
      <c r="R177" s="406">
        <v>0.8</v>
      </c>
      <c r="S177" s="142" t="str">
        <f>各项系数!$D$43</f>
        <v>钢带</v>
      </c>
      <c r="T177" s="102">
        <v>0.2</v>
      </c>
      <c r="U177" s="62">
        <v>4</v>
      </c>
      <c r="V177" s="143"/>
      <c r="W177" s="141">
        <f t="shared" si="818"/>
        <v>1.8</v>
      </c>
      <c r="X177" s="135">
        <f t="shared" si="807"/>
        <v>0.2</v>
      </c>
      <c r="Y177" s="135"/>
      <c r="Z177" s="168"/>
      <c r="AA177" s="153">
        <v>1</v>
      </c>
      <c r="AB177" s="153">
        <f>PI()*EJ177*EJ177/4*EH177*(1-H177)*AA177*各项系数!$F$5*各项系数!$J$4*10^-7</f>
        <v>1.2646913814443796E-2</v>
      </c>
      <c r="AC177" s="153">
        <f t="shared" si="808"/>
        <v>134.922667214547</v>
      </c>
      <c r="AD177" s="153">
        <f t="shared" si="584"/>
        <v>1.4297487227412424</v>
      </c>
      <c r="AE177" s="153">
        <f>POWER(4*EU177/PI()/EG177/10^-7/EH177/(1-H177)/各项系数!$F$5/各项系数!$J$4,0.5)</f>
        <v>134.922667214547</v>
      </c>
      <c r="AF177" s="69">
        <v>1</v>
      </c>
      <c r="AG177" s="69">
        <f>IF(EM177=0,0,PI()*ER177*ER177/4*EP177*(1-K177)*(1+AF177)*各项系数!$F$5*各项系数!$J$4*10^-7)</f>
        <v>0</v>
      </c>
      <c r="AH177" s="69">
        <f t="shared" si="809"/>
        <v>0</v>
      </c>
      <c r="AI177" s="69">
        <f t="shared" si="641"/>
        <v>0</v>
      </c>
      <c r="AJ177" s="69">
        <f>IF(OR(EP177="",EP177=0),0,POWER(4*EW177/PI()/EO177/10^-7/EP177/(1-K177)/各项系数!$F$5/各项系数!$J$4,0.5))</f>
        <v>0</v>
      </c>
      <c r="AK177" s="69" t="str">
        <f t="shared" si="585"/>
        <v>√</v>
      </c>
      <c r="AL177" s="69">
        <f t="shared" si="810"/>
        <v>20.414546922304112</v>
      </c>
      <c r="AM177" s="188">
        <f t="shared" si="811"/>
        <v>1.5</v>
      </c>
      <c r="AN177" s="97" t="s">
        <v>486</v>
      </c>
      <c r="AO177" s="196">
        <f>AP177+各项系数!$M$9*$NK177</f>
        <v>20.014261688533441</v>
      </c>
      <c r="AP177" s="196">
        <f>AQ177*(1+$BI177+(VLOOKUP($AM177,$A$12:$B$323,2,0))+各项系数!$J$6+各项系数!$M$5)*(1+$E$2)</f>
        <v>19.848438508560839</v>
      </c>
      <c r="AQ177" s="197">
        <f>AR177+各项系数!$L$9*$NK177</f>
        <v>20.052978893272215</v>
      </c>
      <c r="AR177" s="197">
        <f>AS177*(1+$BJ177+各项系数!$J$5+各项系数!$L$5)</f>
        <v>19.887155713299613</v>
      </c>
      <c r="AS177" s="197">
        <f t="shared" si="642"/>
        <v>19.307918168252051</v>
      </c>
      <c r="AT177" s="196">
        <f>AU177+各项系数!$M$9*$NM177</f>
        <v>20.963399385616626</v>
      </c>
      <c r="AU177" s="196">
        <f>AV177*(1+$BI177+(VLOOKUP($AM177,$A$12:$B$323,2,0))+各项系数!$J$6+各项系数!$M$5)*(1+$E$2)</f>
        <v>20.797576205644024</v>
      </c>
      <c r="AV177" s="197">
        <f>AW177+各项系数!$L$9*$NM177</f>
        <v>21.011897560763813</v>
      </c>
      <c r="AW177" s="197">
        <f>AX177*(1+$BJ177+各项系数!$J$5+各项系数!$L$5)</f>
        <v>20.846074380791212</v>
      </c>
      <c r="AX177" s="197">
        <f t="shared" si="643"/>
        <v>20.238907165816709</v>
      </c>
      <c r="AY177" s="196">
        <f>AZ177+各项系数!$M$9*$NS177</f>
        <v>21.473338200373544</v>
      </c>
      <c r="AZ177" s="196">
        <f>BA177*(1+$BI177+(VLOOKUP($AM177,$A$12:$B$214,2,0))+各项系数!$J$6+各项系数!$M$5)*(1+$E$2)</f>
        <v>21.301267245782267</v>
      </c>
      <c r="BA177" s="197">
        <f>BB177+各项系数!$L$9*$NS177</f>
        <v>21.520779193556542</v>
      </c>
      <c r="BB177" s="197">
        <f>BC177*(1+$BJ177+各项系数!$J$5+各项系数!$L$5)</f>
        <v>21.348708238965266</v>
      </c>
      <c r="BC177" s="199">
        <f t="shared" si="644"/>
        <v>20.726901202878899</v>
      </c>
      <c r="BD177" s="196">
        <f>BE177+各项系数!$M$9*$NS177</f>
        <v>22.431608050815893</v>
      </c>
      <c r="BE177" s="196">
        <f>BF177*(1+$BI177+(VLOOKUP($AM177,$A$12:$B$214,2,0))+各项系数!$J$6+各项系数!$M$5)*(1+$E$2)</f>
        <v>22.259537096224616</v>
      </c>
      <c r="BF177" s="197">
        <f>BG177+各项系数!$L$9*$NS177</f>
        <v>22.488924122271786</v>
      </c>
      <c r="BG177" s="197">
        <f>BH177*(1+$BJ177+各项系数!$J$5+各项系数!$L$5)</f>
        <v>22.31685316768051</v>
      </c>
      <c r="BH177" s="199">
        <f t="shared" si="645"/>
        <v>21.666847735612144</v>
      </c>
      <c r="BI177" s="213"/>
      <c r="BJ177" s="208">
        <f t="shared" si="800"/>
        <v>0.01</v>
      </c>
      <c r="BK177" s="102" t="s">
        <v>514</v>
      </c>
      <c r="BL177" s="196">
        <f>BM177+各项系数!$M$9*$NM177</f>
        <v>20.34695722743578</v>
      </c>
      <c r="BM177" s="196">
        <f>BN177*(1+$CF177+(VLOOKUP($AM177,$A$12:$B$323,2,0))+各项系数!$J$6+各项系数!$M$5)*(1+$E$2)</f>
        <v>20.181134047463178</v>
      </c>
      <c r="BN177" s="197">
        <f>BO177+各项系数!$L$9*$NM177</f>
        <v>20.389102897012709</v>
      </c>
      <c r="BO177" s="197">
        <f>BP177*(1+$CG177+各项系数!$J$5+各项系数!$L$5)</f>
        <v>20.223279717040107</v>
      </c>
      <c r="BP177" s="197">
        <f t="shared" si="646"/>
        <v>19.445461266384719</v>
      </c>
      <c r="BQ177" s="196">
        <f>BR177+各项系数!$M$9*$NM177</f>
        <v>21.16372408874388</v>
      </c>
      <c r="BR177" s="196">
        <f>BS177*(1+$CF177+(VLOOKUP($AM177,$A$12:$B$323,2,0))+各项系数!$J$6+各项系数!$M$5)*(1+$E$2)</f>
        <v>20.997900908771278</v>
      </c>
      <c r="BS177" s="197">
        <f>BT177+各项系数!$L$9*$NM177</f>
        <v>21.214286632421981</v>
      </c>
      <c r="BT177" s="197">
        <f>BU177*(1+$CG177+各项系数!$J$5+各项系数!$L$5)</f>
        <v>21.048463452449379</v>
      </c>
      <c r="BU177" s="197">
        <f t="shared" si="647"/>
        <v>20.238907165816709</v>
      </c>
      <c r="BV177" s="196">
        <f>BW177+各项系数!$M$9*$NT177</f>
        <v>21.659304390108016</v>
      </c>
      <c r="BW177" s="196">
        <f>BX177*(1+$CF177+(VLOOKUP($AM177,$A$12:$B$214,2,0))+各项系数!$J$6+各项系数!$M$5)*(1+$E$2)</f>
        <v>21.487233435516739</v>
      </c>
      <c r="BX177" s="197">
        <f>BY177+各项系数!$L$9*$NT$12</f>
        <v>21.708661785731199</v>
      </c>
      <c r="BY177" s="197">
        <f>BZ177*(1+$CG177+各项系数!$J$5+各项系数!$L$5)</f>
        <v>21.700398382576225</v>
      </c>
      <c r="BZ177" s="199">
        <f t="shared" si="586"/>
        <v>20.865767675554061</v>
      </c>
      <c r="CA177" s="196">
        <f>CB177+各项系数!$M$9*$NT177</f>
        <v>22.483929795291331</v>
      </c>
      <c r="CB177" s="196">
        <f>CC177*(1+$CF177+(VLOOKUP($AM177,$A$12:$B$214,2,0))+各项系数!$J$6+各项系数!$M$5)*(1+$E$2)</f>
        <v>22.311858840700054</v>
      </c>
      <c r="CC177" s="197">
        <f>CD177+各项系数!$L$9*$NT$12</f>
        <v>22.541785048191606</v>
      </c>
      <c r="CD177" s="197">
        <f>CE177*(1+$CG177+各项系数!$J$5+各项系数!$L$5)</f>
        <v>22.533521645036632</v>
      </c>
      <c r="CE177" s="199">
        <f t="shared" si="648"/>
        <v>21.666847735612144</v>
      </c>
      <c r="CF177" s="213">
        <f t="shared" si="753"/>
        <v>0</v>
      </c>
      <c r="CG177" s="213">
        <f t="shared" si="587"/>
        <v>0.02</v>
      </c>
      <c r="CH177" s="102"/>
      <c r="CI177" s="196">
        <f>CJ177+各项系数!$M$9*$NO177</f>
        <v>22.477664712976139</v>
      </c>
      <c r="CJ177" s="196">
        <f>CK177*(1+$DC177+(VLOOKUP($AM177,$A$12:$B$323,2,0))+各项系数!$J$6+各项系数!$M$5)*(1+$E$2)+各项系数!$M$9*$NK177</f>
        <v>22.189072404673169</v>
      </c>
      <c r="CK177" s="197">
        <f>CL177+各项系数!$L$9*$NO177</f>
        <v>22.250201277733449</v>
      </c>
      <c r="CL177" s="197">
        <f>CM177*(1+$DD177+各项系数!$J$5+各项系数!$L$5)</f>
        <v>21.961608969430479</v>
      </c>
      <c r="CM177" s="197">
        <f t="shared" si="588"/>
        <v>21.321950455757747</v>
      </c>
      <c r="CN177" s="196">
        <f>CO177+各项系数!$M$9*$NO177</f>
        <v>23.151739885821538</v>
      </c>
      <c r="CO177" s="196">
        <f>CP177*(1+$DC177+(VLOOKUP($AM177,$A$12:$B$323,2,0))+各项系数!$J$6+各项系数!$M$5)*(1+$E$2)+各项系数!$M$9*$NK177</f>
        <v>22.863147577518568</v>
      </c>
      <c r="CP177" s="197">
        <f>CQ177+各项系数!$L$9*$NO177</f>
        <v>22.931222870828417</v>
      </c>
      <c r="CQ177" s="197">
        <f>CR177*(1+$DD177+各项系数!$J$5+各项系数!$L$5)</f>
        <v>22.642630562525447</v>
      </c>
      <c r="CR177" s="197">
        <f t="shared" si="589"/>
        <v>21.983136468471308</v>
      </c>
      <c r="CS177" s="196">
        <f>CT177+各项系数!$M$9*$NU177</f>
        <v>24.087195325512401</v>
      </c>
      <c r="CT177" s="196">
        <f t="shared" si="590"/>
        <v>23.790988301555316</v>
      </c>
      <c r="CU177" s="197">
        <f>CV177+各项系数!$L$9*$NU177</f>
        <v>24.036157104016283</v>
      </c>
      <c r="CV177" s="197">
        <f>CW177*(1+$DD177+各项系数!$J$5+各项系数!$L$5)</f>
        <v>23.739950080059199</v>
      </c>
      <c r="CW177" s="199">
        <f t="shared" si="591"/>
        <v>23.048495223358444</v>
      </c>
      <c r="CX177" s="196">
        <f>CY177+各项系数!$M$9*$NU177</f>
        <v>25.231646952564674</v>
      </c>
      <c r="CY177" s="196">
        <f t="shared" si="592"/>
        <v>24.93543992860759</v>
      </c>
      <c r="CZ177" s="197">
        <f>DA177+各项系数!$L$9*$NU177</f>
        <v>25.192402433428562</v>
      </c>
      <c r="DA177" s="197">
        <f>DB177*(1+$DD177+各项系数!$J$5+各项系数!$L$5)</f>
        <v>24.896195409471478</v>
      </c>
      <c r="DB177" s="199">
        <f t="shared" si="593"/>
        <v>24.171063504341241</v>
      </c>
      <c r="DC177" s="213">
        <f t="shared" si="803"/>
        <v>0</v>
      </c>
      <c r="DD177" s="213">
        <f t="shared" si="594"/>
        <v>0.01</v>
      </c>
      <c r="DE177" s="53" t="s">
        <v>498</v>
      </c>
      <c r="DF177" s="53" t="s">
        <v>513</v>
      </c>
      <c r="DG177" s="196">
        <f>DH177+各项系数!$M$9*$NQ177</f>
        <v>22.858068446878399</v>
      </c>
      <c r="DH177" s="196">
        <f>DI177*(1+$EA177+(VLOOKUP($AM177,$A$12:$B$323,2,0))+各项系数!$J$6+各项系数!$M$5)*(1+$E$2)+各项系数!$M$9*$NK177</f>
        <v>22.569476138575428</v>
      </c>
      <c r="DI177" s="197">
        <f>DJ177+各项系数!$L$9*$NQ177</f>
        <v>22.634525114773517</v>
      </c>
      <c r="DJ177" s="197">
        <f>DK177*(1+$EB177+各项系数!$J$5+各项系数!$L$5)</f>
        <v>22.345932806470547</v>
      </c>
      <c r="DK177" s="197">
        <f t="shared" si="595"/>
        <v>21.486473852375525</v>
      </c>
      <c r="DL177" s="196">
        <f>DM177+各项系数!$M$9*$NQ177</f>
        <v>23.835051371442411</v>
      </c>
      <c r="DM177" s="196">
        <f>DN177*(1+$EA177+(VLOOKUP($AM177,$A$12:$B$323,2,0))+各项系数!$J$6+各项系数!$M$5)*(1+$E$2)+各项系数!$M$9*$NK177</f>
        <v>23.546459063139441</v>
      </c>
      <c r="DN177" s="197">
        <f>DO177+各项系数!$L$9*$NQ177</f>
        <v>23.621575957937807</v>
      </c>
      <c r="DO177" s="197">
        <f>DP177*(1+$EB177+各项系数!$J$5+各项系数!$L$5)</f>
        <v>23.332983649634837</v>
      </c>
      <c r="DP177" s="197">
        <f t="shared" si="596"/>
        <v>22.435561201571957</v>
      </c>
      <c r="DQ177" s="196">
        <f>DR177+各项系数!$M$9*$NV177</f>
        <v>24.486050670691416</v>
      </c>
      <c r="DR177" s="196">
        <f t="shared" si="597"/>
        <v>24.189843646734332</v>
      </c>
      <c r="DS177" s="197">
        <f>DT177+各项系数!$L$9*$NV177</f>
        <v>24.439122698256551</v>
      </c>
      <c r="DT177" s="197">
        <f>DU177*(1+$EB177+各项系数!$J$5+各项系数!$L$5)</f>
        <v>24.142915674299466</v>
      </c>
      <c r="DU177" s="199">
        <f t="shared" si="598"/>
        <v>23.214341994518715</v>
      </c>
      <c r="DV177" s="196">
        <f>DW177+各项系数!$M$9*$NV177</f>
        <v>23.961189473454034</v>
      </c>
      <c r="DW177" s="196">
        <f t="shared" si="599"/>
        <v>23.66498244949695</v>
      </c>
      <c r="DX177" s="197">
        <f>DY177+各项系数!$L$9*$NV177</f>
        <v>23.908852747521671</v>
      </c>
      <c r="DY177" s="197">
        <f>DZ177*(1+$EB177+各项系数!$J$5+各项系数!$L$5)</f>
        <v>23.612645723564587</v>
      </c>
      <c r="DZ177" s="199">
        <f t="shared" si="600"/>
        <v>22.704467041889025</v>
      </c>
      <c r="EA177" s="213">
        <f t="shared" si="802"/>
        <v>0</v>
      </c>
      <c r="EB177" s="213">
        <f t="shared" si="601"/>
        <v>0.02</v>
      </c>
      <c r="EC177" s="235">
        <f t="shared" si="649"/>
        <v>20</v>
      </c>
      <c r="ED177" s="235" t="str">
        <f t="shared" si="756"/>
        <v>20*1.5</v>
      </c>
      <c r="EE177" s="189">
        <f t="shared" si="812"/>
        <v>1.5</v>
      </c>
      <c r="EF177" s="189">
        <f>LOOKUP(EH177,{1,7,10,14,19,24,30,37,48,61},{1,"1+6","2+8","4+10","1+6+12","2+8+14","4+10+16","1+6+12+18","3+9+15+21","1+6+12+18+24"})</f>
        <v>1</v>
      </c>
      <c r="EG177" s="188">
        <f t="shared" si="602"/>
        <v>20</v>
      </c>
      <c r="EH177" s="197">
        <f>VLOOKUP(EE177,各项系数!$B$87:$C$124,2,0)</f>
        <v>1</v>
      </c>
      <c r="EI177" s="188">
        <f>IF(EH177=0,0,VLOOKUP(EH177,各项系数!$D$142:$E$195,2,0))*1</f>
        <v>1</v>
      </c>
      <c r="EJ177" s="238">
        <f t="shared" si="650"/>
        <v>134.922667214547</v>
      </c>
      <c r="EK177" s="189">
        <f t="shared" si="813"/>
        <v>0</v>
      </c>
      <c r="EL177" s="189">
        <f t="shared" si="603"/>
        <v>0</v>
      </c>
      <c r="EM177" s="189">
        <f t="shared" si="814"/>
        <v>0</v>
      </c>
      <c r="EN177" s="189">
        <f>IF(EP177=0,0,LOOKUP(EP177,{1,7,10,14,19,24,30,37,48,61},{1,"1+6","2+8","4+10","1+6+12","2+8+14","4+10+16","1+6+12+18","3+9+15+21","1+6+12+18+24"}))</f>
        <v>0</v>
      </c>
      <c r="EO177" s="189">
        <f t="shared" si="815"/>
        <v>0</v>
      </c>
      <c r="EP177" s="189">
        <f>IF(EM177=0,0,IF(EM177&lt;10,1,IF(AND(EM177&gt;=10,EM177&lt;=35),7,LOOKUP(EM177,{50,70,95,120,150,185,240,300},{10,14,19,24,30,37,48,61})*1)))</f>
        <v>0</v>
      </c>
      <c r="EQ177" s="189">
        <f>IF(EP177=0,0,VLOOKUP(EP177,各项系数!$D$142:$E$195,2,0))*1</f>
        <v>0</v>
      </c>
      <c r="ER177" s="53">
        <f t="shared" si="816"/>
        <v>0</v>
      </c>
      <c r="ES177" s="412">
        <f t="shared" si="817"/>
        <v>20</v>
      </c>
      <c r="ET177" s="189">
        <f>VLOOKUP(ES177,各项系数!$D$142:$E$195,2,0)*1</f>
        <v>5.33</v>
      </c>
      <c r="EU177" s="243">
        <f>((各项系数!$F$76/4*$EJ177^2*$EG177*$EH177*1*10^-7)*(1-$H177)*AA177)*(VLOOKUP($EY$9,各项系数!$D$4:$F$143,3,0))*各项系数!$J$4</f>
        <v>0.25293827628887589</v>
      </c>
      <c r="EV177" s="244">
        <f>EU177*(VLOOKUP($EY$9,各项系数!$D$4:$F$143,2,0))</f>
        <v>16.56745709692137</v>
      </c>
      <c r="EW177" s="252">
        <f>(IF($EO177=0,0,(各项系数!$F$76/4*$ER177^2*$EO177*$EP177*1*10^-7))*(1-$K177)*$AF177)*(VLOOKUP($EY$9,各项系数!$D$4:$F$143,3,0))*各项系数!$J$4</f>
        <v>0</v>
      </c>
      <c r="EX177" s="253">
        <f>EW177*(VLOOKUP($EY$9,各项系数!$D$4:$F$143,2,0))</f>
        <v>0</v>
      </c>
      <c r="EY177" s="189">
        <f>((各项系数!$F$76/4*$EJ177^2*$EG177*$EH177*1*10^-7)*(1-$H177)*AA177+IF($EO177=0,0,(各项系数!$F$76/4*$ER177^2*$EO177*$EP177*1*10^-7))*(1-$K177)*$AF177)*(VLOOKUP($EY$9,各项系数!$D$4:$F$143,3,0))*各项系数!$J$4</f>
        <v>0.25293827628887589</v>
      </c>
      <c r="EZ177" s="102">
        <v>1</v>
      </c>
      <c r="FA177" s="189">
        <f t="shared" si="757"/>
        <v>0.25293827628887589</v>
      </c>
      <c r="FB177" s="254">
        <f>FA177*(VLOOKUP($EY$9,各项系数!$D$4:$F$143,2,0))</f>
        <v>16.56745709692137</v>
      </c>
      <c r="FC177" s="255"/>
      <c r="FD177" s="235">
        <f>各项系数!$F$76/4*($MN177^2-MK177^2)*10^-2*(VLOOKUP(L177,各项系数!$D$1:$F$143,3,0))*10^-3*10^2*$EG177*各项系数!$J$4</f>
        <v>9.8646952631184087E-2</v>
      </c>
      <c r="FE177" s="262">
        <f>FD177*VLOOKUP(L177,各项系数!$D$1:$F$143,2,0)</f>
        <v>1.1344399552586171</v>
      </c>
      <c r="FF177" s="188">
        <f>各项系数!$F$76/4*($MO177^2-ML177^2)*10^-2*(VLOOKUP(L177,各项系数!$D$1:$F$143,3,0))*10^-3*10^2*$EO177*各项系数!$J$4</f>
        <v>0</v>
      </c>
      <c r="FG177" s="262">
        <f>FF177*VLOOKUP(L177,各项系数!$D$1:$F$143,2,0)</f>
        <v>0</v>
      </c>
      <c r="FH177" s="235">
        <f t="shared" si="651"/>
        <v>9.8646952631184087E-2</v>
      </c>
      <c r="FI177" s="102">
        <v>1</v>
      </c>
      <c r="FJ177" s="189">
        <f t="shared" si="758"/>
        <v>9.8646952631184087E-2</v>
      </c>
      <c r="FK177" s="262">
        <f>FJ177*VLOOKUP(L177,各项系数!$D$1:$F$143,2,0)</f>
        <v>1.1344399552586171</v>
      </c>
      <c r="FL177" s="235"/>
      <c r="FM177" s="102"/>
      <c r="FN177" s="189"/>
      <c r="FO177" s="262"/>
      <c r="FP177" s="282">
        <f t="shared" si="759"/>
        <v>9.8646952631184087E-2</v>
      </c>
      <c r="FQ177" s="282">
        <f t="shared" si="760"/>
        <v>1.1344399552586171</v>
      </c>
      <c r="FR177" s="283">
        <f>各项系数!$F$76/4*($MQ177^2-$MN177^2*$EG177-$MO177^2*$EO177)*10^-2</f>
        <v>0.49917194143802368</v>
      </c>
      <c r="FS177" s="284">
        <f t="shared" si="652"/>
        <v>1</v>
      </c>
      <c r="FT177" s="285">
        <f t="shared" si="604"/>
        <v>0.49917194143802368</v>
      </c>
      <c r="FU177" s="302">
        <f>$FT177*(VLOOKUP($FT$9,各项系数!$D$1:$F$143,3,0))*10^-3*10^2*各项系数!$J$55</f>
        <v>5.9601129807700028E-2</v>
      </c>
      <c r="FV177" s="303">
        <v>1</v>
      </c>
      <c r="FW177" s="304">
        <f t="shared" si="761"/>
        <v>5.9601129807700028E-2</v>
      </c>
      <c r="FX177" s="285">
        <f>FW177*(VLOOKUP($FT$9,各项系数!$D$1:$F$143,2,0))</f>
        <v>0.17880338942310009</v>
      </c>
      <c r="FY177" s="302">
        <f>IF($BK177&lt;&gt;$FY$9,0,各项系数!$F$76/4*($MS177^2-$MQ177^2)*10^-2*(VLOOKUP($FY$9,各项系数!$D$1:$F$143,3,0))*10^-3*10^2)*各项系数!$J$4</f>
        <v>0</v>
      </c>
      <c r="FZ177" s="303">
        <v>1</v>
      </c>
      <c r="GA177" s="304">
        <f t="shared" si="762"/>
        <v>0</v>
      </c>
      <c r="GB177" s="285">
        <f>GA177*(VLOOKUP($FY$9,各项系数!$D$1:$F$143,2,0))</f>
        <v>0</v>
      </c>
      <c r="GC177" s="302">
        <f>IF($BK177&lt;&gt;$GC$9,0,各项系数!$F$76/4*($MS177^2-$MQ177^2)*10^-2*(VLOOKUP($GC$9,各项系数!$D$1:$F$143,3,0))*10^-3*10^2)*各项系数!$J$4</f>
        <v>4.01447638157251E-3</v>
      </c>
      <c r="GD177" s="303">
        <v>1</v>
      </c>
      <c r="GE177" s="304">
        <f t="shared" si="763"/>
        <v>4.01447638157251E-3</v>
      </c>
      <c r="GF177" s="285">
        <f>GE177*(VLOOKUP($GC$9,各项系数!$D$1:$F$143,2,0))</f>
        <v>5.1786745322285381E-2</v>
      </c>
      <c r="GG177" s="302">
        <f>IF($BK177&lt;&gt;$GG$9,0,各项系数!$F$76/4*($MS177^2-$MQ177^2)*10^-2*(VLOOKUP($GG$9,各项系数!$D$1:$F$143,3,0))*10^-3*10^2)*各项系数!$J$4</f>
        <v>0</v>
      </c>
      <c r="GH177" s="303">
        <v>1</v>
      </c>
      <c r="GI177" s="304">
        <f t="shared" si="764"/>
        <v>0</v>
      </c>
      <c r="GJ177" s="285">
        <f>GI177*(VLOOKUP($GG$9,各项系数!$D$1:$F$143,2,0))</f>
        <v>0</v>
      </c>
      <c r="GK177" s="302">
        <f>IF($BK177&lt;&gt;$GK$9,0,各项系数!$F$76/4*($MS177^2-$MQ177^2)*10^-2*(VLOOKUP($GK$9,各项系数!$D$1:$F$143,3,0))*10^-3*10^2)*各项系数!$J$4</f>
        <v>0</v>
      </c>
      <c r="GL177" s="303">
        <v>1</v>
      </c>
      <c r="GM177" s="304">
        <f t="shared" si="765"/>
        <v>0</v>
      </c>
      <c r="GN177" s="285">
        <f>GM177*(VLOOKUP($GK$9,各项系数!$D$1:$F$143,2,0))</f>
        <v>0</v>
      </c>
      <c r="GO177" s="304">
        <f t="shared" si="766"/>
        <v>4.01447638157251E-3</v>
      </c>
      <c r="GP177" s="304">
        <f t="shared" si="767"/>
        <v>5.1786745322285381E-2</v>
      </c>
      <c r="GQ177" s="315">
        <f>各项系数!$F$76/4*($MU177^2-$MS177^2)*10^-2*(VLOOKUP($S177,各项系数!$D$1:$F$143,3,0))*10^-3*10^2*各项系数!$J$4</f>
        <v>0.22629730396375308</v>
      </c>
      <c r="GR177" s="303">
        <v>1</v>
      </c>
      <c r="GS177" s="304">
        <f t="shared" si="768"/>
        <v>0.22629730396375308</v>
      </c>
      <c r="GT177" s="304">
        <f t="shared" si="696"/>
        <v>0</v>
      </c>
      <c r="GU177" s="304">
        <f>ROUND($GS177*(VLOOKUP($S177,各项系数!$D$1:$F$143,2,0))+$E$3*GS177,GT177)</f>
        <v>1</v>
      </c>
      <c r="GV177" s="315">
        <f>各项系数!$F$76/4*($MT177^2-$MS177^2)*10^-2*(VLOOKUP($GV$9,各项系数!$D$1:$F$143,3,0))*10^-3*10^2*各项系数!$J$4*PI()/4*R177</f>
        <v>2.0825915395583705E-2</v>
      </c>
      <c r="GW177" s="303">
        <v>1</v>
      </c>
      <c r="GX177" s="304">
        <f t="shared" si="769"/>
        <v>2.0825915395583705E-2</v>
      </c>
      <c r="GY177" s="304">
        <f>$GX177*(VLOOKUP($GV$9,各项系数!$D$1:$F$143,2,0))</f>
        <v>1.4057492892019001</v>
      </c>
      <c r="GZ177" s="315">
        <f>各项系数!$F$76/4*($MV177^2-$MS177^2)*10^-2*(VLOOKUP($GZ$9,各项系数!$D$1:$F$143,3,0))*10^-3*10^2*各项系数!$J$4</f>
        <v>0.13567176346419638</v>
      </c>
      <c r="HA177" s="303">
        <v>1</v>
      </c>
      <c r="HB177" s="304">
        <f t="shared" si="653"/>
        <v>0.13567176346419638</v>
      </c>
      <c r="HC177" s="304">
        <f>HB177*(VLOOKUP($GZ$9,各项系数!$D$1:$F$143,2,0))</f>
        <v>2.3064199788913382</v>
      </c>
      <c r="HD177" s="315">
        <f>各项系数!$F$76/4*($MW177^2-$MT177^2)*10^-2*(VLOOKUP($HD$9,各项系数!$D$1:$F$143,3,0))*10^-3*10^2*各项系数!$J$4</f>
        <v>0.13697713291087482</v>
      </c>
      <c r="HE177" s="303">
        <v>1</v>
      </c>
      <c r="HF177" s="304">
        <f t="shared" si="654"/>
        <v>0.13697713291087482</v>
      </c>
      <c r="HG177" s="304">
        <f>HF177*(VLOOKUP($HD$9,各项系数!$D$1:$F$143,2,0))</f>
        <v>2.3286112594848718</v>
      </c>
      <c r="HH177" s="315">
        <f>各项系数!$F$76/4*($MV177^2-$MS177^2)*10^-2*(VLOOKUP($HH$9,各项系数!$D$1:$F$143,3,0))*10^-3*10^2*各项系数!$J$4</f>
        <v>0.13567176346419638</v>
      </c>
      <c r="HI177" s="322">
        <v>1</v>
      </c>
      <c r="HJ177" s="304">
        <f t="shared" si="655"/>
        <v>0.13567176346419638</v>
      </c>
      <c r="HK177" s="304">
        <f>HJ177*(VLOOKUP($HH$9,各项系数!$D$1:$F$143,2,0))</f>
        <v>2.3064199788913382</v>
      </c>
      <c r="HL177" s="315">
        <f>各项系数!$F$76/4*($MW177^2-$MT177^2)*10^-2*(VLOOKUP($HL$9,各项系数!$D$1:$F$143,3,0))*10^-3*10^2*各项系数!$J$4</f>
        <v>0.13697713291087482</v>
      </c>
      <c r="HM177" s="322">
        <v>1</v>
      </c>
      <c r="HN177" s="304">
        <f t="shared" si="605"/>
        <v>0.13697713291087482</v>
      </c>
      <c r="HO177" s="304">
        <f>HN177*(VLOOKUP($HL$9,各项系数!$D$1:$F$143,2,0))</f>
        <v>2.3286112594848718</v>
      </c>
      <c r="HP177" s="315">
        <f>各项系数!$F$76/4*($MV177^2-$MS177^2)*10^-2*(VLOOKUP(AN177,各项系数!$D$1:$F$143,3,0))*10^-3*10^2*各项系数!$J$4</f>
        <v>0.13754309813266805</v>
      </c>
      <c r="HQ177" s="303">
        <v>1</v>
      </c>
      <c r="HR177" s="304">
        <f t="shared" si="770"/>
        <v>0.13754309813266805</v>
      </c>
      <c r="HS177" s="304">
        <f>HR177*(VLOOKUP(AN177,各项系数!$D$1:$F$143,2,0))</f>
        <v>1.3754309813266805</v>
      </c>
      <c r="HT177" s="315">
        <f>各项系数!$F$76/4*($MW177^2-$MT177^2)*10^-2*(VLOOKUP(AN177,各项系数!$D$1:$F$143,3,0))*10^-3*10^2*各项系数!$J$4</f>
        <v>0.13886647267516269</v>
      </c>
      <c r="HU177" s="303">
        <v>1</v>
      </c>
      <c r="HV177" s="304">
        <f t="shared" si="771"/>
        <v>0.13886647267516269</v>
      </c>
      <c r="HW177" s="304">
        <f>HV177*(VLOOKUP(AN177,各项系数!$D$1:$F$143,2,0))</f>
        <v>1.388664726751627</v>
      </c>
      <c r="HX177" s="315">
        <f>各项系数!$F$76/4*($MV177^2-$MS177^2)*10^-2*(VLOOKUP($HX$9,各项系数!$D$1:$F$143,3,0))*10^-3*10^2*各项系数!$J$4</f>
        <v>0.13754309813266805</v>
      </c>
      <c r="HY177" s="322">
        <v>1</v>
      </c>
      <c r="HZ177" s="304">
        <f t="shared" si="772"/>
        <v>0.13754309813266805</v>
      </c>
      <c r="IA177" s="304">
        <f>HZ177*(VLOOKUP($HX$9,各项系数!$D$1:$F$143,2,0))</f>
        <v>1.5129740794593485</v>
      </c>
      <c r="IB177" s="315">
        <f>各项系数!$F$76/4*($MW177^2-$MT177^2)*10^-2*(VLOOKUP($IB$9,各项系数!$D$1:$F$143,3,0))*10^-3*10^2*各项系数!$J$4</f>
        <v>0.13886647267516269</v>
      </c>
      <c r="IC177" s="322">
        <v>1</v>
      </c>
      <c r="ID177" s="304">
        <f t="shared" si="773"/>
        <v>0.13886647267516269</v>
      </c>
      <c r="IE177" s="304">
        <f>ID177*(VLOOKUP($IB$9,各项系数!$D$1:$F$143,2,0))</f>
        <v>1.5275311994267897</v>
      </c>
      <c r="IF177" s="328"/>
      <c r="IG177" s="315">
        <f t="shared" si="656"/>
        <v>4.6397631587611295E-2</v>
      </c>
      <c r="IH177" s="303">
        <v>1</v>
      </c>
      <c r="II177" s="304">
        <f t="shared" si="774"/>
        <v>4.6397631587611295E-2</v>
      </c>
      <c r="IJ177" s="304">
        <f>II177*(VLOOKUP($IG$8,各项系数!$D$1:$F$143,2,0))</f>
        <v>1.1599407896902825</v>
      </c>
      <c r="IK177" s="315">
        <f>(各项系数!$F$76/4*($MX177^2-$MK177^2)*$EG177)*10^-2*(VLOOKUP($IG$8,各项系数!$D$1:$F$143,3,0))*10^-3*10^2*各项系数!$J$4</f>
        <v>4.6397631587611295E-2</v>
      </c>
      <c r="IL177" s="303">
        <f>IK177*(VLOOKUP($IG$8,各项系数!$D$1:$F$143,2,0))</f>
        <v>1.1599407896902825</v>
      </c>
      <c r="IM177" s="304">
        <f>(各项系数!$F$76/4*(($MM177+3*$X177)^2-MM177^2)*$EO177)*10^-2*(VLOOKUP($IG$8,各项系数!$D$1:$F$143,3,0))*10^-3*10^2*各项系数!$J$4</f>
        <v>0</v>
      </c>
      <c r="IN177" s="303">
        <f>IM177*(VLOOKUP($IG$8,各项系数!$D$1:$F$143,2,0))</f>
        <v>0</v>
      </c>
      <c r="IO177" s="315">
        <f>各项系数!$F$76/4*($MZ177^2-$MX177^2)*10^-2*(VLOOKUP(L177,各项系数!$D$1:$F$143,3,0))*10^-3*10^2*$ES177*各项系数!$J$4</f>
        <v>0.12753012716975795</v>
      </c>
      <c r="IP177" s="303">
        <v>1</v>
      </c>
      <c r="IQ177" s="304">
        <f t="shared" si="775"/>
        <v>0.12753012716975795</v>
      </c>
      <c r="IR177" s="285">
        <f>IQ177*(VLOOKUP(L177,各项系数!$D$1:$F$143,2,0))</f>
        <v>1.4665964624522165</v>
      </c>
      <c r="IS177" s="315">
        <f>IF($L177&lt;&gt;$IS$9,0,各项系数!$F$76/4*($MZ177^2-$MX177^2)*10^-2*各项系数!$F$12*10^-3*10^2)*$ES177*各项系数!$J$4</f>
        <v>0</v>
      </c>
      <c r="IT177" s="303">
        <v>1</v>
      </c>
      <c r="IU177" s="304">
        <f t="shared" si="776"/>
        <v>0</v>
      </c>
      <c r="IV177" s="285">
        <f>IU177*各项系数!$E$12</f>
        <v>0</v>
      </c>
      <c r="IW177" s="302">
        <f t="shared" si="777"/>
        <v>0.12753012716975795</v>
      </c>
      <c r="IX177" s="302">
        <f t="shared" si="778"/>
        <v>1.4665964624522165</v>
      </c>
      <c r="IY177" s="339">
        <f>各项系数!$F$76/4*($NB177^2-$MZ177^2*$EG177-$NA177^2*$EO177)*10^-2</f>
        <v>0.74082930037435746</v>
      </c>
      <c r="IZ177" s="284">
        <f t="shared" si="697"/>
        <v>1</v>
      </c>
      <c r="JA177" s="285">
        <f t="shared" si="606"/>
        <v>0.74082930037435746</v>
      </c>
      <c r="JB177" s="282">
        <f>IF($DE177&lt;&gt;$JB$9,0,$JA177*各项系数!$F$32*10^-3*10^2)*各项系数!$J$4</f>
        <v>0</v>
      </c>
      <c r="JC177" s="102">
        <v>1</v>
      </c>
      <c r="JD177" s="189">
        <f t="shared" si="779"/>
        <v>0</v>
      </c>
      <c r="JE177" s="262">
        <f>JD177*各项系数!$E$32</f>
        <v>0</v>
      </c>
      <c r="JF177" s="282">
        <f>IF($DE177&lt;&gt;$JF$9,0,$JA177*VLOOKUP($JF$9,各项系数!$D$4:$F$540,2,0)*10^-3*10^2)*各项系数!$J$4</f>
        <v>0.36856257693624284</v>
      </c>
      <c r="JG177" s="102">
        <v>1</v>
      </c>
      <c r="JH177" s="189">
        <f t="shared" si="607"/>
        <v>0.36856257693624284</v>
      </c>
      <c r="JI177" s="262">
        <f>JH177*VLOOKUP($JF$9,各项系数!$D$4:$F$540,3,0)</f>
        <v>0.44227509232349138</v>
      </c>
      <c r="JJ177" s="282">
        <f t="shared" si="780"/>
        <v>0.36856257693624284</v>
      </c>
      <c r="JK177" s="189">
        <f t="shared" si="781"/>
        <v>0.44227509232349138</v>
      </c>
      <c r="JL177" s="282">
        <f>IF($DF177&lt;&gt;$JL$9,0,各项系数!$F$76/4*($NE177^2-$NC177^2)*10^-2*各项系数!$F$39*10^-3*10^2)*各项系数!$J$4</f>
        <v>2.0223524096304856E-3</v>
      </c>
      <c r="JM177" s="102">
        <v>1</v>
      </c>
      <c r="JN177" s="189">
        <f t="shared" si="782"/>
        <v>2.0223524096304856E-3</v>
      </c>
      <c r="JO177" s="262">
        <f>JN177*各项系数!$E$39</f>
        <v>4.0447048192609712E-2</v>
      </c>
      <c r="JP177" s="282">
        <f>IF($DF177&lt;&gt;$JP$9,0,各项系数!$F$76/4*($NE177^2-$NC177^2)*10^-2*各项系数!$F$36*10^-3*10^2)*各项系数!$J$4</f>
        <v>0</v>
      </c>
      <c r="JQ177" s="102">
        <v>1</v>
      </c>
      <c r="JR177" s="189">
        <f t="shared" si="783"/>
        <v>0</v>
      </c>
      <c r="JS177" s="262">
        <f>JR177*各项系数!$E$36</f>
        <v>0</v>
      </c>
      <c r="JT177" s="282">
        <f>IF($DF177&lt;&gt;$JT$9,0,各项系数!$F$76/4*($NE177^2-$NC177^2)*10^-2*各项系数!$F$40*10^-3*10^2)*各项系数!$J$4</f>
        <v>0</v>
      </c>
      <c r="JU177" s="102">
        <v>1</v>
      </c>
      <c r="JV177" s="189">
        <f t="shared" si="784"/>
        <v>0</v>
      </c>
      <c r="JW177" s="262">
        <f>JV177*各项系数!$E$40</f>
        <v>0</v>
      </c>
      <c r="JX177" s="282">
        <f>IF($DF177&lt;&gt;$JX$9,0,各项系数!$F$76/4*($NE177^2-$NC177^2)*10^-2*各项系数!$F$38*10^-3*10^2)*各项系数!$J$4</f>
        <v>0</v>
      </c>
      <c r="JY177" s="102">
        <v>1</v>
      </c>
      <c r="JZ177" s="189">
        <f t="shared" si="785"/>
        <v>0</v>
      </c>
      <c r="KA177" s="262">
        <f>JZ177*各项系数!$E$38</f>
        <v>0</v>
      </c>
      <c r="KB177" s="282">
        <f>IF($DF177&lt;&gt;$KB$9,0,各项系数!$F$76/4*($NE177^2-$NC177^2)*10^-2*各项系数!$F$41*10^-3*10^2)*各项系数!$J$4</f>
        <v>0</v>
      </c>
      <c r="KC177" s="102">
        <v>1</v>
      </c>
      <c r="KD177" s="189">
        <f t="shared" si="786"/>
        <v>0</v>
      </c>
      <c r="KE177" s="262">
        <f>KD177*各项系数!$E$41</f>
        <v>0</v>
      </c>
      <c r="KF177" s="189">
        <f t="shared" si="787"/>
        <v>2.0223524096304856E-3</v>
      </c>
      <c r="KG177" s="189">
        <f t="shared" si="788"/>
        <v>4.0447048192609712E-2</v>
      </c>
      <c r="KH177" s="235">
        <f>各项系数!$F$76/4*($NG177^2-$NE177^2)*10^-2*各项系数!$F$44*10^-3*10^2*各项系数!$J$4*0.75*$U177</f>
        <v>0.82241975825422375</v>
      </c>
      <c r="KI177" s="102">
        <v>1</v>
      </c>
      <c r="KJ177" s="189">
        <f t="shared" si="789"/>
        <v>0.82241975825422375</v>
      </c>
      <c r="KK177" s="189">
        <f>ROUND(KJ177*各项系数!$E$43,GT177)</f>
        <v>5</v>
      </c>
      <c r="KL177" s="235">
        <f>各项系数!$F$76/4*($NF177^2-$NE177^2)*10^-2*各项系数!$F$46*10^-3*10^2*各项系数!$J$4*PI()/4*R177</f>
        <v>2.5382385513714772E-2</v>
      </c>
      <c r="KM177" s="102">
        <v>1</v>
      </c>
      <c r="KN177" s="189">
        <f t="shared" si="790"/>
        <v>2.5382385513714772E-2</v>
      </c>
      <c r="KO177" s="189">
        <f>KN177*各项系数!$E$46</f>
        <v>1.713311022175747</v>
      </c>
      <c r="KP177" s="235">
        <f>各项系数!$F$76/4*($NH177^2-$NE177^2)*10^-2*(VLOOKUP($KP$9,各项系数!$D$1:$F$143,3,0))*10^-3*10^2*各项系数!$J$4</f>
        <v>0.16228498305835226</v>
      </c>
      <c r="KQ177" s="102">
        <v>1</v>
      </c>
      <c r="KR177" s="189">
        <f t="shared" si="657"/>
        <v>0.16228498305835226</v>
      </c>
      <c r="KS177" s="189">
        <f>KR177*(VLOOKUP($KP$9,各项系数!$D$1:$F$143,2,0))</f>
        <v>2.7588447119919883</v>
      </c>
      <c r="KT177" s="235">
        <f>各项系数!$F$76/4*($NI177^2-$NF177^2)*10^-2*(VLOOKUP($KT$9,各项系数!$D$1:$F$143,3,0))*10^-3*10^2*各项系数!$J$4</f>
        <v>0.16359035250503068</v>
      </c>
      <c r="KU177" s="102">
        <v>1</v>
      </c>
      <c r="KV177" s="189">
        <f t="shared" si="658"/>
        <v>0.16359035250503068</v>
      </c>
      <c r="KW177" s="189">
        <f>KV177*(VLOOKUP($KT$9,各项系数!$D$1:$F$143,2,0))</f>
        <v>2.7810359925855215</v>
      </c>
      <c r="KX177" s="189">
        <f>各项系数!$F$76/4*($NH177^2-$NE177^2)*10^-2*(VLOOKUP($KX$9,各项系数!$D$1:$F$143,3,0))*10^-3*10^2*各项系数!$J$4</f>
        <v>0.16228498305835226</v>
      </c>
      <c r="KY177" s="353">
        <v>1</v>
      </c>
      <c r="KZ177" s="189">
        <f t="shared" si="659"/>
        <v>0.16228498305835226</v>
      </c>
      <c r="LA177" s="189">
        <f>KZ177*(VLOOKUP($KX$9,各项系数!$D$1:$F$143,2,0))</f>
        <v>2.7588447119919883</v>
      </c>
      <c r="LB177" s="189">
        <f>各项系数!$F$76/4*($NI177^2-$NF177^2)*10^-2*(VLOOKUP($LB$9,各项系数!$D$1:$F$143,3,0))*10^-3*10^2*各项系数!$J$4</f>
        <v>0.16359035250503068</v>
      </c>
      <c r="LC177" s="353">
        <v>1</v>
      </c>
      <c r="LD177" s="189">
        <f t="shared" si="660"/>
        <v>0.16359035250503068</v>
      </c>
      <c r="LE177" s="189">
        <f>LD177*(VLOOKUP($LB$9,各项系数!$D$1:$F$143,2,0))</f>
        <v>2.7810359925855215</v>
      </c>
      <c r="LF177" s="235">
        <f>各项系数!$F$76/4*($NH177^2-$NE177^2)*10^-2*(VLOOKUP(AN177,各项系数!$D$1:$F$143,3,0))*10^-3*10^2*各项系数!$J$4</f>
        <v>0.16452339661777782</v>
      </c>
      <c r="LG177" s="102">
        <v>1</v>
      </c>
      <c r="LH177" s="189">
        <f t="shared" si="791"/>
        <v>0.16452339661777782</v>
      </c>
      <c r="LI177" s="189">
        <f>LH177*(VLOOKUP(AN177,各项系数!$D$1:$F$143,2,0))</f>
        <v>1.6452339661777782</v>
      </c>
      <c r="LJ177" s="235">
        <f>各项系数!$F$76/4*($NI177^2-$NF177^2)*10^-2*(VLOOKUP(AN177,各项系数!$D$1:$F$143,3,0))*10^-3*10^2*各项系数!$J$4</f>
        <v>0.16584677116027249</v>
      </c>
      <c r="LK177" s="102">
        <v>1</v>
      </c>
      <c r="LL177" s="189">
        <f t="shared" si="792"/>
        <v>0.16584677116027249</v>
      </c>
      <c r="LM177" s="189">
        <f>LL177*(VLOOKUP(AN177,各项系数!$D$1:$F$143,2,0))</f>
        <v>1.6584677116027249</v>
      </c>
      <c r="LN177" s="189">
        <f>各项系数!$F$76/4*($NH177^2-$NE177^2)*10^-2*(VLOOKUP($LN$9,各项系数!$D$1:$F$143,3,0))*10^-3*10^2*各项系数!$J$4</f>
        <v>0.16452339661777782</v>
      </c>
      <c r="LO177" s="353">
        <v>1</v>
      </c>
      <c r="LP177" s="189">
        <f t="shared" si="793"/>
        <v>0.16452339661777782</v>
      </c>
      <c r="LQ177" s="189">
        <f>LP177*(VLOOKUP($LN$9,各项系数!$D$1:$F$143,2,0))</f>
        <v>1.8097573627955561</v>
      </c>
      <c r="LR177" s="189">
        <f>各项系数!$F$76/4*($NI177^2-$NF177^2)*10^-2*(VLOOKUP($LR$9,各项系数!$D$1:$F$143,3,0))*10^-3*10^2*各项系数!$J$4</f>
        <v>0.16584677116027249</v>
      </c>
      <c r="LS177" s="353">
        <v>1</v>
      </c>
      <c r="LT177" s="189">
        <f t="shared" si="794"/>
        <v>0.16584677116027249</v>
      </c>
      <c r="LU177" s="189">
        <f>LT177*(VLOOKUP($LR$9,各项系数!$D$1:$F$143,2,0))</f>
        <v>1.8243144827629973</v>
      </c>
      <c r="LV177" s="227">
        <f t="shared" si="661"/>
        <v>28.594974359999998</v>
      </c>
      <c r="LW177" s="227">
        <f t="shared" si="662"/>
        <v>28.594974359999998</v>
      </c>
      <c r="LX177" s="227">
        <f t="shared" si="663"/>
        <v>6.0339251019415254</v>
      </c>
      <c r="LY177" s="227">
        <f t="shared" si="664"/>
        <v>0</v>
      </c>
      <c r="LZ177" s="374">
        <f t="shared" si="608"/>
        <v>1</v>
      </c>
      <c r="MA177" s="375">
        <f t="shared" si="609"/>
        <v>28.594974359999998</v>
      </c>
      <c r="MB177" s="375">
        <f t="shared" si="665"/>
        <v>1.34922667</v>
      </c>
      <c r="MC177" s="227">
        <f t="shared" si="666"/>
        <v>0</v>
      </c>
      <c r="MD177" s="227">
        <f t="shared" si="667"/>
        <v>0</v>
      </c>
      <c r="ME177" s="227">
        <f t="shared" si="668"/>
        <v>0</v>
      </c>
      <c r="MF177" s="227">
        <f t="shared" si="669"/>
        <v>0</v>
      </c>
      <c r="MG177" s="374">
        <f t="shared" si="670"/>
        <v>1</v>
      </c>
      <c r="MH177" s="375">
        <f t="shared" si="610"/>
        <v>0</v>
      </c>
      <c r="MI177" s="375">
        <f t="shared" si="671"/>
        <v>0</v>
      </c>
      <c r="MJ177" s="189">
        <f t="shared" si="611"/>
        <v>1.34922667</v>
      </c>
      <c r="MK177" s="189">
        <f t="shared" si="672"/>
        <v>1.34922667</v>
      </c>
      <c r="ML177" s="189">
        <f t="shared" si="795"/>
        <v>0</v>
      </c>
      <c r="MM177" s="189">
        <f t="shared" si="612"/>
        <v>0</v>
      </c>
      <c r="MN177" s="189">
        <f t="shared" si="613"/>
        <v>2.7492266699999997</v>
      </c>
      <c r="MO177" s="189">
        <f t="shared" si="673"/>
        <v>0</v>
      </c>
      <c r="MP177" s="189">
        <f t="shared" si="674"/>
        <v>14.65337815</v>
      </c>
      <c r="MQ177" s="189">
        <f t="shared" si="796"/>
        <v>14.65337815</v>
      </c>
      <c r="MR177" s="246">
        <f t="shared" si="675"/>
        <v>14.65337815</v>
      </c>
      <c r="MS177" s="380">
        <f t="shared" si="614"/>
        <v>14.82937815</v>
      </c>
      <c r="MT177" s="380">
        <f t="shared" si="615"/>
        <v>14.98937815</v>
      </c>
      <c r="MU177" s="380">
        <f t="shared" si="616"/>
        <v>16.029378149999999</v>
      </c>
      <c r="MV177" s="380">
        <f t="shared" si="617"/>
        <v>18.429378150000002</v>
      </c>
      <c r="MW177" s="380">
        <f t="shared" si="618"/>
        <v>18.589378150000002</v>
      </c>
      <c r="MX177" s="254">
        <f t="shared" si="619"/>
        <v>1.9492266700000001</v>
      </c>
      <c r="MY177" s="254">
        <f t="shared" si="620"/>
        <v>0</v>
      </c>
      <c r="MZ177" s="189">
        <f t="shared" si="621"/>
        <v>3.3492266700000002</v>
      </c>
      <c r="NA177" s="189">
        <f t="shared" si="622"/>
        <v>0</v>
      </c>
      <c r="NB177" s="189">
        <f t="shared" si="676"/>
        <v>17.851378149999999</v>
      </c>
      <c r="NC177" s="254">
        <f t="shared" si="797"/>
        <v>17.851378149999999</v>
      </c>
      <c r="ND177" s="246">
        <f t="shared" si="677"/>
        <v>17.851378149999999</v>
      </c>
      <c r="NE177" s="386">
        <f t="shared" si="678"/>
        <v>18.091378149999997</v>
      </c>
      <c r="NF177" s="380">
        <f t="shared" si="623"/>
        <v>18.251378149999997</v>
      </c>
      <c r="NG177" s="387">
        <f t="shared" si="624"/>
        <v>19.291378149999996</v>
      </c>
      <c r="NH177" s="254">
        <f t="shared" si="625"/>
        <v>21.691378149999998</v>
      </c>
      <c r="NI177" s="380">
        <f t="shared" si="626"/>
        <v>21.851378149999999</v>
      </c>
      <c r="NK177" s="388">
        <f t="shared" si="627"/>
        <v>0.55274393324200055</v>
      </c>
      <c r="NL177" s="388">
        <f t="shared" si="628"/>
        <v>19.307918168252051</v>
      </c>
      <c r="NM177" s="388">
        <f t="shared" si="629"/>
        <v>0.55274393324200055</v>
      </c>
      <c r="NN177" s="388">
        <f t="shared" si="630"/>
        <v>19.445461266384719</v>
      </c>
      <c r="NO177" s="388">
        <f t="shared" si="631"/>
        <v>0.96197436100989631</v>
      </c>
      <c r="NP177" s="388">
        <f t="shared" si="632"/>
        <v>21.321950455757747</v>
      </c>
      <c r="NQ177" s="388">
        <f t="shared" si="633"/>
        <v>0.96197436100989631</v>
      </c>
      <c r="NR177" s="388">
        <f t="shared" si="634"/>
        <v>21.486473852375525</v>
      </c>
      <c r="NS177" s="388">
        <f t="shared" si="635"/>
        <v>0.5735698486375842</v>
      </c>
      <c r="NT177" s="388">
        <f t="shared" si="636"/>
        <v>0.5735698486375842</v>
      </c>
      <c r="NU177" s="388">
        <f t="shared" si="637"/>
        <v>0.98735674652361105</v>
      </c>
      <c r="NV177" s="388">
        <f t="shared" si="638"/>
        <v>0.98735674652361105</v>
      </c>
      <c r="NW177">
        <f t="shared" si="639"/>
        <v>0.77904123720575358</v>
      </c>
      <c r="NX177">
        <f>各项系数!$M$9*NK177</f>
        <v>0.16582317997260015</v>
      </c>
      <c r="NY177">
        <f t="shared" si="640"/>
        <v>0.5735698486375842</v>
      </c>
    </row>
    <row r="178" spans="1:389" ht="15" hidden="1" customHeight="1">
      <c r="A178" s="69"/>
      <c r="B178" s="70"/>
      <c r="C178" s="69"/>
      <c r="D178" s="102" t="s">
        <v>140</v>
      </c>
      <c r="E178" s="61">
        <f t="shared" si="805"/>
        <v>20.271360019999999</v>
      </c>
      <c r="F178" s="62">
        <f t="shared" si="798"/>
        <v>134.922667214547</v>
      </c>
      <c r="G178" s="16"/>
      <c r="H178" s="16"/>
      <c r="I178" s="145">
        <v>0</v>
      </c>
      <c r="J178" s="16"/>
      <c r="K178" s="16"/>
      <c r="L178" s="97" t="s">
        <v>469</v>
      </c>
      <c r="M178" s="103">
        <f t="shared" si="582"/>
        <v>0.7</v>
      </c>
      <c r="N178" s="103">
        <f t="shared" si="804"/>
        <v>0</v>
      </c>
      <c r="O178" s="53">
        <f t="shared" ref="O178:O187" si="819">$O$36</f>
        <v>0.08</v>
      </c>
      <c r="P178" s="99">
        <v>0.1</v>
      </c>
      <c r="Q178" s="133">
        <f t="shared" si="806"/>
        <v>0.1</v>
      </c>
      <c r="R178" s="406">
        <v>0.8</v>
      </c>
      <c r="S178" s="142" t="str">
        <f>各项系数!$D$43</f>
        <v>钢带</v>
      </c>
      <c r="T178" s="102">
        <v>0.2</v>
      </c>
      <c r="U178" s="62">
        <v>4</v>
      </c>
      <c r="V178" s="143"/>
      <c r="W178" s="141">
        <f t="shared" si="818"/>
        <v>1.8</v>
      </c>
      <c r="X178" s="135">
        <f t="shared" si="807"/>
        <v>0.2</v>
      </c>
      <c r="Y178" s="135"/>
      <c r="Z178" s="168"/>
      <c r="AA178" s="153">
        <v>1</v>
      </c>
      <c r="AB178" s="153">
        <f>PI()*EJ178*EJ178/4*EH178*(1-H178)*AA178*各项系数!$F$5*各项系数!$J$4*10^-7</f>
        <v>1.2646913814443796E-2</v>
      </c>
      <c r="AC178" s="153">
        <f t="shared" si="808"/>
        <v>134.922667214547</v>
      </c>
      <c r="AD178" s="153">
        <f t="shared" si="584"/>
        <v>1.4297487227412424</v>
      </c>
      <c r="AE178" s="153">
        <f>POWER(4*EU178/PI()/EG178/10^-7/EH178/(1-H178)/各项系数!$F$5/各项系数!$J$4,0.5)</f>
        <v>134.922667214547</v>
      </c>
      <c r="AF178" s="69">
        <v>1</v>
      </c>
      <c r="AG178" s="69">
        <f>IF(EM178=0,0,PI()*ER178*ER178/4*EP178*(1-K178)*(1+AF178)*各项系数!$F$5*各项系数!$J$4*10^-7)</f>
        <v>0</v>
      </c>
      <c r="AH178" s="69">
        <f t="shared" si="809"/>
        <v>0</v>
      </c>
      <c r="AI178" s="69">
        <f t="shared" si="641"/>
        <v>0</v>
      </c>
      <c r="AJ178" s="69">
        <f>IF(OR(EP178="",EP178=0),0,POWER(4*EW178/PI()/EO178/10^-7/EP178/(1-K178)/各项系数!$F$5/各项系数!$J$4,0.5))</f>
        <v>0</v>
      </c>
      <c r="AK178" s="69" t="str">
        <f t="shared" si="585"/>
        <v>√</v>
      </c>
      <c r="AL178" s="69">
        <f t="shared" si="810"/>
        <v>24.408587283370156</v>
      </c>
      <c r="AM178" s="188">
        <f t="shared" si="811"/>
        <v>1.5</v>
      </c>
      <c r="AN178" s="97" t="s">
        <v>486</v>
      </c>
      <c r="AO178" s="196">
        <f>AP178+各项系数!$M$9*$NK178</f>
        <v>23.929987532715838</v>
      </c>
      <c r="AP178" s="196">
        <f>AQ178*(1+$BI178+(VLOOKUP($AM178,$A$12:$B$323,2,0))+各项系数!$J$6+各项系数!$M$5)*(1+$E$2)</f>
        <v>23.730712225425503</v>
      </c>
      <c r="AQ178" s="197">
        <f>AR178+各项系数!$L$9*$NK178</f>
        <v>23.975259876162362</v>
      </c>
      <c r="AR178" s="197">
        <f>AS178*(1+$BJ178+各项系数!$J$5+各项系数!$L$5)</f>
        <v>23.775984568872026</v>
      </c>
      <c r="AS178" s="197">
        <f t="shared" si="642"/>
        <v>23.083480163953421</v>
      </c>
      <c r="AT178" s="196">
        <f>AU178+各项系数!$M$9*$NM178</f>
        <v>24.984258110559253</v>
      </c>
      <c r="AU178" s="196">
        <f>AV178*(1+$BI178+(VLOOKUP($AM178,$A$12:$B$323,2,0))+各项系数!$J$6+各项系数!$M$5)*(1+$E$2)</f>
        <v>24.784982803268917</v>
      </c>
      <c r="AV178" s="197">
        <f>AW178+各项系数!$L$9*$NM178</f>
        <v>25.040394830540428</v>
      </c>
      <c r="AW178" s="197">
        <f>AX178*(1+$BJ178+各项系数!$J$5+各项系数!$L$5)</f>
        <v>24.841119523250093</v>
      </c>
      <c r="AX178" s="197">
        <f t="shared" si="643"/>
        <v>24.117591770145722</v>
      </c>
      <c r="AY178" s="196">
        <f>AZ178+各项系数!$M$9*$NS178</f>
        <v>25.56765908345378</v>
      </c>
      <c r="AZ178" s="196">
        <f>BA178*(1+$BI178+(VLOOKUP($AM178,$A$12:$B$214,2,0))+各项系数!$J$6+各项系数!$M$5)*(1+$E$2)</f>
        <v>25.361364119078601</v>
      </c>
      <c r="BA178" s="197">
        <f>BB178+各项系数!$L$9*$NS178</f>
        <v>25.622715820447162</v>
      </c>
      <c r="BB178" s="197">
        <f>BC178*(1+$BJ178+各项系数!$J$5+各项系数!$L$5)</f>
        <v>25.416420856071984</v>
      </c>
      <c r="BC178" s="199">
        <f t="shared" si="644"/>
        <v>24.676136753467944</v>
      </c>
      <c r="BD178" s="196">
        <f>BE178+各项系数!$M$9*$NS178</f>
        <v>26.631061814656363</v>
      </c>
      <c r="BE178" s="196">
        <f>BF178*(1+$BI178+(VLOOKUP($AM178,$A$12:$B$214,2,0))+各项系数!$J$6+各项系数!$M$5)*(1+$E$2)</f>
        <v>26.424766850281184</v>
      </c>
      <c r="BF178" s="197">
        <f>BG178+各项系数!$L$9*$NS178</f>
        <v>26.697077036048881</v>
      </c>
      <c r="BG178" s="197">
        <f>BH178*(1+$BJ178+各项系数!$J$5+各项系数!$L$5)</f>
        <v>26.490782071673703</v>
      </c>
      <c r="BH178" s="199">
        <f t="shared" si="645"/>
        <v>25.719205894828836</v>
      </c>
      <c r="BI178" s="213"/>
      <c r="BJ178" s="208">
        <f t="shared" si="800"/>
        <v>0.01</v>
      </c>
      <c r="BK178" s="102" t="s">
        <v>514</v>
      </c>
      <c r="BL178" s="196">
        <f>BM178+各项系数!$M$9*$NM178</f>
        <v>24.315736576699919</v>
      </c>
      <c r="BM178" s="196">
        <f>BN178*(1+$CF178+(VLOOKUP($AM178,$A$12:$B$323,2,0))+各项系数!$J$6+各项系数!$M$5)*(1+$E$2)</f>
        <v>24.116461269409584</v>
      </c>
      <c r="BN178" s="197">
        <f>BO178+各项系数!$L$9*$NM178</f>
        <v>24.364984107304085</v>
      </c>
      <c r="BO178" s="197">
        <f>BP178*(1+$CG178+各项系数!$J$5+各项系数!$L$5)</f>
        <v>24.16570880001375</v>
      </c>
      <c r="BP178" s="197">
        <f t="shared" si="646"/>
        <v>23.236258461551682</v>
      </c>
      <c r="BQ178" s="196">
        <f>BR178+各项系数!$M$9*$NM178</f>
        <v>25.222974033900154</v>
      </c>
      <c r="BR178" s="196">
        <f>BS178*(1+$CF178+(VLOOKUP($AM178,$A$12:$B$323,2,0))+各项系数!$J$6+各项系数!$M$5)*(1+$E$2)</f>
        <v>25.023698726609819</v>
      </c>
      <c r="BS178" s="197">
        <f>BT178+各项系数!$L$9*$NM178</f>
        <v>25.281570748241887</v>
      </c>
      <c r="BT178" s="197">
        <f>BU178*(1+$CG178+各项系数!$J$5+各项系数!$L$5)</f>
        <v>25.082295440951551</v>
      </c>
      <c r="BU178" s="197">
        <f t="shared" si="647"/>
        <v>24.117591770145722</v>
      </c>
      <c r="BV178" s="196">
        <f>BW178+各项系数!$M$9*$NT178</f>
        <v>25.774522874232161</v>
      </c>
      <c r="BW178" s="196">
        <f>BX178*(1+$CF178+(VLOOKUP($AM178,$A$12:$B$214,2,0))+各项系数!$J$6+各项系数!$M$5)*(1+$E$2)</f>
        <v>25.568227909856983</v>
      </c>
      <c r="BX178" s="197">
        <f>BY178+各项系数!$L$9*$NT$12</f>
        <v>25.831711365788021</v>
      </c>
      <c r="BY178" s="197">
        <f>BZ178*(1+$CG178+各项系数!$J$5+各项系数!$L$5)</f>
        <v>25.823447962633047</v>
      </c>
      <c r="BZ178" s="199">
        <f t="shared" si="586"/>
        <v>24.830238425608698</v>
      </c>
      <c r="CA178" s="196">
        <f>CB178+各项系数!$M$9*$NT178</f>
        <v>26.68961887530762</v>
      </c>
      <c r="CB178" s="196">
        <f>CC178*(1+$CF178+(VLOOKUP($AM178,$A$12:$B$214,2,0))+各项系数!$J$6+各项系数!$M$5)*(1+$E$2)</f>
        <v>26.483323910932441</v>
      </c>
      <c r="CC178" s="197">
        <f>CD178+各项系数!$L$9*$NT$12</f>
        <v>26.756237533776964</v>
      </c>
      <c r="CD178" s="197">
        <f>CE178*(1+$CG178+各项系数!$J$5+各项系数!$L$5)</f>
        <v>26.747974130621991</v>
      </c>
      <c r="CE178" s="199">
        <f t="shared" si="648"/>
        <v>25.719205894828836</v>
      </c>
      <c r="CF178" s="213">
        <f t="shared" si="753"/>
        <v>0</v>
      </c>
      <c r="CG178" s="213">
        <f t="shared" si="587"/>
        <v>0.02</v>
      </c>
      <c r="CH178" s="102"/>
      <c r="CI178" s="196">
        <f>CJ178+各项系数!$M$9*$NO178</f>
        <v>26.967827696011188</v>
      </c>
      <c r="CJ178" s="196">
        <f>CK178*(1+$DC178+(VLOOKUP($AM178,$A$12:$B$323,2,0))+各项系数!$J$6+各项系数!$M$5)*(1+$E$2)+各项系数!$M$9*$NK178</f>
        <v>26.600760179640513</v>
      </c>
      <c r="CK178" s="197">
        <f>CL178+各项系数!$L$9*$NO178</f>
        <v>26.673555134724367</v>
      </c>
      <c r="CL178" s="197">
        <f>CM178*(1+$DD178+各项系数!$J$5+各项系数!$L$5)</f>
        <v>26.306487618353692</v>
      </c>
      <c r="CM178" s="197">
        <f t="shared" si="588"/>
        <v>25.540279241120089</v>
      </c>
      <c r="CN178" s="196">
        <f>CO178+各项系数!$M$9*$NO178</f>
        <v>27.713137792920442</v>
      </c>
      <c r="CO178" s="196">
        <f>CP178*(1+$DC178+(VLOOKUP($AM178,$A$12:$B$323,2,0))+各项系数!$J$6+各项系数!$M$5)*(1+$E$2)+各项系数!$M$9*$NK178</f>
        <v>27.346070276549767</v>
      </c>
      <c r="CP178" s="197">
        <f>CQ178+各项系数!$L$9*$NO178</f>
        <v>27.426545735764225</v>
      </c>
      <c r="CQ178" s="197">
        <f>CR178*(1+$DD178+各项系数!$J$5+各项系数!$L$5)</f>
        <v>27.059478219393551</v>
      </c>
      <c r="CR178" s="197">
        <f t="shared" si="589"/>
        <v>26.271338077081115</v>
      </c>
      <c r="CS178" s="196">
        <f>CT178+各项系数!$M$9*$NU178</f>
        <v>28.761478371209371</v>
      </c>
      <c r="CT178" s="196">
        <f t="shared" si="590"/>
        <v>28.38585579862637</v>
      </c>
      <c r="CU178" s="197">
        <f>CV178+各项系数!$L$9*$NU178</f>
        <v>28.678375225930864</v>
      </c>
      <c r="CV178" s="197">
        <f>CW178*(1+$DD178+各项系数!$J$5+各项系数!$L$5)</f>
        <v>28.302752653347863</v>
      </c>
      <c r="CW178" s="199">
        <f t="shared" si="591"/>
        <v>27.478400634318312</v>
      </c>
      <c r="CX178" s="196">
        <f>CY178+各项系数!$M$9*$NU178</f>
        <v>30.034007414336774</v>
      </c>
      <c r="CY178" s="196">
        <f t="shared" si="592"/>
        <v>29.658384841753772</v>
      </c>
      <c r="CZ178" s="197">
        <f>DA178+各项系数!$L$9*$NU178</f>
        <v>29.964017823554023</v>
      </c>
      <c r="DA178" s="197">
        <f>DB178*(1+$DD178+各项系数!$J$5+各项系数!$L$5)</f>
        <v>29.588395250971022</v>
      </c>
      <c r="DB178" s="199">
        <f t="shared" si="593"/>
        <v>28.726597331039827</v>
      </c>
      <c r="DC178" s="213">
        <f t="shared" si="803"/>
        <v>0</v>
      </c>
      <c r="DD178" s="213">
        <f t="shared" si="594"/>
        <v>0.01</v>
      </c>
      <c r="DE178" s="53" t="s">
        <v>498</v>
      </c>
      <c r="DF178" s="53" t="s">
        <v>513</v>
      </c>
      <c r="DG178" s="196">
        <f>DH178+各项系数!$M$9*$NQ178</f>
        <v>27.409090146986458</v>
      </c>
      <c r="DH178" s="196">
        <f>DI178*(1+$EA178+(VLOOKUP($AM178,$A$12:$B$323,2,0))+各项系数!$J$6+各项系数!$M$5)*(1+$E$2)+各项系数!$M$9*$NK178</f>
        <v>27.042022630615783</v>
      </c>
      <c r="DI178" s="197">
        <f>DJ178+各项系数!$L$9*$NQ178</f>
        <v>27.119364844741813</v>
      </c>
      <c r="DJ178" s="197">
        <f>DK178*(1+$EB178+各项系数!$J$5+各项系数!$L$5)</f>
        <v>26.752297328371139</v>
      </c>
      <c r="DK178" s="197">
        <f t="shared" si="595"/>
        <v>25.723362815741478</v>
      </c>
      <c r="DL178" s="196">
        <f>DM178+各项系数!$M$9*$NQ178</f>
        <v>28.496288258929091</v>
      </c>
      <c r="DM178" s="196">
        <f>DN178*(1+$EA178+(VLOOKUP($AM178,$A$12:$B$323,2,0))+各项系数!$J$6+各项系数!$M$5)*(1+$E$2)+各项系数!$M$9*$NK178</f>
        <v>28.129220742558417</v>
      </c>
      <c r="DN178" s="197">
        <f>DO178+各项系数!$L$9*$NQ178</f>
        <v>28.217766655150616</v>
      </c>
      <c r="DO178" s="197">
        <f>DP178*(1+$EB178+各项系数!$J$5+各项系数!$L$5)</f>
        <v>27.850699138779941</v>
      </c>
      <c r="DP178" s="197">
        <f t="shared" si="596"/>
        <v>26.77951840267302</v>
      </c>
      <c r="DQ178" s="196">
        <f>DR178+各项系数!$M$9*$NV178</f>
        <v>29.223286618901561</v>
      </c>
      <c r="DR178" s="196">
        <f t="shared" si="597"/>
        <v>28.84766404631856</v>
      </c>
      <c r="DS178" s="197">
        <f>DT178+各项系数!$L$9*$NV178</f>
        <v>29.144942459404486</v>
      </c>
      <c r="DT178" s="197">
        <f>DU178*(1+$EB178+各项系数!$J$5+各项系数!$L$5)</f>
        <v>28.769319886821485</v>
      </c>
      <c r="DU178" s="199">
        <f t="shared" si="598"/>
        <v>27.662807583482195</v>
      </c>
      <c r="DV178" s="196">
        <f>DW178+各项系数!$M$9*$NV178</f>
        <v>28.506700075907471</v>
      </c>
      <c r="DW178" s="196">
        <f t="shared" si="599"/>
        <v>28.13107750332447</v>
      </c>
      <c r="DX178" s="197">
        <f>DY178+各项系数!$L$9*$NV178</f>
        <v>28.420971411724054</v>
      </c>
      <c r="DY178" s="197">
        <f>DZ178*(1+$EB178+各项系数!$J$5+各项系数!$L$5)</f>
        <v>28.045348839141052</v>
      </c>
      <c r="DZ178" s="199">
        <f t="shared" si="600"/>
        <v>26.966681576097166</v>
      </c>
      <c r="EA178" s="213">
        <f t="shared" si="802"/>
        <v>0</v>
      </c>
      <c r="EB178" s="213">
        <f t="shared" si="601"/>
        <v>0.02</v>
      </c>
      <c r="EC178" s="235">
        <f t="shared" si="649"/>
        <v>24</v>
      </c>
      <c r="ED178" s="235" t="str">
        <f t="shared" si="756"/>
        <v>24*1.5</v>
      </c>
      <c r="EE178" s="189">
        <f t="shared" si="812"/>
        <v>1.5</v>
      </c>
      <c r="EF178" s="189">
        <f>LOOKUP(EH178,{1,7,10,14,19,24,30,37,48,61},{1,"1+6","2+8","4+10","1+6+12","2+8+14","4+10+16","1+6+12+18","3+9+15+21","1+6+12+18+24"})</f>
        <v>1</v>
      </c>
      <c r="EG178" s="188">
        <f t="shared" si="602"/>
        <v>24</v>
      </c>
      <c r="EH178" s="197">
        <f>VLOOKUP(EE178,各项系数!$B$87:$C$124,2,0)</f>
        <v>1</v>
      </c>
      <c r="EI178" s="188">
        <f>IF(EH178=0,0,VLOOKUP(EH178,各项系数!$D$142:$E$195,2,0))*1</f>
        <v>1</v>
      </c>
      <c r="EJ178" s="238">
        <f t="shared" si="650"/>
        <v>134.922667214547</v>
      </c>
      <c r="EK178" s="189">
        <f t="shared" si="813"/>
        <v>0</v>
      </c>
      <c r="EL178" s="189">
        <f t="shared" si="603"/>
        <v>0</v>
      </c>
      <c r="EM178" s="189">
        <f t="shared" si="814"/>
        <v>0</v>
      </c>
      <c r="EN178" s="189">
        <f>IF(EP178=0,0,LOOKUP(EP178,{1,7,10,14,19,24,30,37,48,61},{1,"1+6","2+8","4+10","1+6+12","2+8+14","4+10+16","1+6+12+18","3+9+15+21","1+6+12+18+24"}))</f>
        <v>0</v>
      </c>
      <c r="EO178" s="189">
        <f t="shared" si="815"/>
        <v>0</v>
      </c>
      <c r="EP178" s="189">
        <f>IF(EM178=0,0,IF(EM178&lt;10,1,IF(AND(EM178&gt;=10,EM178&lt;=35),7,LOOKUP(EM178,{50,70,95,120,150,185,240,300},{10,14,19,24,30,37,48,61})*1)))</f>
        <v>0</v>
      </c>
      <c r="EQ178" s="189">
        <f>IF(EP178=0,0,VLOOKUP(EP178,各项系数!$D$142:$E$195,2,0))*1</f>
        <v>0</v>
      </c>
      <c r="ER178" s="53">
        <f t="shared" si="816"/>
        <v>0</v>
      </c>
      <c r="ES178" s="412">
        <f t="shared" si="817"/>
        <v>24</v>
      </c>
      <c r="ET178" s="189">
        <f>VLOOKUP(ES178,各项系数!$D$142:$E$195,2,0)*1</f>
        <v>6</v>
      </c>
      <c r="EU178" s="243">
        <f>((各项系数!$F$76/4*$EJ178^2*$EG178*$EH178*1*10^-7)*(1-$H178)*AA178)*(VLOOKUP($EY$9,各项系数!$D$4:$F$143,3,0))*各项系数!$J$4</f>
        <v>0.30352593154665108</v>
      </c>
      <c r="EV178" s="244">
        <f>EU178*(VLOOKUP($EY$9,各项系数!$D$4:$F$143,2,0))</f>
        <v>19.880948516305647</v>
      </c>
      <c r="EW178" s="252">
        <f>(IF($EO178=0,0,(各项系数!$F$76/4*$ER178^2*$EO178*$EP178*1*10^-7))*(1-$K178)*$AF178)*(VLOOKUP($EY$9,各项系数!$D$4:$F$143,3,0))*各项系数!$J$4</f>
        <v>0</v>
      </c>
      <c r="EX178" s="253">
        <f>EW178*(VLOOKUP($EY$9,各项系数!$D$4:$F$143,2,0))</f>
        <v>0</v>
      </c>
      <c r="EY178" s="189">
        <f>((各项系数!$F$76/4*$EJ178^2*$EG178*$EH178*1*10^-7)*(1-$H178)*AA178+IF($EO178=0,0,(各项系数!$F$76/4*$ER178^2*$EO178*$EP178*1*10^-7))*(1-$K178)*$AF178)*(VLOOKUP($EY$9,各项系数!$D$4:$F$143,3,0))*各项系数!$J$4</f>
        <v>0.30352593154665108</v>
      </c>
      <c r="EZ178" s="102">
        <v>1</v>
      </c>
      <c r="FA178" s="189">
        <f t="shared" si="757"/>
        <v>0.30352593154665108</v>
      </c>
      <c r="FB178" s="254">
        <f>FA178*(VLOOKUP($EY$9,各项系数!$D$4:$F$143,2,0))</f>
        <v>19.880948516305647</v>
      </c>
      <c r="FC178" s="255"/>
      <c r="FD178" s="235">
        <f>各项系数!$F$76/4*($MN178^2-MK178^2)*10^-2*(VLOOKUP(L178,各项系数!$D$1:$F$143,3,0))*10^-3*10^2*$EG178*各项系数!$J$4</f>
        <v>0.11837634315742089</v>
      </c>
      <c r="FE178" s="262">
        <f>FD178*VLOOKUP(L178,各项系数!$D$1:$F$143,2,0)</f>
        <v>1.3613279463103403</v>
      </c>
      <c r="FF178" s="188">
        <f>各项系数!$F$76/4*($MO178^2-ML178^2)*10^-2*(VLOOKUP(L178,各项系数!$D$1:$F$143,3,0))*10^-3*10^2*$EO178*各项系数!$J$4</f>
        <v>0</v>
      </c>
      <c r="FG178" s="262">
        <f>FF178*VLOOKUP(L178,各项系数!$D$1:$F$143,2,0)</f>
        <v>0</v>
      </c>
      <c r="FH178" s="235">
        <f t="shared" si="651"/>
        <v>0.11837634315742089</v>
      </c>
      <c r="FI178" s="102">
        <v>1</v>
      </c>
      <c r="FJ178" s="189">
        <f t="shared" si="758"/>
        <v>0.11837634315742089</v>
      </c>
      <c r="FK178" s="262">
        <f>FJ178*VLOOKUP(L178,各项系数!$D$1:$F$143,2,0)</f>
        <v>1.3613279463103403</v>
      </c>
      <c r="FL178" s="235"/>
      <c r="FM178" s="102"/>
      <c r="FN178" s="189"/>
      <c r="FO178" s="262"/>
      <c r="FP178" s="282">
        <f t="shared" si="759"/>
        <v>0.11837634315742089</v>
      </c>
      <c r="FQ178" s="282">
        <f t="shared" si="760"/>
        <v>1.3613279463103403</v>
      </c>
      <c r="FR178" s="283">
        <f>各项系数!$F$76/4*($MQ178^2-$MN178^2*$EG178-$MO178^2*$EO178)*10^-2</f>
        <v>0.71234802415233744</v>
      </c>
      <c r="FS178" s="284">
        <f t="shared" si="652"/>
        <v>1</v>
      </c>
      <c r="FT178" s="285">
        <f t="shared" si="604"/>
        <v>0.71234802415233744</v>
      </c>
      <c r="FU178" s="302">
        <f>$FT178*(VLOOKUP($FT$9,各项系数!$D$1:$F$143,3,0))*10^-3*10^2*各项系数!$J$55</f>
        <v>8.5054354083789072E-2</v>
      </c>
      <c r="FV178" s="303">
        <v>1</v>
      </c>
      <c r="FW178" s="304">
        <f t="shared" si="761"/>
        <v>8.5054354083789072E-2</v>
      </c>
      <c r="FX178" s="285">
        <f>FW178*(VLOOKUP($FT$9,各项系数!$D$1:$F$143,2,0))</f>
        <v>0.2551630622513672</v>
      </c>
      <c r="FY178" s="302">
        <f>IF($BK178&lt;&gt;$FY$9,0,各项系数!$F$76/4*($MS178^2-$MQ178^2)*10^-2*(VLOOKUP($FY$9,各项系数!$D$1:$F$143,3,0))*10^-3*10^2)*各项系数!$J$4</f>
        <v>0</v>
      </c>
      <c r="FZ178" s="303">
        <v>1</v>
      </c>
      <c r="GA178" s="304">
        <f t="shared" si="762"/>
        <v>0</v>
      </c>
      <c r="GB178" s="285">
        <f>GA178*(VLOOKUP($FY$9,各项系数!$D$1:$F$143,2,0))</f>
        <v>0</v>
      </c>
      <c r="GC178" s="302">
        <f>IF($BK178&lt;&gt;$GC$9,0,各项系数!$F$76/4*($MS178^2-$MQ178^2)*10^-2*(VLOOKUP($GC$9,各项系数!$D$1:$F$143,3,0))*10^-3*10^2)*各项系数!$J$4</f>
        <v>4.5160979149974209E-3</v>
      </c>
      <c r="GD178" s="303">
        <v>1</v>
      </c>
      <c r="GE178" s="304">
        <f t="shared" si="763"/>
        <v>4.5160979149974209E-3</v>
      </c>
      <c r="GF178" s="285">
        <f>GE178*(VLOOKUP($GC$9,各项系数!$D$1:$F$143,2,0))</f>
        <v>5.8257663103466729E-2</v>
      </c>
      <c r="GG178" s="302">
        <f>IF($BK178&lt;&gt;$GG$9,0,各项系数!$F$76/4*($MS178^2-$MQ178^2)*10^-2*(VLOOKUP($GG$9,各项系数!$D$1:$F$143,3,0))*10^-3*10^2)*各项系数!$J$4</f>
        <v>0</v>
      </c>
      <c r="GH178" s="303">
        <v>1</v>
      </c>
      <c r="GI178" s="304">
        <f t="shared" si="764"/>
        <v>0</v>
      </c>
      <c r="GJ178" s="285">
        <f>GI178*(VLOOKUP($GG$9,各项系数!$D$1:$F$143,2,0))</f>
        <v>0</v>
      </c>
      <c r="GK178" s="302">
        <f>IF($BK178&lt;&gt;$GK$9,0,各项系数!$F$76/4*($MS178^2-$MQ178^2)*10^-2*(VLOOKUP($GK$9,各项系数!$D$1:$F$143,3,0))*10^-3*10^2)*各项系数!$J$4</f>
        <v>0</v>
      </c>
      <c r="GL178" s="303">
        <v>1</v>
      </c>
      <c r="GM178" s="304">
        <f t="shared" si="765"/>
        <v>0</v>
      </c>
      <c r="GN178" s="285">
        <f>GM178*(VLOOKUP($GK$9,各项系数!$D$1:$F$143,2,0))</f>
        <v>0</v>
      </c>
      <c r="GO178" s="304">
        <f t="shared" si="766"/>
        <v>4.5160979149974209E-3</v>
      </c>
      <c r="GP178" s="304">
        <f t="shared" si="767"/>
        <v>5.8257663103466729E-2</v>
      </c>
      <c r="GQ178" s="315">
        <f>各项系数!$F$76/4*($MU178^2-$MS178^2)*10^-2*(VLOOKUP($S178,各项系数!$D$1:$F$143,3,0))*10^-3*10^2*各项系数!$J$4</f>
        <v>0.25331300913856658</v>
      </c>
      <c r="GR178" s="303">
        <v>1</v>
      </c>
      <c r="GS178" s="304">
        <f t="shared" si="768"/>
        <v>0.25331300913856658</v>
      </c>
      <c r="GT178" s="304">
        <f t="shared" si="696"/>
        <v>0</v>
      </c>
      <c r="GU178" s="304">
        <f>ROUND($GS178*(VLOOKUP($S178,各项系数!$D$1:$F$143,2,0))+$E$3*GS178,GT178)</f>
        <v>1</v>
      </c>
      <c r="GV178" s="315">
        <f>各项系数!$F$76/4*($MT178^2-$MS178^2)*10^-2*(VLOOKUP($GV$9,各项系数!$D$1:$F$143,3,0))*10^-3*10^2*各项系数!$J$4*PI()/4*R178</f>
        <v>2.3398856949475213E-2</v>
      </c>
      <c r="GW178" s="303">
        <v>1</v>
      </c>
      <c r="GX178" s="304">
        <f t="shared" si="769"/>
        <v>2.3398856949475213E-2</v>
      </c>
      <c r="GY178" s="304">
        <f>$GX178*(VLOOKUP($GV$9,各项系数!$D$1:$F$143,2,0))</f>
        <v>1.5794228440895768</v>
      </c>
      <c r="GZ178" s="315">
        <f>各项系数!$F$76/4*($MV178^2-$MS178^2)*10^-2*(VLOOKUP($GZ$9,各项系数!$D$1:$F$143,3,0))*10^-3*10^2*各项系数!$J$4</f>
        <v>0.150699681304406</v>
      </c>
      <c r="HA178" s="303">
        <v>1</v>
      </c>
      <c r="HB178" s="304">
        <f t="shared" si="653"/>
        <v>0.150699681304406</v>
      </c>
      <c r="HC178" s="304">
        <f>HB178*(VLOOKUP($GZ$9,各项系数!$D$1:$F$143,2,0))</f>
        <v>2.5618945821749022</v>
      </c>
      <c r="HD178" s="315">
        <f>各项系数!$F$76/4*($MW178^2-$MT178^2)*10^-2*(VLOOKUP($HD$9,各项系数!$D$1:$F$143,3,0))*10^-3*10^2*各项系数!$J$4</f>
        <v>0.15200505075108442</v>
      </c>
      <c r="HE178" s="303">
        <v>1</v>
      </c>
      <c r="HF178" s="304">
        <f t="shared" si="654"/>
        <v>0.15200505075108442</v>
      </c>
      <c r="HG178" s="304">
        <f>HF178*(VLOOKUP($HD$9,各项系数!$D$1:$F$143,2,0))</f>
        <v>2.5840858627684353</v>
      </c>
      <c r="HH178" s="315">
        <f>各项系数!$F$76/4*($MV178^2-$MS178^2)*10^-2*(VLOOKUP($HH$9,各项系数!$D$1:$F$143,3,0))*10^-3*10^2*各项系数!$J$4</f>
        <v>0.150699681304406</v>
      </c>
      <c r="HI178" s="322">
        <v>1</v>
      </c>
      <c r="HJ178" s="304">
        <f t="shared" si="655"/>
        <v>0.150699681304406</v>
      </c>
      <c r="HK178" s="304">
        <f>HJ178*(VLOOKUP($HH$9,各项系数!$D$1:$F$143,2,0))</f>
        <v>2.5618945821749022</v>
      </c>
      <c r="HL178" s="315">
        <f>各项系数!$F$76/4*($MW178^2-$MT178^2)*10^-2*(VLOOKUP($HL$9,各项系数!$D$1:$F$143,3,0))*10^-3*10^2*各项系数!$J$4</f>
        <v>0.15200505075108442</v>
      </c>
      <c r="HM178" s="322">
        <v>1</v>
      </c>
      <c r="HN178" s="304">
        <f t="shared" si="605"/>
        <v>0.15200505075108442</v>
      </c>
      <c r="HO178" s="304">
        <f>HN178*(VLOOKUP($HL$9,各项系数!$D$1:$F$143,2,0))</f>
        <v>2.5840858627684353</v>
      </c>
      <c r="HP178" s="315">
        <f>各项系数!$F$76/4*($MV178^2-$MS178^2)*10^-2*(VLOOKUP(AN178,各项系数!$D$1:$F$143,3,0))*10^-3*10^2*各项系数!$J$4</f>
        <v>0.15277829759825987</v>
      </c>
      <c r="HQ178" s="303">
        <v>1</v>
      </c>
      <c r="HR178" s="304">
        <f t="shared" si="770"/>
        <v>0.15277829759825987</v>
      </c>
      <c r="HS178" s="304">
        <f>HR178*(VLOOKUP(AN178,各项系数!$D$1:$F$143,2,0))</f>
        <v>1.5277829759825987</v>
      </c>
      <c r="HT178" s="315">
        <f>各项系数!$F$76/4*($MW178^2-$MT178^2)*10^-2*(VLOOKUP(AN178,各项系数!$D$1:$F$143,3,0))*10^-3*10^2*各项系数!$J$4</f>
        <v>0.15410167214075457</v>
      </c>
      <c r="HU178" s="303">
        <v>1</v>
      </c>
      <c r="HV178" s="304">
        <f t="shared" si="771"/>
        <v>0.15410167214075457</v>
      </c>
      <c r="HW178" s="304">
        <f>HV178*(VLOOKUP(AN178,各项系数!$D$1:$F$143,2,0))</f>
        <v>1.5410167214075456</v>
      </c>
      <c r="HX178" s="315">
        <f>各项系数!$F$76/4*($MV178^2-$MS178^2)*10^-2*(VLOOKUP($HX$9,各项系数!$D$1:$F$143,3,0))*10^-3*10^2*各项系数!$J$4</f>
        <v>0.15277829759825987</v>
      </c>
      <c r="HY178" s="322">
        <v>1</v>
      </c>
      <c r="HZ178" s="304">
        <f t="shared" si="772"/>
        <v>0.15277829759825987</v>
      </c>
      <c r="IA178" s="304">
        <f>HZ178*(VLOOKUP($HX$9,各项系数!$D$1:$F$143,2,0))</f>
        <v>1.6805612735808586</v>
      </c>
      <c r="IB178" s="315">
        <f>各项系数!$F$76/4*($MW178^2-$MT178^2)*10^-2*(VLOOKUP($IB$9,各项系数!$D$1:$F$143,3,0))*10^-3*10^2*各项系数!$J$4</f>
        <v>0.15410167214075457</v>
      </c>
      <c r="IC178" s="322">
        <v>1</v>
      </c>
      <c r="ID178" s="304">
        <f t="shared" si="773"/>
        <v>0.15410167214075457</v>
      </c>
      <c r="IE178" s="304">
        <f>ID178*(VLOOKUP($IB$9,各项系数!$D$1:$F$143,2,0))</f>
        <v>1.6951183935483003</v>
      </c>
      <c r="IF178" s="328"/>
      <c r="IG178" s="315">
        <f t="shared" si="656"/>
        <v>5.5677157905133542E-2</v>
      </c>
      <c r="IH178" s="303">
        <v>1</v>
      </c>
      <c r="II178" s="304">
        <f t="shared" si="774"/>
        <v>5.5677157905133542E-2</v>
      </c>
      <c r="IJ178" s="304">
        <f>II178*(VLOOKUP($IG$8,各项系数!$D$1:$F$143,2,0))</f>
        <v>1.3919289476283385</v>
      </c>
      <c r="IK178" s="315">
        <f>(各项系数!$F$76/4*($MX178^2-$MK178^2)*$EG178)*10^-2*(VLOOKUP($IG$8,各项系数!$D$1:$F$143,3,0))*10^-3*10^2*各项系数!$J$4</f>
        <v>5.5677157905133542E-2</v>
      </c>
      <c r="IL178" s="303">
        <f>IK178*(VLOOKUP($IG$8,各项系数!$D$1:$F$143,2,0))</f>
        <v>1.3919289476283385</v>
      </c>
      <c r="IM178" s="304">
        <f>(各项系数!$F$76/4*(($MM178+3*$X178)^2-MM178^2)*$EO178)*10^-2*(VLOOKUP($IG$8,各项系数!$D$1:$F$143,3,0))*10^-3*10^2*各项系数!$J$4</f>
        <v>0</v>
      </c>
      <c r="IN178" s="303">
        <f>IM178*(VLOOKUP($IG$8,各项系数!$D$1:$F$143,2,0))</f>
        <v>0</v>
      </c>
      <c r="IO178" s="315">
        <f>各项系数!$F$76/4*($MZ178^2-$MX178^2)*10^-2*(VLOOKUP(L178,各项系数!$D$1:$F$143,3,0))*10^-3*10^2*$ES178*各项系数!$J$4</f>
        <v>0.15303615260370954</v>
      </c>
      <c r="IP178" s="303">
        <v>1</v>
      </c>
      <c r="IQ178" s="304">
        <f t="shared" si="775"/>
        <v>0.15303615260370954</v>
      </c>
      <c r="IR178" s="285">
        <f>IQ178*(VLOOKUP(L178,各项系数!$D$1:$F$143,2,0))</f>
        <v>1.7599157549426596</v>
      </c>
      <c r="IS178" s="315">
        <f>IF($L178&lt;&gt;$IS$9,0,各项系数!$F$76/4*($MZ178^2-$MX178^2)*10^-2*各项系数!$F$12*10^-3*10^2)*$ES178*各项系数!$J$4</f>
        <v>0</v>
      </c>
      <c r="IT178" s="303">
        <v>1</v>
      </c>
      <c r="IU178" s="304">
        <f t="shared" si="776"/>
        <v>0</v>
      </c>
      <c r="IV178" s="285">
        <f>IU178*各项系数!$E$12</f>
        <v>0</v>
      </c>
      <c r="IW178" s="302">
        <f t="shared" si="777"/>
        <v>0.15303615260370954</v>
      </c>
      <c r="IX178" s="302">
        <f t="shared" si="778"/>
        <v>1.7599157549426596</v>
      </c>
      <c r="IY178" s="339">
        <f>各项系数!$F$76/4*($NB178^2-$MZ178^2*$EG178-$NA178^2*$EO178)*10^-2</f>
        <v>1.0572074359540118</v>
      </c>
      <c r="IZ178" s="284">
        <f t="shared" si="697"/>
        <v>1</v>
      </c>
      <c r="JA178" s="285">
        <f t="shared" si="606"/>
        <v>1.0572074359540118</v>
      </c>
      <c r="JB178" s="282">
        <f>IF($DE178&lt;&gt;$JB$9,0,$JA178*各项系数!$F$32*10^-3*10^2)*各项系数!$J$4</f>
        <v>0</v>
      </c>
      <c r="JC178" s="102">
        <v>1</v>
      </c>
      <c r="JD178" s="189">
        <f t="shared" si="779"/>
        <v>0</v>
      </c>
      <c r="JE178" s="262">
        <f>JD178*各项系数!$E$32</f>
        <v>0</v>
      </c>
      <c r="JF178" s="282">
        <f>IF($DE178&lt;&gt;$JF$9,0,$JA178*VLOOKUP($JF$9,各项系数!$D$4:$F$540,2,0)*10^-3*10^2)*各项系数!$J$4</f>
        <v>0.52596069938712087</v>
      </c>
      <c r="JG178" s="102">
        <v>1</v>
      </c>
      <c r="JH178" s="189">
        <f t="shared" si="607"/>
        <v>0.52596069938712087</v>
      </c>
      <c r="JI178" s="262">
        <f>JH178*VLOOKUP($JF$9,各项系数!$D$4:$F$540,3,0)</f>
        <v>0.63115283926454502</v>
      </c>
      <c r="JJ178" s="282">
        <f t="shared" si="780"/>
        <v>0.52596069938712087</v>
      </c>
      <c r="JK178" s="189">
        <f t="shared" si="781"/>
        <v>0.63115283926454502</v>
      </c>
      <c r="JL178" s="282">
        <f>IF($DF178&lt;&gt;$JL$9,0,各项系数!$F$76/4*($NE178^2-$NC178^2)*10^-2*各项系数!$F$39*10^-3*10^2)*各项系数!$J$4</f>
        <v>2.2748718382510319E-3</v>
      </c>
      <c r="JM178" s="102">
        <v>1</v>
      </c>
      <c r="JN178" s="189">
        <f t="shared" si="782"/>
        <v>2.2748718382510319E-3</v>
      </c>
      <c r="JO178" s="262">
        <f>JN178*各项系数!$E$39</f>
        <v>4.5497436765020639E-2</v>
      </c>
      <c r="JP178" s="282">
        <f>IF($DF178&lt;&gt;$JP$9,0,各项系数!$F$76/4*($NE178^2-$NC178^2)*10^-2*各项系数!$F$36*10^-3*10^2)*各项系数!$J$4</f>
        <v>0</v>
      </c>
      <c r="JQ178" s="102">
        <v>1</v>
      </c>
      <c r="JR178" s="189">
        <f t="shared" si="783"/>
        <v>0</v>
      </c>
      <c r="JS178" s="262">
        <f>JR178*各项系数!$E$36</f>
        <v>0</v>
      </c>
      <c r="JT178" s="282">
        <f>IF($DF178&lt;&gt;$JT$9,0,各项系数!$F$76/4*($NE178^2-$NC178^2)*10^-2*各项系数!$F$40*10^-3*10^2)*各项系数!$J$4</f>
        <v>0</v>
      </c>
      <c r="JU178" s="102">
        <v>1</v>
      </c>
      <c r="JV178" s="189">
        <f t="shared" si="784"/>
        <v>0</v>
      </c>
      <c r="JW178" s="262">
        <f>JV178*各项系数!$E$40</f>
        <v>0</v>
      </c>
      <c r="JX178" s="282">
        <f>IF($DF178&lt;&gt;$JX$9,0,各项系数!$F$76/4*($NE178^2-$NC178^2)*10^-2*各项系数!$F$38*10^-3*10^2)*各项系数!$J$4</f>
        <v>0</v>
      </c>
      <c r="JY178" s="102">
        <v>1</v>
      </c>
      <c r="JZ178" s="189">
        <f t="shared" si="785"/>
        <v>0</v>
      </c>
      <c r="KA178" s="262">
        <f>JZ178*各项系数!$E$38</f>
        <v>0</v>
      </c>
      <c r="KB178" s="282">
        <f>IF($DF178&lt;&gt;$KB$9,0,各项系数!$F$76/4*($NE178^2-$NC178^2)*10^-2*各项系数!$F$41*10^-3*10^2)*各项系数!$J$4</f>
        <v>0</v>
      </c>
      <c r="KC178" s="102">
        <v>1</v>
      </c>
      <c r="KD178" s="189">
        <f t="shared" si="786"/>
        <v>0</v>
      </c>
      <c r="KE178" s="262">
        <f>KD178*各项系数!$E$41</f>
        <v>0</v>
      </c>
      <c r="KF178" s="189">
        <f t="shared" si="787"/>
        <v>2.2748718382510319E-3</v>
      </c>
      <c r="KG178" s="189">
        <f t="shared" si="788"/>
        <v>4.5497436765020639E-2</v>
      </c>
      <c r="KH178" s="235">
        <f>各项系数!$F$76/4*($NG178^2-$NE178^2)*10^-2*各项系数!$F$44*10^-3*10^2*各项系数!$J$4*0.75*$U178</f>
        <v>0.92115485484485538</v>
      </c>
      <c r="KI178" s="102">
        <v>1</v>
      </c>
      <c r="KJ178" s="189">
        <f t="shared" si="789"/>
        <v>0.92115485484485538</v>
      </c>
      <c r="KK178" s="189">
        <f>ROUND(KJ178*各项系数!$E$43,GT178)</f>
        <v>5</v>
      </c>
      <c r="KL178" s="235">
        <f>各项系数!$F$76/4*($NF178^2-$NE178^2)*10^-2*各项系数!$F$46*10^-3*10^2*各项系数!$J$4*PI()/4*R178</f>
        <v>2.851685404108556E-2</v>
      </c>
      <c r="KM178" s="102">
        <v>1</v>
      </c>
      <c r="KN178" s="189">
        <f t="shared" si="790"/>
        <v>2.851685404108556E-2</v>
      </c>
      <c r="KO178" s="189">
        <f>KN178*各项系数!$E$46</f>
        <v>1.9248876477732753</v>
      </c>
      <c r="KP178" s="235">
        <f>各项系数!$F$76/4*($NH178^2-$NE178^2)*10^-2*(VLOOKUP($KP$9,各项系数!$D$1:$F$143,3,0))*10^-3*10^2*各项系数!$J$4</f>
        <v>0.18059264163334143</v>
      </c>
      <c r="KQ178" s="102">
        <v>1</v>
      </c>
      <c r="KR178" s="189">
        <f t="shared" si="657"/>
        <v>0.18059264163334143</v>
      </c>
      <c r="KS178" s="189">
        <f>KR178*(VLOOKUP($KP$9,各项系数!$D$1:$F$143,2,0))</f>
        <v>3.0700749077668044</v>
      </c>
      <c r="KT178" s="235">
        <f>各项系数!$F$76/4*($NI178^2-$NF178^2)*10^-2*(VLOOKUP($KT$9,各项系数!$D$1:$F$143,3,0))*10^-3*10^2*各项系数!$J$4</f>
        <v>0.18189801108001993</v>
      </c>
      <c r="KU178" s="102">
        <v>1</v>
      </c>
      <c r="KV178" s="189">
        <f t="shared" si="658"/>
        <v>0.18189801108001993</v>
      </c>
      <c r="KW178" s="189">
        <f>KV178*(VLOOKUP($KT$9,各项系数!$D$1:$F$143,2,0))</f>
        <v>3.0922661883603388</v>
      </c>
      <c r="KX178" s="189">
        <f>各项系数!$F$76/4*($NH178^2-$NE178^2)*10^-2*(VLOOKUP($KX$9,各项系数!$D$1:$F$143,3,0))*10^-3*10^2*各项系数!$J$4</f>
        <v>0.18059264163334143</v>
      </c>
      <c r="KY178" s="353">
        <v>1</v>
      </c>
      <c r="KZ178" s="189">
        <f t="shared" si="659"/>
        <v>0.18059264163334143</v>
      </c>
      <c r="LA178" s="189">
        <f>KZ178*(VLOOKUP($KX$9,各项系数!$D$1:$F$143,2,0))</f>
        <v>3.0700749077668044</v>
      </c>
      <c r="LB178" s="189">
        <f>各项系数!$F$76/4*($NI178^2-$NF178^2)*10^-2*(VLOOKUP($LB$9,各项系数!$D$1:$F$143,3,0))*10^-3*10^2*各项系数!$J$4</f>
        <v>0.18189801108001993</v>
      </c>
      <c r="LC178" s="353">
        <v>1</v>
      </c>
      <c r="LD178" s="189">
        <f t="shared" si="660"/>
        <v>0.18189801108001993</v>
      </c>
      <c r="LE178" s="189">
        <f>LD178*(VLOOKUP($LB$9,各项系数!$D$1:$F$143,2,0))</f>
        <v>3.0922661883603388</v>
      </c>
      <c r="LF178" s="235">
        <f>各项系数!$F$76/4*($NH178^2-$NE178^2)*10^-2*(VLOOKUP(AN178,各项系数!$D$1:$F$143,3,0))*10^-3*10^2*各项系数!$J$4</f>
        <v>0.18308357462138752</v>
      </c>
      <c r="LG178" s="102">
        <v>1</v>
      </c>
      <c r="LH178" s="189">
        <f t="shared" si="791"/>
        <v>0.18308357462138752</v>
      </c>
      <c r="LI178" s="189">
        <f>LH178*(VLOOKUP(AN178,各项系数!$D$1:$F$143,2,0))</f>
        <v>1.8308357462138751</v>
      </c>
      <c r="LJ178" s="235">
        <f>各项系数!$F$76/4*($NI178^2-$NF178^2)*10^-2*(VLOOKUP(AN178,各项系数!$D$1:$F$143,3,0))*10^-3*10^2*各项系数!$J$4</f>
        <v>0.18440694916388226</v>
      </c>
      <c r="LK178" s="102">
        <v>1</v>
      </c>
      <c r="LL178" s="189">
        <f t="shared" si="792"/>
        <v>0.18440694916388226</v>
      </c>
      <c r="LM178" s="189">
        <f>LL178*(VLOOKUP(AN178,各项系数!$D$1:$F$143,2,0))</f>
        <v>1.8440694916388225</v>
      </c>
      <c r="LN178" s="189">
        <f>各项系数!$F$76/4*($NH178^2-$NE178^2)*10^-2*(VLOOKUP($LN$9,各项系数!$D$1:$F$143,3,0))*10^-3*10^2*各项系数!$J$4</f>
        <v>0.18308357462138752</v>
      </c>
      <c r="LO178" s="353">
        <v>1</v>
      </c>
      <c r="LP178" s="189">
        <f t="shared" si="793"/>
        <v>0.18308357462138752</v>
      </c>
      <c r="LQ178" s="189">
        <f>LP178*(VLOOKUP($LN$9,各项系数!$D$1:$F$143,2,0))</f>
        <v>2.0139193208352628</v>
      </c>
      <c r="LR178" s="189">
        <f>各项系数!$F$76/4*($NI178^2-$NF178^2)*10^-2*(VLOOKUP($LR$9,各项系数!$D$1:$F$143,3,0))*10^-3*10^2*各项系数!$J$4</f>
        <v>0.18440694916388226</v>
      </c>
      <c r="LS178" s="353">
        <v>1</v>
      </c>
      <c r="LT178" s="189">
        <f t="shared" si="794"/>
        <v>0.18440694916388226</v>
      </c>
      <c r="LU178" s="189">
        <f>LT178*(VLOOKUP($LR$9,各项系数!$D$1:$F$143,2,0))</f>
        <v>2.0284764408027049</v>
      </c>
      <c r="LV178" s="227">
        <f t="shared" si="661"/>
        <v>34.313969239999999</v>
      </c>
      <c r="LW178" s="227">
        <f t="shared" si="662"/>
        <v>34.313969239999999</v>
      </c>
      <c r="LX178" s="227">
        <f t="shared" si="663"/>
        <v>6.6098337780305769</v>
      </c>
      <c r="LY178" s="227">
        <f t="shared" si="664"/>
        <v>0</v>
      </c>
      <c r="LZ178" s="374">
        <f t="shared" si="608"/>
        <v>1</v>
      </c>
      <c r="MA178" s="375">
        <f t="shared" si="609"/>
        <v>34.313969239999999</v>
      </c>
      <c r="MB178" s="375">
        <f t="shared" si="665"/>
        <v>1.34922667</v>
      </c>
      <c r="MC178" s="227">
        <f t="shared" si="666"/>
        <v>0</v>
      </c>
      <c r="MD178" s="227">
        <f t="shared" si="667"/>
        <v>0</v>
      </c>
      <c r="ME178" s="227">
        <f t="shared" si="668"/>
        <v>0</v>
      </c>
      <c r="MF178" s="227">
        <f t="shared" si="669"/>
        <v>0</v>
      </c>
      <c r="MG178" s="374">
        <f t="shared" si="670"/>
        <v>1</v>
      </c>
      <c r="MH178" s="375">
        <f t="shared" si="610"/>
        <v>0</v>
      </c>
      <c r="MI178" s="375">
        <f t="shared" si="671"/>
        <v>0</v>
      </c>
      <c r="MJ178" s="189">
        <f t="shared" si="611"/>
        <v>1.34922667</v>
      </c>
      <c r="MK178" s="189">
        <f t="shared" si="672"/>
        <v>1.34922667</v>
      </c>
      <c r="ML178" s="189">
        <f t="shared" si="795"/>
        <v>0</v>
      </c>
      <c r="MM178" s="189">
        <f t="shared" si="612"/>
        <v>0</v>
      </c>
      <c r="MN178" s="189">
        <f t="shared" si="613"/>
        <v>2.7492266699999997</v>
      </c>
      <c r="MO178" s="189">
        <f t="shared" si="673"/>
        <v>0</v>
      </c>
      <c r="MP178" s="189">
        <f t="shared" si="674"/>
        <v>16.49536002</v>
      </c>
      <c r="MQ178" s="189">
        <f t="shared" si="796"/>
        <v>16.49536002</v>
      </c>
      <c r="MR178" s="246">
        <f t="shared" si="675"/>
        <v>16.49536002</v>
      </c>
      <c r="MS178" s="380">
        <f t="shared" si="614"/>
        <v>16.671360019999998</v>
      </c>
      <c r="MT178" s="380">
        <f t="shared" si="615"/>
        <v>16.831360019999998</v>
      </c>
      <c r="MU178" s="380">
        <f t="shared" si="616"/>
        <v>17.871360019999997</v>
      </c>
      <c r="MV178" s="380">
        <f t="shared" si="617"/>
        <v>20.271360019999999</v>
      </c>
      <c r="MW178" s="380">
        <f t="shared" si="618"/>
        <v>20.43136002</v>
      </c>
      <c r="MX178" s="254">
        <f t="shared" si="619"/>
        <v>1.9492266700000001</v>
      </c>
      <c r="MY178" s="254">
        <f t="shared" si="620"/>
        <v>0</v>
      </c>
      <c r="MZ178" s="189">
        <f t="shared" si="621"/>
        <v>3.3492266700000002</v>
      </c>
      <c r="NA178" s="189">
        <f t="shared" si="622"/>
        <v>0</v>
      </c>
      <c r="NB178" s="189">
        <f t="shared" si="676"/>
        <v>20.095360020000001</v>
      </c>
      <c r="NC178" s="254">
        <f t="shared" si="797"/>
        <v>20.095360020000001</v>
      </c>
      <c r="ND178" s="246">
        <f t="shared" si="677"/>
        <v>20.095360020000001</v>
      </c>
      <c r="NE178" s="386">
        <f t="shared" si="678"/>
        <v>20.33536002</v>
      </c>
      <c r="NF178" s="380">
        <f t="shared" si="623"/>
        <v>20.49536002</v>
      </c>
      <c r="NG178" s="387">
        <f t="shared" si="624"/>
        <v>21.535360019999999</v>
      </c>
      <c r="NH178" s="254">
        <f t="shared" si="625"/>
        <v>23.935360020000001</v>
      </c>
      <c r="NI178" s="380">
        <f t="shared" si="626"/>
        <v>24.095360020000001</v>
      </c>
      <c r="NK178" s="388">
        <f t="shared" si="627"/>
        <v>0.66425102430111838</v>
      </c>
      <c r="NL178" s="388">
        <f t="shared" si="628"/>
        <v>23.083480163953421</v>
      </c>
      <c r="NM178" s="388">
        <f t="shared" si="629"/>
        <v>0.66425102430111838</v>
      </c>
      <c r="NN178" s="388">
        <f t="shared" si="630"/>
        <v>23.236258461551682</v>
      </c>
      <c r="NO178" s="388">
        <f t="shared" si="631"/>
        <v>1.2235583879022536</v>
      </c>
      <c r="NP178" s="388">
        <f t="shared" si="632"/>
        <v>25.540279241120086</v>
      </c>
      <c r="NQ178" s="388">
        <f t="shared" si="633"/>
        <v>1.2235583879022536</v>
      </c>
      <c r="NR178" s="388">
        <f t="shared" si="634"/>
        <v>25.723362815741478</v>
      </c>
      <c r="NS178" s="388">
        <f t="shared" si="635"/>
        <v>0.68764988125059356</v>
      </c>
      <c r="NT178" s="388">
        <f t="shared" si="636"/>
        <v>0.68764988125059356</v>
      </c>
      <c r="NU178" s="388">
        <f t="shared" si="637"/>
        <v>1.2520752419433392</v>
      </c>
      <c r="NV178" s="388">
        <f t="shared" si="638"/>
        <v>1.2520752419433392</v>
      </c>
      <c r="NW178">
        <f t="shared" si="639"/>
        <v>0.91756403343968496</v>
      </c>
      <c r="NX178">
        <f>各项系数!$M$9*NK178</f>
        <v>0.19927530729033552</v>
      </c>
      <c r="NY178">
        <f t="shared" si="640"/>
        <v>0.68764988125059356</v>
      </c>
    </row>
    <row r="179" spans="1:389" ht="15" hidden="1" customHeight="1">
      <c r="A179" s="69"/>
      <c r="B179" s="70"/>
      <c r="C179" s="69"/>
      <c r="D179" s="102" t="s">
        <v>941</v>
      </c>
      <c r="E179" s="61">
        <f t="shared" si="805"/>
        <v>20.683744019999999</v>
      </c>
      <c r="F179" s="62">
        <f t="shared" si="798"/>
        <v>134.922667214547</v>
      </c>
      <c r="G179" s="16"/>
      <c r="H179" s="16"/>
      <c r="I179" s="145">
        <v>0</v>
      </c>
      <c r="J179" s="16"/>
      <c r="K179" s="16"/>
      <c r="L179" s="97" t="s">
        <v>469</v>
      </c>
      <c r="M179" s="103">
        <f t="shared" si="582"/>
        <v>0.7</v>
      </c>
      <c r="N179" s="103">
        <f t="shared" si="804"/>
        <v>0</v>
      </c>
      <c r="O179" s="53">
        <f t="shared" si="819"/>
        <v>0.08</v>
      </c>
      <c r="P179" s="99">
        <v>0.1</v>
      </c>
      <c r="Q179" s="133">
        <f t="shared" si="806"/>
        <v>0.1</v>
      </c>
      <c r="R179" s="406">
        <v>0.8</v>
      </c>
      <c r="S179" s="142" t="str">
        <f>各项系数!$D$43</f>
        <v>钢带</v>
      </c>
      <c r="T179" s="102">
        <v>0.2</v>
      </c>
      <c r="U179" s="62">
        <v>4</v>
      </c>
      <c r="V179" s="143"/>
      <c r="W179" s="141">
        <f t="shared" si="818"/>
        <v>1.8</v>
      </c>
      <c r="X179" s="135">
        <f t="shared" si="807"/>
        <v>0.2</v>
      </c>
      <c r="Y179" s="135"/>
      <c r="Z179" s="168"/>
      <c r="AA179" s="153">
        <v>1</v>
      </c>
      <c r="AB179" s="153">
        <f>PI()*EJ179*EJ179/4*EH179*(1-H179)*AA179*各项系数!$F$5*各项系数!$J$4*10^-7</f>
        <v>1.2646913814443796E-2</v>
      </c>
      <c r="AC179" s="153">
        <f t="shared" si="808"/>
        <v>134.922667214547</v>
      </c>
      <c r="AD179" s="153">
        <f t="shared" si="584"/>
        <v>1.4297487227412424</v>
      </c>
      <c r="AE179" s="153">
        <f>POWER(4*EU179/PI()/EG179/10^-7/EH179/(1-H179)/各项系数!$F$5/各项系数!$J$4,0.5)</f>
        <v>134.922667214547</v>
      </c>
      <c r="AF179" s="69">
        <v>1</v>
      </c>
      <c r="AG179" s="69">
        <f>IF(EM179=0,0,PI()*ER179*ER179/4*EP179*(1-K179)*(1+AF179)*各项系数!$F$5*各项系数!$J$4*10^-7)</f>
        <v>0</v>
      </c>
      <c r="AH179" s="69">
        <f t="shared" si="809"/>
        <v>0</v>
      </c>
      <c r="AI179" s="69">
        <f t="shared" si="641"/>
        <v>0</v>
      </c>
      <c r="AJ179" s="69">
        <f>IF(OR(EP179="",EP179=0),0,POWER(4*EW179/PI()/EO179/10^-7/EP179/(1-K179)/各项系数!$F$5/各项系数!$J$4,0.5))</f>
        <v>0</v>
      </c>
      <c r="AK179" s="69" t="str">
        <f t="shared" si="585"/>
        <v>√</v>
      </c>
      <c r="AL179" s="69">
        <f t="shared" si="810"/>
        <v>27.209888367395006</v>
      </c>
      <c r="AM179" s="188">
        <f t="shared" si="811"/>
        <v>1.5</v>
      </c>
      <c r="AN179" s="97" t="s">
        <v>486</v>
      </c>
      <c r="AO179" s="196">
        <f>AP179+各项系数!$M$9*$NK179</f>
        <v>26.676361144504909</v>
      </c>
      <c r="AP179" s="196">
        <f>AQ179*(1+$BI179+(VLOOKUP($AM179,$A$12:$B$323,2,0))+各项系数!$J$6+各项系数!$M$5)*(1+$E$2)</f>
        <v>26.46271133880407</v>
      </c>
      <c r="AQ179" s="197">
        <f>AR179+各项系数!$L$9*$NK179</f>
        <v>26.735412546781241</v>
      </c>
      <c r="AR179" s="197">
        <f>AS179*(1+$BJ179+各项系数!$J$5+各项系数!$L$5)</f>
        <v>26.521762741080401</v>
      </c>
      <c r="AS179" s="197">
        <f t="shared" si="642"/>
        <v>25.749284214641165</v>
      </c>
      <c r="AT179" s="196">
        <f>AU179+各项系数!$M$9*$NM179</f>
        <v>27.754168934416231</v>
      </c>
      <c r="AU179" s="196">
        <f>AV179*(1+$BI179+(VLOOKUP($AM179,$A$12:$B$323,2,0))+各项系数!$J$6+各项系数!$M$5)*(1+$E$2)</f>
        <v>27.540519128715392</v>
      </c>
      <c r="AV179" s="197">
        <f>AW179+各项系数!$L$9*$NM179</f>
        <v>27.82432726683713</v>
      </c>
      <c r="AW179" s="197">
        <f>AX179*(1+$BJ179+各项系数!$J$5+各项系数!$L$5)</f>
        <v>27.610677461136291</v>
      </c>
      <c r="AX179" s="197">
        <f t="shared" si="643"/>
        <v>26.80648297197698</v>
      </c>
      <c r="AY179" s="196">
        <f>AZ179+各项系数!$M$9*$NS179</f>
        <v>28.354016659102847</v>
      </c>
      <c r="AZ179" s="196">
        <f>BA179*(1+$BI179+(VLOOKUP($AM179,$A$12:$B$214,2,0))+各项系数!$J$6+各项系数!$M$5)*(1+$E$2)</f>
        <v>28.133174386810126</v>
      </c>
      <c r="BA179" s="197">
        <f>BB179+各项系数!$L$9*$NS179</f>
        <v>28.423089903829183</v>
      </c>
      <c r="BB179" s="197">
        <f>BC179*(1+$BJ179+各项系数!$J$5+各项系数!$L$5)</f>
        <v>28.202247631536462</v>
      </c>
      <c r="BC179" s="199">
        <f t="shared" si="644"/>
        <v>27.380822943239284</v>
      </c>
      <c r="BD179" s="196">
        <f>BE179+各项系数!$M$9*$NS179</f>
        <v>29.440956602373333</v>
      </c>
      <c r="BE179" s="196">
        <f>BF179*(1+$BI179+(VLOOKUP($AM179,$A$12:$B$214,2,0))+各项系数!$J$6+各项系数!$M$5)*(1+$E$2)</f>
        <v>29.220114330080612</v>
      </c>
      <c r="BF179" s="197">
        <f>BG179+各项系数!$L$9*$NS179</f>
        <v>29.521230885108722</v>
      </c>
      <c r="BG179" s="197">
        <f>BH179*(1+$BJ179+各项系数!$J$5+各项系数!$L$5)</f>
        <v>29.300388612816</v>
      </c>
      <c r="BH179" s="199">
        <f t="shared" si="645"/>
        <v>28.44697923574369</v>
      </c>
      <c r="BI179" s="213"/>
      <c r="BJ179" s="208">
        <f t="shared" si="800"/>
        <v>0.01</v>
      </c>
      <c r="BK179" s="102" t="s">
        <v>514</v>
      </c>
      <c r="BL179" s="196">
        <f>BM179+各项系数!$M$9*$NM179</f>
        <v>27.092007434688643</v>
      </c>
      <c r="BM179" s="196">
        <f>BN179*(1+$CF179+(VLOOKUP($AM179,$A$12:$B$323,2,0))+各项系数!$J$6+各项系数!$M$5)*(1+$E$2)</f>
        <v>26.878357628987803</v>
      </c>
      <c r="BN179" s="197">
        <f>BO179+各项系数!$L$9*$NM179</f>
        <v>27.155342118597499</v>
      </c>
      <c r="BO179" s="197">
        <f>BP179*(1+$CG179+各项系数!$J$5+各项系数!$L$5)</f>
        <v>26.941692312896659</v>
      </c>
      <c r="BP179" s="197">
        <f t="shared" si="646"/>
        <v>25.905473377785249</v>
      </c>
      <c r="BQ179" s="196">
        <f>BR179+各项系数!$M$9*$NM179</f>
        <v>28.019499502872858</v>
      </c>
      <c r="BR179" s="196">
        <f>BS179*(1+$CF179+(VLOOKUP($AM179,$A$12:$B$323,2,0))+各项系数!$J$6+各项系数!$M$5)*(1+$E$2)</f>
        <v>27.805849697172018</v>
      </c>
      <c r="BS179" s="197">
        <f>BT179+各项系数!$L$9*$NM179</f>
        <v>28.0923920965569</v>
      </c>
      <c r="BT179" s="197">
        <f>BU179*(1+$CG179+各项系数!$J$5+各项系数!$L$5)</f>
        <v>27.87874229085606</v>
      </c>
      <c r="BU179" s="197">
        <f t="shared" si="647"/>
        <v>26.80648297197698</v>
      </c>
      <c r="BV179" s="196">
        <f>BW179+各项系数!$M$9*$NT179</f>
        <v>28.576763626116755</v>
      </c>
      <c r="BW179" s="196">
        <f>BX179*(1+$CF179+(VLOOKUP($AM179,$A$12:$B$214,2,0))+各项系数!$J$6+各项系数!$M$5)*(1+$E$2)</f>
        <v>28.355921353824034</v>
      </c>
      <c r="BX179" s="197">
        <f>BY179+各项系数!$L$9*$NT$12</f>
        <v>28.648132303317876</v>
      </c>
      <c r="BY179" s="197">
        <f>BZ179*(1+$CG179+各项系数!$J$5+各项系数!$L$5)</f>
        <v>28.639868900162902</v>
      </c>
      <c r="BZ179" s="199">
        <f t="shared" si="586"/>
        <v>27.538335480925866</v>
      </c>
      <c r="CA179" s="196">
        <f>CB179+各项系数!$M$9*$NT179</f>
        <v>29.512114238176185</v>
      </c>
      <c r="CB179" s="196">
        <f>CC179*(1+$CF179+(VLOOKUP($AM179,$A$12:$B$214,2,0))+各项系数!$J$6+各项系数!$M$5)*(1+$E$2)</f>
        <v>29.291271965883464</v>
      </c>
      <c r="CC179" s="197">
        <f>CD179+各项系数!$L$9*$NT$12</f>
        <v>29.593121808328412</v>
      </c>
      <c r="CD179" s="197">
        <f>CE179*(1+$CG179+各项系数!$J$5+各项系数!$L$5)</f>
        <v>29.584858405173438</v>
      </c>
      <c r="CE179" s="199">
        <f t="shared" si="648"/>
        <v>28.44697923574369</v>
      </c>
      <c r="CF179" s="213">
        <f t="shared" si="753"/>
        <v>0</v>
      </c>
      <c r="CG179" s="213">
        <f t="shared" si="587"/>
        <v>0.02</v>
      </c>
      <c r="CH179" s="102"/>
      <c r="CI179" s="196">
        <f>CJ179+各项系数!$M$9*$NO179</f>
        <v>29.907730915566329</v>
      </c>
      <c r="CJ179" s="196">
        <f>CK179*(1+$DC179+(VLOOKUP($AM179,$A$12:$B$323,2,0))+各项系数!$J$6+各项系数!$M$5)*(1+$E$2)+各项系数!$M$9*$NK179</f>
        <v>29.535673856353025</v>
      </c>
      <c r="CK179" s="197">
        <f>CL179+各项系数!$L$9*$NO179</f>
        <v>29.624190796779335</v>
      </c>
      <c r="CL179" s="197">
        <f>CM179*(1+$DD179+各项系数!$J$5+各项系数!$L$5)</f>
        <v>29.25213373756603</v>
      </c>
      <c r="CM179" s="197">
        <f t="shared" si="588"/>
        <v>28.400129842297115</v>
      </c>
      <c r="CN179" s="196">
        <f>CO179+各项系数!$M$9*$NO179</f>
        <v>30.66898912976071</v>
      </c>
      <c r="CO179" s="196">
        <f>CP179*(1+$DC179+(VLOOKUP($AM179,$A$12:$B$323,2,0))+各项系数!$J$6+各项系数!$M$5)*(1+$E$2)+各项系数!$M$9*$NK179</f>
        <v>30.296932070547406</v>
      </c>
      <c r="CP179" s="197">
        <f>CQ179+各项系数!$L$9*$NO179</f>
        <v>30.393293862241432</v>
      </c>
      <c r="CQ179" s="197">
        <f>CR179*(1+$DD179+各项系数!$J$5+各项系数!$L$5)</f>
        <v>30.021236803028128</v>
      </c>
      <c r="CR179" s="197">
        <f t="shared" si="589"/>
        <v>29.146831847600122</v>
      </c>
      <c r="CS179" s="196">
        <f>CT179+各项系数!$M$9*$NU179</f>
        <v>31.735717284068144</v>
      </c>
      <c r="CT179" s="196">
        <f t="shared" si="590"/>
        <v>31.354894644637259</v>
      </c>
      <c r="CU179" s="197">
        <f>CV179+各项系数!$L$9*$NU179</f>
        <v>31.678010350209394</v>
      </c>
      <c r="CV179" s="197">
        <f>CW179*(1+$DD179+各项系数!$J$5+各项系数!$L$5)</f>
        <v>31.297187710778509</v>
      </c>
      <c r="CW179" s="199">
        <f t="shared" si="591"/>
        <v>30.385619136678162</v>
      </c>
      <c r="CX179" s="196">
        <f>CY179+各项系数!$M$9*$NU179</f>
        <v>33.036920375527991</v>
      </c>
      <c r="CY179" s="196">
        <f t="shared" si="592"/>
        <v>32.656097736097102</v>
      </c>
      <c r="CZ179" s="197">
        <f>DA179+各项系数!$L$9*$NU179</f>
        <v>32.992622485448678</v>
      </c>
      <c r="DA179" s="197">
        <f>DB179*(1+$DD179+各项系数!$J$5+各项系数!$L$5)</f>
        <v>32.611799846017789</v>
      </c>
      <c r="DB179" s="199">
        <f t="shared" si="593"/>
        <v>31.661941598075522</v>
      </c>
      <c r="DC179" s="213">
        <f t="shared" si="803"/>
        <v>0</v>
      </c>
      <c r="DD179" s="213">
        <f t="shared" si="594"/>
        <v>0.01</v>
      </c>
      <c r="DE179" s="53" t="s">
        <v>498</v>
      </c>
      <c r="DF179" s="53" t="s">
        <v>513</v>
      </c>
      <c r="DG179" s="196">
        <f>DH179+各项系数!$M$9*$NQ179</f>
        <v>30.381577563029456</v>
      </c>
      <c r="DH179" s="196">
        <f>DI179*(1+$EA179+(VLOOKUP($AM179,$A$12:$B$323,2,0))+各项系数!$J$6+各项系数!$M$5)*(1+$E$2)+各项系数!$M$9*$NK179</f>
        <v>30.009520503816152</v>
      </c>
      <c r="DI179" s="197">
        <f>DJ179+各项系数!$L$9*$NQ179</f>
        <v>30.102920487083566</v>
      </c>
      <c r="DJ179" s="197">
        <f>DK179*(1+$EB179+各项系数!$J$5+各项系数!$L$5)</f>
        <v>29.730863427870261</v>
      </c>
      <c r="DK179" s="197">
        <f t="shared" si="595"/>
        <v>28.587368680644481</v>
      </c>
      <c r="DL179" s="196">
        <f>DM179+各项系数!$M$9*$NQ179</f>
        <v>31.493450716885874</v>
      </c>
      <c r="DM179" s="196">
        <f>DN179*(1+$EA179+(VLOOKUP($AM179,$A$12:$B$323,2,0))+各项系数!$J$6+各项系数!$M$5)*(1+$E$2)+各项系数!$M$9*$NK179</f>
        <v>31.12139365767257</v>
      </c>
      <c r="DN179" s="197">
        <f>DO179+各项系数!$L$9*$NQ179</f>
        <v>31.22625161848023</v>
      </c>
      <c r="DO179" s="197">
        <f>DP179*(1+$EB179+各项系数!$J$5+各项系数!$L$5)</f>
        <v>30.854194559266926</v>
      </c>
      <c r="DP179" s="197">
        <f t="shared" si="596"/>
        <v>29.667494768525888</v>
      </c>
      <c r="DQ179" s="196">
        <f>DR179+各项系数!$M$9*$NV179</f>
        <v>32.230578575734107</v>
      </c>
      <c r="DR179" s="196">
        <f t="shared" si="597"/>
        <v>31.849755936303222</v>
      </c>
      <c r="DS179" s="197">
        <f>DT179+各项系数!$L$9*$NV179</f>
        <v>32.177971242981634</v>
      </c>
      <c r="DT179" s="197">
        <f>DU179*(1+$EB179+各项系数!$J$5+各项系数!$L$5)</f>
        <v>31.797148603550749</v>
      </c>
      <c r="DU179" s="199">
        <f t="shared" si="598"/>
        <v>30.574181349568025</v>
      </c>
      <c r="DV179" s="196">
        <f>DW179+各项系数!$M$9*$NV179</f>
        <v>31.312211674802313</v>
      </c>
      <c r="DW179" s="196">
        <f t="shared" si="599"/>
        <v>30.931389035371428</v>
      </c>
      <c r="DX179" s="197">
        <f>DY179+各项系数!$L$9*$NV179</f>
        <v>31.250140468146522</v>
      </c>
      <c r="DY179" s="197">
        <f>DZ179*(1+$EB179+各项系数!$J$5+各项系数!$L$5)</f>
        <v>30.869317828715637</v>
      </c>
      <c r="DZ179" s="199">
        <f t="shared" si="600"/>
        <v>29.682036373765033</v>
      </c>
      <c r="EA179" s="213">
        <f t="shared" si="802"/>
        <v>0</v>
      </c>
      <c r="EB179" s="213">
        <f t="shared" si="601"/>
        <v>0.02</v>
      </c>
      <c r="EC179" s="235">
        <f t="shared" si="649"/>
        <v>27</v>
      </c>
      <c r="ED179" s="235" t="str">
        <f t="shared" si="756"/>
        <v>27*1.5</v>
      </c>
      <c r="EE179" s="189">
        <f t="shared" si="812"/>
        <v>1.5</v>
      </c>
      <c r="EF179" s="189">
        <f>LOOKUP(EH179,{1,7,10,14,19,24,30,37,48,61},{1,"1+6","2+8","4+10","1+6+12","2+8+14","4+10+16","1+6+12+18","3+9+15+21","1+6+12+18+24"})</f>
        <v>1</v>
      </c>
      <c r="EG179" s="188">
        <f t="shared" si="602"/>
        <v>27</v>
      </c>
      <c r="EH179" s="197">
        <f>VLOOKUP(EE179,各项系数!$B$87:$C$124,2,0)</f>
        <v>1</v>
      </c>
      <c r="EI179" s="188">
        <f>IF(EH179=0,0,VLOOKUP(EH179,各项系数!$D$142:$E$195,2,0))*1</f>
        <v>1</v>
      </c>
      <c r="EJ179" s="238">
        <f t="shared" si="650"/>
        <v>134.922667214547</v>
      </c>
      <c r="EK179" s="189">
        <f t="shared" si="813"/>
        <v>0</v>
      </c>
      <c r="EL179" s="189">
        <f t="shared" si="603"/>
        <v>0</v>
      </c>
      <c r="EM179" s="189">
        <f t="shared" si="814"/>
        <v>0</v>
      </c>
      <c r="EN179" s="189">
        <f>IF(EP179=0,0,LOOKUP(EP179,{1,7,10,14,19,24,30,37,48,61},{1,"1+6","2+8","4+10","1+6+12","2+8+14","4+10+16","1+6+12+18","3+9+15+21","1+6+12+18+24"}))</f>
        <v>0</v>
      </c>
      <c r="EO179" s="189">
        <f t="shared" si="815"/>
        <v>0</v>
      </c>
      <c r="EP179" s="189">
        <f>IF(EM179=0,0,IF(EM179&lt;10,1,IF(AND(EM179&gt;=10,EM179&lt;=35),7,LOOKUP(EM179,{50,70,95,120,150,185,240,300},{10,14,19,24,30,37,48,61})*1)))</f>
        <v>0</v>
      </c>
      <c r="EQ179" s="189">
        <f>IF(EP179=0,0,VLOOKUP(EP179,各项系数!$D$142:$E$195,2,0))*1</f>
        <v>0</v>
      </c>
      <c r="ER179" s="53">
        <f t="shared" si="816"/>
        <v>0</v>
      </c>
      <c r="ES179" s="412">
        <f t="shared" si="817"/>
        <v>27</v>
      </c>
      <c r="ET179" s="189">
        <f>VLOOKUP(ES179,各项系数!$D$142:$E$195,2,0)*1</f>
        <v>6.15</v>
      </c>
      <c r="EU179" s="243">
        <f>((各项系数!$F$76/4*$EJ179^2*$EG179*$EH179*1*10^-7)*(1-$H179)*AA179)*(VLOOKUP($EY$9,各项系数!$D$4:$F$143,3,0))*各项系数!$J$4</f>
        <v>0.34146667298998251</v>
      </c>
      <c r="EV179" s="244">
        <f>EU179*(VLOOKUP($EY$9,各项系数!$D$4:$F$143,2,0))</f>
        <v>22.366067080843855</v>
      </c>
      <c r="EW179" s="252">
        <f>(IF($EO179=0,0,(各项系数!$F$76/4*$ER179^2*$EO179*$EP179*1*10^-7))*(1-$K179)*$AF179)*(VLOOKUP($EY$9,各项系数!$D$4:$F$143,3,0))*各项系数!$J$4</f>
        <v>0</v>
      </c>
      <c r="EX179" s="253">
        <f>EW179*(VLOOKUP($EY$9,各项系数!$D$4:$F$143,2,0))</f>
        <v>0</v>
      </c>
      <c r="EY179" s="189">
        <f>((各项系数!$F$76/4*$EJ179^2*$EG179*$EH179*1*10^-7)*(1-$H179)*AA179+IF($EO179=0,0,(各项系数!$F$76/4*$ER179^2*$EO179*$EP179*1*10^-7))*(1-$K179)*$AF179)*(VLOOKUP($EY$9,各项系数!$D$4:$F$143,3,0))*各项系数!$J$4</f>
        <v>0.34146667298998251</v>
      </c>
      <c r="EZ179" s="102">
        <v>1</v>
      </c>
      <c r="FA179" s="189">
        <f t="shared" si="757"/>
        <v>0.34146667298998251</v>
      </c>
      <c r="FB179" s="254">
        <f>FA179*(VLOOKUP($EY$9,各项系数!$D$4:$F$143,2,0))</f>
        <v>22.366067080843855</v>
      </c>
      <c r="FC179" s="255"/>
      <c r="FD179" s="235">
        <f>各项系数!$F$76/4*($MN179^2-MK179^2)*10^-2*(VLOOKUP(L179,各项系数!$D$1:$F$143,3,0))*10^-3*10^2*$EG179*各项系数!$J$4</f>
        <v>0.13317338605209852</v>
      </c>
      <c r="FE179" s="262">
        <f>FD179*VLOOKUP(L179,各项系数!$D$1:$F$143,2,0)</f>
        <v>1.5314939395991329</v>
      </c>
      <c r="FF179" s="188">
        <f>各项系数!$F$76/4*($MO179^2-ML179^2)*10^-2*(VLOOKUP(L179,各项系数!$D$1:$F$143,3,0))*10^-3*10^2*$EO179*各项系数!$J$4</f>
        <v>0</v>
      </c>
      <c r="FG179" s="262">
        <f>FF179*VLOOKUP(L179,各项系数!$D$1:$F$143,2,0)</f>
        <v>0</v>
      </c>
      <c r="FH179" s="235">
        <f t="shared" si="651"/>
        <v>0.13317338605209852</v>
      </c>
      <c r="FI179" s="102">
        <v>1</v>
      </c>
      <c r="FJ179" s="189">
        <f t="shared" si="758"/>
        <v>0.13317338605209852</v>
      </c>
      <c r="FK179" s="262">
        <f>FJ179*VLOOKUP(L179,各项系数!$D$1:$F$143,2,0)</f>
        <v>1.5314939395991329</v>
      </c>
      <c r="FL179" s="235"/>
      <c r="FM179" s="102"/>
      <c r="FN179" s="189"/>
      <c r="FO179" s="262"/>
      <c r="FP179" s="282">
        <f t="shared" si="759"/>
        <v>0.13317338605209852</v>
      </c>
      <c r="FQ179" s="282">
        <f t="shared" si="760"/>
        <v>1.5314939395991329</v>
      </c>
      <c r="FR179" s="283">
        <f>各项系数!$F$76/4*($MQ179^2-$MN179^2*$EG179-$MO179^2*$EO179)*10^-2</f>
        <v>0.6424488741495965</v>
      </c>
      <c r="FS179" s="284">
        <f t="shared" si="652"/>
        <v>1</v>
      </c>
      <c r="FT179" s="285">
        <f t="shared" si="604"/>
        <v>0.6424488741495965</v>
      </c>
      <c r="FU179" s="302">
        <f>$FT179*(VLOOKUP($FT$9,各项系数!$D$1:$F$143,3,0))*10^-3*10^2*各项系数!$J$55</f>
        <v>7.6708395573461832E-2</v>
      </c>
      <c r="FV179" s="303">
        <v>1</v>
      </c>
      <c r="FW179" s="304">
        <f t="shared" si="761"/>
        <v>7.6708395573461832E-2</v>
      </c>
      <c r="FX179" s="285">
        <f>FW179*(VLOOKUP($FT$9,各项系数!$D$1:$F$143,2,0))</f>
        <v>0.23012518672038551</v>
      </c>
      <c r="FY179" s="302">
        <f>IF($BK179&lt;&gt;$FY$9,0,各项系数!$F$76/4*($MS179^2-$MQ179^2)*10^-2*(VLOOKUP($FY$9,各项系数!$D$1:$F$143,3,0))*10^-3*10^2)*各项系数!$J$4</f>
        <v>0</v>
      </c>
      <c r="FZ179" s="303">
        <v>1</v>
      </c>
      <c r="GA179" s="304">
        <f t="shared" si="762"/>
        <v>0</v>
      </c>
      <c r="GB179" s="285">
        <f>GA179*(VLOOKUP($FY$9,各项系数!$D$1:$F$143,2,0))</f>
        <v>0</v>
      </c>
      <c r="GC179" s="302">
        <f>IF($BK179&lt;&gt;$GC$9,0,各项系数!$F$76/4*($MS179^2-$MQ179^2)*10^-2*(VLOOKUP($GC$9,各项系数!$D$1:$F$143,3,0))*10^-3*10^2)*各项系数!$J$4</f>
        <v>4.6284012431728793E-3</v>
      </c>
      <c r="GD179" s="303">
        <v>1</v>
      </c>
      <c r="GE179" s="304">
        <f t="shared" si="763"/>
        <v>4.6284012431728793E-3</v>
      </c>
      <c r="GF179" s="285">
        <f>GE179*(VLOOKUP($GC$9,各项系数!$D$1:$F$143,2,0))</f>
        <v>5.9706376036930145E-2</v>
      </c>
      <c r="GG179" s="302">
        <f>IF($BK179&lt;&gt;$GG$9,0,各项系数!$F$76/4*($MS179^2-$MQ179^2)*10^-2*(VLOOKUP($GG$9,各项系数!$D$1:$F$143,3,0))*10^-3*10^2)*各项系数!$J$4</f>
        <v>0</v>
      </c>
      <c r="GH179" s="303">
        <v>1</v>
      </c>
      <c r="GI179" s="304">
        <f t="shared" si="764"/>
        <v>0</v>
      </c>
      <c r="GJ179" s="285">
        <f>GI179*(VLOOKUP($GG$9,各项系数!$D$1:$F$143,2,0))</f>
        <v>0</v>
      </c>
      <c r="GK179" s="302">
        <f>IF($BK179&lt;&gt;$GK$9,0,各项系数!$F$76/4*($MS179^2-$MQ179^2)*10^-2*(VLOOKUP($GK$9,各项系数!$D$1:$F$143,3,0))*10^-3*10^2)*各项系数!$J$4</f>
        <v>0</v>
      </c>
      <c r="GL179" s="303">
        <v>1</v>
      </c>
      <c r="GM179" s="304">
        <f t="shared" si="765"/>
        <v>0</v>
      </c>
      <c r="GN179" s="285">
        <f>GM179*(VLOOKUP($GK$9,各项系数!$D$1:$F$143,2,0))</f>
        <v>0</v>
      </c>
      <c r="GO179" s="304">
        <f t="shared" si="766"/>
        <v>4.6284012431728793E-3</v>
      </c>
      <c r="GP179" s="304">
        <f t="shared" si="767"/>
        <v>5.9706376036930145E-2</v>
      </c>
      <c r="GQ179" s="315">
        <f>各项系数!$F$76/4*($MU179^2-$MS179^2)*10^-2*(VLOOKUP($S179,各项系数!$D$1:$F$143,3,0))*10^-3*10^2*各项系数!$J$4</f>
        <v>0.25936130133093782</v>
      </c>
      <c r="GR179" s="303">
        <v>1</v>
      </c>
      <c r="GS179" s="304">
        <f t="shared" si="768"/>
        <v>0.25936130133093782</v>
      </c>
      <c r="GT179" s="304">
        <f t="shared" si="696"/>
        <v>0</v>
      </c>
      <c r="GU179" s="304">
        <f>ROUND($GS179*(VLOOKUP($S179,各项系数!$D$1:$F$143,2,0))+$E$3*GS179,GT179)</f>
        <v>2</v>
      </c>
      <c r="GV179" s="315">
        <f>各项系数!$F$76/4*($MT179^2-$MS179^2)*10^-2*(VLOOKUP($GV$9,各项系数!$D$1:$F$143,3,0))*10^-3*10^2*各项系数!$J$4*PI()/4*R179</f>
        <v>2.3974888639602576E-2</v>
      </c>
      <c r="GW179" s="303">
        <v>1</v>
      </c>
      <c r="GX179" s="304">
        <f t="shared" si="769"/>
        <v>2.3974888639602576E-2</v>
      </c>
      <c r="GY179" s="304">
        <f>$GX179*(VLOOKUP($GV$9,各项系数!$D$1:$F$143,2,0))</f>
        <v>1.6183049831731739</v>
      </c>
      <c r="GZ179" s="315">
        <f>各项系数!$F$76/4*($MV179^2-$MS179^2)*10^-2*(VLOOKUP($GZ$9,各项系数!$D$1:$F$143,3,0))*10^-3*10^2*各项系数!$J$4</f>
        <v>0.15406414051627493</v>
      </c>
      <c r="HA179" s="303">
        <v>1</v>
      </c>
      <c r="HB179" s="304">
        <f t="shared" si="653"/>
        <v>0.15406414051627493</v>
      </c>
      <c r="HC179" s="304">
        <f>HB179*(VLOOKUP($GZ$9,各项系数!$D$1:$F$143,2,0))</f>
        <v>2.6190903887766739</v>
      </c>
      <c r="HD179" s="315">
        <f>各项系数!$F$76/4*($MW179^2-$MT179^2)*10^-2*(VLOOKUP($HD$9,各项系数!$D$1:$F$143,3,0))*10^-3*10^2*各项系数!$J$4</f>
        <v>0.15536950996295334</v>
      </c>
      <c r="HE179" s="303">
        <v>1</v>
      </c>
      <c r="HF179" s="304">
        <f t="shared" si="654"/>
        <v>0.15536950996295334</v>
      </c>
      <c r="HG179" s="304">
        <f>HF179*(VLOOKUP($HD$9,各项系数!$D$1:$F$143,2,0))</f>
        <v>2.641281669370207</v>
      </c>
      <c r="HH179" s="315">
        <f>各项系数!$F$76/4*($MV179^2-$MS179^2)*10^-2*(VLOOKUP($HH$9,各项系数!$D$1:$F$143,3,0))*10^-3*10^2*各项系数!$J$4</f>
        <v>0.15406414051627493</v>
      </c>
      <c r="HI179" s="322">
        <v>1</v>
      </c>
      <c r="HJ179" s="304">
        <f t="shared" si="655"/>
        <v>0.15406414051627493</v>
      </c>
      <c r="HK179" s="304">
        <f>HJ179*(VLOOKUP($HH$9,各项系数!$D$1:$F$143,2,0))</f>
        <v>2.6190903887766739</v>
      </c>
      <c r="HL179" s="315">
        <f>各项系数!$F$76/4*($MW179^2-$MT179^2)*10^-2*(VLOOKUP($HL$9,各项系数!$D$1:$F$143,3,0))*10^-3*10^2*各项系数!$J$4</f>
        <v>0.15536950996295334</v>
      </c>
      <c r="HM179" s="322">
        <v>1</v>
      </c>
      <c r="HN179" s="304">
        <f t="shared" si="605"/>
        <v>0.15536950996295334</v>
      </c>
      <c r="HO179" s="304">
        <f>HN179*(VLOOKUP($HL$9,各项系数!$D$1:$F$143,2,0))</f>
        <v>2.641281669370207</v>
      </c>
      <c r="HP179" s="315">
        <f>各项系数!$F$76/4*($MV179^2-$MS179^2)*10^-2*(VLOOKUP(AN179,各项系数!$D$1:$F$143,3,0))*10^-3*10^2*各项系数!$J$4</f>
        <v>0.15618916314408565</v>
      </c>
      <c r="HQ179" s="303">
        <v>1</v>
      </c>
      <c r="HR179" s="304">
        <f t="shared" si="770"/>
        <v>0.15618916314408565</v>
      </c>
      <c r="HS179" s="304">
        <f>HR179*(VLOOKUP(AN179,各项系数!$D$1:$F$143,2,0))</f>
        <v>1.5618916314408566</v>
      </c>
      <c r="HT179" s="315">
        <f>各项系数!$F$76/4*($MW179^2-$MT179^2)*10^-2*(VLOOKUP(AN179,各项系数!$D$1:$F$143,3,0))*10^-3*10^2*各项系数!$J$4</f>
        <v>0.15751253768658027</v>
      </c>
      <c r="HU179" s="303">
        <v>1</v>
      </c>
      <c r="HV179" s="304">
        <f t="shared" si="771"/>
        <v>0.15751253768658027</v>
      </c>
      <c r="HW179" s="304">
        <f>HV179*(VLOOKUP(AN179,各项系数!$D$1:$F$143,2,0))</f>
        <v>1.5751253768658027</v>
      </c>
      <c r="HX179" s="315">
        <f>各项系数!$F$76/4*($MV179^2-$MS179^2)*10^-2*(VLOOKUP($HX$9,各项系数!$D$1:$F$143,3,0))*10^-3*10^2*各项系数!$J$4</f>
        <v>0.15618916314408565</v>
      </c>
      <c r="HY179" s="322">
        <v>1</v>
      </c>
      <c r="HZ179" s="304">
        <f t="shared" si="772"/>
        <v>0.15618916314408565</v>
      </c>
      <c r="IA179" s="304">
        <f>HZ179*(VLOOKUP($HX$9,各项系数!$D$1:$F$143,2,0))</f>
        <v>1.7180807945849421</v>
      </c>
      <c r="IB179" s="315">
        <f>各项系数!$F$76/4*($MW179^2-$MT179^2)*10^-2*(VLOOKUP($IB$9,各项系数!$D$1:$F$143,3,0))*10^-3*10^2*各项系数!$J$4</f>
        <v>0.15751253768658027</v>
      </c>
      <c r="IC179" s="322">
        <v>1</v>
      </c>
      <c r="ID179" s="304">
        <f t="shared" si="773"/>
        <v>0.15751253768658027</v>
      </c>
      <c r="IE179" s="304">
        <f>ID179*(VLOOKUP($IB$9,各项系数!$D$1:$F$143,2,0))</f>
        <v>1.7326379145523829</v>
      </c>
      <c r="IF179" s="328"/>
      <c r="IG179" s="315">
        <f t="shared" si="656"/>
        <v>6.2636802643275244E-2</v>
      </c>
      <c r="IH179" s="303">
        <v>1</v>
      </c>
      <c r="II179" s="304">
        <f t="shared" si="774"/>
        <v>6.2636802643275244E-2</v>
      </c>
      <c r="IJ179" s="304">
        <f>II179*(VLOOKUP($IG$8,各项系数!$D$1:$F$143,2,0))</f>
        <v>1.5659200660818811</v>
      </c>
      <c r="IK179" s="315">
        <f>(各项系数!$F$76/4*($MX179^2-$MK179^2)*$EG179)*10^-2*(VLOOKUP($IG$8,各项系数!$D$1:$F$143,3,0))*10^-3*10^2*各项系数!$J$4</f>
        <v>6.2636802643275244E-2</v>
      </c>
      <c r="IL179" s="303">
        <f>IK179*(VLOOKUP($IG$8,各项系数!$D$1:$F$143,2,0))</f>
        <v>1.5659200660818811</v>
      </c>
      <c r="IM179" s="304">
        <f>(各项系数!$F$76/4*(($MM179+3*$X179)^2-MM179^2)*$EO179)*10^-2*(VLOOKUP($IG$8,各项系数!$D$1:$F$143,3,0))*10^-3*10^2*各项系数!$J$4</f>
        <v>0</v>
      </c>
      <c r="IN179" s="303">
        <f>IM179*(VLOOKUP($IG$8,各项系数!$D$1:$F$143,2,0))</f>
        <v>0</v>
      </c>
      <c r="IO179" s="315">
        <f>各项系数!$F$76/4*($MZ179^2-$MX179^2)*10^-2*(VLOOKUP(L179,各项系数!$D$1:$F$143,3,0))*10^-3*10^2*$ES179*各项系数!$J$4</f>
        <v>0.17216567167917324</v>
      </c>
      <c r="IP179" s="303">
        <v>1</v>
      </c>
      <c r="IQ179" s="304">
        <f t="shared" si="775"/>
        <v>0.17216567167917324</v>
      </c>
      <c r="IR179" s="285">
        <f>IQ179*(VLOOKUP(L179,各项系数!$D$1:$F$143,2,0))</f>
        <v>1.9799052243104922</v>
      </c>
      <c r="IS179" s="315">
        <f>IF($L179&lt;&gt;$IS$9,0,各项系数!$F$76/4*($MZ179^2-$MX179^2)*10^-2*各项系数!$F$12*10^-3*10^2)*$ES179*各项系数!$J$4</f>
        <v>0</v>
      </c>
      <c r="IT179" s="303">
        <v>1</v>
      </c>
      <c r="IU179" s="304">
        <f t="shared" si="776"/>
        <v>0</v>
      </c>
      <c r="IV179" s="285">
        <f>IU179*各项系数!$E$12</f>
        <v>0</v>
      </c>
      <c r="IW179" s="302">
        <f t="shared" si="777"/>
        <v>0.17216567167917324</v>
      </c>
      <c r="IX179" s="302">
        <f t="shared" si="778"/>
        <v>1.9799052243104922</v>
      </c>
      <c r="IY179" s="339">
        <f>各项系数!$F$76/4*($NB179^2-$MZ179^2*$EG179-$NA179^2*$EO179)*10^-2</f>
        <v>0.95346895613924976</v>
      </c>
      <c r="IZ179" s="284">
        <f t="shared" si="697"/>
        <v>1</v>
      </c>
      <c r="JA179" s="285">
        <f t="shared" si="606"/>
        <v>0.95346895613924976</v>
      </c>
      <c r="JB179" s="282">
        <f>IF($DE179&lt;&gt;$JB$9,0,$JA179*各项系数!$F$32*10^-3*10^2)*各项系数!$J$4</f>
        <v>0</v>
      </c>
      <c r="JC179" s="102">
        <v>1</v>
      </c>
      <c r="JD179" s="189">
        <f t="shared" si="779"/>
        <v>0</v>
      </c>
      <c r="JE179" s="262">
        <f>JD179*各项系数!$E$32</f>
        <v>0</v>
      </c>
      <c r="JF179" s="282">
        <f>IF($DE179&lt;&gt;$JF$9,0,$JA179*VLOOKUP($JF$9,各项系数!$D$4:$F$540,2,0)*10^-3*10^2)*各项系数!$J$4</f>
        <v>0.47435080567927673</v>
      </c>
      <c r="JG179" s="102">
        <v>1</v>
      </c>
      <c r="JH179" s="189">
        <f t="shared" si="607"/>
        <v>0.47435080567927673</v>
      </c>
      <c r="JI179" s="262">
        <f>JH179*VLOOKUP($JF$9,各项系数!$D$4:$F$540,3,0)</f>
        <v>0.56922096681513201</v>
      </c>
      <c r="JJ179" s="282">
        <f t="shared" si="780"/>
        <v>0.47435080567927673</v>
      </c>
      <c r="JK179" s="189">
        <f t="shared" si="781"/>
        <v>0.56922096681513201</v>
      </c>
      <c r="JL179" s="282">
        <f>IF($DF179&lt;&gt;$JL$9,0,各项系数!$F$76/4*($NE179^2-$NC179^2)*10^-2*各项系数!$F$39*10^-3*10^2)*各项系数!$J$4</f>
        <v>2.3314060386044849E-3</v>
      </c>
      <c r="JM179" s="102">
        <v>1</v>
      </c>
      <c r="JN179" s="189">
        <f t="shared" si="782"/>
        <v>2.3314060386044849E-3</v>
      </c>
      <c r="JO179" s="262">
        <f>JN179*各项系数!$E$39</f>
        <v>4.66281207720897E-2</v>
      </c>
      <c r="JP179" s="282">
        <f>IF($DF179&lt;&gt;$JP$9,0,各项系数!$F$76/4*($NE179^2-$NC179^2)*10^-2*各项系数!$F$36*10^-3*10^2)*各项系数!$J$4</f>
        <v>0</v>
      </c>
      <c r="JQ179" s="102">
        <v>1</v>
      </c>
      <c r="JR179" s="189">
        <f t="shared" si="783"/>
        <v>0</v>
      </c>
      <c r="JS179" s="262">
        <f>JR179*各项系数!$E$36</f>
        <v>0</v>
      </c>
      <c r="JT179" s="282">
        <f>IF($DF179&lt;&gt;$JT$9,0,各项系数!$F$76/4*($NE179^2-$NC179^2)*10^-2*各项系数!$F$40*10^-3*10^2)*各项系数!$J$4</f>
        <v>0</v>
      </c>
      <c r="JU179" s="102">
        <v>1</v>
      </c>
      <c r="JV179" s="189">
        <f t="shared" si="784"/>
        <v>0</v>
      </c>
      <c r="JW179" s="262">
        <f>JV179*各项系数!$E$40</f>
        <v>0</v>
      </c>
      <c r="JX179" s="282">
        <f>IF($DF179&lt;&gt;$JX$9,0,各项系数!$F$76/4*($NE179^2-$NC179^2)*10^-2*各项系数!$F$38*10^-3*10^2)*各项系数!$J$4</f>
        <v>0</v>
      </c>
      <c r="JY179" s="102">
        <v>1</v>
      </c>
      <c r="JZ179" s="189">
        <f t="shared" si="785"/>
        <v>0</v>
      </c>
      <c r="KA179" s="262">
        <f>JZ179*各项系数!$E$38</f>
        <v>0</v>
      </c>
      <c r="KB179" s="282">
        <f>IF($DF179&lt;&gt;$KB$9,0,各项系数!$F$76/4*($NE179^2-$NC179^2)*10^-2*各项系数!$F$41*10^-3*10^2)*各项系数!$J$4</f>
        <v>0</v>
      </c>
      <c r="KC179" s="102">
        <v>1</v>
      </c>
      <c r="KD179" s="189">
        <f t="shared" si="786"/>
        <v>0</v>
      </c>
      <c r="KE179" s="262">
        <f>KD179*各项系数!$E$41</f>
        <v>0</v>
      </c>
      <c r="KF179" s="189">
        <f t="shared" si="787"/>
        <v>2.3314060386044849E-3</v>
      </c>
      <c r="KG179" s="189">
        <f t="shared" si="788"/>
        <v>4.66281207720897E-2</v>
      </c>
      <c r="KH179" s="235">
        <f>各项系数!$F$76/4*($NG179^2-$NE179^2)*10^-2*各项系数!$F$44*10^-3*10^2*各项系数!$J$4*0.75*$U179</f>
        <v>0.94325972718305651</v>
      </c>
      <c r="KI179" s="102">
        <v>1</v>
      </c>
      <c r="KJ179" s="189">
        <f t="shared" si="789"/>
        <v>0.94325972718305651</v>
      </c>
      <c r="KK179" s="189">
        <f>ROUND(KJ179*各项系数!$E$43,GT179)</f>
        <v>5</v>
      </c>
      <c r="KL179" s="235">
        <f>各项系数!$F$76/4*($NF179^2-$NE179^2)*10^-2*各项系数!$F$46*10^-3*10^2*各项系数!$J$4*PI()/4*R179</f>
        <v>2.9218600725275615E-2</v>
      </c>
      <c r="KM179" s="102">
        <v>1</v>
      </c>
      <c r="KN179" s="189">
        <f t="shared" si="790"/>
        <v>2.9218600725275615E-2</v>
      </c>
      <c r="KO179" s="189">
        <f>KN179*各项系数!$E$46</f>
        <v>1.972255548956104</v>
      </c>
      <c r="KP179" s="235">
        <f>各项系数!$F$76/4*($NH179^2-$NE179^2)*10^-2*(VLOOKUP($KP$9,各项系数!$D$1:$F$143,3,0))*10^-3*10^2*各项系数!$J$4</f>
        <v>0.18469137115896697</v>
      </c>
      <c r="KQ179" s="102">
        <v>1</v>
      </c>
      <c r="KR179" s="189">
        <f t="shared" si="657"/>
        <v>0.18469137115896697</v>
      </c>
      <c r="KS179" s="189">
        <f>KR179*(VLOOKUP($KP$9,各项系数!$D$1:$F$143,2,0))</f>
        <v>3.1397533097024386</v>
      </c>
      <c r="KT179" s="235">
        <f>各项系数!$F$76/4*($NI179^2-$NF179^2)*10^-2*(VLOOKUP($KT$9,各项系数!$D$1:$F$143,3,0))*10^-3*10^2*各项系数!$J$4</f>
        <v>0.18599674060564542</v>
      </c>
      <c r="KU179" s="102">
        <v>1</v>
      </c>
      <c r="KV179" s="189">
        <f t="shared" si="658"/>
        <v>0.18599674060564542</v>
      </c>
      <c r="KW179" s="189">
        <f>KV179*(VLOOKUP($KT$9,各项系数!$D$1:$F$143,2,0))</f>
        <v>3.1619445902959722</v>
      </c>
      <c r="KX179" s="189">
        <f>各项系数!$F$76/4*($NH179^2-$NE179^2)*10^-2*(VLOOKUP($KX$9,各项系数!$D$1:$F$143,3,0))*10^-3*10^2*各项系数!$J$4</f>
        <v>0.18469137115896697</v>
      </c>
      <c r="KY179" s="353">
        <v>1</v>
      </c>
      <c r="KZ179" s="189">
        <f t="shared" si="659"/>
        <v>0.18469137115896697</v>
      </c>
      <c r="LA179" s="189">
        <f>KZ179*(VLOOKUP($KX$9,各项系数!$D$1:$F$143,2,0))</f>
        <v>3.1397533097024386</v>
      </c>
      <c r="LB179" s="189">
        <f>各项系数!$F$76/4*($NI179^2-$NF179^2)*10^-2*(VLOOKUP($LB$9,各项系数!$D$1:$F$143,3,0))*10^-3*10^2*各项系数!$J$4</f>
        <v>0.18599674060564542</v>
      </c>
      <c r="LC179" s="353">
        <v>1</v>
      </c>
      <c r="LD179" s="189">
        <f t="shared" si="660"/>
        <v>0.18599674060564542</v>
      </c>
      <c r="LE179" s="189">
        <f>LD179*(VLOOKUP($LB$9,各项系数!$D$1:$F$143,2,0))</f>
        <v>3.1619445902959722</v>
      </c>
      <c r="LF179" s="235">
        <f>各项系数!$F$76/4*($NH179^2-$NE179^2)*10^-2*(VLOOKUP(AN179,各项系数!$D$1:$F$143,3,0))*10^-3*10^2*各项系数!$J$4</f>
        <v>0.18723883834736652</v>
      </c>
      <c r="LG179" s="102">
        <v>1</v>
      </c>
      <c r="LH179" s="189">
        <f t="shared" si="791"/>
        <v>0.18723883834736652</v>
      </c>
      <c r="LI179" s="189">
        <f>LH179*(VLOOKUP(AN179,各项系数!$D$1:$F$143,2,0))</f>
        <v>1.8723883834736652</v>
      </c>
      <c r="LJ179" s="235">
        <f>各项系数!$F$76/4*($NI179^2-$NF179^2)*10^-2*(VLOOKUP(AN179,各项系数!$D$1:$F$143,3,0))*10^-3*10^2*各项系数!$J$4</f>
        <v>0.18856221288986119</v>
      </c>
      <c r="LK179" s="102">
        <v>1</v>
      </c>
      <c r="LL179" s="189">
        <f t="shared" si="792"/>
        <v>0.18856221288986119</v>
      </c>
      <c r="LM179" s="189">
        <f>LL179*(VLOOKUP(AN179,各项系数!$D$1:$F$143,2,0))</f>
        <v>1.8856221288986119</v>
      </c>
      <c r="LN179" s="189">
        <f>各项系数!$F$76/4*($NH179^2-$NE179^2)*10^-2*(VLOOKUP($LN$9,各项系数!$D$1:$F$143,3,0))*10^-3*10^2*各项系数!$J$4</f>
        <v>0.18723883834736652</v>
      </c>
      <c r="LO179" s="353">
        <v>1</v>
      </c>
      <c r="LP179" s="189">
        <f t="shared" si="793"/>
        <v>0.18723883834736652</v>
      </c>
      <c r="LQ179" s="189">
        <f>LP179*(VLOOKUP($LN$9,各项系数!$D$1:$F$143,2,0))</f>
        <v>2.0596272218210316</v>
      </c>
      <c r="LR179" s="189">
        <f>各项系数!$F$76/4*($NI179^2-$NF179^2)*10^-2*(VLOOKUP($LR$9,各项系数!$D$1:$F$143,3,0))*10^-3*10^2*各项系数!$J$4</f>
        <v>0.18856221288986119</v>
      </c>
      <c r="LS179" s="353">
        <v>1</v>
      </c>
      <c r="LT179" s="189">
        <f t="shared" si="794"/>
        <v>0.18856221288986119</v>
      </c>
      <c r="LU179" s="189">
        <f>LT179*(VLOOKUP($LR$9,各项系数!$D$1:$F$143,2,0))</f>
        <v>2.0741843417884729</v>
      </c>
      <c r="LV179" s="227">
        <f t="shared" si="661"/>
        <v>38.603215390000003</v>
      </c>
      <c r="LW179" s="227">
        <f t="shared" si="662"/>
        <v>38.603215390000003</v>
      </c>
      <c r="LX179" s="227">
        <f t="shared" si="663"/>
        <v>7.0107874299879489</v>
      </c>
      <c r="LY179" s="227">
        <f t="shared" si="664"/>
        <v>0</v>
      </c>
      <c r="LZ179" s="374">
        <f t="shared" si="608"/>
        <v>1</v>
      </c>
      <c r="MA179" s="375">
        <f t="shared" si="609"/>
        <v>38.603215390000003</v>
      </c>
      <c r="MB179" s="375">
        <f t="shared" si="665"/>
        <v>1.34922667</v>
      </c>
      <c r="MC179" s="227">
        <f t="shared" si="666"/>
        <v>0</v>
      </c>
      <c r="MD179" s="227">
        <f t="shared" si="667"/>
        <v>0</v>
      </c>
      <c r="ME179" s="227">
        <f t="shared" si="668"/>
        <v>0</v>
      </c>
      <c r="MF179" s="227">
        <f t="shared" si="669"/>
        <v>0</v>
      </c>
      <c r="MG179" s="374">
        <f t="shared" si="670"/>
        <v>1</v>
      </c>
      <c r="MH179" s="375">
        <f t="shared" si="610"/>
        <v>0</v>
      </c>
      <c r="MI179" s="375">
        <f t="shared" si="671"/>
        <v>0</v>
      </c>
      <c r="MJ179" s="189">
        <f t="shared" si="611"/>
        <v>1.34922667</v>
      </c>
      <c r="MK179" s="189">
        <f t="shared" si="672"/>
        <v>1.34922667</v>
      </c>
      <c r="ML179" s="189">
        <f t="shared" si="795"/>
        <v>0</v>
      </c>
      <c r="MM179" s="189">
        <f t="shared" si="612"/>
        <v>0</v>
      </c>
      <c r="MN179" s="189">
        <f t="shared" si="613"/>
        <v>2.7492266699999997</v>
      </c>
      <c r="MO179" s="189">
        <f t="shared" si="673"/>
        <v>0</v>
      </c>
      <c r="MP179" s="189">
        <f t="shared" si="674"/>
        <v>16.907744019999999</v>
      </c>
      <c r="MQ179" s="189">
        <f t="shared" si="796"/>
        <v>16.907744019999999</v>
      </c>
      <c r="MR179" s="246">
        <f t="shared" si="675"/>
        <v>16.907744019999999</v>
      </c>
      <c r="MS179" s="380">
        <f t="shared" si="614"/>
        <v>17.083744019999997</v>
      </c>
      <c r="MT179" s="380">
        <f t="shared" si="615"/>
        <v>17.243744019999998</v>
      </c>
      <c r="MU179" s="380">
        <f t="shared" si="616"/>
        <v>18.283744019999997</v>
      </c>
      <c r="MV179" s="380">
        <f t="shared" si="617"/>
        <v>20.683744019999999</v>
      </c>
      <c r="MW179" s="380">
        <f t="shared" si="618"/>
        <v>20.843744019999999</v>
      </c>
      <c r="MX179" s="254">
        <f t="shared" si="619"/>
        <v>1.9492266700000001</v>
      </c>
      <c r="MY179" s="254">
        <f t="shared" si="620"/>
        <v>0</v>
      </c>
      <c r="MZ179" s="189">
        <f t="shared" si="621"/>
        <v>3.3492266700000002</v>
      </c>
      <c r="NA179" s="189">
        <f t="shared" si="622"/>
        <v>0</v>
      </c>
      <c r="NB179" s="189">
        <f t="shared" si="676"/>
        <v>20.59774402</v>
      </c>
      <c r="NC179" s="254">
        <f t="shared" si="797"/>
        <v>20.59774402</v>
      </c>
      <c r="ND179" s="246">
        <f t="shared" si="677"/>
        <v>20.59774402</v>
      </c>
      <c r="NE179" s="386">
        <f t="shared" si="678"/>
        <v>20.837744019999999</v>
      </c>
      <c r="NF179" s="380">
        <f t="shared" si="623"/>
        <v>20.997744019999999</v>
      </c>
      <c r="NG179" s="387">
        <f t="shared" si="624"/>
        <v>22.037744019999998</v>
      </c>
      <c r="NH179" s="254">
        <f t="shared" si="625"/>
        <v>24.43774402</v>
      </c>
      <c r="NI179" s="380">
        <f t="shared" si="626"/>
        <v>24.59774402</v>
      </c>
      <c r="NK179" s="388">
        <f t="shared" si="627"/>
        <v>0.71216601900280141</v>
      </c>
      <c r="NL179" s="388">
        <f t="shared" si="628"/>
        <v>25.749284214641165</v>
      </c>
      <c r="NM179" s="388">
        <f t="shared" si="629"/>
        <v>0.71216601900280141</v>
      </c>
      <c r="NN179" s="388">
        <f t="shared" si="630"/>
        <v>25.905473377785249</v>
      </c>
      <c r="NO179" s="388">
        <f t="shared" si="631"/>
        <v>1.2401901973776788</v>
      </c>
      <c r="NP179" s="388">
        <f t="shared" si="632"/>
        <v>28.400129842297115</v>
      </c>
      <c r="NQ179" s="388">
        <f t="shared" si="633"/>
        <v>1.2401901973776788</v>
      </c>
      <c r="NR179" s="388">
        <f t="shared" si="634"/>
        <v>28.587368680644481</v>
      </c>
      <c r="NS179" s="388">
        <f t="shared" si="635"/>
        <v>0.73614090764240403</v>
      </c>
      <c r="NT179" s="388">
        <f t="shared" si="636"/>
        <v>0.73614090764240403</v>
      </c>
      <c r="NU179" s="388">
        <f t="shared" si="637"/>
        <v>1.2694087981029545</v>
      </c>
      <c r="NV179" s="388">
        <f t="shared" si="638"/>
        <v>1.2694087981029545</v>
      </c>
      <c r="NW179">
        <f t="shared" si="639"/>
        <v>0.97152732033373923</v>
      </c>
      <c r="NX179">
        <f>各项系数!$M$9*NK179</f>
        <v>0.21364980570084041</v>
      </c>
      <c r="NY179">
        <f t="shared" si="640"/>
        <v>0.73614090764240392</v>
      </c>
    </row>
    <row r="180" spans="1:389" ht="15" hidden="1" customHeight="1">
      <c r="A180" s="69"/>
      <c r="B180" s="70"/>
      <c r="C180" s="69"/>
      <c r="D180" s="102" t="s">
        <v>151</v>
      </c>
      <c r="E180" s="61">
        <f t="shared" si="805"/>
        <v>21.39854295</v>
      </c>
      <c r="F180" s="62">
        <f t="shared" si="798"/>
        <v>134.922667214547</v>
      </c>
      <c r="G180" s="16"/>
      <c r="H180" s="16"/>
      <c r="I180" s="145">
        <v>0</v>
      </c>
      <c r="J180" s="16"/>
      <c r="K180" s="16"/>
      <c r="L180" s="97" t="s">
        <v>469</v>
      </c>
      <c r="M180" s="103">
        <f t="shared" si="582"/>
        <v>0.7</v>
      </c>
      <c r="N180" s="103">
        <f t="shared" si="804"/>
        <v>0</v>
      </c>
      <c r="O180" s="53">
        <f t="shared" si="819"/>
        <v>0.08</v>
      </c>
      <c r="P180" s="99">
        <v>0.1</v>
      </c>
      <c r="Q180" s="133">
        <f t="shared" si="806"/>
        <v>0.1</v>
      </c>
      <c r="R180" s="406">
        <v>0.8</v>
      </c>
      <c r="S180" s="142" t="str">
        <f>各项系数!$D$43</f>
        <v>钢带</v>
      </c>
      <c r="T180" s="102">
        <v>0.2</v>
      </c>
      <c r="U180" s="62">
        <v>4</v>
      </c>
      <c r="V180" s="143"/>
      <c r="W180" s="141">
        <f t="shared" si="818"/>
        <v>1.8</v>
      </c>
      <c r="X180" s="135">
        <f t="shared" si="807"/>
        <v>0.2</v>
      </c>
      <c r="Y180" s="135"/>
      <c r="Z180" s="168"/>
      <c r="AA180" s="153">
        <v>1</v>
      </c>
      <c r="AB180" s="153">
        <f>PI()*EJ180*EJ180/4*EH180*(1-H180)*AA180*各项系数!$F$5*各项系数!$J$4*10^-7</f>
        <v>1.2646913814443796E-2</v>
      </c>
      <c r="AC180" s="153">
        <f t="shared" si="808"/>
        <v>134.922667214547</v>
      </c>
      <c r="AD180" s="153">
        <f t="shared" si="584"/>
        <v>1.4297487227412424</v>
      </c>
      <c r="AE180" s="153">
        <f>POWER(4*EU180/PI()/EG180/10^-7/EH180/(1-H180)/各项系数!$F$5/各项系数!$J$4,0.5)</f>
        <v>134.922667214547</v>
      </c>
      <c r="AF180" s="69">
        <v>1</v>
      </c>
      <c r="AG180" s="69">
        <f>IF(EM180=0,0,PI()*ER180*ER180/4*EP180*(1-K180)*(1+AF180)*各项系数!$F$5*各项系数!$J$4*10^-7)</f>
        <v>0</v>
      </c>
      <c r="AH180" s="69">
        <f t="shared" si="809"/>
        <v>0</v>
      </c>
      <c r="AI180" s="69">
        <f t="shared" si="641"/>
        <v>0</v>
      </c>
      <c r="AJ180" s="69">
        <f>IF(OR(EP180="",EP180=0),0,POWER(4*EW180/PI()/EO180/10^-7/EP180/(1-K180)/各项系数!$F$5/各项系数!$J$4,0.5))</f>
        <v>0</v>
      </c>
      <c r="AK180" s="69" t="str">
        <f t="shared" si="585"/>
        <v>√</v>
      </c>
      <c r="AL180" s="69">
        <f t="shared" si="810"/>
        <v>30.078015230932458</v>
      </c>
      <c r="AM180" s="188">
        <f t="shared" si="811"/>
        <v>1.5</v>
      </c>
      <c r="AN180" s="97" t="s">
        <v>486</v>
      </c>
      <c r="AO180" s="196">
        <f>AP180+各项系数!$M$9*$NK180</f>
        <v>29.488250226404372</v>
      </c>
      <c r="AP180" s="196">
        <f>AQ180*(1+$BI180+(VLOOKUP($AM180,$A$12:$B$323,2,0))+各项系数!$J$6+各项系数!$M$5)*(1+$E$2)</f>
        <v>29.256382276726921</v>
      </c>
      <c r="AQ180" s="197">
        <f>AR180+各项系数!$L$9*$NK180</f>
        <v>29.55787257701245</v>
      </c>
      <c r="AR180" s="197">
        <f>AS180*(1+$BJ180+各项系数!$J$5+各项系数!$L$5)</f>
        <v>29.326004627334999</v>
      </c>
      <c r="AS180" s="197">
        <f t="shared" si="642"/>
        <v>28.471849152752426</v>
      </c>
      <c r="AT180" s="196">
        <f>AU180+各项系数!$M$9*$NM180</f>
        <v>30.60685585037648</v>
      </c>
      <c r="AU180" s="196">
        <f>AV180*(1+$BI180+(VLOOKUP($AM180,$A$12:$B$323,2,0))+各项系数!$J$6+各项系数!$M$5)*(1+$E$2)</f>
        <v>30.374987900699029</v>
      </c>
      <c r="AV180" s="197">
        <f>AW180+各项系数!$L$9*$NM180</f>
        <v>30.688005557384351</v>
      </c>
      <c r="AW180" s="197">
        <f>AX180*(1+$BJ180+各项系数!$J$5+各项系数!$L$5)</f>
        <v>30.4561376077069</v>
      </c>
      <c r="AX180" s="197">
        <f t="shared" si="643"/>
        <v>29.569065638550388</v>
      </c>
      <c r="AY180" s="196">
        <f>AZ180+各项系数!$M$9*$NS180</f>
        <v>31.235211278036445</v>
      </c>
      <c r="AZ180" s="196">
        <f>BA180*(1+$BI180+(VLOOKUP($AM180,$A$12:$B$214,2,0))+各项系数!$J$6+各项系数!$M$5)*(1+$E$2)</f>
        <v>30.995851325289646</v>
      </c>
      <c r="BA180" s="197">
        <f>BB180+各项系数!$L$9*$NS180</f>
        <v>31.315267049191398</v>
      </c>
      <c r="BB180" s="197">
        <f>BC180*(1+$BJ180+各项系数!$J$5+各项系数!$L$5)</f>
        <v>31.075907096444599</v>
      </c>
      <c r="BC180" s="199">
        <f t="shared" si="644"/>
        <v>30.170783588781163</v>
      </c>
      <c r="BD180" s="196">
        <f>BE180+各项系数!$M$9*$NS180</f>
        <v>32.362949055367729</v>
      </c>
      <c r="BE180" s="196">
        <f>BF180*(1+$BI180+(VLOOKUP($AM180,$A$12:$B$214,2,0))+各项系数!$J$6+各项系数!$M$5)*(1+$E$2)</f>
        <v>32.123589102620926</v>
      </c>
      <c r="BF180" s="197">
        <f>BG180+各项系数!$L$9*$NS180</f>
        <v>32.454626290786948</v>
      </c>
      <c r="BG180" s="197">
        <f>BH180*(1+$BJ180+各项系数!$J$5+各项系数!$L$5)</f>
        <v>32.215266338040145</v>
      </c>
      <c r="BH180" s="199">
        <f t="shared" si="645"/>
        <v>31.276957609747711</v>
      </c>
      <c r="BI180" s="213"/>
      <c r="BJ180" s="208">
        <f t="shared" si="800"/>
        <v>0.01</v>
      </c>
      <c r="BK180" s="102" t="s">
        <v>514</v>
      </c>
      <c r="BL180" s="196">
        <f>BM180+各项系数!$M$9*$NM180</f>
        <v>29.936930401674132</v>
      </c>
      <c r="BM180" s="196">
        <f>BN180*(1+$CF180+(VLOOKUP($AM180,$A$12:$B$323,2,0))+各项系数!$J$6+各项系数!$M$5)*(1+$E$2)</f>
        <v>29.705062451996682</v>
      </c>
      <c r="BN180" s="197">
        <f>BO180+各项系数!$L$9*$NM180</f>
        <v>30.011176451805095</v>
      </c>
      <c r="BO180" s="197">
        <f>BP180*(1+$CG180+各项系数!$J$5+各项系数!$L$5)</f>
        <v>29.779308502127645</v>
      </c>
      <c r="BP180" s="197">
        <f t="shared" si="646"/>
        <v>28.633950482815042</v>
      </c>
      <c r="BQ180" s="196">
        <f>BR180+各项系数!$M$9*$NM180</f>
        <v>30.899530462066849</v>
      </c>
      <c r="BR180" s="196">
        <f>BS180*(1+$CF180+(VLOOKUP($AM180,$A$12:$B$323,2,0))+各项系数!$J$6+各项系数!$M$5)*(1+$E$2)</f>
        <v>30.667662512389398</v>
      </c>
      <c r="BS180" s="197">
        <f>BT180+各项系数!$L$9*$NM180</f>
        <v>30.983696213769854</v>
      </c>
      <c r="BT180" s="197">
        <f>BU180*(1+$CG180+各项系数!$J$5+各项系数!$L$5)</f>
        <v>30.751828264092403</v>
      </c>
      <c r="BU180" s="197">
        <f t="shared" si="647"/>
        <v>29.569065638550388</v>
      </c>
      <c r="BV180" s="196">
        <f>BW180+各项系数!$M$9*$NT180</f>
        <v>31.473330412735073</v>
      </c>
      <c r="BW180" s="196">
        <f>BX180*(1+$CF180+(VLOOKUP($AM180,$A$12:$B$214,2,0))+各项系数!$J$6+各项系数!$M$5)*(1+$E$2)</f>
        <v>31.233970459988274</v>
      </c>
      <c r="BX180" s="197">
        <f>BY180+各项系数!$L$9*$NT$12</f>
        <v>31.555840028276695</v>
      </c>
      <c r="BY180" s="197">
        <f>BZ180*(1+$CG180+各项系数!$J$5+各项系数!$L$5)</f>
        <v>31.547576625121721</v>
      </c>
      <c r="BZ180" s="199">
        <f t="shared" si="586"/>
        <v>30.334208293386268</v>
      </c>
      <c r="CA180" s="196">
        <f>CB180+各项系数!$M$9*$NT180</f>
        <v>32.443789017003006</v>
      </c>
      <c r="CB180" s="196">
        <f>CC180*(1+$CF180+(VLOOKUP($AM180,$A$12:$B$214,2,0))+各项系数!$J$6+各项系数!$M$5)*(1+$E$2)</f>
        <v>32.204429064256203</v>
      </c>
      <c r="CC180" s="197">
        <f>CD180+各项系数!$L$9*$NT$12</f>
        <v>32.536299317292588</v>
      </c>
      <c r="CD180" s="197">
        <f>CE180*(1+$CG180+各项系数!$J$5+各项系数!$L$5)</f>
        <v>32.528035914137618</v>
      </c>
      <c r="CE180" s="199">
        <f t="shared" si="648"/>
        <v>31.276957609747711</v>
      </c>
      <c r="CF180" s="213">
        <f t="shared" si="753"/>
        <v>0</v>
      </c>
      <c r="CG180" s="213">
        <f t="shared" si="587"/>
        <v>0.02</v>
      </c>
      <c r="CH180" s="102"/>
      <c r="CI180" s="196">
        <f>CJ180+各项系数!$M$9*$NO180</f>
        <v>33.000370960922773</v>
      </c>
      <c r="CJ180" s="196">
        <f>CK180*(1+$DC180+(VLOOKUP($AM180,$A$12:$B$323,2,0))+各项系数!$J$6+各项系数!$M$5)*(1+$E$2)+各项系数!$M$9*$NK180</f>
        <v>32.603422416387559</v>
      </c>
      <c r="CK180" s="197">
        <f>CL180+各项系数!$L$9*$NO180</f>
        <v>32.705146965760868</v>
      </c>
      <c r="CL180" s="197">
        <f>CM180*(1+$DD180+各项系数!$J$5+各项系数!$L$5)</f>
        <v>32.308198421225654</v>
      </c>
      <c r="CM180" s="197">
        <f t="shared" si="588"/>
        <v>31.367182933228786</v>
      </c>
      <c r="CN180" s="196">
        <f>CO180+各项系数!$M$9*$NO180</f>
        <v>33.78927257822113</v>
      </c>
      <c r="CO180" s="196">
        <f>CP180*(1+$DC180+(VLOOKUP($AM180,$A$12:$B$323,2,0))+各项系数!$J$6+各项系数!$M$5)*(1+$E$2)+各项系数!$M$9*$NK180</f>
        <v>33.392324033685917</v>
      </c>
      <c r="CP180" s="197">
        <f>CQ180+各项系数!$L$9*$NO180</f>
        <v>33.502178302695967</v>
      </c>
      <c r="CQ180" s="197">
        <f>CR180*(1+$DD180+各项系数!$J$5+各项系数!$L$5)</f>
        <v>33.105229758160753</v>
      </c>
      <c r="CR180" s="197">
        <f t="shared" si="589"/>
        <v>32.140999765204612</v>
      </c>
      <c r="CS180" s="196">
        <f>CT180+各项系数!$M$9*$NU180</f>
        <v>34.894570184095926</v>
      </c>
      <c r="CT180" s="196">
        <f t="shared" si="590"/>
        <v>34.48849115106875</v>
      </c>
      <c r="CU180" s="197">
        <f>CV180+各项系数!$L$9*$NU180</f>
        <v>34.843898920053299</v>
      </c>
      <c r="CV180" s="197">
        <f>CW180*(1+$DD180+各项系数!$J$5+各项系数!$L$5)</f>
        <v>34.437819887026123</v>
      </c>
      <c r="CW180" s="199">
        <f t="shared" si="591"/>
        <v>33.434776589345752</v>
      </c>
      <c r="CX180" s="196">
        <f>CY180+各项系数!$M$9*$NU180</f>
        <v>36.245474959141738</v>
      </c>
      <c r="CY180" s="196">
        <f t="shared" si="592"/>
        <v>35.839395926114562</v>
      </c>
      <c r="CZ180" s="197">
        <f>DA180+各项系数!$L$9*$NU180</f>
        <v>36.208724920301641</v>
      </c>
      <c r="DA180" s="197">
        <f>DB180*(1+$DD180+各项系数!$J$5+各项系数!$L$5)</f>
        <v>35.802645887274466</v>
      </c>
      <c r="DB180" s="199">
        <f t="shared" si="593"/>
        <v>34.759850375994624</v>
      </c>
      <c r="DC180" s="213">
        <f t="shared" si="803"/>
        <v>0</v>
      </c>
      <c r="DD180" s="213">
        <f t="shared" si="594"/>
        <v>0.01</v>
      </c>
      <c r="DE180" s="53" t="s">
        <v>498</v>
      </c>
      <c r="DF180" s="53" t="s">
        <v>513</v>
      </c>
      <c r="DG180" s="196">
        <f>DH180+各项系数!$M$9*$NQ180</f>
        <v>33.510999651596407</v>
      </c>
      <c r="DH180" s="196">
        <f>DI180*(1+$EA180+(VLOOKUP($AM180,$A$12:$B$323,2,0))+各项系数!$J$6+各项系数!$M$5)*(1+$E$2)+各项系数!$M$9*$NK180</f>
        <v>33.114051107061194</v>
      </c>
      <c r="DI180" s="197">
        <f>DJ180+各项系数!$L$9*$NQ180</f>
        <v>33.221037742355776</v>
      </c>
      <c r="DJ180" s="197">
        <f>DK180*(1+$EB180+各项系数!$J$5+各项系数!$L$5)</f>
        <v>32.824089197820562</v>
      </c>
      <c r="DK180" s="197">
        <f t="shared" si="595"/>
        <v>31.561624228673615</v>
      </c>
      <c r="DL180" s="196">
        <f>DM180+各项系数!$M$9*$NQ180</f>
        <v>34.665642877939661</v>
      </c>
      <c r="DM180" s="196">
        <f>DN180*(1+$EA180+(VLOOKUP($AM180,$A$12:$B$323,2,0))+各项系数!$J$6+各项系数!$M$5)*(1+$E$2)+各项系数!$M$9*$NK180</f>
        <v>34.268694333404447</v>
      </c>
      <c r="DN180" s="197">
        <f>DO180+各项系数!$L$9*$NQ180</f>
        <v>34.387579696632649</v>
      </c>
      <c r="DO180" s="197">
        <f>DP180*(1+$EB180+各项系数!$J$5+各项系数!$L$5)</f>
        <v>33.990631152097436</v>
      </c>
      <c r="DP180" s="197">
        <f t="shared" si="596"/>
        <v>32.683299184709071</v>
      </c>
      <c r="DQ180" s="196">
        <f>DR180+各项系数!$M$9*$NV180</f>
        <v>35.427026187944868</v>
      </c>
      <c r="DR180" s="196">
        <f t="shared" si="597"/>
        <v>35.020947154917693</v>
      </c>
      <c r="DS180" s="197">
        <f>DT180+各项系数!$L$9*$NV180</f>
        <v>35.38184194273358</v>
      </c>
      <c r="DT180" s="197">
        <f>DU180*(1+$EB180+各项系数!$J$5+各项系数!$L$5)</f>
        <v>34.975762909706404</v>
      </c>
      <c r="DU180" s="199">
        <f t="shared" si="598"/>
        <v>33.630541259333079</v>
      </c>
      <c r="DV180" s="196">
        <f>DW180+各项系数!$M$9*$NV180</f>
        <v>34.324973959648425</v>
      </c>
      <c r="DW180" s="196">
        <f t="shared" si="599"/>
        <v>33.918894926621249</v>
      </c>
      <c r="DX180" s="197">
        <f>DY180+各项系数!$L$9*$NV180</f>
        <v>34.268432942636139</v>
      </c>
      <c r="DY180" s="197">
        <f>DZ180*(1+$EB180+各项系数!$J$5+各项系数!$L$5)</f>
        <v>33.862353909608963</v>
      </c>
      <c r="DZ180" s="199">
        <f t="shared" si="600"/>
        <v>32.559955682316307</v>
      </c>
      <c r="EA180" s="213">
        <f t="shared" si="802"/>
        <v>0</v>
      </c>
      <c r="EB180" s="213">
        <f t="shared" si="601"/>
        <v>0.02</v>
      </c>
      <c r="EC180" s="235">
        <f t="shared" si="649"/>
        <v>30</v>
      </c>
      <c r="ED180" s="235" t="str">
        <f t="shared" si="756"/>
        <v>30*1.5</v>
      </c>
      <c r="EE180" s="189">
        <f t="shared" si="812"/>
        <v>1.5</v>
      </c>
      <c r="EF180" s="189">
        <f>LOOKUP(EH180,{1,7,10,14,19,24,30,37,48,61},{1,"1+6","2+8","4+10","1+6+12","2+8+14","4+10+16","1+6+12+18","3+9+15+21","1+6+12+18+24"})</f>
        <v>1</v>
      </c>
      <c r="EG180" s="188">
        <f t="shared" si="602"/>
        <v>30</v>
      </c>
      <c r="EH180" s="197">
        <f>VLOOKUP(EE180,各项系数!$B$87:$C$124,2,0)</f>
        <v>1</v>
      </c>
      <c r="EI180" s="188">
        <f>IF(EH180=0,0,VLOOKUP(EH180,各项系数!$D$142:$E$195,2,0))*1</f>
        <v>1</v>
      </c>
      <c r="EJ180" s="238">
        <f t="shared" si="650"/>
        <v>134.922667214547</v>
      </c>
      <c r="EK180" s="189">
        <f t="shared" si="813"/>
        <v>0</v>
      </c>
      <c r="EL180" s="189">
        <f t="shared" si="603"/>
        <v>0</v>
      </c>
      <c r="EM180" s="189">
        <f t="shared" si="814"/>
        <v>0</v>
      </c>
      <c r="EN180" s="189">
        <f>IF(EP180=0,0,LOOKUP(EP180,{1,7,10,14,19,24,30,37,48,61},{1,"1+6","2+8","4+10","1+6+12","2+8+14","4+10+16","1+6+12+18","3+9+15+21","1+6+12+18+24"}))</f>
        <v>0</v>
      </c>
      <c r="EO180" s="189">
        <f t="shared" si="815"/>
        <v>0</v>
      </c>
      <c r="EP180" s="189">
        <f>IF(EM180=0,0,IF(EM180&lt;10,1,IF(AND(EM180&gt;=10,EM180&lt;=35),7,LOOKUP(EM180,{50,70,95,120,150,185,240,300},{10,14,19,24,30,37,48,61})*1)))</f>
        <v>0</v>
      </c>
      <c r="EQ180" s="189">
        <f>IF(EP180=0,0,VLOOKUP(EP180,各项系数!$D$142:$E$195,2,0))*1</f>
        <v>0</v>
      </c>
      <c r="ER180" s="53">
        <f t="shared" si="816"/>
        <v>0</v>
      </c>
      <c r="ES180" s="412">
        <f t="shared" si="817"/>
        <v>30</v>
      </c>
      <c r="ET180" s="189">
        <f>VLOOKUP(ES180,各项系数!$D$142:$E$195,2,0)*1</f>
        <v>6.41</v>
      </c>
      <c r="EU180" s="243">
        <f>((各项系数!$F$76/4*$EJ180^2*$EG180*$EH180*1*10^-7)*(1-$H180)*AA180)*(VLOOKUP($EY$9,各项系数!$D$4:$F$143,3,0))*各项系数!$J$4</f>
        <v>0.37940741443331388</v>
      </c>
      <c r="EV180" s="244">
        <f>EU180*(VLOOKUP($EY$9,各项系数!$D$4:$F$143,2,0))</f>
        <v>24.85118564538206</v>
      </c>
      <c r="EW180" s="252">
        <f>(IF($EO180=0,0,(各项系数!$F$76/4*$ER180^2*$EO180*$EP180*1*10^-7))*(1-$K180)*$AF180)*(VLOOKUP($EY$9,各项系数!$D$4:$F$143,3,0))*各项系数!$J$4</f>
        <v>0</v>
      </c>
      <c r="EX180" s="253">
        <f>EW180*(VLOOKUP($EY$9,各项系数!$D$4:$F$143,2,0))</f>
        <v>0</v>
      </c>
      <c r="EY180" s="189">
        <f>((各项系数!$F$76/4*$EJ180^2*$EG180*$EH180*1*10^-7)*(1-$H180)*AA180+IF($EO180=0,0,(各项系数!$F$76/4*$ER180^2*$EO180*$EP180*1*10^-7))*(1-$K180)*$AF180)*(VLOOKUP($EY$9,各项系数!$D$4:$F$143,3,0))*各项系数!$J$4</f>
        <v>0.37940741443331388</v>
      </c>
      <c r="EZ180" s="102">
        <v>1</v>
      </c>
      <c r="FA180" s="189">
        <f t="shared" si="757"/>
        <v>0.37940741443331388</v>
      </c>
      <c r="FB180" s="254">
        <f>FA180*(VLOOKUP($EY$9,各项系数!$D$4:$F$143,2,0))</f>
        <v>24.85118564538206</v>
      </c>
      <c r="FC180" s="255"/>
      <c r="FD180" s="235">
        <f>各项系数!$F$76/4*($MN180^2-MK180^2)*10^-2*(VLOOKUP(L180,各项系数!$D$1:$F$143,3,0))*10^-3*10^2*$EG180*各项系数!$J$4</f>
        <v>0.14797042894677612</v>
      </c>
      <c r="FE180" s="262">
        <f>FD180*VLOOKUP(L180,各项系数!$D$1:$F$143,2,0)</f>
        <v>1.7016599328879254</v>
      </c>
      <c r="FF180" s="188">
        <f>各项系数!$F$76/4*($MO180^2-ML180^2)*10^-2*(VLOOKUP(L180,各项系数!$D$1:$F$143,3,0))*10^-3*10^2*$EO180*各项系数!$J$4</f>
        <v>0</v>
      </c>
      <c r="FG180" s="262">
        <f>FF180*VLOOKUP(L180,各项系数!$D$1:$F$143,2,0)</f>
        <v>0</v>
      </c>
      <c r="FH180" s="235">
        <f t="shared" si="651"/>
        <v>0.14797042894677612</v>
      </c>
      <c r="FI180" s="102">
        <v>1</v>
      </c>
      <c r="FJ180" s="189">
        <f t="shared" si="758"/>
        <v>0.14797042894677612</v>
      </c>
      <c r="FK180" s="262">
        <f>FJ180*VLOOKUP(L180,各项系数!$D$1:$F$143,2,0)</f>
        <v>1.7016599328879254</v>
      </c>
      <c r="FL180" s="235"/>
      <c r="FM180" s="102"/>
      <c r="FN180" s="189"/>
      <c r="FO180" s="262"/>
      <c r="FP180" s="282">
        <f t="shared" si="759"/>
        <v>0.14797042894677612</v>
      </c>
      <c r="FQ180" s="282">
        <f t="shared" si="760"/>
        <v>1.7016599328879254</v>
      </c>
      <c r="FR180" s="283">
        <f>各项系数!$F$76/4*($MQ180^2-$MN180^2*$EG180-$MO180^2*$EO180)*10^-2</f>
        <v>0.65821550924926786</v>
      </c>
      <c r="FS180" s="284">
        <f t="shared" si="652"/>
        <v>1</v>
      </c>
      <c r="FT180" s="285">
        <f t="shared" si="604"/>
        <v>0.65821550924926786</v>
      </c>
      <c r="FU180" s="302">
        <f>$FT180*(VLOOKUP($FT$9,各项系数!$D$1:$F$143,3,0))*10^-3*10^2*各项系数!$J$55</f>
        <v>7.8590931804362579E-2</v>
      </c>
      <c r="FV180" s="303">
        <v>1</v>
      </c>
      <c r="FW180" s="304">
        <f t="shared" si="761"/>
        <v>7.8590931804362579E-2</v>
      </c>
      <c r="FX180" s="285">
        <f>FW180*(VLOOKUP($FT$9,各项系数!$D$1:$F$143,2,0))</f>
        <v>0.23577279541308774</v>
      </c>
      <c r="FY180" s="302">
        <f>IF($BK180&lt;&gt;$FY$9,0,各项系数!$F$76/4*($MS180^2-$MQ180^2)*10^-2*(VLOOKUP($FY$9,各项系数!$D$1:$F$143,3,0))*10^-3*10^2)*各项系数!$J$4</f>
        <v>0</v>
      </c>
      <c r="FZ180" s="303">
        <v>1</v>
      </c>
      <c r="GA180" s="304">
        <f t="shared" si="762"/>
        <v>0</v>
      </c>
      <c r="GB180" s="285">
        <f>GA180*(VLOOKUP($FY$9,各项系数!$D$1:$F$143,2,0))</f>
        <v>0</v>
      </c>
      <c r="GC180" s="302">
        <f>IF($BK180&lt;&gt;$GC$9,0,各项系数!$F$76/4*($MS180^2-$MQ180^2)*10^-2*(VLOOKUP($GC$9,各项系数!$D$1:$F$143,3,0))*10^-3*10^2)*各项系数!$J$4</f>
        <v>4.8230603444359595E-3</v>
      </c>
      <c r="GD180" s="303">
        <v>1</v>
      </c>
      <c r="GE180" s="304">
        <f t="shared" si="763"/>
        <v>4.8230603444359595E-3</v>
      </c>
      <c r="GF180" s="285">
        <f>GE180*(VLOOKUP($GC$9,各项系数!$D$1:$F$143,2,0))</f>
        <v>6.2217478443223881E-2</v>
      </c>
      <c r="GG180" s="302">
        <f>IF($BK180&lt;&gt;$GG$9,0,各项系数!$F$76/4*($MS180^2-$MQ180^2)*10^-2*(VLOOKUP($GG$9,各项系数!$D$1:$F$143,3,0))*10^-3*10^2)*各项系数!$J$4</f>
        <v>0</v>
      </c>
      <c r="GH180" s="303">
        <v>1</v>
      </c>
      <c r="GI180" s="304">
        <f t="shared" si="764"/>
        <v>0</v>
      </c>
      <c r="GJ180" s="285">
        <f>GI180*(VLOOKUP($GG$9,各项系数!$D$1:$F$143,2,0))</f>
        <v>0</v>
      </c>
      <c r="GK180" s="302">
        <f>IF($BK180&lt;&gt;$GK$9,0,各项系数!$F$76/4*($MS180^2-$MQ180^2)*10^-2*(VLOOKUP($GK$9,各项系数!$D$1:$F$143,3,0))*10^-3*10^2)*各项系数!$J$4</f>
        <v>0</v>
      </c>
      <c r="GL180" s="303">
        <v>1</v>
      </c>
      <c r="GM180" s="304">
        <f t="shared" si="765"/>
        <v>0</v>
      </c>
      <c r="GN180" s="285">
        <f>GM180*(VLOOKUP($GK$9,各项系数!$D$1:$F$143,2,0))</f>
        <v>0</v>
      </c>
      <c r="GO180" s="304">
        <f t="shared" si="766"/>
        <v>4.8230603444359595E-3</v>
      </c>
      <c r="GP180" s="304">
        <f t="shared" si="767"/>
        <v>6.2217478443223881E-2</v>
      </c>
      <c r="GQ180" s="315">
        <f>各项系数!$F$76/4*($MU180^2-$MS180^2)*10^-2*(VLOOKUP($S180,各项系数!$D$1:$F$143,3,0))*10^-3*10^2*各项系数!$J$4</f>
        <v>0.2698450077488258</v>
      </c>
      <c r="GR180" s="303">
        <v>1</v>
      </c>
      <c r="GS180" s="304">
        <f t="shared" si="768"/>
        <v>0.2698450077488258</v>
      </c>
      <c r="GT180" s="304">
        <f t="shared" si="696"/>
        <v>0</v>
      </c>
      <c r="GU180" s="304">
        <f>ROUND($GS180*(VLOOKUP($S180,各项系数!$D$1:$F$143,2,0))+$E$3*GS180,GT180)</f>
        <v>2</v>
      </c>
      <c r="GV180" s="315">
        <f>各项系数!$F$76/4*($MT180^2-$MS180^2)*10^-2*(VLOOKUP($GV$9,各项系数!$D$1:$F$143,3,0))*10^-3*10^2*各项系数!$J$4*PI()/4*R180</f>
        <v>2.4973343564500539E-2</v>
      </c>
      <c r="GW180" s="303">
        <v>1</v>
      </c>
      <c r="GX180" s="304">
        <f t="shared" si="769"/>
        <v>2.4973343564500539E-2</v>
      </c>
      <c r="GY180" s="304">
        <f>$GX180*(VLOOKUP($GV$9,各项系数!$D$1:$F$143,2,0))</f>
        <v>1.6857006906037864</v>
      </c>
      <c r="GZ180" s="315">
        <f>各项系数!$F$76/4*($MV180^2-$MS180^2)*10^-2*(VLOOKUP($GZ$9,各项系数!$D$1:$F$143,3,0))*10^-3*10^2*各项系数!$J$4</f>
        <v>0.15989586978965253</v>
      </c>
      <c r="HA180" s="303">
        <v>1</v>
      </c>
      <c r="HB180" s="304">
        <f t="shared" si="653"/>
        <v>0.15989586978965253</v>
      </c>
      <c r="HC180" s="304">
        <f>HB180*(VLOOKUP($GZ$9,各项系数!$D$1:$F$143,2,0))</f>
        <v>2.718229786424093</v>
      </c>
      <c r="HD180" s="315">
        <f>各项系数!$F$76/4*($MW180^2-$MT180^2)*10^-2*(VLOOKUP($HD$9,各项系数!$D$1:$F$143,3,0))*10^-3*10^2*各项系数!$J$4</f>
        <v>0.16120123923633098</v>
      </c>
      <c r="HE180" s="303">
        <v>1</v>
      </c>
      <c r="HF180" s="304">
        <f t="shared" si="654"/>
        <v>0.16120123923633098</v>
      </c>
      <c r="HG180" s="304">
        <f>HF180*(VLOOKUP($HD$9,各项系数!$D$1:$F$143,2,0))</f>
        <v>2.7404210670176266</v>
      </c>
      <c r="HH180" s="315">
        <f>各项系数!$F$76/4*($MV180^2-$MS180^2)*10^-2*(VLOOKUP($HH$9,各项系数!$D$1:$F$143,3,0))*10^-3*10^2*各项系数!$J$4</f>
        <v>0.15989586978965253</v>
      </c>
      <c r="HI180" s="322">
        <v>1</v>
      </c>
      <c r="HJ180" s="304">
        <f t="shared" si="655"/>
        <v>0.15989586978965253</v>
      </c>
      <c r="HK180" s="304">
        <f>HJ180*(VLOOKUP($HH$9,各项系数!$D$1:$F$143,2,0))</f>
        <v>2.718229786424093</v>
      </c>
      <c r="HL180" s="315">
        <f>各项系数!$F$76/4*($MW180^2-$MT180^2)*10^-2*(VLOOKUP($HL$9,各项系数!$D$1:$F$143,3,0))*10^-3*10^2*各项系数!$J$4</f>
        <v>0.16120123923633098</v>
      </c>
      <c r="HM180" s="322">
        <v>1</v>
      </c>
      <c r="HN180" s="304">
        <f t="shared" si="605"/>
        <v>0.16120123923633098</v>
      </c>
      <c r="HO180" s="304">
        <f>HN180*(VLOOKUP($HL$9,各项系数!$D$1:$F$143,2,0))</f>
        <v>2.7404210670176266</v>
      </c>
      <c r="HP180" s="315">
        <f>各项系数!$F$76/4*($MV180^2-$MS180^2)*10^-2*(VLOOKUP(AN180,各项系数!$D$1:$F$143,3,0))*10^-3*10^2*各项系数!$J$4</f>
        <v>0.16210133006261326</v>
      </c>
      <c r="HQ180" s="303">
        <v>1</v>
      </c>
      <c r="HR180" s="304">
        <f t="shared" si="770"/>
        <v>0.16210133006261326</v>
      </c>
      <c r="HS180" s="304">
        <f>HR180*(VLOOKUP(AN180,各项系数!$D$1:$F$143,2,0))</f>
        <v>1.6210133006261327</v>
      </c>
      <c r="HT180" s="315">
        <f>各项系数!$F$76/4*($MW180^2-$MT180^2)*10^-2*(VLOOKUP(AN180,各项系数!$D$1:$F$143,3,0))*10^-3*10^2*各项系数!$J$4</f>
        <v>0.16342470460510794</v>
      </c>
      <c r="HU180" s="303">
        <v>1</v>
      </c>
      <c r="HV180" s="304">
        <f t="shared" si="771"/>
        <v>0.16342470460510794</v>
      </c>
      <c r="HW180" s="304">
        <f>HV180*(VLOOKUP(AN180,各项系数!$D$1:$F$143,2,0))</f>
        <v>1.6342470460510794</v>
      </c>
      <c r="HX180" s="315">
        <f>各项系数!$F$76/4*($MV180^2-$MS180^2)*10^-2*(VLOOKUP($HX$9,各项系数!$D$1:$F$143,3,0))*10^-3*10^2*各项系数!$J$4</f>
        <v>0.16210133006261326</v>
      </c>
      <c r="HY180" s="322">
        <v>1</v>
      </c>
      <c r="HZ180" s="304">
        <f t="shared" si="772"/>
        <v>0.16210133006261326</v>
      </c>
      <c r="IA180" s="304">
        <f>HZ180*(VLOOKUP($HX$9,各项系数!$D$1:$F$143,2,0))</f>
        <v>1.783114630688746</v>
      </c>
      <c r="IB180" s="315">
        <f>各项系数!$F$76/4*($MW180^2-$MT180^2)*10^-2*(VLOOKUP($IB$9,各项系数!$D$1:$F$143,3,0))*10^-3*10^2*各项系数!$J$4</f>
        <v>0.16342470460510794</v>
      </c>
      <c r="IC180" s="322">
        <v>1</v>
      </c>
      <c r="ID180" s="304">
        <f t="shared" si="773"/>
        <v>0.16342470460510794</v>
      </c>
      <c r="IE180" s="304">
        <f>ID180*(VLOOKUP($IB$9,各项系数!$D$1:$F$143,2,0))</f>
        <v>1.7976717506561872</v>
      </c>
      <c r="IF180" s="328"/>
      <c r="IG180" s="315">
        <f t="shared" si="656"/>
        <v>6.9596447381416932E-2</v>
      </c>
      <c r="IH180" s="303">
        <v>1</v>
      </c>
      <c r="II180" s="304">
        <f t="shared" si="774"/>
        <v>6.9596447381416932E-2</v>
      </c>
      <c r="IJ180" s="304">
        <f>II180*(VLOOKUP($IG$8,各项系数!$D$1:$F$143,2,0))</f>
        <v>1.7399111845354234</v>
      </c>
      <c r="IK180" s="315">
        <f>(各项系数!$F$76/4*($MX180^2-$MK180^2)*$EG180)*10^-2*(VLOOKUP($IG$8,各项系数!$D$1:$F$143,3,0))*10^-3*10^2*各项系数!$J$4</f>
        <v>6.9596447381416932E-2</v>
      </c>
      <c r="IL180" s="303">
        <f>IK180*(VLOOKUP($IG$8,各项系数!$D$1:$F$143,2,0))</f>
        <v>1.7399111845354234</v>
      </c>
      <c r="IM180" s="304">
        <f>(各项系数!$F$76/4*(($MM180+3*$X180)^2-MM180^2)*$EO180)*10^-2*(VLOOKUP($IG$8,各项系数!$D$1:$F$143,3,0))*10^-3*10^2*各项系数!$J$4</f>
        <v>0</v>
      </c>
      <c r="IN180" s="303">
        <f>IM180*(VLOOKUP($IG$8,各项系数!$D$1:$F$143,2,0))</f>
        <v>0</v>
      </c>
      <c r="IO180" s="315">
        <f>各项系数!$F$76/4*($MZ180^2-$MX180^2)*10^-2*(VLOOKUP(L180,各项系数!$D$1:$F$143,3,0))*10^-3*10^2*$ES180*各项系数!$J$4</f>
        <v>0.19129519075463691</v>
      </c>
      <c r="IP180" s="303">
        <v>1</v>
      </c>
      <c r="IQ180" s="304">
        <f t="shared" si="775"/>
        <v>0.19129519075463691</v>
      </c>
      <c r="IR180" s="285">
        <f>IQ180*(VLOOKUP(L180,各项系数!$D$1:$F$143,2,0))</f>
        <v>2.1998946936783246</v>
      </c>
      <c r="IS180" s="315">
        <f>IF($L180&lt;&gt;$IS$9,0,各项系数!$F$76/4*($MZ180^2-$MX180^2)*10^-2*各项系数!$F$12*10^-3*10^2)*$ES180*各项系数!$J$4</f>
        <v>0</v>
      </c>
      <c r="IT180" s="303">
        <v>1</v>
      </c>
      <c r="IU180" s="304">
        <f t="shared" si="776"/>
        <v>0</v>
      </c>
      <c r="IV180" s="285">
        <f>IU180*各项系数!$E$12</f>
        <v>0</v>
      </c>
      <c r="IW180" s="302">
        <f t="shared" si="777"/>
        <v>0.19129519075463691</v>
      </c>
      <c r="IX180" s="302">
        <f t="shared" si="778"/>
        <v>2.1998946936783246</v>
      </c>
      <c r="IY180" s="339">
        <f>各项系数!$F$76/4*($NB180^2-$MZ180^2*$EG180-$NA180^2*$EO180)*10^-2</f>
        <v>0.97686847929850562</v>
      </c>
      <c r="IZ180" s="284">
        <f t="shared" si="697"/>
        <v>1</v>
      </c>
      <c r="JA180" s="285">
        <f t="shared" si="606"/>
        <v>0.97686847929850562</v>
      </c>
      <c r="JB180" s="282">
        <f>IF($DE180&lt;&gt;$JB$9,0,$JA180*各项系数!$F$32*10^-3*10^2)*各项系数!$J$4</f>
        <v>0</v>
      </c>
      <c r="JC180" s="102">
        <v>1</v>
      </c>
      <c r="JD180" s="189">
        <f t="shared" si="779"/>
        <v>0</v>
      </c>
      <c r="JE180" s="262">
        <f>JD180*各项系数!$E$32</f>
        <v>0</v>
      </c>
      <c r="JF180" s="282">
        <f>IF($DE180&lt;&gt;$JF$9,0,$JA180*VLOOKUP($JF$9,各项系数!$D$4:$F$540,2,0)*10^-3*10^2)*各项系数!$J$4</f>
        <v>0.48599206845100656</v>
      </c>
      <c r="JG180" s="102">
        <v>1</v>
      </c>
      <c r="JH180" s="189">
        <f t="shared" si="607"/>
        <v>0.48599206845100656</v>
      </c>
      <c r="JI180" s="262">
        <f>JH180*VLOOKUP($JF$9,各项系数!$D$4:$F$540,3,0)</f>
        <v>0.58319048214120783</v>
      </c>
      <c r="JJ180" s="282">
        <f t="shared" si="780"/>
        <v>0.48599206845100656</v>
      </c>
      <c r="JK180" s="189">
        <f t="shared" si="781"/>
        <v>0.58319048214120783</v>
      </c>
      <c r="JL180" s="282">
        <f>IF($DF180&lt;&gt;$JL$9,0,各项系数!$F$76/4*($NE180^2-$NC180^2)*10^-2*各项系数!$F$39*10^-3*10^2)*各项系数!$J$4</f>
        <v>2.4293986521753625E-3</v>
      </c>
      <c r="JM180" s="102">
        <v>1</v>
      </c>
      <c r="JN180" s="189">
        <f t="shared" si="782"/>
        <v>2.4293986521753625E-3</v>
      </c>
      <c r="JO180" s="262">
        <f>JN180*各项系数!$E$39</f>
        <v>4.8587973043507246E-2</v>
      </c>
      <c r="JP180" s="282">
        <f>IF($DF180&lt;&gt;$JP$9,0,各项系数!$F$76/4*($NE180^2-$NC180^2)*10^-2*各项系数!$F$36*10^-3*10^2)*各项系数!$J$4</f>
        <v>0</v>
      </c>
      <c r="JQ180" s="102">
        <v>1</v>
      </c>
      <c r="JR180" s="189">
        <f t="shared" si="783"/>
        <v>0</v>
      </c>
      <c r="JS180" s="262">
        <f>JR180*各项系数!$E$36</f>
        <v>0</v>
      </c>
      <c r="JT180" s="282">
        <f>IF($DF180&lt;&gt;$JT$9,0,各项系数!$F$76/4*($NE180^2-$NC180^2)*10^-2*各项系数!$F$40*10^-3*10^2)*各项系数!$J$4</f>
        <v>0</v>
      </c>
      <c r="JU180" s="102">
        <v>1</v>
      </c>
      <c r="JV180" s="189">
        <f t="shared" si="784"/>
        <v>0</v>
      </c>
      <c r="JW180" s="262">
        <f>JV180*各项系数!$E$40</f>
        <v>0</v>
      </c>
      <c r="JX180" s="282">
        <f>IF($DF180&lt;&gt;$JX$9,0,各项系数!$F$76/4*($NE180^2-$NC180^2)*10^-2*各项系数!$F$38*10^-3*10^2)*各项系数!$J$4</f>
        <v>0</v>
      </c>
      <c r="JY180" s="102">
        <v>1</v>
      </c>
      <c r="JZ180" s="189">
        <f t="shared" si="785"/>
        <v>0</v>
      </c>
      <c r="KA180" s="262">
        <f>JZ180*各项系数!$E$38</f>
        <v>0</v>
      </c>
      <c r="KB180" s="282">
        <f>IF($DF180&lt;&gt;$KB$9,0,各项系数!$F$76/4*($NE180^2-$NC180^2)*10^-2*各项系数!$F$41*10^-3*10^2)*各项系数!$J$4</f>
        <v>0</v>
      </c>
      <c r="KC180" s="102">
        <v>1</v>
      </c>
      <c r="KD180" s="189">
        <f t="shared" si="786"/>
        <v>0</v>
      </c>
      <c r="KE180" s="262">
        <f>KD180*各项系数!$E$41</f>
        <v>0</v>
      </c>
      <c r="KF180" s="189">
        <f t="shared" si="787"/>
        <v>2.4293986521753625E-3</v>
      </c>
      <c r="KG180" s="189">
        <f t="shared" si="788"/>
        <v>4.8587973043507246E-2</v>
      </c>
      <c r="KH180" s="235">
        <f>各项系数!$F$76/4*($NG180^2-$NE180^2)*10^-2*各项系数!$F$44*10^-3*10^2*各项系数!$J$4*0.75*$U180</f>
        <v>0.9815748390892719</v>
      </c>
      <c r="KI180" s="102">
        <v>1</v>
      </c>
      <c r="KJ180" s="189">
        <f t="shared" si="789"/>
        <v>0.9815748390892719</v>
      </c>
      <c r="KK180" s="189">
        <f>ROUND(KJ180*各项系数!$E$43,GT180)</f>
        <v>6</v>
      </c>
      <c r="KL180" s="235">
        <f>各项系数!$F$76/4*($NF180^2-$NE180^2)*10^-2*各项系数!$F$46*10^-3*10^2*各项系数!$J$4*PI()/4*R180</f>
        <v>3.0434961639881821E-2</v>
      </c>
      <c r="KM180" s="102">
        <v>1</v>
      </c>
      <c r="KN180" s="189">
        <f t="shared" si="790"/>
        <v>3.0434961639881821E-2</v>
      </c>
      <c r="KO180" s="189">
        <f>KN180*各项系数!$E$46</f>
        <v>2.054359910692023</v>
      </c>
      <c r="KP180" s="235">
        <f>各项系数!$F$76/4*($NH180^2-$NE180^2)*10^-2*(VLOOKUP($KP$9,各项系数!$D$1:$F$143,3,0))*10^-3*10^2*各项系数!$J$4</f>
        <v>0.19179583564285602</v>
      </c>
      <c r="KQ180" s="102">
        <v>1</v>
      </c>
      <c r="KR180" s="189">
        <f t="shared" si="657"/>
        <v>0.19179583564285602</v>
      </c>
      <c r="KS180" s="189">
        <f>KR180*(VLOOKUP($KP$9,各项系数!$D$1:$F$143,2,0))</f>
        <v>3.2605292059285524</v>
      </c>
      <c r="KT180" s="235">
        <f>各项系数!$F$76/4*($NI180^2-$NF180^2)*10^-2*(VLOOKUP($KT$9,各项系数!$D$1:$F$143,3,0))*10^-3*10^2*各项系数!$J$4</f>
        <v>0.19310120508953435</v>
      </c>
      <c r="KU180" s="102">
        <v>1</v>
      </c>
      <c r="KV180" s="189">
        <f t="shared" si="658"/>
        <v>0.19310120508953435</v>
      </c>
      <c r="KW180" s="189">
        <f>KV180*(VLOOKUP($KT$9,各项系数!$D$1:$F$143,2,0))</f>
        <v>3.2827204865220838</v>
      </c>
      <c r="KX180" s="189">
        <f>各项系数!$F$76/4*($NH180^2-$NE180^2)*10^-2*(VLOOKUP($KX$9,各项系数!$D$1:$F$143,3,0))*10^-3*10^2*各项系数!$J$4</f>
        <v>0.19179583564285602</v>
      </c>
      <c r="KY180" s="353">
        <v>1</v>
      </c>
      <c r="KZ180" s="189">
        <f t="shared" si="659"/>
        <v>0.19179583564285602</v>
      </c>
      <c r="LA180" s="189">
        <f>KZ180*(VLOOKUP($KX$9,各项系数!$D$1:$F$143,2,0))</f>
        <v>3.2605292059285524</v>
      </c>
      <c r="LB180" s="189">
        <f>各项系数!$F$76/4*($NI180^2-$NF180^2)*10^-2*(VLOOKUP($LB$9,各项系数!$D$1:$F$143,3,0))*10^-3*10^2*各项系数!$J$4</f>
        <v>0.19310120508953435</v>
      </c>
      <c r="LC180" s="353">
        <v>1</v>
      </c>
      <c r="LD180" s="189">
        <f t="shared" si="660"/>
        <v>0.19310120508953435</v>
      </c>
      <c r="LE180" s="189">
        <f>LD180*(VLOOKUP($LB$9,各项系数!$D$1:$F$143,2,0))</f>
        <v>3.2827204865220838</v>
      </c>
      <c r="LF180" s="235">
        <f>各项系数!$F$76/4*($NH180^2-$NE180^2)*10^-2*(VLOOKUP(AN180,各项系数!$D$1:$F$143,3,0))*10^-3*10^2*各项系数!$J$4</f>
        <v>0.19444129544482647</v>
      </c>
      <c r="LG180" s="102">
        <v>1</v>
      </c>
      <c r="LH180" s="189">
        <f t="shared" si="791"/>
        <v>0.19444129544482647</v>
      </c>
      <c r="LI180" s="189">
        <f>LH180*(VLOOKUP(AN180,各项系数!$D$1:$F$143,2,0))</f>
        <v>1.9444129544482647</v>
      </c>
      <c r="LJ180" s="235">
        <f>各项系数!$F$76/4*($NI180^2-$NF180^2)*10^-2*(VLOOKUP(AN180,各项系数!$D$1:$F$143,3,0))*10^-3*10^2*各项系数!$J$4</f>
        <v>0.195764669987321</v>
      </c>
      <c r="LK180" s="102">
        <v>1</v>
      </c>
      <c r="LL180" s="189">
        <f t="shared" si="792"/>
        <v>0.195764669987321</v>
      </c>
      <c r="LM180" s="189">
        <f>LL180*(VLOOKUP(AN180,各项系数!$D$1:$F$143,2,0))</f>
        <v>1.95764669987321</v>
      </c>
      <c r="LN180" s="189">
        <f>各项系数!$F$76/4*($NH180^2-$NE180^2)*10^-2*(VLOOKUP($LN$9,各项系数!$D$1:$F$143,3,0))*10^-3*10^2*各项系数!$J$4</f>
        <v>0.19444129544482647</v>
      </c>
      <c r="LO180" s="353">
        <v>1</v>
      </c>
      <c r="LP180" s="189">
        <f t="shared" si="793"/>
        <v>0.19444129544482647</v>
      </c>
      <c r="LQ180" s="189">
        <f>LP180*(VLOOKUP($LN$9,各项系数!$D$1:$F$143,2,0))</f>
        <v>2.1388542498930914</v>
      </c>
      <c r="LR180" s="189">
        <f>各项系数!$F$76/4*($NI180^2-$NF180^2)*10^-2*(VLOOKUP($LR$9,各项系数!$D$1:$F$143,3,0))*10^-3*10^2*各项系数!$J$4</f>
        <v>0.195764669987321</v>
      </c>
      <c r="LS180" s="353">
        <v>1</v>
      </c>
      <c r="LT180" s="189">
        <f t="shared" si="794"/>
        <v>0.195764669987321</v>
      </c>
      <c r="LU180" s="189">
        <f>LT180*(VLOOKUP($LR$9,各项系数!$D$1:$F$143,2,0))</f>
        <v>2.1534113698605308</v>
      </c>
      <c r="LV180" s="227">
        <f t="shared" si="661"/>
        <v>42.89246155</v>
      </c>
      <c r="LW180" s="227">
        <f t="shared" si="662"/>
        <v>42.89246155</v>
      </c>
      <c r="LX180" s="227">
        <f t="shared" si="663"/>
        <v>7.3900188238253142</v>
      </c>
      <c r="LY180" s="227">
        <f t="shared" si="664"/>
        <v>0</v>
      </c>
      <c r="LZ180" s="374">
        <f t="shared" si="608"/>
        <v>1</v>
      </c>
      <c r="MA180" s="375">
        <f t="shared" si="609"/>
        <v>42.89246155</v>
      </c>
      <c r="MB180" s="375">
        <f t="shared" si="665"/>
        <v>1.34922667</v>
      </c>
      <c r="MC180" s="227">
        <f t="shared" si="666"/>
        <v>0</v>
      </c>
      <c r="MD180" s="227">
        <f t="shared" si="667"/>
        <v>0</v>
      </c>
      <c r="ME180" s="227">
        <f t="shared" si="668"/>
        <v>0</v>
      </c>
      <c r="MF180" s="227">
        <f t="shared" si="669"/>
        <v>0</v>
      </c>
      <c r="MG180" s="374">
        <f t="shared" si="670"/>
        <v>1</v>
      </c>
      <c r="MH180" s="375">
        <f t="shared" si="610"/>
        <v>0</v>
      </c>
      <c r="MI180" s="375">
        <f t="shared" si="671"/>
        <v>0</v>
      </c>
      <c r="MJ180" s="189">
        <f t="shared" si="611"/>
        <v>1.34922667</v>
      </c>
      <c r="MK180" s="189">
        <f t="shared" si="672"/>
        <v>1.34922667</v>
      </c>
      <c r="ML180" s="189">
        <f t="shared" si="795"/>
        <v>0</v>
      </c>
      <c r="MM180" s="189">
        <f t="shared" si="612"/>
        <v>0</v>
      </c>
      <c r="MN180" s="189">
        <f t="shared" si="613"/>
        <v>2.7492266699999997</v>
      </c>
      <c r="MO180" s="189">
        <f t="shared" si="673"/>
        <v>0</v>
      </c>
      <c r="MP180" s="189">
        <f t="shared" si="674"/>
        <v>17.62254295</v>
      </c>
      <c r="MQ180" s="189">
        <f t="shared" si="796"/>
        <v>17.62254295</v>
      </c>
      <c r="MR180" s="246">
        <f t="shared" si="675"/>
        <v>17.62254295</v>
      </c>
      <c r="MS180" s="380">
        <f t="shared" si="614"/>
        <v>17.798542949999998</v>
      </c>
      <c r="MT180" s="380">
        <f t="shared" si="615"/>
        <v>17.958542949999998</v>
      </c>
      <c r="MU180" s="380">
        <f t="shared" si="616"/>
        <v>18.998542949999997</v>
      </c>
      <c r="MV180" s="380">
        <f t="shared" si="617"/>
        <v>21.39854295</v>
      </c>
      <c r="MW180" s="380">
        <f t="shared" si="618"/>
        <v>21.55854295</v>
      </c>
      <c r="MX180" s="254">
        <f t="shared" si="619"/>
        <v>1.9492266700000001</v>
      </c>
      <c r="MY180" s="254">
        <f t="shared" si="620"/>
        <v>0</v>
      </c>
      <c r="MZ180" s="189">
        <f t="shared" si="621"/>
        <v>3.3492266700000002</v>
      </c>
      <c r="NA180" s="189">
        <f t="shared" si="622"/>
        <v>0</v>
      </c>
      <c r="NB180" s="189">
        <f t="shared" si="676"/>
        <v>21.46854295</v>
      </c>
      <c r="NC180" s="254">
        <f t="shared" si="797"/>
        <v>21.46854295</v>
      </c>
      <c r="ND180" s="246">
        <f t="shared" si="677"/>
        <v>21.46854295</v>
      </c>
      <c r="NE180" s="386">
        <f t="shared" si="678"/>
        <v>21.708542949999998</v>
      </c>
      <c r="NF180" s="380">
        <f t="shared" si="623"/>
        <v>21.868542949999998</v>
      </c>
      <c r="NG180" s="387">
        <f t="shared" si="624"/>
        <v>22.908542949999998</v>
      </c>
      <c r="NH180" s="254">
        <f t="shared" si="625"/>
        <v>25.30854295</v>
      </c>
      <c r="NI180" s="380">
        <f t="shared" si="626"/>
        <v>25.46854295</v>
      </c>
      <c r="NK180" s="388">
        <f t="shared" si="627"/>
        <v>0.7728931655915019</v>
      </c>
      <c r="NL180" s="388">
        <f t="shared" si="628"/>
        <v>28.471849152752426</v>
      </c>
      <c r="NM180" s="388">
        <f t="shared" si="629"/>
        <v>0.7728931655915019</v>
      </c>
      <c r="NN180" s="388">
        <f t="shared" si="630"/>
        <v>28.633950482815042</v>
      </c>
      <c r="NO180" s="388">
        <f t="shared" si="631"/>
        <v>1.3231618151173761</v>
      </c>
      <c r="NP180" s="388">
        <f t="shared" si="632"/>
        <v>31.367182933228786</v>
      </c>
      <c r="NQ180" s="388">
        <f t="shared" si="633"/>
        <v>1.3231618151173761</v>
      </c>
      <c r="NR180" s="388">
        <f t="shared" si="634"/>
        <v>31.561624228673615</v>
      </c>
      <c r="NS180" s="388">
        <f t="shared" si="635"/>
        <v>0.79786650915600243</v>
      </c>
      <c r="NT180" s="388">
        <f t="shared" si="636"/>
        <v>0.79786650915600243</v>
      </c>
      <c r="NU180" s="388">
        <f t="shared" si="637"/>
        <v>1.3535967767572579</v>
      </c>
      <c r="NV180" s="388">
        <f t="shared" si="638"/>
        <v>1.3535967767572579</v>
      </c>
      <c r="NW180">
        <f t="shared" si="639"/>
        <v>1.0427381733403278</v>
      </c>
      <c r="NX180">
        <f>各项系数!$M$9*NK180</f>
        <v>0.23186794967745056</v>
      </c>
      <c r="NY180">
        <f t="shared" si="640"/>
        <v>0.79786650915600243</v>
      </c>
    </row>
    <row r="181" spans="1:389" ht="15" hidden="1" customHeight="1">
      <c r="A181" s="69"/>
      <c r="B181" s="70"/>
      <c r="C181" s="69"/>
      <c r="D181" s="102" t="s">
        <v>167</v>
      </c>
      <c r="E181" s="61">
        <f t="shared" si="805"/>
        <v>23.020586689999998</v>
      </c>
      <c r="F181" s="62">
        <f t="shared" si="798"/>
        <v>134.922667214547</v>
      </c>
      <c r="G181" s="16"/>
      <c r="H181" s="16"/>
      <c r="I181" s="145">
        <v>0</v>
      </c>
      <c r="J181" s="16"/>
      <c r="K181" s="16"/>
      <c r="L181" s="97" t="s">
        <v>469</v>
      </c>
      <c r="M181" s="103">
        <f t="shared" si="582"/>
        <v>0.7</v>
      </c>
      <c r="N181" s="103">
        <f t="shared" si="804"/>
        <v>0</v>
      </c>
      <c r="O181" s="53">
        <f t="shared" si="819"/>
        <v>0.08</v>
      </c>
      <c r="P181" s="99">
        <v>0.1</v>
      </c>
      <c r="Q181" s="133">
        <f t="shared" si="806"/>
        <v>0.1</v>
      </c>
      <c r="R181" s="406">
        <v>0.8</v>
      </c>
      <c r="S181" s="142" t="str">
        <f>各项系数!$D$43</f>
        <v>钢带</v>
      </c>
      <c r="T181" s="102">
        <v>0.2</v>
      </c>
      <c r="U181" s="62">
        <v>4</v>
      </c>
      <c r="V181" s="143"/>
      <c r="W181" s="141">
        <f t="shared" si="818"/>
        <v>1.8</v>
      </c>
      <c r="X181" s="135">
        <f t="shared" si="807"/>
        <v>0.2</v>
      </c>
      <c r="Y181" s="135"/>
      <c r="Z181" s="168"/>
      <c r="AA181" s="153">
        <v>1</v>
      </c>
      <c r="AB181" s="153">
        <f>PI()*EJ181*EJ181/4*EH181*(1-H181)*AA181*各项系数!$F$5*各项系数!$J$4*10^-7</f>
        <v>1.2646913814443796E-2</v>
      </c>
      <c r="AC181" s="153">
        <f t="shared" si="808"/>
        <v>134.922667214547</v>
      </c>
      <c r="AD181" s="153">
        <f t="shared" si="584"/>
        <v>1.4297487227412424</v>
      </c>
      <c r="AE181" s="153">
        <f>POWER(4*EU181/PI()/EG181/10^-7/EH181/(1-H181)/各项系数!$F$5/各项系数!$J$4,0.5)</f>
        <v>134.922667214547</v>
      </c>
      <c r="AF181" s="69">
        <v>1</v>
      </c>
      <c r="AG181" s="69">
        <f>IF(EM181=0,0,PI()*ER181*ER181/4*EP181*(1-K181)*(1+AF181)*各项系数!$F$5*各项系数!$J$4*10^-7)</f>
        <v>0</v>
      </c>
      <c r="AH181" s="69">
        <f t="shared" si="809"/>
        <v>0</v>
      </c>
      <c r="AI181" s="69">
        <f t="shared" si="641"/>
        <v>0</v>
      </c>
      <c r="AJ181" s="69">
        <f>IF(OR(EP181="",EP181=0),0,POWER(4*EW181/PI()/EO181/10^-7/EP181/(1-K181)/各项系数!$F$5/各项系数!$J$4,0.5))</f>
        <v>0</v>
      </c>
      <c r="AK181" s="69" t="str">
        <f t="shared" si="585"/>
        <v>√</v>
      </c>
      <c r="AL181" s="69">
        <f t="shared" si="810"/>
        <v>36.773685682437829</v>
      </c>
      <c r="AM181" s="188">
        <f t="shared" si="811"/>
        <v>1.5</v>
      </c>
      <c r="AN181" s="97" t="s">
        <v>486</v>
      </c>
      <c r="AO181" s="196">
        <f>AP181+各项系数!$M$9*$NK181</f>
        <v>36.05263302199787</v>
      </c>
      <c r="AP181" s="196">
        <f>AQ181*(1+$BI181+(VLOOKUP($AM181,$A$12:$B$323,2,0))+各项系数!$J$6+各项系数!$M$5)*(1+$E$2)</f>
        <v>35.777752257311576</v>
      </c>
      <c r="AQ181" s="197">
        <f>AR181+各项系数!$L$9*$NK181</f>
        <v>36.146446006578678</v>
      </c>
      <c r="AR181" s="197">
        <f>AS181*(1+$BJ181+各项系数!$J$5+各项系数!$L$5)</f>
        <v>35.871565241892384</v>
      </c>
      <c r="AS181" s="197">
        <f t="shared" si="642"/>
        <v>34.826762370769302</v>
      </c>
      <c r="AT181" s="196">
        <f>AU181+各项系数!$M$9*$NM181</f>
        <v>37.263818347150909</v>
      </c>
      <c r="AU181" s="196">
        <f>AV181*(1+$BI181+(VLOOKUP($AM181,$A$12:$B$323,2,0))+各项系数!$J$6+各项系数!$M$5)*(1+$E$2)</f>
        <v>36.988937582464615</v>
      </c>
      <c r="AV181" s="197">
        <f>AW181+各项系数!$L$9*$NM181</f>
        <v>37.370112732334427</v>
      </c>
      <c r="AW181" s="197">
        <f>AX181*(1+$BJ181+各项系数!$J$5+各项系数!$L$5)</f>
        <v>37.095231967648132</v>
      </c>
      <c r="AX181" s="197">
        <f t="shared" si="643"/>
        <v>36.014788318104983</v>
      </c>
      <c r="AY181" s="196">
        <f>AZ181+各项系数!$M$9*$NS181</f>
        <v>37.956864332125654</v>
      </c>
      <c r="AZ181" s="196">
        <f>BA181*(1+$BI181+(VLOOKUP($AM181,$A$12:$B$214,2,0))+各项系数!$J$6+各项系数!$M$5)*(1+$E$2)</f>
        <v>37.673811846972868</v>
      </c>
      <c r="BA181" s="197">
        <f>BB181+各项系数!$L$9*$NS181</f>
        <v>38.062044702942885</v>
      </c>
      <c r="BB181" s="197">
        <f>BC181*(1+$BJ181+各项系数!$J$5+各项系数!$L$5)</f>
        <v>37.778992217790098</v>
      </c>
      <c r="BC181" s="199">
        <f t="shared" si="644"/>
        <v>36.678633221155437</v>
      </c>
      <c r="BD181" s="196">
        <f>BE181+各项系数!$M$9*$NS181</f>
        <v>39.177181810637862</v>
      </c>
      <c r="BE181" s="196">
        <f>BF181*(1+$BI181+(VLOOKUP($AM181,$A$12:$B$214,2,0))+各项系数!$J$6+各项系数!$M$5)*(1+$E$2)</f>
        <v>38.894129325485075</v>
      </c>
      <c r="BF181" s="197">
        <f>BG181+各项系数!$L$9*$NS181</f>
        <v>39.294937689922278</v>
      </c>
      <c r="BG181" s="197">
        <f>BH181*(1+$BJ181+各项系数!$J$5+各项系数!$L$5)</f>
        <v>39.011885204769492</v>
      </c>
      <c r="BH181" s="199">
        <f t="shared" si="645"/>
        <v>37.875616703659702</v>
      </c>
      <c r="BI181" s="213"/>
      <c r="BJ181" s="208">
        <f t="shared" si="800"/>
        <v>0.01</v>
      </c>
      <c r="BK181" s="102" t="s">
        <v>514</v>
      </c>
      <c r="BL181" s="196">
        <f>BM181+各项系数!$M$9*$NM181</f>
        <v>36.57802452466639</v>
      </c>
      <c r="BM181" s="196">
        <f>BN181*(1+$CF181+(VLOOKUP($AM181,$A$12:$B$323,2,0))+各项系数!$J$6+各项系数!$M$5)*(1+$E$2)</f>
        <v>36.303143759980095</v>
      </c>
      <c r="BN181" s="197">
        <f>BO181+各项系数!$L$9*$NM181</f>
        <v>36.677251727601629</v>
      </c>
      <c r="BO181" s="197">
        <f>BP181*(1+$CG181+各项系数!$J$5+各项系数!$L$5)</f>
        <v>36.402370962915334</v>
      </c>
      <c r="BP181" s="197">
        <f t="shared" si="646"/>
        <v>35.002279772033972</v>
      </c>
      <c r="BQ181" s="196">
        <f>BR181+各项系数!$M$9*$NM181</f>
        <v>37.620292721923512</v>
      </c>
      <c r="BR181" s="196">
        <f>BS181*(1+$CF181+(VLOOKUP($AM181,$A$12:$B$323,2,0))+各项系数!$J$6+各项系数!$M$5)*(1+$E$2)</f>
        <v>37.345411957237218</v>
      </c>
      <c r="BS181" s="197">
        <f>BT181+各项系数!$L$9*$NM181</f>
        <v>37.730260615515476</v>
      </c>
      <c r="BT181" s="197">
        <f>BU181*(1+$CG181+各项系数!$J$5+各项系数!$L$5)</f>
        <v>37.455379850829182</v>
      </c>
      <c r="BU181" s="197">
        <f t="shared" si="647"/>
        <v>36.014788318104983</v>
      </c>
      <c r="BV181" s="196">
        <f>BW181+各项系数!$M$9*$NT181</f>
        <v>38.229961690276895</v>
      </c>
      <c r="BW181" s="196">
        <f>BX181*(1+$CF181+(VLOOKUP($AM181,$A$12:$B$214,2,0))+各项系数!$J$6+各项系数!$M$5)*(1+$E$2)</f>
        <v>37.946909205124108</v>
      </c>
      <c r="BX181" s="197">
        <f>BY181+各项系数!$L$9*$NT$12</f>
        <v>38.33795635999607</v>
      </c>
      <c r="BY181" s="197">
        <f>BZ181*(1+$CG181+各项系数!$J$5+各项系数!$L$5)</f>
        <v>38.3296929568411</v>
      </c>
      <c r="BZ181" s="199">
        <f t="shared" si="586"/>
        <v>36.855473996962594</v>
      </c>
      <c r="CA181" s="196">
        <f>CB181+各项系数!$M$9*$NT181</f>
        <v>39.280088431409247</v>
      </c>
      <c r="CB181" s="196">
        <f>CC181*(1+$CF181+(VLOOKUP($AM181,$A$12:$B$214,2,0))+各项系数!$J$6+各项系数!$M$5)*(1+$E$2)</f>
        <v>38.99703594625646</v>
      </c>
      <c r="CC181" s="197">
        <f>CD181+各项系数!$L$9*$NT$12</f>
        <v>39.398904774961061</v>
      </c>
      <c r="CD181" s="197">
        <f>CE181*(1+$CG181+各项系数!$J$5+各项系数!$L$5)</f>
        <v>39.39064137180609</v>
      </c>
      <c r="CE181" s="199">
        <f t="shared" si="648"/>
        <v>37.875616703659702</v>
      </c>
      <c r="CF181" s="213">
        <f t="shared" si="753"/>
        <v>0</v>
      </c>
      <c r="CG181" s="213">
        <f t="shared" si="587"/>
        <v>0.02</v>
      </c>
      <c r="CH181" s="102"/>
      <c r="CI181" s="196">
        <f>CJ181+各项系数!$M$9*$NO181</f>
        <v>40.235231090096683</v>
      </c>
      <c r="CJ181" s="196">
        <f>CK181*(1+$DC181+(VLOOKUP($AM181,$A$12:$B$323,2,0))+各项系数!$J$6+各项系数!$M$5)*(1+$E$2)+各项系数!$M$9*$NK181</f>
        <v>39.776501101030938</v>
      </c>
      <c r="CK181" s="197">
        <f>CL181+各项系数!$L$9*$NO181</f>
        <v>39.908688963775148</v>
      </c>
      <c r="CL181" s="197">
        <f>CM181*(1+$DD181+各项系数!$J$5+各项系数!$L$5)</f>
        <v>39.449958974709403</v>
      </c>
      <c r="CM181" s="197">
        <f t="shared" si="588"/>
        <v>38.300931043407189</v>
      </c>
      <c r="CN181" s="196">
        <f>CO181+各项系数!$M$9*$NO181</f>
        <v>41.086861969097086</v>
      </c>
      <c r="CO181" s="196">
        <f>CP181*(1+$DC181+(VLOOKUP($AM181,$A$12:$B$323,2,0))+各项系数!$J$6+各项系数!$M$5)*(1+$E$2)+各项系数!$M$9*$NK181</f>
        <v>40.628131980031341</v>
      </c>
      <c r="CP181" s="197">
        <f>CQ181+各项系数!$L$9*$NO181</f>
        <v>40.769095994488836</v>
      </c>
      <c r="CQ181" s="197">
        <f>CR181*(1+$DD181+各项系数!$J$5+各项系数!$L$5)</f>
        <v>40.310366005423091</v>
      </c>
      <c r="CR181" s="197">
        <f t="shared" si="589"/>
        <v>39.136277675168046</v>
      </c>
      <c r="CS181" s="196">
        <f>CT181+各项系数!$M$9*$NU181</f>
        <v>42.278010919649667</v>
      </c>
      <c r="CT181" s="196">
        <f t="shared" si="590"/>
        <v>41.80932238100182</v>
      </c>
      <c r="CU181" s="197">
        <f>CV181+各项系数!$L$9*$NU181</f>
        <v>42.240172136797156</v>
      </c>
      <c r="CV181" s="197">
        <f>CW181*(1+$DD181+各项系数!$J$5+各项系数!$L$5)</f>
        <v>41.77148359814931</v>
      </c>
      <c r="CW181" s="199">
        <f t="shared" si="591"/>
        <v>40.554838444805156</v>
      </c>
      <c r="CX181" s="196">
        <f>CY181+各项系数!$M$9*$NU181</f>
        <v>43.741700285183569</v>
      </c>
      <c r="CY181" s="196">
        <f t="shared" si="592"/>
        <v>43.273011746535722</v>
      </c>
      <c r="CZ181" s="197">
        <f>DA181+各项系数!$L$9*$NU181</f>
        <v>43.718944985386663</v>
      </c>
      <c r="DA181" s="197">
        <f>DB181*(1+$DD181+各项系数!$J$5+各项系数!$L$5)</f>
        <v>43.250256446738817</v>
      </c>
      <c r="DB181" s="199">
        <f t="shared" si="593"/>
        <v>41.990540239552246</v>
      </c>
      <c r="DC181" s="213">
        <f t="shared" si="803"/>
        <v>0</v>
      </c>
      <c r="DD181" s="213">
        <f t="shared" si="594"/>
        <v>0.01</v>
      </c>
      <c r="DE181" s="53" t="s">
        <v>498</v>
      </c>
      <c r="DF181" s="53" t="s">
        <v>513</v>
      </c>
      <c r="DG181" s="196">
        <f>DH181+各项系数!$M$9*$NQ181</f>
        <v>40.831314440888789</v>
      </c>
      <c r="DH181" s="196">
        <f>DI181*(1+$EA181+(VLOOKUP($AM181,$A$12:$B$323,2,0))+各项系数!$J$6+各项系数!$M$5)*(1+$E$2)+各项系数!$M$9*$NK181</f>
        <v>40.372584451823045</v>
      </c>
      <c r="DI181" s="197">
        <f>DJ181+各项系数!$L$9*$NQ181</f>
        <v>40.510915020344264</v>
      </c>
      <c r="DJ181" s="197">
        <f>DK181*(1+$EB181+各项系数!$J$5+各项系数!$L$5)</f>
        <v>40.052185031278519</v>
      </c>
      <c r="DK181" s="197">
        <f t="shared" si="595"/>
        <v>38.511716376229344</v>
      </c>
      <c r="DL181" s="196">
        <f>DM181+各项系数!$M$9*$NQ181</f>
        <v>42.083012832420359</v>
      </c>
      <c r="DM181" s="196">
        <f>DN181*(1+$EA181+(VLOOKUP($AM181,$A$12:$B$323,2,0))+各项系数!$J$6+各项系数!$M$5)*(1+$E$2)+各项系数!$M$9*$NK181</f>
        <v>41.624282843354614</v>
      </c>
      <c r="DN181" s="197">
        <f>DO181+各项系数!$L$9*$NQ181</f>
        <v>41.775512304170867</v>
      </c>
      <c r="DO181" s="197">
        <f>DP181*(1+$EB181+各项系数!$J$5+各项系数!$L$5)</f>
        <v>41.316782315105122</v>
      </c>
      <c r="DP181" s="197">
        <f t="shared" si="596"/>
        <v>39.727675302985695</v>
      </c>
      <c r="DQ181" s="196">
        <f>DR181+各项系数!$M$9*$NV181</f>
        <v>42.897765717067855</v>
      </c>
      <c r="DR181" s="196">
        <f t="shared" si="597"/>
        <v>42.429077178420009</v>
      </c>
      <c r="DS181" s="197">
        <f>DT181+各项系数!$L$9*$NV181</f>
        <v>42.866313576904439</v>
      </c>
      <c r="DT181" s="197">
        <f>DU181*(1+$EB181+各项系数!$J$5+各项系数!$L$5)</f>
        <v>42.397625038256592</v>
      </c>
      <c r="DU181" s="199">
        <f t="shared" si="598"/>
        <v>40.766947152169799</v>
      </c>
      <c r="DV181" s="196">
        <f>DW181+各项系数!$M$9*$NV181</f>
        <v>41.364372720972916</v>
      </c>
      <c r="DW181" s="196">
        <f t="shared" si="599"/>
        <v>40.89568418232507</v>
      </c>
      <c r="DX181" s="197">
        <f>DY181+各项系数!$L$9*$NV181</f>
        <v>41.317118794024118</v>
      </c>
      <c r="DY181" s="197">
        <f>DZ181*(1+$EB181+各项系数!$J$5+各项系数!$L$5)</f>
        <v>40.848430255376272</v>
      </c>
      <c r="DZ181" s="199">
        <f t="shared" si="600"/>
        <v>39.277336784015645</v>
      </c>
      <c r="EA181" s="213">
        <f t="shared" si="802"/>
        <v>0</v>
      </c>
      <c r="EB181" s="213">
        <f t="shared" si="601"/>
        <v>0.02</v>
      </c>
      <c r="EC181" s="235">
        <f t="shared" si="649"/>
        <v>37</v>
      </c>
      <c r="ED181" s="235" t="str">
        <f t="shared" si="756"/>
        <v>37*1.5</v>
      </c>
      <c r="EE181" s="189">
        <f t="shared" si="812"/>
        <v>1.5</v>
      </c>
      <c r="EF181" s="189">
        <f>LOOKUP(EH181,{1,7,10,14,19,24,30,37,48,61},{1,"1+6","2+8","4+10","1+6+12","2+8+14","4+10+16","1+6+12+18","3+9+15+21","1+6+12+18+24"})</f>
        <v>1</v>
      </c>
      <c r="EG181" s="188">
        <f t="shared" si="602"/>
        <v>37</v>
      </c>
      <c r="EH181" s="197">
        <f>VLOOKUP(EE181,各项系数!$B$87:$C$124,2,0)</f>
        <v>1</v>
      </c>
      <c r="EI181" s="188">
        <f>IF(EH181=0,0,VLOOKUP(EH181,各项系数!$D$142:$E$195,2,0))*1</f>
        <v>1</v>
      </c>
      <c r="EJ181" s="238">
        <f t="shared" si="650"/>
        <v>134.922667214547</v>
      </c>
      <c r="EK181" s="189">
        <f t="shared" si="813"/>
        <v>0</v>
      </c>
      <c r="EL181" s="189">
        <f t="shared" si="603"/>
        <v>0</v>
      </c>
      <c r="EM181" s="189">
        <f t="shared" si="814"/>
        <v>0</v>
      </c>
      <c r="EN181" s="189">
        <f>IF(EP181=0,0,LOOKUP(EP181,{1,7,10,14,19,24,30,37,48,61},{1,"1+6","2+8","4+10","1+6+12","2+8+14","4+10+16","1+6+12+18","3+9+15+21","1+6+12+18+24"}))</f>
        <v>0</v>
      </c>
      <c r="EO181" s="189">
        <f t="shared" si="815"/>
        <v>0</v>
      </c>
      <c r="EP181" s="189">
        <f>IF(EM181=0,0,IF(EM181&lt;10,1,IF(AND(EM181&gt;=10,EM181&lt;=35),7,LOOKUP(EM181,{50,70,95,120,150,185,240,300},{10,14,19,24,30,37,48,61})*1)))</f>
        <v>0</v>
      </c>
      <c r="EQ181" s="189">
        <f>IF(EP181=0,0,VLOOKUP(EP181,各项系数!$D$142:$E$195,2,0))*1</f>
        <v>0</v>
      </c>
      <c r="ER181" s="53">
        <f t="shared" si="816"/>
        <v>0</v>
      </c>
      <c r="ES181" s="412">
        <f t="shared" si="817"/>
        <v>37</v>
      </c>
      <c r="ET181" s="189">
        <f>VLOOKUP(ES181,各项系数!$D$142:$E$195,2,0)*1</f>
        <v>7</v>
      </c>
      <c r="EU181" s="243">
        <f>((各项系数!$F$76/4*$EJ181^2*$EG181*$EH181*1*10^-7)*(1-$H181)*AA181)*(VLOOKUP($EY$9,各项系数!$D$4:$F$143,3,0))*各项系数!$J$4</f>
        <v>0.4679358111344204</v>
      </c>
      <c r="EV181" s="244">
        <f>EU181*(VLOOKUP($EY$9,各项系数!$D$4:$F$143,2,0))</f>
        <v>30.649795629304535</v>
      </c>
      <c r="EW181" s="252">
        <f>(IF($EO181=0,0,(各项系数!$F$76/4*$ER181^2*$EO181*$EP181*1*10^-7))*(1-$K181)*$AF181)*(VLOOKUP($EY$9,各项系数!$D$4:$F$143,3,0))*各项系数!$J$4</f>
        <v>0</v>
      </c>
      <c r="EX181" s="253">
        <f>EW181*(VLOOKUP($EY$9,各项系数!$D$4:$F$143,2,0))</f>
        <v>0</v>
      </c>
      <c r="EY181" s="189">
        <f>((各项系数!$F$76/4*$EJ181^2*$EG181*$EH181*1*10^-7)*(1-$H181)*AA181+IF($EO181=0,0,(各项系数!$F$76/4*$ER181^2*$EO181*$EP181*1*10^-7))*(1-$K181)*$AF181)*(VLOOKUP($EY$9,各项系数!$D$4:$F$143,3,0))*各项系数!$J$4</f>
        <v>0.4679358111344204</v>
      </c>
      <c r="EZ181" s="102">
        <v>1</v>
      </c>
      <c r="FA181" s="189">
        <f t="shared" si="757"/>
        <v>0.4679358111344204</v>
      </c>
      <c r="FB181" s="254">
        <f>FA181*(VLOOKUP($EY$9,各项系数!$D$4:$F$143,2,0))</f>
        <v>30.649795629304535</v>
      </c>
      <c r="FC181" s="255"/>
      <c r="FD181" s="235">
        <f>各项系数!$F$76/4*($MN181^2-MK181^2)*10^-2*(VLOOKUP(L181,各项系数!$D$1:$F$143,3,0))*10^-3*10^2*$EG181*各项系数!$J$4</f>
        <v>0.18249686236769053</v>
      </c>
      <c r="FE181" s="262">
        <f>FD181*VLOOKUP(L181,各项系数!$D$1:$F$143,2,0)</f>
        <v>2.0987139172284413</v>
      </c>
      <c r="FF181" s="188">
        <f>各项系数!$F$76/4*($MO181^2-ML181^2)*10^-2*(VLOOKUP(L181,各项系数!$D$1:$F$143,3,0))*10^-3*10^2*$EO181*各项系数!$J$4</f>
        <v>0</v>
      </c>
      <c r="FG181" s="262">
        <f>FF181*VLOOKUP(L181,各项系数!$D$1:$F$143,2,0)</f>
        <v>0</v>
      </c>
      <c r="FH181" s="235">
        <f t="shared" si="651"/>
        <v>0.18249686236769053</v>
      </c>
      <c r="FI181" s="102">
        <v>1</v>
      </c>
      <c r="FJ181" s="189">
        <f t="shared" si="758"/>
        <v>0.18249686236769053</v>
      </c>
      <c r="FK181" s="262">
        <f>FJ181*VLOOKUP(L181,各项系数!$D$1:$F$143,2,0)</f>
        <v>2.0987139172284413</v>
      </c>
      <c r="FL181" s="235"/>
      <c r="FM181" s="102"/>
      <c r="FN181" s="189"/>
      <c r="FO181" s="262"/>
      <c r="FP181" s="282">
        <f t="shared" si="759"/>
        <v>0.18249686236769053</v>
      </c>
      <c r="FQ181" s="282">
        <f t="shared" si="760"/>
        <v>2.0987139172284413</v>
      </c>
      <c r="FR181" s="283">
        <f>各项系数!$F$76/4*($MQ181^2-$MN181^2*$EG181-$MO181^2*$EO181)*10^-2</f>
        <v>0.71234802415233733</v>
      </c>
      <c r="FS181" s="284">
        <f t="shared" si="652"/>
        <v>1</v>
      </c>
      <c r="FT181" s="285">
        <f t="shared" si="604"/>
        <v>0.71234802415233733</v>
      </c>
      <c r="FU181" s="302">
        <f>$FT181*(VLOOKUP($FT$9,各项系数!$D$1:$F$143,3,0))*10^-3*10^2*各项系数!$J$55</f>
        <v>8.5054354083789072E-2</v>
      </c>
      <c r="FV181" s="303">
        <v>1</v>
      </c>
      <c r="FW181" s="304">
        <f t="shared" si="761"/>
        <v>8.5054354083789072E-2</v>
      </c>
      <c r="FX181" s="285">
        <f>FW181*(VLOOKUP($FT$9,各项系数!$D$1:$F$143,2,0))</f>
        <v>0.2551630622513672</v>
      </c>
      <c r="FY181" s="302">
        <f>IF($BK181&lt;&gt;$FY$9,0,各项系数!$F$76/4*($MS181^2-$MQ181^2)*10^-2*(VLOOKUP($FY$9,各项系数!$D$1:$F$143,3,0))*10^-3*10^2)*各项系数!$J$4</f>
        <v>0</v>
      </c>
      <c r="FZ181" s="303">
        <v>1</v>
      </c>
      <c r="GA181" s="304">
        <f t="shared" si="762"/>
        <v>0</v>
      </c>
      <c r="GB181" s="285">
        <f>GA181*(VLOOKUP($FY$9,各项系数!$D$1:$F$143,2,0))</f>
        <v>0</v>
      </c>
      <c r="GC181" s="302">
        <f>IF($BK181&lt;&gt;$GC$9,0,各项系数!$F$76/4*($MS181^2-$MQ181^2)*10^-2*(VLOOKUP($GC$9,各项系数!$D$1:$F$143,3,0))*10^-3*10^2)*各项系数!$J$4</f>
        <v>5.2647867704084033E-3</v>
      </c>
      <c r="GD181" s="303">
        <v>1</v>
      </c>
      <c r="GE181" s="304">
        <f t="shared" si="763"/>
        <v>5.2647867704084033E-3</v>
      </c>
      <c r="GF181" s="285">
        <f>GE181*(VLOOKUP($GC$9,各项系数!$D$1:$F$143,2,0))</f>
        <v>6.7915749338268411E-2</v>
      </c>
      <c r="GG181" s="302">
        <f>IF($BK181&lt;&gt;$GG$9,0,各项系数!$F$76/4*($MS181^2-$MQ181^2)*10^-2*(VLOOKUP($GG$9,各项系数!$D$1:$F$143,3,0))*10^-3*10^2)*各项系数!$J$4</f>
        <v>0</v>
      </c>
      <c r="GH181" s="303">
        <v>1</v>
      </c>
      <c r="GI181" s="304">
        <f t="shared" si="764"/>
        <v>0</v>
      </c>
      <c r="GJ181" s="285">
        <f>GI181*(VLOOKUP($GG$9,各项系数!$D$1:$F$143,2,0))</f>
        <v>0</v>
      </c>
      <c r="GK181" s="302">
        <f>IF($BK181&lt;&gt;$GK$9,0,各项系数!$F$76/4*($MS181^2-$MQ181^2)*10^-2*(VLOOKUP($GK$9,各项系数!$D$1:$F$143,3,0))*10^-3*10^2)*各项系数!$J$4</f>
        <v>0</v>
      </c>
      <c r="GL181" s="303">
        <v>1</v>
      </c>
      <c r="GM181" s="304">
        <f t="shared" si="765"/>
        <v>0</v>
      </c>
      <c r="GN181" s="285">
        <f>GM181*(VLOOKUP($GK$9,各项系数!$D$1:$F$143,2,0))</f>
        <v>0</v>
      </c>
      <c r="GO181" s="304">
        <f t="shared" si="766"/>
        <v>5.2647867704084033E-3</v>
      </c>
      <c r="GP181" s="304">
        <f t="shared" si="767"/>
        <v>6.7915749338268411E-2</v>
      </c>
      <c r="GQ181" s="315">
        <f>各项系数!$F$76/4*($MU181^2-$MS181^2)*10^-2*(VLOOKUP($S181,各项系数!$D$1:$F$143,3,0))*10^-3*10^2*各项系数!$J$4</f>
        <v>0.29363495713659715</v>
      </c>
      <c r="GR181" s="303">
        <v>1</v>
      </c>
      <c r="GS181" s="304">
        <f t="shared" si="768"/>
        <v>0.29363495713659715</v>
      </c>
      <c r="GT181" s="304">
        <f t="shared" si="696"/>
        <v>0</v>
      </c>
      <c r="GU181" s="304">
        <f>ROUND($GS181*(VLOOKUP($S181,各项系数!$D$1:$F$143,2,0))+$E$3*GS181,GT181)</f>
        <v>2</v>
      </c>
      <c r="GV181" s="315">
        <f>各项系数!$F$76/4*($MT181^2-$MS181^2)*10^-2*(VLOOKUP($GV$9,各项系数!$D$1:$F$143,3,0))*10^-3*10^2*各项系数!$J$4*PI()/4*R181</f>
        <v>2.7239068221647202E-2</v>
      </c>
      <c r="GW181" s="303">
        <v>1</v>
      </c>
      <c r="GX181" s="304">
        <f t="shared" si="769"/>
        <v>2.7239068221647202E-2</v>
      </c>
      <c r="GY181" s="304">
        <f>$GX181*(VLOOKUP($GV$9,各项系数!$D$1:$F$143,2,0))</f>
        <v>1.8386371049611863</v>
      </c>
      <c r="GZ181" s="315">
        <f>各项系数!$F$76/4*($MV181^2-$MS181^2)*10^-2*(VLOOKUP($GZ$9,各项系数!$D$1:$F$143,3,0))*10^-3*10^2*各项系数!$J$4</f>
        <v>0.17312940941072735</v>
      </c>
      <c r="HA181" s="303">
        <v>1</v>
      </c>
      <c r="HB181" s="304">
        <f t="shared" si="653"/>
        <v>0.17312940941072735</v>
      </c>
      <c r="HC181" s="304">
        <f>HB181*(VLOOKUP($GZ$9,各项系数!$D$1:$F$143,2,0))</f>
        <v>2.9431999599823651</v>
      </c>
      <c r="HD181" s="315">
        <f>各项系数!$F$76/4*($MW181^2-$MT181^2)*10^-2*(VLOOKUP($HD$9,各项系数!$D$1:$F$143,3,0))*10^-3*10^2*各项系数!$J$4</f>
        <v>0.17443477885740566</v>
      </c>
      <c r="HE181" s="303">
        <v>1</v>
      </c>
      <c r="HF181" s="304">
        <f t="shared" si="654"/>
        <v>0.17443477885740566</v>
      </c>
      <c r="HG181" s="304">
        <f>HF181*(VLOOKUP($HD$9,各项系数!$D$1:$F$143,2,0))</f>
        <v>2.9653912405758964</v>
      </c>
      <c r="HH181" s="315">
        <f>各项系数!$F$76/4*($MV181^2-$MS181^2)*10^-2*(VLOOKUP($HH$9,各项系数!$D$1:$F$143,3,0))*10^-3*10^2*各项系数!$J$4</f>
        <v>0.17312940941072735</v>
      </c>
      <c r="HI181" s="322">
        <v>1</v>
      </c>
      <c r="HJ181" s="304">
        <f t="shared" si="655"/>
        <v>0.17312940941072735</v>
      </c>
      <c r="HK181" s="304">
        <f>HJ181*(VLOOKUP($HH$9,各项系数!$D$1:$F$143,2,0))</f>
        <v>2.9431999599823651</v>
      </c>
      <c r="HL181" s="315">
        <f>各项系数!$F$76/4*($MW181^2-$MT181^2)*10^-2*(VLOOKUP($HL$9,各项系数!$D$1:$F$143,3,0))*10^-3*10^2*各项系数!$J$4</f>
        <v>0.17443477885740566</v>
      </c>
      <c r="HM181" s="322">
        <v>1</v>
      </c>
      <c r="HN181" s="304">
        <f t="shared" si="605"/>
        <v>0.17443477885740566</v>
      </c>
      <c r="HO181" s="304">
        <f>HN181*(VLOOKUP($HL$9,各项系数!$D$1:$F$143,2,0))</f>
        <v>2.9653912405758964</v>
      </c>
      <c r="HP181" s="315">
        <f>各项系数!$F$76/4*($MV181^2-$MS181^2)*10^-2*(VLOOKUP(AN181,各项系数!$D$1:$F$143,3,0))*10^-3*10^2*各项系数!$J$4</f>
        <v>0.17551740126466842</v>
      </c>
      <c r="HQ181" s="303">
        <v>1</v>
      </c>
      <c r="HR181" s="304">
        <f t="shared" si="770"/>
        <v>0.17551740126466842</v>
      </c>
      <c r="HS181" s="304">
        <f>HR181*(VLOOKUP(AN181,各项系数!$D$1:$F$143,2,0))</f>
        <v>1.7551740126466842</v>
      </c>
      <c r="HT181" s="315">
        <f>各项系数!$F$76/4*($MW181^2-$MT181^2)*10^-2*(VLOOKUP(AN181,各项系数!$D$1:$F$143,3,0))*10^-3*10^2*各项系数!$J$4</f>
        <v>0.17684077580716298</v>
      </c>
      <c r="HU181" s="303">
        <v>1</v>
      </c>
      <c r="HV181" s="304">
        <f t="shared" si="771"/>
        <v>0.17684077580716298</v>
      </c>
      <c r="HW181" s="304">
        <f>HV181*(VLOOKUP(AN181,各项系数!$D$1:$F$143,2,0))</f>
        <v>1.7684077580716298</v>
      </c>
      <c r="HX181" s="315">
        <f>各项系数!$F$76/4*($MV181^2-$MS181^2)*10^-2*(VLOOKUP($HX$9,各项系数!$D$1:$F$143,3,0))*10^-3*10^2*各项系数!$J$4</f>
        <v>0.17551740126466842</v>
      </c>
      <c r="HY181" s="322">
        <v>1</v>
      </c>
      <c r="HZ181" s="304">
        <f t="shared" si="772"/>
        <v>0.17551740126466842</v>
      </c>
      <c r="IA181" s="304">
        <f>HZ181*(VLOOKUP($HX$9,各项系数!$D$1:$F$143,2,0))</f>
        <v>1.9306914139113527</v>
      </c>
      <c r="IB181" s="315">
        <f>各项系数!$F$76/4*($MW181^2-$MT181^2)*10^-2*(VLOOKUP($IB$9,各项系数!$D$1:$F$143,3,0))*10^-3*10^2*各项系数!$J$4</f>
        <v>0.17684077580716298</v>
      </c>
      <c r="IC181" s="322">
        <v>1</v>
      </c>
      <c r="ID181" s="304">
        <f t="shared" si="773"/>
        <v>0.17684077580716298</v>
      </c>
      <c r="IE181" s="304">
        <f>ID181*(VLOOKUP($IB$9,各项系数!$D$1:$F$143,2,0))</f>
        <v>1.9452485338787928</v>
      </c>
      <c r="IF181" s="328"/>
      <c r="IG181" s="315">
        <f t="shared" si="656"/>
        <v>8.5835618437080916E-2</v>
      </c>
      <c r="IH181" s="303">
        <v>1</v>
      </c>
      <c r="II181" s="304">
        <f t="shared" si="774"/>
        <v>8.5835618437080916E-2</v>
      </c>
      <c r="IJ181" s="304">
        <f>II181*(VLOOKUP($IG$8,各项系数!$D$1:$F$143,2,0))</f>
        <v>2.1458904609270228</v>
      </c>
      <c r="IK181" s="315">
        <f>(各项系数!$F$76/4*($MX181^2-$MK181^2)*$EG181)*10^-2*(VLOOKUP($IG$8,各项系数!$D$1:$F$143,3,0))*10^-3*10^2*各项系数!$J$4</f>
        <v>8.5835618437080916E-2</v>
      </c>
      <c r="IL181" s="303">
        <f>IK181*(VLOOKUP($IG$8,各项系数!$D$1:$F$143,2,0))</f>
        <v>2.1458904609270228</v>
      </c>
      <c r="IM181" s="304">
        <f>(各项系数!$F$76/4*(($MM181+3*$X181)^2-MM181^2)*$EO181)*10^-2*(VLOOKUP($IG$8,各项系数!$D$1:$F$143,3,0))*10^-3*10^2*各项系数!$J$4</f>
        <v>0</v>
      </c>
      <c r="IN181" s="303">
        <f>IM181*(VLOOKUP($IG$8,各项系数!$D$1:$F$143,2,0))</f>
        <v>0</v>
      </c>
      <c r="IO181" s="315">
        <f>各项系数!$F$76/4*($MZ181^2-$MX181^2)*10^-2*(VLOOKUP(L181,各项系数!$D$1:$F$143,3,0))*10^-3*10^2*$ES181*各项系数!$J$4</f>
        <v>0.2359307352640522</v>
      </c>
      <c r="IP181" s="303">
        <v>1</v>
      </c>
      <c r="IQ181" s="304">
        <f t="shared" si="775"/>
        <v>0.2359307352640522</v>
      </c>
      <c r="IR181" s="285">
        <f>IQ181*(VLOOKUP(L181,各项系数!$D$1:$F$143,2,0))</f>
        <v>2.7132034555366005</v>
      </c>
      <c r="IS181" s="315">
        <f>IF($L181&lt;&gt;$IS$9,0,各项系数!$F$76/4*($MZ181^2-$MX181^2)*10^-2*各项系数!$F$12*10^-3*10^2)*$ES181*各项系数!$J$4</f>
        <v>0</v>
      </c>
      <c r="IT181" s="303">
        <v>1</v>
      </c>
      <c r="IU181" s="304">
        <f t="shared" si="776"/>
        <v>0</v>
      </c>
      <c r="IV181" s="285">
        <f>IU181*各项系数!$E$12</f>
        <v>0</v>
      </c>
      <c r="IW181" s="302">
        <f t="shared" si="777"/>
        <v>0.2359307352640522</v>
      </c>
      <c r="IX181" s="302">
        <f t="shared" si="778"/>
        <v>2.7132034555366005</v>
      </c>
      <c r="IY181" s="339">
        <f>各项系数!$F$76/4*($NB181^2-$MZ181^2*$EG181-$NA181^2*$EO181)*10^-2</f>
        <v>1.0572074359540118</v>
      </c>
      <c r="IZ181" s="284">
        <f t="shared" si="697"/>
        <v>1</v>
      </c>
      <c r="JA181" s="285">
        <f t="shared" si="606"/>
        <v>1.0572074359540118</v>
      </c>
      <c r="JB181" s="282">
        <f>IF($DE181&lt;&gt;$JB$9,0,$JA181*各项系数!$F$32*10^-3*10^2)*各项系数!$J$4</f>
        <v>0</v>
      </c>
      <c r="JC181" s="102">
        <v>1</v>
      </c>
      <c r="JD181" s="189">
        <f t="shared" si="779"/>
        <v>0</v>
      </c>
      <c r="JE181" s="262">
        <f>JD181*各项系数!$E$32</f>
        <v>0</v>
      </c>
      <c r="JF181" s="282">
        <f>IF($DE181&lt;&gt;$JF$9,0,$JA181*VLOOKUP($JF$9,各项系数!$D$4:$F$540,2,0)*10^-3*10^2)*各项系数!$J$4</f>
        <v>0.52596069938712087</v>
      </c>
      <c r="JG181" s="102">
        <v>1</v>
      </c>
      <c r="JH181" s="189">
        <f t="shared" si="607"/>
        <v>0.52596069938712087</v>
      </c>
      <c r="JI181" s="262">
        <f>JH181*VLOOKUP($JF$9,各项系数!$D$4:$F$540,3,0)</f>
        <v>0.63115283926454502</v>
      </c>
      <c r="JJ181" s="282">
        <f t="shared" si="780"/>
        <v>0.52596069938712087</v>
      </c>
      <c r="JK181" s="189">
        <f t="shared" si="781"/>
        <v>0.63115283926454502</v>
      </c>
      <c r="JL181" s="282">
        <f>IF($DF181&lt;&gt;$JL$9,0,各项系数!$F$76/4*($NE181^2-$NC181^2)*10^-2*各项系数!$F$39*10^-3*10^2)*各项系数!$J$4</f>
        <v>2.6517665076491634E-3</v>
      </c>
      <c r="JM181" s="102">
        <v>1</v>
      </c>
      <c r="JN181" s="189">
        <f t="shared" si="782"/>
        <v>2.6517665076491634E-3</v>
      </c>
      <c r="JO181" s="262">
        <f>JN181*各项系数!$E$39</f>
        <v>5.303533015298327E-2</v>
      </c>
      <c r="JP181" s="282">
        <f>IF($DF181&lt;&gt;$JP$9,0,各项系数!$F$76/4*($NE181^2-$NC181^2)*10^-2*各项系数!$F$36*10^-3*10^2)*各项系数!$J$4</f>
        <v>0</v>
      </c>
      <c r="JQ181" s="102">
        <v>1</v>
      </c>
      <c r="JR181" s="189">
        <f t="shared" si="783"/>
        <v>0</v>
      </c>
      <c r="JS181" s="262">
        <f>JR181*各项系数!$E$36</f>
        <v>0</v>
      </c>
      <c r="JT181" s="282">
        <f>IF($DF181&lt;&gt;$JT$9,0,各项系数!$F$76/4*($NE181^2-$NC181^2)*10^-2*各项系数!$F$40*10^-3*10^2)*各项系数!$J$4</f>
        <v>0</v>
      </c>
      <c r="JU181" s="102">
        <v>1</v>
      </c>
      <c r="JV181" s="189">
        <f t="shared" si="784"/>
        <v>0</v>
      </c>
      <c r="JW181" s="262">
        <f>JV181*各项系数!$E$40</f>
        <v>0</v>
      </c>
      <c r="JX181" s="282">
        <f>IF($DF181&lt;&gt;$JX$9,0,各项系数!$F$76/4*($NE181^2-$NC181^2)*10^-2*各项系数!$F$38*10^-3*10^2)*各项系数!$J$4</f>
        <v>0</v>
      </c>
      <c r="JY181" s="102">
        <v>1</v>
      </c>
      <c r="JZ181" s="189">
        <f t="shared" si="785"/>
        <v>0</v>
      </c>
      <c r="KA181" s="262">
        <f>JZ181*各项系数!$E$38</f>
        <v>0</v>
      </c>
      <c r="KB181" s="282">
        <f>IF($DF181&lt;&gt;$KB$9,0,各项系数!$F$76/4*($NE181^2-$NC181^2)*10^-2*各项系数!$F$41*10^-3*10^2)*各项系数!$J$4</f>
        <v>0</v>
      </c>
      <c r="KC181" s="102">
        <v>1</v>
      </c>
      <c r="KD181" s="189">
        <f t="shared" si="786"/>
        <v>0</v>
      </c>
      <c r="KE181" s="262">
        <f>KD181*各项系数!$E$41</f>
        <v>0</v>
      </c>
      <c r="KF181" s="189">
        <f t="shared" si="787"/>
        <v>2.6517665076491634E-3</v>
      </c>
      <c r="KG181" s="189">
        <f t="shared" si="788"/>
        <v>5.303533015298327E-2</v>
      </c>
      <c r="KH181" s="235">
        <f>各项系数!$F$76/4*($NG181^2-$NE181^2)*10^-2*各项系数!$F$44*10^-3*10^2*各项系数!$J$4*0.75*$U181</f>
        <v>1.0685206705795292</v>
      </c>
      <c r="KI181" s="102">
        <v>1</v>
      </c>
      <c r="KJ181" s="189">
        <f t="shared" si="789"/>
        <v>1.0685206705795292</v>
      </c>
      <c r="KK181" s="189">
        <f>ROUND(KJ181*各项系数!$E$43,GT181)</f>
        <v>6</v>
      </c>
      <c r="KL181" s="235">
        <f>各项系数!$F$76/4*($NF181^2-$NE181^2)*10^-2*各项系数!$F$46*10^-3*10^2*各项系数!$J$4*PI()/4*R181</f>
        <v>3.3195165273674374E-2</v>
      </c>
      <c r="KM181" s="102">
        <v>1</v>
      </c>
      <c r="KN181" s="189">
        <f t="shared" si="790"/>
        <v>3.3195165273674374E-2</v>
      </c>
      <c r="KO181" s="189">
        <f>KN181*各项系数!$E$46</f>
        <v>2.24067365597302</v>
      </c>
      <c r="KP181" s="235">
        <f>各项系数!$F$76/4*($NH181^2-$NE181^2)*10^-2*(VLOOKUP($KP$9,各项系数!$D$1:$F$143,3,0))*10^-3*10^2*各项系数!$J$4</f>
        <v>0.20791750516470683</v>
      </c>
      <c r="KQ181" s="102">
        <v>1</v>
      </c>
      <c r="KR181" s="189">
        <f t="shared" si="657"/>
        <v>0.20791750516470683</v>
      </c>
      <c r="KS181" s="189">
        <f>KR181*(VLOOKUP($KP$9,各项系数!$D$1:$F$143,2,0))</f>
        <v>3.534597587800016</v>
      </c>
      <c r="KT181" s="235">
        <f>各项系数!$F$76/4*($NI181^2-$NF181^2)*10^-2*(VLOOKUP($KT$9,各项系数!$D$1:$F$143,3,0))*10^-3*10^2*各项系数!$J$4</f>
        <v>0.2092228746113852</v>
      </c>
      <c r="KU181" s="102">
        <v>1</v>
      </c>
      <c r="KV181" s="189">
        <f t="shared" si="658"/>
        <v>0.2092228746113852</v>
      </c>
      <c r="KW181" s="189">
        <f>KV181*(VLOOKUP($KT$9,各项系数!$D$1:$F$143,2,0))</f>
        <v>3.5567888683935482</v>
      </c>
      <c r="KX181" s="189">
        <f>各项系数!$F$76/4*($NH181^2-$NE181^2)*10^-2*(VLOOKUP($KX$9,各项系数!$D$1:$F$143,3,0))*10^-3*10^2*各项系数!$J$4</f>
        <v>0.20791750516470683</v>
      </c>
      <c r="KY181" s="353">
        <v>1</v>
      </c>
      <c r="KZ181" s="189">
        <f t="shared" si="659"/>
        <v>0.20791750516470683</v>
      </c>
      <c r="LA181" s="189">
        <f>KZ181*(VLOOKUP($KX$9,各项系数!$D$1:$F$143,2,0))</f>
        <v>3.534597587800016</v>
      </c>
      <c r="LB181" s="189">
        <f>各项系数!$F$76/4*($NI181^2-$NF181^2)*10^-2*(VLOOKUP($LB$9,各项系数!$D$1:$F$143,3,0))*10^-3*10^2*各项系数!$J$4</f>
        <v>0.2092228746113852</v>
      </c>
      <c r="LC181" s="353">
        <v>1</v>
      </c>
      <c r="LD181" s="189">
        <f t="shared" si="660"/>
        <v>0.2092228746113852</v>
      </c>
      <c r="LE181" s="189">
        <f>LD181*(VLOOKUP($LB$9,各项系数!$D$1:$F$143,2,0))</f>
        <v>3.5567888683935482</v>
      </c>
      <c r="LF181" s="235">
        <f>各项系数!$F$76/4*($NH181^2-$NE181^2)*10^-2*(VLOOKUP(AN181,各项系数!$D$1:$F$143,3,0))*10^-3*10^2*各项系数!$J$4</f>
        <v>0.21078533282215109</v>
      </c>
      <c r="LG181" s="102">
        <v>1</v>
      </c>
      <c r="LH181" s="189">
        <f t="shared" si="791"/>
        <v>0.21078533282215109</v>
      </c>
      <c r="LI181" s="189">
        <f>LH181*(VLOOKUP(AN181,各项系数!$D$1:$F$143,2,0))</f>
        <v>2.1078533282215108</v>
      </c>
      <c r="LJ181" s="235">
        <f>各项系数!$F$76/4*($NI181^2-$NF181^2)*10^-2*(VLOOKUP(AN181,各项系数!$D$1:$F$143,3,0))*10^-3*10^2*各项系数!$J$4</f>
        <v>0.21210870736464568</v>
      </c>
      <c r="LK181" s="102">
        <v>1</v>
      </c>
      <c r="LL181" s="189">
        <f t="shared" si="792"/>
        <v>0.21210870736464568</v>
      </c>
      <c r="LM181" s="189">
        <f>LL181*(VLOOKUP(AN181,各项系数!$D$1:$F$143,2,0))</f>
        <v>2.1210870736464567</v>
      </c>
      <c r="LN181" s="189">
        <f>各项系数!$F$76/4*($NH181^2-$NE181^2)*10^-2*(VLOOKUP($LN$9,各项系数!$D$1:$F$143,3,0))*10^-3*10^2*各项系数!$J$4</f>
        <v>0.21078533282215109</v>
      </c>
      <c r="LO181" s="353">
        <v>1</v>
      </c>
      <c r="LP181" s="189">
        <f t="shared" si="793"/>
        <v>0.21078533282215109</v>
      </c>
      <c r="LQ181" s="189">
        <f>LP181*(VLOOKUP($LN$9,各项系数!$D$1:$F$143,2,0))</f>
        <v>2.318638661043662</v>
      </c>
      <c r="LR181" s="189">
        <f>各项系数!$F$76/4*($NI181^2-$NF181^2)*10^-2*(VLOOKUP($LR$9,各项系数!$D$1:$F$143,3,0))*10^-3*10^2*各项系数!$J$4</f>
        <v>0.21210870736464568</v>
      </c>
      <c r="LS181" s="353">
        <v>1</v>
      </c>
      <c r="LT181" s="189">
        <f t="shared" si="794"/>
        <v>0.21210870736464568</v>
      </c>
      <c r="LU181" s="189">
        <f>LT181*(VLOOKUP($LR$9,各项系数!$D$1:$F$143,2,0))</f>
        <v>2.3331957810111024</v>
      </c>
      <c r="LV181" s="227">
        <f t="shared" si="661"/>
        <v>52.90070257</v>
      </c>
      <c r="LW181" s="227">
        <f t="shared" si="662"/>
        <v>52.90070257</v>
      </c>
      <c r="LX181" s="227">
        <f t="shared" si="663"/>
        <v>8.207025432907896</v>
      </c>
      <c r="LY181" s="227">
        <f t="shared" si="664"/>
        <v>0</v>
      </c>
      <c r="LZ181" s="374">
        <f t="shared" si="608"/>
        <v>1</v>
      </c>
      <c r="MA181" s="375">
        <f t="shared" si="609"/>
        <v>52.90070257</v>
      </c>
      <c r="MB181" s="375">
        <f t="shared" si="665"/>
        <v>1.34922667</v>
      </c>
      <c r="MC181" s="227">
        <f t="shared" si="666"/>
        <v>0</v>
      </c>
      <c r="MD181" s="227">
        <f t="shared" si="667"/>
        <v>0</v>
      </c>
      <c r="ME181" s="227">
        <f t="shared" si="668"/>
        <v>0</v>
      </c>
      <c r="MF181" s="227">
        <f t="shared" si="669"/>
        <v>0</v>
      </c>
      <c r="MG181" s="374">
        <f t="shared" si="670"/>
        <v>1</v>
      </c>
      <c r="MH181" s="375">
        <f t="shared" si="610"/>
        <v>0</v>
      </c>
      <c r="MI181" s="375">
        <f t="shared" si="671"/>
        <v>0</v>
      </c>
      <c r="MJ181" s="189">
        <f t="shared" si="611"/>
        <v>1.34922667</v>
      </c>
      <c r="MK181" s="189">
        <f t="shared" si="672"/>
        <v>1.34922667</v>
      </c>
      <c r="ML181" s="189">
        <f t="shared" si="795"/>
        <v>0</v>
      </c>
      <c r="MM181" s="189">
        <f t="shared" si="612"/>
        <v>0</v>
      </c>
      <c r="MN181" s="189">
        <f t="shared" si="613"/>
        <v>2.7492266699999997</v>
      </c>
      <c r="MO181" s="189">
        <f t="shared" si="673"/>
        <v>0</v>
      </c>
      <c r="MP181" s="189">
        <f t="shared" si="674"/>
        <v>19.244586689999998</v>
      </c>
      <c r="MQ181" s="189">
        <f t="shared" si="796"/>
        <v>19.244586689999998</v>
      </c>
      <c r="MR181" s="246">
        <f t="shared" si="675"/>
        <v>19.244586689999998</v>
      </c>
      <c r="MS181" s="380">
        <f t="shared" si="614"/>
        <v>19.420586689999997</v>
      </c>
      <c r="MT181" s="380">
        <f t="shared" si="615"/>
        <v>19.580586689999997</v>
      </c>
      <c r="MU181" s="380">
        <f t="shared" si="616"/>
        <v>20.620586689999996</v>
      </c>
      <c r="MV181" s="380">
        <f t="shared" si="617"/>
        <v>23.020586689999998</v>
      </c>
      <c r="MW181" s="380">
        <f t="shared" si="618"/>
        <v>23.180586689999998</v>
      </c>
      <c r="MX181" s="254">
        <f t="shared" si="619"/>
        <v>1.9492266700000001</v>
      </c>
      <c r="MY181" s="254">
        <f t="shared" si="620"/>
        <v>0</v>
      </c>
      <c r="MZ181" s="189">
        <f t="shared" si="621"/>
        <v>3.3492266700000002</v>
      </c>
      <c r="NA181" s="189">
        <f t="shared" si="622"/>
        <v>0</v>
      </c>
      <c r="NB181" s="189">
        <f t="shared" si="676"/>
        <v>23.444586690000001</v>
      </c>
      <c r="NC181" s="254">
        <f t="shared" si="797"/>
        <v>23.444586690000001</v>
      </c>
      <c r="ND181" s="246">
        <f t="shared" si="677"/>
        <v>23.444586690000001</v>
      </c>
      <c r="NE181" s="386">
        <f t="shared" si="678"/>
        <v>23.68458669</v>
      </c>
      <c r="NF181" s="380">
        <f t="shared" si="623"/>
        <v>23.84458669</v>
      </c>
      <c r="NG181" s="387">
        <f t="shared" si="624"/>
        <v>24.884586689999999</v>
      </c>
      <c r="NH181" s="254">
        <f t="shared" si="625"/>
        <v>27.284586690000001</v>
      </c>
      <c r="NI181" s="380">
        <f t="shared" si="626"/>
        <v>27.444586690000001</v>
      </c>
      <c r="NK181" s="388">
        <f t="shared" si="627"/>
        <v>0.91626921562097685</v>
      </c>
      <c r="NL181" s="388">
        <f t="shared" si="628"/>
        <v>34.826762370769302</v>
      </c>
      <c r="NM181" s="388">
        <f t="shared" si="629"/>
        <v>0.91626921562097685</v>
      </c>
      <c r="NN181" s="388">
        <f t="shared" si="630"/>
        <v>35.002279772033972</v>
      </c>
      <c r="NO181" s="388">
        <f t="shared" si="631"/>
        <v>1.5290999635524747</v>
      </c>
      <c r="NP181" s="388">
        <f t="shared" si="632"/>
        <v>38.300931043407196</v>
      </c>
      <c r="NQ181" s="388">
        <f t="shared" si="633"/>
        <v>1.5290999635524747</v>
      </c>
      <c r="NR181" s="388">
        <f t="shared" si="634"/>
        <v>38.511716376229344</v>
      </c>
      <c r="NS181" s="388">
        <f t="shared" si="635"/>
        <v>0.94350828384262408</v>
      </c>
      <c r="NT181" s="388">
        <f t="shared" si="636"/>
        <v>0.94350828384262408</v>
      </c>
      <c r="NU181" s="388">
        <f t="shared" si="637"/>
        <v>1.5622951288261491</v>
      </c>
      <c r="NV181" s="388">
        <f t="shared" si="638"/>
        <v>1.5622951288261491</v>
      </c>
      <c r="NW181">
        <f t="shared" si="639"/>
        <v>1.2099041727575739</v>
      </c>
      <c r="NX181">
        <f>各项系数!$M$9*NK181</f>
        <v>0.27488076468629302</v>
      </c>
      <c r="NY181">
        <f t="shared" si="640"/>
        <v>0.94350828384262408</v>
      </c>
    </row>
    <row r="182" spans="1:389" ht="15" hidden="1" customHeight="1">
      <c r="A182" s="69"/>
      <c r="B182" s="70"/>
      <c r="C182" s="69"/>
      <c r="D182" s="102" t="s">
        <v>155</v>
      </c>
      <c r="E182" s="61">
        <f t="shared" si="805"/>
        <v>9.4093907699999999</v>
      </c>
      <c r="F182" s="62">
        <f>$F$17</f>
        <v>172.412400708262</v>
      </c>
      <c r="G182" s="16"/>
      <c r="H182" s="16"/>
      <c r="I182" s="145">
        <v>0</v>
      </c>
      <c r="J182" s="16"/>
      <c r="K182" s="16"/>
      <c r="L182" s="97" t="s">
        <v>469</v>
      </c>
      <c r="M182" s="103">
        <f t="shared" si="582"/>
        <v>0.7</v>
      </c>
      <c r="N182" s="103">
        <f t="shared" si="804"/>
        <v>0</v>
      </c>
      <c r="O182" s="53">
        <f t="shared" si="819"/>
        <v>0.08</v>
      </c>
      <c r="P182" s="99">
        <v>0.1</v>
      </c>
      <c r="Q182" s="133">
        <f t="shared" si="806"/>
        <v>0.1</v>
      </c>
      <c r="R182" s="406">
        <v>0.8</v>
      </c>
      <c r="S182" s="142" t="str">
        <f>各项系数!$D$43</f>
        <v>钢带</v>
      </c>
      <c r="T182" s="102">
        <v>0.2</v>
      </c>
      <c r="U182" s="62">
        <v>4</v>
      </c>
      <c r="V182" s="143"/>
      <c r="W182" s="407">
        <v>1.5</v>
      </c>
      <c r="X182" s="135">
        <f t="shared" si="807"/>
        <v>0.2</v>
      </c>
      <c r="Y182" s="135"/>
      <c r="Z182" s="168"/>
      <c r="AA182" s="153">
        <v>1</v>
      </c>
      <c r="AB182" s="153">
        <f>PI()*EJ182*EJ182/4*EH182*(1-H182)*AA182*各项系数!$F$5*各项系数!$J$4*10^-7</f>
        <v>2.0651505688902914E-2</v>
      </c>
      <c r="AC182" s="153">
        <f t="shared" si="808"/>
        <v>172.412400708262</v>
      </c>
      <c r="AD182" s="153">
        <f t="shared" si="584"/>
        <v>2.3346774015073013</v>
      </c>
      <c r="AE182" s="153">
        <f>POWER(4*EU182/PI()/EG182/10^-7/EH182/(1-H182)/各项系数!$F$5/各项系数!$J$4,0.5)</f>
        <v>172.41240070826197</v>
      </c>
      <c r="AF182" s="69">
        <v>1</v>
      </c>
      <c r="AG182" s="69">
        <f>IF(EM182=0,0,PI()*ER182*ER182/4*EP182*(1-K182)*(1+AF182)*各项系数!$F$5*各项系数!$J$4*10^-7)</f>
        <v>0</v>
      </c>
      <c r="AH182" s="69">
        <f t="shared" si="809"/>
        <v>0</v>
      </c>
      <c r="AI182" s="69">
        <f t="shared" si="641"/>
        <v>0</v>
      </c>
      <c r="AJ182" s="69">
        <f>IF(OR(EP182="",EP182=0),0,POWER(4*EW182/PI()/EO182/10^-7/EP182/(1-K182)/各项系数!$F$5/各项系数!$J$4,0.5))</f>
        <v>0</v>
      </c>
      <c r="AK182" s="69" t="str">
        <f t="shared" si="585"/>
        <v>√</v>
      </c>
      <c r="AL182" s="69">
        <f t="shared" si="810"/>
        <v>3.541209864287322</v>
      </c>
      <c r="AM182" s="188">
        <f t="shared" si="811"/>
        <v>2.5</v>
      </c>
      <c r="AN182" s="97" t="s">
        <v>486</v>
      </c>
      <c r="AO182" s="196">
        <f>AP182+各项系数!$M$9*$NK182</f>
        <v>3.4717743767522764</v>
      </c>
      <c r="AP182" s="196">
        <f>AQ182*(1+$BI182+(VLOOKUP($AM182,$A$12:$B$323,2,0))+各项系数!$J$6+各项系数!$M$5)*(1+$E$2)</f>
        <v>3.4387798440098383</v>
      </c>
      <c r="AQ182" s="197">
        <f>AR182+各项系数!$L$9*$NK182</f>
        <v>3.508959024499835</v>
      </c>
      <c r="AR182" s="197">
        <f>AS182*(1+$BJ182+各项系数!$J$5+各项系数!$L$5)</f>
        <v>3.4759644917573969</v>
      </c>
      <c r="AS182" s="197">
        <f t="shared" si="642"/>
        <v>3.4078083252523497</v>
      </c>
      <c r="AT182" s="196">
        <f>AU182+各项系数!$M$9*$NM182</f>
        <v>3.8406301399083849</v>
      </c>
      <c r="AU182" s="196">
        <f>AV182*(1+$BI182+(VLOOKUP($AM182,$A$12:$B$323,2,0))+各项系数!$J$6+各项系数!$M$5)*(1+$E$2)</f>
        <v>3.8076356071659467</v>
      </c>
      <c r="AV182" s="197">
        <f>AW182+各项系数!$L$9*$NM182</f>
        <v>3.8853424562917827</v>
      </c>
      <c r="AW182" s="197">
        <f>AX182*(1+$BJ182+各项系数!$J$5+各项系数!$L$5)</f>
        <v>3.8523479235493445</v>
      </c>
      <c r="AX182" s="197">
        <f t="shared" si="643"/>
        <v>3.7768116897542594</v>
      </c>
      <c r="AY182" s="196">
        <f>AZ182+各项系数!$M$9*$NS182</f>
        <v>4.0997980047303599</v>
      </c>
      <c r="AZ182" s="196">
        <f>BA182*(1+$BI182+(VLOOKUP($AM182,$A$12:$B$214,2,0))+各项系数!$J$6+各项系数!$M$5)*(1+$E$2)</f>
        <v>4.0640840929141895</v>
      </c>
      <c r="BA182" s="197">
        <f>BB182+各项系数!$L$9*$NS182</f>
        <v>4.1470245846063163</v>
      </c>
      <c r="BB182" s="197">
        <f>BC182*(1+$BJ182+各项系数!$J$5+各项系数!$L$5)</f>
        <v>4.1113106727901458</v>
      </c>
      <c r="BC182" s="199">
        <f t="shared" si="644"/>
        <v>4.0306967380295546</v>
      </c>
      <c r="BD182" s="196">
        <f>BE182+各项系数!$M$9*$NS182</f>
        <v>4.4761153946819014</v>
      </c>
      <c r="BE182" s="196">
        <f>BF182*(1+$BI182+(VLOOKUP($AM182,$A$12:$B$214,2,0))+各项系数!$J$6+各项系数!$M$5)*(1+$E$2)</f>
        <v>4.440401482865731</v>
      </c>
      <c r="BF182" s="197">
        <f>BG182+各项系数!$L$9*$NS182</f>
        <v>4.5310219212915621</v>
      </c>
      <c r="BG182" s="197">
        <f>BH182*(1+$BJ182+各项系数!$J$5+各项系数!$L$5)</f>
        <v>4.4953080094753917</v>
      </c>
      <c r="BH182" s="199">
        <f t="shared" si="645"/>
        <v>4.4071647151719526</v>
      </c>
      <c r="BI182" s="213"/>
      <c r="BJ182" s="411">
        <v>0</v>
      </c>
      <c r="BK182" s="102" t="s">
        <v>514</v>
      </c>
      <c r="BL182" s="196">
        <f>BM182+各项系数!$M$9*$NM182</f>
        <v>3.5601994244009041</v>
      </c>
      <c r="BM182" s="196">
        <f>BN182*(1+$CF182+(VLOOKUP($AM182,$A$12:$B$323,2,0))+各项系数!$J$6+各项系数!$M$5)*(1+$E$2)</f>
        <v>3.527204891658466</v>
      </c>
      <c r="BN182" s="197">
        <f>BO182+各项系数!$L$9*$NM182</f>
        <v>3.5991886649576186</v>
      </c>
      <c r="BO182" s="197">
        <f>BP182*(1+$CG182+各项系数!$J$5+各项系数!$L$5)</f>
        <v>3.5661941322151804</v>
      </c>
      <c r="BP182" s="197">
        <f t="shared" si="646"/>
        <v>3.4623244002089129</v>
      </c>
      <c r="BQ182" s="196">
        <f>BR182+各项系数!$M$9*$NM182</f>
        <v>3.8776428944679768</v>
      </c>
      <c r="BR182" s="196">
        <f>BS182*(1+$CF182+(VLOOKUP($AM182,$A$12:$B$323,2,0))+各项系数!$J$6+各项系数!$M$5)*(1+$E$2)</f>
        <v>3.8446483617255387</v>
      </c>
      <c r="BS182" s="197">
        <f>BT182+各项系数!$L$9*$NM182</f>
        <v>3.9231105731893252</v>
      </c>
      <c r="BT182" s="197">
        <f>BU182*(1+$CG182+各项系数!$J$5+各项系数!$L$5)</f>
        <v>3.8901160404468871</v>
      </c>
      <c r="BU182" s="197">
        <f t="shared" si="647"/>
        <v>3.7768116897542594</v>
      </c>
      <c r="BV182" s="196">
        <f>BW182+各项系数!$M$9*$NT182</f>
        <v>4.1685390388888939</v>
      </c>
      <c r="BW182" s="196">
        <f>BX182*(1+$CF182+(VLOOKUP($AM182,$A$12:$B$214,2,0))+各项系数!$J$6+各项系数!$M$5)*(1+$E$2)</f>
        <v>4.1328251270727234</v>
      </c>
      <c r="BX182" s="197">
        <f>BY182+各项系数!$L$9*$NT$12</f>
        <v>4.2171684970129828</v>
      </c>
      <c r="BY182" s="197">
        <f>BZ182*(1+$CG182+各项系数!$J$5+各项系数!$L$5)</f>
        <v>4.208905093858009</v>
      </c>
      <c r="BZ182" s="199">
        <f t="shared" si="586"/>
        <v>4.0863156251048629</v>
      </c>
      <c r="CA182" s="196">
        <f>CB182+各项系数!$M$9*$NT182</f>
        <v>4.4924041104026138</v>
      </c>
      <c r="CB182" s="196">
        <f>CC182*(1+$CF182+(VLOOKUP($AM182,$A$12:$B$214,2,0))+各项系数!$J$6+各项系数!$M$5)*(1+$E$2)</f>
        <v>4.4566901985864433</v>
      </c>
      <c r="CC182" s="197">
        <f>CD182+各项系数!$L$9*$NT$12</f>
        <v>4.5476430597820849</v>
      </c>
      <c r="CD182" s="197">
        <f>CE182*(1+$CG182+各项系数!$J$5+各项系数!$L$5)</f>
        <v>4.5393796566271112</v>
      </c>
      <c r="CE182" s="199">
        <f t="shared" si="648"/>
        <v>4.4071647151719526</v>
      </c>
      <c r="CF182" s="213">
        <f t="shared" si="753"/>
        <v>0</v>
      </c>
      <c r="CG182" s="213">
        <f t="shared" si="587"/>
        <v>0.01</v>
      </c>
      <c r="CH182" s="102"/>
      <c r="CI182" s="196">
        <f>CJ182+各项系数!$M$9*$NO182</f>
        <v>3.7787931037798028</v>
      </c>
      <c r="CJ182" s="196">
        <f>CK182*(1+$DC182+(VLOOKUP($AM182,$A$12:$B$323,2,0))+各项系数!$J$6+各项系数!$M$5)*(1+$E$2)+各项系数!$M$9*$NK182</f>
        <v>3.7395018456191833</v>
      </c>
      <c r="CK182" s="197">
        <f>CL182+各项系数!$L$9*$NO182</f>
        <v>3.782150319261985</v>
      </c>
      <c r="CL182" s="197">
        <f>CM182*(1+$DD182+各项系数!$J$5+各项系数!$L$5)</f>
        <v>3.7428590611013655</v>
      </c>
      <c r="CM182" s="197">
        <f t="shared" si="588"/>
        <v>3.6694696677464367</v>
      </c>
      <c r="CN182" s="196">
        <f>CO182+各项系数!$M$9*$NO182</f>
        <v>4.0607581525050902</v>
      </c>
      <c r="CO182" s="196">
        <f>CP182*(1+$DC182+(VLOOKUP($AM182,$A$12:$B$323,2,0))+各项系数!$J$6+各项系数!$M$5)*(1+$E$2)+各项系数!$M$9*$NK182</f>
        <v>4.0214668943444707</v>
      </c>
      <c r="CP182" s="197">
        <f>CQ182+各项系数!$L$9*$NO182</f>
        <v>4.0698697567367681</v>
      </c>
      <c r="CQ182" s="197">
        <f>CR182*(1+$DD182+各项系数!$J$5+各项系数!$L$5)</f>
        <v>4.0305784985761486</v>
      </c>
      <c r="CR182" s="197">
        <f t="shared" si="589"/>
        <v>3.951547547623675</v>
      </c>
      <c r="CS182" s="196">
        <f>CT182+各项系数!$M$9*$NU182</f>
        <v>4.4937298107488228</v>
      </c>
      <c r="CT182" s="196">
        <f t="shared" si="590"/>
        <v>4.4511906900567011</v>
      </c>
      <c r="CU182" s="197">
        <f>CV182+各项系数!$L$9*$NU182</f>
        <v>4.5420313163843886</v>
      </c>
      <c r="CV182" s="197">
        <f>CW182*(1+$DD182+各项系数!$J$5+各项系数!$L$5)</f>
        <v>4.4994921956922669</v>
      </c>
      <c r="CW182" s="199">
        <f t="shared" si="591"/>
        <v>4.41126685852183</v>
      </c>
      <c r="CX182" s="196">
        <f>CY182+各项系数!$M$9*$NU182</f>
        <v>4.9288609835974171</v>
      </c>
      <c r="CY182" s="196">
        <f t="shared" si="592"/>
        <v>4.8863218629052954</v>
      </c>
      <c r="CZ182" s="197">
        <f>DA182+各项系数!$L$9*$NU182</f>
        <v>4.9860427172503012</v>
      </c>
      <c r="DA182" s="197">
        <f>DB182*(1+$DD182+各项系数!$J$5+各项系数!$L$5)</f>
        <v>4.9435035965581795</v>
      </c>
      <c r="DB182" s="199">
        <f t="shared" si="593"/>
        <v>4.8465721534884114</v>
      </c>
      <c r="DC182" s="213">
        <f t="shared" si="803"/>
        <v>0</v>
      </c>
      <c r="DD182" s="213">
        <f t="shared" si="594"/>
        <v>0</v>
      </c>
      <c r="DE182" s="53" t="s">
        <v>498</v>
      </c>
      <c r="DF182" s="53" t="s">
        <v>513</v>
      </c>
      <c r="DG182" s="196">
        <f>DH182+各项系数!$M$9*$NQ182</f>
        <v>3.8785566910028875</v>
      </c>
      <c r="DH182" s="196">
        <f>DI182*(1+$EA182+(VLOOKUP($AM182,$A$12:$B$323,2,0))+各项系数!$J$6+各项系数!$M$5)*(1+$E$2)+各项系数!$M$9*$NK182</f>
        <v>3.839265432842268</v>
      </c>
      <c r="DI182" s="197">
        <f>DJ182+各项系数!$L$9*$NQ182</f>
        <v>3.8839498980610507</v>
      </c>
      <c r="DJ182" s="197">
        <f>DK182*(1+$EB182+各项系数!$J$5+各项系数!$L$5)</f>
        <v>3.8446586399004312</v>
      </c>
      <c r="DK182" s="197">
        <f t="shared" si="595"/>
        <v>3.7326782911654672</v>
      </c>
      <c r="DL182" s="196">
        <f>DM182+各项系数!$M$9*$NQ182</f>
        <v>4.2466162912636749</v>
      </c>
      <c r="DM182" s="196">
        <f>DN182*(1+$EA182+(VLOOKUP($AM182,$A$12:$B$323,2,0))+各项系数!$J$6+各项系数!$M$5)*(1+$E$2)+各项系数!$M$9*$NK182</f>
        <v>4.2073250331030554</v>
      </c>
      <c r="DN182" s="197">
        <f>DO182+各项系数!$L$9*$NQ182</f>
        <v>4.2595209187353236</v>
      </c>
      <c r="DO182" s="197">
        <f>DP182*(1+$EB182+各项系数!$J$5+各项系数!$L$5)</f>
        <v>4.2202296605747041</v>
      </c>
      <c r="DP182" s="197">
        <f t="shared" si="596"/>
        <v>4.0973103500725285</v>
      </c>
      <c r="DQ182" s="196">
        <f>DR182+各项系数!$M$9*$NV182</f>
        <v>4.6018761889941677</v>
      </c>
      <c r="DR182" s="196">
        <f t="shared" si="597"/>
        <v>4.559337068302046</v>
      </c>
      <c r="DS182" s="197">
        <f>DT182+各项系数!$L$9*$NV182</f>
        <v>4.652384763573516</v>
      </c>
      <c r="DT182" s="197">
        <f>DU182*(1+$EB182+各项系数!$J$5+各项系数!$L$5)</f>
        <v>4.6098456428813943</v>
      </c>
      <c r="DU182" s="199">
        <f t="shared" si="598"/>
        <v>4.4755782940596056</v>
      </c>
      <c r="DV182" s="196">
        <f>DW182+各项系数!$M$9*$NV182</f>
        <v>4.8073699567539983</v>
      </c>
      <c r="DW182" s="196">
        <f t="shared" si="599"/>
        <v>4.7648308360618765</v>
      </c>
      <c r="DX182" s="197">
        <f>DY182+各项系数!$L$9*$NV182</f>
        <v>4.8620722816957924</v>
      </c>
      <c r="DY182" s="197">
        <f>DZ182*(1+$EB182+各项系数!$J$5+各项系数!$L$5)</f>
        <v>4.8195331610036707</v>
      </c>
      <c r="DZ182" s="199">
        <f t="shared" si="600"/>
        <v>4.6791584087414275</v>
      </c>
      <c r="EA182" s="213">
        <f t="shared" si="802"/>
        <v>0</v>
      </c>
      <c r="EB182" s="213">
        <f t="shared" si="601"/>
        <v>0.01</v>
      </c>
      <c r="EC182" s="235">
        <f t="shared" si="649"/>
        <v>2</v>
      </c>
      <c r="ED182" s="235" t="str">
        <f t="shared" si="756"/>
        <v>2*2.5</v>
      </c>
      <c r="EE182" s="189">
        <f t="shared" si="812"/>
        <v>2.5</v>
      </c>
      <c r="EF182" s="189">
        <f>LOOKUP(EH182,{1,7,10,14,19,24,30,37,48,61},{1,"1+6","2+8","4+10","1+6+12","2+8+14","4+10+16","1+6+12+18","3+9+15+21","1+6+12+18+24"})</f>
        <v>1</v>
      </c>
      <c r="EG182" s="188">
        <f t="shared" si="602"/>
        <v>2</v>
      </c>
      <c r="EH182" s="197">
        <f>VLOOKUP(EE182,各项系数!$B$87:$C$124,2,0)</f>
        <v>1</v>
      </c>
      <c r="EI182" s="188">
        <f>IF(EH182=0,0,VLOOKUP(EH182,各项系数!$D$142:$E$195,2,0))*1</f>
        <v>1</v>
      </c>
      <c r="EJ182" s="238">
        <f t="shared" si="650"/>
        <v>172.412400708262</v>
      </c>
      <c r="EK182" s="189">
        <f t="shared" si="813"/>
        <v>0</v>
      </c>
      <c r="EL182" s="189">
        <f t="shared" si="603"/>
        <v>0</v>
      </c>
      <c r="EM182" s="189">
        <f t="shared" si="814"/>
        <v>0</v>
      </c>
      <c r="EN182" s="189">
        <f>IF(EP182=0,0,LOOKUP(EP182,{1,7,10,14,19,24,30,37,48,61},{1,"1+6","2+8","4+10","1+6+12","2+8+14","4+10+16","1+6+12+18","3+9+15+21","1+6+12+18+24"}))</f>
        <v>0</v>
      </c>
      <c r="EO182" s="189">
        <f t="shared" si="815"/>
        <v>0</v>
      </c>
      <c r="EP182" s="189">
        <f>IF(EM182=0,0,IF(EM182&lt;10,1,IF(AND(EM182&gt;=10,EM182&lt;=35),7,LOOKUP(EM182,{50,70,95,120,150,185,240,300},{10,14,19,24,30,37,48,61})*1)))</f>
        <v>0</v>
      </c>
      <c r="EQ182" s="189">
        <f>IF(EP182=0,0,VLOOKUP(EP182,各项系数!$D$142:$E$195,2,0))*1</f>
        <v>0</v>
      </c>
      <c r="ER182" s="53">
        <f t="shared" si="816"/>
        <v>0</v>
      </c>
      <c r="ES182" s="412">
        <f t="shared" si="817"/>
        <v>2</v>
      </c>
      <c r="ET182" s="189">
        <f>VLOOKUP(ES182,各项系数!$D$142:$E$195,2,0)*1</f>
        <v>2</v>
      </c>
      <c r="EU182" s="243">
        <f>((各项系数!$F$76/4*$EJ182^2*$EG182*$EH182*1*10^-7)*(1-$H182)*AA182)*(VLOOKUP($EY$9,各项系数!$D$4:$F$143,3,0))*各项系数!$J$4</f>
        <v>4.1303011377805829E-2</v>
      </c>
      <c r="EV182" s="244">
        <f>EU182*(VLOOKUP($EY$9,各项系数!$D$4:$F$143,2,0))</f>
        <v>2.7053472452462817</v>
      </c>
      <c r="EW182" s="252">
        <f>(IF($EO182=0,0,(各项系数!$F$76/4*$ER182^2*$EO182*$EP182*1*10^-7))*(1-$K182)*$AF182)*(VLOOKUP($EY$9,各项系数!$D$4:$F$143,3,0))*各项系数!$J$4</f>
        <v>0</v>
      </c>
      <c r="EX182" s="253">
        <f>EW182*(VLOOKUP($EY$9,各项系数!$D$4:$F$143,2,0))</f>
        <v>0</v>
      </c>
      <c r="EY182" s="189">
        <f>((各项系数!$F$76/4*$EJ182^2*$EG182*$EH182*1*10^-7)*(1-$H182)*AA182+IF($EO182=0,0,(各项系数!$F$76/4*$ER182^2*$EO182*$EP182*1*10^-7))*(1-$K182)*$AF182)*(VLOOKUP($EY$9,各项系数!$D$4:$F$143,3,0))*各项系数!$J$4</f>
        <v>4.1303011377805829E-2</v>
      </c>
      <c r="EZ182" s="102">
        <v>1</v>
      </c>
      <c r="FA182" s="189">
        <f t="shared" si="757"/>
        <v>4.1303011377805829E-2</v>
      </c>
      <c r="FB182" s="254">
        <f>FA182*(VLOOKUP($EY$9,各项系数!$D$4:$F$143,2,0))</f>
        <v>2.7053472452462817</v>
      </c>
      <c r="FC182" s="255"/>
      <c r="FD182" s="235">
        <f>各项系数!$F$76/4*($MN182^2-MK182^2)*10^-2*(VLOOKUP(L182,各项系数!$D$1:$F$143,3,0))*10^-3*10^2*$EG182*各项系数!$J$4</f>
        <v>1.166939948066292E-2</v>
      </c>
      <c r="FE182" s="262">
        <f>FD182*VLOOKUP(L182,各项系数!$D$1:$F$143,2,0)</f>
        <v>0.13419809402762359</v>
      </c>
      <c r="FF182" s="188">
        <f>各项系数!$F$76/4*($MO182^2-ML182^2)*10^-2*(VLOOKUP(L182,各项系数!$D$1:$F$143,3,0))*10^-3*10^2*$EO182*各项系数!$J$4</f>
        <v>0</v>
      </c>
      <c r="FG182" s="262">
        <f>FF182*VLOOKUP(L182,各项系数!$D$1:$F$143,2,0)</f>
        <v>0</v>
      </c>
      <c r="FH182" s="235">
        <f t="shared" si="651"/>
        <v>1.166939948066292E-2</v>
      </c>
      <c r="FI182" s="102">
        <v>1</v>
      </c>
      <c r="FJ182" s="189">
        <f t="shared" si="758"/>
        <v>1.166939948066292E-2</v>
      </c>
      <c r="FK182" s="262">
        <f>FJ182*VLOOKUP(L182,各项系数!$D$1:$F$143,2,0)</f>
        <v>0.13419809402762359</v>
      </c>
      <c r="FL182" s="235"/>
      <c r="FM182" s="102"/>
      <c r="FN182" s="189"/>
      <c r="FO182" s="262"/>
      <c r="FP182" s="282">
        <f t="shared" si="759"/>
        <v>1.166939948066292E-2</v>
      </c>
      <c r="FQ182" s="282">
        <f t="shared" si="760"/>
        <v>0.13419809402762359</v>
      </c>
      <c r="FR182" s="283">
        <f>各项系数!$F$76/4*($MQ182^2-$MN182^2*$EG182-$MO182^2*$EO182)*10^-2</f>
        <v>0.15331209072505864</v>
      </c>
      <c r="FS182" s="284">
        <f t="shared" si="652"/>
        <v>0.05</v>
      </c>
      <c r="FT182" s="285">
        <f t="shared" si="604"/>
        <v>7.6656045362529322E-3</v>
      </c>
      <c r="FU182" s="302">
        <f>$FT182*(VLOOKUP($FT$9,各项系数!$D$1:$F$143,3,0))*10^-3*10^2*各项系数!$J$55</f>
        <v>9.1527318162860005E-4</v>
      </c>
      <c r="FV182" s="303">
        <v>1</v>
      </c>
      <c r="FW182" s="304">
        <f t="shared" si="761"/>
        <v>9.1527318162860005E-4</v>
      </c>
      <c r="FX182" s="285">
        <f>FW182*(VLOOKUP($FT$9,各项系数!$D$1:$F$143,2,0))</f>
        <v>2.7458195448858001E-3</v>
      </c>
      <c r="FY182" s="302">
        <f>IF($BK182&lt;&gt;$FY$9,0,各项系数!$F$76/4*($MS182^2-$MQ182^2)*10^-2*(VLOOKUP($FY$9,各项系数!$D$1:$F$143,3,0))*10^-3*10^2)*各项系数!$J$4</f>
        <v>0</v>
      </c>
      <c r="FZ182" s="303">
        <v>1</v>
      </c>
      <c r="GA182" s="304">
        <f t="shared" si="762"/>
        <v>0</v>
      </c>
      <c r="GB182" s="285">
        <f>GA182*(VLOOKUP($FY$9,各项系数!$D$1:$F$143,2,0))</f>
        <v>0</v>
      </c>
      <c r="GC182" s="302">
        <f>IF($BK182&lt;&gt;$GC$9,0,各项系数!$F$76/4*($MS182^2-$MQ182^2)*10^-2*(VLOOKUP($GC$9,各项系数!$D$1:$F$143,3,0))*10^-3*10^2)*各项系数!$J$4</f>
        <v>1.5780168114668792E-3</v>
      </c>
      <c r="GD182" s="303">
        <v>1</v>
      </c>
      <c r="GE182" s="304">
        <f t="shared" si="763"/>
        <v>1.5780168114668792E-3</v>
      </c>
      <c r="GF182" s="285">
        <f>GE182*(VLOOKUP($GC$9,各项系数!$D$1:$F$143,2,0))</f>
        <v>2.0356416867922743E-2</v>
      </c>
      <c r="GG182" s="302">
        <f>IF($BK182&lt;&gt;$GG$9,0,各项系数!$F$76/4*($MS182^2-$MQ182^2)*10^-2*(VLOOKUP($GG$9,各项系数!$D$1:$F$143,3,0))*10^-3*10^2)*各项系数!$J$4</f>
        <v>0</v>
      </c>
      <c r="GH182" s="303">
        <v>1</v>
      </c>
      <c r="GI182" s="304">
        <f t="shared" si="764"/>
        <v>0</v>
      </c>
      <c r="GJ182" s="285">
        <f>GI182*(VLOOKUP($GG$9,各项系数!$D$1:$F$143,2,0))</f>
        <v>0</v>
      </c>
      <c r="GK182" s="302">
        <f>IF($BK182&lt;&gt;$GK$9,0,各项系数!$F$76/4*($MS182^2-$MQ182^2)*10^-2*(VLOOKUP($GK$9,各项系数!$D$1:$F$143,3,0))*10^-3*10^2)*各项系数!$J$4</f>
        <v>0</v>
      </c>
      <c r="GL182" s="303">
        <v>1</v>
      </c>
      <c r="GM182" s="304">
        <f t="shared" si="765"/>
        <v>0</v>
      </c>
      <c r="GN182" s="285">
        <f>GM182*(VLOOKUP($GK$9,各项系数!$D$1:$F$143,2,0))</f>
        <v>0</v>
      </c>
      <c r="GO182" s="304">
        <f t="shared" si="766"/>
        <v>1.5780168114668792E-3</v>
      </c>
      <c r="GP182" s="304">
        <f t="shared" si="767"/>
        <v>2.0356416867922743E-2</v>
      </c>
      <c r="GQ182" s="315">
        <f>各项系数!$F$76/4*($MU182^2-$MS182^2)*10^-2*(VLOOKUP($S182,各项系数!$D$1:$F$143,3,0))*10^-3*10^2*各项系数!$J$4</f>
        <v>0.10280428791483191</v>
      </c>
      <c r="GR182" s="303">
        <v>1</v>
      </c>
      <c r="GS182" s="304">
        <f t="shared" si="768"/>
        <v>0.10280428791483191</v>
      </c>
      <c r="GT182" s="304">
        <f t="shared" si="696"/>
        <v>1</v>
      </c>
      <c r="GU182" s="304">
        <f>ROUND($GS182*(VLOOKUP($S182,各项系数!$D$1:$F$143,2,0))+$E$3*GS182,GT182)</f>
        <v>0.6</v>
      </c>
      <c r="GV182" s="315">
        <f>各项系数!$F$76/4*($MT182^2-$MS182^2)*10^-2*(VLOOKUP($GV$9,各项系数!$D$1:$F$143,3,0))*10^-3*10^2*各项系数!$J$4*PI()/4*R182</f>
        <v>9.0645969124407266E-3</v>
      </c>
      <c r="GW182" s="303">
        <v>1</v>
      </c>
      <c r="GX182" s="304">
        <f t="shared" si="769"/>
        <v>9.0645969124407266E-3</v>
      </c>
      <c r="GY182" s="304">
        <f>$GX182*(VLOOKUP($GV$9,各项系数!$D$1:$F$143,2,0))</f>
        <v>0.61186029158974908</v>
      </c>
      <c r="GZ182" s="315">
        <f>各项系数!$F$76/4*($MV182^2-$MS182^2)*10^-2*(VLOOKUP($GZ$9,各项系数!$D$1:$F$143,3,0))*10^-3*10^2*各项系数!$J$4</f>
        <v>5.377435965103209E-2</v>
      </c>
      <c r="HA182" s="303">
        <v>1</v>
      </c>
      <c r="HB182" s="304">
        <f t="shared" si="653"/>
        <v>5.377435965103209E-2</v>
      </c>
      <c r="HC182" s="304">
        <f>HB182*(VLOOKUP($GZ$9,各项系数!$D$1:$F$143,2,0))</f>
        <v>0.9141641140675455</v>
      </c>
      <c r="HD182" s="315">
        <f>各项系数!$F$76/4*($MW182^2-$MT182^2)*10^-2*(VLOOKUP($HD$9,各项系数!$D$1:$F$143,3,0))*10^-3*10^2*各项系数!$J$4</f>
        <v>5.4862167523264095E-2</v>
      </c>
      <c r="HE182" s="303">
        <v>1</v>
      </c>
      <c r="HF182" s="304">
        <f t="shared" si="654"/>
        <v>5.4862167523264095E-2</v>
      </c>
      <c r="HG182" s="304">
        <f>HF182*(VLOOKUP($HD$9,各项系数!$D$1:$F$143,2,0))</f>
        <v>0.93265684789548964</v>
      </c>
      <c r="HH182" s="315">
        <f>各项系数!$F$76/4*($MV182^2-$MS182^2)*10^-2*(VLOOKUP($HH$9,各项系数!$D$1:$F$143,3,0))*10^-3*10^2*各项系数!$J$4</f>
        <v>5.377435965103209E-2</v>
      </c>
      <c r="HI182" s="322">
        <v>1</v>
      </c>
      <c r="HJ182" s="304">
        <f t="shared" si="655"/>
        <v>5.377435965103209E-2</v>
      </c>
      <c r="HK182" s="304">
        <f>HJ182*(VLOOKUP($HH$9,各项系数!$D$1:$F$143,2,0))</f>
        <v>0.9141641140675455</v>
      </c>
      <c r="HL182" s="315">
        <f>各项系数!$F$76/4*($MW182^2-$MT182^2)*10^-2*(VLOOKUP($HL$9,各项系数!$D$1:$F$143,3,0))*10^-3*10^2*各项系数!$J$4</f>
        <v>5.4862167523264095E-2</v>
      </c>
      <c r="HM182" s="322">
        <v>1</v>
      </c>
      <c r="HN182" s="304">
        <f t="shared" si="605"/>
        <v>5.4862167523264095E-2</v>
      </c>
      <c r="HO182" s="304">
        <f>HN182*(VLOOKUP($HL$9,各项系数!$D$1:$F$143,2,0))</f>
        <v>0.93265684789548964</v>
      </c>
      <c r="HP182" s="315">
        <f>各项系数!$F$76/4*($MV182^2-$MS182^2)*10^-2*(VLOOKUP(AN182,各项系数!$D$1:$F$143,3,0))*10^-3*10^2*各项系数!$J$4</f>
        <v>5.4516074956563569E-2</v>
      </c>
      <c r="HQ182" s="303">
        <v>1</v>
      </c>
      <c r="HR182" s="304">
        <f t="shared" si="770"/>
        <v>5.4516074956563569E-2</v>
      </c>
      <c r="HS182" s="304">
        <f>HR182*(VLOOKUP(AN182,各项系数!$D$1:$F$143,2,0))</f>
        <v>0.54516074956563565</v>
      </c>
      <c r="HT182" s="315">
        <f>各项系数!$F$76/4*($MW182^2-$MT182^2)*10^-2*(VLOOKUP(AN182,各项系数!$D$1:$F$143,3,0))*10^-3*10^2*各项系数!$J$4</f>
        <v>5.5618887075309112E-2</v>
      </c>
      <c r="HU182" s="303">
        <v>1</v>
      </c>
      <c r="HV182" s="304">
        <f t="shared" si="771"/>
        <v>5.5618887075309112E-2</v>
      </c>
      <c r="HW182" s="304">
        <f>HV182*(VLOOKUP(AN182,各项系数!$D$1:$F$143,2,0))</f>
        <v>0.55618887075309109</v>
      </c>
      <c r="HX182" s="315">
        <f>各项系数!$F$76/4*($MV182^2-$MS182^2)*10^-2*(VLOOKUP($HX$9,各项系数!$D$1:$F$143,3,0))*10^-3*10^2*各项系数!$J$4</f>
        <v>5.4516074956563569E-2</v>
      </c>
      <c r="HY182" s="322">
        <v>1</v>
      </c>
      <c r="HZ182" s="304">
        <f t="shared" si="772"/>
        <v>5.4516074956563569E-2</v>
      </c>
      <c r="IA182" s="304">
        <f>HZ182*(VLOOKUP($HX$9,各项系数!$D$1:$F$143,2,0))</f>
        <v>0.59967682452219928</v>
      </c>
      <c r="IB182" s="315">
        <f>各项系数!$F$76/4*($MW182^2-$MT182^2)*10^-2*(VLOOKUP($IB$9,各项系数!$D$1:$F$143,3,0))*10^-3*10^2*各项系数!$J$4</f>
        <v>5.5618887075309112E-2</v>
      </c>
      <c r="IC182" s="322">
        <v>1</v>
      </c>
      <c r="ID182" s="304">
        <f t="shared" si="773"/>
        <v>5.5618887075309112E-2</v>
      </c>
      <c r="IE182" s="304">
        <f>ID182*(VLOOKUP($IB$9,各项系数!$D$1:$F$143,2,0))</f>
        <v>0.61180775782840024</v>
      </c>
      <c r="IF182" s="328"/>
      <c r="IG182" s="315">
        <f t="shared" si="656"/>
        <v>5.6944604287546777E-3</v>
      </c>
      <c r="IH182" s="303">
        <v>1</v>
      </c>
      <c r="II182" s="304">
        <f t="shared" si="774"/>
        <v>5.6944604287546777E-3</v>
      </c>
      <c r="IJ182" s="304">
        <f>II182*(VLOOKUP($IG$8,各项系数!$D$1:$F$143,2,0))</f>
        <v>0.14236151071886693</v>
      </c>
      <c r="IK182" s="315">
        <f>(各项系数!$F$76/4*($MX182^2-$MK182^2)*$EG182)*10^-2*(VLOOKUP($IG$8,各项系数!$D$1:$F$143,3,0))*10^-3*10^2*各项系数!$J$4</f>
        <v>5.6944604287546777E-3</v>
      </c>
      <c r="IL182" s="303">
        <f>IK182*(VLOOKUP($IG$8,各项系数!$D$1:$F$143,2,0))</f>
        <v>0.14236151071886693</v>
      </c>
      <c r="IM182" s="304">
        <f>(各项系数!$F$76/4*(($MM182+3*$X182)^2-MM182^2)*$EO182)*10^-2*(VLOOKUP($IG$8,各项系数!$D$1:$F$143,3,0))*10^-3*10^2*各项系数!$J$4</f>
        <v>0</v>
      </c>
      <c r="IN182" s="303">
        <f>IM182*(VLOOKUP($IG$8,各项系数!$D$1:$F$143,2,0))</f>
        <v>0</v>
      </c>
      <c r="IO182" s="315">
        <f>各项系数!$F$76/4*($MZ182^2-$MX182^2)*10^-2*(VLOOKUP(L182,各项系数!$D$1:$F$143,3,0))*10^-3*10^2*$ES182*各项系数!$J$4</f>
        <v>1.4557716934520305E-2</v>
      </c>
      <c r="IP182" s="303">
        <v>1</v>
      </c>
      <c r="IQ182" s="304">
        <f t="shared" si="775"/>
        <v>1.4557716934520305E-2</v>
      </c>
      <c r="IR182" s="285">
        <f>IQ182*(VLOOKUP(L182,各项系数!$D$1:$F$143,2,0))</f>
        <v>0.16741374474698351</v>
      </c>
      <c r="IS182" s="315">
        <f>IF($L182&lt;&gt;$IS$9,0,各项系数!$F$76/4*($MZ182^2-$MX182^2)*10^-2*各项系数!$F$12*10^-3*10^2)*$ES182*各项系数!$J$4</f>
        <v>0</v>
      </c>
      <c r="IT182" s="303">
        <v>1</v>
      </c>
      <c r="IU182" s="304">
        <f t="shared" si="776"/>
        <v>0</v>
      </c>
      <c r="IV182" s="285">
        <f>IU182*各项系数!$E$12</f>
        <v>0</v>
      </c>
      <c r="IW182" s="302">
        <f t="shared" si="777"/>
        <v>1.4557716934520305E-2</v>
      </c>
      <c r="IX182" s="302">
        <f t="shared" si="778"/>
        <v>0.16741374474698351</v>
      </c>
      <c r="IY182" s="339">
        <f>各项系数!$F$76/4*($NB182^2-$MZ182^2*$EG182-$NA182^2*$EO182)*10^-2</f>
        <v>0.21785530773383721</v>
      </c>
      <c r="IZ182" s="284">
        <f t="shared" si="697"/>
        <v>0.05</v>
      </c>
      <c r="JA182" s="285">
        <f t="shared" si="606"/>
        <v>1.0892765386691861E-2</v>
      </c>
      <c r="JB182" s="282">
        <f>IF($DE182&lt;&gt;$JB$9,0,$JA182*各项系数!$F$32*10^-3*10^2)*各项系数!$J$4</f>
        <v>0</v>
      </c>
      <c r="JC182" s="102">
        <v>1</v>
      </c>
      <c r="JD182" s="189">
        <f t="shared" si="779"/>
        <v>0</v>
      </c>
      <c r="JE182" s="262">
        <f>JD182*各项系数!$E$32</f>
        <v>0</v>
      </c>
      <c r="JF182" s="282">
        <f>IF($DE182&lt;&gt;$JF$9,0,$JA182*VLOOKUP($JF$9,各项系数!$D$4:$F$540,2,0)*10^-3*10^2)*各项系数!$J$4</f>
        <v>5.4191507798792013E-3</v>
      </c>
      <c r="JG182" s="102">
        <v>1</v>
      </c>
      <c r="JH182" s="189">
        <f t="shared" si="607"/>
        <v>5.4191507798792013E-3</v>
      </c>
      <c r="JI182" s="262">
        <f>JH182*VLOOKUP($JF$9,各项系数!$D$4:$F$540,3,0)</f>
        <v>6.5029809358550413E-3</v>
      </c>
      <c r="JJ182" s="282">
        <f t="shared" si="780"/>
        <v>5.4191507798792013E-3</v>
      </c>
      <c r="JK182" s="189">
        <f t="shared" si="781"/>
        <v>6.5029809358550413E-3</v>
      </c>
      <c r="JL182" s="282">
        <f>IF($DF182&lt;&gt;$JL$9,0,各项系数!$F$76/4*($NE182^2-$NC182^2)*10^-2*各项系数!$F$39*10^-3*10^2)*各项系数!$J$4</f>
        <v>7.8789759540711019E-4</v>
      </c>
      <c r="JM182" s="102">
        <v>1</v>
      </c>
      <c r="JN182" s="189">
        <f t="shared" si="782"/>
        <v>7.8789759540711019E-4</v>
      </c>
      <c r="JO182" s="262">
        <f>JN182*各项系数!$E$39</f>
        <v>1.5757951908142203E-2</v>
      </c>
      <c r="JP182" s="282">
        <f>IF($DF182&lt;&gt;$JP$9,0,各项系数!$F$76/4*($NE182^2-$NC182^2)*10^-2*各项系数!$F$36*10^-3*10^2)*各项系数!$J$4</f>
        <v>0</v>
      </c>
      <c r="JQ182" s="102">
        <v>1</v>
      </c>
      <c r="JR182" s="189">
        <f t="shared" si="783"/>
        <v>0</v>
      </c>
      <c r="JS182" s="262">
        <f>JR182*各项系数!$E$36</f>
        <v>0</v>
      </c>
      <c r="JT182" s="282">
        <f>IF($DF182&lt;&gt;$JT$9,0,各项系数!$F$76/4*($NE182^2-$NC182^2)*10^-2*各项系数!$F$40*10^-3*10^2)*各项系数!$J$4</f>
        <v>0</v>
      </c>
      <c r="JU182" s="102">
        <v>1</v>
      </c>
      <c r="JV182" s="189">
        <f t="shared" si="784"/>
        <v>0</v>
      </c>
      <c r="JW182" s="262">
        <f>JV182*各项系数!$E$40</f>
        <v>0</v>
      </c>
      <c r="JX182" s="282">
        <f>IF($DF182&lt;&gt;$JX$9,0,各项系数!$F$76/4*($NE182^2-$NC182^2)*10^-2*各项系数!$F$38*10^-3*10^2)*各项系数!$J$4</f>
        <v>0</v>
      </c>
      <c r="JY182" s="102">
        <v>1</v>
      </c>
      <c r="JZ182" s="189">
        <f t="shared" si="785"/>
        <v>0</v>
      </c>
      <c r="KA182" s="262">
        <f>JZ182*各项系数!$E$38</f>
        <v>0</v>
      </c>
      <c r="KB182" s="282">
        <f>IF($DF182&lt;&gt;$KB$9,0,各项系数!$F$76/4*($NE182^2-$NC182^2)*10^-2*各项系数!$F$41*10^-3*10^2)*各项系数!$J$4</f>
        <v>0</v>
      </c>
      <c r="KC182" s="102">
        <v>1</v>
      </c>
      <c r="KD182" s="189">
        <f t="shared" si="786"/>
        <v>0</v>
      </c>
      <c r="KE182" s="262">
        <f>KD182*各项系数!$E$41</f>
        <v>0</v>
      </c>
      <c r="KF182" s="189">
        <f t="shared" si="787"/>
        <v>7.8789759540711019E-4</v>
      </c>
      <c r="KG182" s="189">
        <f t="shared" si="788"/>
        <v>1.5757951908142203E-2</v>
      </c>
      <c r="KH182" s="235">
        <f>各项系数!$F$76/4*($NG182^2-$NE182^2)*10^-2*各项系数!$F$44*10^-3*10^2*各项系数!$J$4*0.75*$U182</f>
        <v>0.36390325474571494</v>
      </c>
      <c r="KI182" s="102">
        <v>1</v>
      </c>
      <c r="KJ182" s="189">
        <f t="shared" si="789"/>
        <v>0.36390325474571494</v>
      </c>
      <c r="KK182" s="189">
        <f>ROUND(KJ182*各项系数!$E$43,GT182)</f>
        <v>2.1</v>
      </c>
      <c r="KL182" s="235">
        <f>各项系数!$F$76/4*($NF182^2-$NE182^2)*10^-2*各项系数!$F$46*10^-3*10^2*各项系数!$J$4*PI()/4*R182</f>
        <v>1.082620843833982E-2</v>
      </c>
      <c r="KM182" s="102">
        <v>1</v>
      </c>
      <c r="KN182" s="189">
        <f t="shared" si="790"/>
        <v>1.082620843833982E-2</v>
      </c>
      <c r="KO182" s="189">
        <f>KN182*各项系数!$E$46</f>
        <v>0.73076906958793786</v>
      </c>
      <c r="KP182" s="235">
        <f>各项系数!$F$76/4*($NH182^2-$NE182^2)*10^-2*(VLOOKUP($KP$9,各项系数!$D$1:$F$143,3,0))*10^-3*10^2*各项系数!$J$4</f>
        <v>6.2348642148023492E-2</v>
      </c>
      <c r="KQ182" s="102">
        <v>1</v>
      </c>
      <c r="KR182" s="189">
        <f t="shared" si="657"/>
        <v>6.2348642148023492E-2</v>
      </c>
      <c r="KS182" s="189">
        <f>KR182*(VLOOKUP($KP$9,各项系数!$D$1:$F$143,2,0))</f>
        <v>1.0599269165163994</v>
      </c>
      <c r="KT182" s="235">
        <f>各项系数!$F$76/4*($NI182^2-$NF182^2)*10^-2*(VLOOKUP($KT$9,各项系数!$D$1:$F$143,3,0))*10^-3*10^2*各项系数!$J$4</f>
        <v>6.3436450020255497E-2</v>
      </c>
      <c r="KU182" s="102">
        <v>1</v>
      </c>
      <c r="KV182" s="189">
        <f t="shared" si="658"/>
        <v>6.3436450020255497E-2</v>
      </c>
      <c r="KW182" s="189">
        <f>KV182*(VLOOKUP($KT$9,各项系数!$D$1:$F$143,2,0))</f>
        <v>1.0784196503443435</v>
      </c>
      <c r="KX182" s="189">
        <f>各项系数!$F$76/4*($NH182^2-$NE182^2)*10^-2*(VLOOKUP($KX$9,各项系数!$D$1:$F$143,3,0))*10^-3*10^2*各项系数!$J$4</f>
        <v>6.2348642148023492E-2</v>
      </c>
      <c r="KY182" s="353">
        <v>1</v>
      </c>
      <c r="KZ182" s="189">
        <f t="shared" si="659"/>
        <v>6.2348642148023492E-2</v>
      </c>
      <c r="LA182" s="189">
        <f>KZ182*(VLOOKUP($KX$9,各项系数!$D$1:$F$143,2,0))</f>
        <v>1.0599269165163994</v>
      </c>
      <c r="LB182" s="189">
        <f>各项系数!$F$76/4*($NI182^2-$NF182^2)*10^-2*(VLOOKUP($LB$9,各项系数!$D$1:$F$143,3,0))*10^-3*10^2*各项系数!$J$4</f>
        <v>6.3436450020255497E-2</v>
      </c>
      <c r="LC182" s="353">
        <v>1</v>
      </c>
      <c r="LD182" s="189">
        <f t="shared" si="660"/>
        <v>6.3436450020255497E-2</v>
      </c>
      <c r="LE182" s="189">
        <f>LD182*(VLOOKUP($LB$9,各项系数!$D$1:$F$143,2,0))</f>
        <v>1.0784196503443435</v>
      </c>
      <c r="LF182" s="235">
        <f>各项系数!$F$76/4*($NH182^2-$NE182^2)*10^-2*(VLOOKUP(AN182,各项系数!$D$1:$F$143,3,0))*10^-3*10^2*各项系数!$J$4</f>
        <v>6.3208623419030718E-2</v>
      </c>
      <c r="LG182" s="102">
        <v>1</v>
      </c>
      <c r="LH182" s="189">
        <f t="shared" si="791"/>
        <v>6.3208623419030718E-2</v>
      </c>
      <c r="LI182" s="189">
        <f>LH182*(VLOOKUP(AN182,各项系数!$D$1:$F$143,2,0))</f>
        <v>0.63208623419030718</v>
      </c>
      <c r="LJ182" s="235">
        <f>各项系数!$F$76/4*($NI182^2-$NF182^2)*10^-2*(VLOOKUP(AN182,各项系数!$D$1:$F$143,3,0))*10^-3*10^2*各项系数!$J$4</f>
        <v>6.4311435537776254E-2</v>
      </c>
      <c r="LK182" s="102">
        <v>1</v>
      </c>
      <c r="LL182" s="189">
        <f t="shared" si="792"/>
        <v>6.4311435537776254E-2</v>
      </c>
      <c r="LM182" s="189">
        <f>LL182*(VLOOKUP(AN182,各项系数!$D$1:$F$143,2,0))</f>
        <v>0.64311435537776251</v>
      </c>
      <c r="LN182" s="189">
        <f>各项系数!$F$76/4*($NH182^2-$NE182^2)*10^-2*(VLOOKUP($LN$9,各项系数!$D$1:$F$143,3,0))*10^-3*10^2*各项系数!$J$4</f>
        <v>6.3208623419030718E-2</v>
      </c>
      <c r="LO182" s="353">
        <v>1</v>
      </c>
      <c r="LP182" s="189">
        <f t="shared" si="793"/>
        <v>6.3208623419030718E-2</v>
      </c>
      <c r="LQ182" s="189">
        <f>LP182*(VLOOKUP($LN$9,各项系数!$D$1:$F$143,2,0))</f>
        <v>0.69529485760933785</v>
      </c>
      <c r="LR182" s="189">
        <f>各项系数!$F$76/4*($NI182^2-$NF182^2)*10^-2*(VLOOKUP($LR$9,各项系数!$D$1:$F$143,3,0))*10^-3*10^2*各项系数!$J$4</f>
        <v>6.4311435537776254E-2</v>
      </c>
      <c r="LS182" s="353">
        <v>1</v>
      </c>
      <c r="LT182" s="189">
        <f t="shared" si="794"/>
        <v>6.4311435537776254E-2</v>
      </c>
      <c r="LU182" s="189">
        <f>LT182*(VLOOKUP($LR$9,各项系数!$D$1:$F$143,2,0))</f>
        <v>0.70742579091553881</v>
      </c>
      <c r="LV182" s="227">
        <f t="shared" si="661"/>
        <v>4.6693548199999997</v>
      </c>
      <c r="LW182" s="227">
        <f t="shared" si="662"/>
        <v>4.6693548199999997</v>
      </c>
      <c r="LX182" s="227">
        <f t="shared" si="663"/>
        <v>2.4382795584640693</v>
      </c>
      <c r="LY182" s="227">
        <f t="shared" si="664"/>
        <v>0</v>
      </c>
      <c r="LZ182" s="374">
        <f t="shared" si="608"/>
        <v>1</v>
      </c>
      <c r="MA182" s="375">
        <f t="shared" si="609"/>
        <v>4.6693548199999997</v>
      </c>
      <c r="MB182" s="375">
        <f t="shared" si="665"/>
        <v>1.7241240099999999</v>
      </c>
      <c r="MC182" s="227">
        <f t="shared" si="666"/>
        <v>0</v>
      </c>
      <c r="MD182" s="227">
        <f t="shared" si="667"/>
        <v>0</v>
      </c>
      <c r="ME182" s="227">
        <f t="shared" si="668"/>
        <v>0</v>
      </c>
      <c r="MF182" s="227">
        <f t="shared" si="669"/>
        <v>0</v>
      </c>
      <c r="MG182" s="374">
        <f t="shared" si="670"/>
        <v>1</v>
      </c>
      <c r="MH182" s="375">
        <f t="shared" si="610"/>
        <v>0</v>
      </c>
      <c r="MI182" s="375">
        <f t="shared" si="671"/>
        <v>0</v>
      </c>
      <c r="MJ182" s="189">
        <f t="shared" si="611"/>
        <v>1.7241240099999999</v>
      </c>
      <c r="MK182" s="189">
        <f t="shared" si="672"/>
        <v>1.7241240099999999</v>
      </c>
      <c r="ML182" s="189">
        <f t="shared" si="795"/>
        <v>0</v>
      </c>
      <c r="MM182" s="189">
        <f t="shared" si="612"/>
        <v>0</v>
      </c>
      <c r="MN182" s="189">
        <f t="shared" si="613"/>
        <v>3.1241240100000001</v>
      </c>
      <c r="MO182" s="189">
        <f t="shared" si="673"/>
        <v>0</v>
      </c>
      <c r="MP182" s="189">
        <f t="shared" si="674"/>
        <v>6.2482480200000001</v>
      </c>
      <c r="MQ182" s="189">
        <f t="shared" si="796"/>
        <v>6.2482480200000001</v>
      </c>
      <c r="MR182" s="246">
        <f t="shared" si="675"/>
        <v>6.2333907699999997</v>
      </c>
      <c r="MS182" s="380">
        <f t="shared" si="614"/>
        <v>6.4093907699999999</v>
      </c>
      <c r="MT182" s="380">
        <f t="shared" si="615"/>
        <v>6.56939077</v>
      </c>
      <c r="MU182" s="380">
        <f t="shared" si="616"/>
        <v>7.6093907700000001</v>
      </c>
      <c r="MV182" s="380">
        <f t="shared" si="617"/>
        <v>9.4093907699999999</v>
      </c>
      <c r="MW182" s="380">
        <f t="shared" si="618"/>
        <v>9.56939077</v>
      </c>
      <c r="MX182" s="254">
        <f t="shared" si="619"/>
        <v>2.3241240100000002</v>
      </c>
      <c r="MY182" s="254">
        <f t="shared" si="620"/>
        <v>0</v>
      </c>
      <c r="MZ182" s="189">
        <f t="shared" si="621"/>
        <v>3.7241240100000002</v>
      </c>
      <c r="NA182" s="189">
        <f t="shared" si="622"/>
        <v>0</v>
      </c>
      <c r="NB182" s="189">
        <f t="shared" si="676"/>
        <v>7.4482480200000003</v>
      </c>
      <c r="NC182" s="254">
        <f t="shared" si="797"/>
        <v>7.4482480200000003</v>
      </c>
      <c r="ND182" s="246">
        <f t="shared" si="677"/>
        <v>7.4305373699999997</v>
      </c>
      <c r="NE182" s="386">
        <f t="shared" si="678"/>
        <v>7.6705373699999999</v>
      </c>
      <c r="NF182" s="380">
        <f t="shared" si="623"/>
        <v>7.8305373700000001</v>
      </c>
      <c r="NG182" s="387">
        <f t="shared" si="624"/>
        <v>8.870537370000001</v>
      </c>
      <c r="NH182" s="254">
        <f t="shared" si="625"/>
        <v>10.67053737</v>
      </c>
      <c r="NI182" s="380">
        <f t="shared" si="626"/>
        <v>10.83053737</v>
      </c>
      <c r="NK182" s="388">
        <f t="shared" si="627"/>
        <v>0.1099817758081278</v>
      </c>
      <c r="NL182" s="388">
        <f t="shared" si="628"/>
        <v>3.4078083252523497</v>
      </c>
      <c r="NM182" s="388">
        <f t="shared" si="629"/>
        <v>0.1099817758081278</v>
      </c>
      <c r="NN182" s="388">
        <f t="shared" si="630"/>
        <v>3.4623244002089129</v>
      </c>
      <c r="NO182" s="388">
        <f t="shared" si="631"/>
        <v>0.13097086053539786</v>
      </c>
      <c r="NP182" s="388">
        <f t="shared" si="632"/>
        <v>3.6694696677464362</v>
      </c>
      <c r="NQ182" s="388">
        <f t="shared" si="633"/>
        <v>0.13097086053539786</v>
      </c>
      <c r="NR182" s="388">
        <f t="shared" si="634"/>
        <v>3.7326782911654672</v>
      </c>
      <c r="NS182" s="388">
        <f t="shared" si="635"/>
        <v>0.11904637272056853</v>
      </c>
      <c r="NT182" s="388">
        <f t="shared" si="636"/>
        <v>0.11904637272056853</v>
      </c>
      <c r="NU182" s="388">
        <f t="shared" si="637"/>
        <v>0.14179706897373767</v>
      </c>
      <c r="NV182" s="388">
        <f t="shared" si="638"/>
        <v>0.14179706897373767</v>
      </c>
      <c r="NW182">
        <f t="shared" si="639"/>
        <v>0.21278606372295972</v>
      </c>
      <c r="NX182">
        <f>各项系数!$M$9*NK182</f>
        <v>3.299453274243834E-2</v>
      </c>
      <c r="NY182">
        <f t="shared" si="640"/>
        <v>0.11904637272056852</v>
      </c>
    </row>
    <row r="183" spans="1:389" ht="15" hidden="1" customHeight="1">
      <c r="A183" s="69"/>
      <c r="B183" s="70"/>
      <c r="C183" s="69"/>
      <c r="D183" s="102" t="s">
        <v>154</v>
      </c>
      <c r="E183" s="61">
        <f t="shared" si="805"/>
        <v>9.9241078599999994</v>
      </c>
      <c r="F183" s="62">
        <f t="shared" ref="F183:F198" si="820">$F$17</f>
        <v>172.412400708262</v>
      </c>
      <c r="G183" s="62"/>
      <c r="H183" s="16"/>
      <c r="I183" s="145">
        <v>0</v>
      </c>
      <c r="J183" s="16"/>
      <c r="K183" s="16"/>
      <c r="L183" s="97" t="s">
        <v>469</v>
      </c>
      <c r="M183" s="103">
        <f t="shared" si="582"/>
        <v>0.7</v>
      </c>
      <c r="N183" s="103">
        <f t="shared" si="804"/>
        <v>0</v>
      </c>
      <c r="O183" s="53">
        <f t="shared" si="819"/>
        <v>0.08</v>
      </c>
      <c r="P183" s="99">
        <v>0.1</v>
      </c>
      <c r="Q183" s="133">
        <f t="shared" si="806"/>
        <v>0.1</v>
      </c>
      <c r="R183" s="406">
        <v>0.8</v>
      </c>
      <c r="S183" s="142" t="str">
        <f>各项系数!$D$43</f>
        <v>钢带</v>
      </c>
      <c r="T183" s="102">
        <v>0.2</v>
      </c>
      <c r="U183" s="62">
        <v>4</v>
      </c>
      <c r="V183" s="143"/>
      <c r="W183" s="141">
        <f t="shared" ref="W183:W185" si="821">$W$182</f>
        <v>1.5</v>
      </c>
      <c r="X183" s="135">
        <f t="shared" si="807"/>
        <v>0.2</v>
      </c>
      <c r="Y183" s="135"/>
      <c r="Z183" s="168"/>
      <c r="AA183" s="153">
        <v>1</v>
      </c>
      <c r="AB183" s="153">
        <f>PI()*EJ183*EJ183/4*EH183*(1-H183)*AA183*各项系数!$F$5*各项系数!$J$4*10^-7</f>
        <v>2.0651505688902914E-2</v>
      </c>
      <c r="AC183" s="153">
        <f t="shared" si="808"/>
        <v>172.412400708262</v>
      </c>
      <c r="AD183" s="153">
        <f t="shared" si="584"/>
        <v>2.3346774015073022</v>
      </c>
      <c r="AE183" s="153">
        <f>POWER(4*EU183/PI()/EG183/10^-7/EH183/(1-H183)/各项系数!$F$5/各项系数!$J$4,0.5)</f>
        <v>172.412400708262</v>
      </c>
      <c r="AF183" s="69">
        <v>1</v>
      </c>
      <c r="AG183" s="69">
        <f>IF(EM183=0,0,PI()*ER183*ER183/4*EP183*(1-K183)*(1+AF183)*各项系数!$F$5*各项系数!$J$4*10^-7)</f>
        <v>0</v>
      </c>
      <c r="AH183" s="69">
        <f t="shared" si="809"/>
        <v>0</v>
      </c>
      <c r="AI183" s="69">
        <f t="shared" si="641"/>
        <v>0</v>
      </c>
      <c r="AJ183" s="69">
        <f>IF(OR(EP183="",EP183=0),0,POWER(4*EW183/PI()/EO183/10^-7/EP183/(1-K183)/各项系数!$F$5/各项系数!$J$4,0.5))</f>
        <v>0</v>
      </c>
      <c r="AK183" s="69" t="str">
        <f t="shared" si="585"/>
        <v>√</v>
      </c>
      <c r="AL183" s="69">
        <f t="shared" si="810"/>
        <v>5.0995832648943384</v>
      </c>
      <c r="AM183" s="188">
        <f t="shared" si="811"/>
        <v>2.5</v>
      </c>
      <c r="AN183" s="97" t="s">
        <v>486</v>
      </c>
      <c r="AO183" s="196">
        <f>AP183+各项系数!$M$9*$NK183</f>
        <v>4.9995914361709204</v>
      </c>
      <c r="AP183" s="196">
        <f>AQ183*(1+$BI183+(VLOOKUP($AM183,$A$12:$B$323,2,0))+各项系数!$J$6+各项系数!$M$5)*(1+$E$2)</f>
        <v>4.9532027766353997</v>
      </c>
      <c r="AQ183" s="197">
        <f>AR183+各项系数!$L$9*$NK183</f>
        <v>5.0542885475871424</v>
      </c>
      <c r="AR183" s="197">
        <f>AS183*(1+$BJ183+各项系数!$J$5+各项系数!$L$5)</f>
        <v>5.0078998880516217</v>
      </c>
      <c r="AS183" s="197">
        <f t="shared" si="642"/>
        <v>4.9097057725996294</v>
      </c>
      <c r="AT183" s="196">
        <f>AU183+各项系数!$M$9*$NM183</f>
        <v>5.3924511170195979</v>
      </c>
      <c r="AU183" s="196">
        <f>AV183*(1+$BI183+(VLOOKUP($AM183,$A$12:$B$323,2,0))+各项系数!$J$6+各项系数!$M$5)*(1+$E$2)</f>
        <v>5.3460624574840772</v>
      </c>
      <c r="AV183" s="197">
        <f>AW183+各项系数!$L$9*$NM183</f>
        <v>5.4551657729429364</v>
      </c>
      <c r="AW183" s="197">
        <f>AX183*(1+$BJ183+各项系数!$J$5+各项系数!$L$5)</f>
        <v>5.4087771134074156</v>
      </c>
      <c r="AX183" s="197">
        <f t="shared" si="643"/>
        <v>5.3027226602033481</v>
      </c>
      <c r="AY183" s="196">
        <f>AZ183+各项系数!$M$9*$NS183</f>
        <v>5.6765534643161653</v>
      </c>
      <c r="AZ183" s="196">
        <f>BA183*(1+$BI183+(VLOOKUP($AM183,$A$12:$B$214,2,0))+各项系数!$J$6+各项系数!$M$5)*(1+$E$2)</f>
        <v>5.6272297335205348</v>
      </c>
      <c r="BA183" s="197">
        <f>BB183+各项系数!$L$9*$NS183</f>
        <v>5.7420711566536067</v>
      </c>
      <c r="BB183" s="197">
        <f>BC183*(1+$BJ183+各项系数!$J$5+各项系数!$L$5)</f>
        <v>5.6927474258579762</v>
      </c>
      <c r="BC183" s="199">
        <f t="shared" si="644"/>
        <v>5.5811249273117411</v>
      </c>
      <c r="BD183" s="196">
        <f>BE183+各项系数!$M$9*$NS183</f>
        <v>6.0768747719602754</v>
      </c>
      <c r="BE183" s="196">
        <f>BF183*(1+$BI183+(VLOOKUP($AM183,$A$12:$B$214,2,0))+各项系数!$J$6+各项系数!$M$5)*(1+$E$2)</f>
        <v>6.0275510411646449</v>
      </c>
      <c r="BF183" s="197">
        <f>BG183+各项系数!$L$9*$NS183</f>
        <v>6.1505622869026988</v>
      </c>
      <c r="BG183" s="197">
        <f>BH183*(1+$BJ183+各项系数!$J$5+各项系数!$L$5)</f>
        <v>6.1012385561070683</v>
      </c>
      <c r="BH183" s="199">
        <f t="shared" si="645"/>
        <v>5.9816064275559491</v>
      </c>
      <c r="BI183" s="211">
        <v>0</v>
      </c>
      <c r="BJ183" s="208">
        <f t="shared" ref="BJ183:BJ198" si="822">$BJ$182</f>
        <v>0</v>
      </c>
      <c r="BK183" s="102" t="s">
        <v>514</v>
      </c>
      <c r="BL183" s="196">
        <f>BM183+各项系数!$M$9*$NM183</f>
        <v>5.1063161539615294</v>
      </c>
      <c r="BM183" s="196">
        <f>BN183*(1+$CF183+(VLOOKUP($AM183,$A$12:$B$323,2,0))+各项系数!$J$6+各项系数!$M$5)*(1+$E$2)</f>
        <v>5.0599274944260086</v>
      </c>
      <c r="BN183" s="197">
        <f>BO183+各项系数!$L$9*$NM183</f>
        <v>5.1631913208428664</v>
      </c>
      <c r="BO183" s="197">
        <f>BP183*(1+$CG183+各项系数!$J$5+各项系数!$L$5)</f>
        <v>5.1168026613073456</v>
      </c>
      <c r="BP183" s="197">
        <f t="shared" si="646"/>
        <v>4.9677695740848016</v>
      </c>
      <c r="BQ183" s="196">
        <f>BR183+各项系数!$M$9*$NM183</f>
        <v>5.4444177990895906</v>
      </c>
      <c r="BR183" s="196">
        <f>BS183*(1+$CF183+(VLOOKUP($AM183,$A$12:$B$323,2,0))+各项系数!$J$6+各项系数!$M$5)*(1+$E$2)</f>
        <v>5.3980291395540698</v>
      </c>
      <c r="BS183" s="197">
        <f>BT183+各项系数!$L$9*$NM183</f>
        <v>5.5081929995449697</v>
      </c>
      <c r="BT183" s="197">
        <f>BU183*(1+$CG183+各项系数!$J$5+各项系数!$L$5)</f>
        <v>5.4618043400094489</v>
      </c>
      <c r="BU183" s="197">
        <f t="shared" si="647"/>
        <v>5.3027226602033481</v>
      </c>
      <c r="BV183" s="196">
        <f>BW183+各项系数!$M$9*$NT183</f>
        <v>5.7507321472877715</v>
      </c>
      <c r="BW183" s="196">
        <f>BX183*(1+$CF183+(VLOOKUP($AM183,$A$12:$B$214,2,0))+各项系数!$J$6+各项系数!$M$5)*(1+$E$2)</f>
        <v>5.701408416492141</v>
      </c>
      <c r="BX183" s="197">
        <f>BY183+各项系数!$L$9*$NT$12</f>
        <v>5.8177636902981034</v>
      </c>
      <c r="BY183" s="197">
        <f>BZ183*(1+$CG183+各项系数!$J$5+各项系数!$L$5)</f>
        <v>5.8095002871431296</v>
      </c>
      <c r="BZ183" s="199">
        <f t="shared" si="586"/>
        <v>5.6402915409156593</v>
      </c>
      <c r="CA183" s="196">
        <f>CB183+各项系数!$M$9*$NT183</f>
        <v>6.0952553938624803</v>
      </c>
      <c r="CB183" s="196">
        <f>CC183*(1+$CF183+(VLOOKUP($AM183,$A$12:$B$214,2,0))+各项系数!$J$6+各项系数!$M$5)*(1+$E$2)</f>
        <v>6.0459316630668498</v>
      </c>
      <c r="CC183" s="197">
        <f>CD183+各项系数!$L$9*$NT$12</f>
        <v>6.1693180235376017</v>
      </c>
      <c r="CD183" s="197">
        <f>CE183*(1+$CG183+各项系数!$J$5+各项系数!$L$5)</f>
        <v>6.161054620382628</v>
      </c>
      <c r="CE183" s="199">
        <f t="shared" si="648"/>
        <v>5.9816064275559491</v>
      </c>
      <c r="CF183" s="211">
        <f>(BI183+$CF$2)-BI183/1.3</f>
        <v>0</v>
      </c>
      <c r="CG183" s="213">
        <f t="shared" si="587"/>
        <v>0.01</v>
      </c>
      <c r="CH183" s="102"/>
      <c r="CI183" s="196">
        <f>CJ183+各项系数!$M$9*$NO183</f>
        <v>5.5170726968920327</v>
      </c>
      <c r="CJ183" s="196">
        <f>CK183*(1+$DC183+(VLOOKUP($AM183,$A$12:$B$323,2,0))+各项系数!$J$6+各项系数!$M$5)*(1+$E$2)+各项系数!$M$9*$NK183</f>
        <v>5.4417875213779539</v>
      </c>
      <c r="CK183" s="197">
        <f>CL183+各项系数!$L$9*$NO183</f>
        <v>5.5055090426963602</v>
      </c>
      <c r="CL183" s="197">
        <f>CM183*(1+$DD183+各项系数!$J$5+各项系数!$L$5)</f>
        <v>5.4302238671822813</v>
      </c>
      <c r="CM183" s="197">
        <f t="shared" si="588"/>
        <v>5.3237488893943929</v>
      </c>
      <c r="CN183" s="196">
        <f>CO183+各项系数!$M$9*$NO183</f>
        <v>5.8162308432593752</v>
      </c>
      <c r="CO183" s="196">
        <f>CP183*(1+$DC183+(VLOOKUP($AM183,$A$12:$B$323,2,0))+各项系数!$J$6+各项系数!$M$5)*(1+$E$2)+各项系数!$M$9*$NK183</f>
        <v>5.7409456677452964</v>
      </c>
      <c r="CP183" s="197">
        <f>CQ183+各项系数!$L$9*$NO183</f>
        <v>5.8107724573569142</v>
      </c>
      <c r="CQ183" s="197">
        <f>CR183*(1+$DD183+各项系数!$J$5+各项系数!$L$5)</f>
        <v>5.7354872818428353</v>
      </c>
      <c r="CR183" s="197">
        <f t="shared" si="589"/>
        <v>5.6230267469047401</v>
      </c>
      <c r="CS183" s="196">
        <f>CT183+各项系数!$M$9*$NU183</f>
        <v>6.2769524855146148</v>
      </c>
      <c r="CT183" s="196">
        <f t="shared" si="590"/>
        <v>6.1981623307673432</v>
      </c>
      <c r="CU183" s="197">
        <f>CV183+各项系数!$L$9*$NU183</f>
        <v>6.3246554395585139</v>
      </c>
      <c r="CV183" s="197">
        <f>CW183*(1+$DD183+各项系数!$J$5+各项系数!$L$5)</f>
        <v>6.2458652848112424</v>
      </c>
      <c r="CW183" s="199">
        <f t="shared" si="591"/>
        <v>6.1233973380502373</v>
      </c>
      <c r="CX183" s="196">
        <f>CY183+各项系数!$M$9*$NU183</f>
        <v>6.7406976209199012</v>
      </c>
      <c r="CY183" s="196">
        <f t="shared" si="592"/>
        <v>6.6619074661726296</v>
      </c>
      <c r="CZ183" s="197">
        <f>DA183+各项系数!$L$9*$NU183</f>
        <v>6.7978647614006427</v>
      </c>
      <c r="DA183" s="197">
        <f>DB183*(1+$DD183+各项系数!$J$5+各项系数!$L$5)</f>
        <v>6.7190746066533711</v>
      </c>
      <c r="DB183" s="199">
        <f t="shared" si="593"/>
        <v>6.587328045738599</v>
      </c>
      <c r="DC183" s="211">
        <f>(BI183+$DC$2)-BI183/1.3</f>
        <v>0</v>
      </c>
      <c r="DD183" s="213">
        <f t="shared" si="594"/>
        <v>0</v>
      </c>
      <c r="DE183" s="53" t="s">
        <v>498</v>
      </c>
      <c r="DF183" s="53" t="s">
        <v>513</v>
      </c>
      <c r="DG183" s="196">
        <f>DH183+各项系数!$M$9*$NQ183</f>
        <v>5.6373170549248552</v>
      </c>
      <c r="DH183" s="196">
        <f>DI183*(1+$EA183+(VLOOKUP($AM183,$A$12:$B$323,2,0))+各项系数!$J$6+各项系数!$M$5)*(1+$E$2)+各项系数!$M$9*$NK183</f>
        <v>5.5620318794107764</v>
      </c>
      <c r="DI183" s="197">
        <f>DJ183+各项系数!$L$9*$NQ183</f>
        <v>5.6282073672196491</v>
      </c>
      <c r="DJ183" s="197">
        <f>DK183*(1+$EB183+各项系数!$J$5+各项系数!$L$5)</f>
        <v>5.5529221917055702</v>
      </c>
      <c r="DK183" s="197">
        <f t="shared" si="595"/>
        <v>5.3911865938889028</v>
      </c>
      <c r="DL183" s="196">
        <f>DM183+各项系数!$M$9*$NQ183</f>
        <v>6.0300023123494197</v>
      </c>
      <c r="DM183" s="196">
        <f>DN183*(1+$EA183+(VLOOKUP($AM183,$A$12:$B$323,2,0))+各项系数!$J$6+各项系数!$M$5)*(1+$E$2)+各项系数!$M$9*$NK183</f>
        <v>5.9547171368353409</v>
      </c>
      <c r="DN183" s="197">
        <f>DO183+各项系数!$L$9*$NQ183</f>
        <v>6.0289066094896127</v>
      </c>
      <c r="DO183" s="197">
        <f>DP183*(1+$EB183+各项系数!$J$5+各项系数!$L$5)</f>
        <v>5.9536214339755338</v>
      </c>
      <c r="DP183" s="197">
        <f t="shared" si="596"/>
        <v>5.7802149844422654</v>
      </c>
      <c r="DQ183" s="196">
        <f>DR183+各项系数!$M$9*$NV183</f>
        <v>6.4061465768969281</v>
      </c>
      <c r="DR183" s="196">
        <f t="shared" si="597"/>
        <v>6.3273564221496565</v>
      </c>
      <c r="DS183" s="197">
        <f>DT183+各项系数!$L$9*$NV183</f>
        <v>6.4564861450506701</v>
      </c>
      <c r="DT183" s="197">
        <f>DU183*(1+$EB183+各项系数!$J$5+各项系数!$L$5)</f>
        <v>6.3776959903033985</v>
      </c>
      <c r="DU183" s="199">
        <f t="shared" si="598"/>
        <v>6.1919378546634931</v>
      </c>
      <c r="DV183" s="196">
        <f>DW183+各项系数!$M$9*$NV183</f>
        <v>6.5517722848467326</v>
      </c>
      <c r="DW183" s="196">
        <f t="shared" si="599"/>
        <v>6.472982130099461</v>
      </c>
      <c r="DX183" s="197">
        <f>DY183+各项系数!$L$9*$NV183</f>
        <v>6.6050838062239396</v>
      </c>
      <c r="DY183" s="197">
        <f>DZ183*(1+$EB183+各项系数!$J$5+各项系数!$L$5)</f>
        <v>6.5262936514766681</v>
      </c>
      <c r="DZ183" s="199">
        <f t="shared" si="600"/>
        <v>6.336207428618124</v>
      </c>
      <c r="EA183" s="211">
        <f>(BI183+$EA$2)-BI183/1.3</f>
        <v>0</v>
      </c>
      <c r="EB183" s="213">
        <f t="shared" si="601"/>
        <v>0.01</v>
      </c>
      <c r="EC183" s="235">
        <f t="shared" si="649"/>
        <v>3</v>
      </c>
      <c r="ED183" s="235" t="str">
        <f t="shared" si="756"/>
        <v>3*2.5</v>
      </c>
      <c r="EE183" s="189">
        <f t="shared" si="812"/>
        <v>2.5</v>
      </c>
      <c r="EF183" s="189">
        <f>LOOKUP(EH183,{1,7,10,14,19,24,30,37,48,61},{1,"1+6","2+8","4+10","1+6+12","2+8+14","4+10+16","1+6+12+18","3+9+15+21","1+6+12+18+24"})</f>
        <v>1</v>
      </c>
      <c r="EG183" s="188">
        <f t="shared" si="602"/>
        <v>3</v>
      </c>
      <c r="EH183" s="197">
        <f>VLOOKUP(EE183,各项系数!$B$87:$C$124,2,0)</f>
        <v>1</v>
      </c>
      <c r="EI183" s="188">
        <f>IF(EH183=0,0,VLOOKUP(EH183,各项系数!$D$142:$E$195,2,0))*1</f>
        <v>1</v>
      </c>
      <c r="EJ183" s="238">
        <f t="shared" si="650"/>
        <v>172.412400708262</v>
      </c>
      <c r="EK183" s="189">
        <f t="shared" si="813"/>
        <v>0</v>
      </c>
      <c r="EL183" s="189">
        <f t="shared" si="603"/>
        <v>0</v>
      </c>
      <c r="EM183" s="189">
        <f t="shared" si="814"/>
        <v>0</v>
      </c>
      <c r="EN183" s="189">
        <f>IF(EP183=0,0,LOOKUP(EP183,{1,7,10,14,19,24,30,37,48,61},{1,"1+6","2+8","4+10","1+6+12","2+8+14","4+10+16","1+6+12+18","3+9+15+21","1+6+12+18+24"}))</f>
        <v>0</v>
      </c>
      <c r="EO183" s="189">
        <f t="shared" si="815"/>
        <v>0</v>
      </c>
      <c r="EP183" s="189">
        <f>IF(EM183=0,0,IF(EM183&lt;10,1,IF(AND(EM183&gt;=10,EM183&lt;=35),7,LOOKUP(EM183,{50,70,95,120,150,185,240,300},{10,14,19,24,30,37,48,61})*1)))</f>
        <v>0</v>
      </c>
      <c r="EQ183" s="189">
        <f>IF(EP183=0,0,VLOOKUP(EP183,各项系数!$D$142:$E$195,2,0))*1</f>
        <v>0</v>
      </c>
      <c r="ER183" s="53">
        <f t="shared" si="816"/>
        <v>0</v>
      </c>
      <c r="ES183" s="412">
        <f t="shared" si="817"/>
        <v>3</v>
      </c>
      <c r="ET183" s="189">
        <f>VLOOKUP(ES183,各项系数!$D$142:$E$195,2,0)*1</f>
        <v>2.16</v>
      </c>
      <c r="EU183" s="243">
        <f>((各项系数!$F$76/4*$EJ183^2*$EG183*$EH183*1*10^-7)*(1-$H183)*AA183)*(VLOOKUP($EY$9,各项系数!$D$4:$F$143,3,0))*各项系数!$J$4</f>
        <v>6.195451706670875E-2</v>
      </c>
      <c r="EV183" s="244">
        <f>EU183*(VLOOKUP($EY$9,各项系数!$D$4:$F$143,2,0))</f>
        <v>4.0580208678694234</v>
      </c>
      <c r="EW183" s="252">
        <f>(IF($EO183=0,0,(各项系数!$F$76/4*$ER183^2*$EO183*$EP183*1*10^-7))*(1-$K183)*$AF183)*(VLOOKUP($EY$9,各项系数!$D$4:$F$143,3,0))*各项系数!$J$4</f>
        <v>0</v>
      </c>
      <c r="EX183" s="253">
        <f>EW183*(VLOOKUP($EY$9,各项系数!$D$4:$F$143,2,0))</f>
        <v>0</v>
      </c>
      <c r="EY183" s="189">
        <f>((各项系数!$F$76/4*$EJ183^2*$EG183*$EH183*1*10^-7)*(1-$H183)*AA183+IF($EO183=0,0,(各项系数!$F$76/4*$ER183^2*$EO183*$EP183*1*10^-7))*(1-$K183)*$AF183)*(VLOOKUP($EY$9,各项系数!$D$4:$F$143,3,0))*各项系数!$J$4</f>
        <v>6.195451706670875E-2</v>
      </c>
      <c r="EZ183" s="102">
        <v>1</v>
      </c>
      <c r="FA183" s="189">
        <f t="shared" si="757"/>
        <v>6.195451706670875E-2</v>
      </c>
      <c r="FB183" s="254">
        <f>FA183*(VLOOKUP($EY$9,各项系数!$D$4:$F$143,2,0))</f>
        <v>4.0580208678694234</v>
      </c>
      <c r="FC183" s="255"/>
      <c r="FD183" s="235">
        <f>各项系数!$F$76/4*($MN183^2-MK183^2)*10^-2*(VLOOKUP(L183,各项系数!$D$1:$F$143,3,0))*10^-3*10^2*$EG183*各项系数!$J$4</f>
        <v>1.7504099220994381E-2</v>
      </c>
      <c r="FE183" s="262">
        <f>FD183*VLOOKUP(L183,各项系数!$D$1:$F$143,2,0)</f>
        <v>0.2012971410414354</v>
      </c>
      <c r="FF183" s="188">
        <f>各项系数!$F$76/4*($MO183^2-ML183^2)*10^-2*(VLOOKUP(L183,各项系数!$D$1:$F$143,3,0))*10^-3*10^2*$EO183*各项系数!$J$4</f>
        <v>0</v>
      </c>
      <c r="FG183" s="262">
        <f>FF183*VLOOKUP(L183,各项系数!$D$1:$F$143,2,0)</f>
        <v>0</v>
      </c>
      <c r="FH183" s="235">
        <f t="shared" si="651"/>
        <v>1.7504099220994381E-2</v>
      </c>
      <c r="FI183" s="102">
        <v>1</v>
      </c>
      <c r="FJ183" s="189">
        <f t="shared" si="758"/>
        <v>1.7504099220994381E-2</v>
      </c>
      <c r="FK183" s="262">
        <f>FJ183*VLOOKUP(L183,各项系数!$D$1:$F$143,2,0)</f>
        <v>0.2012971410414354</v>
      </c>
      <c r="FL183" s="235"/>
      <c r="FM183" s="102"/>
      <c r="FN183" s="189"/>
      <c r="FO183" s="262"/>
      <c r="FP183" s="282">
        <f t="shared" si="759"/>
        <v>1.7504099220994381E-2</v>
      </c>
      <c r="FQ183" s="282">
        <f t="shared" si="760"/>
        <v>0.2012971410414354</v>
      </c>
      <c r="FR183" s="283">
        <f>各项系数!$F$76/4*($MQ183^2-$MN183^2*$EG183-$MO183^2*$EO183)*10^-2</f>
        <v>0.12767830898623042</v>
      </c>
      <c r="FS183" s="284">
        <f t="shared" si="652"/>
        <v>1</v>
      </c>
      <c r="FT183" s="285">
        <f t="shared" si="604"/>
        <v>0.12767830898623042</v>
      </c>
      <c r="FU183" s="302">
        <f>$FT183*(VLOOKUP($FT$9,各项系数!$D$1:$F$143,3,0))*10^-3*10^2*各项系数!$J$55</f>
        <v>1.5244790092955913E-2</v>
      </c>
      <c r="FV183" s="303">
        <v>1</v>
      </c>
      <c r="FW183" s="304">
        <f t="shared" si="761"/>
        <v>1.5244790092955913E-2</v>
      </c>
      <c r="FX183" s="285">
        <f>FW183*(VLOOKUP($FT$9,各项系数!$D$1:$F$143,2,0))</f>
        <v>4.5734370278867738E-2</v>
      </c>
      <c r="FY183" s="302">
        <f>IF($BK183&lt;&gt;$FY$9,0,各项系数!$F$76/4*($MS183^2-$MQ183^2)*10^-2*(VLOOKUP($FY$9,各项系数!$D$1:$F$143,3,0))*10^-3*10^2)*各项系数!$J$4</f>
        <v>0</v>
      </c>
      <c r="FZ183" s="303">
        <v>1</v>
      </c>
      <c r="GA183" s="304">
        <f t="shared" si="762"/>
        <v>0</v>
      </c>
      <c r="GB183" s="285">
        <f>GA183*(VLOOKUP($FY$9,各项系数!$D$1:$F$143,2,0))</f>
        <v>0</v>
      </c>
      <c r="GC183" s="302">
        <f>IF($BK183&lt;&gt;$GC$9,0,各项系数!$F$76/4*($MS183^2-$MQ183^2)*10^-2*(VLOOKUP($GC$9,各项系数!$D$1:$F$143,3,0))*10^-3*10^2)*各项系数!$J$4</f>
        <v>1.861657252571883E-3</v>
      </c>
      <c r="GD183" s="303">
        <v>1</v>
      </c>
      <c r="GE183" s="304">
        <f t="shared" si="763"/>
        <v>1.861657252571883E-3</v>
      </c>
      <c r="GF183" s="285">
        <f>GE183*(VLOOKUP($GC$9,各项系数!$D$1:$F$143,2,0))</f>
        <v>2.401537855817729E-2</v>
      </c>
      <c r="GG183" s="302">
        <f>IF($BK183&lt;&gt;$GG$9,0,各项系数!$F$76/4*($MS183^2-$MQ183^2)*10^-2*(VLOOKUP($GG$9,各项系数!$D$1:$F$143,3,0))*10^-3*10^2)*各项系数!$J$4</f>
        <v>0</v>
      </c>
      <c r="GH183" s="303">
        <v>1</v>
      </c>
      <c r="GI183" s="304">
        <f t="shared" si="764"/>
        <v>0</v>
      </c>
      <c r="GJ183" s="285">
        <f>GI183*(VLOOKUP($GG$9,各项系数!$D$1:$F$143,2,0))</f>
        <v>0</v>
      </c>
      <c r="GK183" s="302">
        <f>IF($BK183&lt;&gt;$GK$9,0,各项系数!$F$76/4*($MS183^2-$MQ183^2)*10^-2*(VLOOKUP($GK$9,各项系数!$D$1:$F$143,3,0))*10^-3*10^2)*各项系数!$J$4</f>
        <v>0</v>
      </c>
      <c r="GL183" s="303">
        <v>1</v>
      </c>
      <c r="GM183" s="304">
        <f t="shared" si="765"/>
        <v>0</v>
      </c>
      <c r="GN183" s="285">
        <f>GM183*(VLOOKUP($GK$9,各项系数!$D$1:$F$143,2,0))</f>
        <v>0</v>
      </c>
      <c r="GO183" s="304">
        <f t="shared" si="766"/>
        <v>1.861657252571883E-3</v>
      </c>
      <c r="GP183" s="304">
        <f t="shared" si="767"/>
        <v>2.401537855817729E-2</v>
      </c>
      <c r="GQ183" s="315">
        <f>各项系数!$F$76/4*($MU183^2-$MS183^2)*10^-2*(VLOOKUP($S183,各项系数!$D$1:$F$143,3,0))*10^-3*10^2*各项系数!$J$4</f>
        <v>0.11035346382060675</v>
      </c>
      <c r="GR183" s="303">
        <v>1</v>
      </c>
      <c r="GS183" s="304">
        <f t="shared" si="768"/>
        <v>0.11035346382060675</v>
      </c>
      <c r="GT183" s="304">
        <f t="shared" si="696"/>
        <v>1</v>
      </c>
      <c r="GU183" s="304">
        <f>ROUND($GS183*(VLOOKUP($S183,各项系数!$D$1:$F$143,2,0))+$E$3*GS183,GT183)</f>
        <v>0.6</v>
      </c>
      <c r="GV183" s="315">
        <f>各项系数!$F$76/4*($MT183^2-$MS183^2)*10^-2*(VLOOKUP($GV$9,各项系数!$D$1:$F$143,3,0))*10^-3*10^2*各项系数!$J$4*PI()/4*R183</f>
        <v>9.7835708670319446E-3</v>
      </c>
      <c r="GW183" s="303">
        <v>1</v>
      </c>
      <c r="GX183" s="304">
        <f t="shared" si="769"/>
        <v>9.7835708670319446E-3</v>
      </c>
      <c r="GY183" s="304">
        <f>$GX183*(VLOOKUP($GV$9,各项系数!$D$1:$F$143,2,0))</f>
        <v>0.66039103352465622</v>
      </c>
      <c r="GZ183" s="315">
        <f>各项系数!$F$76/4*($MV183^2-$MS183^2)*10^-2*(VLOOKUP($GZ$9,各项系数!$D$1:$F$143,3,0))*10^-3*10^2*各项系数!$J$4</f>
        <v>5.7273817791496741E-2</v>
      </c>
      <c r="HA183" s="303">
        <v>1</v>
      </c>
      <c r="HB183" s="304">
        <f t="shared" si="653"/>
        <v>5.7273817791496741E-2</v>
      </c>
      <c r="HC183" s="304">
        <f>HB183*(VLOOKUP($GZ$9,各项系数!$D$1:$F$143,2,0))</f>
        <v>0.97365490245544462</v>
      </c>
      <c r="HD183" s="315">
        <f>各项系数!$F$76/4*($MW183^2-$MT183^2)*10^-2*(VLOOKUP($HD$9,各项系数!$D$1:$F$143,3,0))*10^-3*10^2*各项系数!$J$4</f>
        <v>5.836162566372876E-2</v>
      </c>
      <c r="HE183" s="303">
        <v>1</v>
      </c>
      <c r="HF183" s="304">
        <f t="shared" si="654"/>
        <v>5.836162566372876E-2</v>
      </c>
      <c r="HG183" s="304">
        <f>HF183*(VLOOKUP($HD$9,各项系数!$D$1:$F$143,2,0))</f>
        <v>0.99214763628338887</v>
      </c>
      <c r="HH183" s="315">
        <f>各项系数!$F$76/4*($MV183^2-$MS183^2)*10^-2*(VLOOKUP($HH$9,各项系数!$D$1:$F$143,3,0))*10^-3*10^2*各项系数!$J$4</f>
        <v>5.7273817791496741E-2</v>
      </c>
      <c r="HI183" s="322">
        <v>1</v>
      </c>
      <c r="HJ183" s="304">
        <f t="shared" si="655"/>
        <v>5.7273817791496741E-2</v>
      </c>
      <c r="HK183" s="304">
        <f>HJ183*(VLOOKUP($HH$9,各项系数!$D$1:$F$143,2,0))</f>
        <v>0.97365490245544462</v>
      </c>
      <c r="HL183" s="315">
        <f>各项系数!$F$76/4*($MW183^2-$MT183^2)*10^-2*(VLOOKUP($HL$9,各项系数!$D$1:$F$143,3,0))*10^-3*10^2*各项系数!$J$4</f>
        <v>5.836162566372876E-2</v>
      </c>
      <c r="HM183" s="322">
        <v>1</v>
      </c>
      <c r="HN183" s="304">
        <f t="shared" si="605"/>
        <v>5.836162566372876E-2</v>
      </c>
      <c r="HO183" s="304">
        <f>HN183*(VLOOKUP($HL$9,各项系数!$D$1:$F$143,2,0))</f>
        <v>0.99214763628338887</v>
      </c>
      <c r="HP183" s="315">
        <f>各项系数!$F$76/4*($MV183^2-$MS183^2)*10^-2*(VLOOKUP(AN183,各项系数!$D$1:$F$143,3,0))*10^-3*10^2*各项系数!$J$4</f>
        <v>5.8063801485172546E-2</v>
      </c>
      <c r="HQ183" s="303">
        <v>1</v>
      </c>
      <c r="HR183" s="304">
        <f t="shared" si="770"/>
        <v>5.8063801485172546E-2</v>
      </c>
      <c r="HS183" s="304">
        <f>HR183*(VLOOKUP(AN183,各项系数!$D$1:$F$143,2,0))</f>
        <v>0.5806380148517255</v>
      </c>
      <c r="HT183" s="315">
        <f>各项系数!$F$76/4*($MW183^2-$MT183^2)*10^-2*(VLOOKUP(AN183,各项系数!$D$1:$F$143,3,0))*10^-3*10^2*各项系数!$J$4</f>
        <v>5.9166613603918124E-2</v>
      </c>
      <c r="HU183" s="303">
        <v>1</v>
      </c>
      <c r="HV183" s="304">
        <f t="shared" si="771"/>
        <v>5.9166613603918124E-2</v>
      </c>
      <c r="HW183" s="304">
        <f>HV183*(VLOOKUP(AN183,各项系数!$D$1:$F$143,2,0))</f>
        <v>0.59166613603918128</v>
      </c>
      <c r="HX183" s="315">
        <f>各项系数!$F$76/4*($MV183^2-$MS183^2)*10^-2*(VLOOKUP($HX$9,各项系数!$D$1:$F$143,3,0))*10^-3*10^2*各项系数!$J$4</f>
        <v>5.8063801485172546E-2</v>
      </c>
      <c r="HY183" s="322">
        <v>1</v>
      </c>
      <c r="HZ183" s="304">
        <f t="shared" si="772"/>
        <v>5.8063801485172546E-2</v>
      </c>
      <c r="IA183" s="304">
        <f>HZ183*(VLOOKUP($HX$9,各项系数!$D$1:$F$143,2,0))</f>
        <v>0.63870181633689804</v>
      </c>
      <c r="IB183" s="315">
        <f>各项系数!$F$76/4*($MW183^2-$MT183^2)*10^-2*(VLOOKUP($IB$9,各项系数!$D$1:$F$143,3,0))*10^-3*10^2*各项系数!$J$4</f>
        <v>5.9166613603918124E-2</v>
      </c>
      <c r="IC183" s="322">
        <v>1</v>
      </c>
      <c r="ID183" s="304">
        <f t="shared" si="773"/>
        <v>5.9166613603918124E-2</v>
      </c>
      <c r="IE183" s="304">
        <f>ID183*(VLOOKUP($IB$9,各项系数!$D$1:$F$143,2,0))</f>
        <v>0.65083274964309934</v>
      </c>
      <c r="IF183" s="328"/>
      <c r="IG183" s="315">
        <f t="shared" si="656"/>
        <v>8.5416906431320175E-3</v>
      </c>
      <c r="IH183" s="303">
        <v>1</v>
      </c>
      <c r="II183" s="304">
        <f t="shared" si="774"/>
        <v>8.5416906431320175E-3</v>
      </c>
      <c r="IJ183" s="304">
        <f>II183*(VLOOKUP($IG$8,各项系数!$D$1:$F$143,2,0))</f>
        <v>0.21354226607830043</v>
      </c>
      <c r="IK183" s="315">
        <f>(各项系数!$F$76/4*($MX183^2-$MK183^2)*$EG183)*10^-2*(VLOOKUP($IG$8,各项系数!$D$1:$F$143,3,0))*10^-3*10^2*各项系数!$J$4</f>
        <v>8.5416906431320175E-3</v>
      </c>
      <c r="IL183" s="303">
        <f>IK183*(VLOOKUP($IG$8,各项系数!$D$1:$F$143,2,0))</f>
        <v>0.21354226607830043</v>
      </c>
      <c r="IM183" s="304">
        <f>(各项系数!$F$76/4*(($MM183+3*$X183)^2-MM183^2)*$EO183)*10^-2*(VLOOKUP($IG$8,各项系数!$D$1:$F$143,3,0))*10^-3*10^2*各项系数!$J$4</f>
        <v>0</v>
      </c>
      <c r="IN183" s="303">
        <f>IM183*(VLOOKUP($IG$8,各项系数!$D$1:$F$143,2,0))</f>
        <v>0</v>
      </c>
      <c r="IO183" s="315">
        <f>各项系数!$F$76/4*($MZ183^2-$MX183^2)*10^-2*(VLOOKUP(L183,各项系数!$D$1:$F$143,3,0))*10^-3*10^2*$ES183*各项系数!$J$4</f>
        <v>2.183657540178046E-2</v>
      </c>
      <c r="IP183" s="303">
        <v>1</v>
      </c>
      <c r="IQ183" s="304">
        <f t="shared" si="775"/>
        <v>2.183657540178046E-2</v>
      </c>
      <c r="IR183" s="285">
        <f>IQ183*(VLOOKUP(L183,各项系数!$D$1:$F$143,2,0))</f>
        <v>0.25112061712047529</v>
      </c>
      <c r="IS183" s="315">
        <f>IF($L183&lt;&gt;$IS$9,0,各项系数!$F$76/4*($MZ183^2-$MX183^2)*10^-2*各项系数!$F$12*10^-3*10^2)*$ES183*各项系数!$J$4</f>
        <v>0</v>
      </c>
      <c r="IT183" s="303">
        <v>1</v>
      </c>
      <c r="IU183" s="304">
        <f t="shared" si="776"/>
        <v>0</v>
      </c>
      <c r="IV183" s="285">
        <f>IU183*各项系数!$E$12</f>
        <v>0</v>
      </c>
      <c r="IW183" s="302">
        <f t="shared" si="777"/>
        <v>2.183657540178046E-2</v>
      </c>
      <c r="IX183" s="302">
        <f t="shared" si="778"/>
        <v>0.25112061712047529</v>
      </c>
      <c r="IY183" s="339">
        <f>各项系数!$F$76/4*($NB183^2-$MZ183^2*$EG183-$NA183^2*$EO183)*10^-2</f>
        <v>0.18142990007856913</v>
      </c>
      <c r="IZ183" s="284">
        <f t="shared" si="697"/>
        <v>1</v>
      </c>
      <c r="JA183" s="285">
        <f t="shared" si="606"/>
        <v>0.18142990007856913</v>
      </c>
      <c r="JB183" s="282">
        <f>IF($DE183&lt;&gt;$JB$9,0,$JA183*各项系数!$F$32*10^-3*10^2)*各项系数!$J$4</f>
        <v>0</v>
      </c>
      <c r="JC183" s="102">
        <v>1</v>
      </c>
      <c r="JD183" s="189">
        <f t="shared" si="779"/>
        <v>0</v>
      </c>
      <c r="JE183" s="262">
        <f>JD183*各项系数!$E$32</f>
        <v>0</v>
      </c>
      <c r="JF183" s="282">
        <f>IF($DE183&lt;&gt;$JF$9,0,$JA183*VLOOKUP($JF$9,各项系数!$D$4:$F$540,2,0)*10^-3*10^2)*各项系数!$J$4</f>
        <v>9.0261375289088147E-2</v>
      </c>
      <c r="JG183" s="102">
        <v>1</v>
      </c>
      <c r="JH183" s="189">
        <f t="shared" si="607"/>
        <v>9.0261375289088147E-2</v>
      </c>
      <c r="JI183" s="262">
        <f>JH183*VLOOKUP($JF$9,各项系数!$D$4:$F$540,3,0)</f>
        <v>0.10831365034690578</v>
      </c>
      <c r="JJ183" s="282">
        <f t="shared" si="780"/>
        <v>9.0261375289088147E-2</v>
      </c>
      <c r="JK183" s="189">
        <f t="shared" si="781"/>
        <v>0.10831365034690578</v>
      </c>
      <c r="JL183" s="282">
        <f>IF($DF183&lt;&gt;$JL$9,0,各项系数!$F$76/4*($NE183^2-$NC183^2)*10^-2*各项系数!$F$39*10^-3*10^2)*各项系数!$J$4</f>
        <v>9.1872215170956827E-4</v>
      </c>
      <c r="JM183" s="102">
        <v>1</v>
      </c>
      <c r="JN183" s="189">
        <f t="shared" si="782"/>
        <v>9.1872215170956827E-4</v>
      </c>
      <c r="JO183" s="262">
        <f>JN183*各项系数!$E$39</f>
        <v>1.8374443034191366E-2</v>
      </c>
      <c r="JP183" s="282">
        <f>IF($DF183&lt;&gt;$JP$9,0,各项系数!$F$76/4*($NE183^2-$NC183^2)*10^-2*各项系数!$F$36*10^-3*10^2)*各项系数!$J$4</f>
        <v>0</v>
      </c>
      <c r="JQ183" s="102">
        <v>1</v>
      </c>
      <c r="JR183" s="189">
        <f t="shared" si="783"/>
        <v>0</v>
      </c>
      <c r="JS183" s="262">
        <f>JR183*各项系数!$E$36</f>
        <v>0</v>
      </c>
      <c r="JT183" s="282">
        <f>IF($DF183&lt;&gt;$JT$9,0,各项系数!$F$76/4*($NE183^2-$NC183^2)*10^-2*各项系数!$F$40*10^-3*10^2)*各项系数!$J$4</f>
        <v>0</v>
      </c>
      <c r="JU183" s="102">
        <v>1</v>
      </c>
      <c r="JV183" s="189">
        <f t="shared" si="784"/>
        <v>0</v>
      </c>
      <c r="JW183" s="262">
        <f>JV183*各项系数!$E$40</f>
        <v>0</v>
      </c>
      <c r="JX183" s="282">
        <f>IF($DF183&lt;&gt;$JX$9,0,各项系数!$F$76/4*($NE183^2-$NC183^2)*10^-2*各项系数!$F$38*10^-3*10^2)*各项系数!$J$4</f>
        <v>0</v>
      </c>
      <c r="JY183" s="102">
        <v>1</v>
      </c>
      <c r="JZ183" s="189">
        <f t="shared" si="785"/>
        <v>0</v>
      </c>
      <c r="KA183" s="262">
        <f>JZ183*各项系数!$E$38</f>
        <v>0</v>
      </c>
      <c r="KB183" s="282">
        <f>IF($DF183&lt;&gt;$KB$9,0,各项系数!$F$76/4*($NE183^2-$NC183^2)*10^-2*各项系数!$F$41*10^-3*10^2)*各项系数!$J$4</f>
        <v>0</v>
      </c>
      <c r="KC183" s="102">
        <v>1</v>
      </c>
      <c r="KD183" s="189">
        <f t="shared" si="786"/>
        <v>0</v>
      </c>
      <c r="KE183" s="262">
        <f>KD183*各项系数!$E$41</f>
        <v>0</v>
      </c>
      <c r="KF183" s="189">
        <f t="shared" si="787"/>
        <v>9.1872215170956827E-4</v>
      </c>
      <c r="KG183" s="189">
        <f t="shared" si="788"/>
        <v>1.8374443034191366E-2</v>
      </c>
      <c r="KH183" s="235">
        <f>各项系数!$F$76/4*($NG183^2-$NE183^2)*10^-2*各项系数!$F$44*10^-3*10^2*各项系数!$J$4*0.75*$U183</f>
        <v>0.39090032740714054</v>
      </c>
      <c r="KI183" s="102">
        <v>1</v>
      </c>
      <c r="KJ183" s="189">
        <f t="shared" si="789"/>
        <v>0.39090032740714054</v>
      </c>
      <c r="KK183" s="189">
        <f>ROUND(KJ183*各项系数!$E$43,GT183)</f>
        <v>2.2999999999999998</v>
      </c>
      <c r="KL183" s="235">
        <f>各项系数!$F$76/4*($NF183^2-$NE183^2)*10^-2*各项系数!$F$46*10^-3*10^2*各项系数!$J$4*PI()/4*R183</f>
        <v>1.1683264110642801E-2</v>
      </c>
      <c r="KM183" s="102">
        <v>1</v>
      </c>
      <c r="KN183" s="189">
        <f t="shared" si="790"/>
        <v>1.1683264110642801E-2</v>
      </c>
      <c r="KO183" s="189">
        <f>KN183*各项系数!$E$46</f>
        <v>0.78862032746838906</v>
      </c>
      <c r="KP183" s="235">
        <f>各项系数!$F$76/4*($NH183^2-$NE183^2)*10^-2*(VLOOKUP($KP$9,各项系数!$D$1:$F$143,3,0))*10^-3*10^2*各项系数!$J$4</f>
        <v>6.6520184705468791E-2</v>
      </c>
      <c r="KQ183" s="102">
        <v>1</v>
      </c>
      <c r="KR183" s="189">
        <f t="shared" si="657"/>
        <v>6.6520184705468791E-2</v>
      </c>
      <c r="KS183" s="189">
        <f>KR183*(VLOOKUP($KP$9,各项系数!$D$1:$F$143,2,0))</f>
        <v>1.1308431399929695</v>
      </c>
      <c r="KT183" s="235">
        <f>各项系数!$F$76/4*($NI183^2-$NF183^2)*10^-2*(VLOOKUP($KT$9,各项系数!$D$1:$F$143,3,0))*10^-3*10^2*各项系数!$J$4</f>
        <v>6.760799257770081E-2</v>
      </c>
      <c r="KU183" s="102">
        <v>1</v>
      </c>
      <c r="KV183" s="189">
        <f t="shared" si="658"/>
        <v>6.760799257770081E-2</v>
      </c>
      <c r="KW183" s="189">
        <f>KV183*(VLOOKUP($KT$9,各项系数!$D$1:$F$143,2,0))</f>
        <v>1.1493358738209138</v>
      </c>
      <c r="KX183" s="189">
        <f>各项系数!$F$76/4*($NH183^2-$NE183^2)*10^-2*(VLOOKUP($KX$9,各项系数!$D$1:$F$143,3,0))*10^-3*10^2*各项系数!$J$4</f>
        <v>6.6520184705468791E-2</v>
      </c>
      <c r="KY183" s="353">
        <v>1</v>
      </c>
      <c r="KZ183" s="189">
        <f t="shared" si="659"/>
        <v>6.6520184705468791E-2</v>
      </c>
      <c r="LA183" s="189">
        <f>KZ183*(VLOOKUP($KX$9,各项系数!$D$1:$F$143,2,0))</f>
        <v>1.1308431399929695</v>
      </c>
      <c r="LB183" s="189">
        <f>各项系数!$F$76/4*($NI183^2-$NF183^2)*10^-2*(VLOOKUP($LB$9,各项系数!$D$1:$F$143,3,0))*10^-3*10^2*各项系数!$J$4</f>
        <v>6.760799257770081E-2</v>
      </c>
      <c r="LC183" s="353">
        <v>1</v>
      </c>
      <c r="LD183" s="189">
        <f t="shared" si="660"/>
        <v>6.760799257770081E-2</v>
      </c>
      <c r="LE183" s="189">
        <f>LD183*(VLOOKUP($LB$9,各项系数!$D$1:$F$143,2,0))</f>
        <v>1.1493358738209138</v>
      </c>
      <c r="LF183" s="235">
        <f>各项系数!$F$76/4*($NH183^2-$NE183^2)*10^-2*(VLOOKUP(AN183,各项系数!$D$1:$F$143,3,0))*10^-3*10^2*各项系数!$J$4</f>
        <v>6.743770449450974E-2</v>
      </c>
      <c r="LG183" s="102">
        <v>1</v>
      </c>
      <c r="LH183" s="189">
        <f t="shared" si="791"/>
        <v>6.743770449450974E-2</v>
      </c>
      <c r="LI183" s="189">
        <f>LH183*(VLOOKUP(AN183,各项系数!$D$1:$F$143,2,0))</f>
        <v>0.67437704494509743</v>
      </c>
      <c r="LJ183" s="235">
        <f>各项系数!$F$76/4*($NI183^2-$NF183^2)*10^-2*(VLOOKUP(AN183,各项系数!$D$1:$F$143,3,0))*10^-3*10^2*各项系数!$J$4</f>
        <v>6.854051661325529E-2</v>
      </c>
      <c r="LK183" s="102">
        <v>1</v>
      </c>
      <c r="LL183" s="189">
        <f t="shared" si="792"/>
        <v>6.854051661325529E-2</v>
      </c>
      <c r="LM183" s="189">
        <f>LL183*(VLOOKUP(AN183,各项系数!$D$1:$F$143,2,0))</f>
        <v>0.68540516613255287</v>
      </c>
      <c r="LN183" s="189">
        <f>各项系数!$F$76/4*($NH183^2-$NE183^2)*10^-2*(VLOOKUP($LN$9,各项系数!$D$1:$F$143,3,0))*10^-3*10^2*各项系数!$J$4</f>
        <v>6.743770449450974E-2</v>
      </c>
      <c r="LO183" s="353">
        <v>1</v>
      </c>
      <c r="LP183" s="189">
        <f t="shared" si="793"/>
        <v>6.743770449450974E-2</v>
      </c>
      <c r="LQ183" s="189">
        <f>LP183*(VLOOKUP($LN$9,各项系数!$D$1:$F$143,2,0))</f>
        <v>0.74181474943960712</v>
      </c>
      <c r="LR183" s="189">
        <f>各项系数!$F$76/4*($NI183^2-$NF183^2)*10^-2*(VLOOKUP($LR$9,各项系数!$D$1:$F$143,3,0))*10^-3*10^2*各项系数!$J$4</f>
        <v>6.854051661325529E-2</v>
      </c>
      <c r="LS183" s="353">
        <v>1</v>
      </c>
      <c r="LT183" s="189">
        <f t="shared" si="794"/>
        <v>6.854051661325529E-2</v>
      </c>
      <c r="LU183" s="189">
        <f>LT183*(VLOOKUP($LR$9,各项系数!$D$1:$F$143,2,0))</f>
        <v>0.7539456827458082</v>
      </c>
      <c r="LV183" s="227">
        <f t="shared" si="661"/>
        <v>7.00403223</v>
      </c>
      <c r="LW183" s="227">
        <f t="shared" si="662"/>
        <v>7.00403223</v>
      </c>
      <c r="LX183" s="227">
        <f t="shared" si="663"/>
        <v>2.9862703842478173</v>
      </c>
      <c r="LY183" s="227">
        <f t="shared" si="664"/>
        <v>0</v>
      </c>
      <c r="LZ183" s="374">
        <f t="shared" si="608"/>
        <v>1</v>
      </c>
      <c r="MA183" s="375">
        <f t="shared" si="609"/>
        <v>7.00403223</v>
      </c>
      <c r="MB183" s="375">
        <f t="shared" si="665"/>
        <v>1.7241240099999999</v>
      </c>
      <c r="MC183" s="227">
        <f t="shared" si="666"/>
        <v>0</v>
      </c>
      <c r="MD183" s="227">
        <f t="shared" si="667"/>
        <v>0</v>
      </c>
      <c r="ME183" s="227">
        <f t="shared" si="668"/>
        <v>0</v>
      </c>
      <c r="MF183" s="227">
        <f t="shared" si="669"/>
        <v>0</v>
      </c>
      <c r="MG183" s="374">
        <f t="shared" si="670"/>
        <v>1</v>
      </c>
      <c r="MH183" s="375">
        <f t="shared" si="610"/>
        <v>0</v>
      </c>
      <c r="MI183" s="375">
        <f t="shared" si="671"/>
        <v>0</v>
      </c>
      <c r="MJ183" s="189">
        <f t="shared" si="611"/>
        <v>1.7241240099999999</v>
      </c>
      <c r="MK183" s="189">
        <f t="shared" si="672"/>
        <v>1.7241240099999999</v>
      </c>
      <c r="ML183" s="189">
        <f t="shared" si="795"/>
        <v>0</v>
      </c>
      <c r="MM183" s="189">
        <f t="shared" si="612"/>
        <v>0</v>
      </c>
      <c r="MN183" s="189">
        <f t="shared" si="613"/>
        <v>3.1241240100000001</v>
      </c>
      <c r="MO183" s="189">
        <f t="shared" si="673"/>
        <v>0</v>
      </c>
      <c r="MP183" s="189">
        <f t="shared" si="674"/>
        <v>6.7481078600000002</v>
      </c>
      <c r="MQ183" s="189">
        <f t="shared" si="796"/>
        <v>6.7481078600000002</v>
      </c>
      <c r="MR183" s="246">
        <f t="shared" si="675"/>
        <v>6.7481078600000002</v>
      </c>
      <c r="MS183" s="380">
        <f t="shared" si="614"/>
        <v>6.9241078600000003</v>
      </c>
      <c r="MT183" s="380">
        <f t="shared" si="615"/>
        <v>7.0841078600000005</v>
      </c>
      <c r="MU183" s="380">
        <f t="shared" si="616"/>
        <v>8.1241078600000005</v>
      </c>
      <c r="MV183" s="380">
        <f t="shared" si="617"/>
        <v>9.9241078599999994</v>
      </c>
      <c r="MW183" s="380">
        <f t="shared" si="618"/>
        <v>10.08410786</v>
      </c>
      <c r="MX183" s="254">
        <f t="shared" si="619"/>
        <v>2.3241240100000002</v>
      </c>
      <c r="MY183" s="254">
        <f t="shared" si="620"/>
        <v>0</v>
      </c>
      <c r="MZ183" s="189">
        <f t="shared" si="621"/>
        <v>3.7241240100000002</v>
      </c>
      <c r="NA183" s="189">
        <f t="shared" si="622"/>
        <v>0</v>
      </c>
      <c r="NB183" s="189">
        <f t="shared" si="676"/>
        <v>8.0441078600000004</v>
      </c>
      <c r="NC183" s="254">
        <f t="shared" si="797"/>
        <v>8.0441078600000004</v>
      </c>
      <c r="ND183" s="246">
        <f t="shared" si="677"/>
        <v>8.0441078600000004</v>
      </c>
      <c r="NE183" s="386">
        <f t="shared" si="678"/>
        <v>8.2841078600000007</v>
      </c>
      <c r="NF183" s="380">
        <f t="shared" si="623"/>
        <v>8.4441078600000008</v>
      </c>
      <c r="NG183" s="387">
        <f t="shared" si="624"/>
        <v>9.4841078600000017</v>
      </c>
      <c r="NH183" s="254">
        <f t="shared" si="625"/>
        <v>11.284107860000001</v>
      </c>
      <c r="NI183" s="380">
        <f t="shared" si="626"/>
        <v>11.444107860000001</v>
      </c>
      <c r="NK183" s="388">
        <f t="shared" si="627"/>
        <v>0.15462886511840346</v>
      </c>
      <c r="NL183" s="388">
        <f t="shared" si="628"/>
        <v>4.9097057725996294</v>
      </c>
      <c r="NM183" s="388">
        <f t="shared" si="629"/>
        <v>0.15462886511840346</v>
      </c>
      <c r="NN183" s="388">
        <f t="shared" si="630"/>
        <v>4.9677695740848016</v>
      </c>
      <c r="NO183" s="388">
        <f t="shared" si="631"/>
        <v>0.25095058504692869</v>
      </c>
      <c r="NP183" s="388">
        <f t="shared" si="632"/>
        <v>5.3237488893943938</v>
      </c>
      <c r="NQ183" s="388">
        <f t="shared" si="633"/>
        <v>0.25095058504692869</v>
      </c>
      <c r="NR183" s="388">
        <f t="shared" si="634"/>
        <v>5.3911865938889028</v>
      </c>
      <c r="NS183" s="388">
        <f t="shared" si="635"/>
        <v>0.1644124359854354</v>
      </c>
      <c r="NT183" s="388">
        <f t="shared" si="636"/>
        <v>0.1644124359854354</v>
      </c>
      <c r="NU183" s="388">
        <f t="shared" si="637"/>
        <v>0.26263384915757149</v>
      </c>
      <c r="NV183" s="388">
        <f t="shared" si="638"/>
        <v>0.26263384915757149</v>
      </c>
      <c r="NW183">
        <f t="shared" si="639"/>
        <v>0.26498232893901019</v>
      </c>
      <c r="NX183">
        <f>各项系数!$M$9*NK183</f>
        <v>4.6388659535521036E-2</v>
      </c>
      <c r="NY183">
        <f t="shared" si="640"/>
        <v>0.16441243598543542</v>
      </c>
    </row>
    <row r="184" spans="1:389" ht="15" hidden="1" customHeight="1">
      <c r="A184" s="69"/>
      <c r="B184" s="70"/>
      <c r="C184" s="69"/>
      <c r="D184" s="102" t="s">
        <v>153</v>
      </c>
      <c r="E184" s="61">
        <f t="shared" si="805"/>
        <v>10.7363801</v>
      </c>
      <c r="F184" s="62">
        <f t="shared" si="820"/>
        <v>172.412400708262</v>
      </c>
      <c r="G184" s="62"/>
      <c r="H184" s="16"/>
      <c r="I184" s="145">
        <v>0</v>
      </c>
      <c r="J184" s="16"/>
      <c r="K184" s="16"/>
      <c r="L184" s="97" t="s">
        <v>469</v>
      </c>
      <c r="M184" s="103">
        <f t="shared" si="582"/>
        <v>0.7</v>
      </c>
      <c r="N184" s="103">
        <f t="shared" si="804"/>
        <v>0</v>
      </c>
      <c r="O184" s="53">
        <f t="shared" si="819"/>
        <v>0.08</v>
      </c>
      <c r="P184" s="99">
        <v>0.1</v>
      </c>
      <c r="Q184" s="133">
        <f t="shared" ref="Q184:Q193" si="823">$Q$12</f>
        <v>0.1</v>
      </c>
      <c r="R184" s="406">
        <v>0.8</v>
      </c>
      <c r="S184" s="142" t="str">
        <f>各项系数!$D$43</f>
        <v>钢带</v>
      </c>
      <c r="T184" s="102">
        <v>0.2</v>
      </c>
      <c r="U184" s="62">
        <v>4</v>
      </c>
      <c r="V184" s="143"/>
      <c r="W184" s="141">
        <f t="shared" si="821"/>
        <v>1.5</v>
      </c>
      <c r="X184" s="135">
        <f t="shared" ref="X184:X193" si="824">$X$12</f>
        <v>0.2</v>
      </c>
      <c r="Y184" s="135"/>
      <c r="Z184" s="168"/>
      <c r="AA184" s="153">
        <v>1</v>
      </c>
      <c r="AB184" s="153">
        <f>PI()*EJ184*EJ184/4*EH184*(1-H184)*AA184*各项系数!$F$5*各项系数!$J$4*10^-7</f>
        <v>2.0651505688902914E-2</v>
      </c>
      <c r="AC184" s="153">
        <f t="shared" si="808"/>
        <v>172.412400708262</v>
      </c>
      <c r="AD184" s="153">
        <f t="shared" si="584"/>
        <v>2.3346774015073013</v>
      </c>
      <c r="AE184" s="153">
        <f>POWER(4*EU184/PI()/EG184/10^-7/EH184/(1-H184)/各项系数!$F$5/各项系数!$J$4,0.5)</f>
        <v>172.41240070826197</v>
      </c>
      <c r="AF184" s="69">
        <v>1</v>
      </c>
      <c r="AG184" s="69">
        <f>IF(EM184=0,0,PI()*ER184*ER184/4*EP184*(1-K184)*(1+AF184)*各项系数!$F$5*各项系数!$J$4*10^-7)</f>
        <v>0</v>
      </c>
      <c r="AH184" s="69">
        <f t="shared" si="809"/>
        <v>0</v>
      </c>
      <c r="AI184" s="69">
        <f t="shared" si="641"/>
        <v>0</v>
      </c>
      <c r="AJ184" s="69">
        <f>IF(OR(EP184="",EP184=0),0,POWER(4*EW184/PI()/EO184/10^-7/EP184/(1-K184)/各项系数!$F$5/各项系数!$J$4,0.5))</f>
        <v>0</v>
      </c>
      <c r="AK184" s="69" t="str">
        <f t="shared" si="585"/>
        <v>√</v>
      </c>
      <c r="AL184" s="69">
        <f t="shared" si="810"/>
        <v>6.6331382550894551</v>
      </c>
      <c r="AM184" s="188">
        <f t="shared" si="811"/>
        <v>2.5</v>
      </c>
      <c r="AN184" s="97" t="s">
        <v>486</v>
      </c>
      <c r="AO184" s="196">
        <f>AP184+各项系数!$M$9*$NK184</f>
        <v>6.5030767206759359</v>
      </c>
      <c r="AP184" s="196">
        <f>AQ184*(1+$BI184+(VLOOKUP($AM184,$A$12:$B$323,2,0))+各项系数!$J$6+各项系数!$M$5)*(1+$E$2)</f>
        <v>6.4464723416562588</v>
      </c>
      <c r="AQ184" s="197">
        <f>AR184+各项系数!$L$9*$NK184</f>
        <v>6.5780330016900601</v>
      </c>
      <c r="AR184" s="197">
        <f>AS184*(1+$BJ184+各项系数!$J$5+各项系数!$L$5)</f>
        <v>6.521428622670383</v>
      </c>
      <c r="AS184" s="197">
        <f t="shared" si="642"/>
        <v>6.3935574732062577</v>
      </c>
      <c r="AT184" s="196">
        <f>AU184+各项系数!$M$9*$NM184</f>
        <v>6.9338168534694251</v>
      </c>
      <c r="AU184" s="196">
        <f>AV184*(1+$BI184+(VLOOKUP($AM184,$A$12:$B$323,2,0))+各项系数!$J$6+各项系数!$M$5)*(1+$E$2)</f>
        <v>6.877212474449748</v>
      </c>
      <c r="AV184" s="197">
        <f>AW184+各项系数!$L$9*$NM184</f>
        <v>7.0175637494385184</v>
      </c>
      <c r="AW184" s="197">
        <f>AX184*(1+$BJ184+各项系数!$J$5+各项系数!$L$5)</f>
        <v>6.9609593704188413</v>
      </c>
      <c r="AX184" s="197">
        <f t="shared" si="643"/>
        <v>6.8244699709988641</v>
      </c>
      <c r="AY184" s="196">
        <f>AZ184+各项系数!$M$9*$NS184</f>
        <v>7.2572681719316385</v>
      </c>
      <c r="AZ184" s="196">
        <f>BA184*(1+$BI184+(VLOOKUP($AM184,$A$12:$B$214,2,0))+各项系数!$J$6+各项系数!$M$5)*(1+$E$2)</f>
        <v>7.197388338985756</v>
      </c>
      <c r="BA184" s="197">
        <f>BB184+各项系数!$L$9*$NS184</f>
        <v>7.3442738152915883</v>
      </c>
      <c r="BB184" s="197">
        <f>BC184*(1+$BJ184+各项系数!$J$5+各项系数!$L$5)</f>
        <v>7.2843939823457058</v>
      </c>
      <c r="BC184" s="199">
        <f t="shared" si="644"/>
        <v>7.1415627277899079</v>
      </c>
      <c r="BD184" s="196">
        <f>BE184+各项系数!$M$9*$NS184</f>
        <v>7.6954699315205621</v>
      </c>
      <c r="BE184" s="196">
        <f>BF184*(1+$BI184+(VLOOKUP($AM184,$A$12:$B$214,2,0))+各项系数!$J$6+各项系数!$M$5)*(1+$E$2)</f>
        <v>7.6355900985746796</v>
      </c>
      <c r="BF184" s="197">
        <f>BG184+各项系数!$L$9*$NS184</f>
        <v>7.7914184679333465</v>
      </c>
      <c r="BG184" s="197">
        <f>BH184*(1+$BJ184+各项系数!$J$5+各项系数!$L$5)</f>
        <v>7.731538634987464</v>
      </c>
      <c r="BH184" s="199">
        <f t="shared" si="645"/>
        <v>7.5799398382230034</v>
      </c>
      <c r="BI184" s="213"/>
      <c r="BJ184" s="208">
        <f t="shared" si="822"/>
        <v>0</v>
      </c>
      <c r="BK184" s="102" t="s">
        <v>514</v>
      </c>
      <c r="BL184" s="196">
        <f>BM184+各项系数!$M$9*$NM184</f>
        <v>6.6299944603605558</v>
      </c>
      <c r="BM184" s="196">
        <f>BN184*(1+$CF184+(VLOOKUP($AM184,$A$12:$B$323,2,0))+各项系数!$J$6+各项系数!$M$5)*(1+$E$2)</f>
        <v>6.5733900813408788</v>
      </c>
      <c r="BN184" s="197">
        <f>BO184+各项系数!$L$9*$NM184</f>
        <v>6.7075408993274275</v>
      </c>
      <c r="BO184" s="197">
        <f>BP184*(1+$CG184+各项系数!$J$5+各项系数!$L$5)</f>
        <v>6.6509365203077504</v>
      </c>
      <c r="BP184" s="197">
        <f t="shared" si="646"/>
        <v>6.4572199226288838</v>
      </c>
      <c r="BQ184" s="196">
        <f>BR184+各项系数!$M$9*$NM184</f>
        <v>7.0006966591852136</v>
      </c>
      <c r="BR184" s="196">
        <f>BS184*(1+$CF184+(VLOOKUP($AM184,$A$12:$B$323,2,0))+各项系数!$J$6+各项系数!$M$5)*(1+$E$2)</f>
        <v>6.9440922801655365</v>
      </c>
      <c r="BS184" s="197">
        <f>BT184+各项系数!$L$9*$NM184</f>
        <v>7.0858084491485069</v>
      </c>
      <c r="BT184" s="197">
        <f>BU184*(1+$CG184+各项系数!$J$5+各项系数!$L$5)</f>
        <v>7.0292040701288299</v>
      </c>
      <c r="BU184" s="197">
        <f t="shared" si="647"/>
        <v>6.8244699709988641</v>
      </c>
      <c r="BV184" s="196">
        <f>BW184+各项系数!$M$9*$NT184</f>
        <v>7.342045440468751</v>
      </c>
      <c r="BW184" s="196">
        <f>BX184*(1+$CF184+(VLOOKUP($AM184,$A$12:$B$214,2,0))+各项系数!$J$6+各项系数!$M$5)*(1+$E$2)</f>
        <v>7.2821656075228685</v>
      </c>
      <c r="BX184" s="197">
        <f>BY184+各项系数!$L$9*$NT$12</f>
        <v>7.4307812321661926</v>
      </c>
      <c r="BY184" s="197">
        <f>BZ184*(1+$CG184+各项系数!$J$5+各项系数!$L$5)</f>
        <v>7.4225178290112188</v>
      </c>
      <c r="BZ184" s="199">
        <f t="shared" si="586"/>
        <v>7.2063279893312799</v>
      </c>
      <c r="CA184" s="196">
        <f>CB184+各项系数!$M$9*$NT184</f>
        <v>7.7191692407400563</v>
      </c>
      <c r="CB184" s="196">
        <f>CC184*(1+$CF184+(VLOOKUP($AM184,$A$12:$B$214,2,0))+各项系数!$J$6+各项系数!$M$5)*(1+$E$2)</f>
        <v>7.6592894077941738</v>
      </c>
      <c r="CC184" s="197">
        <f>CD184+各项系数!$L$9*$NT$12</f>
        <v>7.8156014365246671</v>
      </c>
      <c r="CD184" s="197">
        <f>CE184*(1+$CG184+各项系数!$J$5+各项系数!$L$5)</f>
        <v>7.8073380333696933</v>
      </c>
      <c r="CE184" s="199">
        <f t="shared" si="648"/>
        <v>7.5799398382230034</v>
      </c>
      <c r="CF184" s="213">
        <f t="shared" si="753"/>
        <v>0</v>
      </c>
      <c r="CG184" s="213">
        <f t="shared" si="587"/>
        <v>0.01</v>
      </c>
      <c r="CH184" s="102"/>
      <c r="CI184" s="196">
        <f>CJ184+各项系数!$M$9*$NO184</f>
        <v>7.1439926360759047</v>
      </c>
      <c r="CJ184" s="196">
        <f>CK184*(1+$DC184+(VLOOKUP($AM184,$A$12:$B$323,2,0))+各项系数!$J$6+各项系数!$M$5)*(1+$E$2)+各项系数!$M$9*$NK184</f>
        <v>7.0543374050372512</v>
      </c>
      <c r="CK184" s="197">
        <f>CL184+各项系数!$L$9*$NO184</f>
        <v>7.140543904099566</v>
      </c>
      <c r="CL184" s="197">
        <f>CM184*(1+$DD184+各项系数!$J$5+各项系数!$L$5)</f>
        <v>7.0508886730609124</v>
      </c>
      <c r="CM184" s="197">
        <f t="shared" si="588"/>
        <v>6.9126359539812867</v>
      </c>
      <c r="CN184" s="196">
        <f>CO184+各项系数!$M$9*$NO184</f>
        <v>7.4702831171975541</v>
      </c>
      <c r="CO184" s="196">
        <f>CP184*(1+$DC184+(VLOOKUP($AM184,$A$12:$B$323,2,0))+各项系数!$J$6+各项系数!$M$5)*(1+$E$2)+各项系数!$M$9*$NK184</f>
        <v>7.3806278861589005</v>
      </c>
      <c r="CP184" s="197">
        <f>CQ184+各项系数!$L$9*$NO184</f>
        <v>7.473493374631861</v>
      </c>
      <c r="CQ184" s="197">
        <f>CR184*(1+$DD184+各项系数!$J$5+各项系数!$L$5)</f>
        <v>7.3838381435932074</v>
      </c>
      <c r="CR184" s="197">
        <f t="shared" si="589"/>
        <v>7.2390570035227526</v>
      </c>
      <c r="CS184" s="196">
        <f>CT184+各项系数!$M$9*$NU184</f>
        <v>7.9857183353262613</v>
      </c>
      <c r="CT184" s="196">
        <f t="shared" si="590"/>
        <v>7.8921523705914067</v>
      </c>
      <c r="CU184" s="197">
        <f>CV184+各项系数!$L$9*$NU184</f>
        <v>8.0532167046851093</v>
      </c>
      <c r="CV184" s="197">
        <f>CW184*(1+$DD184+各项系数!$J$5+各项系数!$L$5)</f>
        <v>7.9596507399502547</v>
      </c>
      <c r="CW184" s="199">
        <f t="shared" si="591"/>
        <v>7.8035791568139752</v>
      </c>
      <c r="CX184" s="196">
        <f>CY184+各项系数!$M$9*$NU184</f>
        <v>8.4946190088019069</v>
      </c>
      <c r="CY184" s="196">
        <f t="shared" si="592"/>
        <v>8.4010530440670514</v>
      </c>
      <c r="CZ184" s="197">
        <f>DA184+各项系数!$L$9*$NU184</f>
        <v>8.5725031061908687</v>
      </c>
      <c r="DA184" s="197">
        <f>DB184*(1+$DD184+各项系数!$J$5+各项系数!$L$5)</f>
        <v>8.4789371414560133</v>
      </c>
      <c r="DB184" s="199">
        <f t="shared" si="593"/>
        <v>8.3126834720156992</v>
      </c>
      <c r="DC184" s="213">
        <f t="shared" si="803"/>
        <v>0</v>
      </c>
      <c r="DD184" s="213">
        <f t="shared" si="594"/>
        <v>0</v>
      </c>
      <c r="DE184" s="53" t="s">
        <v>498</v>
      </c>
      <c r="DF184" s="53" t="s">
        <v>513</v>
      </c>
      <c r="DG184" s="196">
        <f>DH184+各项系数!$M$9*$NQ184</f>
        <v>7.2865447116585909</v>
      </c>
      <c r="DH184" s="196">
        <f>DI184*(1+$EA184+(VLOOKUP($AM184,$A$12:$B$323,2,0))+各项系数!$J$6+各项系数!$M$5)*(1+$E$2)+各项系数!$M$9*$NK184</f>
        <v>7.1968894806199373</v>
      </c>
      <c r="DI184" s="197">
        <f>DJ184+各项系数!$L$9*$NQ184</f>
        <v>7.2860052057145515</v>
      </c>
      <c r="DJ184" s="197">
        <f>DK184*(1+$EB184+各项系数!$J$5+各项系数!$L$5)</f>
        <v>7.1963499746758979</v>
      </c>
      <c r="DK184" s="197">
        <f t="shared" si="595"/>
        <v>6.9867475482290269</v>
      </c>
      <c r="DL184" s="196">
        <f>DM184+各项系数!$M$9*$NQ184</f>
        <v>7.7180915841902324</v>
      </c>
      <c r="DM184" s="196">
        <f>DN184*(1+$EA184+(VLOOKUP($AM184,$A$12:$B$323,2,0))+各项系数!$J$6+各项系数!$M$5)*(1+$E$2)+各项系数!$M$9*$NK184</f>
        <v>7.6284363531515789</v>
      </c>
      <c r="DN184" s="197">
        <f>DO184+各项系数!$L$9*$NQ184</f>
        <v>7.726359157277451</v>
      </c>
      <c r="DO184" s="197">
        <f>DP184*(1+$EB184+各项系数!$J$5+各项系数!$L$5)</f>
        <v>7.6367039262387975</v>
      </c>
      <c r="DP184" s="197">
        <f t="shared" si="596"/>
        <v>7.4142756565425216</v>
      </c>
      <c r="DQ184" s="196">
        <f>DR184+各项系数!$M$9*$NV184</f>
        <v>8.1381148328493715</v>
      </c>
      <c r="DR184" s="196">
        <f t="shared" si="597"/>
        <v>8.0445488681145161</v>
      </c>
      <c r="DS184" s="197">
        <f>DT184+各项系数!$L$9*$NV184</f>
        <v>8.2087233348107311</v>
      </c>
      <c r="DT184" s="197">
        <f>DU184*(1+$EB184+各项系数!$J$5+各项系数!$L$5)</f>
        <v>8.1151573700758757</v>
      </c>
      <c r="DU184" s="199">
        <f t="shared" si="598"/>
        <v>7.8787935631804613</v>
      </c>
      <c r="DV184" s="196">
        <f>DW184+各项系数!$M$9*$NV184</f>
        <v>8.2381084389324499</v>
      </c>
      <c r="DW184" s="196">
        <f t="shared" si="599"/>
        <v>8.1445424741975945</v>
      </c>
      <c r="DX184" s="197">
        <f>DY184+各项系数!$L$9*$NV184</f>
        <v>8.3107576267322401</v>
      </c>
      <c r="DY184" s="197">
        <f>DZ184*(1+$EB184+各项系数!$J$5+各项系数!$L$5)</f>
        <v>8.2171916619973846</v>
      </c>
      <c r="DZ184" s="199">
        <f t="shared" si="600"/>
        <v>7.9778559825217323</v>
      </c>
      <c r="EA184" s="213">
        <f t="shared" si="802"/>
        <v>0</v>
      </c>
      <c r="EB184" s="213">
        <f t="shared" si="601"/>
        <v>0.01</v>
      </c>
      <c r="EC184" s="235">
        <f t="shared" si="649"/>
        <v>4</v>
      </c>
      <c r="ED184" s="235" t="str">
        <f t="shared" si="756"/>
        <v>4*2.5</v>
      </c>
      <c r="EE184" s="189">
        <f t="shared" si="812"/>
        <v>2.5</v>
      </c>
      <c r="EF184" s="189">
        <f>LOOKUP(EH184,{1,7,10,14,19,24,30,37,48,61},{1,"1+6","2+8","4+10","1+6+12","2+8+14","4+10+16","1+6+12+18","3+9+15+21","1+6+12+18+24"})</f>
        <v>1</v>
      </c>
      <c r="EG184" s="188">
        <f t="shared" si="602"/>
        <v>4</v>
      </c>
      <c r="EH184" s="197">
        <f>VLOOKUP(EE184,各项系数!$B$87:$C$124,2,0)</f>
        <v>1</v>
      </c>
      <c r="EI184" s="188">
        <f>IF(EH184=0,0,VLOOKUP(EH184,各项系数!$D$142:$E$195,2,0))*1</f>
        <v>1</v>
      </c>
      <c r="EJ184" s="238">
        <f t="shared" si="650"/>
        <v>172.412400708262</v>
      </c>
      <c r="EK184" s="189">
        <f t="shared" si="813"/>
        <v>0</v>
      </c>
      <c r="EL184" s="189">
        <f t="shared" si="603"/>
        <v>0</v>
      </c>
      <c r="EM184" s="189">
        <f t="shared" si="814"/>
        <v>0</v>
      </c>
      <c r="EN184" s="189">
        <f>IF(EP184=0,0,LOOKUP(EP184,{1,7,10,14,19,24,30,37,48,61},{1,"1+6","2+8","4+10","1+6+12","2+8+14","4+10+16","1+6+12+18","3+9+15+21","1+6+12+18+24"}))</f>
        <v>0</v>
      </c>
      <c r="EO184" s="189">
        <f t="shared" si="815"/>
        <v>0</v>
      </c>
      <c r="EP184" s="189">
        <f>IF(EM184=0,0,IF(EM184&lt;10,1,IF(AND(EM184&gt;=10,EM184&lt;=35),7,LOOKUP(EM184,{50,70,95,120,150,185,240,300},{10,14,19,24,30,37,48,61})*1)))</f>
        <v>0</v>
      </c>
      <c r="EQ184" s="189">
        <f>IF(EP184=0,0,VLOOKUP(EP184,各项系数!$D$142:$E$195,2,0))*1</f>
        <v>0</v>
      </c>
      <c r="ER184" s="53">
        <f t="shared" si="816"/>
        <v>0</v>
      </c>
      <c r="ES184" s="412">
        <f t="shared" si="817"/>
        <v>4</v>
      </c>
      <c r="ET184" s="189">
        <f>VLOOKUP(ES184,各项系数!$D$142:$E$195,2,0)*1</f>
        <v>2.42</v>
      </c>
      <c r="EU184" s="243">
        <f>((各项系数!$F$76/4*$EJ184^2*$EG184*$EH184*1*10^-7)*(1-$H184)*AA184)*(VLOOKUP($EY$9,各项系数!$D$4:$F$143,3,0))*各项系数!$J$4</f>
        <v>8.2606022755611658E-2</v>
      </c>
      <c r="EV184" s="244">
        <f>EU184*(VLOOKUP($EY$9,各项系数!$D$4:$F$143,2,0))</f>
        <v>5.4106944904925633</v>
      </c>
      <c r="EW184" s="252">
        <f>(IF($EO184=0,0,(各项系数!$F$76/4*$ER184^2*$EO184*$EP184*1*10^-7))*(1-$K184)*$AF184)*(VLOOKUP($EY$9,各项系数!$D$4:$F$143,3,0))*各项系数!$J$4</f>
        <v>0</v>
      </c>
      <c r="EX184" s="253">
        <f>EW184*(VLOOKUP($EY$9,各项系数!$D$4:$F$143,2,0))</f>
        <v>0</v>
      </c>
      <c r="EY184" s="189">
        <f>((各项系数!$F$76/4*$EJ184^2*$EG184*$EH184*1*10^-7)*(1-$H184)*AA184+IF($EO184=0,0,(各项系数!$F$76/4*$ER184^2*$EO184*$EP184*1*10^-7))*(1-$K184)*$AF184)*(VLOOKUP($EY$9,各项系数!$D$4:$F$143,3,0))*各项系数!$J$4</f>
        <v>8.2606022755611658E-2</v>
      </c>
      <c r="EZ184" s="102">
        <v>1</v>
      </c>
      <c r="FA184" s="189">
        <f t="shared" si="757"/>
        <v>8.2606022755611658E-2</v>
      </c>
      <c r="FB184" s="254">
        <f>FA184*(VLOOKUP($EY$9,各项系数!$D$4:$F$143,2,0))</f>
        <v>5.4106944904925633</v>
      </c>
      <c r="FC184" s="255"/>
      <c r="FD184" s="235">
        <f>各项系数!$F$76/4*($MN184^2-MK184^2)*10^-2*(VLOOKUP(L184,各项系数!$D$1:$F$143,3,0))*10^-3*10^2*$EG184*各项系数!$J$4</f>
        <v>2.3338798961325839E-2</v>
      </c>
      <c r="FE184" s="262">
        <f>FD184*VLOOKUP(L184,各项系数!$D$1:$F$143,2,0)</f>
        <v>0.26839618805524718</v>
      </c>
      <c r="FF184" s="188">
        <f>各项系数!$F$76/4*($MO184^2-ML184^2)*10^-2*(VLOOKUP(L184,各项系数!$D$1:$F$143,3,0))*10^-3*10^2*$EO184*各项系数!$J$4</f>
        <v>0</v>
      </c>
      <c r="FG184" s="262">
        <f>FF184*VLOOKUP(L184,各项系数!$D$1:$F$143,2,0)</f>
        <v>0</v>
      </c>
      <c r="FH184" s="235">
        <f t="shared" si="651"/>
        <v>2.3338798961325839E-2</v>
      </c>
      <c r="FI184" s="102">
        <v>1</v>
      </c>
      <c r="FJ184" s="189">
        <f t="shared" si="758"/>
        <v>2.3338798961325839E-2</v>
      </c>
      <c r="FK184" s="262">
        <f>FJ184*VLOOKUP(L184,各项系数!$D$1:$F$143,2,0)</f>
        <v>0.26839618805524718</v>
      </c>
      <c r="FL184" s="235"/>
      <c r="FM184" s="102"/>
      <c r="FN184" s="189"/>
      <c r="FO184" s="262"/>
      <c r="FP184" s="282">
        <f t="shared" si="759"/>
        <v>2.3338798961325839E-2</v>
      </c>
      <c r="FQ184" s="282">
        <f t="shared" si="760"/>
        <v>0.26839618805524718</v>
      </c>
      <c r="FR184" s="283">
        <f>各项系数!$F$76/4*($MQ184^2-$MN184^2*$EG184-$MO184^2*$EO184)*10^-2</f>
        <v>0.14230428211221505</v>
      </c>
      <c r="FS184" s="284">
        <f t="shared" si="652"/>
        <v>1</v>
      </c>
      <c r="FT184" s="285">
        <f t="shared" si="604"/>
        <v>0.14230428211221505</v>
      </c>
      <c r="FU184" s="302">
        <f>$FT184*(VLOOKUP($FT$9,各项系数!$D$1:$F$143,3,0))*10^-3*10^2*各项系数!$J$55</f>
        <v>1.6991131284198477E-2</v>
      </c>
      <c r="FV184" s="303">
        <v>1</v>
      </c>
      <c r="FW184" s="304">
        <f t="shared" si="761"/>
        <v>1.6991131284198477E-2</v>
      </c>
      <c r="FX184" s="285">
        <f>FW184*(VLOOKUP($FT$9,各项系数!$D$1:$F$143,2,0))</f>
        <v>5.0973393852595431E-2</v>
      </c>
      <c r="FY184" s="302">
        <f>IF($BK184&lt;&gt;$FY$9,0,各项系数!$F$76/4*($MS184^2-$MQ184^2)*10^-2*(VLOOKUP($FY$9,各项系数!$D$1:$F$143,3,0))*10^-3*10^2)*各项系数!$J$4</f>
        <v>0</v>
      </c>
      <c r="FZ184" s="303">
        <v>1</v>
      </c>
      <c r="GA184" s="304">
        <f t="shared" si="762"/>
        <v>0</v>
      </c>
      <c r="GB184" s="285">
        <f>GA184*(VLOOKUP($FY$9,各项系数!$D$1:$F$143,2,0))</f>
        <v>0</v>
      </c>
      <c r="GC184" s="302">
        <f>IF($BK184&lt;&gt;$GC$9,0,各项系数!$F$76/4*($MS184^2-$MQ184^2)*10^-2*(VLOOKUP($GC$9,各项系数!$D$1:$F$143,3,0))*10^-3*10^2)*各项系数!$J$4</f>
        <v>2.0828609751618937E-3</v>
      </c>
      <c r="GD184" s="303">
        <v>1</v>
      </c>
      <c r="GE184" s="304">
        <f t="shared" si="763"/>
        <v>2.0828609751618937E-3</v>
      </c>
      <c r="GF184" s="285">
        <f>GE184*(VLOOKUP($GC$9,各项系数!$D$1:$F$143,2,0))</f>
        <v>2.6868906579588431E-2</v>
      </c>
      <c r="GG184" s="302">
        <f>IF($BK184&lt;&gt;$GG$9,0,各项系数!$F$76/4*($MS184^2-$MQ184^2)*10^-2*(VLOOKUP($GG$9,各项系数!$D$1:$F$143,3,0))*10^-3*10^2)*各项系数!$J$4</f>
        <v>0</v>
      </c>
      <c r="GH184" s="303">
        <v>1</v>
      </c>
      <c r="GI184" s="304">
        <f t="shared" si="764"/>
        <v>0</v>
      </c>
      <c r="GJ184" s="285">
        <f>GI184*(VLOOKUP($GG$9,各项系数!$D$1:$F$143,2,0))</f>
        <v>0</v>
      </c>
      <c r="GK184" s="302">
        <f>IF($BK184&lt;&gt;$GK$9,0,各项系数!$F$76/4*($MS184^2-$MQ184^2)*10^-2*(VLOOKUP($GK$9,各项系数!$D$1:$F$143,3,0))*10^-3*10^2)*各项系数!$J$4</f>
        <v>0</v>
      </c>
      <c r="GL184" s="303">
        <v>1</v>
      </c>
      <c r="GM184" s="304">
        <f t="shared" si="765"/>
        <v>0</v>
      </c>
      <c r="GN184" s="285">
        <f>GM184*(VLOOKUP($GK$9,各项系数!$D$1:$F$143,2,0))</f>
        <v>0</v>
      </c>
      <c r="GO184" s="304">
        <f t="shared" si="766"/>
        <v>2.0828609751618937E-3</v>
      </c>
      <c r="GP184" s="304">
        <f t="shared" si="767"/>
        <v>2.6868906579588431E-2</v>
      </c>
      <c r="GQ184" s="315">
        <f>各项系数!$F$76/4*($MU184^2-$MS184^2)*10^-2*(VLOOKUP($S184,各项系数!$D$1:$F$143,3,0))*10^-3*10^2*各项系数!$J$4</f>
        <v>0.12226677725486204</v>
      </c>
      <c r="GR184" s="303">
        <v>1</v>
      </c>
      <c r="GS184" s="304">
        <f t="shared" si="768"/>
        <v>0.12226677725486204</v>
      </c>
      <c r="GT184" s="304">
        <f t="shared" si="696"/>
        <v>1</v>
      </c>
      <c r="GU184" s="304">
        <f>ROUND($GS184*(VLOOKUP($S184,各项系数!$D$1:$F$143,2,0))+$E$3*GS184,GT184)</f>
        <v>0.7</v>
      </c>
      <c r="GV184" s="315">
        <f>各项系数!$F$76/4*($MT184^2-$MS184^2)*10^-2*(VLOOKUP($GV$9,各项系数!$D$1:$F$143,3,0))*10^-3*10^2*各项系数!$J$4*PI()/4*R184</f>
        <v>1.0918179754017701E-2</v>
      </c>
      <c r="GW184" s="303">
        <v>1</v>
      </c>
      <c r="GX184" s="304">
        <f t="shared" si="769"/>
        <v>1.0918179754017701E-2</v>
      </c>
      <c r="GY184" s="304">
        <f>$GX184*(VLOOKUP($GV$9,各项系数!$D$1:$F$143,2,0))</f>
        <v>0.73697713339619475</v>
      </c>
      <c r="GZ184" s="315">
        <f>各项系数!$F$76/4*($MV184^2-$MS184^2)*10^-2*(VLOOKUP($GZ$9,各项系数!$D$1:$F$143,3,0))*10^-3*10^2*各项系数!$J$4</f>
        <v>6.2796293648168786E-2</v>
      </c>
      <c r="HA184" s="303">
        <v>1</v>
      </c>
      <c r="HB184" s="304">
        <f t="shared" si="653"/>
        <v>6.2796293648168786E-2</v>
      </c>
      <c r="HC184" s="304">
        <f>HB184*(VLOOKUP($GZ$9,各项系数!$D$1:$F$143,2,0))</f>
        <v>1.0675369920188693</v>
      </c>
      <c r="HD184" s="315">
        <f>各项系数!$F$76/4*($MW184^2-$MT184^2)*10^-2*(VLOOKUP($HD$9,各项系数!$D$1:$F$143,3,0))*10^-3*10^2*各项系数!$J$4</f>
        <v>6.3884101520400791E-2</v>
      </c>
      <c r="HE184" s="303">
        <v>1</v>
      </c>
      <c r="HF184" s="304">
        <f t="shared" si="654"/>
        <v>6.3884101520400791E-2</v>
      </c>
      <c r="HG184" s="304">
        <f>HF184*(VLOOKUP($HD$9,各项系数!$D$1:$F$143,2,0))</f>
        <v>1.0860297258468135</v>
      </c>
      <c r="HH184" s="315">
        <f>各项系数!$F$76/4*($MV184^2-$MS184^2)*10^-2*(VLOOKUP($HH$9,各项系数!$D$1:$F$143,3,0))*10^-3*10^2*各项系数!$J$4</f>
        <v>6.2796293648168786E-2</v>
      </c>
      <c r="HI184" s="322">
        <v>1</v>
      </c>
      <c r="HJ184" s="304">
        <f t="shared" si="655"/>
        <v>6.2796293648168786E-2</v>
      </c>
      <c r="HK184" s="304">
        <f>HJ184*(VLOOKUP($HH$9,各项系数!$D$1:$F$143,2,0))</f>
        <v>1.0675369920188693</v>
      </c>
      <c r="HL184" s="315">
        <f>各项系数!$F$76/4*($MW184^2-$MT184^2)*10^-2*(VLOOKUP($HL$9,各项系数!$D$1:$F$143,3,0))*10^-3*10^2*各项系数!$J$4</f>
        <v>6.3884101520400791E-2</v>
      </c>
      <c r="HM184" s="322">
        <v>1</v>
      </c>
      <c r="HN184" s="304">
        <f t="shared" si="605"/>
        <v>6.3884101520400791E-2</v>
      </c>
      <c r="HO184" s="304">
        <f>HN184*(VLOOKUP($HL$9,各项系数!$D$1:$F$143,2,0))</f>
        <v>1.0860297258468135</v>
      </c>
      <c r="HP184" s="315">
        <f>各项系数!$F$76/4*($MV184^2-$MS184^2)*10^-2*(VLOOKUP(AN184,各项系数!$D$1:$F$143,3,0))*10^-3*10^2*各项系数!$J$4</f>
        <v>6.3662449422626263E-2</v>
      </c>
      <c r="HQ184" s="303">
        <v>1</v>
      </c>
      <c r="HR184" s="304">
        <f t="shared" si="770"/>
        <v>6.3662449422626263E-2</v>
      </c>
      <c r="HS184" s="304">
        <f>HR184*(VLOOKUP(AN184,各项系数!$D$1:$F$143,2,0))</f>
        <v>0.63662449422626266</v>
      </c>
      <c r="HT184" s="315">
        <f>各项系数!$F$76/4*($MW184^2-$MT184^2)*10^-2*(VLOOKUP(AN184,各项系数!$D$1:$F$143,3,0))*10^-3*10^2*各项系数!$J$4</f>
        <v>6.4765261541371813E-2</v>
      </c>
      <c r="HU184" s="303">
        <v>1</v>
      </c>
      <c r="HV184" s="304">
        <f t="shared" si="771"/>
        <v>6.4765261541371813E-2</v>
      </c>
      <c r="HW184" s="304">
        <f>HV184*(VLOOKUP(AN184,各项系数!$D$1:$F$143,2,0))</f>
        <v>0.6476526154137181</v>
      </c>
      <c r="HX184" s="315">
        <f>各项系数!$F$76/4*($MV184^2-$MS184^2)*10^-2*(VLOOKUP($HX$9,各项系数!$D$1:$F$143,3,0))*10^-3*10^2*各项系数!$J$4</f>
        <v>6.3662449422626263E-2</v>
      </c>
      <c r="HY184" s="322">
        <v>1</v>
      </c>
      <c r="HZ184" s="304">
        <f t="shared" si="772"/>
        <v>6.3662449422626263E-2</v>
      </c>
      <c r="IA184" s="304">
        <f>HZ184*(VLOOKUP($HX$9,各项系数!$D$1:$F$143,2,0))</f>
        <v>0.70028694364888888</v>
      </c>
      <c r="IB184" s="315">
        <f>各项系数!$F$76/4*($MW184^2-$MT184^2)*10^-2*(VLOOKUP($IB$9,各项系数!$D$1:$F$143,3,0))*10^-3*10^2*各项系数!$J$4</f>
        <v>6.4765261541371813E-2</v>
      </c>
      <c r="IC184" s="322">
        <v>1</v>
      </c>
      <c r="ID184" s="304">
        <f t="shared" si="773"/>
        <v>6.4765261541371813E-2</v>
      </c>
      <c r="IE184" s="304">
        <f>ID184*(VLOOKUP($IB$9,各项系数!$D$1:$F$143,2,0))</f>
        <v>0.71241787695508996</v>
      </c>
      <c r="IF184" s="328"/>
      <c r="IG184" s="315">
        <f t="shared" si="656"/>
        <v>1.1388920857509355E-2</v>
      </c>
      <c r="IH184" s="303">
        <v>1</v>
      </c>
      <c r="II184" s="304">
        <f t="shared" si="774"/>
        <v>1.1388920857509355E-2</v>
      </c>
      <c r="IJ184" s="304">
        <f>II184*(VLOOKUP($IG$8,各项系数!$D$1:$F$143,2,0))</f>
        <v>0.28472302143773387</v>
      </c>
      <c r="IK184" s="315">
        <f>(各项系数!$F$76/4*($MX184^2-$MK184^2)*$EG184)*10^-2*(VLOOKUP($IG$8,各项系数!$D$1:$F$143,3,0))*10^-3*10^2*各项系数!$J$4</f>
        <v>1.1388920857509355E-2</v>
      </c>
      <c r="IL184" s="303">
        <f>IK184*(VLOOKUP($IG$8,各项系数!$D$1:$F$143,2,0))</f>
        <v>0.28472302143773387</v>
      </c>
      <c r="IM184" s="304">
        <f>(各项系数!$F$76/4*(($MM184+3*$X184)^2-MM184^2)*$EO184)*10^-2*(VLOOKUP($IG$8,各项系数!$D$1:$F$143,3,0))*10^-3*10^2*各项系数!$J$4</f>
        <v>0</v>
      </c>
      <c r="IN184" s="303">
        <f>IM184*(VLOOKUP($IG$8,各项系数!$D$1:$F$143,2,0))</f>
        <v>0</v>
      </c>
      <c r="IO184" s="315">
        <f>各项系数!$F$76/4*($MZ184^2-$MX184^2)*10^-2*(VLOOKUP(L184,各项系数!$D$1:$F$143,3,0))*10^-3*10^2*$ES184*各项系数!$J$4</f>
        <v>2.911543386904061E-2</v>
      </c>
      <c r="IP184" s="303">
        <v>1</v>
      </c>
      <c r="IQ184" s="304">
        <f t="shared" si="775"/>
        <v>2.911543386904061E-2</v>
      </c>
      <c r="IR184" s="285">
        <f>IQ184*(VLOOKUP(L184,各项系数!$D$1:$F$143,2,0))</f>
        <v>0.33482748949396701</v>
      </c>
      <c r="IS184" s="315">
        <f>IF($L184&lt;&gt;$IS$9,0,各项系数!$F$76/4*($MZ184^2-$MX184^2)*10^-2*各项系数!$F$12*10^-3*10^2)*$ES184*各项系数!$J$4</f>
        <v>0</v>
      </c>
      <c r="IT184" s="303">
        <v>1</v>
      </c>
      <c r="IU184" s="304">
        <f t="shared" si="776"/>
        <v>0</v>
      </c>
      <c r="IV184" s="285">
        <f>IU184*各项系数!$E$12</f>
        <v>0</v>
      </c>
      <c r="IW184" s="302">
        <f t="shared" si="777"/>
        <v>2.911543386904061E-2</v>
      </c>
      <c r="IX184" s="302">
        <f t="shared" si="778"/>
        <v>0.33482748949396701</v>
      </c>
      <c r="IY184" s="339">
        <f>各项系数!$F$76/4*($NB184^2-$MZ184^2*$EG184-$NA184^2*$EO184)*10^-2</f>
        <v>0.20221329604396984</v>
      </c>
      <c r="IZ184" s="284">
        <f t="shared" si="697"/>
        <v>1</v>
      </c>
      <c r="JA184" s="285">
        <f t="shared" si="606"/>
        <v>0.20221329604396984</v>
      </c>
      <c r="JB184" s="282">
        <f>IF($DE184&lt;&gt;$JB$9,0,$JA184*各项系数!$F$32*10^-3*10^2)*各项系数!$J$4</f>
        <v>0</v>
      </c>
      <c r="JC184" s="102">
        <v>1</v>
      </c>
      <c r="JD184" s="189">
        <f t="shared" si="779"/>
        <v>0</v>
      </c>
      <c r="JE184" s="262">
        <f>JD184*各项系数!$E$32</f>
        <v>0</v>
      </c>
      <c r="JF184" s="282">
        <f>IF($DE184&lt;&gt;$JF$9,0,$JA184*VLOOKUP($JF$9,各项系数!$D$4:$F$540,2,0)*10^-3*10^2)*各项系数!$J$4</f>
        <v>0.100601114781875</v>
      </c>
      <c r="JG184" s="102">
        <v>1</v>
      </c>
      <c r="JH184" s="189">
        <f t="shared" si="607"/>
        <v>0.100601114781875</v>
      </c>
      <c r="JI184" s="262">
        <f>JH184*VLOOKUP($JF$9,各项系数!$D$4:$F$540,3,0)</f>
        <v>0.12072133773825</v>
      </c>
      <c r="JJ184" s="282">
        <f t="shared" si="780"/>
        <v>0.100601114781875</v>
      </c>
      <c r="JK184" s="189">
        <f t="shared" si="781"/>
        <v>0.12072133773825</v>
      </c>
      <c r="JL184" s="282">
        <f>IF($DF184&lt;&gt;$JL$9,0,各项系数!$F$76/4*($NE184^2-$NC184^2)*10^-2*各项系数!$F$39*10^-3*10^2)*各项系数!$J$4</f>
        <v>1.0276836170684354E-3</v>
      </c>
      <c r="JM184" s="102">
        <v>1</v>
      </c>
      <c r="JN184" s="189">
        <f t="shared" si="782"/>
        <v>1.0276836170684354E-3</v>
      </c>
      <c r="JO184" s="262">
        <f>JN184*各项系数!$E$39</f>
        <v>2.0553672341368706E-2</v>
      </c>
      <c r="JP184" s="282">
        <f>IF($DF184&lt;&gt;$JP$9,0,各项系数!$F$76/4*($NE184^2-$NC184^2)*10^-2*各项系数!$F$36*10^-3*10^2)*各项系数!$J$4</f>
        <v>0</v>
      </c>
      <c r="JQ184" s="102">
        <v>1</v>
      </c>
      <c r="JR184" s="189">
        <f t="shared" si="783"/>
        <v>0</v>
      </c>
      <c r="JS184" s="262">
        <f>JR184*各项系数!$E$36</f>
        <v>0</v>
      </c>
      <c r="JT184" s="282">
        <f>IF($DF184&lt;&gt;$JT$9,0,各项系数!$F$76/4*($NE184^2-$NC184^2)*10^-2*各项系数!$F$40*10^-3*10^2)*各项系数!$J$4</f>
        <v>0</v>
      </c>
      <c r="JU184" s="102">
        <v>1</v>
      </c>
      <c r="JV184" s="189">
        <f t="shared" si="784"/>
        <v>0</v>
      </c>
      <c r="JW184" s="262">
        <f>JV184*各项系数!$E$40</f>
        <v>0</v>
      </c>
      <c r="JX184" s="282">
        <f>IF($DF184&lt;&gt;$JX$9,0,各项系数!$F$76/4*($NE184^2-$NC184^2)*10^-2*各项系数!$F$38*10^-3*10^2)*各项系数!$J$4</f>
        <v>0</v>
      </c>
      <c r="JY184" s="102">
        <v>1</v>
      </c>
      <c r="JZ184" s="189">
        <f t="shared" si="785"/>
        <v>0</v>
      </c>
      <c r="KA184" s="262">
        <f>JZ184*各项系数!$E$38</f>
        <v>0</v>
      </c>
      <c r="KB184" s="282">
        <f>IF($DF184&lt;&gt;$KB$9,0,各项系数!$F$76/4*($NE184^2-$NC184^2)*10^-2*各项系数!$F$41*10^-3*10^2)*各项系数!$J$4</f>
        <v>0</v>
      </c>
      <c r="KC184" s="102">
        <v>1</v>
      </c>
      <c r="KD184" s="189">
        <f t="shared" si="786"/>
        <v>0</v>
      </c>
      <c r="KE184" s="262">
        <f>KD184*各项系数!$E$41</f>
        <v>0</v>
      </c>
      <c r="KF184" s="189">
        <f t="shared" si="787"/>
        <v>1.0276836170684354E-3</v>
      </c>
      <c r="KG184" s="189">
        <f t="shared" si="788"/>
        <v>2.0553672341368706E-2</v>
      </c>
      <c r="KH184" s="235">
        <f>各项系数!$F$76/4*($NG184^2-$NE184^2)*10^-2*各项系数!$F$44*10^-3*10^2*各项系数!$J$4*0.75*$U184</f>
        <v>0.43350426036245648</v>
      </c>
      <c r="KI184" s="102">
        <v>1</v>
      </c>
      <c r="KJ184" s="189">
        <f t="shared" si="789"/>
        <v>0.43350426036245648</v>
      </c>
      <c r="KK184" s="189">
        <f>ROUND(KJ184*各项系数!$E$43,GT184)</f>
        <v>2.5</v>
      </c>
      <c r="KL184" s="235">
        <f>各项系数!$F$76/4*($NF184^2-$NE184^2)*10^-2*各项系数!$F$46*10^-3*10^2*各项系数!$J$4*PI()/4*R184</f>
        <v>1.3035778987336794E-2</v>
      </c>
      <c r="KM184" s="102">
        <v>1</v>
      </c>
      <c r="KN184" s="189">
        <f t="shared" si="790"/>
        <v>1.3035778987336794E-2</v>
      </c>
      <c r="KO184" s="189">
        <f>KN184*各项系数!$E$46</f>
        <v>0.87991508164523358</v>
      </c>
      <c r="KP184" s="235">
        <f>各项系数!$F$76/4*($NH184^2-$NE184^2)*10^-2*(VLOOKUP($KP$9,各项系数!$D$1:$F$143,3,0))*10^-3*10^2*各项系数!$J$4</f>
        <v>7.310327323756699E-2</v>
      </c>
      <c r="KQ184" s="102">
        <v>1</v>
      </c>
      <c r="KR184" s="189">
        <f t="shared" si="657"/>
        <v>7.310327323756699E-2</v>
      </c>
      <c r="KS184" s="189">
        <f>KR184*(VLOOKUP($KP$9,各项系数!$D$1:$F$143,2,0))</f>
        <v>1.2427556450386388</v>
      </c>
      <c r="KT184" s="235">
        <f>各项系数!$F$76/4*($NI184^2-$NF184^2)*10^-2*(VLOOKUP($KT$9,各项系数!$D$1:$F$143,3,0))*10^-3*10^2*各项系数!$J$4</f>
        <v>7.4191081109798981E-2</v>
      </c>
      <c r="KU184" s="102">
        <v>1</v>
      </c>
      <c r="KV184" s="189">
        <f t="shared" si="658"/>
        <v>7.4191081109798981E-2</v>
      </c>
      <c r="KW184" s="189">
        <f>KV184*(VLOOKUP($KT$9,各项系数!$D$1:$F$143,2,0))</f>
        <v>1.2612483788665827</v>
      </c>
      <c r="KX184" s="189">
        <f>各项系数!$F$76/4*($NH184^2-$NE184^2)*10^-2*(VLOOKUP($KX$9,各项系数!$D$1:$F$143,3,0))*10^-3*10^2*各项系数!$J$4</f>
        <v>7.310327323756699E-2</v>
      </c>
      <c r="KY184" s="353">
        <v>1</v>
      </c>
      <c r="KZ184" s="189">
        <f t="shared" si="659"/>
        <v>7.310327323756699E-2</v>
      </c>
      <c r="LA184" s="189">
        <f>KZ184*(VLOOKUP($KX$9,各项系数!$D$1:$F$143,2,0))</f>
        <v>1.2427556450386388</v>
      </c>
      <c r="LB184" s="189">
        <f>各项系数!$F$76/4*($NI184^2-$NF184^2)*10^-2*(VLOOKUP($LB$9,各项系数!$D$1:$F$143,3,0))*10^-3*10^2*各项系数!$J$4</f>
        <v>7.4191081109798981E-2</v>
      </c>
      <c r="LC184" s="353">
        <v>1</v>
      </c>
      <c r="LD184" s="189">
        <f t="shared" si="660"/>
        <v>7.4191081109798981E-2</v>
      </c>
      <c r="LE184" s="189">
        <f>LD184*(VLOOKUP($LB$9,各项系数!$D$1:$F$143,2,0))</f>
        <v>1.2612483788665827</v>
      </c>
      <c r="LF184" s="235">
        <f>各项系数!$F$76/4*($NH184^2-$NE184^2)*10^-2*(VLOOKUP(AN184,各项系数!$D$1:$F$143,3,0))*10^-3*10^2*各项系数!$J$4</f>
        <v>7.4111594247740331E-2</v>
      </c>
      <c r="LG184" s="102">
        <v>1</v>
      </c>
      <c r="LH184" s="189">
        <f t="shared" si="791"/>
        <v>7.4111594247740331E-2</v>
      </c>
      <c r="LI184" s="189">
        <f>LH184*(VLOOKUP(AN184,各项系数!$D$1:$F$143,2,0))</f>
        <v>0.74111594247740331</v>
      </c>
      <c r="LJ184" s="235">
        <f>各项系数!$F$76/4*($NI184^2-$NF184^2)*10^-2*(VLOOKUP(AN184,各项系数!$D$1:$F$143,3,0))*10^-3*10^2*各项系数!$J$4</f>
        <v>7.5214406366485867E-2</v>
      </c>
      <c r="LK184" s="102">
        <v>1</v>
      </c>
      <c r="LL184" s="189">
        <f t="shared" si="792"/>
        <v>7.5214406366485867E-2</v>
      </c>
      <c r="LM184" s="189">
        <f>LL184*(VLOOKUP(AN184,各项系数!$D$1:$F$143,2,0))</f>
        <v>0.75214406366485864</v>
      </c>
      <c r="LN184" s="189">
        <f>各项系数!$F$76/4*($NH184^2-$NE184^2)*10^-2*(VLOOKUP($LN$9,各项系数!$D$1:$F$143,3,0))*10^-3*10^2*各项系数!$J$4</f>
        <v>7.4111594247740331E-2</v>
      </c>
      <c r="LO184" s="353">
        <v>1</v>
      </c>
      <c r="LP184" s="189">
        <f t="shared" si="793"/>
        <v>7.4111594247740331E-2</v>
      </c>
      <c r="LQ184" s="189">
        <f>LP184*(VLOOKUP($LN$9,各项系数!$D$1:$F$143,2,0))</f>
        <v>0.81522753672514359</v>
      </c>
      <c r="LR184" s="189">
        <f>各项系数!$F$76/4*($NI184^2-$NF184^2)*10^-2*(VLOOKUP($LR$9,各项系数!$D$1:$F$143,3,0))*10^-3*10^2*各项系数!$J$4</f>
        <v>7.5214406366485867E-2</v>
      </c>
      <c r="LS184" s="353">
        <v>1</v>
      </c>
      <c r="LT184" s="189">
        <f t="shared" si="794"/>
        <v>7.5214406366485867E-2</v>
      </c>
      <c r="LU184" s="189">
        <f>LT184*(VLOOKUP($LR$9,各项系数!$D$1:$F$143,2,0))</f>
        <v>0.82735847003134455</v>
      </c>
      <c r="LV184" s="227">
        <f t="shared" si="661"/>
        <v>9.3387096399999994</v>
      </c>
      <c r="LW184" s="227">
        <f t="shared" si="662"/>
        <v>9.3387096399999994</v>
      </c>
      <c r="LX184" s="227">
        <f t="shared" si="663"/>
        <v>3.448248020436969</v>
      </c>
      <c r="LY184" s="227">
        <f t="shared" si="664"/>
        <v>0</v>
      </c>
      <c r="LZ184" s="374">
        <f t="shared" si="608"/>
        <v>1</v>
      </c>
      <c r="MA184" s="375">
        <f t="shared" si="609"/>
        <v>9.3387096399999994</v>
      </c>
      <c r="MB184" s="375">
        <f t="shared" si="665"/>
        <v>1.7241240099999999</v>
      </c>
      <c r="MC184" s="227">
        <f t="shared" si="666"/>
        <v>0</v>
      </c>
      <c r="MD184" s="227">
        <f t="shared" si="667"/>
        <v>0</v>
      </c>
      <c r="ME184" s="227">
        <f t="shared" si="668"/>
        <v>0</v>
      </c>
      <c r="MF184" s="227">
        <f t="shared" si="669"/>
        <v>0</v>
      </c>
      <c r="MG184" s="374">
        <f t="shared" si="670"/>
        <v>1</v>
      </c>
      <c r="MH184" s="375">
        <f t="shared" si="610"/>
        <v>0</v>
      </c>
      <c r="MI184" s="375">
        <f t="shared" si="671"/>
        <v>0</v>
      </c>
      <c r="MJ184" s="189">
        <f t="shared" si="611"/>
        <v>1.7241240099999999</v>
      </c>
      <c r="MK184" s="189">
        <f t="shared" si="672"/>
        <v>1.7241240099999999</v>
      </c>
      <c r="ML184" s="189">
        <f t="shared" si="795"/>
        <v>0</v>
      </c>
      <c r="MM184" s="189">
        <f t="shared" si="612"/>
        <v>0</v>
      </c>
      <c r="MN184" s="189">
        <f t="shared" si="613"/>
        <v>3.1241240100000001</v>
      </c>
      <c r="MO184" s="189">
        <f t="shared" si="673"/>
        <v>0</v>
      </c>
      <c r="MP184" s="189">
        <f t="shared" si="674"/>
        <v>7.5603800999999997</v>
      </c>
      <c r="MQ184" s="189">
        <f t="shared" si="796"/>
        <v>7.5603800999999997</v>
      </c>
      <c r="MR184" s="246">
        <f t="shared" si="675"/>
        <v>7.5603800999999997</v>
      </c>
      <c r="MS184" s="380">
        <f t="shared" si="614"/>
        <v>7.7363800999999999</v>
      </c>
      <c r="MT184" s="380">
        <f t="shared" si="615"/>
        <v>7.8963801</v>
      </c>
      <c r="MU184" s="380">
        <f t="shared" si="616"/>
        <v>8.9363801000000009</v>
      </c>
      <c r="MV184" s="380">
        <f t="shared" si="617"/>
        <v>10.7363801</v>
      </c>
      <c r="MW184" s="380">
        <f t="shared" si="618"/>
        <v>10.8963801</v>
      </c>
      <c r="MX184" s="254">
        <f t="shared" si="619"/>
        <v>2.3241240100000002</v>
      </c>
      <c r="MY184" s="254">
        <f t="shared" si="620"/>
        <v>0</v>
      </c>
      <c r="MZ184" s="189">
        <f t="shared" si="621"/>
        <v>3.7241240100000002</v>
      </c>
      <c r="NA184" s="189">
        <f t="shared" si="622"/>
        <v>0</v>
      </c>
      <c r="NB184" s="189">
        <f t="shared" si="676"/>
        <v>9.0123800999999997</v>
      </c>
      <c r="NC184" s="254">
        <f t="shared" si="797"/>
        <v>9.0123800999999997</v>
      </c>
      <c r="ND184" s="246">
        <f t="shared" si="677"/>
        <v>9.0123800999999997</v>
      </c>
      <c r="NE184" s="386">
        <f t="shared" si="678"/>
        <v>9.2523800999999999</v>
      </c>
      <c r="NF184" s="380">
        <f t="shared" si="623"/>
        <v>9.4123801</v>
      </c>
      <c r="NG184" s="387">
        <f t="shared" si="624"/>
        <v>10.452380099999999</v>
      </c>
      <c r="NH184" s="254">
        <f t="shared" si="625"/>
        <v>12.2523801</v>
      </c>
      <c r="NI184" s="380">
        <f t="shared" si="626"/>
        <v>12.4123801</v>
      </c>
      <c r="NK184" s="388">
        <f t="shared" si="627"/>
        <v>0.18868126339892413</v>
      </c>
      <c r="NL184" s="388">
        <f t="shared" si="628"/>
        <v>6.3935574732062577</v>
      </c>
      <c r="NM184" s="388">
        <f t="shared" si="629"/>
        <v>0.18868126339892413</v>
      </c>
      <c r="NN184" s="388">
        <f t="shared" si="630"/>
        <v>6.4572199226288838</v>
      </c>
      <c r="NO184" s="388">
        <f t="shared" si="631"/>
        <v>0.29885077012884542</v>
      </c>
      <c r="NP184" s="388">
        <f t="shared" si="632"/>
        <v>6.9126359539812867</v>
      </c>
      <c r="NQ184" s="388">
        <f t="shared" si="633"/>
        <v>0.29885077012884542</v>
      </c>
      <c r="NR184" s="388">
        <f t="shared" si="634"/>
        <v>6.9867475482290269</v>
      </c>
      <c r="NS184" s="388">
        <f t="shared" si="635"/>
        <v>0.19959944315294184</v>
      </c>
      <c r="NT184" s="388">
        <f t="shared" si="636"/>
        <v>0.19959944315294184</v>
      </c>
      <c r="NU184" s="388">
        <f t="shared" si="637"/>
        <v>0.31188654911618219</v>
      </c>
      <c r="NV184" s="388">
        <f t="shared" si="638"/>
        <v>0.31188654911618219</v>
      </c>
      <c r="NW184">
        <f t="shared" si="639"/>
        <v>0.31094804065378617</v>
      </c>
      <c r="NX184">
        <f>各项系数!$M$9*NK184</f>
        <v>5.6604379019677235E-2</v>
      </c>
      <c r="NY184">
        <f t="shared" si="640"/>
        <v>0.19959944315294181</v>
      </c>
    </row>
    <row r="185" spans="1:389" ht="15" hidden="1" customHeight="1">
      <c r="A185" s="69"/>
      <c r="B185" s="70"/>
      <c r="C185" s="69"/>
      <c r="D185" s="102" t="s">
        <v>152</v>
      </c>
      <c r="E185" s="61">
        <f t="shared" si="805"/>
        <v>11.611134830000001</v>
      </c>
      <c r="F185" s="62">
        <f t="shared" si="820"/>
        <v>172.412400708262</v>
      </c>
      <c r="G185" s="16"/>
      <c r="H185" s="16"/>
      <c r="I185" s="145">
        <v>0</v>
      </c>
      <c r="J185" s="16"/>
      <c r="K185" s="16"/>
      <c r="L185" s="97" t="s">
        <v>469</v>
      </c>
      <c r="M185" s="103">
        <f t="shared" si="582"/>
        <v>0.7</v>
      </c>
      <c r="N185" s="103">
        <f t="shared" si="804"/>
        <v>0</v>
      </c>
      <c r="O185" s="53">
        <f t="shared" si="819"/>
        <v>0.08</v>
      </c>
      <c r="P185" s="99">
        <v>0.1</v>
      </c>
      <c r="Q185" s="133">
        <f t="shared" si="823"/>
        <v>0.1</v>
      </c>
      <c r="R185" s="406">
        <v>0.8</v>
      </c>
      <c r="S185" s="142" t="str">
        <f>各项系数!$D$43</f>
        <v>钢带</v>
      </c>
      <c r="T185" s="102">
        <v>0.2</v>
      </c>
      <c r="U185" s="62">
        <v>4</v>
      </c>
      <c r="V185" s="143"/>
      <c r="W185" s="141">
        <f t="shared" si="821"/>
        <v>1.5</v>
      </c>
      <c r="X185" s="135">
        <f t="shared" si="824"/>
        <v>0.2</v>
      </c>
      <c r="Y185" s="135"/>
      <c r="Z185" s="168"/>
      <c r="AA185" s="153">
        <v>1</v>
      </c>
      <c r="AB185" s="153">
        <f>PI()*EJ185*EJ185/4*EH185*(1-H185)*AA185*各项系数!$F$5*各项系数!$J$4*10^-7</f>
        <v>2.0651505688902914E-2</v>
      </c>
      <c r="AC185" s="153">
        <f t="shared" si="808"/>
        <v>172.412400708262</v>
      </c>
      <c r="AD185" s="153">
        <f t="shared" si="584"/>
        <v>2.3346774015073022</v>
      </c>
      <c r="AE185" s="153">
        <f>POWER(4*EU185/PI()/EG185/10^-7/EH185/(1-H185)/各项系数!$F$5/各项系数!$J$4,0.5)</f>
        <v>172.412400708262</v>
      </c>
      <c r="AF185" s="69">
        <v>1</v>
      </c>
      <c r="AG185" s="69">
        <f>IF(EM185=0,0,PI()*ER185*ER185/4*EP185*(1-K185)*(1+AF185)*各项系数!$F$5*各项系数!$J$4*10^-7)</f>
        <v>0</v>
      </c>
      <c r="AH185" s="69">
        <f t="shared" si="809"/>
        <v>0</v>
      </c>
      <c r="AI185" s="69">
        <f t="shared" si="641"/>
        <v>0</v>
      </c>
      <c r="AJ185" s="69">
        <f>IF(OR(EP185="",EP185=0),0,POWER(4*EW185/PI()/EO185/10^-7/EP185/(1-K185)/各项系数!$F$5/各项系数!$J$4,0.5))</f>
        <v>0</v>
      </c>
      <c r="AK185" s="69" t="str">
        <f t="shared" si="585"/>
        <v>√</v>
      </c>
      <c r="AL185" s="69">
        <f t="shared" si="810"/>
        <v>8.1797232221110328</v>
      </c>
      <c r="AM185" s="188">
        <f t="shared" si="811"/>
        <v>2.5</v>
      </c>
      <c r="AN185" s="97" t="s">
        <v>486</v>
      </c>
      <c r="AO185" s="196">
        <f>AP185+各项系数!$M$9*$NK185</f>
        <v>8.0193364922657189</v>
      </c>
      <c r="AP185" s="196">
        <f>AQ185*(1+$BI185+(VLOOKUP($AM185,$A$12:$B$323,2,0))+各项系数!$J$6+各项系数!$M$5)*(1+$E$2)</f>
        <v>7.9517154044419183</v>
      </c>
      <c r="AQ185" s="197">
        <f>AR185+各项系数!$L$9*$NK185</f>
        <v>8.1139953106550191</v>
      </c>
      <c r="AR185" s="197">
        <f>AS185*(1+$BJ185+各项系数!$J$5+各项系数!$L$5)</f>
        <v>8.0463742228312185</v>
      </c>
      <c r="AS185" s="197">
        <f t="shared" si="642"/>
        <v>7.8886021792462921</v>
      </c>
      <c r="AT185" s="196">
        <f>AU185+各项系数!$M$9*$NM185</f>
        <v>8.4908709583892019</v>
      </c>
      <c r="AU185" s="196">
        <f>AV185*(1+$BI185+(VLOOKUP($AM185,$A$12:$B$323,2,0))+各项系数!$J$6+各项系数!$M$5)*(1+$E$2)</f>
        <v>8.4232498705654013</v>
      </c>
      <c r="AV185" s="197">
        <f>AW185+各项系数!$L$9*$NM185</f>
        <v>8.5951529291483695</v>
      </c>
      <c r="AW185" s="197">
        <f>AX185*(1+$BJ185+各项系数!$J$5+各项系数!$L$5)</f>
        <v>8.5275318413245689</v>
      </c>
      <c r="AX185" s="197">
        <f t="shared" si="643"/>
        <v>8.3603253346319306</v>
      </c>
      <c r="AY185" s="196">
        <f>AZ185+各项系数!$M$9*$NS185</f>
        <v>8.8566980924373127</v>
      </c>
      <c r="AZ185" s="196">
        <f>BA185*(1+$BI185+(VLOOKUP($AM185,$A$12:$B$214,2,0))+各项系数!$J$6+各项系数!$M$5)*(1+$E$2)</f>
        <v>8.7854349847350139</v>
      </c>
      <c r="BA185" s="197">
        <f>BB185+各项系数!$L$9*$NS185</f>
        <v>8.9647295762602184</v>
      </c>
      <c r="BB185" s="197">
        <f>BC185*(1+$BJ185+各项系数!$J$5+各项系数!$L$5)</f>
        <v>8.8934664685579197</v>
      </c>
      <c r="BC185" s="199">
        <f t="shared" si="644"/>
        <v>8.7190847730960002</v>
      </c>
      <c r="BD185" s="196">
        <f>BE185+各项系数!$M$9*$NS185</f>
        <v>9.3356941853562301</v>
      </c>
      <c r="BE185" s="196">
        <f>BF185*(1+$BI185+(VLOOKUP($AM185,$A$12:$B$214,2,0))+各项系数!$J$6+各项系数!$M$5)*(1+$E$2)</f>
        <v>9.2644310776539314</v>
      </c>
      <c r="BF185" s="197">
        <f>BG185+各项系数!$L$9*$NS185</f>
        <v>9.4535010996468696</v>
      </c>
      <c r="BG185" s="197">
        <f>BH185*(1+$BJ185+各项系数!$J$5+各项系数!$L$5)</f>
        <v>9.3822379919445709</v>
      </c>
      <c r="BH185" s="199">
        <f t="shared" si="645"/>
        <v>9.1982725411221278</v>
      </c>
      <c r="BI185" s="213"/>
      <c r="BJ185" s="208">
        <f t="shared" si="822"/>
        <v>0</v>
      </c>
      <c r="BK185" s="102" t="s">
        <v>514</v>
      </c>
      <c r="BL185" s="196">
        <f>BM185+各项系数!$M$9*$NM185</f>
        <v>8.1669916588462517</v>
      </c>
      <c r="BM185" s="196">
        <f>BN185*(1+$CF185+(VLOOKUP($AM185,$A$12:$B$323,2,0))+各项系数!$J$6+各项系数!$M$5)*(1+$E$2)</f>
        <v>8.0993705710224511</v>
      </c>
      <c r="BN185" s="197">
        <f>BO185+各项系数!$L$9*$NM185</f>
        <v>8.264663847982094</v>
      </c>
      <c r="BO185" s="197">
        <f>BP185*(1+$CG185+各项系数!$J$5+各项系数!$L$5)</f>
        <v>8.1970427601582934</v>
      </c>
      <c r="BP185" s="197">
        <f t="shared" si="646"/>
        <v>7.9582939419012559</v>
      </c>
      <c r="BQ185" s="196">
        <f>BR185+各项系数!$M$9*$NM185</f>
        <v>8.5728021466685966</v>
      </c>
      <c r="BR185" s="196">
        <f>BS185*(1+$CF185+(VLOOKUP($AM185,$A$12:$B$323,2,0))+各项系数!$J$6+各项系数!$M$5)*(1+$E$2)</f>
        <v>8.505181058844796</v>
      </c>
      <c r="BS185" s="197">
        <f>BT185+各项系数!$L$9*$NM185</f>
        <v>8.6787561824946895</v>
      </c>
      <c r="BT185" s="197">
        <f>BU185*(1+$CG185+各项系数!$J$5+各项系数!$L$5)</f>
        <v>8.6111350946708889</v>
      </c>
      <c r="BU185" s="197">
        <f t="shared" si="647"/>
        <v>8.3603253346319306</v>
      </c>
      <c r="BV185" s="196">
        <f>BW185+各项系数!$M$9*$NT185</f>
        <v>8.9518654565338576</v>
      </c>
      <c r="BW185" s="196">
        <f>BX185*(1+$CF185+(VLOOKUP($AM185,$A$12:$B$214,2,0))+各项系数!$J$6+各项系数!$M$5)*(1+$E$2)</f>
        <v>8.8806023488315589</v>
      </c>
      <c r="BX185" s="197">
        <f>BY185+各项系数!$L$9*$NT$12</f>
        <v>9.0618391314607738</v>
      </c>
      <c r="BY185" s="197">
        <f>BZ185*(1+$CG185+各项系数!$J$5+各项系数!$L$5)</f>
        <v>9.0535757283058</v>
      </c>
      <c r="BZ185" s="199">
        <f t="shared" si="586"/>
        <v>8.789879347869709</v>
      </c>
      <c r="CA185" s="196">
        <f>CB185+各项系数!$M$9*$NT185</f>
        <v>9.3640975458028493</v>
      </c>
      <c r="CB185" s="196">
        <f>CC185*(1+$CF185+(VLOOKUP($AM185,$A$12:$B$214,2,0))+各项系数!$J$6+各项系数!$M$5)*(1+$E$2)</f>
        <v>9.2928344381005505</v>
      </c>
      <c r="CC185" s="197">
        <f>CD185+各项系数!$L$9*$NT$12</f>
        <v>9.4824841205107653</v>
      </c>
      <c r="CD185" s="197">
        <f>CE185*(1+$CG185+各项系数!$J$5+各项系数!$L$5)</f>
        <v>9.4742207173557915</v>
      </c>
      <c r="CE185" s="199">
        <f t="shared" si="648"/>
        <v>9.1982725411221278</v>
      </c>
      <c r="CF185" s="213">
        <f t="shared" si="753"/>
        <v>0</v>
      </c>
      <c r="CG185" s="213">
        <f t="shared" si="587"/>
        <v>0.01</v>
      </c>
      <c r="CH185" s="102"/>
      <c r="CI185" s="196">
        <f>CJ185+各项系数!$M$9*$NO185</f>
        <v>8.8009213592604603</v>
      </c>
      <c r="CJ185" s="196">
        <f>CK185*(1+$DC185+(VLOOKUP($AM185,$A$12:$B$323,2,0))+各项系数!$J$6+各项系数!$M$5)*(1+$E$2)+各项系数!$M$9*$NK185</f>
        <v>8.692792235694311</v>
      </c>
      <c r="CK185" s="197">
        <f>CL185+各项系数!$L$9*$NO185</f>
        <v>8.8011950488474593</v>
      </c>
      <c r="CL185" s="197">
        <f>CM185*(1+$DD185+各项系数!$J$5+各项系数!$L$5)</f>
        <v>8.6930659252813101</v>
      </c>
      <c r="CM185" s="197">
        <f t="shared" si="588"/>
        <v>8.5226136522365792</v>
      </c>
      <c r="CN185" s="196">
        <f>CO185+各项系数!$M$9*$NO185</f>
        <v>9.1564312782761768</v>
      </c>
      <c r="CO185" s="196">
        <f>CP185*(1+$DC185+(VLOOKUP($AM185,$A$12:$B$323,2,0))+各项系数!$J$6+各项系数!$M$5)*(1+$E$2)+各项系数!$M$9*$NK185</f>
        <v>9.0483021547100275</v>
      </c>
      <c r="CP185" s="197">
        <f>CQ185+各项系数!$L$9*$NO185</f>
        <v>9.1639602723328846</v>
      </c>
      <c r="CQ185" s="197">
        <f>CR185*(1+$DD185+各项系数!$J$5+各项系数!$L$5)</f>
        <v>9.0558311487667353</v>
      </c>
      <c r="CR185" s="197">
        <f t="shared" si="589"/>
        <v>8.8782658321242494</v>
      </c>
      <c r="CS185" s="196">
        <f>CT185+各项系数!$M$9*$NU185</f>
        <v>9.7307736446241755</v>
      </c>
      <c r="CT185" s="196">
        <f t="shared" si="590"/>
        <v>9.6182968210128568</v>
      </c>
      <c r="CU185" s="197">
        <f>CV185+各项系数!$L$9*$NU185</f>
        <v>9.8145885928702619</v>
      </c>
      <c r="CV185" s="197">
        <f>CW185*(1+$DD185+各项系数!$J$5+各项系数!$L$5)</f>
        <v>9.7021117692589431</v>
      </c>
      <c r="CW185" s="199">
        <f t="shared" si="591"/>
        <v>9.5118742835871988</v>
      </c>
      <c r="CX185" s="196">
        <f>CY185+各项系数!$M$9*$NU185</f>
        <v>10.288303359565017</v>
      </c>
      <c r="CY185" s="196">
        <f t="shared" si="592"/>
        <v>10.175826535953698</v>
      </c>
      <c r="CZ185" s="197">
        <f>DA185+各项系数!$L$9*$NU185</f>
        <v>10.383496465258876</v>
      </c>
      <c r="DA185" s="197">
        <f>DB185*(1+$DD185+各项系数!$J$5+各项系数!$L$5)</f>
        <v>10.271019641647557</v>
      </c>
      <c r="DB185" s="199">
        <f t="shared" si="593"/>
        <v>10.069627099654468</v>
      </c>
      <c r="DC185" s="213">
        <f t="shared" si="803"/>
        <v>0</v>
      </c>
      <c r="DD185" s="213">
        <f t="shared" si="594"/>
        <v>0</v>
      </c>
      <c r="DE185" s="53" t="s">
        <v>498</v>
      </c>
      <c r="DF185" s="53" t="s">
        <v>513</v>
      </c>
      <c r="DG185" s="196">
        <f>DH185+各项系数!$M$9*$NQ185</f>
        <v>8.9665060425430649</v>
      </c>
      <c r="DH185" s="196">
        <f>DI185*(1+$EA185+(VLOOKUP($AM185,$A$12:$B$323,2,0))+各项系数!$J$6+各项系数!$M$5)*(1+$E$2)+各项系数!$M$9*$NK185</f>
        <v>8.8583769189769157</v>
      </c>
      <c r="DI185" s="197">
        <f>DJ185+各项系数!$L$9*$NQ185</f>
        <v>8.9701590113807299</v>
      </c>
      <c r="DJ185" s="197">
        <f>DK185*(1+$EB185+各项系数!$J$5+各项系数!$L$5)</f>
        <v>8.8620298878145807</v>
      </c>
      <c r="DK185" s="197">
        <f t="shared" si="595"/>
        <v>8.6039125124413403</v>
      </c>
      <c r="DL185" s="196">
        <f>DM185+各项系数!$M$9*$NQ185</f>
        <v>9.4399038855913719</v>
      </c>
      <c r="DM185" s="196">
        <f>DN185*(1+$EA185+(VLOOKUP($AM185,$A$12:$B$323,2,0))+各项系数!$J$6+各项系数!$M$5)*(1+$E$2)+各项系数!$M$9*$NK185</f>
        <v>9.3317747620252227</v>
      </c>
      <c r="DN185" s="197">
        <f>DO185+各项系数!$L$9*$NQ185</f>
        <v>9.453218034899411</v>
      </c>
      <c r="DO185" s="197">
        <f>DP185*(1+$EB185+各项系数!$J$5+各项系数!$L$5)</f>
        <v>9.3450889113332618</v>
      </c>
      <c r="DP185" s="197">
        <f t="shared" si="596"/>
        <v>9.0729018556633605</v>
      </c>
      <c r="DQ185" s="196">
        <f>DR185+各项系数!$M$9*$NV185</f>
        <v>9.9071662606466759</v>
      </c>
      <c r="DR185" s="196">
        <f t="shared" si="597"/>
        <v>9.7946894370353572</v>
      </c>
      <c r="DS185" s="197">
        <f>DT185+各项系数!$L$9*$NV185</f>
        <v>9.9945810581993442</v>
      </c>
      <c r="DT185" s="197">
        <f>DU185*(1+$EB185+各项系数!$J$5+各项系数!$L$5)</f>
        <v>9.8821042345880254</v>
      </c>
      <c r="DU185" s="199">
        <f t="shared" si="598"/>
        <v>9.5942759559107049</v>
      </c>
      <c r="DV185" s="196">
        <f>DW185+各项系数!$M$9*$NV185</f>
        <v>9.9645171202726175</v>
      </c>
      <c r="DW185" s="196">
        <f t="shared" si="599"/>
        <v>9.8520402966612988</v>
      </c>
      <c r="DX185" s="197">
        <f>DY185+各项系数!$L$9*$NV185</f>
        <v>10.053102343531938</v>
      </c>
      <c r="DY185" s="197">
        <f>DZ185*(1+$EB185+各项系数!$J$5+各项系数!$L$5)</f>
        <v>9.9406255199206193</v>
      </c>
      <c r="DZ185" s="199">
        <f t="shared" si="600"/>
        <v>9.6510927377870086</v>
      </c>
      <c r="EA185" s="213">
        <f t="shared" si="802"/>
        <v>0</v>
      </c>
      <c r="EB185" s="213">
        <f t="shared" si="601"/>
        <v>0.01</v>
      </c>
      <c r="EC185" s="235">
        <f t="shared" si="649"/>
        <v>5</v>
      </c>
      <c r="ED185" s="235" t="str">
        <f t="shared" si="756"/>
        <v>5*2.5</v>
      </c>
      <c r="EE185" s="189">
        <f t="shared" si="812"/>
        <v>2.5</v>
      </c>
      <c r="EF185" s="189">
        <f>LOOKUP(EH185,{1,7,10,14,19,24,30,37,48,61},{1,"1+6","2+8","4+10","1+6+12","2+8+14","4+10+16","1+6+12+18","3+9+15+21","1+6+12+18+24"})</f>
        <v>1</v>
      </c>
      <c r="EG185" s="188">
        <f t="shared" si="602"/>
        <v>5</v>
      </c>
      <c r="EH185" s="197">
        <f>VLOOKUP(EE185,各项系数!$B$87:$C$124,2,0)</f>
        <v>1</v>
      </c>
      <c r="EI185" s="188">
        <f>IF(EH185=0,0,VLOOKUP(EH185,各项系数!$D$142:$E$195,2,0))*1</f>
        <v>1</v>
      </c>
      <c r="EJ185" s="238">
        <f t="shared" si="650"/>
        <v>172.412400708262</v>
      </c>
      <c r="EK185" s="189">
        <f t="shared" si="813"/>
        <v>0</v>
      </c>
      <c r="EL185" s="189">
        <f t="shared" si="603"/>
        <v>0</v>
      </c>
      <c r="EM185" s="189">
        <f t="shared" si="814"/>
        <v>0</v>
      </c>
      <c r="EN185" s="189">
        <f>IF(EP185=0,0,LOOKUP(EP185,{1,7,10,14,19,24,30,37,48,61},{1,"1+6","2+8","4+10","1+6+12","2+8+14","4+10+16","1+6+12+18","3+9+15+21","1+6+12+18+24"}))</f>
        <v>0</v>
      </c>
      <c r="EO185" s="189">
        <f t="shared" si="815"/>
        <v>0</v>
      </c>
      <c r="EP185" s="189">
        <f>IF(EM185=0,0,IF(EM185&lt;10,1,IF(AND(EM185&gt;=10,EM185&lt;=35),7,LOOKUP(EM185,{50,70,95,120,150,185,240,300},{10,14,19,24,30,37,48,61})*1)))</f>
        <v>0</v>
      </c>
      <c r="EQ185" s="189">
        <f>IF(EP185=0,0,VLOOKUP(EP185,各项系数!$D$142:$E$195,2,0))*1</f>
        <v>0</v>
      </c>
      <c r="ER185" s="53">
        <f t="shared" si="816"/>
        <v>0</v>
      </c>
      <c r="ES185" s="412">
        <f t="shared" si="817"/>
        <v>5</v>
      </c>
      <c r="ET185" s="189">
        <f>VLOOKUP(ES185,各项系数!$D$142:$E$195,2,0)*1</f>
        <v>2.7</v>
      </c>
      <c r="EU185" s="243">
        <f>((各项系数!$F$76/4*$EJ185^2*$EG185*$EH185*1*10^-7)*(1-$H185)*AA185)*(VLOOKUP($EY$9,各项系数!$D$4:$F$143,3,0))*各项系数!$J$4</f>
        <v>0.10325752844451458</v>
      </c>
      <c r="EV185" s="244">
        <f>EU185*(VLOOKUP($EY$9,各项系数!$D$4:$F$143,2,0))</f>
        <v>6.7633681131157051</v>
      </c>
      <c r="EW185" s="252">
        <f>(IF($EO185=0,0,(各项系数!$F$76/4*$ER185^2*$EO185*$EP185*1*10^-7))*(1-$K185)*$AF185)*(VLOOKUP($EY$9,各项系数!$D$4:$F$143,3,0))*各项系数!$J$4</f>
        <v>0</v>
      </c>
      <c r="EX185" s="253">
        <f>EW185*(VLOOKUP($EY$9,各项系数!$D$4:$F$143,2,0))</f>
        <v>0</v>
      </c>
      <c r="EY185" s="189">
        <f>((各项系数!$F$76/4*$EJ185^2*$EG185*$EH185*1*10^-7)*(1-$H185)*AA185+IF($EO185=0,0,(各项系数!$F$76/4*$ER185^2*$EO185*$EP185*1*10^-7))*(1-$K185)*$AF185)*(VLOOKUP($EY$9,各项系数!$D$4:$F$143,3,0))*各项系数!$J$4</f>
        <v>0.10325752844451458</v>
      </c>
      <c r="EZ185" s="102">
        <v>1</v>
      </c>
      <c r="FA185" s="189">
        <f t="shared" si="757"/>
        <v>0.10325752844451458</v>
      </c>
      <c r="FB185" s="254">
        <f>FA185*(VLOOKUP($EY$9,各项系数!$D$4:$F$143,2,0))</f>
        <v>6.7633681131157051</v>
      </c>
      <c r="FC185" s="255"/>
      <c r="FD185" s="235">
        <f>各项系数!$F$76/4*($MN185^2-MK185^2)*10^-2*(VLOOKUP(L185,各项系数!$D$1:$F$143,3,0))*10^-3*10^2*$EG185*各项系数!$J$4</f>
        <v>2.9173498701657301E-2</v>
      </c>
      <c r="FE185" s="262">
        <f>FD185*VLOOKUP(L185,各项系数!$D$1:$F$143,2,0)</f>
        <v>0.33549523506905898</v>
      </c>
      <c r="FF185" s="188">
        <f>各项系数!$F$76/4*($MO185^2-ML185^2)*10^-2*(VLOOKUP(L185,各项系数!$D$1:$F$143,3,0))*10^-3*10^2*$EO185*各项系数!$J$4</f>
        <v>0</v>
      </c>
      <c r="FG185" s="262">
        <f>FF185*VLOOKUP(L185,各项系数!$D$1:$F$143,2,0)</f>
        <v>0</v>
      </c>
      <c r="FH185" s="235">
        <f t="shared" si="651"/>
        <v>2.9173498701657301E-2</v>
      </c>
      <c r="FI185" s="102">
        <v>1</v>
      </c>
      <c r="FJ185" s="189">
        <f t="shared" si="758"/>
        <v>2.9173498701657301E-2</v>
      </c>
      <c r="FK185" s="262">
        <f>FJ185*VLOOKUP(L185,各项系数!$D$1:$F$143,2,0)</f>
        <v>0.33549523506905898</v>
      </c>
      <c r="FL185" s="235"/>
      <c r="FM185" s="102"/>
      <c r="FN185" s="189"/>
      <c r="FO185" s="262"/>
      <c r="FP185" s="282">
        <f t="shared" si="759"/>
        <v>2.9173498701657301E-2</v>
      </c>
      <c r="FQ185" s="282">
        <f t="shared" si="760"/>
        <v>0.33549523506905898</v>
      </c>
      <c r="FR185" s="283">
        <f>各项系数!$F$76/4*($MQ185^2-$MN185^2*$EG185-$MO185^2*$EO185)*10^-2</f>
        <v>0.17554234427768856</v>
      </c>
      <c r="FS185" s="284">
        <f t="shared" si="652"/>
        <v>1</v>
      </c>
      <c r="FT185" s="285">
        <f t="shared" si="604"/>
        <v>0.17554234427768856</v>
      </c>
      <c r="FU185" s="302">
        <f>$FT185*(VLOOKUP($FT$9,各项系数!$D$1:$F$143,3,0))*10^-3*10^2*各项系数!$J$55</f>
        <v>2.0959755906756011E-2</v>
      </c>
      <c r="FV185" s="303">
        <v>1</v>
      </c>
      <c r="FW185" s="304">
        <f t="shared" si="761"/>
        <v>2.0959755906756011E-2</v>
      </c>
      <c r="FX185" s="285">
        <f>FW185*(VLOOKUP($FT$9,各项系数!$D$1:$F$143,2,0))</f>
        <v>6.2879267720268028E-2</v>
      </c>
      <c r="FY185" s="302">
        <f>IF($BK185&lt;&gt;$FY$9,0,各项系数!$F$76/4*($MS185^2-$MQ185^2)*10^-2*(VLOOKUP($FY$9,各项系数!$D$1:$F$143,3,0))*10^-3*10^2)*各项系数!$J$4</f>
        <v>0</v>
      </c>
      <c r="FZ185" s="303">
        <v>1</v>
      </c>
      <c r="GA185" s="304">
        <f t="shared" si="762"/>
        <v>0</v>
      </c>
      <c r="GB185" s="285">
        <f>GA185*(VLOOKUP($FY$9,各项系数!$D$1:$F$143,2,0))</f>
        <v>0</v>
      </c>
      <c r="GC185" s="302">
        <f>IF($BK185&lt;&gt;$GC$9,0,各项系数!$F$76/4*($MS185^2-$MQ185^2)*10^-2*(VLOOKUP($GC$9,各项系数!$D$1:$F$143,3,0))*10^-3*10^2)*各项系数!$J$4</f>
        <v>2.321080371443632E-3</v>
      </c>
      <c r="GD185" s="303">
        <v>1</v>
      </c>
      <c r="GE185" s="304">
        <f t="shared" si="763"/>
        <v>2.321080371443632E-3</v>
      </c>
      <c r="GF185" s="285">
        <f>GE185*(VLOOKUP($GC$9,各项系数!$D$1:$F$143,2,0))</f>
        <v>2.9941936791622853E-2</v>
      </c>
      <c r="GG185" s="302">
        <f>IF($BK185&lt;&gt;$GG$9,0,各项系数!$F$76/4*($MS185^2-$MQ185^2)*10^-2*(VLOOKUP($GG$9,各项系数!$D$1:$F$143,3,0))*10^-3*10^2)*各项系数!$J$4</f>
        <v>0</v>
      </c>
      <c r="GH185" s="303">
        <v>1</v>
      </c>
      <c r="GI185" s="304">
        <f t="shared" si="764"/>
        <v>0</v>
      </c>
      <c r="GJ185" s="285">
        <f>GI185*(VLOOKUP($GG$9,各项系数!$D$1:$F$143,2,0))</f>
        <v>0</v>
      </c>
      <c r="GK185" s="302">
        <f>IF($BK185&lt;&gt;$GK$9,0,各项系数!$F$76/4*($MS185^2-$MQ185^2)*10^-2*(VLOOKUP($GK$9,各项系数!$D$1:$F$143,3,0))*10^-3*10^2)*各项系数!$J$4</f>
        <v>0</v>
      </c>
      <c r="GL185" s="303">
        <v>1</v>
      </c>
      <c r="GM185" s="304">
        <f t="shared" si="765"/>
        <v>0</v>
      </c>
      <c r="GN185" s="285">
        <f>GM185*(VLOOKUP($GK$9,各项系数!$D$1:$F$143,2,0))</f>
        <v>0</v>
      </c>
      <c r="GO185" s="304">
        <f t="shared" si="766"/>
        <v>2.321080371443632E-3</v>
      </c>
      <c r="GP185" s="304">
        <f t="shared" si="767"/>
        <v>2.9941936791622853E-2</v>
      </c>
      <c r="GQ185" s="315">
        <f>各项系数!$F$76/4*($MU185^2-$MS185^2)*10^-2*(VLOOKUP($S185,各项系数!$D$1:$F$143,3,0))*10^-3*10^2*各项系数!$J$4</f>
        <v>0.13509649956149561</v>
      </c>
      <c r="GR185" s="303">
        <v>1</v>
      </c>
      <c r="GS185" s="304">
        <f t="shared" si="768"/>
        <v>0.13509649956149561</v>
      </c>
      <c r="GT185" s="304">
        <f t="shared" si="696"/>
        <v>1</v>
      </c>
      <c r="GU185" s="304">
        <f>ROUND($GS185*(VLOOKUP($S185,各项系数!$D$1:$F$143,2,0))+$E$3*GS185,GT185)</f>
        <v>0.8</v>
      </c>
      <c r="GV185" s="315">
        <f>各项系数!$F$76/4*($MT185^2-$MS185^2)*10^-2*(VLOOKUP($GV$9,各项系数!$D$1:$F$143,3,0))*10^-3*10^2*各项系数!$J$4*PI()/4*R185</f>
        <v>1.2140066261663005E-2</v>
      </c>
      <c r="GW185" s="303">
        <v>1</v>
      </c>
      <c r="GX185" s="304">
        <f t="shared" si="769"/>
        <v>1.2140066261663005E-2</v>
      </c>
      <c r="GY185" s="304">
        <f>$GX185*(VLOOKUP($GV$9,各项系数!$D$1:$F$143,2,0))</f>
        <v>0.8194544726622528</v>
      </c>
      <c r="GZ185" s="315">
        <f>各项系数!$F$76/4*($MV185^2-$MS185^2)*10^-2*(VLOOKUP($GZ$9,各项系数!$D$1:$F$143,3,0))*10^-3*10^2*各项系数!$J$4</f>
        <v>6.8743575407957405E-2</v>
      </c>
      <c r="HA185" s="303">
        <v>1</v>
      </c>
      <c r="HB185" s="304">
        <f t="shared" si="653"/>
        <v>6.8743575407957405E-2</v>
      </c>
      <c r="HC185" s="304">
        <f>HB185*(VLOOKUP($GZ$9,各项系数!$D$1:$F$143,2,0))</f>
        <v>1.168640781935276</v>
      </c>
      <c r="HD185" s="315">
        <f>各项系数!$F$76/4*($MW185^2-$MT185^2)*10^-2*(VLOOKUP($HD$9,各项系数!$D$1:$F$143,3,0))*10^-3*10^2*各项系数!$J$4</f>
        <v>6.983138328018941E-2</v>
      </c>
      <c r="HE185" s="303">
        <v>1</v>
      </c>
      <c r="HF185" s="304">
        <f t="shared" si="654"/>
        <v>6.983138328018941E-2</v>
      </c>
      <c r="HG185" s="304">
        <f>HF185*(VLOOKUP($HD$9,各项系数!$D$1:$F$143,2,0))</f>
        <v>1.1871335157632199</v>
      </c>
      <c r="HH185" s="315">
        <f>各项系数!$F$76/4*($MV185^2-$MS185^2)*10^-2*(VLOOKUP($HH$9,各项系数!$D$1:$F$143,3,0))*10^-3*10^2*各项系数!$J$4</f>
        <v>6.8743575407957405E-2</v>
      </c>
      <c r="HI185" s="322">
        <v>1</v>
      </c>
      <c r="HJ185" s="304">
        <f t="shared" si="655"/>
        <v>6.8743575407957405E-2</v>
      </c>
      <c r="HK185" s="304">
        <f>HJ185*(VLOOKUP($HH$9,各项系数!$D$1:$F$143,2,0))</f>
        <v>1.168640781935276</v>
      </c>
      <c r="HL185" s="315">
        <f>各项系数!$F$76/4*($MW185^2-$MT185^2)*10^-2*(VLOOKUP($HL$9,各项系数!$D$1:$F$143,3,0))*10^-3*10^2*各项系数!$J$4</f>
        <v>6.983138328018941E-2</v>
      </c>
      <c r="HM185" s="322">
        <v>1</v>
      </c>
      <c r="HN185" s="304">
        <f t="shared" si="605"/>
        <v>6.983138328018941E-2</v>
      </c>
      <c r="HO185" s="304">
        <f>HN185*(VLOOKUP($HL$9,各项系数!$D$1:$F$143,2,0))</f>
        <v>1.1871335157632199</v>
      </c>
      <c r="HP185" s="315">
        <f>各项系数!$F$76/4*($MV185^2-$MS185^2)*10^-2*(VLOOKUP(AN185,各项系数!$D$1:$F$143,3,0))*10^-3*10^2*各项系数!$J$4</f>
        <v>6.9691762654963726E-2</v>
      </c>
      <c r="HQ185" s="303">
        <v>1</v>
      </c>
      <c r="HR185" s="304">
        <f t="shared" si="770"/>
        <v>6.9691762654963726E-2</v>
      </c>
      <c r="HS185" s="304">
        <f>HR185*(VLOOKUP(AN185,各项系数!$D$1:$F$143,2,0))</f>
        <v>0.69691762654963729</v>
      </c>
      <c r="HT185" s="315">
        <f>各项系数!$F$76/4*($MW185^2-$MT185^2)*10^-2*(VLOOKUP(AN185,各项系数!$D$1:$F$143,3,0))*10^-3*10^2*各项系数!$J$4</f>
        <v>7.0794574773709262E-2</v>
      </c>
      <c r="HU185" s="303">
        <v>1</v>
      </c>
      <c r="HV185" s="304">
        <f t="shared" si="771"/>
        <v>7.0794574773709262E-2</v>
      </c>
      <c r="HW185" s="304">
        <f>HV185*(VLOOKUP(AN185,各项系数!$D$1:$F$143,2,0))</f>
        <v>0.70794574773709262</v>
      </c>
      <c r="HX185" s="315">
        <f>各项系数!$F$76/4*($MV185^2-$MS185^2)*10^-2*(VLOOKUP($HX$9,各项系数!$D$1:$F$143,3,0))*10^-3*10^2*各项系数!$J$4</f>
        <v>6.9691762654963726E-2</v>
      </c>
      <c r="HY185" s="322">
        <v>1</v>
      </c>
      <c r="HZ185" s="304">
        <f t="shared" si="772"/>
        <v>6.9691762654963726E-2</v>
      </c>
      <c r="IA185" s="304">
        <f>HZ185*(VLOOKUP($HX$9,各项系数!$D$1:$F$143,2,0))</f>
        <v>0.76660938920460098</v>
      </c>
      <c r="IB185" s="315">
        <f>各项系数!$F$76/4*($MW185^2-$MT185^2)*10^-2*(VLOOKUP($IB$9,各项系数!$D$1:$F$143,3,0))*10^-3*10^2*各项系数!$J$4</f>
        <v>7.0794574773709262E-2</v>
      </c>
      <c r="IC185" s="322">
        <v>1</v>
      </c>
      <c r="ID185" s="304">
        <f t="shared" si="773"/>
        <v>7.0794574773709262E-2</v>
      </c>
      <c r="IE185" s="304">
        <f>ID185*(VLOOKUP($IB$9,各项系数!$D$1:$F$143,2,0))</f>
        <v>0.77874032251080183</v>
      </c>
      <c r="IF185" s="328"/>
      <c r="IG185" s="315">
        <f t="shared" si="656"/>
        <v>1.4236151071886693E-2</v>
      </c>
      <c r="IH185" s="303">
        <v>1</v>
      </c>
      <c r="II185" s="304">
        <f t="shared" si="774"/>
        <v>1.4236151071886693E-2</v>
      </c>
      <c r="IJ185" s="304">
        <f>II185*(VLOOKUP($IG$8,各项系数!$D$1:$F$143,2,0))</f>
        <v>0.35590377679716734</v>
      </c>
      <c r="IK185" s="315">
        <f>(各项系数!$F$76/4*($MX185^2-$MK185^2)*$EG185)*10^-2*(VLOOKUP($IG$8,各项系数!$D$1:$F$143,3,0))*10^-3*10^2*各项系数!$J$4</f>
        <v>1.4236151071886693E-2</v>
      </c>
      <c r="IL185" s="303">
        <f>IK185*(VLOOKUP($IG$8,各项系数!$D$1:$F$143,2,0))</f>
        <v>0.35590377679716734</v>
      </c>
      <c r="IM185" s="304">
        <f>(各项系数!$F$76/4*(($MM185+3*$X185)^2-MM185^2)*$EO185)*10^-2*(VLOOKUP($IG$8,各项系数!$D$1:$F$143,3,0))*10^-3*10^2*各项系数!$J$4</f>
        <v>0</v>
      </c>
      <c r="IN185" s="303">
        <f>IM185*(VLOOKUP($IG$8,各项系数!$D$1:$F$143,2,0))</f>
        <v>0</v>
      </c>
      <c r="IO185" s="315">
        <f>各项系数!$F$76/4*($MZ185^2-$MX185^2)*10^-2*(VLOOKUP(L185,各项系数!$D$1:$F$143,3,0))*10^-3*10^2*$ES185*各项系数!$J$4</f>
        <v>3.639429233630076E-2</v>
      </c>
      <c r="IP185" s="303">
        <v>1</v>
      </c>
      <c r="IQ185" s="304">
        <f t="shared" si="775"/>
        <v>3.639429233630076E-2</v>
      </c>
      <c r="IR185" s="285">
        <f>IQ185*(VLOOKUP(L185,各项系数!$D$1:$F$143,2,0))</f>
        <v>0.41853436186745874</v>
      </c>
      <c r="IS185" s="315">
        <f>IF($L185&lt;&gt;$IS$9,0,各项系数!$F$76/4*($MZ185^2-$MX185^2)*10^-2*各项系数!$F$12*10^-3*10^2)*$ES185*各项系数!$J$4</f>
        <v>0</v>
      </c>
      <c r="IT185" s="303">
        <v>1</v>
      </c>
      <c r="IU185" s="304">
        <f t="shared" si="776"/>
        <v>0</v>
      </c>
      <c r="IV185" s="285">
        <f>IU185*各项系数!$E$12</f>
        <v>0</v>
      </c>
      <c r="IW185" s="302">
        <f t="shared" si="777"/>
        <v>3.639429233630076E-2</v>
      </c>
      <c r="IX185" s="302">
        <f t="shared" si="778"/>
        <v>0.41853436186745874</v>
      </c>
      <c r="IY185" s="339">
        <f>各项系数!$F$76/4*($NB185^2-$MZ185^2*$EG185-$NA185^2*$EO185)*10^-2</f>
        <v>0.24944432782908058</v>
      </c>
      <c r="IZ185" s="284">
        <f t="shared" si="697"/>
        <v>1</v>
      </c>
      <c r="JA185" s="285">
        <f t="shared" si="606"/>
        <v>0.24944432782908058</v>
      </c>
      <c r="JB185" s="282">
        <f>IF($DE185&lt;&gt;$JB$9,0,$JA185*各项系数!$F$32*10^-3*10^2)*各项系数!$J$4</f>
        <v>0</v>
      </c>
      <c r="JC185" s="102">
        <v>1</v>
      </c>
      <c r="JD185" s="189">
        <f t="shared" si="779"/>
        <v>0</v>
      </c>
      <c r="JE185" s="262">
        <f>JD185*各项系数!$E$32</f>
        <v>0</v>
      </c>
      <c r="JF185" s="282">
        <f>IF($DE185&lt;&gt;$JF$9,0,$JA185*VLOOKUP($JF$9,各项系数!$D$4:$F$540,2,0)*10^-3*10^2)*各项系数!$J$4</f>
        <v>0.1240985530949676</v>
      </c>
      <c r="JG185" s="102">
        <v>1</v>
      </c>
      <c r="JH185" s="189">
        <f t="shared" si="607"/>
        <v>0.1240985530949676</v>
      </c>
      <c r="JI185" s="262">
        <f>JH185*VLOOKUP($JF$9,各项系数!$D$4:$F$540,3,0)</f>
        <v>0.14891826371396111</v>
      </c>
      <c r="JJ185" s="282">
        <f t="shared" si="780"/>
        <v>0.1240985530949676</v>
      </c>
      <c r="JK185" s="189">
        <f t="shared" si="781"/>
        <v>0.14891826371396111</v>
      </c>
      <c r="JL185" s="282">
        <f>IF($DF185&lt;&gt;$JL$9,0,各项系数!$F$76/4*($NE185^2-$NC185^2)*10^-2*各项系数!$F$39*10^-3*10^2)*各项系数!$J$4</f>
        <v>1.1450267347340752E-3</v>
      </c>
      <c r="JM185" s="102">
        <v>1</v>
      </c>
      <c r="JN185" s="189">
        <f t="shared" si="782"/>
        <v>1.1450267347340752E-3</v>
      </c>
      <c r="JO185" s="262">
        <f>JN185*各项系数!$E$39</f>
        <v>2.2900534694681503E-2</v>
      </c>
      <c r="JP185" s="282">
        <f>IF($DF185&lt;&gt;$JP$9,0,各项系数!$F$76/4*($NE185^2-$NC185^2)*10^-2*各项系数!$F$36*10^-3*10^2)*各项系数!$J$4</f>
        <v>0</v>
      </c>
      <c r="JQ185" s="102">
        <v>1</v>
      </c>
      <c r="JR185" s="189">
        <f t="shared" si="783"/>
        <v>0</v>
      </c>
      <c r="JS185" s="262">
        <f>JR185*各项系数!$E$36</f>
        <v>0</v>
      </c>
      <c r="JT185" s="282">
        <f>IF($DF185&lt;&gt;$JT$9,0,各项系数!$F$76/4*($NE185^2-$NC185^2)*10^-2*各项系数!$F$40*10^-3*10^2)*各项系数!$J$4</f>
        <v>0</v>
      </c>
      <c r="JU185" s="102">
        <v>1</v>
      </c>
      <c r="JV185" s="189">
        <f t="shared" si="784"/>
        <v>0</v>
      </c>
      <c r="JW185" s="262">
        <f>JV185*各项系数!$E$40</f>
        <v>0</v>
      </c>
      <c r="JX185" s="282">
        <f>IF($DF185&lt;&gt;$JX$9,0,各项系数!$F$76/4*($NE185^2-$NC185^2)*10^-2*各项系数!$F$38*10^-3*10^2)*各项系数!$J$4</f>
        <v>0</v>
      </c>
      <c r="JY185" s="102">
        <v>1</v>
      </c>
      <c r="JZ185" s="189">
        <f t="shared" si="785"/>
        <v>0</v>
      </c>
      <c r="KA185" s="262">
        <f>JZ185*各项系数!$E$38</f>
        <v>0</v>
      </c>
      <c r="KB185" s="282">
        <f>IF($DF185&lt;&gt;$KB$9,0,各项系数!$F$76/4*($NE185^2-$NC185^2)*10^-2*各项系数!$F$41*10^-3*10^2)*各项系数!$J$4</f>
        <v>0</v>
      </c>
      <c r="KC185" s="102">
        <v>1</v>
      </c>
      <c r="KD185" s="189">
        <f t="shared" si="786"/>
        <v>0</v>
      </c>
      <c r="KE185" s="262">
        <f>KD185*各项系数!$E$41</f>
        <v>0</v>
      </c>
      <c r="KF185" s="189">
        <f t="shared" si="787"/>
        <v>1.1450267347340752E-3</v>
      </c>
      <c r="KG185" s="189">
        <f t="shared" si="788"/>
        <v>2.2900534694681503E-2</v>
      </c>
      <c r="KH185" s="235">
        <f>各项系数!$F$76/4*($NG185^2-$NE185^2)*10^-2*各项系数!$F$44*10^-3*10^2*各项系数!$J$4*0.75*$U185</f>
        <v>0.47938541936972134</v>
      </c>
      <c r="KI185" s="102">
        <v>1</v>
      </c>
      <c r="KJ185" s="189">
        <f t="shared" si="789"/>
        <v>0.47938541936972134</v>
      </c>
      <c r="KK185" s="189">
        <f>ROUND(KJ185*各项系数!$E$43,GT185)</f>
        <v>2.8</v>
      </c>
      <c r="KL185" s="235">
        <f>各项系数!$F$76/4*($NF185^2-$NE185^2)*10^-2*各项系数!$F$46*10^-3*10^2*各项系数!$J$4*PI()/4*R185</f>
        <v>1.4492333483898718E-2</v>
      </c>
      <c r="KM185" s="102">
        <v>1</v>
      </c>
      <c r="KN185" s="189">
        <f t="shared" si="790"/>
        <v>1.4492333483898718E-2</v>
      </c>
      <c r="KO185" s="189">
        <f>KN185*各项系数!$E$46</f>
        <v>0.97823251016316348</v>
      </c>
      <c r="KP185" s="235">
        <f>各项系数!$F$76/4*($NH185^2-$NE185^2)*10^-2*(VLOOKUP($KP$9,各项系数!$D$1:$F$143,3,0))*10^-3*10^2*各项系数!$J$4</f>
        <v>8.0192753263199204E-2</v>
      </c>
      <c r="KQ185" s="102">
        <v>1</v>
      </c>
      <c r="KR185" s="189">
        <f t="shared" si="657"/>
        <v>8.0192753263199204E-2</v>
      </c>
      <c r="KS185" s="189">
        <f>KR185*(VLOOKUP($KP$9,各项系数!$D$1:$F$143,2,0))</f>
        <v>1.3632768054743865</v>
      </c>
      <c r="KT185" s="235">
        <f>各项系数!$F$76/4*($NI185^2-$NF185^2)*10^-2*(VLOOKUP($KT$9,各项系数!$D$1:$F$143,3,0))*10^-3*10^2*各项系数!$J$4</f>
        <v>8.1280561135431223E-2</v>
      </c>
      <c r="KU185" s="102">
        <v>1</v>
      </c>
      <c r="KV185" s="189">
        <f t="shared" si="658"/>
        <v>8.1280561135431223E-2</v>
      </c>
      <c r="KW185" s="189">
        <f>KV185*(VLOOKUP($KT$9,各项系数!$D$1:$F$143,2,0))</f>
        <v>1.3817695393023308</v>
      </c>
      <c r="KX185" s="189">
        <f>各项系数!$F$76/4*($NH185^2-$NE185^2)*10^-2*(VLOOKUP($KX$9,各项系数!$D$1:$F$143,3,0))*10^-3*10^2*各项系数!$J$4</f>
        <v>8.0192753263199204E-2</v>
      </c>
      <c r="KY185" s="353">
        <v>1</v>
      </c>
      <c r="KZ185" s="189">
        <f t="shared" si="659"/>
        <v>8.0192753263199204E-2</v>
      </c>
      <c r="LA185" s="189">
        <f>KZ185*(VLOOKUP($KX$9,各项系数!$D$1:$F$143,2,0))</f>
        <v>1.3632768054743865</v>
      </c>
      <c r="LB185" s="189">
        <f>各项系数!$F$76/4*($NI185^2-$NF185^2)*10^-2*(VLOOKUP($LB$9,各项系数!$D$1:$F$143,3,0))*10^-3*10^2*各项系数!$J$4</f>
        <v>8.1280561135431223E-2</v>
      </c>
      <c r="LC185" s="353">
        <v>1</v>
      </c>
      <c r="LD185" s="189">
        <f t="shared" si="660"/>
        <v>8.1280561135431223E-2</v>
      </c>
      <c r="LE185" s="189">
        <f>LD185*(VLOOKUP($LB$9,各项系数!$D$1:$F$143,2,0))</f>
        <v>1.3817695393023308</v>
      </c>
      <c r="LF185" s="235">
        <f>各项系数!$F$76/4*($NH185^2-$NE185^2)*10^-2*(VLOOKUP(AN185,各项系数!$D$1:$F$143,3,0))*10^-3*10^2*各项系数!$J$4</f>
        <v>8.1298860204760584E-2</v>
      </c>
      <c r="LG185" s="102">
        <v>1</v>
      </c>
      <c r="LH185" s="189">
        <f t="shared" si="791"/>
        <v>8.1298860204760584E-2</v>
      </c>
      <c r="LI185" s="189">
        <f>LH185*(VLOOKUP(AN185,各项系数!$D$1:$F$143,2,0))</f>
        <v>0.81298860204760581</v>
      </c>
      <c r="LJ185" s="235">
        <f>各项系数!$F$76/4*($NI185^2-$NF185^2)*10^-2*(VLOOKUP(AN185,各项系数!$D$1:$F$143,3,0))*10^-3*10^2*各项系数!$J$4</f>
        <v>8.2401672323506148E-2</v>
      </c>
      <c r="LK185" s="102">
        <v>1</v>
      </c>
      <c r="LL185" s="189">
        <f t="shared" si="792"/>
        <v>8.2401672323506148E-2</v>
      </c>
      <c r="LM185" s="189">
        <f>LL185*(VLOOKUP(AN185,各项系数!$D$1:$F$143,2,0))</f>
        <v>0.82401672323506148</v>
      </c>
      <c r="LN185" s="189">
        <f>各项系数!$F$76/4*($NH185^2-$NE185^2)*10^-2*(VLOOKUP($LN$9,各项系数!$D$1:$F$143,3,0))*10^-3*10^2*各项系数!$J$4</f>
        <v>8.1298860204760584E-2</v>
      </c>
      <c r="LO185" s="353">
        <v>1</v>
      </c>
      <c r="LP185" s="189">
        <f t="shared" si="793"/>
        <v>8.1298860204760584E-2</v>
      </c>
      <c r="LQ185" s="189">
        <f>LP185*(VLOOKUP($LN$9,各项系数!$D$1:$F$143,2,0))</f>
        <v>0.89428746225236644</v>
      </c>
      <c r="LR185" s="189">
        <f>各项系数!$F$76/4*($NI185^2-$NF185^2)*10^-2*(VLOOKUP($LR$9,各项系数!$D$1:$F$143,3,0))*10^-3*10^2*各项系数!$J$4</f>
        <v>8.2401672323506148E-2</v>
      </c>
      <c r="LS185" s="353">
        <v>1</v>
      </c>
      <c r="LT185" s="189">
        <f t="shared" si="794"/>
        <v>8.2401672323506148E-2</v>
      </c>
      <c r="LU185" s="189">
        <f>LT185*(VLOOKUP($LR$9,各项系数!$D$1:$F$143,2,0))</f>
        <v>0.90641839555856762</v>
      </c>
      <c r="LV185" s="227">
        <f t="shared" si="661"/>
        <v>11.673387050000001</v>
      </c>
      <c r="LW185" s="227">
        <f t="shared" si="662"/>
        <v>11.673387050000001</v>
      </c>
      <c r="LX185" s="227">
        <f t="shared" si="663"/>
        <v>3.8552584884880736</v>
      </c>
      <c r="LY185" s="227">
        <f t="shared" si="664"/>
        <v>0</v>
      </c>
      <c r="LZ185" s="374">
        <f t="shared" si="608"/>
        <v>1</v>
      </c>
      <c r="MA185" s="375">
        <f t="shared" si="609"/>
        <v>11.673387050000001</v>
      </c>
      <c r="MB185" s="375">
        <f t="shared" si="665"/>
        <v>1.7241240099999999</v>
      </c>
      <c r="MC185" s="227">
        <f t="shared" si="666"/>
        <v>0</v>
      </c>
      <c r="MD185" s="227">
        <f t="shared" si="667"/>
        <v>0</v>
      </c>
      <c r="ME185" s="227">
        <f t="shared" si="668"/>
        <v>0</v>
      </c>
      <c r="MF185" s="227">
        <f t="shared" si="669"/>
        <v>0</v>
      </c>
      <c r="MG185" s="374">
        <f t="shared" si="670"/>
        <v>1</v>
      </c>
      <c r="MH185" s="375">
        <f t="shared" si="610"/>
        <v>0</v>
      </c>
      <c r="MI185" s="375">
        <f t="shared" si="671"/>
        <v>0</v>
      </c>
      <c r="MJ185" s="189">
        <f t="shared" si="611"/>
        <v>1.7241240099999999</v>
      </c>
      <c r="MK185" s="189">
        <f t="shared" si="672"/>
        <v>1.7241240099999999</v>
      </c>
      <c r="ML185" s="189">
        <f t="shared" si="795"/>
        <v>0</v>
      </c>
      <c r="MM185" s="189">
        <f t="shared" si="612"/>
        <v>0</v>
      </c>
      <c r="MN185" s="189">
        <f t="shared" si="613"/>
        <v>3.1241240100000001</v>
      </c>
      <c r="MO185" s="189">
        <f t="shared" si="673"/>
        <v>0</v>
      </c>
      <c r="MP185" s="189">
        <f t="shared" si="674"/>
        <v>8.4351348300000009</v>
      </c>
      <c r="MQ185" s="189">
        <f t="shared" si="796"/>
        <v>8.4351348300000009</v>
      </c>
      <c r="MR185" s="246">
        <f t="shared" si="675"/>
        <v>8.4351348300000009</v>
      </c>
      <c r="MS185" s="380">
        <f t="shared" si="614"/>
        <v>8.611134830000001</v>
      </c>
      <c r="MT185" s="380">
        <f t="shared" si="615"/>
        <v>8.7711348300000012</v>
      </c>
      <c r="MU185" s="380">
        <f t="shared" si="616"/>
        <v>9.8111348300000003</v>
      </c>
      <c r="MV185" s="380">
        <f t="shared" si="617"/>
        <v>11.611134830000001</v>
      </c>
      <c r="MW185" s="380">
        <f t="shared" si="618"/>
        <v>11.771134830000001</v>
      </c>
      <c r="MX185" s="254">
        <f t="shared" si="619"/>
        <v>2.3241240100000002</v>
      </c>
      <c r="MY185" s="254">
        <f t="shared" si="620"/>
        <v>0</v>
      </c>
      <c r="MZ185" s="189">
        <f t="shared" si="621"/>
        <v>3.7241240100000002</v>
      </c>
      <c r="NA185" s="189">
        <f t="shared" si="622"/>
        <v>0</v>
      </c>
      <c r="NB185" s="189">
        <f t="shared" si="676"/>
        <v>10.05513483</v>
      </c>
      <c r="NC185" s="254">
        <f t="shared" si="797"/>
        <v>10.05513483</v>
      </c>
      <c r="ND185" s="246">
        <f t="shared" si="677"/>
        <v>10.05513483</v>
      </c>
      <c r="NE185" s="386">
        <f t="shared" si="678"/>
        <v>10.29513483</v>
      </c>
      <c r="NF185" s="380">
        <f t="shared" si="623"/>
        <v>10.45513483</v>
      </c>
      <c r="NG185" s="387">
        <f t="shared" si="624"/>
        <v>11.495134830000001</v>
      </c>
      <c r="NH185" s="254">
        <f t="shared" si="625"/>
        <v>13.29513483</v>
      </c>
      <c r="NI185" s="380">
        <f t="shared" si="626"/>
        <v>13.45513483</v>
      </c>
      <c r="NK185" s="388">
        <f t="shared" si="627"/>
        <v>0.22540362607933526</v>
      </c>
      <c r="NL185" s="388">
        <f t="shared" si="628"/>
        <v>7.8886021792462921</v>
      </c>
      <c r="NM185" s="388">
        <f t="shared" si="629"/>
        <v>0.22540362607933526</v>
      </c>
      <c r="NN185" s="388">
        <f t="shared" si="630"/>
        <v>7.9582939419012559</v>
      </c>
      <c r="NO185" s="388">
        <f t="shared" si="631"/>
        <v>0.36043041188716429</v>
      </c>
      <c r="NP185" s="388">
        <f t="shared" si="632"/>
        <v>8.5226136522365792</v>
      </c>
      <c r="NQ185" s="388">
        <f t="shared" si="633"/>
        <v>0.36043041188716429</v>
      </c>
      <c r="NR185" s="388">
        <f t="shared" si="634"/>
        <v>8.6039125124413403</v>
      </c>
      <c r="NS185" s="388">
        <f t="shared" si="635"/>
        <v>0.23754369234099826</v>
      </c>
      <c r="NT185" s="388">
        <f t="shared" si="636"/>
        <v>0.23754369234099826</v>
      </c>
      <c r="NU185" s="388">
        <f t="shared" si="637"/>
        <v>0.37492274537106302</v>
      </c>
      <c r="NV185" s="388">
        <f t="shared" si="638"/>
        <v>0.37492274537106302</v>
      </c>
      <c r="NW185">
        <f t="shared" si="639"/>
        <v>0.36050012564083089</v>
      </c>
      <c r="NX185">
        <f>各项系数!$M$9*NK185</f>
        <v>6.762108782380058E-2</v>
      </c>
      <c r="NY185">
        <f t="shared" si="640"/>
        <v>0.23754369234099826</v>
      </c>
    </row>
    <row r="186" spans="1:389" ht="15" hidden="1" customHeight="1">
      <c r="A186" s="69"/>
      <c r="B186" s="70"/>
      <c r="C186" s="69"/>
      <c r="D186" s="102" t="s">
        <v>182</v>
      </c>
      <c r="E186" s="61">
        <f t="shared" si="805"/>
        <v>13.148372029999999</v>
      </c>
      <c r="F186" s="62">
        <f t="shared" si="820"/>
        <v>172.412400708262</v>
      </c>
      <c r="G186" s="16"/>
      <c r="H186" s="16"/>
      <c r="I186" s="145">
        <v>0</v>
      </c>
      <c r="J186" s="16"/>
      <c r="K186" s="16"/>
      <c r="L186" s="97" t="s">
        <v>469</v>
      </c>
      <c r="M186" s="103">
        <f t="shared" si="582"/>
        <v>0.7</v>
      </c>
      <c r="N186" s="103">
        <f t="shared" si="804"/>
        <v>0</v>
      </c>
      <c r="O186" s="53">
        <f t="shared" si="819"/>
        <v>0.08</v>
      </c>
      <c r="P186" s="99">
        <v>0.1</v>
      </c>
      <c r="Q186" s="133">
        <f t="shared" si="823"/>
        <v>0.1</v>
      </c>
      <c r="R186" s="406">
        <v>0.8</v>
      </c>
      <c r="S186" s="142" t="str">
        <f>各项系数!$D$43</f>
        <v>钢带</v>
      </c>
      <c r="T186" s="102">
        <v>0.2</v>
      </c>
      <c r="U186" s="62">
        <v>4</v>
      </c>
      <c r="V186" s="143"/>
      <c r="W186" s="407">
        <v>1.8</v>
      </c>
      <c r="X186" s="135">
        <f t="shared" si="824"/>
        <v>0.2</v>
      </c>
      <c r="Y186" s="135"/>
      <c r="Z186" s="168"/>
      <c r="AA186" s="153">
        <v>1</v>
      </c>
      <c r="AB186" s="153">
        <f>PI()*EJ186*EJ186/4*EH186*(1-H186)*AA186*各项系数!$F$5*各项系数!$J$4*10^-7</f>
        <v>2.0651505688902914E-2</v>
      </c>
      <c r="AC186" s="153">
        <f t="shared" si="808"/>
        <v>172.412400708262</v>
      </c>
      <c r="AD186" s="153">
        <f t="shared" si="584"/>
        <v>2.3346774015073022</v>
      </c>
      <c r="AE186" s="153">
        <f>POWER(4*EU186/PI()/EG186/10^-7/EH186/(1-H186)/各项系数!$F$5/各项系数!$J$4,0.5)</f>
        <v>172.412400708262</v>
      </c>
      <c r="AF186" s="69">
        <v>1</v>
      </c>
      <c r="AG186" s="69">
        <f>IF(EM186=0,0,PI()*ER186*ER186/4*EP186*(1-K186)*(1+AF186)*各项系数!$F$5*各项系数!$J$4*10^-7)</f>
        <v>0</v>
      </c>
      <c r="AH186" s="69">
        <f t="shared" si="809"/>
        <v>0</v>
      </c>
      <c r="AI186" s="69">
        <f t="shared" si="641"/>
        <v>0</v>
      </c>
      <c r="AJ186" s="69">
        <f>IF(OR(EP186="",EP186=0),0,POWER(4*EW186/PI()/EO186/10^-7/EP186/(1-K186)/各项系数!$F$5/各项系数!$J$4,0.5))</f>
        <v>0</v>
      </c>
      <c r="AK186" s="69" t="str">
        <f t="shared" si="585"/>
        <v>√</v>
      </c>
      <c r="AL186" s="69">
        <f t="shared" si="810"/>
        <v>9.9317831376657555</v>
      </c>
      <c r="AM186" s="188">
        <f t="shared" si="811"/>
        <v>2.5</v>
      </c>
      <c r="AN186" s="97" t="s">
        <v>486</v>
      </c>
      <c r="AO186" s="196">
        <f>AP186+各项系数!$M$9*$NK186</f>
        <v>9.7370422918291712</v>
      </c>
      <c r="AP186" s="196">
        <f>AQ186*(1+$BI186+(VLOOKUP($AM186,$A$12:$B$323,2,0))+各项系数!$J$6+各项系数!$M$5)*(1+$E$2)</f>
        <v>9.6521977438349875</v>
      </c>
      <c r="AQ186" s="197">
        <f>AR186+各项系数!$L$9*$NK186</f>
        <v>9.8491813712601921</v>
      </c>
      <c r="AR186" s="197">
        <f>AS186*(1+$BJ186+各项系数!$J$5+各项系数!$L$5)</f>
        <v>9.7643368232660084</v>
      </c>
      <c r="AS186" s="197">
        <f t="shared" si="642"/>
        <v>9.5728792384960872</v>
      </c>
      <c r="AT186" s="196">
        <f>AU186+各项系数!$M$9*$NM186</f>
        <v>10.372122168006047</v>
      </c>
      <c r="AU186" s="196">
        <f>AV186*(1+$BI186+(VLOOKUP($AM186,$A$12:$B$323,2,0))+各项系数!$J$6+各项系数!$M$5)*(1+$E$2)</f>
        <v>10.287277620011864</v>
      </c>
      <c r="AV186" s="197">
        <f>AW186+各项系数!$L$9*$NM186</f>
        <v>10.497222061236595</v>
      </c>
      <c r="AW186" s="197">
        <f>AX186*(1+$BJ186+各项系数!$J$5+各项系数!$L$5)</f>
        <v>10.412377513242411</v>
      </c>
      <c r="AX186" s="197">
        <f t="shared" si="643"/>
        <v>10.208213248276873</v>
      </c>
      <c r="AY186" s="196">
        <f>AZ186+各项系数!$M$9*$NS186</f>
        <v>10.665719506808324</v>
      </c>
      <c r="AZ186" s="196">
        <f>BA186*(1+$BI186+(VLOOKUP($AM186,$A$12:$B$214,2,0))+各项系数!$J$6+各项系数!$M$5)*(1+$E$2)</f>
        <v>10.576840189705532</v>
      </c>
      <c r="BA186" s="197">
        <f>BB186+各项系数!$L$9*$NS186</f>
        <v>10.792694071128095</v>
      </c>
      <c r="BB186" s="197">
        <f>BC186*(1+$BJ186+各项系数!$J$5+各项系数!$L$5)</f>
        <v>10.703814754025302</v>
      </c>
      <c r="BC186" s="199">
        <f t="shared" si="644"/>
        <v>10.493936033358139</v>
      </c>
      <c r="BD186" s="196">
        <f>BE186+各项系数!$M$9*$NS186</f>
        <v>11.309753335139719</v>
      </c>
      <c r="BE186" s="196">
        <f>BF186*(1+$BI186+(VLOOKUP($AM186,$A$12:$B$214,2,0))+各项系数!$J$6+各项系数!$M$5)*(1+$E$2)</f>
        <v>11.220874018036927</v>
      </c>
      <c r="BF186" s="197">
        <f>BG186+各项系数!$L$9*$NS186</f>
        <v>11.449871446976456</v>
      </c>
      <c r="BG186" s="197">
        <f>BH186*(1+$BJ186+各项系数!$J$5+各项系数!$L$5)</f>
        <v>11.360992129873663</v>
      </c>
      <c r="BH186" s="199">
        <f t="shared" si="645"/>
        <v>11.138227578307513</v>
      </c>
      <c r="BI186" s="213"/>
      <c r="BJ186" s="208">
        <f t="shared" si="822"/>
        <v>0</v>
      </c>
      <c r="BK186" s="102" t="s">
        <v>514</v>
      </c>
      <c r="BL186" s="196">
        <f>BM186+各项系数!$M$9*$NM186</f>
        <v>9.9256022410021032</v>
      </c>
      <c r="BM186" s="196">
        <f>BN186*(1+$CF186+(VLOOKUP($AM186,$A$12:$B$323,2,0))+各项系数!$J$6+各项系数!$M$5)*(1+$E$2)</f>
        <v>9.8407576930079195</v>
      </c>
      <c r="BN186" s="197">
        <f>BO186+各项系数!$L$9*$NM186</f>
        <v>10.041589482661143</v>
      </c>
      <c r="BO186" s="197">
        <f>BP186*(1+$CG186+各项系数!$J$5+各项系数!$L$5)</f>
        <v>9.9567449346669594</v>
      </c>
      <c r="BP186" s="197">
        <f t="shared" si="646"/>
        <v>9.6667426550164652</v>
      </c>
      <c r="BQ186" s="196">
        <f>BR186+各项系数!$M$9*$NM186</f>
        <v>10.47216265783916</v>
      </c>
      <c r="BR186" s="196">
        <f>BS186*(1+$CF186+(VLOOKUP($AM186,$A$12:$B$323,2,0))+各项系数!$J$6+各项系数!$M$5)*(1+$E$2)</f>
        <v>10.387318109844976</v>
      </c>
      <c r="BS186" s="197">
        <f>BT186+各项系数!$L$9*$NM186</f>
        <v>10.599304193719364</v>
      </c>
      <c r="BT186" s="197">
        <f>BU186*(1+$CG186+各项系数!$J$5+各项系数!$L$5)</f>
        <v>10.51445964572518</v>
      </c>
      <c r="BU186" s="197">
        <f t="shared" si="647"/>
        <v>10.208213248276873</v>
      </c>
      <c r="BV186" s="196">
        <f>BW186+各项系数!$M$9*$NT186</f>
        <v>10.785638031165236</v>
      </c>
      <c r="BW186" s="196">
        <f>BX186*(1+$CF186+(VLOOKUP($AM186,$A$12:$B$214,2,0))+各项系数!$J$6+各项系数!$M$5)*(1+$E$2)</f>
        <v>10.696758714062444</v>
      </c>
      <c r="BX186" s="197">
        <f>BY186+各项系数!$L$9*$NT$12</f>
        <v>10.915059912308616</v>
      </c>
      <c r="BY186" s="197">
        <f>BZ186*(1+$CG186+各项系数!$J$5+各项系数!$L$5)</f>
        <v>10.906796509153642</v>
      </c>
      <c r="BZ186" s="199">
        <f t="shared" si="586"/>
        <v>10.589122824421011</v>
      </c>
      <c r="CA186" s="196">
        <f>CB186+各项系数!$M$9*$NT186</f>
        <v>11.339904369738271</v>
      </c>
      <c r="CB186" s="196">
        <f>CC186*(1+$CF186+(VLOOKUP($AM186,$A$12:$B$214,2,0))+各项系数!$J$6+各项系数!$M$5)*(1+$E$2)</f>
        <v>11.251025052635478</v>
      </c>
      <c r="CC186" s="197">
        <f>CD186+各项系数!$L$9*$NT$12</f>
        <v>11.480637808811712</v>
      </c>
      <c r="CD186" s="197">
        <f>CE186*(1+$CG186+各项系数!$J$5+各项系数!$L$5)</f>
        <v>11.472374405656739</v>
      </c>
      <c r="CE186" s="199">
        <f t="shared" si="648"/>
        <v>11.138227578307513</v>
      </c>
      <c r="CF186" s="213">
        <f t="shared" si="753"/>
        <v>0</v>
      </c>
      <c r="CG186" s="213">
        <f t="shared" si="587"/>
        <v>0.01</v>
      </c>
      <c r="CH186" s="102"/>
      <c r="CI186" s="196">
        <f>CJ186+各项系数!$M$9*$NO186</f>
        <v>10.71130852916702</v>
      </c>
      <c r="CJ186" s="196">
        <f>CK186*(1+$DC186+(VLOOKUP($AM186,$A$12:$B$323,2,0))+各项系数!$J$6+各项系数!$M$5)*(1+$E$2)+各项系数!$M$9*$NK186</f>
        <v>10.573971057848265</v>
      </c>
      <c r="CK186" s="197">
        <f>CL186+各项系数!$L$9*$NO186</f>
        <v>10.703190316177635</v>
      </c>
      <c r="CL186" s="197">
        <f>CM186*(1+$DD186+各项系数!$J$5+各项系数!$L$5)</f>
        <v>10.565852844858879</v>
      </c>
      <c r="CM186" s="197">
        <f t="shared" si="588"/>
        <v>10.358679259665568</v>
      </c>
      <c r="CN186" s="196">
        <f>CO186+各项系数!$M$9*$NO186</f>
        <v>11.192276940396948</v>
      </c>
      <c r="CO186" s="196">
        <f>CP186*(1+$DC186+(VLOOKUP($AM186,$A$12:$B$323,2,0))+各项系数!$J$6+各项系数!$M$5)*(1+$E$2)+各项系数!$M$9*$NK186</f>
        <v>11.054939469078192</v>
      </c>
      <c r="CP186" s="197">
        <f>CQ186+各项系数!$L$9*$NO186</f>
        <v>11.193974409269396</v>
      </c>
      <c r="CQ186" s="197">
        <f>CR186*(1+$DD186+各项系数!$J$5+各项系数!$L$5)</f>
        <v>11.056636937950641</v>
      </c>
      <c r="CR186" s="197">
        <f t="shared" si="589"/>
        <v>10.839840135245726</v>
      </c>
      <c r="CS186" s="196">
        <f>CT186+各项系数!$M$9*$NU186</f>
        <v>11.732367054169604</v>
      </c>
      <c r="CT186" s="196">
        <f t="shared" si="590"/>
        <v>11.590213704579131</v>
      </c>
      <c r="CU186" s="197">
        <f>CV186+各项系数!$L$9*$NU186</f>
        <v>11.826748678141971</v>
      </c>
      <c r="CV186" s="197">
        <f>CW186*(1+$DD186+各项系数!$J$5+各项系数!$L$5)</f>
        <v>11.684595328551499</v>
      </c>
      <c r="CW186" s="199">
        <f t="shared" si="591"/>
        <v>11.455485616226959</v>
      </c>
      <c r="CX186" s="196">
        <f>CY186+各项系数!$M$9*$NU186</f>
        <v>12.480714425101141</v>
      </c>
      <c r="CY186" s="196">
        <f t="shared" si="592"/>
        <v>12.338561075510668</v>
      </c>
      <c r="CZ186" s="197">
        <f>DA186+各项系数!$L$9*$NU186</f>
        <v>12.590368444398642</v>
      </c>
      <c r="DA186" s="197">
        <f>DB186*(1+$DD186+各项系数!$J$5+各项系数!$L$5)</f>
        <v>12.44821509480817</v>
      </c>
      <c r="DB186" s="199">
        <f t="shared" si="593"/>
        <v>12.204132445890362</v>
      </c>
      <c r="DC186" s="213">
        <f t="shared" si="803"/>
        <v>0</v>
      </c>
      <c r="DD186" s="213">
        <f t="shared" si="594"/>
        <v>0</v>
      </c>
      <c r="DE186" s="53" t="s">
        <v>498</v>
      </c>
      <c r="DF186" s="53" t="s">
        <v>513</v>
      </c>
      <c r="DG186" s="196">
        <f>DH186+各项系数!$M$9*$NQ186</f>
        <v>10.923131554713624</v>
      </c>
      <c r="DH186" s="196">
        <f>DI186*(1+$EA186+(VLOOKUP($AM186,$A$12:$B$323,2,0))+各项系数!$J$6+各项系数!$M$5)*(1+$E$2)+各项系数!$M$9*$NK186</f>
        <v>10.785794083394869</v>
      </c>
      <c r="DI186" s="197">
        <f>DJ186+各项系数!$L$9*$NQ186</f>
        <v>10.919336260612944</v>
      </c>
      <c r="DJ186" s="197">
        <f>DK186*(1+$EB186+各项系数!$J$5+各项系数!$L$5)</f>
        <v>10.781998789294189</v>
      </c>
      <c r="DK186" s="197">
        <f t="shared" si="595"/>
        <v>10.467959989606008</v>
      </c>
      <c r="DL186" s="196">
        <f>DM186+各项系数!$M$9*$NQ186</f>
        <v>11.55946595977481</v>
      </c>
      <c r="DM186" s="196">
        <f>DN186*(1+$EA186+(VLOOKUP($AM186,$A$12:$B$323,2,0))+各项系数!$J$6+各项系数!$M$5)*(1+$E$2)+各项系数!$M$9*$NK186</f>
        <v>11.422128488456055</v>
      </c>
      <c r="DN186" s="197">
        <f>DO186+各项系数!$L$9*$NQ186</f>
        <v>11.56865708210395</v>
      </c>
      <c r="DO186" s="197">
        <f>DP186*(1+$EB186+各项系数!$J$5+各项系数!$L$5)</f>
        <v>11.431319610785195</v>
      </c>
      <c r="DP186" s="197">
        <f t="shared" si="596"/>
        <v>11.098368554160384</v>
      </c>
      <c r="DQ186" s="196">
        <f>DR186+各项系数!$M$9*$NV186</f>
        <v>11.956274596273703</v>
      </c>
      <c r="DR186" s="196">
        <f t="shared" si="597"/>
        <v>11.81412124668323</v>
      </c>
      <c r="DS186" s="197">
        <f>DT186+各项系数!$L$9*$NV186</f>
        <v>12.055225761921664</v>
      </c>
      <c r="DT186" s="197">
        <f>DU186*(1+$EB186+各项系数!$J$5+各项系数!$L$5)</f>
        <v>11.913072412331191</v>
      </c>
      <c r="DU186" s="199">
        <f t="shared" si="598"/>
        <v>11.566089720709893</v>
      </c>
      <c r="DV186" s="196">
        <f>DW186+各项系数!$M$9*$NV186</f>
        <v>12.093352621228053</v>
      </c>
      <c r="DW186" s="196">
        <f t="shared" si="599"/>
        <v>11.951199271637581</v>
      </c>
      <c r="DX186" s="197">
        <f>DY186+各项系数!$L$9*$NV186</f>
        <v>12.195101297589368</v>
      </c>
      <c r="DY186" s="197">
        <f>DZ186*(1+$EB186+各项系数!$J$5+各项系数!$L$5)</f>
        <v>12.052947947998895</v>
      </c>
      <c r="DZ186" s="199">
        <f t="shared" si="600"/>
        <v>11.701891211649412</v>
      </c>
      <c r="EA186" s="213">
        <f t="shared" si="802"/>
        <v>0</v>
      </c>
      <c r="EB186" s="213">
        <f t="shared" si="601"/>
        <v>0.01</v>
      </c>
      <c r="EC186" s="235">
        <f t="shared" si="649"/>
        <v>6</v>
      </c>
      <c r="ED186" s="235" t="str">
        <f t="shared" si="756"/>
        <v>6*2.5</v>
      </c>
      <c r="EE186" s="189">
        <f t="shared" si="812"/>
        <v>2.5</v>
      </c>
      <c r="EF186" s="189">
        <f>LOOKUP(EH186,{1,7,10,14,19,24,30,37,48,61},{1,"1+6","2+8","4+10","1+6+12","2+8+14","4+10+16","1+6+12+18","3+9+15+21","1+6+12+18+24"})</f>
        <v>1</v>
      </c>
      <c r="EG186" s="188">
        <f t="shared" si="602"/>
        <v>6</v>
      </c>
      <c r="EH186" s="197">
        <f>VLOOKUP(EE186,各项系数!$B$87:$C$124,2,0)</f>
        <v>1</v>
      </c>
      <c r="EI186" s="188">
        <f>IF(EH186=0,0,VLOOKUP(EH186,各项系数!$D$142:$E$195,2,0))*1</f>
        <v>1</v>
      </c>
      <c r="EJ186" s="238">
        <f t="shared" si="650"/>
        <v>172.412400708262</v>
      </c>
      <c r="EK186" s="189">
        <f t="shared" si="813"/>
        <v>0</v>
      </c>
      <c r="EL186" s="189">
        <f t="shared" si="603"/>
        <v>0</v>
      </c>
      <c r="EM186" s="189">
        <f t="shared" si="814"/>
        <v>0</v>
      </c>
      <c r="EN186" s="189">
        <f>IF(EP186=0,0,LOOKUP(EP186,{1,7,10,14,19,24,30,37,48,61},{1,"1+6","2+8","4+10","1+6+12","2+8+14","4+10+16","1+6+12+18","3+9+15+21","1+6+12+18+24"}))</f>
        <v>0</v>
      </c>
      <c r="EO186" s="189">
        <f t="shared" si="815"/>
        <v>0</v>
      </c>
      <c r="EP186" s="189">
        <f>IF(EM186=0,0,IF(EM186&lt;10,1,IF(AND(EM186&gt;=10,EM186&lt;=35),7,LOOKUP(EM186,{50,70,95,120,150,185,240,300},{10,14,19,24,30,37,48,61})*1)))</f>
        <v>0</v>
      </c>
      <c r="EQ186" s="189">
        <f>IF(EP186=0,0,VLOOKUP(EP186,各项系数!$D$142:$E$195,2,0))*1</f>
        <v>0</v>
      </c>
      <c r="ER186" s="53">
        <f t="shared" si="816"/>
        <v>0</v>
      </c>
      <c r="ES186" s="412">
        <f t="shared" si="817"/>
        <v>6</v>
      </c>
      <c r="ET186" s="189">
        <f>VLOOKUP(ES186,各项系数!$D$142:$E$195,2,0)*1</f>
        <v>3</v>
      </c>
      <c r="EU186" s="243">
        <f>((各项系数!$F$76/4*$EJ186^2*$EG186*$EH186*1*10^-7)*(1-$H186)*AA186)*(VLOOKUP($EY$9,各项系数!$D$4:$F$143,3,0))*各项系数!$J$4</f>
        <v>0.1239090341334175</v>
      </c>
      <c r="EV186" s="244">
        <f>EU186*(VLOOKUP($EY$9,各项系数!$D$4:$F$143,2,0))</f>
        <v>8.1160417357388468</v>
      </c>
      <c r="EW186" s="252">
        <f>(IF($EO186=0,0,(各项系数!$F$76/4*$ER186^2*$EO186*$EP186*1*10^-7))*(1-$K186)*$AF186)*(VLOOKUP($EY$9,各项系数!$D$4:$F$143,3,0))*各项系数!$J$4</f>
        <v>0</v>
      </c>
      <c r="EX186" s="253">
        <f>EW186*(VLOOKUP($EY$9,各项系数!$D$4:$F$143,2,0))</f>
        <v>0</v>
      </c>
      <c r="EY186" s="189">
        <f>((各项系数!$F$76/4*$EJ186^2*$EG186*$EH186*1*10^-7)*(1-$H186)*AA186+IF($EO186=0,0,(各项系数!$F$76/4*$ER186^2*$EO186*$EP186*1*10^-7))*(1-$K186)*$AF186)*(VLOOKUP($EY$9,各项系数!$D$4:$F$143,3,0))*各项系数!$J$4</f>
        <v>0.1239090341334175</v>
      </c>
      <c r="EZ186" s="102">
        <v>1</v>
      </c>
      <c r="FA186" s="189">
        <f t="shared" si="757"/>
        <v>0.1239090341334175</v>
      </c>
      <c r="FB186" s="254">
        <f>FA186*(VLOOKUP($EY$9,各项系数!$D$4:$F$143,2,0))</f>
        <v>8.1160417357388468</v>
      </c>
      <c r="FC186" s="255"/>
      <c r="FD186" s="235">
        <f>各项系数!$F$76/4*($MN186^2-MK186^2)*10^-2*(VLOOKUP(L186,各项系数!$D$1:$F$143,3,0))*10^-3*10^2*$EG186*各项系数!$J$4</f>
        <v>3.5008198441988762E-2</v>
      </c>
      <c r="FE186" s="262">
        <f>FD186*VLOOKUP(L186,各项系数!$D$1:$F$143,2,0)</f>
        <v>0.40259428208287079</v>
      </c>
      <c r="FF186" s="188">
        <f>各项系数!$F$76/4*($MO186^2-ML186^2)*10^-2*(VLOOKUP(L186,各项系数!$D$1:$F$143,3,0))*10^-3*10^2*$EO186*各项系数!$J$4</f>
        <v>0</v>
      </c>
      <c r="FG186" s="262">
        <f>FF186*VLOOKUP(L186,各项系数!$D$1:$F$143,2,0)</f>
        <v>0</v>
      </c>
      <c r="FH186" s="235">
        <f t="shared" si="651"/>
        <v>3.5008198441988762E-2</v>
      </c>
      <c r="FI186" s="102">
        <v>1</v>
      </c>
      <c r="FJ186" s="189">
        <f t="shared" si="758"/>
        <v>3.5008198441988762E-2</v>
      </c>
      <c r="FK186" s="262">
        <f>FJ186*VLOOKUP(L186,各项系数!$D$1:$F$143,2,0)</f>
        <v>0.40259428208287079</v>
      </c>
      <c r="FL186" s="235"/>
      <c r="FM186" s="102"/>
      <c r="FN186" s="189"/>
      <c r="FO186" s="262"/>
      <c r="FP186" s="282">
        <f t="shared" si="759"/>
        <v>3.5008198441988762E-2</v>
      </c>
      <c r="FQ186" s="282">
        <f t="shared" si="760"/>
        <v>0.40259428208287079</v>
      </c>
      <c r="FR186" s="283">
        <f>各项系数!$F$76/4*($MQ186^2-$MN186^2*$EG186-$MO186^2*$EO186)*10^-2</f>
        <v>0.22996813608758782</v>
      </c>
      <c r="FS186" s="284">
        <f t="shared" si="652"/>
        <v>1</v>
      </c>
      <c r="FT186" s="285">
        <f t="shared" si="604"/>
        <v>0.22996813608758782</v>
      </c>
      <c r="FU186" s="302">
        <f>$FT186*(VLOOKUP($FT$9,各项系数!$D$1:$F$143,3,0))*10^-3*10^2*各项系数!$J$55</f>
        <v>2.7458195448857983E-2</v>
      </c>
      <c r="FV186" s="303">
        <v>1</v>
      </c>
      <c r="FW186" s="304">
        <f t="shared" si="761"/>
        <v>2.7458195448857983E-2</v>
      </c>
      <c r="FX186" s="285">
        <f>FW186*(VLOOKUP($FT$9,各项系数!$D$1:$F$143,2,0))</f>
        <v>8.237458634657395E-2</v>
      </c>
      <c r="FY186" s="302">
        <f>IF($BK186&lt;&gt;$FY$9,0,各项系数!$F$76/4*($MS186^2-$MQ186^2)*10^-2*(VLOOKUP($FY$9,各项系数!$D$1:$F$143,3,0))*10^-3*10^2)*各项系数!$J$4</f>
        <v>0</v>
      </c>
      <c r="FZ186" s="303">
        <v>1</v>
      </c>
      <c r="GA186" s="304">
        <f t="shared" si="762"/>
        <v>0</v>
      </c>
      <c r="GB186" s="285">
        <f>GA186*(VLOOKUP($FY$9,各项系数!$D$1:$F$143,2,0))</f>
        <v>0</v>
      </c>
      <c r="GC186" s="302">
        <f>IF($BK186&lt;&gt;$GC$9,0,各项系数!$F$76/4*($MS186^2-$MQ186^2)*10^-2*(VLOOKUP($GC$9,各项系数!$D$1:$F$143,3,0))*10^-3*10^2)*各项系数!$J$4</f>
        <v>2.5763154359705661E-3</v>
      </c>
      <c r="GD186" s="303">
        <v>1</v>
      </c>
      <c r="GE186" s="304">
        <f t="shared" si="763"/>
        <v>2.5763154359705661E-3</v>
      </c>
      <c r="GF186" s="285">
        <f>GE186*(VLOOKUP($GC$9,各项系数!$D$1:$F$143,2,0))</f>
        <v>3.3234469124020304E-2</v>
      </c>
      <c r="GG186" s="302">
        <f>IF($BK186&lt;&gt;$GG$9,0,各项系数!$F$76/4*($MS186^2-$MQ186^2)*10^-2*(VLOOKUP($GG$9,各项系数!$D$1:$F$143,3,0))*10^-3*10^2)*各项系数!$J$4</f>
        <v>0</v>
      </c>
      <c r="GH186" s="303">
        <v>1</v>
      </c>
      <c r="GI186" s="304">
        <f t="shared" si="764"/>
        <v>0</v>
      </c>
      <c r="GJ186" s="285">
        <f>GI186*(VLOOKUP($GG$9,各项系数!$D$1:$F$143,2,0))</f>
        <v>0</v>
      </c>
      <c r="GK186" s="302">
        <f>IF($BK186&lt;&gt;$GK$9,0,各项系数!$F$76/4*($MS186^2-$MQ186^2)*10^-2*(VLOOKUP($GK$9,各项系数!$D$1:$F$143,3,0))*10^-3*10^2)*各项系数!$J$4</f>
        <v>0</v>
      </c>
      <c r="GL186" s="303">
        <v>1</v>
      </c>
      <c r="GM186" s="304">
        <f t="shared" si="765"/>
        <v>0</v>
      </c>
      <c r="GN186" s="285">
        <f>GM186*(VLOOKUP($GK$9,各项系数!$D$1:$F$143,2,0))</f>
        <v>0</v>
      </c>
      <c r="GO186" s="304">
        <f t="shared" si="766"/>
        <v>2.5763154359705661E-3</v>
      </c>
      <c r="GP186" s="304">
        <f t="shared" si="767"/>
        <v>3.3234469124020304E-2</v>
      </c>
      <c r="GQ186" s="315">
        <f>各项系数!$F$76/4*($MU186^2-$MS186^2)*10^-2*(VLOOKUP($S186,各项系数!$D$1:$F$143,3,0))*10^-3*10^2*各项系数!$J$4</f>
        <v>0.14884263044717463</v>
      </c>
      <c r="GR186" s="303">
        <v>1</v>
      </c>
      <c r="GS186" s="304">
        <f t="shared" si="768"/>
        <v>0.14884263044717463</v>
      </c>
      <c r="GT186" s="304">
        <f t="shared" si="696"/>
        <v>1</v>
      </c>
      <c r="GU186" s="304">
        <f>ROUND($GS186*(VLOOKUP($S186,各项系数!$D$1:$F$143,2,0))+$E$3*GS186,GT186)</f>
        <v>0.9</v>
      </c>
      <c r="GV186" s="315">
        <f>各项系数!$F$76/4*($MT186^2-$MS186^2)*10^-2*(VLOOKUP($GV$9,各项系数!$D$1:$F$143,3,0))*10^-3*10^2*各项系数!$J$4*PI()/4*R186</f>
        <v>1.3449230362031189E-2</v>
      </c>
      <c r="GW186" s="303">
        <v>1</v>
      </c>
      <c r="GX186" s="304">
        <f t="shared" si="769"/>
        <v>1.3449230362031189E-2</v>
      </c>
      <c r="GY186" s="304">
        <f>$GX186*(VLOOKUP($GV$9,各项系数!$D$1:$F$143,2,0))</f>
        <v>0.90782304943710523</v>
      </c>
      <c r="GZ186" s="315">
        <f>各项系数!$F$76/4*($MV186^2-$MS186^2)*10^-2*(VLOOKUP($GZ$9,各项系数!$D$1:$F$143,3,0))*10^-3*10^2*各项系数!$J$4</f>
        <v>9.2586363234385974E-2</v>
      </c>
      <c r="HA186" s="303">
        <v>1</v>
      </c>
      <c r="HB186" s="304">
        <f t="shared" si="653"/>
        <v>9.2586363234385974E-2</v>
      </c>
      <c r="HC186" s="304">
        <f>HB186*(VLOOKUP($GZ$9,各项系数!$D$1:$F$143,2,0))</f>
        <v>1.5739681749845615</v>
      </c>
      <c r="HD186" s="315">
        <f>各项系数!$F$76/4*($MW186^2-$MT186^2)*10^-2*(VLOOKUP($HD$9,各项系数!$D$1:$F$143,3,0))*10^-3*10^2*各项系数!$J$4</f>
        <v>9.3891732681064363E-2</v>
      </c>
      <c r="HE186" s="303">
        <v>1</v>
      </c>
      <c r="HF186" s="304">
        <f t="shared" si="654"/>
        <v>9.3891732681064363E-2</v>
      </c>
      <c r="HG186" s="304">
        <f>HF186*(VLOOKUP($HD$9,各项系数!$D$1:$F$143,2,0))</f>
        <v>1.5961594555780942</v>
      </c>
      <c r="HH186" s="315">
        <f>各项系数!$F$76/4*($MV186^2-$MS186^2)*10^-2*(VLOOKUP($HH$9,各项系数!$D$1:$F$143,3,0))*10^-3*10^2*各项系数!$J$4</f>
        <v>9.2586363234385974E-2</v>
      </c>
      <c r="HI186" s="322">
        <v>1</v>
      </c>
      <c r="HJ186" s="304">
        <f t="shared" si="655"/>
        <v>9.2586363234385974E-2</v>
      </c>
      <c r="HK186" s="304">
        <f>HJ186*(VLOOKUP($HH$9,各项系数!$D$1:$F$143,2,0))</f>
        <v>1.5739681749845615</v>
      </c>
      <c r="HL186" s="315">
        <f>各项系数!$F$76/4*($MW186^2-$MT186^2)*10^-2*(VLOOKUP($HL$9,各项系数!$D$1:$F$143,3,0))*10^-3*10^2*各项系数!$J$4</f>
        <v>9.3891732681064363E-2</v>
      </c>
      <c r="HM186" s="322">
        <v>1</v>
      </c>
      <c r="HN186" s="304">
        <f t="shared" si="605"/>
        <v>9.3891732681064363E-2</v>
      </c>
      <c r="HO186" s="304">
        <f>HN186*(VLOOKUP($HL$9,各项系数!$D$1:$F$143,2,0))</f>
        <v>1.5961594555780942</v>
      </c>
      <c r="HP186" s="315">
        <f>各项系数!$F$76/4*($MV186^2-$MS186^2)*10^-2*(VLOOKUP(AN186,各项系数!$D$1:$F$143,3,0))*10^-3*10^2*各项系数!$J$4</f>
        <v>9.3863416520377496E-2</v>
      </c>
      <c r="HQ186" s="303">
        <v>1</v>
      </c>
      <c r="HR186" s="304">
        <f t="shared" si="770"/>
        <v>9.3863416520377496E-2</v>
      </c>
      <c r="HS186" s="304">
        <f>HR186*(VLOOKUP(AN186,各项系数!$D$1:$F$143,2,0))</f>
        <v>0.93863416520377496</v>
      </c>
      <c r="HT186" s="315">
        <f>各项系数!$F$76/4*($MW186^2-$MT186^2)*10^-2*(VLOOKUP(AN186,各项系数!$D$1:$F$143,3,0))*10^-3*10^2*各项系数!$J$4</f>
        <v>9.5186791062872159E-2</v>
      </c>
      <c r="HU186" s="303">
        <v>1</v>
      </c>
      <c r="HV186" s="304">
        <f t="shared" si="771"/>
        <v>9.5186791062872159E-2</v>
      </c>
      <c r="HW186" s="304">
        <f>HV186*(VLOOKUP(AN186,各项系数!$D$1:$F$143,2,0))</f>
        <v>0.95186791062872156</v>
      </c>
      <c r="HX186" s="315">
        <f>各项系数!$F$76/4*($MV186^2-$MS186^2)*10^-2*(VLOOKUP($HX$9,各项系数!$D$1:$F$143,3,0))*10^-3*10^2*各项系数!$J$4</f>
        <v>9.3863416520377496E-2</v>
      </c>
      <c r="HY186" s="322">
        <v>1</v>
      </c>
      <c r="HZ186" s="304">
        <f t="shared" si="772"/>
        <v>9.3863416520377496E-2</v>
      </c>
      <c r="IA186" s="304">
        <f>HZ186*(VLOOKUP($HX$9,各项系数!$D$1:$F$143,2,0))</f>
        <v>1.0324975817241524</v>
      </c>
      <c r="IB186" s="315">
        <f>各项系数!$F$76/4*($MW186^2-$MT186^2)*10^-2*(VLOOKUP($IB$9,各项系数!$D$1:$F$143,3,0))*10^-3*10^2*各项系数!$J$4</f>
        <v>9.5186791062872159E-2</v>
      </c>
      <c r="IC186" s="322">
        <v>1</v>
      </c>
      <c r="ID186" s="304">
        <f t="shared" si="773"/>
        <v>9.5186791062872159E-2</v>
      </c>
      <c r="IE186" s="304">
        <f>ID186*(VLOOKUP($IB$9,各项系数!$D$1:$F$143,2,0))</f>
        <v>1.0470547016915936</v>
      </c>
      <c r="IF186" s="328"/>
      <c r="IG186" s="315">
        <f t="shared" si="656"/>
        <v>1.7083381286264035E-2</v>
      </c>
      <c r="IH186" s="303">
        <v>1</v>
      </c>
      <c r="II186" s="304">
        <f t="shared" si="774"/>
        <v>1.7083381286264035E-2</v>
      </c>
      <c r="IJ186" s="304">
        <f>II186*(VLOOKUP($IG$8,各项系数!$D$1:$F$143,2,0))</f>
        <v>0.42708453215660086</v>
      </c>
      <c r="IK186" s="315">
        <f>(各项系数!$F$76/4*($MX186^2-$MK186^2)*$EG186)*10^-2*(VLOOKUP($IG$8,各项系数!$D$1:$F$143,3,0))*10^-3*10^2*各项系数!$J$4</f>
        <v>1.7083381286264035E-2</v>
      </c>
      <c r="IL186" s="303">
        <f>IK186*(VLOOKUP($IG$8,各项系数!$D$1:$F$143,2,0))</f>
        <v>0.42708453215660086</v>
      </c>
      <c r="IM186" s="304">
        <f>(各项系数!$F$76/4*(($MM186+3*$X186)^2-MM186^2)*$EO186)*10^-2*(VLOOKUP($IG$8,各项系数!$D$1:$F$143,3,0))*10^-3*10^2*各项系数!$J$4</f>
        <v>0</v>
      </c>
      <c r="IN186" s="303">
        <f>IM186*(VLOOKUP($IG$8,各项系数!$D$1:$F$143,2,0))</f>
        <v>0</v>
      </c>
      <c r="IO186" s="315">
        <f>各项系数!$F$76/4*($MZ186^2-$MX186^2)*10^-2*(VLOOKUP(L186,各项系数!$D$1:$F$143,3,0))*10^-3*10^2*$ES186*各项系数!$J$4</f>
        <v>4.367315080356092E-2</v>
      </c>
      <c r="IP186" s="303">
        <v>1</v>
      </c>
      <c r="IQ186" s="304">
        <f t="shared" si="775"/>
        <v>4.367315080356092E-2</v>
      </c>
      <c r="IR186" s="285">
        <f>IQ186*(VLOOKUP(L186,各项系数!$D$1:$F$143,2,0))</f>
        <v>0.50224123424095057</v>
      </c>
      <c r="IS186" s="315">
        <f>IF($L186&lt;&gt;$IS$9,0,各项系数!$F$76/4*($MZ186^2-$MX186^2)*10^-2*各项系数!$F$12*10^-3*10^2)*$ES186*各项系数!$J$4</f>
        <v>0</v>
      </c>
      <c r="IT186" s="303">
        <v>1</v>
      </c>
      <c r="IU186" s="304">
        <f t="shared" si="776"/>
        <v>0</v>
      </c>
      <c r="IV186" s="285">
        <f>IU186*各项系数!$E$12</f>
        <v>0</v>
      </c>
      <c r="IW186" s="302">
        <f t="shared" si="777"/>
        <v>4.367315080356092E-2</v>
      </c>
      <c r="IX186" s="302">
        <f t="shared" si="778"/>
        <v>0.50224123424095057</v>
      </c>
      <c r="IY186" s="339">
        <f>各项系数!$F$76/4*($NB186^2-$MZ186^2*$EG186-$NA186^2*$EO186)*10^-2</f>
        <v>0.32678296160075571</v>
      </c>
      <c r="IZ186" s="284">
        <f t="shared" si="697"/>
        <v>1</v>
      </c>
      <c r="JA186" s="285">
        <f t="shared" si="606"/>
        <v>0.32678296160075571</v>
      </c>
      <c r="JB186" s="282">
        <f>IF($DE186&lt;&gt;$JB$9,0,$JA186*各项系数!$F$32*10^-3*10^2)*各项系数!$J$4</f>
        <v>0</v>
      </c>
      <c r="JC186" s="102">
        <v>1</v>
      </c>
      <c r="JD186" s="189">
        <f t="shared" si="779"/>
        <v>0</v>
      </c>
      <c r="JE186" s="262">
        <f>JD186*各项系数!$E$32</f>
        <v>0</v>
      </c>
      <c r="JF186" s="282">
        <f>IF($DE186&lt;&gt;$JF$9,0,$JA186*VLOOKUP($JF$9,各项系数!$D$4:$F$540,2,0)*10^-3*10^2)*各项系数!$J$4</f>
        <v>0.16257452339637596</v>
      </c>
      <c r="JG186" s="102">
        <v>1</v>
      </c>
      <c r="JH186" s="189">
        <f t="shared" si="607"/>
        <v>0.16257452339637596</v>
      </c>
      <c r="JI186" s="262">
        <f>JH186*VLOOKUP($JF$9,各项系数!$D$4:$F$540,3,0)</f>
        <v>0.19508942807565113</v>
      </c>
      <c r="JJ186" s="282">
        <f t="shared" si="780"/>
        <v>0.16257452339637596</v>
      </c>
      <c r="JK186" s="189">
        <f t="shared" si="781"/>
        <v>0.19508942807565113</v>
      </c>
      <c r="JL186" s="282">
        <f>IF($DF186&lt;&gt;$JL$9,0,各项系数!$F$76/4*($NE186^2-$NC186^2)*10^-2*各项系数!$F$39*10^-3*10^2)*各项系数!$J$4</f>
        <v>1.2707515024558465E-3</v>
      </c>
      <c r="JM186" s="102">
        <v>1</v>
      </c>
      <c r="JN186" s="189">
        <f t="shared" si="782"/>
        <v>1.2707515024558465E-3</v>
      </c>
      <c r="JO186" s="262">
        <f>JN186*各项系数!$E$39</f>
        <v>2.5415030049116931E-2</v>
      </c>
      <c r="JP186" s="282">
        <f>IF($DF186&lt;&gt;$JP$9,0,各项系数!$F$76/4*($NE186^2-$NC186^2)*10^-2*各项系数!$F$36*10^-3*10^2)*各项系数!$J$4</f>
        <v>0</v>
      </c>
      <c r="JQ186" s="102">
        <v>1</v>
      </c>
      <c r="JR186" s="189">
        <f t="shared" si="783"/>
        <v>0</v>
      </c>
      <c r="JS186" s="262">
        <f>JR186*各项系数!$E$36</f>
        <v>0</v>
      </c>
      <c r="JT186" s="282">
        <f>IF($DF186&lt;&gt;$JT$9,0,各项系数!$F$76/4*($NE186^2-$NC186^2)*10^-2*各项系数!$F$40*10^-3*10^2)*各项系数!$J$4</f>
        <v>0</v>
      </c>
      <c r="JU186" s="102">
        <v>1</v>
      </c>
      <c r="JV186" s="189">
        <f t="shared" si="784"/>
        <v>0</v>
      </c>
      <c r="JW186" s="262">
        <f>JV186*各项系数!$E$40</f>
        <v>0</v>
      </c>
      <c r="JX186" s="282">
        <f>IF($DF186&lt;&gt;$JX$9,0,各项系数!$F$76/4*($NE186^2-$NC186^2)*10^-2*各项系数!$F$38*10^-3*10^2)*各项系数!$J$4</f>
        <v>0</v>
      </c>
      <c r="JY186" s="102">
        <v>1</v>
      </c>
      <c r="JZ186" s="189">
        <f t="shared" si="785"/>
        <v>0</v>
      </c>
      <c r="KA186" s="262">
        <f>JZ186*各项系数!$E$38</f>
        <v>0</v>
      </c>
      <c r="KB186" s="282">
        <f>IF($DF186&lt;&gt;$KB$9,0,各项系数!$F$76/4*($NE186^2-$NC186^2)*10^-2*各项系数!$F$41*10^-3*10^2)*各项系数!$J$4</f>
        <v>0</v>
      </c>
      <c r="KC186" s="102">
        <v>1</v>
      </c>
      <c r="KD186" s="189">
        <f t="shared" si="786"/>
        <v>0</v>
      </c>
      <c r="KE186" s="262">
        <f>KD186*各项系数!$E$41</f>
        <v>0</v>
      </c>
      <c r="KF186" s="189">
        <f t="shared" si="787"/>
        <v>1.2707515024558465E-3</v>
      </c>
      <c r="KG186" s="189">
        <f t="shared" si="788"/>
        <v>2.5415030049116931E-2</v>
      </c>
      <c r="KH186" s="235">
        <f>各项系数!$F$76/4*($NG186^2-$NE186^2)*10^-2*各项系数!$F$44*10^-3*10^2*各项系数!$J$4*0.75*$U186</f>
        <v>0.52854380354893249</v>
      </c>
      <c r="KI186" s="102">
        <v>1</v>
      </c>
      <c r="KJ186" s="189">
        <f t="shared" si="789"/>
        <v>0.52854380354893249</v>
      </c>
      <c r="KK186" s="189">
        <f>ROUND(KJ186*各项系数!$E$43,GT186)</f>
        <v>3.1</v>
      </c>
      <c r="KL186" s="235">
        <f>各项系数!$F$76/4*($NF186^2-$NE186^2)*10^-2*各项系数!$F$46*10^-3*10^2*各项系数!$J$4*PI()/4*R186</f>
        <v>1.6052927572391774E-2</v>
      </c>
      <c r="KM186" s="102">
        <v>1</v>
      </c>
      <c r="KN186" s="189">
        <f t="shared" si="790"/>
        <v>1.6052927572391774E-2</v>
      </c>
      <c r="KO186" s="189">
        <f>KN186*各项系数!$E$46</f>
        <v>1.0835726111364448</v>
      </c>
      <c r="KP186" s="235">
        <f>各项系数!$F$76/4*($NH186^2-$NE186^2)*10^-2*(VLOOKUP($KP$9,各项系数!$D$1:$F$143,3,0))*10^-3*10^2*各项系数!$J$4</f>
        <v>0.10779391728818935</v>
      </c>
      <c r="KQ186" s="102">
        <v>1</v>
      </c>
      <c r="KR186" s="189">
        <f t="shared" si="657"/>
        <v>0.10779391728818935</v>
      </c>
      <c r="KS186" s="189">
        <f>KR186*(VLOOKUP($KP$9,各项系数!$D$1:$F$143,2,0))</f>
        <v>1.832496593899219</v>
      </c>
      <c r="KT186" s="235">
        <f>各项系数!$F$76/4*($NI186^2-$NF186^2)*10^-2*(VLOOKUP($KT$9,各项系数!$D$1:$F$143,3,0))*10^-3*10^2*各项系数!$J$4</f>
        <v>0.10909928673486774</v>
      </c>
      <c r="KU186" s="102">
        <v>1</v>
      </c>
      <c r="KV186" s="189">
        <f t="shared" si="658"/>
        <v>0.10909928673486774</v>
      </c>
      <c r="KW186" s="189">
        <f>KV186*(VLOOKUP($KT$9,各项系数!$D$1:$F$143,2,0))</f>
        <v>1.8546878744927515</v>
      </c>
      <c r="KX186" s="189">
        <f>各项系数!$F$76/4*($NH186^2-$NE186^2)*10^-2*(VLOOKUP($KX$9,各项系数!$D$1:$F$143,3,0))*10^-3*10^2*各项系数!$J$4</f>
        <v>0.10779391728818935</v>
      </c>
      <c r="KY186" s="353">
        <v>1</v>
      </c>
      <c r="KZ186" s="189">
        <f t="shared" si="659"/>
        <v>0.10779391728818935</v>
      </c>
      <c r="LA186" s="189">
        <f>KZ186*(VLOOKUP($KX$9,各项系数!$D$1:$F$143,2,0))</f>
        <v>1.832496593899219</v>
      </c>
      <c r="LB186" s="189">
        <f>各项系数!$F$76/4*($NI186^2-$NF186^2)*10^-2*(VLOOKUP($LB$9,各项系数!$D$1:$F$143,3,0))*10^-3*10^2*各项系数!$J$4</f>
        <v>0.10909928673486774</v>
      </c>
      <c r="LC186" s="353">
        <v>1</v>
      </c>
      <c r="LD186" s="189">
        <f t="shared" si="660"/>
        <v>0.10909928673486774</v>
      </c>
      <c r="LE186" s="189">
        <f>LD186*(VLOOKUP($LB$9,各项系数!$D$1:$F$143,2,0))</f>
        <v>1.8546878744927515</v>
      </c>
      <c r="LF186" s="235">
        <f>各项系数!$F$76/4*($NH186^2-$NE186^2)*10^-2*(VLOOKUP(AN186,各项系数!$D$1:$F$143,3,0))*10^-3*10^2*各项系数!$J$4</f>
        <v>0.10928072994044023</v>
      </c>
      <c r="LG186" s="102">
        <v>1</v>
      </c>
      <c r="LH186" s="189">
        <f t="shared" si="791"/>
        <v>0.10928072994044023</v>
      </c>
      <c r="LI186" s="189">
        <f>LH186*(VLOOKUP(AN186,各项系数!$D$1:$F$143,2,0))</f>
        <v>1.0928072994044022</v>
      </c>
      <c r="LJ186" s="235">
        <f>各项系数!$F$76/4*($NI186^2-$NF186^2)*10^-2*(VLOOKUP(AN186,各项系数!$D$1:$F$143,3,0))*10^-3*10^2*各项系数!$J$4</f>
        <v>0.1106041044829349</v>
      </c>
      <c r="LK186" s="102">
        <v>1</v>
      </c>
      <c r="LL186" s="189">
        <f t="shared" si="792"/>
        <v>0.1106041044829349</v>
      </c>
      <c r="LM186" s="189">
        <f>LL186*(VLOOKUP(AN186,各项系数!$D$1:$F$143,2,0))</f>
        <v>1.106041044829349</v>
      </c>
      <c r="LN186" s="189">
        <f>各项系数!$F$76/4*($NH186^2-$NE186^2)*10^-2*(VLOOKUP($LN$9,各项系数!$D$1:$F$143,3,0))*10^-3*10^2*各项系数!$J$4</f>
        <v>0.10928072994044023</v>
      </c>
      <c r="LO186" s="353">
        <v>1</v>
      </c>
      <c r="LP186" s="189">
        <f t="shared" si="793"/>
        <v>0.10928072994044023</v>
      </c>
      <c r="LQ186" s="189">
        <f>LP186*(VLOOKUP($LN$9,各项系数!$D$1:$F$143,2,0))</f>
        <v>1.2020880293448426</v>
      </c>
      <c r="LR186" s="189">
        <f>各项系数!$F$76/4*($NI186^2-$NF186^2)*10^-2*(VLOOKUP($LR$9,各项系数!$D$1:$F$143,3,0))*10^-3*10^2*各项系数!$J$4</f>
        <v>0.1106041044829349</v>
      </c>
      <c r="LS186" s="353">
        <v>1</v>
      </c>
      <c r="LT186" s="189">
        <f t="shared" si="794"/>
        <v>0.1106041044829349</v>
      </c>
      <c r="LU186" s="189">
        <f>LT186*(VLOOKUP($LR$9,各项系数!$D$1:$F$143,2,0))</f>
        <v>1.2166451493122838</v>
      </c>
      <c r="LV186" s="227">
        <f t="shared" si="661"/>
        <v>14.00806446</v>
      </c>
      <c r="LW186" s="227">
        <f t="shared" si="662"/>
        <v>14.00806446</v>
      </c>
      <c r="LX186" s="227">
        <f t="shared" si="663"/>
        <v>4.2232240783163766</v>
      </c>
      <c r="LY186" s="227">
        <f t="shared" si="664"/>
        <v>0</v>
      </c>
      <c r="LZ186" s="374">
        <f t="shared" si="608"/>
        <v>1</v>
      </c>
      <c r="MA186" s="375">
        <f t="shared" si="609"/>
        <v>14.00806446</v>
      </c>
      <c r="MB186" s="375">
        <f t="shared" si="665"/>
        <v>1.7241240099999999</v>
      </c>
      <c r="MC186" s="227">
        <f t="shared" si="666"/>
        <v>0</v>
      </c>
      <c r="MD186" s="227">
        <f t="shared" si="667"/>
        <v>0</v>
      </c>
      <c r="ME186" s="227">
        <f t="shared" si="668"/>
        <v>0</v>
      </c>
      <c r="MF186" s="227">
        <f t="shared" si="669"/>
        <v>0</v>
      </c>
      <c r="MG186" s="374">
        <f t="shared" si="670"/>
        <v>1</v>
      </c>
      <c r="MH186" s="375">
        <f t="shared" si="610"/>
        <v>0</v>
      </c>
      <c r="MI186" s="375">
        <f t="shared" si="671"/>
        <v>0</v>
      </c>
      <c r="MJ186" s="189">
        <f t="shared" si="611"/>
        <v>1.7241240099999999</v>
      </c>
      <c r="MK186" s="189">
        <f t="shared" si="672"/>
        <v>1.7241240099999999</v>
      </c>
      <c r="ML186" s="189">
        <f t="shared" si="795"/>
        <v>0</v>
      </c>
      <c r="MM186" s="189">
        <f t="shared" si="612"/>
        <v>0</v>
      </c>
      <c r="MN186" s="189">
        <f t="shared" si="613"/>
        <v>3.1241240100000001</v>
      </c>
      <c r="MO186" s="189">
        <f t="shared" si="673"/>
        <v>0</v>
      </c>
      <c r="MP186" s="189">
        <f t="shared" si="674"/>
        <v>9.3723720299999993</v>
      </c>
      <c r="MQ186" s="189">
        <f t="shared" si="796"/>
        <v>9.3723720299999993</v>
      </c>
      <c r="MR186" s="246">
        <f t="shared" si="675"/>
        <v>9.3723720299999993</v>
      </c>
      <c r="MS186" s="380">
        <f t="shared" si="614"/>
        <v>9.5483720299999995</v>
      </c>
      <c r="MT186" s="380">
        <f t="shared" si="615"/>
        <v>9.7083720299999996</v>
      </c>
      <c r="MU186" s="380">
        <f t="shared" si="616"/>
        <v>10.748372029999999</v>
      </c>
      <c r="MV186" s="380">
        <f t="shared" si="617"/>
        <v>13.148372029999999</v>
      </c>
      <c r="MW186" s="380">
        <f t="shared" si="618"/>
        <v>13.308372029999999</v>
      </c>
      <c r="MX186" s="254">
        <f t="shared" si="619"/>
        <v>2.3241240100000002</v>
      </c>
      <c r="MY186" s="254">
        <f t="shared" si="620"/>
        <v>0</v>
      </c>
      <c r="MZ186" s="189">
        <f t="shared" si="621"/>
        <v>3.7241240100000002</v>
      </c>
      <c r="NA186" s="189">
        <f t="shared" si="622"/>
        <v>0</v>
      </c>
      <c r="NB186" s="189">
        <f t="shared" si="676"/>
        <v>11.17237203</v>
      </c>
      <c r="NC186" s="254">
        <f t="shared" si="797"/>
        <v>11.17237203</v>
      </c>
      <c r="ND186" s="246">
        <f t="shared" si="677"/>
        <v>11.17237203</v>
      </c>
      <c r="NE186" s="386">
        <f t="shared" si="678"/>
        <v>11.41237203</v>
      </c>
      <c r="NF186" s="380">
        <f t="shared" si="623"/>
        <v>11.57237203</v>
      </c>
      <c r="NG186" s="387">
        <f t="shared" si="624"/>
        <v>12.61237203</v>
      </c>
      <c r="NH186" s="254">
        <f t="shared" si="625"/>
        <v>15.01237203</v>
      </c>
      <c r="NI186" s="380">
        <f t="shared" si="626"/>
        <v>15.17237203</v>
      </c>
      <c r="NK186" s="388">
        <f t="shared" si="627"/>
        <v>0.2828151599806123</v>
      </c>
      <c r="NL186" s="388">
        <f t="shared" si="628"/>
        <v>9.5728792384960872</v>
      </c>
      <c r="NM186" s="388">
        <f t="shared" si="629"/>
        <v>0.2828151599806123</v>
      </c>
      <c r="NN186" s="388">
        <f t="shared" si="630"/>
        <v>9.6667426550164652</v>
      </c>
      <c r="NO186" s="388">
        <f t="shared" si="631"/>
        <v>0.45779157106251445</v>
      </c>
      <c r="NP186" s="388">
        <f t="shared" si="632"/>
        <v>10.358679259665568</v>
      </c>
      <c r="NQ186" s="388">
        <f t="shared" si="633"/>
        <v>0.45779157106251445</v>
      </c>
      <c r="NR186" s="388">
        <f t="shared" si="634"/>
        <v>10.467959989606008</v>
      </c>
      <c r="NS186" s="388">
        <f t="shared" si="635"/>
        <v>0.29626439034264351</v>
      </c>
      <c r="NT186" s="388">
        <f t="shared" si="636"/>
        <v>0.29626439034264351</v>
      </c>
      <c r="NU186" s="388">
        <f t="shared" si="637"/>
        <v>0.47384449863490624</v>
      </c>
      <c r="NV186" s="388">
        <f t="shared" si="638"/>
        <v>0.47384449863490624</v>
      </c>
      <c r="NW186">
        <f t="shared" si="639"/>
        <v>0.43165779042778696</v>
      </c>
      <c r="NX186">
        <f>各项系数!$M$9*NK186</f>
        <v>8.4844547994183686E-2</v>
      </c>
      <c r="NY186">
        <f t="shared" si="640"/>
        <v>0.29626439034264351</v>
      </c>
    </row>
    <row r="187" spans="1:389" ht="15" hidden="1" customHeight="1">
      <c r="A187" s="69"/>
      <c r="B187" s="70"/>
      <c r="C187" s="69"/>
      <c r="D187" s="102" t="s">
        <v>195</v>
      </c>
      <c r="E187" s="61">
        <f t="shared" si="805"/>
        <v>13.148372029999999</v>
      </c>
      <c r="F187" s="62">
        <f t="shared" si="820"/>
        <v>172.412400708262</v>
      </c>
      <c r="G187" s="16"/>
      <c r="H187" s="16"/>
      <c r="I187" s="145">
        <v>0</v>
      </c>
      <c r="J187" s="16"/>
      <c r="K187" s="16"/>
      <c r="L187" s="97" t="s">
        <v>469</v>
      </c>
      <c r="M187" s="103">
        <f t="shared" si="582"/>
        <v>0.7</v>
      </c>
      <c r="N187" s="103">
        <f t="shared" si="804"/>
        <v>0</v>
      </c>
      <c r="O187" s="53">
        <f t="shared" si="819"/>
        <v>0.08</v>
      </c>
      <c r="P187" s="99">
        <v>0.1</v>
      </c>
      <c r="Q187" s="133">
        <f t="shared" si="823"/>
        <v>0.1</v>
      </c>
      <c r="R187" s="406">
        <v>0.8</v>
      </c>
      <c r="S187" s="142" t="str">
        <f>各项系数!$D$43</f>
        <v>钢带</v>
      </c>
      <c r="T187" s="102">
        <v>0.2</v>
      </c>
      <c r="U187" s="62">
        <v>4</v>
      </c>
      <c r="V187" s="143"/>
      <c r="W187" s="141">
        <f>$W$186</f>
        <v>1.8</v>
      </c>
      <c r="X187" s="135">
        <f t="shared" si="824"/>
        <v>0.2</v>
      </c>
      <c r="Y187" s="135"/>
      <c r="Z187" s="168"/>
      <c r="AA187" s="153">
        <v>1</v>
      </c>
      <c r="AB187" s="153">
        <f>PI()*EJ187*EJ187/4*EH187*(1-H187)*AA187*各项系数!$F$5*各项系数!$J$4*10^-7</f>
        <v>2.0651505688902914E-2</v>
      </c>
      <c r="AC187" s="153">
        <f t="shared" si="808"/>
        <v>172.412400708262</v>
      </c>
      <c r="AD187" s="153">
        <f t="shared" si="584"/>
        <v>2.3346774015073013</v>
      </c>
      <c r="AE187" s="153">
        <f>POWER(4*EU187/PI()/EG187/10^-7/EH187/(1-H187)/各项系数!$F$5/各项系数!$J$4,0.5)</f>
        <v>172.41240070826197</v>
      </c>
      <c r="AF187" s="69">
        <v>1</v>
      </c>
      <c r="AG187" s="69">
        <f>IF(EM187=0,0,PI()*ER187*ER187/4*EP187*(1-K187)*(1+AF187)*各项系数!$F$5*各项系数!$J$4*10^-7)</f>
        <v>0</v>
      </c>
      <c r="AH187" s="69">
        <f t="shared" si="809"/>
        <v>0</v>
      </c>
      <c r="AI187" s="69">
        <f t="shared" si="641"/>
        <v>0</v>
      </c>
      <c r="AJ187" s="69">
        <f>IF(OR(EP187="",EP187=0),0,POWER(4*EW187/PI()/EO187/10^-7/EP187/(1-K187)/各项系数!$F$5/各项系数!$J$4,0.5))</f>
        <v>0</v>
      </c>
      <c r="AK187" s="69" t="str">
        <f t="shared" si="585"/>
        <v>√</v>
      </c>
      <c r="AL187" s="69">
        <f t="shared" si="810"/>
        <v>11.361877842024755</v>
      </c>
      <c r="AM187" s="188">
        <f t="shared" si="811"/>
        <v>2.5</v>
      </c>
      <c r="AN187" s="97" t="s">
        <v>486</v>
      </c>
      <c r="AO187" s="196">
        <f>AP187+各项系数!$M$9*$NK187</f>
        <v>11.139095923553681</v>
      </c>
      <c r="AP187" s="196">
        <f>AQ187*(1+$BI187+(VLOOKUP($AM187,$A$12:$B$323,2,0))+各项系数!$J$6+各项系数!$M$5)*(1+$E$2)</f>
        <v>11.049051333475612</v>
      </c>
      <c r="AQ187" s="197">
        <f>AR187+各项系数!$L$9*$NK187</f>
        <v>11.274542177015931</v>
      </c>
      <c r="AR187" s="197">
        <f>AS187*(1+$BJ187+各项系数!$J$5+各项系数!$L$5)</f>
        <v>11.184497586937862</v>
      </c>
      <c r="AS187" s="197">
        <f t="shared" si="642"/>
        <v>10.965193712684178</v>
      </c>
      <c r="AT187" s="196">
        <f>AU187+各项系数!$M$9*$NM187</f>
        <v>11.774175799730555</v>
      </c>
      <c r="AU187" s="196">
        <f>AV187*(1+$BI187+(VLOOKUP($AM187,$A$12:$B$323,2,0))+各项系数!$J$6+各项系数!$M$5)*(1+$E$2)</f>
        <v>11.684131209652486</v>
      </c>
      <c r="AV187" s="197">
        <f>AW187+各项系数!$L$9*$NM187</f>
        <v>11.922582866992332</v>
      </c>
      <c r="AW187" s="197">
        <f>AX187*(1+$BJ187+各项系数!$J$5+各项系数!$L$5)</f>
        <v>11.832538276914264</v>
      </c>
      <c r="AX187" s="197">
        <f t="shared" si="643"/>
        <v>11.600527722464964</v>
      </c>
      <c r="AY187" s="196">
        <f>AZ187+各项系数!$M$9*$NS187</f>
        <v>12.067773138532832</v>
      </c>
      <c r="AZ187" s="196">
        <f>BA187*(1+$BI187+(VLOOKUP($AM187,$A$12:$B$214,2,0))+各项系数!$J$6+各项系数!$M$5)*(1+$E$2)</f>
        <v>11.973693779346155</v>
      </c>
      <c r="BA187" s="197">
        <f>BB187+各项系数!$L$9*$NS187</f>
        <v>12.218054876883832</v>
      </c>
      <c r="BB187" s="197">
        <f>BC187*(1+$BJ187+各项系数!$J$5+各项系数!$L$5)</f>
        <v>12.123975517697154</v>
      </c>
      <c r="BC187" s="199">
        <f t="shared" si="644"/>
        <v>11.886250507546229</v>
      </c>
      <c r="BD187" s="196">
        <f>BE187+各项系数!$M$9*$NS187</f>
        <v>12.711806966864227</v>
      </c>
      <c r="BE187" s="196">
        <f>BF187*(1+$BI187+(VLOOKUP($AM187,$A$12:$B$214,2,0))+各项系数!$J$6+各项系数!$M$5)*(1+$E$2)</f>
        <v>12.61772760767755</v>
      </c>
      <c r="BF187" s="197">
        <f>BG187+各项系数!$L$9*$NS187</f>
        <v>12.875232252732193</v>
      </c>
      <c r="BG187" s="197">
        <f>BH187*(1+$BJ187+各项系数!$J$5+各项系数!$L$5)</f>
        <v>12.781152893545515</v>
      </c>
      <c r="BH187" s="199">
        <f t="shared" si="645"/>
        <v>12.530542052495603</v>
      </c>
      <c r="BI187" s="213"/>
      <c r="BJ187" s="208">
        <f t="shared" si="822"/>
        <v>0</v>
      </c>
      <c r="BK187" s="102" t="s">
        <v>514</v>
      </c>
      <c r="BL187" s="196">
        <f>BM187+各项系数!$M$9*$NM187</f>
        <v>11.341300554573655</v>
      </c>
      <c r="BM187" s="196">
        <f>BN187*(1+$CF187+(VLOOKUP($AM187,$A$12:$B$323,2,0))+各项系数!$J$6+各项系数!$M$5)*(1+$E$2)</f>
        <v>11.251255964495586</v>
      </c>
      <c r="BN187" s="197">
        <f>BO187+各项系数!$L$9*$NM187</f>
        <v>11.480873433158761</v>
      </c>
      <c r="BO187" s="197">
        <f>BP187*(1+$CG187+各项系数!$J$5+各项系数!$L$5)</f>
        <v>11.390828843080692</v>
      </c>
      <c r="BP187" s="197">
        <f t="shared" si="646"/>
        <v>11.059057129204556</v>
      </c>
      <c r="BQ187" s="196">
        <f>BR187+各项系数!$M$9*$NM187</f>
        <v>11.887860971410712</v>
      </c>
      <c r="BR187" s="196">
        <f>BS187*(1+$CF187+(VLOOKUP($AM187,$A$12:$B$323,2,0))+各项系数!$J$6+各项系数!$M$5)*(1+$E$2)</f>
        <v>11.797816381332643</v>
      </c>
      <c r="BS187" s="197">
        <f>BT187+各项系数!$L$9*$NM187</f>
        <v>12.038588144216982</v>
      </c>
      <c r="BT187" s="197">
        <f>BU187*(1+$CG187+各项系数!$J$5+各项系数!$L$5)</f>
        <v>11.948543554138913</v>
      </c>
      <c r="BU187" s="197">
        <f t="shared" si="647"/>
        <v>11.600527722464964</v>
      </c>
      <c r="BV187" s="196">
        <f>BW187+各项系数!$M$9*$NT187</f>
        <v>12.196240303494578</v>
      </c>
      <c r="BW187" s="196">
        <f>BX187*(1+$CF187+(VLOOKUP($AM187,$A$12:$B$214,2,0))+各项系数!$J$6+各项系数!$M$5)*(1+$E$2)</f>
        <v>12.102160944307901</v>
      </c>
      <c r="BX187" s="197">
        <f>BY187+各项系数!$L$9*$NT$12</f>
        <v>12.349143820722349</v>
      </c>
      <c r="BY187" s="197">
        <f>BZ187*(1+$CG187+各项系数!$J$5+各项系数!$L$5)</f>
        <v>12.340880417567375</v>
      </c>
      <c r="BZ187" s="199">
        <f t="shared" si="586"/>
        <v>11.981437298609102</v>
      </c>
      <c r="CA187" s="196">
        <f>CB187+各项系数!$M$9*$NT187</f>
        <v>12.750506642067613</v>
      </c>
      <c r="CB187" s="196">
        <f>CC187*(1+$CF187+(VLOOKUP($AM187,$A$12:$B$214,2,0))+各项系数!$J$6+各项系数!$M$5)*(1+$E$2)</f>
        <v>12.656427282880935</v>
      </c>
      <c r="CC187" s="197">
        <f>CD187+各项系数!$L$9*$NT$12</f>
        <v>12.914721717225445</v>
      </c>
      <c r="CD187" s="197">
        <f>CE187*(1+$CG187+各项系数!$J$5+各项系数!$L$5)</f>
        <v>12.906458314070472</v>
      </c>
      <c r="CE187" s="199">
        <f t="shared" si="648"/>
        <v>12.530542052495603</v>
      </c>
      <c r="CF187" s="213">
        <f t="shared" si="753"/>
        <v>0</v>
      </c>
      <c r="CG187" s="213">
        <f t="shared" si="587"/>
        <v>0.01</v>
      </c>
      <c r="CH187" s="102"/>
      <c r="CI187" s="196">
        <f>CJ187+各项系数!$M$9*$NO187</f>
        <v>12.144555135095636</v>
      </c>
      <c r="CJ187" s="196">
        <f>CK187*(1+$DC187+(VLOOKUP($AM187,$A$12:$B$323,2,0))+各项系数!$J$6+各项系数!$M$5)*(1+$E$2)+各项系数!$M$9*$NK187</f>
        <v>12.014241837805358</v>
      </c>
      <c r="CK187" s="197">
        <f>CL187+各项系数!$L$9*$NO187</f>
        <v>12.167548211966622</v>
      </c>
      <c r="CL187" s="197">
        <f>CM187*(1+$DD187+各项系数!$J$5+各项系数!$L$5)</f>
        <v>12.037234914676343</v>
      </c>
      <c r="CM187" s="197">
        <f t="shared" si="588"/>
        <v>11.801210700663081</v>
      </c>
      <c r="CN187" s="196">
        <f>CO187+各项系数!$M$9*$NO187</f>
        <v>12.625523546325564</v>
      </c>
      <c r="CO187" s="196">
        <f>CP187*(1+$DC187+(VLOOKUP($AM187,$A$12:$B$323,2,0))+各项系数!$J$6+各项系数!$M$5)*(1+$E$2)+各项系数!$M$9*$NK187</f>
        <v>12.495210249035285</v>
      </c>
      <c r="CP187" s="197">
        <f>CQ187+各项系数!$L$9*$NO187</f>
        <v>12.658332305058384</v>
      </c>
      <c r="CQ187" s="197">
        <f>CR187*(1+$DD187+各项系数!$J$5+各项系数!$L$5)</f>
        <v>12.528019007768105</v>
      </c>
      <c r="CR187" s="197">
        <f t="shared" si="589"/>
        <v>12.282371576243239</v>
      </c>
      <c r="CS187" s="196">
        <f>CT187+各项系数!$M$9*$NU187</f>
        <v>13.160413618014333</v>
      </c>
      <c r="CT187" s="196">
        <f t="shared" si="590"/>
        <v>13.025284442452337</v>
      </c>
      <c r="CU187" s="197">
        <f>CV187+各项系数!$L$9*$NU187</f>
        <v>13.291106573930957</v>
      </c>
      <c r="CV187" s="197">
        <f>CW187*(1+$DD187+各项系数!$J$5+各项系数!$L$5)</f>
        <v>13.155977398368961</v>
      </c>
      <c r="CW187" s="199">
        <f t="shared" si="591"/>
        <v>12.898017057224472</v>
      </c>
      <c r="CX187" s="196">
        <f>CY187+各项系数!$M$9*$NU187</f>
        <v>13.908760988945874</v>
      </c>
      <c r="CY187" s="196">
        <f t="shared" si="592"/>
        <v>13.773631813383878</v>
      </c>
      <c r="CZ187" s="197">
        <f>DA187+各项系数!$L$9*$NU187</f>
        <v>14.05472634018763</v>
      </c>
      <c r="DA187" s="197">
        <f>DB187*(1+$DD187+各项系数!$J$5+各项系数!$L$5)</f>
        <v>13.919597164625634</v>
      </c>
      <c r="DB187" s="199">
        <f t="shared" si="593"/>
        <v>13.646663886887875</v>
      </c>
      <c r="DC187" s="213">
        <f t="shared" si="803"/>
        <v>0</v>
      </c>
      <c r="DD187" s="213">
        <f t="shared" si="594"/>
        <v>0</v>
      </c>
      <c r="DE187" s="53" t="s">
        <v>498</v>
      </c>
      <c r="DF187" s="53" t="s">
        <v>513</v>
      </c>
      <c r="DG187" s="196">
        <f>DH187+各项系数!$M$9*$NQ187</f>
        <v>12.370514968764015</v>
      </c>
      <c r="DH187" s="196">
        <f>DI187*(1+$EA187+(VLOOKUP($AM187,$A$12:$B$323,2,0))+各项系数!$J$6+各项系数!$M$5)*(1+$E$2)+各项系数!$M$9*$NK187</f>
        <v>12.240201671473736</v>
      </c>
      <c r="DI187" s="197">
        <f>DJ187+各项系数!$L$9*$NQ187</f>
        <v>12.398119470811906</v>
      </c>
      <c r="DJ187" s="197">
        <f>DK187*(1+$EB187+各项系数!$J$5+各项系数!$L$5)</f>
        <v>12.267806173521627</v>
      </c>
      <c r="DK187" s="197">
        <f t="shared" si="595"/>
        <v>11.910491430603521</v>
      </c>
      <c r="DL187" s="196">
        <f>DM187+各项系数!$M$9*$NQ187</f>
        <v>13.006849373825201</v>
      </c>
      <c r="DM187" s="196">
        <f>DN187*(1+$EA187+(VLOOKUP($AM187,$A$12:$B$323,2,0))+各项系数!$J$6+各项系数!$M$5)*(1+$E$2)+各项系数!$M$9*$NK187</f>
        <v>12.876536076534922</v>
      </c>
      <c r="DN187" s="197">
        <f>DO187+各项系数!$L$9*$NQ187</f>
        <v>13.047440292302912</v>
      </c>
      <c r="DO187" s="197">
        <f>DP187*(1+$EB187+各项系数!$J$5+各项系数!$L$5)</f>
        <v>12.917126995012634</v>
      </c>
      <c r="DP187" s="197">
        <f t="shared" si="596"/>
        <v>12.540899995157897</v>
      </c>
      <c r="DQ187" s="196">
        <f>DR187+各项系数!$M$9*$NV187</f>
        <v>13.398457968240209</v>
      </c>
      <c r="DR187" s="196">
        <f t="shared" si="597"/>
        <v>13.263328792678212</v>
      </c>
      <c r="DS187" s="197">
        <f>DT187+各项系数!$L$9*$NV187</f>
        <v>13.534008972120626</v>
      </c>
      <c r="DT187" s="197">
        <f>DU187*(1+$EB187+各项系数!$J$5+各项系数!$L$5)</f>
        <v>13.39887979655863</v>
      </c>
      <c r="DU187" s="199">
        <f t="shared" si="598"/>
        <v>13.008621161707406</v>
      </c>
      <c r="DV187" s="196">
        <f>DW187+各项系数!$M$9*$NV187</f>
        <v>13.451042276220756</v>
      </c>
      <c r="DW187" s="196">
        <f t="shared" si="599"/>
        <v>13.31591310065876</v>
      </c>
      <c r="DX187" s="197">
        <f>DY187+各项系数!$L$9*$NV187</f>
        <v>13.587666429243633</v>
      </c>
      <c r="DY187" s="197">
        <f>DZ187*(1+$EB187+各项系数!$J$5+各项系数!$L$5)</f>
        <v>13.452537253681637</v>
      </c>
      <c r="DZ187" s="199">
        <f t="shared" si="600"/>
        <v>13.060715780273433</v>
      </c>
      <c r="EA187" s="213">
        <f t="shared" si="802"/>
        <v>0</v>
      </c>
      <c r="EB187" s="213">
        <f t="shared" si="601"/>
        <v>0.01</v>
      </c>
      <c r="EC187" s="235">
        <f t="shared" si="649"/>
        <v>7</v>
      </c>
      <c r="ED187" s="235" t="str">
        <f t="shared" si="756"/>
        <v>7*2.5</v>
      </c>
      <c r="EE187" s="189">
        <f t="shared" si="812"/>
        <v>2.5</v>
      </c>
      <c r="EF187" s="189">
        <f>LOOKUP(EH187,{1,7,10,14,19,24,30,37,48,61},{1,"1+6","2+8","4+10","1+6+12","2+8+14","4+10+16","1+6+12+18","3+9+15+21","1+6+12+18+24"})</f>
        <v>1</v>
      </c>
      <c r="EG187" s="188">
        <f t="shared" si="602"/>
        <v>7</v>
      </c>
      <c r="EH187" s="197">
        <f>VLOOKUP(EE187,各项系数!$B$87:$C$124,2,0)</f>
        <v>1</v>
      </c>
      <c r="EI187" s="188">
        <f>IF(EH187=0,0,VLOOKUP(EH187,各项系数!$D$142:$E$195,2,0))*1</f>
        <v>1</v>
      </c>
      <c r="EJ187" s="238">
        <f t="shared" si="650"/>
        <v>172.412400708262</v>
      </c>
      <c r="EK187" s="189">
        <f t="shared" si="813"/>
        <v>0</v>
      </c>
      <c r="EL187" s="189">
        <f t="shared" si="603"/>
        <v>0</v>
      </c>
      <c r="EM187" s="189">
        <f t="shared" si="814"/>
        <v>0</v>
      </c>
      <c r="EN187" s="189">
        <f>IF(EP187=0,0,LOOKUP(EP187,{1,7,10,14,19,24,30,37,48,61},{1,"1+6","2+8","4+10","1+6+12","2+8+14","4+10+16","1+6+12+18","3+9+15+21","1+6+12+18+24"}))</f>
        <v>0</v>
      </c>
      <c r="EO187" s="189">
        <f t="shared" si="815"/>
        <v>0</v>
      </c>
      <c r="EP187" s="189">
        <f>IF(EM187=0,0,IF(EM187&lt;10,1,IF(AND(EM187&gt;=10,EM187&lt;=35),7,LOOKUP(EM187,{50,70,95,120,150,185,240,300},{10,14,19,24,30,37,48,61})*1)))</f>
        <v>0</v>
      </c>
      <c r="EQ187" s="189">
        <f>IF(EP187=0,0,VLOOKUP(EP187,各项系数!$D$142:$E$195,2,0))*1</f>
        <v>0</v>
      </c>
      <c r="ER187" s="53">
        <f t="shared" si="816"/>
        <v>0</v>
      </c>
      <c r="ES187" s="412">
        <f t="shared" si="817"/>
        <v>7</v>
      </c>
      <c r="ET187" s="189">
        <f>VLOOKUP(ES187,各项系数!$D$142:$E$195,2,0)*1</f>
        <v>3</v>
      </c>
      <c r="EU187" s="243">
        <f>((各项系数!$F$76/4*$EJ187^2*$EG187*$EH187*1*10^-7)*(1-$H187)*AA187)*(VLOOKUP($EY$9,各项系数!$D$4:$F$143,3,0))*各项系数!$J$4</f>
        <v>0.14456053982232039</v>
      </c>
      <c r="EV187" s="244">
        <f>EU187*(VLOOKUP($EY$9,各项系数!$D$4:$F$143,2,0))</f>
        <v>9.468715358361985</v>
      </c>
      <c r="EW187" s="252">
        <f>(IF($EO187=0,0,(各项系数!$F$76/4*$ER187^2*$EO187*$EP187*1*10^-7))*(1-$K187)*$AF187)*(VLOOKUP($EY$9,各项系数!$D$4:$F$143,3,0))*各项系数!$J$4</f>
        <v>0</v>
      </c>
      <c r="EX187" s="253">
        <f>EW187*(VLOOKUP($EY$9,各项系数!$D$4:$F$143,2,0))</f>
        <v>0</v>
      </c>
      <c r="EY187" s="189">
        <f>((各项系数!$F$76/4*$EJ187^2*$EG187*$EH187*1*10^-7)*(1-$H187)*AA187+IF($EO187=0,0,(各项系数!$F$76/4*$ER187^2*$EO187*$EP187*1*10^-7))*(1-$K187)*$AF187)*(VLOOKUP($EY$9,各项系数!$D$4:$F$143,3,0))*各项系数!$J$4</f>
        <v>0.14456053982232039</v>
      </c>
      <c r="EZ187" s="102">
        <v>1</v>
      </c>
      <c r="FA187" s="189">
        <f t="shared" si="757"/>
        <v>0.14456053982232039</v>
      </c>
      <c r="FB187" s="254">
        <f>FA187*(VLOOKUP($EY$9,各项系数!$D$4:$F$143,2,0))</f>
        <v>9.468715358361985</v>
      </c>
      <c r="FC187" s="255"/>
      <c r="FD187" s="235">
        <f>各项系数!$F$76/4*($MN187^2-MK187^2)*10^-2*(VLOOKUP(L187,各项系数!$D$1:$F$143,3,0))*10^-3*10^2*$EG187*各项系数!$J$4</f>
        <v>4.0842898182320224E-2</v>
      </c>
      <c r="FE187" s="262">
        <f>FD187*VLOOKUP(L187,各项系数!$D$1:$F$143,2,0)</f>
        <v>0.4696933290966826</v>
      </c>
      <c r="FF187" s="188">
        <f>各项系数!$F$76/4*($MO187^2-ML187^2)*10^-2*(VLOOKUP(L187,各项系数!$D$1:$F$143,3,0))*10^-3*10^2*$EO187*各项系数!$J$4</f>
        <v>0</v>
      </c>
      <c r="FG187" s="262">
        <f>FF187*VLOOKUP(L187,各项系数!$D$1:$F$143,2,0)</f>
        <v>0</v>
      </c>
      <c r="FH187" s="235">
        <f t="shared" si="651"/>
        <v>4.0842898182320224E-2</v>
      </c>
      <c r="FI187" s="102">
        <v>1</v>
      </c>
      <c r="FJ187" s="189">
        <f t="shared" si="758"/>
        <v>4.0842898182320224E-2</v>
      </c>
      <c r="FK187" s="262">
        <f>FJ187*VLOOKUP(L187,各项系数!$D$1:$F$143,2,0)</f>
        <v>0.4696933290966826</v>
      </c>
      <c r="FL187" s="235"/>
      <c r="FM187" s="102"/>
      <c r="FN187" s="189"/>
      <c r="FO187" s="262"/>
      <c r="FP187" s="282">
        <f t="shared" si="759"/>
        <v>4.0842898182320224E-2</v>
      </c>
      <c r="FQ187" s="282">
        <f t="shared" si="760"/>
        <v>0.4696933290966826</v>
      </c>
      <c r="FR187" s="283">
        <f>各项系数!$F$76/4*($MQ187^2-$MN187^2*$EG187-$MO187^2*$EO187)*10^-2</f>
        <v>0.15331209072505844</v>
      </c>
      <c r="FS187" s="284">
        <f t="shared" si="652"/>
        <v>1</v>
      </c>
      <c r="FT187" s="285">
        <f t="shared" si="604"/>
        <v>0.15331209072505844</v>
      </c>
      <c r="FU187" s="302">
        <f>$FT187*(VLOOKUP($FT$9,各项系数!$D$1:$F$143,3,0))*10^-3*10^2*各项系数!$J$55</f>
        <v>1.8305463632571978E-2</v>
      </c>
      <c r="FV187" s="303">
        <v>1</v>
      </c>
      <c r="FW187" s="304">
        <f t="shared" si="761"/>
        <v>1.8305463632571978E-2</v>
      </c>
      <c r="FX187" s="285">
        <f>FW187*(VLOOKUP($FT$9,各项系数!$D$1:$F$143,2,0))</f>
        <v>5.4916390897715939E-2</v>
      </c>
      <c r="FY187" s="302">
        <f>IF($BK187&lt;&gt;$FY$9,0,各项系数!$F$76/4*($MS187^2-$MQ187^2)*10^-2*(VLOOKUP($FY$9,各项系数!$D$1:$F$143,3,0))*10^-3*10^2)*各项系数!$J$4</f>
        <v>0</v>
      </c>
      <c r="FZ187" s="303">
        <v>1</v>
      </c>
      <c r="GA187" s="304">
        <f t="shared" si="762"/>
        <v>0</v>
      </c>
      <c r="GB187" s="285">
        <f>GA187*(VLOOKUP($FY$9,各项系数!$D$1:$F$143,2,0))</f>
        <v>0</v>
      </c>
      <c r="GC187" s="302">
        <f>IF($BK187&lt;&gt;$GC$9,0,各项系数!$F$76/4*($MS187^2-$MQ187^2)*10^-2*(VLOOKUP($GC$9,各项系数!$D$1:$F$143,3,0))*10^-3*10^2)*各项系数!$J$4</f>
        <v>2.5763154359705661E-3</v>
      </c>
      <c r="GD187" s="303">
        <v>1</v>
      </c>
      <c r="GE187" s="304">
        <f t="shared" si="763"/>
        <v>2.5763154359705661E-3</v>
      </c>
      <c r="GF187" s="285">
        <f>GE187*(VLOOKUP($GC$9,各项系数!$D$1:$F$143,2,0))</f>
        <v>3.3234469124020304E-2</v>
      </c>
      <c r="GG187" s="302">
        <f>IF($BK187&lt;&gt;$GG$9,0,各项系数!$F$76/4*($MS187^2-$MQ187^2)*10^-2*(VLOOKUP($GG$9,各项系数!$D$1:$F$143,3,0))*10^-3*10^2)*各项系数!$J$4</f>
        <v>0</v>
      </c>
      <c r="GH187" s="303">
        <v>1</v>
      </c>
      <c r="GI187" s="304">
        <f t="shared" si="764"/>
        <v>0</v>
      </c>
      <c r="GJ187" s="285">
        <f>GI187*(VLOOKUP($GG$9,各项系数!$D$1:$F$143,2,0))</f>
        <v>0</v>
      </c>
      <c r="GK187" s="302">
        <f>IF($BK187&lt;&gt;$GK$9,0,各项系数!$F$76/4*($MS187^2-$MQ187^2)*10^-2*(VLOOKUP($GK$9,各项系数!$D$1:$F$143,3,0))*10^-3*10^2)*各项系数!$J$4</f>
        <v>0</v>
      </c>
      <c r="GL187" s="303">
        <v>1</v>
      </c>
      <c r="GM187" s="304">
        <f t="shared" si="765"/>
        <v>0</v>
      </c>
      <c r="GN187" s="285">
        <f>GM187*(VLOOKUP($GK$9,各项系数!$D$1:$F$143,2,0))</f>
        <v>0</v>
      </c>
      <c r="GO187" s="304">
        <f t="shared" si="766"/>
        <v>2.5763154359705661E-3</v>
      </c>
      <c r="GP187" s="304">
        <f t="shared" si="767"/>
        <v>3.3234469124020304E-2</v>
      </c>
      <c r="GQ187" s="315">
        <f>各项系数!$F$76/4*($MU187^2-$MS187^2)*10^-2*(VLOOKUP($S187,各项系数!$D$1:$F$143,3,0))*10^-3*10^2*各项系数!$J$4</f>
        <v>0.14884263044717463</v>
      </c>
      <c r="GR187" s="303">
        <v>1</v>
      </c>
      <c r="GS187" s="304">
        <f t="shared" si="768"/>
        <v>0.14884263044717463</v>
      </c>
      <c r="GT187" s="304">
        <f t="shared" si="696"/>
        <v>1</v>
      </c>
      <c r="GU187" s="304">
        <f>ROUND($GS187*(VLOOKUP($S187,各项系数!$D$1:$F$143,2,0))+$E$3*GS187,GT187)</f>
        <v>0.9</v>
      </c>
      <c r="GV187" s="315">
        <f>各项系数!$F$76/4*($MT187^2-$MS187^2)*10^-2*(VLOOKUP($GV$9,各项系数!$D$1:$F$143,3,0))*10^-3*10^2*各项系数!$J$4*PI()/4*R187</f>
        <v>1.3449230362031189E-2</v>
      </c>
      <c r="GW187" s="303">
        <v>1</v>
      </c>
      <c r="GX187" s="304">
        <f t="shared" si="769"/>
        <v>1.3449230362031189E-2</v>
      </c>
      <c r="GY187" s="304">
        <f>$GX187*(VLOOKUP($GV$9,各项系数!$D$1:$F$143,2,0))</f>
        <v>0.90782304943710523</v>
      </c>
      <c r="GZ187" s="315">
        <f>各项系数!$F$76/4*($MV187^2-$MS187^2)*10^-2*(VLOOKUP($GZ$9,各项系数!$D$1:$F$143,3,0))*10^-3*10^2*各项系数!$J$4</f>
        <v>9.2586363234385974E-2</v>
      </c>
      <c r="HA187" s="303">
        <v>1</v>
      </c>
      <c r="HB187" s="304">
        <f t="shared" si="653"/>
        <v>9.2586363234385974E-2</v>
      </c>
      <c r="HC187" s="304">
        <f>HB187*(VLOOKUP($GZ$9,各项系数!$D$1:$F$143,2,0))</f>
        <v>1.5739681749845615</v>
      </c>
      <c r="HD187" s="315">
        <f>各项系数!$F$76/4*($MW187^2-$MT187^2)*10^-2*(VLOOKUP($HD$9,各项系数!$D$1:$F$143,3,0))*10^-3*10^2*各项系数!$J$4</f>
        <v>9.3891732681064363E-2</v>
      </c>
      <c r="HE187" s="303">
        <v>1</v>
      </c>
      <c r="HF187" s="304">
        <f t="shared" si="654"/>
        <v>9.3891732681064363E-2</v>
      </c>
      <c r="HG187" s="304">
        <f>HF187*(VLOOKUP($HD$9,各项系数!$D$1:$F$143,2,0))</f>
        <v>1.5961594555780942</v>
      </c>
      <c r="HH187" s="315">
        <f>各项系数!$F$76/4*($MV187^2-$MS187^2)*10^-2*(VLOOKUP($HH$9,各项系数!$D$1:$F$143,3,0))*10^-3*10^2*各项系数!$J$4</f>
        <v>9.2586363234385974E-2</v>
      </c>
      <c r="HI187" s="322">
        <v>1</v>
      </c>
      <c r="HJ187" s="304">
        <f t="shared" si="655"/>
        <v>9.2586363234385974E-2</v>
      </c>
      <c r="HK187" s="304">
        <f>HJ187*(VLOOKUP($HH$9,各项系数!$D$1:$F$143,2,0))</f>
        <v>1.5739681749845615</v>
      </c>
      <c r="HL187" s="315">
        <f>各项系数!$F$76/4*($MW187^2-$MT187^2)*10^-2*(VLOOKUP($HL$9,各项系数!$D$1:$F$143,3,0))*10^-3*10^2*各项系数!$J$4</f>
        <v>9.3891732681064363E-2</v>
      </c>
      <c r="HM187" s="322">
        <v>1</v>
      </c>
      <c r="HN187" s="304">
        <f t="shared" si="605"/>
        <v>9.3891732681064363E-2</v>
      </c>
      <c r="HO187" s="304">
        <f>HN187*(VLOOKUP($HL$9,各项系数!$D$1:$F$143,2,0))</f>
        <v>1.5961594555780942</v>
      </c>
      <c r="HP187" s="315">
        <f>各项系数!$F$76/4*($MV187^2-$MS187^2)*10^-2*(VLOOKUP(AN187,各项系数!$D$1:$F$143,3,0))*10^-3*10^2*各项系数!$J$4</f>
        <v>9.3863416520377496E-2</v>
      </c>
      <c r="HQ187" s="303">
        <v>1</v>
      </c>
      <c r="HR187" s="304">
        <f t="shared" si="770"/>
        <v>9.3863416520377496E-2</v>
      </c>
      <c r="HS187" s="304">
        <f>HR187*(VLOOKUP(AN187,各项系数!$D$1:$F$143,2,0))</f>
        <v>0.93863416520377496</v>
      </c>
      <c r="HT187" s="315">
        <f>各项系数!$F$76/4*($MW187^2-$MT187^2)*10^-2*(VLOOKUP(AN187,各项系数!$D$1:$F$143,3,0))*10^-3*10^2*各项系数!$J$4</f>
        <v>9.5186791062872159E-2</v>
      </c>
      <c r="HU187" s="303">
        <v>1</v>
      </c>
      <c r="HV187" s="304">
        <f t="shared" si="771"/>
        <v>9.5186791062872159E-2</v>
      </c>
      <c r="HW187" s="304">
        <f>HV187*(VLOOKUP(AN187,各项系数!$D$1:$F$143,2,0))</f>
        <v>0.95186791062872156</v>
      </c>
      <c r="HX187" s="315">
        <f>各项系数!$F$76/4*($MV187^2-$MS187^2)*10^-2*(VLOOKUP($HX$9,各项系数!$D$1:$F$143,3,0))*10^-3*10^2*各项系数!$J$4</f>
        <v>9.3863416520377496E-2</v>
      </c>
      <c r="HY187" s="322">
        <v>1</v>
      </c>
      <c r="HZ187" s="304">
        <f t="shared" si="772"/>
        <v>9.3863416520377496E-2</v>
      </c>
      <c r="IA187" s="304">
        <f>HZ187*(VLOOKUP($HX$9,各项系数!$D$1:$F$143,2,0))</f>
        <v>1.0324975817241524</v>
      </c>
      <c r="IB187" s="315">
        <f>各项系数!$F$76/4*($MW187^2-$MT187^2)*10^-2*(VLOOKUP($IB$9,各项系数!$D$1:$F$143,3,0))*10^-3*10^2*各项系数!$J$4</f>
        <v>9.5186791062872159E-2</v>
      </c>
      <c r="IC187" s="322">
        <v>1</v>
      </c>
      <c r="ID187" s="304">
        <f t="shared" si="773"/>
        <v>9.5186791062872159E-2</v>
      </c>
      <c r="IE187" s="304">
        <f>ID187*(VLOOKUP($IB$9,各项系数!$D$1:$F$143,2,0))</f>
        <v>1.0470547016915936</v>
      </c>
      <c r="IF187" s="328"/>
      <c r="IG187" s="315">
        <f t="shared" si="656"/>
        <v>1.9930611500641369E-2</v>
      </c>
      <c r="IH187" s="303">
        <v>1</v>
      </c>
      <c r="II187" s="304">
        <f t="shared" si="774"/>
        <v>1.9930611500641369E-2</v>
      </c>
      <c r="IJ187" s="304">
        <f>II187*(VLOOKUP($IG$8,各项系数!$D$1:$F$143,2,0))</f>
        <v>0.49826528751603422</v>
      </c>
      <c r="IK187" s="315">
        <f>(各项系数!$F$76/4*($MX187^2-$MK187^2)*$EG187)*10^-2*(VLOOKUP($IG$8,各项系数!$D$1:$F$143,3,0))*10^-3*10^2*各项系数!$J$4</f>
        <v>1.9930611500641369E-2</v>
      </c>
      <c r="IL187" s="303">
        <f>IK187*(VLOOKUP($IG$8,各项系数!$D$1:$F$143,2,0))</f>
        <v>0.49826528751603422</v>
      </c>
      <c r="IM187" s="304">
        <f>(各项系数!$F$76/4*(($MM187+3*$X187)^2-MM187^2)*$EO187)*10^-2*(VLOOKUP($IG$8,各项系数!$D$1:$F$143,3,0))*10^-3*10^2*各项系数!$J$4</f>
        <v>0</v>
      </c>
      <c r="IN187" s="303">
        <f>IM187*(VLOOKUP($IG$8,各项系数!$D$1:$F$143,2,0))</f>
        <v>0</v>
      </c>
      <c r="IO187" s="315">
        <f>各项系数!$F$76/4*($MZ187^2-$MX187^2)*10^-2*(VLOOKUP(L187,各项系数!$D$1:$F$143,3,0))*10^-3*10^2*$ES187*各项系数!$J$4</f>
        <v>5.0952009270821073E-2</v>
      </c>
      <c r="IP187" s="303">
        <v>1</v>
      </c>
      <c r="IQ187" s="304">
        <f t="shared" si="775"/>
        <v>5.0952009270821073E-2</v>
      </c>
      <c r="IR187" s="285">
        <f>IQ187*(VLOOKUP(L187,各项系数!$D$1:$F$143,2,0))</f>
        <v>0.5859481066144423</v>
      </c>
      <c r="IS187" s="315">
        <f>IF($L187&lt;&gt;$IS$9,0,各项系数!$F$76/4*($MZ187^2-$MX187^2)*10^-2*各项系数!$F$12*10^-3*10^2)*$ES187*各项系数!$J$4</f>
        <v>0</v>
      </c>
      <c r="IT187" s="303">
        <v>1</v>
      </c>
      <c r="IU187" s="304">
        <f t="shared" si="776"/>
        <v>0</v>
      </c>
      <c r="IV187" s="285">
        <f>IU187*各项系数!$E$12</f>
        <v>0</v>
      </c>
      <c r="IW187" s="302">
        <f t="shared" si="777"/>
        <v>5.0952009270821073E-2</v>
      </c>
      <c r="IX187" s="302">
        <f t="shared" si="778"/>
        <v>0.5859481066144423</v>
      </c>
      <c r="IY187" s="339">
        <f>各项系数!$F$76/4*($NB187^2-$MZ187^2*$EG187-$NA187^2*$EO187)*10^-2</f>
        <v>0.2178553077338371</v>
      </c>
      <c r="IZ187" s="284">
        <f t="shared" si="697"/>
        <v>1</v>
      </c>
      <c r="JA187" s="285">
        <f t="shared" si="606"/>
        <v>0.2178553077338371</v>
      </c>
      <c r="JB187" s="282">
        <f>IF($DE187&lt;&gt;$JB$9,0,$JA187*各项系数!$F$32*10^-3*10^2)*各项系数!$J$4</f>
        <v>0</v>
      </c>
      <c r="JC187" s="102">
        <v>1</v>
      </c>
      <c r="JD187" s="189">
        <f t="shared" si="779"/>
        <v>0</v>
      </c>
      <c r="JE187" s="262">
        <f>JD187*各项系数!$E$32</f>
        <v>0</v>
      </c>
      <c r="JF187" s="282">
        <f>IF($DE187&lt;&gt;$JF$9,0,$JA187*VLOOKUP($JF$9,各项系数!$D$4:$F$540,2,0)*10^-3*10^2)*各项系数!$J$4</f>
        <v>0.10838301559758395</v>
      </c>
      <c r="JG187" s="102">
        <v>1</v>
      </c>
      <c r="JH187" s="189">
        <f t="shared" si="607"/>
        <v>0.10838301559758395</v>
      </c>
      <c r="JI187" s="262">
        <f>JH187*VLOOKUP($JF$9,各项系数!$D$4:$F$540,3,0)</f>
        <v>0.13005961871710073</v>
      </c>
      <c r="JJ187" s="282">
        <f t="shared" si="780"/>
        <v>0.10838301559758395</v>
      </c>
      <c r="JK187" s="189">
        <f t="shared" si="781"/>
        <v>0.13005961871710073</v>
      </c>
      <c r="JL187" s="282">
        <f>IF($DF187&lt;&gt;$JL$9,0,各项系数!$F$76/4*($NE187^2-$NC187^2)*10^-2*各项系数!$F$39*10^-3*10^2)*各项系数!$J$4</f>
        <v>1.2707515024558465E-3</v>
      </c>
      <c r="JM187" s="102">
        <v>1</v>
      </c>
      <c r="JN187" s="189">
        <f t="shared" si="782"/>
        <v>1.2707515024558465E-3</v>
      </c>
      <c r="JO187" s="262">
        <f>JN187*各项系数!$E$39</f>
        <v>2.5415030049116931E-2</v>
      </c>
      <c r="JP187" s="282">
        <f>IF($DF187&lt;&gt;$JP$9,0,各项系数!$F$76/4*($NE187^2-$NC187^2)*10^-2*各项系数!$F$36*10^-3*10^2)*各项系数!$J$4</f>
        <v>0</v>
      </c>
      <c r="JQ187" s="102">
        <v>1</v>
      </c>
      <c r="JR187" s="189">
        <f t="shared" si="783"/>
        <v>0</v>
      </c>
      <c r="JS187" s="262">
        <f>JR187*各项系数!$E$36</f>
        <v>0</v>
      </c>
      <c r="JT187" s="282">
        <f>IF($DF187&lt;&gt;$JT$9,0,各项系数!$F$76/4*($NE187^2-$NC187^2)*10^-2*各项系数!$F$40*10^-3*10^2)*各项系数!$J$4</f>
        <v>0</v>
      </c>
      <c r="JU187" s="102">
        <v>1</v>
      </c>
      <c r="JV187" s="189">
        <f t="shared" si="784"/>
        <v>0</v>
      </c>
      <c r="JW187" s="262">
        <f>JV187*各项系数!$E$40</f>
        <v>0</v>
      </c>
      <c r="JX187" s="282">
        <f>IF($DF187&lt;&gt;$JX$9,0,各项系数!$F$76/4*($NE187^2-$NC187^2)*10^-2*各项系数!$F$38*10^-3*10^2)*各项系数!$J$4</f>
        <v>0</v>
      </c>
      <c r="JY187" s="102">
        <v>1</v>
      </c>
      <c r="JZ187" s="189">
        <f t="shared" si="785"/>
        <v>0</v>
      </c>
      <c r="KA187" s="262">
        <f>JZ187*各项系数!$E$38</f>
        <v>0</v>
      </c>
      <c r="KB187" s="282">
        <f>IF($DF187&lt;&gt;$KB$9,0,各项系数!$F$76/4*($NE187^2-$NC187^2)*10^-2*各项系数!$F$41*10^-3*10^2)*各项系数!$J$4</f>
        <v>0</v>
      </c>
      <c r="KC187" s="102">
        <v>1</v>
      </c>
      <c r="KD187" s="189">
        <f t="shared" si="786"/>
        <v>0</v>
      </c>
      <c r="KE187" s="262">
        <f>KD187*各项系数!$E$41</f>
        <v>0</v>
      </c>
      <c r="KF187" s="189">
        <f t="shared" si="787"/>
        <v>1.2707515024558465E-3</v>
      </c>
      <c r="KG187" s="189">
        <f t="shared" si="788"/>
        <v>2.5415030049116931E-2</v>
      </c>
      <c r="KH187" s="235">
        <f>各项系数!$F$76/4*($NG187^2-$NE187^2)*10^-2*各项系数!$F$44*10^-3*10^2*各项系数!$J$4*0.75*$U187</f>
        <v>0.52854380354893249</v>
      </c>
      <c r="KI187" s="102">
        <v>1</v>
      </c>
      <c r="KJ187" s="189">
        <f t="shared" si="789"/>
        <v>0.52854380354893249</v>
      </c>
      <c r="KK187" s="189">
        <f>ROUND(KJ187*各项系数!$E$43,GT187)</f>
        <v>3.1</v>
      </c>
      <c r="KL187" s="235">
        <f>各项系数!$F$76/4*($NF187^2-$NE187^2)*10^-2*各项系数!$F$46*10^-3*10^2*各项系数!$J$4*PI()/4*R187</f>
        <v>1.6052927572391774E-2</v>
      </c>
      <c r="KM187" s="102">
        <v>1</v>
      </c>
      <c r="KN187" s="189">
        <f t="shared" si="790"/>
        <v>1.6052927572391774E-2</v>
      </c>
      <c r="KO187" s="189">
        <f>KN187*各项系数!$E$46</f>
        <v>1.0835726111364448</v>
      </c>
      <c r="KP187" s="235">
        <f>各项系数!$F$76/4*($NH187^2-$NE187^2)*10^-2*(VLOOKUP($KP$9,各项系数!$D$1:$F$143,3,0))*10^-3*10^2*各项系数!$J$4</f>
        <v>0.10779391728818935</v>
      </c>
      <c r="KQ187" s="102">
        <v>1</v>
      </c>
      <c r="KR187" s="189">
        <f t="shared" si="657"/>
        <v>0.10779391728818935</v>
      </c>
      <c r="KS187" s="189">
        <f>KR187*(VLOOKUP($KP$9,各项系数!$D$1:$F$143,2,0))</f>
        <v>1.832496593899219</v>
      </c>
      <c r="KT187" s="235">
        <f>各项系数!$F$76/4*($NI187^2-$NF187^2)*10^-2*(VLOOKUP($KT$9,各项系数!$D$1:$F$143,3,0))*10^-3*10^2*各项系数!$J$4</f>
        <v>0.10909928673486774</v>
      </c>
      <c r="KU187" s="102">
        <v>1</v>
      </c>
      <c r="KV187" s="189">
        <f t="shared" si="658"/>
        <v>0.10909928673486774</v>
      </c>
      <c r="KW187" s="189">
        <f>KV187*(VLOOKUP($KT$9,各项系数!$D$1:$F$143,2,0))</f>
        <v>1.8546878744927515</v>
      </c>
      <c r="KX187" s="189">
        <f>各项系数!$F$76/4*($NH187^2-$NE187^2)*10^-2*(VLOOKUP($KX$9,各项系数!$D$1:$F$143,3,0))*10^-3*10^2*各项系数!$J$4</f>
        <v>0.10779391728818935</v>
      </c>
      <c r="KY187" s="353">
        <v>1</v>
      </c>
      <c r="KZ187" s="189">
        <f t="shared" si="659"/>
        <v>0.10779391728818935</v>
      </c>
      <c r="LA187" s="189">
        <f>KZ187*(VLOOKUP($KX$9,各项系数!$D$1:$F$143,2,0))</f>
        <v>1.832496593899219</v>
      </c>
      <c r="LB187" s="189">
        <f>各项系数!$F$76/4*($NI187^2-$NF187^2)*10^-2*(VLOOKUP($LB$9,各项系数!$D$1:$F$143,3,0))*10^-3*10^2*各项系数!$J$4</f>
        <v>0.10909928673486774</v>
      </c>
      <c r="LC187" s="353">
        <v>1</v>
      </c>
      <c r="LD187" s="189">
        <f t="shared" si="660"/>
        <v>0.10909928673486774</v>
      </c>
      <c r="LE187" s="189">
        <f>LD187*(VLOOKUP($LB$9,各项系数!$D$1:$F$143,2,0))</f>
        <v>1.8546878744927515</v>
      </c>
      <c r="LF187" s="235">
        <f>各项系数!$F$76/4*($NH187^2-$NE187^2)*10^-2*(VLOOKUP(AN187,各项系数!$D$1:$F$143,3,0))*10^-3*10^2*各项系数!$J$4</f>
        <v>0.10928072994044023</v>
      </c>
      <c r="LG187" s="102">
        <v>1</v>
      </c>
      <c r="LH187" s="189">
        <f t="shared" si="791"/>
        <v>0.10928072994044023</v>
      </c>
      <c r="LI187" s="189">
        <f>LH187*(VLOOKUP(AN187,各项系数!$D$1:$F$143,2,0))</f>
        <v>1.0928072994044022</v>
      </c>
      <c r="LJ187" s="235">
        <f>各项系数!$F$76/4*($NI187^2-$NF187^2)*10^-2*(VLOOKUP(AN187,各项系数!$D$1:$F$143,3,0))*10^-3*10^2*各项系数!$J$4</f>
        <v>0.1106041044829349</v>
      </c>
      <c r="LK187" s="102">
        <v>1</v>
      </c>
      <c r="LL187" s="189">
        <f t="shared" si="792"/>
        <v>0.1106041044829349</v>
      </c>
      <c r="LM187" s="189">
        <f>LL187*(VLOOKUP(AN187,各项系数!$D$1:$F$143,2,0))</f>
        <v>1.106041044829349</v>
      </c>
      <c r="LN187" s="189">
        <f>各项系数!$F$76/4*($NH187^2-$NE187^2)*10^-2*(VLOOKUP($LN$9,各项系数!$D$1:$F$143,3,0))*10^-3*10^2*各项系数!$J$4</f>
        <v>0.10928072994044023</v>
      </c>
      <c r="LO187" s="353">
        <v>1</v>
      </c>
      <c r="LP187" s="189">
        <f t="shared" si="793"/>
        <v>0.10928072994044023</v>
      </c>
      <c r="LQ187" s="189">
        <f>LP187*(VLOOKUP($LN$9,各项系数!$D$1:$F$143,2,0))</f>
        <v>1.2020880293448426</v>
      </c>
      <c r="LR187" s="189">
        <f>各项系数!$F$76/4*($NI187^2-$NF187^2)*10^-2*(VLOOKUP($LR$9,各项系数!$D$1:$F$143,3,0))*10^-3*10^2*各项系数!$J$4</f>
        <v>0.1106041044829349</v>
      </c>
      <c r="LS187" s="353">
        <v>1</v>
      </c>
      <c r="LT187" s="189">
        <f t="shared" si="794"/>
        <v>0.1106041044829349</v>
      </c>
      <c r="LU187" s="189">
        <f>LT187*(VLOOKUP($LR$9,各项系数!$D$1:$F$143,2,0))</f>
        <v>1.2166451493122838</v>
      </c>
      <c r="LV187" s="227">
        <f t="shared" si="661"/>
        <v>16.342741870000001</v>
      </c>
      <c r="LW187" s="227">
        <f t="shared" si="662"/>
        <v>16.342741870000001</v>
      </c>
      <c r="LX187" s="227">
        <f t="shared" si="663"/>
        <v>4.5616033604734953</v>
      </c>
      <c r="LY187" s="227">
        <f t="shared" si="664"/>
        <v>0</v>
      </c>
      <c r="LZ187" s="374">
        <f t="shared" si="608"/>
        <v>1</v>
      </c>
      <c r="MA187" s="375">
        <f t="shared" si="609"/>
        <v>16.342741870000001</v>
      </c>
      <c r="MB187" s="375">
        <f t="shared" si="665"/>
        <v>1.7241240099999999</v>
      </c>
      <c r="MC187" s="227">
        <f t="shared" si="666"/>
        <v>0</v>
      </c>
      <c r="MD187" s="227">
        <f t="shared" si="667"/>
        <v>0</v>
      </c>
      <c r="ME187" s="227">
        <f t="shared" si="668"/>
        <v>0</v>
      </c>
      <c r="MF187" s="227">
        <f t="shared" si="669"/>
        <v>0</v>
      </c>
      <c r="MG187" s="374">
        <f t="shared" si="670"/>
        <v>1</v>
      </c>
      <c r="MH187" s="375">
        <f t="shared" si="610"/>
        <v>0</v>
      </c>
      <c r="MI187" s="375">
        <f t="shared" si="671"/>
        <v>0</v>
      </c>
      <c r="MJ187" s="189">
        <f t="shared" si="611"/>
        <v>1.7241240099999999</v>
      </c>
      <c r="MK187" s="189">
        <f t="shared" si="672"/>
        <v>1.7241240099999999</v>
      </c>
      <c r="ML187" s="189">
        <f t="shared" si="795"/>
        <v>0</v>
      </c>
      <c r="MM187" s="189">
        <f t="shared" si="612"/>
        <v>0</v>
      </c>
      <c r="MN187" s="189">
        <f t="shared" si="613"/>
        <v>3.1241240100000001</v>
      </c>
      <c r="MO187" s="189">
        <f t="shared" si="673"/>
        <v>0</v>
      </c>
      <c r="MP187" s="189">
        <f t="shared" si="674"/>
        <v>9.3723720299999993</v>
      </c>
      <c r="MQ187" s="189">
        <f t="shared" si="796"/>
        <v>9.3723720299999993</v>
      </c>
      <c r="MR187" s="246">
        <f t="shared" si="675"/>
        <v>9.3723720299999993</v>
      </c>
      <c r="MS187" s="380">
        <f t="shared" si="614"/>
        <v>9.5483720299999995</v>
      </c>
      <c r="MT187" s="380">
        <f t="shared" si="615"/>
        <v>9.7083720299999996</v>
      </c>
      <c r="MU187" s="380">
        <f t="shared" si="616"/>
        <v>10.748372029999999</v>
      </c>
      <c r="MV187" s="380">
        <f t="shared" si="617"/>
        <v>13.148372029999999</v>
      </c>
      <c r="MW187" s="380">
        <f t="shared" si="618"/>
        <v>13.308372029999999</v>
      </c>
      <c r="MX187" s="254">
        <f t="shared" si="619"/>
        <v>2.3241240100000002</v>
      </c>
      <c r="MY187" s="254">
        <f t="shared" si="620"/>
        <v>0</v>
      </c>
      <c r="MZ187" s="189">
        <f t="shared" si="621"/>
        <v>3.7241240100000002</v>
      </c>
      <c r="NA187" s="189">
        <f t="shared" si="622"/>
        <v>0</v>
      </c>
      <c r="NB187" s="189">
        <f t="shared" si="676"/>
        <v>11.17237203</v>
      </c>
      <c r="NC187" s="254">
        <f t="shared" si="797"/>
        <v>11.17237203</v>
      </c>
      <c r="ND187" s="246">
        <f t="shared" si="677"/>
        <v>11.17237203</v>
      </c>
      <c r="NE187" s="386">
        <f t="shared" si="678"/>
        <v>11.41237203</v>
      </c>
      <c r="NF187" s="380">
        <f t="shared" si="623"/>
        <v>11.57237203</v>
      </c>
      <c r="NG187" s="387">
        <f t="shared" si="624"/>
        <v>12.61237203</v>
      </c>
      <c r="NH187" s="254">
        <f t="shared" si="625"/>
        <v>15.01237203</v>
      </c>
      <c r="NI187" s="380">
        <f t="shared" si="626"/>
        <v>15.17237203</v>
      </c>
      <c r="NK187" s="388">
        <f t="shared" si="627"/>
        <v>0.30014863359356064</v>
      </c>
      <c r="NL187" s="388">
        <f t="shared" si="628"/>
        <v>10.965193712684178</v>
      </c>
      <c r="NM187" s="388">
        <f t="shared" si="629"/>
        <v>0.30014863359356064</v>
      </c>
      <c r="NN187" s="388">
        <f t="shared" si="630"/>
        <v>11.059057129204556</v>
      </c>
      <c r="NO187" s="388">
        <f t="shared" si="631"/>
        <v>0.43437765763426284</v>
      </c>
      <c r="NP187" s="388">
        <f t="shared" si="632"/>
        <v>11.801210700663081</v>
      </c>
      <c r="NQ187" s="388">
        <f t="shared" si="633"/>
        <v>0.43437765763426284</v>
      </c>
      <c r="NR187" s="388">
        <f t="shared" si="634"/>
        <v>11.910491430603521</v>
      </c>
      <c r="NS187" s="388">
        <f t="shared" si="635"/>
        <v>0.31359786395559186</v>
      </c>
      <c r="NT187" s="388">
        <f t="shared" si="636"/>
        <v>0.31359786395559186</v>
      </c>
      <c r="NU187" s="388">
        <f t="shared" si="637"/>
        <v>0.45043058520665463</v>
      </c>
      <c r="NV187" s="388">
        <f t="shared" si="638"/>
        <v>0.45043058520665463</v>
      </c>
      <c r="NW187">
        <f t="shared" si="639"/>
        <v>0.44899126404073531</v>
      </c>
      <c r="NX187">
        <f>各项系数!$M$9*NK187</f>
        <v>9.0044590078068185E-2</v>
      </c>
      <c r="NY187">
        <f t="shared" si="640"/>
        <v>0.31359786395559186</v>
      </c>
    </row>
    <row r="188" spans="1:389" ht="15" hidden="1" customHeight="1">
      <c r="A188" s="69"/>
      <c r="B188" s="70"/>
      <c r="C188" s="69"/>
      <c r="D188" s="102" t="s">
        <v>205</v>
      </c>
      <c r="E188" s="61">
        <f t="shared" si="805"/>
        <v>14.55422783</v>
      </c>
      <c r="F188" s="62">
        <f t="shared" si="820"/>
        <v>172.412400708262</v>
      </c>
      <c r="G188" s="16"/>
      <c r="H188" s="16"/>
      <c r="I188" s="145">
        <v>0</v>
      </c>
      <c r="J188" s="16"/>
      <c r="K188" s="16"/>
      <c r="L188" s="97" t="s">
        <v>469</v>
      </c>
      <c r="M188" s="103">
        <f t="shared" si="582"/>
        <v>0.7</v>
      </c>
      <c r="N188" s="103">
        <f t="shared" si="804"/>
        <v>0</v>
      </c>
      <c r="O188" s="53">
        <f t="shared" ref="O188:O197" si="825">$O$36</f>
        <v>0.08</v>
      </c>
      <c r="P188" s="99">
        <v>0.1</v>
      </c>
      <c r="Q188" s="133">
        <f t="shared" si="823"/>
        <v>0.1</v>
      </c>
      <c r="R188" s="406">
        <v>0.8</v>
      </c>
      <c r="S188" s="142" t="str">
        <f>各项系数!$D$43</f>
        <v>钢带</v>
      </c>
      <c r="T188" s="102">
        <v>0.2</v>
      </c>
      <c r="U188" s="62">
        <v>4</v>
      </c>
      <c r="V188" s="143"/>
      <c r="W188" s="141">
        <f>$W$186</f>
        <v>1.8</v>
      </c>
      <c r="X188" s="135">
        <f t="shared" si="824"/>
        <v>0.2</v>
      </c>
      <c r="Y188" s="135"/>
      <c r="Z188" s="168"/>
      <c r="AA188" s="153">
        <v>1</v>
      </c>
      <c r="AB188" s="153">
        <f>PI()*EJ188*EJ188/4*EH188*(1-H188)*AA188*各项系数!$F$5*各项系数!$J$4*10^-7</f>
        <v>2.0651505688902914E-2</v>
      </c>
      <c r="AC188" s="153">
        <f t="shared" si="808"/>
        <v>172.412400708262</v>
      </c>
      <c r="AD188" s="153">
        <f t="shared" si="584"/>
        <v>2.3346774015073013</v>
      </c>
      <c r="AE188" s="153">
        <f>POWER(4*EU188/PI()/EG188/10^-7/EH188/(1-H188)/各项系数!$F$5/各项系数!$J$4,0.5)</f>
        <v>172.41240070826197</v>
      </c>
      <c r="AF188" s="69">
        <v>1</v>
      </c>
      <c r="AG188" s="69">
        <f>IF(EM188=0,0,PI()*ER188*ER188/4*EP188*(1-K188)*(1+AF188)*各项系数!$F$5*各项系数!$J$4*10^-7)</f>
        <v>0</v>
      </c>
      <c r="AH188" s="69">
        <f t="shared" si="809"/>
        <v>0</v>
      </c>
      <c r="AI188" s="69">
        <f t="shared" si="641"/>
        <v>0</v>
      </c>
      <c r="AJ188" s="69">
        <f>IF(OR(EP188="",EP188=0),0,POWER(4*EW188/PI()/EO188/10^-7/EP188/(1-K188)/各项系数!$F$5/各项系数!$J$4,0.5))</f>
        <v>0</v>
      </c>
      <c r="AK188" s="69" t="str">
        <f t="shared" si="585"/>
        <v>√</v>
      </c>
      <c r="AL188" s="69">
        <f t="shared" si="810"/>
        <v>13.020197511817896</v>
      </c>
      <c r="AM188" s="188">
        <f t="shared" si="811"/>
        <v>2.5</v>
      </c>
      <c r="AN188" s="97" t="s">
        <v>486</v>
      </c>
      <c r="AO188" s="196">
        <f>AP188+各项系数!$M$9*$NK188</f>
        <v>12.764899521390094</v>
      </c>
      <c r="AP188" s="196">
        <f>AQ188*(1+$BI188+(VLOOKUP($AM188,$A$12:$B$323,2,0))+各项系数!$J$6+各项系数!$M$5)*(1+$E$2)</f>
        <v>12.658081903917104</v>
      </c>
      <c r="AQ188" s="197">
        <f>AR188+各项系数!$L$9*$NK188</f>
        <v>12.916410106037862</v>
      </c>
      <c r="AR188" s="197">
        <f>AS188*(1+$BJ188+各项系数!$J$5+各项系数!$L$5)</f>
        <v>12.809592488564872</v>
      </c>
      <c r="AS188" s="197">
        <f t="shared" si="642"/>
        <v>12.558424008396933</v>
      </c>
      <c r="AT188" s="196">
        <f>AU188+各项系数!$M$9*$NM188</f>
        <v>13.478654182375422</v>
      </c>
      <c r="AU188" s="196">
        <f>AV188*(1+$BI188+(VLOOKUP($AM188,$A$12:$B$323,2,0))+各项系数!$J$6+各项系数!$M$5)*(1+$E$2)</f>
        <v>13.371836564902432</v>
      </c>
      <c r="AV188" s="197">
        <f>AW188+各项系数!$L$9*$NM188</f>
        <v>13.644731188675951</v>
      </c>
      <c r="AW188" s="197">
        <f>AX188*(1+$BJ188+各项系数!$J$5+各项系数!$L$5)</f>
        <v>13.537913571202962</v>
      </c>
      <c r="AX188" s="197">
        <f t="shared" si="643"/>
        <v>13.272464285493101</v>
      </c>
      <c r="AY188" s="196">
        <f>AZ188+各项系数!$M$9*$NS188</f>
        <v>13.827243045598888</v>
      </c>
      <c r="AZ188" s="196">
        <f>BA188*(1+$BI188+(VLOOKUP($AM188,$A$12:$B$214,2,0))+各项系数!$J$6+各项系数!$M$5)*(1+$E$2)</f>
        <v>13.715801535172123</v>
      </c>
      <c r="BA188" s="197">
        <f>BB188+各项系数!$L$9*$NS188</f>
        <v>13.995715852216453</v>
      </c>
      <c r="BB188" s="197">
        <f>BC188*(1+$BJ188+各项系数!$J$5+各项系数!$L$5)</f>
        <v>13.884274341789688</v>
      </c>
      <c r="BC188" s="199">
        <f t="shared" si="644"/>
        <v>13.612033668421262</v>
      </c>
      <c r="BD188" s="196">
        <f>BE188+各项系数!$M$9*$NS188</f>
        <v>14.549951658738737</v>
      </c>
      <c r="BE188" s="196">
        <f>BF188*(1+$BI188+(VLOOKUP($AM188,$A$12:$B$214,2,0))+各项系数!$J$6+各项系数!$M$5)*(1+$E$2)</f>
        <v>14.438510148311972</v>
      </c>
      <c r="BF188" s="197">
        <f>BG188+各项系数!$L$9*$NS188</f>
        <v>14.733173620726502</v>
      </c>
      <c r="BG188" s="197">
        <f>BH188*(1+$BJ188+各项系数!$J$5+各项系数!$L$5)</f>
        <v>14.621732110299737</v>
      </c>
      <c r="BH188" s="199">
        <f t="shared" si="645"/>
        <v>14.335031480686016</v>
      </c>
      <c r="BI188" s="213"/>
      <c r="BJ188" s="208">
        <f t="shared" si="822"/>
        <v>0</v>
      </c>
      <c r="BK188" s="102" t="s">
        <v>514</v>
      </c>
      <c r="BL188" s="196">
        <f>BM188+各项系数!$M$9*$NM188</f>
        <v>12.994455073243266</v>
      </c>
      <c r="BM188" s="196">
        <f>BN188*(1+$CF188+(VLOOKUP($AM188,$A$12:$B$323,2,0))+各项系数!$J$6+各项系数!$M$5)*(1+$E$2)</f>
        <v>12.887637455770276</v>
      </c>
      <c r="BN188" s="197">
        <f>BO188+各项系数!$L$9*$NM188</f>
        <v>13.150650465071712</v>
      </c>
      <c r="BO188" s="197">
        <f>BP188*(1+$CG188+各项系数!$J$5+各项系数!$L$5)</f>
        <v>13.043832847598722</v>
      </c>
      <c r="BP188" s="197">
        <f t="shared" si="646"/>
        <v>12.663915386018177</v>
      </c>
      <c r="BQ188" s="196">
        <f>BR188+各项系数!$M$9*$NM188</f>
        <v>13.608724332373255</v>
      </c>
      <c r="BR188" s="196">
        <f>BS188*(1+$CF188+(VLOOKUP($AM188,$A$12:$B$323,2,0))+各项系数!$J$6+各项系数!$M$5)*(1+$E$2)</f>
        <v>13.501906714900265</v>
      </c>
      <c r="BS188" s="197">
        <f>BT188+各项系数!$L$9*$NM188</f>
        <v>13.777455831530883</v>
      </c>
      <c r="BT188" s="197">
        <f>BU188*(1+$CG188+各项系数!$J$5+各项系数!$L$5)</f>
        <v>13.670638214057893</v>
      </c>
      <c r="BU188" s="197">
        <f t="shared" si="647"/>
        <v>13.272464285493101</v>
      </c>
      <c r="BV188" s="196">
        <f>BW188+各项系数!$M$9*$NT188</f>
        <v>13.967345241257137</v>
      </c>
      <c r="BW188" s="196">
        <f>BX188*(1+$CF188+(VLOOKUP($AM188,$A$12:$B$214,2,0))+各项系数!$J$6+各项系数!$M$5)*(1+$E$2)</f>
        <v>13.855903730830372</v>
      </c>
      <c r="BX188" s="197">
        <f>BY188+各项系数!$L$9*$NT$12</f>
        <v>14.138677276357523</v>
      </c>
      <c r="BY188" s="197">
        <f>BZ188*(1+$CG188+各项系数!$J$5+各项系数!$L$5)</f>
        <v>14.130413873202549</v>
      </c>
      <c r="BZ188" s="199">
        <f t="shared" si="586"/>
        <v>13.718848420584999</v>
      </c>
      <c r="CA188" s="196">
        <f>CB188+各项系数!$M$9*$NT188</f>
        <v>14.589320422123103</v>
      </c>
      <c r="CB188" s="196">
        <f>CC188*(1+$CF188+(VLOOKUP($AM188,$A$12:$B$214,2,0))+各项系数!$J$6+各项系数!$M$5)*(1+$E$2)</f>
        <v>14.477878911696338</v>
      </c>
      <c r="CC188" s="197">
        <f>CD188+各项系数!$L$9*$NT$12</f>
        <v>14.77334582826157</v>
      </c>
      <c r="CD188" s="197">
        <f>CE188*(1+$CG188+各项系数!$J$5+各项系数!$L$5)</f>
        <v>14.765082425106597</v>
      </c>
      <c r="CE188" s="199">
        <f t="shared" si="648"/>
        <v>14.335031480686016</v>
      </c>
      <c r="CF188" s="213">
        <f t="shared" si="753"/>
        <v>0</v>
      </c>
      <c r="CG188" s="213">
        <f t="shared" si="587"/>
        <v>0.01</v>
      </c>
      <c r="CH188" s="102"/>
      <c r="CI188" s="196">
        <f>CJ188+各项系数!$M$9*$NO188</f>
        <v>14.022150906646861</v>
      </c>
      <c r="CJ188" s="196">
        <f>CK188*(1+$DC188+(VLOOKUP($AM188,$A$12:$B$323,2,0))+各项系数!$J$6+各项系数!$M$5)*(1+$E$2)+各项系数!$M$9*$NK188</f>
        <v>13.847459605266934</v>
      </c>
      <c r="CK188" s="197">
        <f>CL188+各项系数!$L$9*$NO188</f>
        <v>14.021063252850965</v>
      </c>
      <c r="CL188" s="197">
        <f>CM188*(1+$DD188+各项系数!$J$5+各项系数!$L$5)</f>
        <v>13.846371951471038</v>
      </c>
      <c r="CM188" s="197">
        <f t="shared" si="588"/>
        <v>13.574874462226507</v>
      </c>
      <c r="CN188" s="196">
        <f>CO188+各项系数!$M$9*$NO188</f>
        <v>14.559471090058805</v>
      </c>
      <c r="CO188" s="196">
        <f>CP188*(1+$DC188+(VLOOKUP($AM188,$A$12:$B$323,2,0))+各项系数!$J$6+各项系数!$M$5)*(1+$E$2)+各项系数!$M$9*$NK188</f>
        <v>14.384779788678879</v>
      </c>
      <c r="CP188" s="197">
        <f>CQ188+各项系数!$L$9*$NO188</f>
        <v>14.569349154291723</v>
      </c>
      <c r="CQ188" s="197">
        <f>CR188*(1+$DD188+各项系数!$J$5+各项系数!$L$5)</f>
        <v>14.394657852911797</v>
      </c>
      <c r="CR188" s="197">
        <f t="shared" si="589"/>
        <v>14.112409659717448</v>
      </c>
      <c r="CS188" s="196">
        <f>CT188+各项系数!$M$9*$NU188</f>
        <v>15.180573798902842</v>
      </c>
      <c r="CT188" s="196">
        <f t="shared" si="590"/>
        <v>15.000364351911376</v>
      </c>
      <c r="CU188" s="197">
        <f>CV188+各项系数!$L$9*$NU188</f>
        <v>15.306494236644262</v>
      </c>
      <c r="CV188" s="197">
        <f>CW188*(1+$DD188+各项系数!$J$5+各项系数!$L$5)</f>
        <v>15.126284789652797</v>
      </c>
      <c r="CW188" s="199">
        <f t="shared" si="591"/>
        <v>14.829690970247839</v>
      </c>
      <c r="CX188" s="196">
        <f>CY188+各项系数!$M$9*$NU188</f>
        <v>16.022705748903586</v>
      </c>
      <c r="CY188" s="196">
        <f t="shared" si="592"/>
        <v>15.842496301912121</v>
      </c>
      <c r="CZ188" s="197">
        <f>DA188+各项系数!$L$9*$NU188</f>
        <v>16.165812552971552</v>
      </c>
      <c r="DA188" s="197">
        <f>DB188*(1+$DD188+各项系数!$J$5+各项系数!$L$5)</f>
        <v>15.985603105980084</v>
      </c>
      <c r="DB188" s="199">
        <f t="shared" si="593"/>
        <v>15.672159907823612</v>
      </c>
      <c r="DC188" s="213">
        <f t="shared" si="803"/>
        <v>0</v>
      </c>
      <c r="DD188" s="213">
        <f t="shared" si="594"/>
        <v>0</v>
      </c>
      <c r="DE188" s="53" t="s">
        <v>498</v>
      </c>
      <c r="DF188" s="53" t="s">
        <v>513</v>
      </c>
      <c r="DG188" s="196">
        <f>DH188+各项系数!$M$9*$NQ188</f>
        <v>14.279484095682914</v>
      </c>
      <c r="DH188" s="196">
        <f>DI188*(1+$EA188+(VLOOKUP($AM188,$A$12:$B$323,2,0))+各项系数!$J$6+各项系数!$M$5)*(1+$E$2)+各项系数!$M$9*$NK188</f>
        <v>14.104792794302988</v>
      </c>
      <c r="DI188" s="197">
        <f>DJ188+各项系数!$L$9*$NQ188</f>
        <v>14.283648139622446</v>
      </c>
      <c r="DJ188" s="197">
        <f>DK188*(1+$EB188+各项系数!$J$5+各项系数!$L$5)</f>
        <v>14.10895683824252</v>
      </c>
      <c r="DK188" s="197">
        <f t="shared" si="595"/>
        <v>13.698016347808272</v>
      </c>
      <c r="DL188" s="196">
        <f>DM188+各项系数!$M$9*$NQ188</f>
        <v>14.996531085966494</v>
      </c>
      <c r="DM188" s="196">
        <f>DN188*(1+$EA188+(VLOOKUP($AM188,$A$12:$B$323,2,0))+各项系数!$J$6+各项系数!$M$5)*(1+$E$2)+各项系数!$M$9*$NK188</f>
        <v>14.821839784586567</v>
      </c>
      <c r="DN188" s="197">
        <f>DO188+各项系数!$L$9*$NQ188</f>
        <v>15.015328741952631</v>
      </c>
      <c r="DO188" s="197">
        <f>DP188*(1+$EB188+各项系数!$J$5+各项系数!$L$5)</f>
        <v>14.840637440572705</v>
      </c>
      <c r="DP188" s="197">
        <f t="shared" si="596"/>
        <v>14.408385864633694</v>
      </c>
      <c r="DQ188" s="196">
        <f>DR188+各项系数!$M$9*$NV188</f>
        <v>15.451540003980698</v>
      </c>
      <c r="DR188" s="196">
        <f t="shared" si="597"/>
        <v>15.271330556989232</v>
      </c>
      <c r="DS188" s="197">
        <f>DT188+各项系数!$L$9*$NV188</f>
        <v>15.582990364274727</v>
      </c>
      <c r="DT188" s="197">
        <f>DU188*(1+$EB188+各项系数!$J$5+各项系数!$L$5)</f>
        <v>15.402780917283261</v>
      </c>
      <c r="DU188" s="199">
        <f t="shared" si="598"/>
        <v>14.954156230372098</v>
      </c>
      <c r="DV188" s="196">
        <f>DW188+各项系数!$M$9*$NV188</f>
        <v>15.500343180209837</v>
      </c>
      <c r="DW188" s="196">
        <f t="shared" si="599"/>
        <v>15.320133733218372</v>
      </c>
      <c r="DX188" s="197">
        <f>DY188+各项系数!$L$9*$NV188</f>
        <v>15.632789523692216</v>
      </c>
      <c r="DY188" s="197">
        <f>DZ188*(1+$EB188+各项系数!$J$5+各项系数!$L$5)</f>
        <v>15.45258007670075</v>
      </c>
      <c r="DZ188" s="199">
        <f t="shared" si="600"/>
        <v>15.002504928835679</v>
      </c>
      <c r="EA188" s="213">
        <f t="shared" ref="EA188:EA209" si="826">BI188+$EA$2</f>
        <v>0</v>
      </c>
      <c r="EB188" s="213">
        <f t="shared" si="601"/>
        <v>0.01</v>
      </c>
      <c r="EC188" s="235">
        <f t="shared" si="649"/>
        <v>8</v>
      </c>
      <c r="ED188" s="235" t="str">
        <f t="shared" si="756"/>
        <v>8*2.5</v>
      </c>
      <c r="EE188" s="189">
        <f t="shared" si="812"/>
        <v>2.5</v>
      </c>
      <c r="EF188" s="189">
        <f>LOOKUP(EH188,{1,7,10,14,19,24,30,37,48,61},{1,"1+6","2+8","4+10","1+6+12","2+8+14","4+10+16","1+6+12+18","3+9+15+21","1+6+12+18+24"})</f>
        <v>1</v>
      </c>
      <c r="EG188" s="188">
        <f t="shared" si="602"/>
        <v>8</v>
      </c>
      <c r="EH188" s="197">
        <f>VLOOKUP(EE188,各项系数!$B$87:$C$124,2,0)</f>
        <v>1</v>
      </c>
      <c r="EI188" s="188">
        <f>IF(EH188=0,0,VLOOKUP(EH188,各项系数!$D$142:$E$195,2,0))*1</f>
        <v>1</v>
      </c>
      <c r="EJ188" s="238">
        <f t="shared" si="650"/>
        <v>172.412400708262</v>
      </c>
      <c r="EK188" s="189">
        <f t="shared" si="813"/>
        <v>0</v>
      </c>
      <c r="EL188" s="189">
        <f t="shared" si="603"/>
        <v>0</v>
      </c>
      <c r="EM188" s="189">
        <f t="shared" si="814"/>
        <v>0</v>
      </c>
      <c r="EN188" s="189">
        <f>IF(EP188=0,0,LOOKUP(EP188,{1,7,10,14,19,24,30,37,48,61},{1,"1+6","2+8","4+10","1+6+12","2+8+14","4+10+16","1+6+12+18","3+9+15+21","1+6+12+18+24"}))</f>
        <v>0</v>
      </c>
      <c r="EO188" s="189">
        <f t="shared" si="815"/>
        <v>0</v>
      </c>
      <c r="EP188" s="189">
        <f>IF(EM188=0,0,IF(EM188&lt;10,1,IF(AND(EM188&gt;=10,EM188&lt;=35),7,LOOKUP(EM188,{50,70,95,120,150,185,240,300},{10,14,19,24,30,37,48,61})*1)))</f>
        <v>0</v>
      </c>
      <c r="EQ188" s="189">
        <f>IF(EP188=0,0,VLOOKUP(EP188,各项系数!$D$142:$E$195,2,0))*1</f>
        <v>0</v>
      </c>
      <c r="ER188" s="53">
        <f t="shared" si="816"/>
        <v>0</v>
      </c>
      <c r="ES188" s="412">
        <f t="shared" si="817"/>
        <v>8</v>
      </c>
      <c r="ET188" s="189">
        <f>VLOOKUP(ES188,各项系数!$D$142:$E$195,2,0)*1</f>
        <v>3.45</v>
      </c>
      <c r="EU188" s="243">
        <f>((各项系数!$F$76/4*$EJ188^2*$EG188*$EH188*1*10^-7)*(1-$H188)*AA188)*(VLOOKUP($EY$9,各项系数!$D$4:$F$143,3,0))*各项系数!$J$4</f>
        <v>0.16521204551122332</v>
      </c>
      <c r="EV188" s="244">
        <f>EU188*(VLOOKUP($EY$9,各项系数!$D$4:$F$143,2,0))</f>
        <v>10.821388980985127</v>
      </c>
      <c r="EW188" s="252">
        <f>(IF($EO188=0,0,(各项系数!$F$76/4*$ER188^2*$EO188*$EP188*1*10^-7))*(1-$K188)*$AF188)*(VLOOKUP($EY$9,各项系数!$D$4:$F$143,3,0))*各项系数!$J$4</f>
        <v>0</v>
      </c>
      <c r="EX188" s="253">
        <f>EW188*(VLOOKUP($EY$9,各项系数!$D$4:$F$143,2,0))</f>
        <v>0</v>
      </c>
      <c r="EY188" s="189">
        <f>((各项系数!$F$76/4*$EJ188^2*$EG188*$EH188*1*10^-7)*(1-$H188)*AA188+IF($EO188=0,0,(各项系数!$F$76/4*$ER188^2*$EO188*$EP188*1*10^-7))*(1-$K188)*$AF188)*(VLOOKUP($EY$9,各项系数!$D$4:$F$143,3,0))*各项系数!$J$4</f>
        <v>0.16521204551122332</v>
      </c>
      <c r="EZ188" s="102">
        <v>1</v>
      </c>
      <c r="FA188" s="189">
        <f t="shared" si="757"/>
        <v>0.16521204551122332</v>
      </c>
      <c r="FB188" s="254">
        <f>FA188*(VLOOKUP($EY$9,各项系数!$D$4:$F$143,2,0))</f>
        <v>10.821388980985127</v>
      </c>
      <c r="FC188" s="255"/>
      <c r="FD188" s="235">
        <f>各项系数!$F$76/4*($MN188^2-MK188^2)*10^-2*(VLOOKUP(L188,各项系数!$D$1:$F$143,3,0))*10^-3*10^2*$EG188*各项系数!$J$4</f>
        <v>4.6677597922651679E-2</v>
      </c>
      <c r="FE188" s="262">
        <f>FD188*VLOOKUP(L188,各项系数!$D$1:$F$143,2,0)</f>
        <v>0.53679237611049435</v>
      </c>
      <c r="FF188" s="188">
        <f>各项系数!$F$76/4*($MO188^2-ML188^2)*10^-2*(VLOOKUP(L188,各项系数!$D$1:$F$143,3,0))*10^-3*10^2*$EO188*各项系数!$J$4</f>
        <v>0</v>
      </c>
      <c r="FG188" s="262">
        <f>FF188*VLOOKUP(L188,各项系数!$D$1:$F$143,2,0)</f>
        <v>0</v>
      </c>
      <c r="FH188" s="235">
        <f t="shared" si="651"/>
        <v>4.6677597922651679E-2</v>
      </c>
      <c r="FI188" s="102">
        <v>1</v>
      </c>
      <c r="FJ188" s="189">
        <f t="shared" si="758"/>
        <v>4.6677597922651679E-2</v>
      </c>
      <c r="FK188" s="262">
        <f>FJ188*VLOOKUP(L188,各项系数!$D$1:$F$143,2,0)</f>
        <v>0.53679237611049435</v>
      </c>
      <c r="FL188" s="235"/>
      <c r="FM188" s="102"/>
      <c r="FN188" s="189"/>
      <c r="FO188" s="262"/>
      <c r="FP188" s="282">
        <f t="shared" si="759"/>
        <v>4.6677597922651679E-2</v>
      </c>
      <c r="FQ188" s="282">
        <f t="shared" si="760"/>
        <v>0.53679237611049435</v>
      </c>
      <c r="FR188" s="283">
        <f>各项系数!$F$76/4*($MQ188^2-$MN188^2*$EG188-$MO188^2*$EO188)*10^-2</f>
        <v>0.29915021626540272</v>
      </c>
      <c r="FS188" s="284">
        <f t="shared" si="652"/>
        <v>1</v>
      </c>
      <c r="FT188" s="285">
        <f t="shared" si="604"/>
        <v>0.29915021626540272</v>
      </c>
      <c r="FU188" s="302">
        <f>$FT188*(VLOOKUP($FT$9,各项系数!$D$1:$F$143,3,0))*10^-3*10^2*各项系数!$J$55</f>
        <v>3.5718535822089087E-2</v>
      </c>
      <c r="FV188" s="303">
        <v>1</v>
      </c>
      <c r="FW188" s="304">
        <f t="shared" si="761"/>
        <v>3.5718535822089087E-2</v>
      </c>
      <c r="FX188" s="285">
        <f>FW188*(VLOOKUP($FT$9,各项系数!$D$1:$F$143,2,0))</f>
        <v>0.10715560746626726</v>
      </c>
      <c r="FY188" s="302">
        <f>IF($BK188&lt;&gt;$FY$9,0,各项系数!$F$76/4*($MS188^2-$MQ188^2)*10^-2*(VLOOKUP($FY$9,各项系数!$D$1:$F$143,3,0))*10^-3*10^2)*各项系数!$J$4</f>
        <v>0</v>
      </c>
      <c r="FZ188" s="303">
        <v>1</v>
      </c>
      <c r="GA188" s="304">
        <f t="shared" si="762"/>
        <v>0</v>
      </c>
      <c r="GB188" s="285">
        <f>GA188*(VLOOKUP($FY$9,各项系数!$D$1:$F$143,2,0))</f>
        <v>0</v>
      </c>
      <c r="GC188" s="302">
        <f>IF($BK188&lt;&gt;$GC$9,0,各项系数!$F$76/4*($MS188^2-$MQ188^2)*10^-2*(VLOOKUP($GC$9,各项系数!$D$1:$F$143,3,0))*10^-3*10^2)*各项系数!$J$4</f>
        <v>2.959168032760957E-3</v>
      </c>
      <c r="GD188" s="303">
        <v>1</v>
      </c>
      <c r="GE188" s="304">
        <f t="shared" si="763"/>
        <v>2.959168032760957E-3</v>
      </c>
      <c r="GF188" s="285">
        <f>GE188*(VLOOKUP($GC$9,各项系数!$D$1:$F$143,2,0))</f>
        <v>3.8173267622616344E-2</v>
      </c>
      <c r="GG188" s="302">
        <f>IF($BK188&lt;&gt;$GG$9,0,各项系数!$F$76/4*($MS188^2-$MQ188^2)*10^-2*(VLOOKUP($GG$9,各项系数!$D$1:$F$143,3,0))*10^-3*10^2)*各项系数!$J$4</f>
        <v>0</v>
      </c>
      <c r="GH188" s="303">
        <v>1</v>
      </c>
      <c r="GI188" s="304">
        <f t="shared" si="764"/>
        <v>0</v>
      </c>
      <c r="GJ188" s="285">
        <f>GI188*(VLOOKUP($GG$9,各项系数!$D$1:$F$143,2,0))</f>
        <v>0</v>
      </c>
      <c r="GK188" s="302">
        <f>IF($BK188&lt;&gt;$GK$9,0,各项系数!$F$76/4*($MS188^2-$MQ188^2)*10^-2*(VLOOKUP($GK$9,各项系数!$D$1:$F$143,3,0))*10^-3*10^2)*各项系数!$J$4</f>
        <v>0</v>
      </c>
      <c r="GL188" s="303">
        <v>1</v>
      </c>
      <c r="GM188" s="304">
        <f t="shared" si="765"/>
        <v>0</v>
      </c>
      <c r="GN188" s="285">
        <f>GM188*(VLOOKUP($GK$9,各项系数!$D$1:$F$143,2,0))</f>
        <v>0</v>
      </c>
      <c r="GO188" s="304">
        <f t="shared" si="766"/>
        <v>2.959168032760957E-3</v>
      </c>
      <c r="GP188" s="304">
        <f t="shared" si="767"/>
        <v>3.8173267622616344E-2</v>
      </c>
      <c r="GQ188" s="315">
        <f>各项系数!$F$76/4*($MU188^2-$MS188^2)*10^-2*(VLOOKUP($S188,各项系数!$D$1:$F$143,3,0))*10^-3*10^2*各项系数!$J$4</f>
        <v>0.16946182677569335</v>
      </c>
      <c r="GR188" s="303">
        <v>1</v>
      </c>
      <c r="GS188" s="304">
        <f t="shared" si="768"/>
        <v>0.16946182677569335</v>
      </c>
      <c r="GT188" s="304">
        <f t="shared" si="696"/>
        <v>1</v>
      </c>
      <c r="GU188" s="304">
        <f>ROUND($GS188*(VLOOKUP($S188,各项系数!$D$1:$F$143,2,0))+$E$3*GS188,GT188)</f>
        <v>1</v>
      </c>
      <c r="GV188" s="315">
        <f>各项系数!$F$76/4*($MT188^2-$MS188^2)*10^-2*(VLOOKUP($GV$9,各项系数!$D$1:$F$143,3,0))*10^-3*10^2*各项系数!$J$4*PI()/4*R188</f>
        <v>1.5412976512583441E-2</v>
      </c>
      <c r="GW188" s="303">
        <v>1</v>
      </c>
      <c r="GX188" s="304">
        <f t="shared" si="769"/>
        <v>1.5412976512583441E-2</v>
      </c>
      <c r="GY188" s="304">
        <f>$GX188*(VLOOKUP($GV$9,各项系数!$D$1:$F$143,2,0))</f>
        <v>1.0403759145993823</v>
      </c>
      <c r="GZ188" s="315">
        <f>各项系数!$F$76/4*($MV188^2-$MS188^2)*10^-2*(VLOOKUP($GZ$9,各项系数!$D$1:$F$143,3,0))*10^-3*10^2*各项系数!$J$4</f>
        <v>0.10405612078285861</v>
      </c>
      <c r="HA188" s="303">
        <v>1</v>
      </c>
      <c r="HB188" s="304">
        <f t="shared" si="653"/>
        <v>0.10405612078285861</v>
      </c>
      <c r="HC188" s="304">
        <f>HB188*(VLOOKUP($GZ$9,各项系数!$D$1:$F$143,2,0))</f>
        <v>1.7689540533085963</v>
      </c>
      <c r="HD188" s="315">
        <f>各项系数!$F$76/4*($MW188^2-$MT188^2)*10^-2*(VLOOKUP($HD$9,各项系数!$D$1:$F$143,3,0))*10^-3*10^2*各项系数!$J$4</f>
        <v>0.105361490229537</v>
      </c>
      <c r="HE188" s="303">
        <v>1</v>
      </c>
      <c r="HF188" s="304">
        <f t="shared" si="654"/>
        <v>0.105361490229537</v>
      </c>
      <c r="HG188" s="304">
        <f>HF188*(VLOOKUP($HD$9,各项系数!$D$1:$F$143,2,0))</f>
        <v>1.791145333902129</v>
      </c>
      <c r="HH188" s="315">
        <f>各项系数!$F$76/4*($MV188^2-$MS188^2)*10^-2*(VLOOKUP($HH$9,各项系数!$D$1:$F$143,3,0))*10^-3*10^2*各项系数!$J$4</f>
        <v>0.10405612078285861</v>
      </c>
      <c r="HI188" s="322">
        <v>1</v>
      </c>
      <c r="HJ188" s="304">
        <f t="shared" si="655"/>
        <v>0.10405612078285861</v>
      </c>
      <c r="HK188" s="304">
        <f>HJ188*(VLOOKUP($HH$9,各项系数!$D$1:$F$143,2,0))</f>
        <v>1.7689540533085963</v>
      </c>
      <c r="HL188" s="315">
        <f>各项系数!$F$76/4*($MW188^2-$MT188^2)*10^-2*(VLOOKUP($HL$9,各项系数!$D$1:$F$143,3,0))*10^-3*10^2*各项系数!$J$4</f>
        <v>0.105361490229537</v>
      </c>
      <c r="HM188" s="322">
        <v>1</v>
      </c>
      <c r="HN188" s="304">
        <f t="shared" si="605"/>
        <v>0.105361490229537</v>
      </c>
      <c r="HO188" s="304">
        <f>HN188*(VLOOKUP($HL$9,各项系数!$D$1:$F$143,2,0))</f>
        <v>1.791145333902129</v>
      </c>
      <c r="HP188" s="315">
        <f>各项系数!$F$76/4*($MV188^2-$MS188^2)*10^-2*(VLOOKUP(AN188,各项系数!$D$1:$F$143,3,0))*10^-3*10^2*各项系数!$J$4</f>
        <v>0.10549137762124287</v>
      </c>
      <c r="HQ188" s="303">
        <v>1</v>
      </c>
      <c r="HR188" s="304">
        <f t="shared" si="770"/>
        <v>0.10549137762124287</v>
      </c>
      <c r="HS188" s="304">
        <f>HR188*(VLOOKUP(AN188,各项系数!$D$1:$F$143,2,0))</f>
        <v>1.0549137762124288</v>
      </c>
      <c r="HT188" s="315">
        <f>各项系数!$F$76/4*($MW188^2-$MT188^2)*10^-2*(VLOOKUP(AN188,各项系数!$D$1:$F$143,3,0))*10^-3*10^2*各项系数!$J$4</f>
        <v>0.10681475216373751</v>
      </c>
      <c r="HU188" s="303">
        <v>1</v>
      </c>
      <c r="HV188" s="304">
        <f t="shared" si="771"/>
        <v>0.10681475216373751</v>
      </c>
      <c r="HW188" s="304">
        <f>HV188*(VLOOKUP(AN188,各项系数!$D$1:$F$143,2,0))</f>
        <v>1.068147521637375</v>
      </c>
      <c r="HX188" s="315">
        <f>各项系数!$F$76/4*($MV188^2-$MS188^2)*10^-2*(VLOOKUP($HX$9,各项系数!$D$1:$F$143,3,0))*10^-3*10^2*各项系数!$J$4</f>
        <v>0.10549137762124287</v>
      </c>
      <c r="HY188" s="322">
        <v>1</v>
      </c>
      <c r="HZ188" s="304">
        <f t="shared" si="772"/>
        <v>0.10549137762124287</v>
      </c>
      <c r="IA188" s="304">
        <f>HZ188*(VLOOKUP($HX$9,各项系数!$D$1:$F$143,2,0))</f>
        <v>1.1604051538336717</v>
      </c>
      <c r="IB188" s="315">
        <f>各项系数!$F$76/4*($MW188^2-$MT188^2)*10^-2*(VLOOKUP($IB$9,各项系数!$D$1:$F$143,3,0))*10^-3*10^2*各项系数!$J$4</f>
        <v>0.10681475216373751</v>
      </c>
      <c r="IC188" s="322">
        <v>1</v>
      </c>
      <c r="ID188" s="304">
        <f t="shared" si="773"/>
        <v>0.10681475216373751</v>
      </c>
      <c r="IE188" s="304">
        <f>ID188*(VLOOKUP($IB$9,各项系数!$D$1:$F$143,2,0))</f>
        <v>1.1749622738011125</v>
      </c>
      <c r="IF188" s="328"/>
      <c r="IG188" s="315">
        <f t="shared" si="656"/>
        <v>2.2777841715018711E-2</v>
      </c>
      <c r="IH188" s="303">
        <v>1</v>
      </c>
      <c r="II188" s="304">
        <f t="shared" si="774"/>
        <v>2.2777841715018711E-2</v>
      </c>
      <c r="IJ188" s="304">
        <f>II188*(VLOOKUP($IG$8,各项系数!$D$1:$F$143,2,0))</f>
        <v>0.56944604287546774</v>
      </c>
      <c r="IK188" s="315">
        <f>(各项系数!$F$76/4*($MX188^2-$MK188^2)*$EG188)*10^-2*(VLOOKUP($IG$8,各项系数!$D$1:$F$143,3,0))*10^-3*10^2*各项系数!$J$4</f>
        <v>2.2777841715018711E-2</v>
      </c>
      <c r="IL188" s="303">
        <f>IK188*(VLOOKUP($IG$8,各项系数!$D$1:$F$143,2,0))</f>
        <v>0.56944604287546774</v>
      </c>
      <c r="IM188" s="304">
        <f>(各项系数!$F$76/4*(($MM188+3*$X188)^2-MM188^2)*$EO188)*10^-2*(VLOOKUP($IG$8,各项系数!$D$1:$F$143,3,0))*10^-3*10^2*各项系数!$J$4</f>
        <v>0</v>
      </c>
      <c r="IN188" s="303">
        <f>IM188*(VLOOKUP($IG$8,各项系数!$D$1:$F$143,2,0))</f>
        <v>0</v>
      </c>
      <c r="IO188" s="315">
        <f>各项系数!$F$76/4*($MZ188^2-$MX188^2)*10^-2*(VLOOKUP(L188,各项系数!$D$1:$F$143,3,0))*10^-3*10^2*$ES188*各项系数!$J$4</f>
        <v>5.823086773808122E-2</v>
      </c>
      <c r="IP188" s="303">
        <v>1</v>
      </c>
      <c r="IQ188" s="304">
        <f t="shared" si="775"/>
        <v>5.823086773808122E-2</v>
      </c>
      <c r="IR188" s="285">
        <f>IQ188*(VLOOKUP(L188,各项系数!$D$1:$F$143,2,0))</f>
        <v>0.66965497898793402</v>
      </c>
      <c r="IS188" s="315">
        <f>IF($L188&lt;&gt;$IS$9,0,各项系数!$F$76/4*($MZ188^2-$MX188^2)*10^-2*各项系数!$F$12*10^-3*10^2)*$ES188*各项系数!$J$4</f>
        <v>0</v>
      </c>
      <c r="IT188" s="303">
        <v>1</v>
      </c>
      <c r="IU188" s="304">
        <f t="shared" si="776"/>
        <v>0</v>
      </c>
      <c r="IV188" s="285">
        <f>IU188*各项系数!$E$12</f>
        <v>0</v>
      </c>
      <c r="IW188" s="302">
        <f t="shared" si="777"/>
        <v>5.823086773808122E-2</v>
      </c>
      <c r="IX188" s="302">
        <f t="shared" si="778"/>
        <v>0.66965497898793402</v>
      </c>
      <c r="IY188" s="339">
        <f>各项系数!$F$76/4*($NB188^2-$MZ188^2*$EG188-$NA188^2*$EO188)*10^-2</f>
        <v>0.42509016830746216</v>
      </c>
      <c r="IZ188" s="284">
        <f t="shared" si="697"/>
        <v>1</v>
      </c>
      <c r="JA188" s="285">
        <f t="shared" si="606"/>
        <v>0.42509016830746216</v>
      </c>
      <c r="JB188" s="282">
        <f>IF($DE188&lt;&gt;$JB$9,0,$JA188*各项系数!$F$32*10^-3*10^2)*各项系数!$J$4</f>
        <v>0</v>
      </c>
      <c r="JC188" s="102">
        <v>1</v>
      </c>
      <c r="JD188" s="189">
        <f t="shared" si="779"/>
        <v>0</v>
      </c>
      <c r="JE188" s="262">
        <f>JD188*各项系数!$E$32</f>
        <v>0</v>
      </c>
      <c r="JF188" s="282">
        <f>IF($DE188&lt;&gt;$JF$9,0,$JA188*VLOOKUP($JF$9,各项系数!$D$4:$F$540,2,0)*10^-3*10^2)*各项系数!$J$4</f>
        <v>0.21148235873296242</v>
      </c>
      <c r="JG188" s="102">
        <v>1</v>
      </c>
      <c r="JH188" s="189">
        <f t="shared" si="607"/>
        <v>0.21148235873296242</v>
      </c>
      <c r="JI188" s="262">
        <f>JH188*VLOOKUP($JF$9,各项系数!$D$4:$F$540,3,0)</f>
        <v>0.25377883047955491</v>
      </c>
      <c r="JJ188" s="282">
        <f t="shared" si="780"/>
        <v>0.21148235873296242</v>
      </c>
      <c r="JK188" s="189">
        <f t="shared" si="781"/>
        <v>0.25377883047955491</v>
      </c>
      <c r="JL188" s="282">
        <f>IF($DF188&lt;&gt;$JL$9,0,各项系数!$F$76/4*($NE188^2-$NC188^2)*10^-2*各项系数!$F$39*10^-3*10^2)*各项系数!$J$4</f>
        <v>1.4593386540384969E-3</v>
      </c>
      <c r="JM188" s="102">
        <v>1</v>
      </c>
      <c r="JN188" s="189">
        <f t="shared" si="782"/>
        <v>1.4593386540384969E-3</v>
      </c>
      <c r="JO188" s="262">
        <f>JN188*各项系数!$E$39</f>
        <v>2.9186773080769939E-2</v>
      </c>
      <c r="JP188" s="282">
        <f>IF($DF188&lt;&gt;$JP$9,0,各项系数!$F$76/4*($NE188^2-$NC188^2)*10^-2*各项系数!$F$36*10^-3*10^2)*各项系数!$J$4</f>
        <v>0</v>
      </c>
      <c r="JQ188" s="102">
        <v>1</v>
      </c>
      <c r="JR188" s="189">
        <f t="shared" si="783"/>
        <v>0</v>
      </c>
      <c r="JS188" s="262">
        <f>JR188*各项系数!$E$36</f>
        <v>0</v>
      </c>
      <c r="JT188" s="282">
        <f>IF($DF188&lt;&gt;$JT$9,0,各项系数!$F$76/4*($NE188^2-$NC188^2)*10^-2*各项系数!$F$40*10^-3*10^2)*各项系数!$J$4</f>
        <v>0</v>
      </c>
      <c r="JU188" s="102">
        <v>1</v>
      </c>
      <c r="JV188" s="189">
        <f t="shared" si="784"/>
        <v>0</v>
      </c>
      <c r="JW188" s="262">
        <f>JV188*各项系数!$E$40</f>
        <v>0</v>
      </c>
      <c r="JX188" s="282">
        <f>IF($DF188&lt;&gt;$JX$9,0,各项系数!$F$76/4*($NE188^2-$NC188^2)*10^-2*各项系数!$F$38*10^-3*10^2)*各项系数!$J$4</f>
        <v>0</v>
      </c>
      <c r="JY188" s="102">
        <v>1</v>
      </c>
      <c r="JZ188" s="189">
        <f t="shared" si="785"/>
        <v>0</v>
      </c>
      <c r="KA188" s="262">
        <f>JZ188*各项系数!$E$38</f>
        <v>0</v>
      </c>
      <c r="KB188" s="282">
        <f>IF($DF188&lt;&gt;$KB$9,0,各项系数!$F$76/4*($NE188^2-$NC188^2)*10^-2*各项系数!$F$41*10^-3*10^2)*各项系数!$J$4</f>
        <v>0</v>
      </c>
      <c r="KC188" s="102">
        <v>1</v>
      </c>
      <c r="KD188" s="189">
        <f t="shared" si="786"/>
        <v>0</v>
      </c>
      <c r="KE188" s="262">
        <f>KD188*各项系数!$E$41</f>
        <v>0</v>
      </c>
      <c r="KF188" s="189">
        <f t="shared" si="787"/>
        <v>1.4593386540384969E-3</v>
      </c>
      <c r="KG188" s="189">
        <f t="shared" si="788"/>
        <v>2.9186773080769939E-2</v>
      </c>
      <c r="KH188" s="235">
        <f>各项系数!$F$76/4*($NG188^2-$NE188^2)*10^-2*各项系数!$F$44*10^-3*10^2*各项系数!$J$4*0.75*$U188</f>
        <v>0.60228137981775021</v>
      </c>
      <c r="KI188" s="102">
        <v>1</v>
      </c>
      <c r="KJ188" s="189">
        <f t="shared" si="789"/>
        <v>0.60228137981775021</v>
      </c>
      <c r="KK188" s="189">
        <f>ROUND(KJ188*各项系数!$E$43,GT188)</f>
        <v>3.5</v>
      </c>
      <c r="KL188" s="235">
        <f>各项系数!$F$76/4*($NF188^2-$NE188^2)*10^-2*各项系数!$F$46*10^-3*10^2*各项系数!$J$4*PI()/4*R188</f>
        <v>1.8393818705131643E-2</v>
      </c>
      <c r="KM188" s="102">
        <v>1</v>
      </c>
      <c r="KN188" s="189">
        <f t="shared" si="790"/>
        <v>1.8393818705131643E-2</v>
      </c>
      <c r="KO188" s="189">
        <f>KN188*各项系数!$E$46</f>
        <v>1.241582762596386</v>
      </c>
      <c r="KP188" s="235">
        <f>各项系数!$F$76/4*($NH188^2-$NE188^2)*10^-2*(VLOOKUP($KP$9,各项系数!$D$1:$F$143,3,0))*10^-3*10^2*各项系数!$J$4</f>
        <v>0.12146648577793186</v>
      </c>
      <c r="KQ188" s="102">
        <v>1</v>
      </c>
      <c r="KR188" s="189">
        <f t="shared" si="657"/>
        <v>0.12146648577793186</v>
      </c>
      <c r="KS188" s="189">
        <f>KR188*(VLOOKUP($KP$9,各项系数!$D$1:$F$143,2,0))</f>
        <v>2.0649302582248414</v>
      </c>
      <c r="KT188" s="235">
        <f>各项系数!$F$76/4*($NI188^2-$NF188^2)*10^-2*(VLOOKUP($KT$9,各项系数!$D$1:$F$143,3,0))*10^-3*10^2*各项系数!$J$4</f>
        <v>0.12277185522461027</v>
      </c>
      <c r="KU188" s="102">
        <v>1</v>
      </c>
      <c r="KV188" s="189">
        <f t="shared" si="658"/>
        <v>0.12277185522461027</v>
      </c>
      <c r="KW188" s="189">
        <f>KV188*(VLOOKUP($KT$9,各项系数!$D$1:$F$143,2,0))</f>
        <v>2.0871215388183746</v>
      </c>
      <c r="KX188" s="189">
        <f>各项系数!$F$76/4*($NH188^2-$NE188^2)*10^-2*(VLOOKUP($KX$9,各项系数!$D$1:$F$143,3,0))*10^-3*10^2*各项系数!$J$4</f>
        <v>0.12146648577793186</v>
      </c>
      <c r="KY188" s="353">
        <v>1</v>
      </c>
      <c r="KZ188" s="189">
        <f t="shared" si="659"/>
        <v>0.12146648577793186</v>
      </c>
      <c r="LA188" s="189">
        <f>KZ188*(VLOOKUP($KX$9,各项系数!$D$1:$F$143,2,0))</f>
        <v>2.0649302582248414</v>
      </c>
      <c r="LB188" s="189">
        <f>各项系数!$F$76/4*($NI188^2-$NF188^2)*10^-2*(VLOOKUP($LB$9,各项系数!$D$1:$F$143,3,0))*10^-3*10^2*各项系数!$J$4</f>
        <v>0.12277185522461027</v>
      </c>
      <c r="LC188" s="353">
        <v>1</v>
      </c>
      <c r="LD188" s="189">
        <f t="shared" si="660"/>
        <v>0.12277185522461027</v>
      </c>
      <c r="LE188" s="189">
        <f>LD188*(VLOOKUP($LB$9,各项系数!$D$1:$F$143,2,0))</f>
        <v>2.0871215388183746</v>
      </c>
      <c r="LF188" s="235">
        <f>各项系数!$F$76/4*($NH188^2-$NE188^2)*10^-2*(VLOOKUP(AN188,各项系数!$D$1:$F$143,3,0))*10^-3*10^2*各项系数!$J$4</f>
        <v>0.12314188558176539</v>
      </c>
      <c r="LG188" s="102">
        <v>1</v>
      </c>
      <c r="LH188" s="189">
        <f t="shared" si="791"/>
        <v>0.12314188558176539</v>
      </c>
      <c r="LI188" s="189">
        <f>LH188*(VLOOKUP(AN188,各项系数!$D$1:$F$143,2,0))</f>
        <v>1.231418855817654</v>
      </c>
      <c r="LJ188" s="235">
        <f>各项系数!$F$76/4*($NI188^2-$NF188^2)*10^-2*(VLOOKUP(AN188,各项系数!$D$1:$F$143,3,0))*10^-3*10^2*各项系数!$J$4</f>
        <v>0.12446526012426005</v>
      </c>
      <c r="LK188" s="102">
        <v>1</v>
      </c>
      <c r="LL188" s="189">
        <f t="shared" si="792"/>
        <v>0.12446526012426005</v>
      </c>
      <c r="LM188" s="189">
        <f>LL188*(VLOOKUP(AN188,各项系数!$D$1:$F$143,2,0))</f>
        <v>1.2446526012426005</v>
      </c>
      <c r="LN188" s="189">
        <f>各项系数!$F$76/4*($NH188^2-$NE188^2)*10^-2*(VLOOKUP($LN$9,各项系数!$D$1:$F$143,3,0))*10^-3*10^2*各项系数!$J$4</f>
        <v>0.12314188558176539</v>
      </c>
      <c r="LO188" s="353">
        <v>1</v>
      </c>
      <c r="LP188" s="189">
        <f t="shared" si="793"/>
        <v>0.12314188558176539</v>
      </c>
      <c r="LQ188" s="189">
        <f>LP188*(VLOOKUP($LN$9,各项系数!$D$1:$F$143,2,0))</f>
        <v>1.3545607413994194</v>
      </c>
      <c r="LR188" s="189">
        <f>各项系数!$F$76/4*($NI188^2-$NF188^2)*10^-2*(VLOOKUP($LR$9,各项系数!$D$1:$F$143,3,0))*10^-3*10^2*各项系数!$J$4</f>
        <v>0.12446526012426005</v>
      </c>
      <c r="LS188" s="353">
        <v>1</v>
      </c>
      <c r="LT188" s="189">
        <f t="shared" si="794"/>
        <v>0.12446526012426005</v>
      </c>
      <c r="LU188" s="189">
        <f>LT188*(VLOOKUP($LR$9,各项系数!$D$1:$F$143,2,0))</f>
        <v>1.3691178613668606</v>
      </c>
      <c r="LV188" s="227">
        <f t="shared" si="661"/>
        <v>18.677419279999999</v>
      </c>
      <c r="LW188" s="227">
        <f t="shared" si="662"/>
        <v>18.677419279999999</v>
      </c>
      <c r="LX188" s="227">
        <f t="shared" si="663"/>
        <v>4.8765591169281386</v>
      </c>
      <c r="LY188" s="227">
        <f t="shared" si="664"/>
        <v>0</v>
      </c>
      <c r="LZ188" s="374">
        <f t="shared" si="608"/>
        <v>1</v>
      </c>
      <c r="MA188" s="375">
        <f t="shared" si="609"/>
        <v>18.677419279999999</v>
      </c>
      <c r="MB188" s="375">
        <f t="shared" si="665"/>
        <v>1.7241240099999999</v>
      </c>
      <c r="MC188" s="227">
        <f t="shared" si="666"/>
        <v>0</v>
      </c>
      <c r="MD188" s="227">
        <f t="shared" si="667"/>
        <v>0</v>
      </c>
      <c r="ME188" s="227">
        <f t="shared" si="668"/>
        <v>0</v>
      </c>
      <c r="MF188" s="227">
        <f t="shared" si="669"/>
        <v>0</v>
      </c>
      <c r="MG188" s="374">
        <f t="shared" si="670"/>
        <v>1</v>
      </c>
      <c r="MH188" s="375">
        <f t="shared" si="610"/>
        <v>0</v>
      </c>
      <c r="MI188" s="375">
        <f t="shared" si="671"/>
        <v>0</v>
      </c>
      <c r="MJ188" s="189">
        <f t="shared" si="611"/>
        <v>1.7241240099999999</v>
      </c>
      <c r="MK188" s="189">
        <f t="shared" si="672"/>
        <v>1.7241240099999999</v>
      </c>
      <c r="ML188" s="189">
        <f t="shared" si="795"/>
        <v>0</v>
      </c>
      <c r="MM188" s="189">
        <f t="shared" si="612"/>
        <v>0</v>
      </c>
      <c r="MN188" s="189">
        <f t="shared" si="613"/>
        <v>3.1241240100000001</v>
      </c>
      <c r="MO188" s="189">
        <f t="shared" si="673"/>
        <v>0</v>
      </c>
      <c r="MP188" s="189">
        <f t="shared" si="674"/>
        <v>10.778227830000001</v>
      </c>
      <c r="MQ188" s="189">
        <f t="shared" si="796"/>
        <v>10.778227830000001</v>
      </c>
      <c r="MR188" s="246">
        <f t="shared" si="675"/>
        <v>10.778227830000001</v>
      </c>
      <c r="MS188" s="380">
        <f t="shared" si="614"/>
        <v>10.954227830000001</v>
      </c>
      <c r="MT188" s="380">
        <f t="shared" si="615"/>
        <v>11.114227830000001</v>
      </c>
      <c r="MU188" s="380">
        <f t="shared" si="616"/>
        <v>12.15422783</v>
      </c>
      <c r="MV188" s="380">
        <f t="shared" si="617"/>
        <v>14.55422783</v>
      </c>
      <c r="MW188" s="380">
        <f t="shared" si="618"/>
        <v>14.71422783</v>
      </c>
      <c r="MX188" s="254">
        <f t="shared" si="619"/>
        <v>2.3241240100000002</v>
      </c>
      <c r="MY188" s="254">
        <f t="shared" si="620"/>
        <v>0</v>
      </c>
      <c r="MZ188" s="189">
        <f t="shared" si="621"/>
        <v>3.7241240100000002</v>
      </c>
      <c r="NA188" s="189">
        <f t="shared" si="622"/>
        <v>0</v>
      </c>
      <c r="NB188" s="189">
        <f t="shared" si="676"/>
        <v>12.848227830000001</v>
      </c>
      <c r="NC188" s="254">
        <f t="shared" si="797"/>
        <v>12.848227830000001</v>
      </c>
      <c r="ND188" s="246">
        <f t="shared" si="677"/>
        <v>12.848227830000001</v>
      </c>
      <c r="NE188" s="386">
        <f t="shared" si="678"/>
        <v>13.088227830000001</v>
      </c>
      <c r="NF188" s="380">
        <f t="shared" si="623"/>
        <v>13.248227830000001</v>
      </c>
      <c r="NG188" s="387">
        <f t="shared" si="624"/>
        <v>14.28822783</v>
      </c>
      <c r="NH188" s="254">
        <f t="shared" si="625"/>
        <v>16.688227830000002</v>
      </c>
      <c r="NI188" s="380">
        <f t="shared" si="626"/>
        <v>16.848227830000003</v>
      </c>
      <c r="NK188" s="388">
        <f t="shared" si="627"/>
        <v>0.35605872490996793</v>
      </c>
      <c r="NL188" s="388">
        <f t="shared" si="628"/>
        <v>12.558424008396933</v>
      </c>
      <c r="NM188" s="388">
        <f t="shared" si="629"/>
        <v>0.35605872490996793</v>
      </c>
      <c r="NN188" s="388">
        <f t="shared" si="630"/>
        <v>12.663915386018177</v>
      </c>
      <c r="NO188" s="388">
        <f t="shared" si="631"/>
        <v>0.58230433793308956</v>
      </c>
      <c r="NP188" s="388">
        <f t="shared" si="632"/>
        <v>13.574874462226507</v>
      </c>
      <c r="NQ188" s="388">
        <f t="shared" si="633"/>
        <v>0.58230433793308956</v>
      </c>
      <c r="NR188" s="388">
        <f t="shared" si="634"/>
        <v>13.698016347808272</v>
      </c>
      <c r="NS188" s="388">
        <f t="shared" si="635"/>
        <v>0.37147170142255137</v>
      </c>
      <c r="NT188" s="388">
        <f t="shared" si="636"/>
        <v>0.37147170142255137</v>
      </c>
      <c r="NU188" s="388">
        <f t="shared" si="637"/>
        <v>0.60069815663822124</v>
      </c>
      <c r="NV188" s="388">
        <f t="shared" si="638"/>
        <v>0.60069815663822124</v>
      </c>
      <c r="NW188">
        <f t="shared" si="639"/>
        <v>0.52552055168566125</v>
      </c>
      <c r="NX188">
        <f>各项系数!$M$9*NK188</f>
        <v>0.10681761747299037</v>
      </c>
      <c r="NY188">
        <f t="shared" si="640"/>
        <v>0.37147170142255137</v>
      </c>
    </row>
    <row r="189" spans="1:389" ht="15" hidden="1" customHeight="1">
      <c r="A189" s="69"/>
      <c r="B189" s="70"/>
      <c r="C189" s="69"/>
      <c r="D189" s="102" t="s">
        <v>218</v>
      </c>
      <c r="E189" s="61">
        <f t="shared" si="805"/>
        <v>16.27249604</v>
      </c>
      <c r="F189" s="62">
        <f t="shared" si="820"/>
        <v>172.412400708262</v>
      </c>
      <c r="G189" s="62"/>
      <c r="H189" s="16"/>
      <c r="I189" s="145">
        <v>0</v>
      </c>
      <c r="J189" s="16"/>
      <c r="K189" s="16"/>
      <c r="L189" s="97" t="s">
        <v>469</v>
      </c>
      <c r="M189" s="103">
        <f t="shared" si="582"/>
        <v>0.7</v>
      </c>
      <c r="N189" s="103">
        <f t="shared" si="804"/>
        <v>0</v>
      </c>
      <c r="O189" s="53">
        <f t="shared" si="825"/>
        <v>0.08</v>
      </c>
      <c r="P189" s="99">
        <v>0.1</v>
      </c>
      <c r="Q189" s="133">
        <f t="shared" si="823"/>
        <v>0.1</v>
      </c>
      <c r="R189" s="406">
        <v>0.8</v>
      </c>
      <c r="S189" s="142" t="str">
        <f>各项系数!$D$43</f>
        <v>钢带</v>
      </c>
      <c r="T189" s="102">
        <v>0.2</v>
      </c>
      <c r="U189" s="62">
        <v>4</v>
      </c>
      <c r="V189" s="143"/>
      <c r="W189" s="407">
        <v>1.8</v>
      </c>
      <c r="X189" s="135">
        <f t="shared" si="824"/>
        <v>0.2</v>
      </c>
      <c r="Y189" s="135"/>
      <c r="Z189" s="168"/>
      <c r="AA189" s="153">
        <v>1</v>
      </c>
      <c r="AB189" s="153">
        <f>PI()*EJ189*EJ189/4*EH189*(1-H189)*AA189*各项系数!$F$5*各项系数!$J$4*10^-7</f>
        <v>2.0651505688902914E-2</v>
      </c>
      <c r="AC189" s="153">
        <f t="shared" si="808"/>
        <v>172.412400708262</v>
      </c>
      <c r="AD189" s="153">
        <f t="shared" si="584"/>
        <v>2.3346774015073022</v>
      </c>
      <c r="AE189" s="153">
        <f>POWER(4*EU189/PI()/EG189/10^-7/EH189/(1-H189)/各项系数!$F$5/各项系数!$J$4,0.5)</f>
        <v>172.412400708262</v>
      </c>
      <c r="AF189" s="69">
        <v>1</v>
      </c>
      <c r="AG189" s="69">
        <f>IF(EM189=0,0,PI()*ER189*ER189/4*EP189*(1-K189)*(1+AF189)*各项系数!$F$5*各项系数!$J$4*10^-7)</f>
        <v>0</v>
      </c>
      <c r="AH189" s="69">
        <f t="shared" si="809"/>
        <v>0</v>
      </c>
      <c r="AI189" s="69">
        <f t="shared" si="641"/>
        <v>0</v>
      </c>
      <c r="AJ189" s="69">
        <f>IF(OR(EP189="",EP189=0),0,POWER(4*EW189/PI()/EO189/10^-7/EP189/(1-K189)/各项系数!$F$5/各项系数!$J$4,0.5))</f>
        <v>0</v>
      </c>
      <c r="AK189" s="69" t="str">
        <f t="shared" si="585"/>
        <v>√</v>
      </c>
      <c r="AL189" s="69">
        <f t="shared" si="810"/>
        <v>16.177776434088926</v>
      </c>
      <c r="AM189" s="188">
        <f t="shared" si="811"/>
        <v>2.5</v>
      </c>
      <c r="AN189" s="97" t="s">
        <v>486</v>
      </c>
      <c r="AO189" s="196">
        <f>AP189+各项系数!$M$9*$NK189</f>
        <v>15.860565131459731</v>
      </c>
      <c r="AP189" s="196">
        <f>AQ189*(1+$BI189+(VLOOKUP($AM189,$A$12:$B$323,2,0))+各项系数!$J$6+各项系数!$M$5)*(1+$E$2)</f>
        <v>15.727692469158407</v>
      </c>
      <c r="AQ189" s="197">
        <f>AR189+各项系数!$L$9*$NK189</f>
        <v>16.048665784855519</v>
      </c>
      <c r="AR189" s="197">
        <f>AS189*(1+$BJ189+各项系数!$J$5+各项系数!$L$5)</f>
        <v>15.915793122554197</v>
      </c>
      <c r="AS189" s="197">
        <f t="shared" si="642"/>
        <v>15.603718747602153</v>
      </c>
      <c r="AT189" s="196">
        <f>AU189+各项系数!$M$9*$NM189</f>
        <v>16.670477863326131</v>
      </c>
      <c r="AU189" s="196">
        <f>AV189*(1+$BI189+(VLOOKUP($AM189,$A$12:$B$323,2,0))+各项系数!$J$6+各项系数!$M$5)*(1+$E$2)</f>
        <v>16.537605201024807</v>
      </c>
      <c r="AV189" s="197">
        <f>AW189+各项系数!$L$9*$NM189</f>
        <v>16.875107347984496</v>
      </c>
      <c r="AW189" s="197">
        <f>AX189*(1+$BJ189+各项系数!$J$5+各项系数!$L$5)</f>
        <v>16.742234685683172</v>
      </c>
      <c r="AX189" s="197">
        <f t="shared" si="643"/>
        <v>16.413955574199189</v>
      </c>
      <c r="AY189" s="196">
        <f>AZ189+各项系数!$M$9*$NS189</f>
        <v>17.086278590122213</v>
      </c>
      <c r="AZ189" s="196">
        <f>BA189*(1+$BI189+(VLOOKUP($AM189,$A$12:$B$214,2,0))+各项系数!$J$6+各项系数!$M$5)*(1+$E$2)</f>
        <v>16.94806199460772</v>
      </c>
      <c r="BA189" s="197">
        <f>BB189+各项系数!$L$9*$NS189</f>
        <v>17.293940810824203</v>
      </c>
      <c r="BB189" s="197">
        <f>BC189*(1+$BJ189+各项系数!$J$5+各项系数!$L$5)</f>
        <v>17.155724215309711</v>
      </c>
      <c r="BC189" s="199">
        <f t="shared" si="644"/>
        <v>16.819337465989911</v>
      </c>
      <c r="BD189" s="196">
        <f>BE189+各项系数!$M$9*$NS189</f>
        <v>17.905145274143123</v>
      </c>
      <c r="BE189" s="196">
        <f>BF189*(1+$BI189+(VLOOKUP($AM189,$A$12:$B$214,2,0))+各项系数!$J$6+各项系数!$M$5)*(1+$E$2)</f>
        <v>17.766928678628631</v>
      </c>
      <c r="BF189" s="197">
        <f>BG189+各项系数!$L$9*$NS189</f>
        <v>18.129519059825135</v>
      </c>
      <c r="BG189" s="197">
        <f>BH189*(1+$BJ189+各项系数!$J$5+各项系数!$L$5)</f>
        <v>17.991302464310643</v>
      </c>
      <c r="BH189" s="199">
        <f t="shared" si="645"/>
        <v>17.638531827755532</v>
      </c>
      <c r="BI189" s="213"/>
      <c r="BJ189" s="208">
        <f t="shared" si="822"/>
        <v>0</v>
      </c>
      <c r="BK189" s="102" t="s">
        <v>514</v>
      </c>
      <c r="BL189" s="196">
        <f>BM189+各项系数!$M$9*$NM189</f>
        <v>16.134310116650308</v>
      </c>
      <c r="BM189" s="196">
        <f>BN189*(1+$CF189+(VLOOKUP($AM189,$A$12:$B$323,2,0))+各项系数!$J$6+各项系数!$M$5)*(1+$E$2)</f>
        <v>16.001437454348984</v>
      </c>
      <c r="BN189" s="197">
        <f>BO189+各项系数!$L$9*$NM189</f>
        <v>16.327997402396925</v>
      </c>
      <c r="BO189" s="197">
        <f>BP189*(1+$CG189+各项系数!$J$5+各项系数!$L$5)</f>
        <v>16.195124740095601</v>
      </c>
      <c r="BP189" s="197">
        <f t="shared" si="646"/>
        <v>15.72342207776272</v>
      </c>
      <c r="BQ189" s="196">
        <f>BR189+各项系数!$M$9*$NM189</f>
        <v>16.831334627953282</v>
      </c>
      <c r="BR189" s="196">
        <f>BS189*(1+$CF189+(VLOOKUP($AM189,$A$12:$B$323,2,0))+各项系数!$J$6+各项系数!$M$5)*(1+$E$2)</f>
        <v>16.698461965651958</v>
      </c>
      <c r="BS189" s="197">
        <f>BT189+各项系数!$L$9*$NM189</f>
        <v>17.03924690372649</v>
      </c>
      <c r="BT189" s="197">
        <f>BU189*(1+$CG189+各项系数!$J$5+各项系数!$L$5)</f>
        <v>16.906374241425166</v>
      </c>
      <c r="BU189" s="197">
        <f t="shared" si="647"/>
        <v>16.413955574199189</v>
      </c>
      <c r="BV189" s="196">
        <f>BW189+各项系数!$M$9*$NT189</f>
        <v>17.245918324503855</v>
      </c>
      <c r="BW189" s="196">
        <f>BX189*(1+$CF189+(VLOOKUP($AM189,$A$12:$B$214,2,0))+各项系数!$J$6+各项系数!$M$5)*(1+$E$2)</f>
        <v>17.107701728989362</v>
      </c>
      <c r="BX189" s="197">
        <f>BY189+各项系数!$L$9*$NT$12</f>
        <v>17.456838498968736</v>
      </c>
      <c r="BY189" s="197">
        <f>BZ189*(1+$CG189+各项系数!$J$5+各项系数!$L$5)</f>
        <v>17.448575095813762</v>
      </c>
      <c r="BZ189" s="199">
        <f t="shared" si="586"/>
        <v>16.940364170692973</v>
      </c>
      <c r="CA189" s="196">
        <f>CB189+各项系数!$M$9*$NT189</f>
        <v>17.950648757542801</v>
      </c>
      <c r="CB189" s="196">
        <f>CC189*(1+$CF189+(VLOOKUP($AM189,$A$12:$B$214,2,0))+各项系数!$J$6+各项系数!$M$5)*(1+$E$2)</f>
        <v>17.812432162028308</v>
      </c>
      <c r="CC189" s="197">
        <f>CD189+各项系数!$L$9*$NT$12</f>
        <v>18.175951185743173</v>
      </c>
      <c r="CD189" s="197">
        <f>CE189*(1+$CG189+各项系数!$J$5+各项系数!$L$5)</f>
        <v>18.167687782588199</v>
      </c>
      <c r="CE189" s="199">
        <f t="shared" si="648"/>
        <v>17.638531827755532</v>
      </c>
      <c r="CF189" s="213">
        <f t="shared" si="753"/>
        <v>0</v>
      </c>
      <c r="CG189" s="213">
        <f t="shared" si="587"/>
        <v>0.01</v>
      </c>
      <c r="CH189" s="102"/>
      <c r="CI189" s="196">
        <f>CJ189+各项系数!$M$9*$NO189</f>
        <v>17.486704200876783</v>
      </c>
      <c r="CJ189" s="196">
        <f>CK189*(1+$DC189+(VLOOKUP($AM189,$A$12:$B$323,2,0))+各项系数!$J$6+各项系数!$M$5)*(1+$E$2)+各项系数!$M$9*$NK189</f>
        <v>17.254294764074046</v>
      </c>
      <c r="CK189" s="197">
        <f>CL189+各项系数!$L$9*$NO189</f>
        <v>17.470838879359921</v>
      </c>
      <c r="CL189" s="197">
        <f>CM189*(1+$DD189+各项系数!$J$5+各项系数!$L$5)</f>
        <v>17.238429442557184</v>
      </c>
      <c r="CM189" s="197">
        <f t="shared" si="588"/>
        <v>16.900421022114887</v>
      </c>
      <c r="CN189" s="196">
        <f>CO189+各项系数!$M$9*$NO189</f>
        <v>18.092898773070818</v>
      </c>
      <c r="CO189" s="196">
        <f>CP189*(1+$DC189+(VLOOKUP($AM189,$A$12:$B$323,2,0))+各项系数!$J$6+各项系数!$M$5)*(1+$E$2)+各项系数!$M$9*$NK189</f>
        <v>17.860489336268081</v>
      </c>
      <c r="CP189" s="197">
        <f>CQ189+各项系数!$L$9*$NO189</f>
        <v>18.089404769353834</v>
      </c>
      <c r="CQ189" s="197">
        <f>CR189*(1+$DD189+各项系数!$J$5+各项系数!$L$5)</f>
        <v>17.856995332551097</v>
      </c>
      <c r="CR189" s="197">
        <f t="shared" si="589"/>
        <v>17.506858169167742</v>
      </c>
      <c r="CS189" s="196">
        <f>CT189+各项系数!$M$9*$NU189</f>
        <v>18.81381780526122</v>
      </c>
      <c r="CT189" s="196">
        <f t="shared" si="590"/>
        <v>18.575031896094082</v>
      </c>
      <c r="CU189" s="197">
        <f>CV189+各项系数!$L$9*$NU189</f>
        <v>18.954114179687839</v>
      </c>
      <c r="CV189" s="197">
        <f>CW189*(1+$DD189+各项系数!$J$5+各项系数!$L$5)</f>
        <v>18.7153282705207</v>
      </c>
      <c r="CW189" s="199">
        <f t="shared" si="591"/>
        <v>18.348361049530098</v>
      </c>
      <c r="CX189" s="196">
        <f>CY189+各项系数!$M$9*$NU189</f>
        <v>19.770575352461726</v>
      </c>
      <c r="CY189" s="196">
        <f t="shared" si="592"/>
        <v>19.531789443294588</v>
      </c>
      <c r="CZ189" s="197">
        <f>DA189+各项系数!$L$9*$NU189</f>
        <v>19.930397391116927</v>
      </c>
      <c r="DA189" s="197">
        <f>DB189*(1+$DD189+各项系数!$J$5+各项系数!$L$5)</f>
        <v>19.691611481949788</v>
      </c>
      <c r="DB189" s="199">
        <f t="shared" si="593"/>
        <v>19.305501452891949</v>
      </c>
      <c r="DC189" s="213">
        <f t="shared" ref="DC189:DC208" si="827">BI189+$DC$2</f>
        <v>0</v>
      </c>
      <c r="DD189" s="213">
        <f t="shared" si="594"/>
        <v>0</v>
      </c>
      <c r="DE189" s="53" t="s">
        <v>498</v>
      </c>
      <c r="DF189" s="53" t="s">
        <v>513</v>
      </c>
      <c r="DG189" s="196">
        <f>DH189+各项系数!$M$9*$NQ189</f>
        <v>17.793728408010775</v>
      </c>
      <c r="DH189" s="196">
        <f>DI189*(1+$EA189+(VLOOKUP($AM189,$A$12:$B$323,2,0))+各项系数!$J$6+各项系数!$M$5)*(1+$E$2)+各项系数!$M$9*$NK189</f>
        <v>17.561318971208038</v>
      </c>
      <c r="DI189" s="197">
        <f>DJ189+各项系数!$L$9*$NQ189</f>
        <v>17.784128886639504</v>
      </c>
      <c r="DJ189" s="197">
        <f>DK189*(1+$EB189+各项系数!$J$5+各项系数!$L$5)</f>
        <v>17.551719449836767</v>
      </c>
      <c r="DK189" s="197">
        <f t="shared" si="595"/>
        <v>17.040504320229871</v>
      </c>
      <c r="DL189" s="196">
        <f>DM189+各项系数!$M$9*$NQ189</f>
        <v>18.609424114047791</v>
      </c>
      <c r="DM189" s="196">
        <f>DN189*(1+$EA189+(VLOOKUP($AM189,$A$12:$B$323,2,0))+各项系数!$J$6+各项系数!$M$5)*(1+$E$2)+各项系数!$M$9*$NK189</f>
        <v>18.377014677245054</v>
      </c>
      <c r="DN189" s="197">
        <f>DO189+各项系数!$L$9*$NQ189</f>
        <v>18.616471443820132</v>
      </c>
      <c r="DO189" s="197">
        <f>DP189*(1+$EB189+各项系数!$J$5+各项系数!$L$5)</f>
        <v>18.384062007017395</v>
      </c>
      <c r="DP189" s="197">
        <f t="shared" si="596"/>
        <v>17.848603890308151</v>
      </c>
      <c r="DQ189" s="196">
        <f>DR189+各项系数!$M$9*$NV189</f>
        <v>19.136367638927076</v>
      </c>
      <c r="DR189" s="196">
        <f t="shared" si="597"/>
        <v>18.897581729759938</v>
      </c>
      <c r="DS189" s="197">
        <f>DT189+各项系数!$L$9*$NV189</f>
        <v>19.283246663020346</v>
      </c>
      <c r="DT189" s="197">
        <f>DU189*(1+$EB189+各项系数!$J$5+各项系数!$L$5)</f>
        <v>19.044460753853208</v>
      </c>
      <c r="DU189" s="199">
        <f t="shared" si="598"/>
        <v>18.48976772218758</v>
      </c>
      <c r="DV189" s="196">
        <f>DW189+各项系数!$M$9*$NV189</f>
        <v>19.114832096962044</v>
      </c>
      <c r="DW189" s="196">
        <f t="shared" si="599"/>
        <v>18.876046187794906</v>
      </c>
      <c r="DX189" s="197">
        <f>DY189+各项系数!$L$9*$NV189</f>
        <v>19.261271620198883</v>
      </c>
      <c r="DY189" s="197">
        <f>DZ189*(1+$EB189+各项系数!$J$5+各项系数!$L$5)</f>
        <v>19.022485711031745</v>
      </c>
      <c r="DZ189" s="199">
        <f t="shared" si="600"/>
        <v>18.468432729157033</v>
      </c>
      <c r="EA189" s="213">
        <f t="shared" si="826"/>
        <v>0</v>
      </c>
      <c r="EB189" s="213">
        <f t="shared" si="601"/>
        <v>0.01</v>
      </c>
      <c r="EC189" s="235">
        <f t="shared" si="649"/>
        <v>10</v>
      </c>
      <c r="ED189" s="235" t="str">
        <f t="shared" si="756"/>
        <v>10*2.5</v>
      </c>
      <c r="EE189" s="189">
        <f t="shared" si="812"/>
        <v>2.5</v>
      </c>
      <c r="EF189" s="189">
        <f>LOOKUP(EH189,{1,7,10,14,19,24,30,37,48,61},{1,"1+6","2+8","4+10","1+6+12","2+8+14","4+10+16","1+6+12+18","3+9+15+21","1+6+12+18+24"})</f>
        <v>1</v>
      </c>
      <c r="EG189" s="188">
        <f t="shared" si="602"/>
        <v>10</v>
      </c>
      <c r="EH189" s="197">
        <f>VLOOKUP(EE189,各项系数!$B$87:$C$124,2,0)</f>
        <v>1</v>
      </c>
      <c r="EI189" s="188">
        <f>IF(EH189=0,0,VLOOKUP(EH189,各项系数!$D$142:$E$195,2,0))*1</f>
        <v>1</v>
      </c>
      <c r="EJ189" s="238">
        <f t="shared" si="650"/>
        <v>172.412400708262</v>
      </c>
      <c r="EK189" s="189">
        <f t="shared" si="813"/>
        <v>0</v>
      </c>
      <c r="EL189" s="189">
        <f t="shared" si="603"/>
        <v>0</v>
      </c>
      <c r="EM189" s="189">
        <f t="shared" si="814"/>
        <v>0</v>
      </c>
      <c r="EN189" s="189">
        <f>IF(EP189=0,0,LOOKUP(EP189,{1,7,10,14,19,24,30,37,48,61},{1,"1+6","2+8","4+10","1+6+12","2+8+14","4+10+16","1+6+12+18","3+9+15+21","1+6+12+18+24"}))</f>
        <v>0</v>
      </c>
      <c r="EO189" s="189">
        <f t="shared" si="815"/>
        <v>0</v>
      </c>
      <c r="EP189" s="189">
        <f>IF(EM189=0,0,IF(EM189&lt;10,1,IF(AND(EM189&gt;=10,EM189&lt;=35),7,LOOKUP(EM189,{50,70,95,120,150,185,240,300},{10,14,19,24,30,37,48,61})*1)))</f>
        <v>0</v>
      </c>
      <c r="EQ189" s="189">
        <f>IF(EP189=0,0,VLOOKUP(EP189,各项系数!$D$142:$E$195,2,0))*1</f>
        <v>0</v>
      </c>
      <c r="ER189" s="53">
        <f t="shared" si="816"/>
        <v>0</v>
      </c>
      <c r="ES189" s="412">
        <f t="shared" si="817"/>
        <v>10</v>
      </c>
      <c r="ET189" s="189">
        <f>VLOOKUP(ES189,各项系数!$D$142:$E$195,2,0)*1</f>
        <v>4</v>
      </c>
      <c r="EU189" s="243">
        <f>((各项系数!$F$76/4*$EJ189^2*$EG189*$EH189*1*10^-7)*(1-$H189)*AA189)*(VLOOKUP($EY$9,各项系数!$D$4:$F$143,3,0))*各项系数!$J$4</f>
        <v>0.20651505688902916</v>
      </c>
      <c r="EV189" s="244">
        <f>EU189*(VLOOKUP($EY$9,各项系数!$D$4:$F$143,2,0))</f>
        <v>13.52673622623141</v>
      </c>
      <c r="EW189" s="252">
        <f>(IF($EO189=0,0,(各项系数!$F$76/4*$ER189^2*$EO189*$EP189*1*10^-7))*(1-$K189)*$AF189)*(VLOOKUP($EY$9,各项系数!$D$4:$F$143,3,0))*各项系数!$J$4</f>
        <v>0</v>
      </c>
      <c r="EX189" s="253">
        <f>EW189*(VLOOKUP($EY$9,各项系数!$D$4:$F$143,2,0))</f>
        <v>0</v>
      </c>
      <c r="EY189" s="189">
        <f>((各项系数!$F$76/4*$EJ189^2*$EG189*$EH189*1*10^-7)*(1-$H189)*AA189+IF($EO189=0,0,(各项系数!$F$76/4*$ER189^2*$EO189*$EP189*1*10^-7))*(1-$K189)*$AF189)*(VLOOKUP($EY$9,各项系数!$D$4:$F$143,3,0))*各项系数!$J$4</f>
        <v>0.20651505688902916</v>
      </c>
      <c r="EZ189" s="102">
        <v>1</v>
      </c>
      <c r="FA189" s="189">
        <f t="shared" si="757"/>
        <v>0.20651505688902916</v>
      </c>
      <c r="FB189" s="254">
        <f>FA189*(VLOOKUP($EY$9,各项系数!$D$4:$F$143,2,0))</f>
        <v>13.52673622623141</v>
      </c>
      <c r="FC189" s="255"/>
      <c r="FD189" s="235">
        <f>各项系数!$F$76/4*($MN189^2-MK189^2)*10^-2*(VLOOKUP(L189,各项系数!$D$1:$F$143,3,0))*10^-3*10^2*$EG189*各项系数!$J$4</f>
        <v>5.8346997403314602E-2</v>
      </c>
      <c r="FE189" s="262">
        <f>FD189*VLOOKUP(L189,各项系数!$D$1:$F$143,2,0)</f>
        <v>0.67099047013811797</v>
      </c>
      <c r="FF189" s="188">
        <f>各项系数!$F$76/4*($MO189^2-ML189^2)*10^-2*(VLOOKUP(L189,各项系数!$D$1:$F$143,3,0))*10^-3*10^2*$EO189*各项系数!$J$4</f>
        <v>0</v>
      </c>
      <c r="FG189" s="262">
        <f>FF189*VLOOKUP(L189,各项系数!$D$1:$F$143,2,0)</f>
        <v>0</v>
      </c>
      <c r="FH189" s="235">
        <f t="shared" si="651"/>
        <v>5.8346997403314602E-2</v>
      </c>
      <c r="FI189" s="102">
        <v>1</v>
      </c>
      <c r="FJ189" s="189">
        <f t="shared" si="758"/>
        <v>5.8346997403314602E-2</v>
      </c>
      <c r="FK189" s="262">
        <f>FJ189*VLOOKUP(L189,各项系数!$D$1:$F$143,2,0)</f>
        <v>0.67099047013811797</v>
      </c>
      <c r="FL189" s="235"/>
      <c r="FM189" s="102"/>
      <c r="FN189" s="189"/>
      <c r="FO189" s="262"/>
      <c r="FP189" s="282">
        <f t="shared" si="759"/>
        <v>5.8346997403314602E-2</v>
      </c>
      <c r="FQ189" s="282">
        <f t="shared" si="760"/>
        <v>0.67099047013811797</v>
      </c>
      <c r="FR189" s="283">
        <f>各项系数!$F$76/4*($MQ189^2-$MN189^2*$EG189-$MO189^2*$EO189)*10^-2</f>
        <v>0.45993627217517585</v>
      </c>
      <c r="FS189" s="284">
        <f t="shared" si="652"/>
        <v>1</v>
      </c>
      <c r="FT189" s="285">
        <f t="shared" si="604"/>
        <v>0.45993627217517585</v>
      </c>
      <c r="FU189" s="302">
        <f>$FT189*(VLOOKUP($FT$9,各项系数!$D$1:$F$143,3,0))*10^-3*10^2*各项系数!$J$55</f>
        <v>5.4916390897715994E-2</v>
      </c>
      <c r="FV189" s="303">
        <v>1</v>
      </c>
      <c r="FW189" s="304">
        <f t="shared" si="761"/>
        <v>5.4916390897715994E-2</v>
      </c>
      <c r="FX189" s="285">
        <f>FW189*(VLOOKUP($FT$9,各项系数!$D$1:$F$143,2,0))</f>
        <v>0.16474917269314798</v>
      </c>
      <c r="FY189" s="302">
        <f>IF($BK189&lt;&gt;$FY$9,0,各项系数!$F$76/4*($MS189^2-$MQ189^2)*10^-2*(VLOOKUP($FY$9,各项系数!$D$1:$F$143,3,0))*10^-3*10^2)*各项系数!$J$4</f>
        <v>0</v>
      </c>
      <c r="FZ189" s="303">
        <v>1</v>
      </c>
      <c r="GA189" s="304">
        <f t="shared" si="762"/>
        <v>0</v>
      </c>
      <c r="GB189" s="285">
        <f>GA189*(VLOOKUP($FY$9,各项系数!$D$1:$F$143,2,0))</f>
        <v>0</v>
      </c>
      <c r="GC189" s="302">
        <f>IF($BK189&lt;&gt;$GC$9,0,各项系数!$F$76/4*($MS189^2-$MQ189^2)*10^-2*(VLOOKUP($GC$9,各项系数!$D$1:$F$143,3,0))*10^-3*10^2)*各项系数!$J$4</f>
        <v>3.4270989871169337E-3</v>
      </c>
      <c r="GD189" s="303">
        <v>1</v>
      </c>
      <c r="GE189" s="304">
        <f t="shared" si="763"/>
        <v>3.4270989871169337E-3</v>
      </c>
      <c r="GF189" s="285">
        <f>GE189*(VLOOKUP($GC$9,各项系数!$D$1:$F$143,2,0))</f>
        <v>4.4209576933808448E-2</v>
      </c>
      <c r="GG189" s="302">
        <f>IF($BK189&lt;&gt;$GG$9,0,各项系数!$F$76/4*($MS189^2-$MQ189^2)*10^-2*(VLOOKUP($GG$9,各项系数!$D$1:$F$143,3,0))*10^-3*10^2)*各项系数!$J$4</f>
        <v>0</v>
      </c>
      <c r="GH189" s="303">
        <v>1</v>
      </c>
      <c r="GI189" s="304">
        <f t="shared" si="764"/>
        <v>0</v>
      </c>
      <c r="GJ189" s="285">
        <f>GI189*(VLOOKUP($GG$9,各项系数!$D$1:$F$143,2,0))</f>
        <v>0</v>
      </c>
      <c r="GK189" s="302">
        <f>IF($BK189&lt;&gt;$GK$9,0,各项系数!$F$76/4*($MS189^2-$MQ189^2)*10^-2*(VLOOKUP($GK$9,各项系数!$D$1:$F$143,3,0))*10^-3*10^2)*各项系数!$J$4</f>
        <v>0</v>
      </c>
      <c r="GL189" s="303">
        <v>1</v>
      </c>
      <c r="GM189" s="304">
        <f t="shared" si="765"/>
        <v>0</v>
      </c>
      <c r="GN189" s="285">
        <f>GM189*(VLOOKUP($GK$9,各项系数!$D$1:$F$143,2,0))</f>
        <v>0</v>
      </c>
      <c r="GO189" s="304">
        <f t="shared" si="766"/>
        <v>3.4270989871169337E-3</v>
      </c>
      <c r="GP189" s="304">
        <f t="shared" si="767"/>
        <v>4.4209576933808448E-2</v>
      </c>
      <c r="GQ189" s="315">
        <f>各项系数!$F$76/4*($MU189^2-$MS189^2)*10^-2*(VLOOKUP($S189,各项系数!$D$1:$F$143,3,0))*10^-3*10^2*各项系数!$J$4</f>
        <v>0.19466306687943852</v>
      </c>
      <c r="GR189" s="303">
        <v>1</v>
      </c>
      <c r="GS189" s="304">
        <f t="shared" si="768"/>
        <v>0.19466306687943852</v>
      </c>
      <c r="GT189" s="304">
        <f t="shared" si="696"/>
        <v>1</v>
      </c>
      <c r="GU189" s="304">
        <f>ROUND($GS189*(VLOOKUP($S189,各项系数!$D$1:$F$143,2,0))+$E$3*GS189,GT189)</f>
        <v>1.1000000000000001</v>
      </c>
      <c r="GV189" s="315">
        <f>各项系数!$F$76/4*($MT189^2-$MS189^2)*10^-2*(VLOOKUP($GV$9,各项系数!$D$1:$F$143,3,0))*10^-3*10^2*各项系数!$J$4*PI()/4*R189</f>
        <v>1.7813110710560173E-2</v>
      </c>
      <c r="GW189" s="303">
        <v>1</v>
      </c>
      <c r="GX189" s="304">
        <f t="shared" si="769"/>
        <v>1.7813110710560173E-2</v>
      </c>
      <c r="GY189" s="304">
        <f>$GX189*(VLOOKUP($GV$9,各项系数!$D$1:$F$143,2,0))</f>
        <v>1.2023849729628118</v>
      </c>
      <c r="GZ189" s="315">
        <f>各项系数!$F$76/4*($MV189^2-$MS189^2)*10^-2*(VLOOKUP($GZ$9,各项系数!$D$1:$F$143,3,0))*10^-3*10^2*各项系数!$J$4</f>
        <v>0.11807471342368857</v>
      </c>
      <c r="HA189" s="303">
        <v>1</v>
      </c>
      <c r="HB189" s="304">
        <f t="shared" si="653"/>
        <v>0.11807471342368857</v>
      </c>
      <c r="HC189" s="304">
        <f>HB189*(VLOOKUP($GZ$9,各项系数!$D$1:$F$143,2,0))</f>
        <v>2.0072701282027055</v>
      </c>
      <c r="HD189" s="315">
        <f>各项系数!$F$76/4*($MW189^2-$MT189^2)*10^-2*(VLOOKUP($HD$9,各项系数!$D$1:$F$143,3,0))*10^-3*10^2*各项系数!$J$4</f>
        <v>0.11938008287036696</v>
      </c>
      <c r="HE189" s="303">
        <v>1</v>
      </c>
      <c r="HF189" s="304">
        <f t="shared" si="654"/>
        <v>0.11938008287036696</v>
      </c>
      <c r="HG189" s="304">
        <f>HF189*(VLOOKUP($HD$9,各项系数!$D$1:$F$143,2,0))</f>
        <v>2.0294614087962382</v>
      </c>
      <c r="HH189" s="315">
        <f>各项系数!$F$76/4*($MV189^2-$MS189^2)*10^-2*(VLOOKUP($HH$9,各项系数!$D$1:$F$143,3,0))*10^-3*10^2*各项系数!$J$4</f>
        <v>0.11807471342368857</v>
      </c>
      <c r="HI189" s="322">
        <v>1</v>
      </c>
      <c r="HJ189" s="304">
        <f t="shared" si="655"/>
        <v>0.11807471342368857</v>
      </c>
      <c r="HK189" s="304">
        <f>HJ189*(VLOOKUP($HH$9,各项系数!$D$1:$F$143,2,0))</f>
        <v>2.0072701282027055</v>
      </c>
      <c r="HL189" s="315">
        <f>各项系数!$F$76/4*($MW189^2-$MT189^2)*10^-2*(VLOOKUP($HL$9,各项系数!$D$1:$F$143,3,0))*10^-3*10^2*各项系数!$J$4</f>
        <v>0.11938008287036696</v>
      </c>
      <c r="HM189" s="322">
        <v>1</v>
      </c>
      <c r="HN189" s="304">
        <f t="shared" si="605"/>
        <v>0.11938008287036696</v>
      </c>
      <c r="HO189" s="304">
        <f>HN189*(VLOOKUP($HL$9,各项系数!$D$1:$F$143,2,0))</f>
        <v>2.0294614087962382</v>
      </c>
      <c r="HP189" s="315">
        <f>各项系数!$F$76/4*($MV189^2-$MS189^2)*10^-2*(VLOOKUP(AN189,各项系数!$D$1:$F$143,3,0))*10^-3*10^2*各项系数!$J$4</f>
        <v>0.11970333016056703</v>
      </c>
      <c r="HQ189" s="303">
        <v>1</v>
      </c>
      <c r="HR189" s="304">
        <f t="shared" si="770"/>
        <v>0.11970333016056703</v>
      </c>
      <c r="HS189" s="304">
        <f>HR189*(VLOOKUP(AN189,各项系数!$D$1:$F$143,2,0))</f>
        <v>1.1970333016056702</v>
      </c>
      <c r="HT189" s="315">
        <f>各项系数!$F$76/4*($MW189^2-$MT189^2)*10^-2*(VLOOKUP(AN189,各项系数!$D$1:$F$143,3,0))*10^-3*10^2*各项系数!$J$4</f>
        <v>0.12102670470306166</v>
      </c>
      <c r="HU189" s="303">
        <v>1</v>
      </c>
      <c r="HV189" s="304">
        <f t="shared" si="771"/>
        <v>0.12102670470306166</v>
      </c>
      <c r="HW189" s="304">
        <f>HV189*(VLOOKUP(AN189,各项系数!$D$1:$F$143,2,0))</f>
        <v>1.2102670470306167</v>
      </c>
      <c r="HX189" s="315">
        <f>各项系数!$F$76/4*($MV189^2-$MS189^2)*10^-2*(VLOOKUP($HX$9,各项系数!$D$1:$F$143,3,0))*10^-3*10^2*各项系数!$J$4</f>
        <v>0.11970333016056703</v>
      </c>
      <c r="HY189" s="322">
        <v>1</v>
      </c>
      <c r="HZ189" s="304">
        <f t="shared" si="772"/>
        <v>0.11970333016056703</v>
      </c>
      <c r="IA189" s="304">
        <f>HZ189*(VLOOKUP($HX$9,各项系数!$D$1:$F$143,2,0))</f>
        <v>1.3167366317662372</v>
      </c>
      <c r="IB189" s="315">
        <f>各项系数!$F$76/4*($MW189^2-$MT189^2)*10^-2*(VLOOKUP($IB$9,各项系数!$D$1:$F$143,3,0))*10^-3*10^2*各项系数!$J$4</f>
        <v>0.12102670470306166</v>
      </c>
      <c r="IC189" s="322">
        <v>1</v>
      </c>
      <c r="ID189" s="304">
        <f t="shared" si="773"/>
        <v>0.12102670470306166</v>
      </c>
      <c r="IE189" s="304">
        <f>ID189*(VLOOKUP($IB$9,各项系数!$D$1:$F$143,2,0))</f>
        <v>1.3312937517336783</v>
      </c>
      <c r="IF189" s="328"/>
      <c r="IG189" s="315">
        <f t="shared" si="656"/>
        <v>2.8472302143773387E-2</v>
      </c>
      <c r="IH189" s="303">
        <v>1</v>
      </c>
      <c r="II189" s="304">
        <f t="shared" si="774"/>
        <v>2.8472302143773387E-2</v>
      </c>
      <c r="IJ189" s="304">
        <f>II189*(VLOOKUP($IG$8,各项系数!$D$1:$F$143,2,0))</f>
        <v>0.71180755359433467</v>
      </c>
      <c r="IK189" s="315">
        <f>(各项系数!$F$76/4*($MX189^2-$MK189^2)*$EG189)*10^-2*(VLOOKUP($IG$8,各项系数!$D$1:$F$143,3,0))*10^-3*10^2*各项系数!$J$4</f>
        <v>2.8472302143773387E-2</v>
      </c>
      <c r="IL189" s="303">
        <f>IK189*(VLOOKUP($IG$8,各项系数!$D$1:$F$143,2,0))</f>
        <v>0.71180755359433467</v>
      </c>
      <c r="IM189" s="304">
        <f>(各项系数!$F$76/4*(($MM189+3*$X189)^2-MM189^2)*$EO189)*10^-2*(VLOOKUP($IG$8,各项系数!$D$1:$F$143,3,0))*10^-3*10^2*各项系数!$J$4</f>
        <v>0</v>
      </c>
      <c r="IN189" s="303">
        <f>IM189*(VLOOKUP($IG$8,各项系数!$D$1:$F$143,2,0))</f>
        <v>0</v>
      </c>
      <c r="IO189" s="315">
        <f>各项系数!$F$76/4*($MZ189^2-$MX189^2)*10^-2*(VLOOKUP(L189,各项系数!$D$1:$F$143,3,0))*10^-3*10^2*$ES189*各项系数!$J$4</f>
        <v>7.278858467260152E-2</v>
      </c>
      <c r="IP189" s="303">
        <v>1</v>
      </c>
      <c r="IQ189" s="304">
        <f t="shared" si="775"/>
        <v>7.278858467260152E-2</v>
      </c>
      <c r="IR189" s="285">
        <f>IQ189*(VLOOKUP(L189,各项系数!$D$1:$F$143,2,0))</f>
        <v>0.83706872373491747</v>
      </c>
      <c r="IS189" s="315">
        <f>IF($L189&lt;&gt;$IS$9,0,各项系数!$F$76/4*($MZ189^2-$MX189^2)*10^-2*各项系数!$F$12*10^-3*10^2)*$ES189*各项系数!$J$4</f>
        <v>0</v>
      </c>
      <c r="IT189" s="303">
        <v>1</v>
      </c>
      <c r="IU189" s="304">
        <f t="shared" si="776"/>
        <v>0</v>
      </c>
      <c r="IV189" s="285">
        <f>IU189*各项系数!$E$12</f>
        <v>0</v>
      </c>
      <c r="IW189" s="302">
        <f t="shared" si="777"/>
        <v>7.278858467260152E-2</v>
      </c>
      <c r="IX189" s="302">
        <f t="shared" si="778"/>
        <v>0.83706872373491747</v>
      </c>
      <c r="IY189" s="339">
        <f>各项系数!$F$76/4*($NB189^2-$MZ189^2*$EG189-$NA189^2*$EO189)*10^-2</f>
        <v>0.65356592320151163</v>
      </c>
      <c r="IZ189" s="284">
        <f t="shared" si="697"/>
        <v>1</v>
      </c>
      <c r="JA189" s="285">
        <f t="shared" si="606"/>
        <v>0.65356592320151163</v>
      </c>
      <c r="JB189" s="282">
        <f>IF($DE189&lt;&gt;$JB$9,0,$JA189*各项系数!$F$32*10^-3*10^2)*各项系数!$J$4</f>
        <v>0</v>
      </c>
      <c r="JC189" s="102">
        <v>1</v>
      </c>
      <c r="JD189" s="189">
        <f t="shared" si="779"/>
        <v>0</v>
      </c>
      <c r="JE189" s="262">
        <f>JD189*各项系数!$E$32</f>
        <v>0</v>
      </c>
      <c r="JF189" s="282">
        <f>IF($DE189&lt;&gt;$JF$9,0,$JA189*VLOOKUP($JF$9,各项系数!$D$4:$F$540,2,0)*10^-3*10^2)*各项系数!$J$4</f>
        <v>0.32514904679275203</v>
      </c>
      <c r="JG189" s="102">
        <v>1</v>
      </c>
      <c r="JH189" s="189">
        <f t="shared" si="607"/>
        <v>0.32514904679275203</v>
      </c>
      <c r="JI189" s="262">
        <f>JH189*VLOOKUP($JF$9,各项系数!$D$4:$F$540,3,0)</f>
        <v>0.39017885615130243</v>
      </c>
      <c r="JJ189" s="282">
        <f t="shared" si="780"/>
        <v>0.32514904679275203</v>
      </c>
      <c r="JK189" s="189">
        <f t="shared" si="781"/>
        <v>0.39017885615130243</v>
      </c>
      <c r="JL189" s="282">
        <f>IF($DF189&lt;&gt;$JL$9,0,各项系数!$F$76/4*($NE189^2-$NC189^2)*10^-2*各项系数!$F$39*10^-3*10^2)*各项系数!$J$4</f>
        <v>1.6898340626537289E-3</v>
      </c>
      <c r="JM189" s="102">
        <v>1</v>
      </c>
      <c r="JN189" s="189">
        <f t="shared" si="782"/>
        <v>1.6898340626537289E-3</v>
      </c>
      <c r="JO189" s="262">
        <f>JN189*各项系数!$E$39</f>
        <v>3.3796681253074577E-2</v>
      </c>
      <c r="JP189" s="282">
        <f>IF($DF189&lt;&gt;$JP$9,0,各项系数!$F$76/4*($NE189^2-$NC189^2)*10^-2*各项系数!$F$36*10^-3*10^2)*各项系数!$J$4</f>
        <v>0</v>
      </c>
      <c r="JQ189" s="102">
        <v>1</v>
      </c>
      <c r="JR189" s="189">
        <f t="shared" si="783"/>
        <v>0</v>
      </c>
      <c r="JS189" s="262">
        <f>JR189*各项系数!$E$36</f>
        <v>0</v>
      </c>
      <c r="JT189" s="282">
        <f>IF($DF189&lt;&gt;$JT$9,0,各项系数!$F$76/4*($NE189^2-$NC189^2)*10^-2*各项系数!$F$40*10^-3*10^2)*各项系数!$J$4</f>
        <v>0</v>
      </c>
      <c r="JU189" s="102">
        <v>1</v>
      </c>
      <c r="JV189" s="189">
        <f t="shared" si="784"/>
        <v>0</v>
      </c>
      <c r="JW189" s="262">
        <f>JV189*各项系数!$E$40</f>
        <v>0</v>
      </c>
      <c r="JX189" s="282">
        <f>IF($DF189&lt;&gt;$JX$9,0,各项系数!$F$76/4*($NE189^2-$NC189^2)*10^-2*各项系数!$F$38*10^-3*10^2)*各项系数!$J$4</f>
        <v>0</v>
      </c>
      <c r="JY189" s="102">
        <v>1</v>
      </c>
      <c r="JZ189" s="189">
        <f t="shared" si="785"/>
        <v>0</v>
      </c>
      <c r="KA189" s="262">
        <f>JZ189*各项系数!$E$38</f>
        <v>0</v>
      </c>
      <c r="KB189" s="282">
        <f>IF($DF189&lt;&gt;$KB$9,0,各项系数!$F$76/4*($NE189^2-$NC189^2)*10^-2*各项系数!$F$41*10^-3*10^2)*各项系数!$J$4</f>
        <v>0</v>
      </c>
      <c r="KC189" s="102">
        <v>1</v>
      </c>
      <c r="KD189" s="189">
        <f t="shared" si="786"/>
        <v>0</v>
      </c>
      <c r="KE189" s="262">
        <f>KD189*各项系数!$E$41</f>
        <v>0</v>
      </c>
      <c r="KF189" s="189">
        <f t="shared" si="787"/>
        <v>1.6898340626537289E-3</v>
      </c>
      <c r="KG189" s="189">
        <f t="shared" si="788"/>
        <v>3.3796681253074577E-2</v>
      </c>
      <c r="KH189" s="235">
        <f>各项系数!$F$76/4*($NG189^2-$NE189^2)*10^-2*各项系数!$F$44*10^-3*10^2*各项系数!$J$4*0.75*$U189</f>
        <v>0.69240508458630523</v>
      </c>
      <c r="KI189" s="102">
        <v>1</v>
      </c>
      <c r="KJ189" s="189">
        <f t="shared" si="789"/>
        <v>0.69240508458630523</v>
      </c>
      <c r="KK189" s="189">
        <f>ROUND(KJ189*各项系数!$E$43,GT189)</f>
        <v>4</v>
      </c>
      <c r="KL189" s="235">
        <f>各项系数!$F$76/4*($NF189^2-$NE189^2)*10^-2*各项系数!$F$46*10^-3*10^2*各项系数!$J$4*PI()/4*R189</f>
        <v>2.1254907881337264E-2</v>
      </c>
      <c r="KM189" s="102">
        <v>1</v>
      </c>
      <c r="KN189" s="189">
        <f t="shared" si="790"/>
        <v>2.1254907881337264E-2</v>
      </c>
      <c r="KO189" s="189">
        <f>KN189*各项系数!$E$46</f>
        <v>1.4347062819902654</v>
      </c>
      <c r="KP189" s="235">
        <f>各项系数!$F$76/4*($NH189^2-$NE189^2)*10^-2*(VLOOKUP($KP$9,各项系数!$D$1:$F$143,3,0))*10^-3*10^2*各项系数!$J$4</f>
        <v>0.138177402902536</v>
      </c>
      <c r="KQ189" s="102">
        <v>1</v>
      </c>
      <c r="KR189" s="189">
        <f t="shared" si="657"/>
        <v>0.138177402902536</v>
      </c>
      <c r="KS189" s="189">
        <f>KR189*(VLOOKUP($KP$9,各项系数!$D$1:$F$143,2,0))</f>
        <v>2.3490158493431119</v>
      </c>
      <c r="KT189" s="235">
        <f>各项系数!$F$76/4*($NI189^2-$NF189^2)*10^-2*(VLOOKUP($KT$9,各项系数!$D$1:$F$143,3,0))*10^-3*10^2*各项系数!$J$4</f>
        <v>0.13948277234921441</v>
      </c>
      <c r="KU189" s="102">
        <v>1</v>
      </c>
      <c r="KV189" s="189">
        <f t="shared" si="658"/>
        <v>0.13948277234921441</v>
      </c>
      <c r="KW189" s="189">
        <f>KV189*(VLOOKUP($KT$9,各项系数!$D$1:$F$143,2,0))</f>
        <v>2.3712071299366451</v>
      </c>
      <c r="KX189" s="189">
        <f>各项系数!$F$76/4*($NH189^2-$NE189^2)*10^-2*(VLOOKUP($KX$9,各项系数!$D$1:$F$143,3,0))*10^-3*10^2*各项系数!$J$4</f>
        <v>0.138177402902536</v>
      </c>
      <c r="KY189" s="353">
        <v>1</v>
      </c>
      <c r="KZ189" s="189">
        <f t="shared" si="659"/>
        <v>0.138177402902536</v>
      </c>
      <c r="LA189" s="189">
        <f>KZ189*(VLOOKUP($KX$9,各项系数!$D$1:$F$143,2,0))</f>
        <v>2.3490158493431119</v>
      </c>
      <c r="LB189" s="189">
        <f>各项系数!$F$76/4*($NI189^2-$NF189^2)*10^-2*(VLOOKUP($LB$9,各项系数!$D$1:$F$143,3,0))*10^-3*10^2*各项系数!$J$4</f>
        <v>0.13948277234921441</v>
      </c>
      <c r="LC189" s="353">
        <v>1</v>
      </c>
      <c r="LD189" s="189">
        <f t="shared" si="660"/>
        <v>0.13948277234921441</v>
      </c>
      <c r="LE189" s="189">
        <f>LD189*(VLOOKUP($LB$9,各项系数!$D$1:$F$143,2,0))</f>
        <v>2.3712071299366451</v>
      </c>
      <c r="LF189" s="235">
        <f>各项系数!$F$76/4*($NH189^2-$NE189^2)*10^-2*(VLOOKUP(AN189,各项系数!$D$1:$F$143,3,0))*10^-3*10^2*各项系数!$J$4</f>
        <v>0.14008329811498477</v>
      </c>
      <c r="LG189" s="102">
        <v>1</v>
      </c>
      <c r="LH189" s="189">
        <f t="shared" si="791"/>
        <v>0.14008329811498477</v>
      </c>
      <c r="LI189" s="189">
        <f>LH189*(VLOOKUP(AN189,各项系数!$D$1:$F$143,2,0))</f>
        <v>1.4008329811498477</v>
      </c>
      <c r="LJ189" s="235">
        <f>各项系数!$F$76/4*($NI189^2-$NF189^2)*10^-2*(VLOOKUP(AN189,各项系数!$D$1:$F$143,3,0))*10^-3*10^2*各项系数!$J$4</f>
        <v>0.14140667265747944</v>
      </c>
      <c r="LK189" s="102">
        <v>1</v>
      </c>
      <c r="LL189" s="189">
        <f t="shared" si="792"/>
        <v>0.14140667265747944</v>
      </c>
      <c r="LM189" s="189">
        <f>LL189*(VLOOKUP(AN189,各项系数!$D$1:$F$143,2,0))</f>
        <v>1.4140667265747944</v>
      </c>
      <c r="LN189" s="189">
        <f>各项系数!$F$76/4*($NH189^2-$NE189^2)*10^-2*(VLOOKUP($LN$9,各项系数!$D$1:$F$143,3,0))*10^-3*10^2*各项系数!$J$4</f>
        <v>0.14008329811498477</v>
      </c>
      <c r="LO189" s="353">
        <v>1</v>
      </c>
      <c r="LP189" s="189">
        <f t="shared" si="793"/>
        <v>0.14008329811498477</v>
      </c>
      <c r="LQ189" s="189">
        <f>LP189*(VLOOKUP($LN$9,各项系数!$D$1:$F$143,2,0))</f>
        <v>1.5409162792648323</v>
      </c>
      <c r="LR189" s="189">
        <f>各项系数!$F$76/4*($NI189^2-$NF189^2)*10^-2*(VLOOKUP($LR$9,各项系数!$D$1:$F$143,3,0))*10^-3*10^2*各项系数!$J$4</f>
        <v>0.14140667265747944</v>
      </c>
      <c r="LS189" s="353">
        <v>1</v>
      </c>
      <c r="LT189" s="189">
        <f t="shared" si="794"/>
        <v>0.14140667265747944</v>
      </c>
      <c r="LU189" s="189">
        <f>LT189*(VLOOKUP($LR$9,各项系数!$D$1:$F$143,2,0))</f>
        <v>1.5554733992322738</v>
      </c>
      <c r="LV189" s="227">
        <f t="shared" si="661"/>
        <v>23.34677409</v>
      </c>
      <c r="LW189" s="227">
        <f t="shared" si="662"/>
        <v>23.34677409</v>
      </c>
      <c r="LX189" s="227">
        <f t="shared" si="663"/>
        <v>5.4521588397061853</v>
      </c>
      <c r="LY189" s="227">
        <f t="shared" si="664"/>
        <v>0</v>
      </c>
      <c r="LZ189" s="374">
        <f t="shared" si="608"/>
        <v>1</v>
      </c>
      <c r="MA189" s="375">
        <f t="shared" si="609"/>
        <v>23.34677409</v>
      </c>
      <c r="MB189" s="375">
        <f t="shared" si="665"/>
        <v>1.7241240099999999</v>
      </c>
      <c r="MC189" s="227">
        <f t="shared" si="666"/>
        <v>0</v>
      </c>
      <c r="MD189" s="227">
        <f t="shared" si="667"/>
        <v>0</v>
      </c>
      <c r="ME189" s="227">
        <f t="shared" si="668"/>
        <v>0</v>
      </c>
      <c r="MF189" s="227">
        <f t="shared" si="669"/>
        <v>0</v>
      </c>
      <c r="MG189" s="374">
        <f t="shared" si="670"/>
        <v>1</v>
      </c>
      <c r="MH189" s="375">
        <f t="shared" si="610"/>
        <v>0</v>
      </c>
      <c r="MI189" s="375">
        <f t="shared" si="671"/>
        <v>0</v>
      </c>
      <c r="MJ189" s="189">
        <f t="shared" si="611"/>
        <v>1.7241240099999999</v>
      </c>
      <c r="MK189" s="189">
        <f t="shared" si="672"/>
        <v>1.7241240099999999</v>
      </c>
      <c r="ML189" s="189">
        <f t="shared" si="795"/>
        <v>0</v>
      </c>
      <c r="MM189" s="189">
        <f t="shared" si="612"/>
        <v>0</v>
      </c>
      <c r="MN189" s="189">
        <f t="shared" si="613"/>
        <v>3.1241240100000001</v>
      </c>
      <c r="MO189" s="189">
        <f t="shared" si="673"/>
        <v>0</v>
      </c>
      <c r="MP189" s="189">
        <f t="shared" si="674"/>
        <v>12.49649604</v>
      </c>
      <c r="MQ189" s="189">
        <f t="shared" si="796"/>
        <v>12.49649604</v>
      </c>
      <c r="MR189" s="246">
        <f t="shared" si="675"/>
        <v>12.49649604</v>
      </c>
      <c r="MS189" s="380">
        <f t="shared" si="614"/>
        <v>12.67249604</v>
      </c>
      <c r="MT189" s="380">
        <f t="shared" si="615"/>
        <v>12.832496040000001</v>
      </c>
      <c r="MU189" s="380">
        <f t="shared" si="616"/>
        <v>13.872496040000001</v>
      </c>
      <c r="MV189" s="380">
        <f t="shared" si="617"/>
        <v>16.27249604</v>
      </c>
      <c r="MW189" s="380">
        <f t="shared" si="618"/>
        <v>16.43249604</v>
      </c>
      <c r="MX189" s="254">
        <f t="shared" si="619"/>
        <v>2.3241240100000002</v>
      </c>
      <c r="MY189" s="254">
        <f t="shared" si="620"/>
        <v>0</v>
      </c>
      <c r="MZ189" s="189">
        <f t="shared" si="621"/>
        <v>3.7241240100000002</v>
      </c>
      <c r="NA189" s="189">
        <f t="shared" si="622"/>
        <v>0</v>
      </c>
      <c r="NB189" s="189">
        <f t="shared" si="676"/>
        <v>14.896496040000001</v>
      </c>
      <c r="NC189" s="254">
        <f t="shared" si="797"/>
        <v>14.896496040000001</v>
      </c>
      <c r="ND189" s="246">
        <f t="shared" si="677"/>
        <v>14.896496040000001</v>
      </c>
      <c r="NE189" s="386">
        <f t="shared" si="678"/>
        <v>15.136496040000001</v>
      </c>
      <c r="NF189" s="380">
        <f t="shared" si="623"/>
        <v>15.296496040000001</v>
      </c>
      <c r="NG189" s="387">
        <f t="shared" si="624"/>
        <v>16.33649604</v>
      </c>
      <c r="NH189" s="254">
        <f t="shared" si="625"/>
        <v>18.736496040000002</v>
      </c>
      <c r="NI189" s="380">
        <f t="shared" si="626"/>
        <v>18.896496040000002</v>
      </c>
      <c r="NK189" s="388">
        <f t="shared" si="627"/>
        <v>0.44290887433774373</v>
      </c>
      <c r="NL189" s="388">
        <f t="shared" si="628"/>
        <v>15.603718747602153</v>
      </c>
      <c r="NM189" s="388">
        <f t="shared" si="629"/>
        <v>0.44290887433774373</v>
      </c>
      <c r="NN189" s="388">
        <f t="shared" si="630"/>
        <v>15.72342207776272</v>
      </c>
      <c r="NO189" s="388">
        <f t="shared" si="631"/>
        <v>0.77469812267579463</v>
      </c>
      <c r="NP189" s="388">
        <f t="shared" si="632"/>
        <v>16.900421022114887</v>
      </c>
      <c r="NQ189" s="388">
        <f t="shared" si="633"/>
        <v>0.77469812267579463</v>
      </c>
      <c r="NR189" s="388">
        <f t="shared" si="634"/>
        <v>17.040504320229871</v>
      </c>
      <c r="NS189" s="388">
        <f t="shared" si="635"/>
        <v>0.46072198504830392</v>
      </c>
      <c r="NT189" s="388">
        <f t="shared" si="636"/>
        <v>0.46072198504830392</v>
      </c>
      <c r="NU189" s="388">
        <f t="shared" si="637"/>
        <v>0.79595303055713185</v>
      </c>
      <c r="NV189" s="388">
        <f t="shared" si="638"/>
        <v>0.79595303055713185</v>
      </c>
      <c r="NW189">
        <f t="shared" si="639"/>
        <v>0.6375719412171823</v>
      </c>
      <c r="NX189">
        <f>各项系数!$M$9*NK189</f>
        <v>0.13287266230132311</v>
      </c>
      <c r="NY189">
        <f t="shared" si="640"/>
        <v>0.46072198504830386</v>
      </c>
    </row>
    <row r="190" spans="1:389" ht="15" hidden="1" customHeight="1">
      <c r="A190" s="69"/>
      <c r="B190" s="70"/>
      <c r="C190" s="69"/>
      <c r="D190" s="102" t="s">
        <v>228</v>
      </c>
      <c r="E190" s="61">
        <f t="shared" si="805"/>
        <v>16.772355879999999</v>
      </c>
      <c r="F190" s="62">
        <f t="shared" si="820"/>
        <v>172.412400708262</v>
      </c>
      <c r="G190" s="16"/>
      <c r="H190" s="16"/>
      <c r="I190" s="145">
        <v>0</v>
      </c>
      <c r="J190" s="16"/>
      <c r="K190" s="16"/>
      <c r="L190" s="97" t="s">
        <v>469</v>
      </c>
      <c r="M190" s="103">
        <f t="shared" si="582"/>
        <v>0.7</v>
      </c>
      <c r="N190" s="103">
        <f t="shared" si="804"/>
        <v>0</v>
      </c>
      <c r="O190" s="53">
        <f t="shared" si="825"/>
        <v>0.08</v>
      </c>
      <c r="P190" s="99">
        <v>0.1</v>
      </c>
      <c r="Q190" s="133">
        <f t="shared" si="823"/>
        <v>0.1</v>
      </c>
      <c r="R190" s="406">
        <v>0.8</v>
      </c>
      <c r="S190" s="142" t="str">
        <f>各项系数!$D$43</f>
        <v>钢带</v>
      </c>
      <c r="T190" s="102">
        <v>0.2</v>
      </c>
      <c r="U190" s="62">
        <v>4</v>
      </c>
      <c r="V190" s="143"/>
      <c r="W190" s="141">
        <f t="shared" ref="W190:W196" si="828">$W$189</f>
        <v>1.8</v>
      </c>
      <c r="X190" s="135">
        <f t="shared" si="824"/>
        <v>0.2</v>
      </c>
      <c r="Y190" s="135"/>
      <c r="Z190" s="168"/>
      <c r="AA190" s="153">
        <v>1</v>
      </c>
      <c r="AB190" s="153">
        <f>PI()*EJ190*EJ190/4*EH190*(1-H190)*AA190*各项系数!$F$5*各项系数!$J$4*10^-7</f>
        <v>2.0651505688902914E-2</v>
      </c>
      <c r="AC190" s="153">
        <f t="shared" si="808"/>
        <v>172.412400708262</v>
      </c>
      <c r="AD190" s="153">
        <f t="shared" si="584"/>
        <v>2.3346774015073022</v>
      </c>
      <c r="AE190" s="153">
        <f>POWER(4*EU190/PI()/EG190/10^-7/EH190/(1-H190)/各项系数!$F$5/各项系数!$J$4,0.5)</f>
        <v>172.412400708262</v>
      </c>
      <c r="AF190" s="69">
        <v>1</v>
      </c>
      <c r="AG190" s="69">
        <f>IF(EM190=0,0,PI()*ER190*ER190/4*EP190*(1-K190)*(1+AF190)*各项系数!$F$5*各项系数!$J$4*10^-7)</f>
        <v>0</v>
      </c>
      <c r="AH190" s="69">
        <f t="shared" si="809"/>
        <v>0</v>
      </c>
      <c r="AI190" s="69">
        <f t="shared" si="641"/>
        <v>0</v>
      </c>
      <c r="AJ190" s="69">
        <f>IF(OR(EP190="",EP190=0),0,POWER(4*EW190/PI()/EO190/10^-7/EP190/(1-K190)/各项系数!$F$5/各项系数!$J$4,0.5))</f>
        <v>0</v>
      </c>
      <c r="AK190" s="69" t="str">
        <f t="shared" si="585"/>
        <v>√</v>
      </c>
      <c r="AL190" s="69">
        <f t="shared" si="810"/>
        <v>19.12828948263104</v>
      </c>
      <c r="AM190" s="188">
        <f t="shared" si="811"/>
        <v>2.5</v>
      </c>
      <c r="AN190" s="97" t="s">
        <v>486</v>
      </c>
      <c r="AO190" s="196">
        <f>AP190+各项系数!$M$9*$NK190</f>
        <v>18.753224982971606</v>
      </c>
      <c r="AP190" s="196">
        <f>AQ190*(1+$BI190+(VLOOKUP($AM190,$A$12:$B$323,2,0))+各项系数!$J$6+各项系数!$M$5)*(1+$E$2)</f>
        <v>18.605086141055327</v>
      </c>
      <c r="AQ190" s="197">
        <f>AR190+各项系数!$L$9*$NK190</f>
        <v>18.98478177658707</v>
      </c>
      <c r="AR190" s="197">
        <f>AS190*(1+$BJ190+各项系数!$J$5+各项系数!$L$5)</f>
        <v>18.836642934670792</v>
      </c>
      <c r="AS190" s="197">
        <f t="shared" si="642"/>
        <v>18.467296994775285</v>
      </c>
      <c r="AT190" s="196">
        <f>AU190+各项系数!$M$9*$NM190</f>
        <v>19.591110971658786</v>
      </c>
      <c r="AU190" s="196">
        <f>AV190*(1+$BI190+(VLOOKUP($AM190,$A$12:$B$323,2,0))+各项系数!$J$6+各项系数!$M$5)*(1+$E$2)</f>
        <v>19.442972129742508</v>
      </c>
      <c r="AV190" s="197">
        <f>AW190+各项系数!$L$9*$NM190</f>
        <v>19.83976747932909</v>
      </c>
      <c r="AW190" s="197">
        <f>AX190*(1+$BJ190+各项系数!$J$5+各项系数!$L$5)</f>
        <v>19.691628637412812</v>
      </c>
      <c r="AX190" s="197">
        <f t="shared" si="643"/>
        <v>19.305518271973344</v>
      </c>
      <c r="AY190" s="196">
        <f>AZ190+各项系数!$M$9*$NS190</f>
        <v>20.026464240471288</v>
      </c>
      <c r="AZ190" s="196">
        <f>BA190*(1+$BI190+(VLOOKUP($AM190,$A$12:$B$214,2,0))+各项系数!$J$6+各项系数!$M$5)*(1+$E$2)</f>
        <v>19.872771999085781</v>
      </c>
      <c r="BA190" s="197">
        <f>BB190+各项系数!$L$9*$NS190</f>
        <v>20.278338774577328</v>
      </c>
      <c r="BB190" s="197">
        <f>BC190*(1+$BJ190+各项系数!$J$5+各项系数!$L$5)</f>
        <v>20.124646533191822</v>
      </c>
      <c r="BC190" s="199">
        <f t="shared" si="644"/>
        <v>19.730045620776295</v>
      </c>
      <c r="BD190" s="196">
        <f>BE190+各项系数!$M$9*$NS190</f>
        <v>20.873304181312982</v>
      </c>
      <c r="BE190" s="196">
        <f>BF190*(1+$BI190+(VLOOKUP($AM190,$A$12:$B$214,2,0))+各项系数!$J$6+各项系数!$M$5)*(1+$E$2)</f>
        <v>20.719611939927475</v>
      </c>
      <c r="BF190" s="197">
        <f>BG190+各项系数!$L$9*$NS190</f>
        <v>21.142461163191303</v>
      </c>
      <c r="BG190" s="197">
        <f>BH190*(1+$BJ190+各项系数!$J$5+各项系数!$L$5)</f>
        <v>20.988768921805796</v>
      </c>
      <c r="BH190" s="199">
        <f t="shared" si="645"/>
        <v>20.577224433142938</v>
      </c>
      <c r="BI190" s="213"/>
      <c r="BJ190" s="208">
        <f t="shared" si="822"/>
        <v>0</v>
      </c>
      <c r="BK190" s="102" t="s">
        <v>514</v>
      </c>
      <c r="BL190" s="196">
        <f>BM190+各项系数!$M$9*$NM190</f>
        <v>19.059206284383666</v>
      </c>
      <c r="BM190" s="196">
        <f>BN190*(1+$CF190+(VLOOKUP($AM190,$A$12:$B$323,2,0))+各项系数!$J$6+各项系数!$M$5)*(1+$E$2)</f>
        <v>18.911067442467388</v>
      </c>
      <c r="BN190" s="197">
        <f>BO190+各项系数!$L$9*$NM190</f>
        <v>19.297007594354479</v>
      </c>
      <c r="BO190" s="197">
        <f>BP190*(1+$CG190+各项系数!$J$5+各项系数!$L$5)</f>
        <v>19.148868752438201</v>
      </c>
      <c r="BP190" s="197">
        <f t="shared" si="646"/>
        <v>18.591134711105049</v>
      </c>
      <c r="BQ190" s="196">
        <f>BR190+各项系数!$M$9*$NM190</f>
        <v>19.780305050724124</v>
      </c>
      <c r="BR190" s="196">
        <f>BS190*(1+$CF190+(VLOOKUP($AM190,$A$12:$B$323,2,0))+各项系数!$J$6+各项系数!$M$5)*(1+$E$2)</f>
        <v>19.632166208807845</v>
      </c>
      <c r="BS190" s="197">
        <f>BT190+各项系数!$L$9*$NM190</f>
        <v>20.032822662048822</v>
      </c>
      <c r="BT190" s="197">
        <f>BU190*(1+$CG190+各项系数!$J$5+各项系数!$L$5)</f>
        <v>19.884683820132544</v>
      </c>
      <c r="BU190" s="197">
        <f t="shared" si="647"/>
        <v>19.305518271973344</v>
      </c>
      <c r="BV190" s="196">
        <f>BW190+各项系数!$M$9*$NT190</f>
        <v>20.203636031215428</v>
      </c>
      <c r="BW190" s="196">
        <f>BX190*(1+$CF190+(VLOOKUP($AM190,$A$12:$B$214,2,0))+各项系数!$J$6+各项系数!$M$5)*(1+$E$2)</f>
        <v>20.049943789829921</v>
      </c>
      <c r="BX190" s="197">
        <f>BY190+各项系数!$L$9*$NT$12</f>
        <v>20.459126316152982</v>
      </c>
      <c r="BY190" s="197">
        <f>BZ190*(1+$CG190+各项系数!$J$5+各项系数!$L$5)</f>
        <v>20.450862912998009</v>
      </c>
      <c r="BZ190" s="199">
        <f t="shared" si="586"/>
        <v>19.855206711648552</v>
      </c>
      <c r="CA190" s="196">
        <f>CB190+各项系数!$M$9*$NT190</f>
        <v>20.932440719291865</v>
      </c>
      <c r="CB190" s="196">
        <f>CC190*(1+$CF190+(VLOOKUP($AM190,$A$12:$B$214,2,0))+各项系数!$J$6+各项系数!$M$5)*(1+$E$2)</f>
        <v>20.778748477906358</v>
      </c>
      <c r="CC190" s="197">
        <f>CD190+各项系数!$L$9*$NT$12</f>
        <v>21.202804569292201</v>
      </c>
      <c r="CD190" s="197">
        <f>CE190*(1+$CG190+各项系数!$J$5+各项系数!$L$5)</f>
        <v>21.194541166137228</v>
      </c>
      <c r="CE190" s="199">
        <f t="shared" si="648"/>
        <v>20.577224433142938</v>
      </c>
      <c r="CF190" s="213">
        <f t="shared" si="753"/>
        <v>0</v>
      </c>
      <c r="CG190" s="213">
        <f t="shared" si="587"/>
        <v>0.01</v>
      </c>
      <c r="CH190" s="102"/>
      <c r="CI190" s="196">
        <f>CJ190+各项系数!$M$9*$NO190</f>
        <v>20.53853163946302</v>
      </c>
      <c r="CJ190" s="196">
        <f>CK190*(1+$DC190+(VLOOKUP($AM190,$A$12:$B$323,2,0))+各项系数!$J$6+各项系数!$M$5)*(1+$E$2)+各项系数!$M$9*$NK190</f>
        <v>20.29744618176947</v>
      </c>
      <c r="CK190" s="197">
        <f>CL190+各项系数!$L$9*$NO190</f>
        <v>20.560517693727746</v>
      </c>
      <c r="CL190" s="197">
        <f>CM190*(1+$DD190+各项系数!$J$5+各项系数!$L$5)</f>
        <v>20.319432236034196</v>
      </c>
      <c r="CM190" s="197">
        <f t="shared" si="588"/>
        <v>19.921011996111957</v>
      </c>
      <c r="CN190" s="196">
        <f>CO190+各项系数!$M$9*$NO190</f>
        <v>21.164762397321773</v>
      </c>
      <c r="CO190" s="196">
        <f>CP190*(1+$DC190+(VLOOKUP($AM190,$A$12:$B$323,2,0))+各项系数!$J$6+各项系数!$M$5)*(1+$E$2)+各项系数!$M$9*$NK190</f>
        <v>20.923676939628223</v>
      </c>
      <c r="CP190" s="197">
        <f>CQ190+各项系数!$L$9*$NO190</f>
        <v>21.199528671134637</v>
      </c>
      <c r="CQ190" s="197">
        <f>CR190*(1+$DD190+各项系数!$J$5+各项系数!$L$5)</f>
        <v>20.958443213441086</v>
      </c>
      <c r="CR190" s="197">
        <f t="shared" si="589"/>
        <v>20.547493346510869</v>
      </c>
      <c r="CS190" s="196">
        <f>CT190+各项系数!$M$9*$NU190</f>
        <v>21.907032375070614</v>
      </c>
      <c r="CT190" s="196">
        <f t="shared" si="590"/>
        <v>21.659320749958503</v>
      </c>
      <c r="CU190" s="197">
        <f>CV190+各项系数!$L$9*$NU190</f>
        <v>22.101347704039291</v>
      </c>
      <c r="CV190" s="197">
        <f>CW190*(1+$DD190+各项系数!$J$5+各项系数!$L$5)</f>
        <v>21.853636078927181</v>
      </c>
      <c r="CW190" s="199">
        <f t="shared" si="591"/>
        <v>21.425133410712924</v>
      </c>
      <c r="CX190" s="196">
        <f>CY190+各项系数!$M$9*$NU190</f>
        <v>22.897135550384622</v>
      </c>
      <c r="CY190" s="196">
        <f t="shared" si="592"/>
        <v>22.649423925272512</v>
      </c>
      <c r="CZ190" s="197">
        <f>DA190+各项系数!$L$9*$NU190</f>
        <v>23.111657066604604</v>
      </c>
      <c r="DA190" s="197">
        <f>DB190*(1+$DD190+各项系数!$J$5+各项系数!$L$5)</f>
        <v>22.863945441492493</v>
      </c>
      <c r="DB190" s="199">
        <f t="shared" si="593"/>
        <v>22.415632785776953</v>
      </c>
      <c r="DC190" s="213">
        <f t="shared" si="827"/>
        <v>0</v>
      </c>
      <c r="DD190" s="213">
        <f t="shared" si="594"/>
        <v>0</v>
      </c>
      <c r="DE190" s="53" t="s">
        <v>498</v>
      </c>
      <c r="DF190" s="53" t="s">
        <v>513</v>
      </c>
      <c r="DG190" s="196">
        <f>DH190+各项系数!$M$9*$NQ190</f>
        <v>20.880132376099287</v>
      </c>
      <c r="DH190" s="196">
        <f>DI190*(1+$EA190+(VLOOKUP($AM190,$A$12:$B$323,2,0))+各项系数!$J$6+各项系数!$M$5)*(1+$E$2)+各项系数!$M$9*$NK190</f>
        <v>20.639046918405736</v>
      </c>
      <c r="DI190" s="197">
        <f>DJ190+各项系数!$L$9*$NQ190</f>
        <v>20.909089873968835</v>
      </c>
      <c r="DJ190" s="197">
        <f>DK190*(1+$EB190+各项系数!$J$5+各项系数!$L$5)</f>
        <v>20.668004416275284</v>
      </c>
      <c r="DK190" s="197">
        <f t="shared" si="595"/>
        <v>20.066023705121633</v>
      </c>
      <c r="DL190" s="196">
        <f>DM190+各项系数!$M$9*$NQ190</f>
        <v>21.724525890215375</v>
      </c>
      <c r="DM190" s="196">
        <f>DN190*(1+$EA190+(VLOOKUP($AM190,$A$12:$B$323,2,0))+各项系数!$J$6+各项系数!$M$5)*(1+$E$2)+各项系数!$M$9*$NK190</f>
        <v>21.483440432521824</v>
      </c>
      <c r="DN190" s="197">
        <f>DO190+各项系数!$L$9*$NQ190</f>
        <v>21.77071590878117</v>
      </c>
      <c r="DO190" s="197">
        <f>DP190*(1+$EB190+各项系数!$J$5+各项系数!$L$5)</f>
        <v>21.52963045108762</v>
      </c>
      <c r="DP190" s="197">
        <f t="shared" si="596"/>
        <v>20.902553836007396</v>
      </c>
      <c r="DQ190" s="196">
        <f>DR190+各项系数!$M$9*$NV190</f>
        <v>22.264709315833169</v>
      </c>
      <c r="DR190" s="196">
        <f t="shared" si="597"/>
        <v>22.016997690721059</v>
      </c>
      <c r="DS190" s="197">
        <f>DT190+各项系数!$L$9*$NV190</f>
        <v>22.466324174205162</v>
      </c>
      <c r="DT190" s="197">
        <f>DU190*(1+$EB190+各项系数!$J$5+各项系数!$L$5)</f>
        <v>22.218612549093052</v>
      </c>
      <c r="DU190" s="199">
        <f t="shared" si="598"/>
        <v>21.571468494265098</v>
      </c>
      <c r="DV190" s="196">
        <f>DW190+各项系数!$M$9*$NV190</f>
        <v>22.102884147999607</v>
      </c>
      <c r="DW190" s="196">
        <f t="shared" si="599"/>
        <v>21.855172522887496</v>
      </c>
      <c r="DX190" s="197">
        <f>DY190+各项系数!$L$9*$NV190</f>
        <v>22.301196451926018</v>
      </c>
      <c r="DY190" s="197">
        <f>DZ190*(1+$EB190+各项系数!$J$5+各项系数!$L$5)</f>
        <v>22.053484826813907</v>
      </c>
      <c r="DZ190" s="199">
        <f t="shared" si="600"/>
        <v>21.411150317295053</v>
      </c>
      <c r="EA190" s="213">
        <f t="shared" si="826"/>
        <v>0</v>
      </c>
      <c r="EB190" s="213">
        <f t="shared" si="601"/>
        <v>0.01</v>
      </c>
      <c r="EC190" s="235">
        <f t="shared" si="649"/>
        <v>12</v>
      </c>
      <c r="ED190" s="235" t="str">
        <f t="shared" si="756"/>
        <v>12*2.5</v>
      </c>
      <c r="EE190" s="189">
        <f t="shared" si="812"/>
        <v>2.5</v>
      </c>
      <c r="EF190" s="189">
        <f>LOOKUP(EH190,{1,7,10,14,19,24,30,37,48,61},{1,"1+6","2+8","4+10","1+6+12","2+8+14","4+10+16","1+6+12+18","3+9+15+21","1+6+12+18+24"})</f>
        <v>1</v>
      </c>
      <c r="EG190" s="188">
        <f t="shared" si="602"/>
        <v>12</v>
      </c>
      <c r="EH190" s="197">
        <f>VLOOKUP(EE190,各项系数!$B$87:$C$124,2,0)</f>
        <v>1</v>
      </c>
      <c r="EI190" s="188">
        <f>IF(EH190=0,0,VLOOKUP(EH190,各项系数!$D$142:$E$195,2,0))*1</f>
        <v>1</v>
      </c>
      <c r="EJ190" s="238">
        <f t="shared" si="650"/>
        <v>172.412400708262</v>
      </c>
      <c r="EK190" s="189">
        <f t="shared" si="813"/>
        <v>0</v>
      </c>
      <c r="EL190" s="189">
        <f t="shared" si="603"/>
        <v>0</v>
      </c>
      <c r="EM190" s="189">
        <f t="shared" si="814"/>
        <v>0</v>
      </c>
      <c r="EN190" s="189">
        <f>IF(EP190=0,0,LOOKUP(EP190,{1,7,10,14,19,24,30,37,48,61},{1,"1+6","2+8","4+10","1+6+12","2+8+14","4+10+16","1+6+12+18","3+9+15+21","1+6+12+18+24"}))</f>
        <v>0</v>
      </c>
      <c r="EO190" s="189">
        <f t="shared" si="815"/>
        <v>0</v>
      </c>
      <c r="EP190" s="189">
        <f>IF(EM190=0,0,IF(EM190&lt;10,1,IF(AND(EM190&gt;=10,EM190&lt;=35),7,LOOKUP(EM190,{50,70,95,120,150,185,240,300},{10,14,19,24,30,37,48,61})*1)))</f>
        <v>0</v>
      </c>
      <c r="EQ190" s="189">
        <f>IF(EP190=0,0,VLOOKUP(EP190,各项系数!$D$142:$E$195,2,0))*1</f>
        <v>0</v>
      </c>
      <c r="ER190" s="53">
        <f t="shared" si="816"/>
        <v>0</v>
      </c>
      <c r="ES190" s="412">
        <f t="shared" si="817"/>
        <v>12</v>
      </c>
      <c r="ET190" s="189">
        <f>VLOOKUP(ES190,各项系数!$D$142:$E$195,2,0)*1</f>
        <v>4.16</v>
      </c>
      <c r="EU190" s="243">
        <f>((各项系数!$F$76/4*$EJ190^2*$EG190*$EH190*1*10^-7)*(1-$H190)*AA190)*(VLOOKUP($EY$9,各项系数!$D$4:$F$143,3,0))*各项系数!$J$4</f>
        <v>0.247818068266835</v>
      </c>
      <c r="EV190" s="244">
        <f>EU190*(VLOOKUP($EY$9,各项系数!$D$4:$F$143,2,0))</f>
        <v>16.232083471477694</v>
      </c>
      <c r="EW190" s="252">
        <f>(IF($EO190=0,0,(各项系数!$F$76/4*$ER190^2*$EO190*$EP190*1*10^-7))*(1-$K190)*$AF190)*(VLOOKUP($EY$9,各项系数!$D$4:$F$143,3,0))*各项系数!$J$4</f>
        <v>0</v>
      </c>
      <c r="EX190" s="253">
        <f>EW190*(VLOOKUP($EY$9,各项系数!$D$4:$F$143,2,0))</f>
        <v>0</v>
      </c>
      <c r="EY190" s="189">
        <f>((各项系数!$F$76/4*$EJ190^2*$EG190*$EH190*1*10^-7)*(1-$H190)*AA190+IF($EO190=0,0,(各项系数!$F$76/4*$ER190^2*$EO190*$EP190*1*10^-7))*(1-$K190)*$AF190)*(VLOOKUP($EY$9,各项系数!$D$4:$F$143,3,0))*各项系数!$J$4</f>
        <v>0.247818068266835</v>
      </c>
      <c r="EZ190" s="102">
        <v>1</v>
      </c>
      <c r="FA190" s="189">
        <f t="shared" si="757"/>
        <v>0.247818068266835</v>
      </c>
      <c r="FB190" s="254">
        <f>FA190*(VLOOKUP($EY$9,各项系数!$D$4:$F$143,2,0))</f>
        <v>16.232083471477694</v>
      </c>
      <c r="FC190" s="255"/>
      <c r="FD190" s="235">
        <f>各项系数!$F$76/4*($MN190^2-MK190^2)*10^-2*(VLOOKUP(L190,各项系数!$D$1:$F$143,3,0))*10^-3*10^2*$EG190*各项系数!$J$4</f>
        <v>7.0016396883977525E-2</v>
      </c>
      <c r="FE190" s="262">
        <f>FD190*VLOOKUP(L190,各项系数!$D$1:$F$143,2,0)</f>
        <v>0.80518856416574158</v>
      </c>
      <c r="FF190" s="188">
        <f>各项系数!$F$76/4*($MO190^2-ML190^2)*10^-2*(VLOOKUP(L190,各项系数!$D$1:$F$143,3,0))*10^-3*10^2*$EO190*各项系数!$J$4</f>
        <v>0</v>
      </c>
      <c r="FG190" s="262">
        <f>FF190*VLOOKUP(L190,各项系数!$D$1:$F$143,2,0)</f>
        <v>0</v>
      </c>
      <c r="FH190" s="235">
        <f t="shared" si="651"/>
        <v>7.0016396883977525E-2</v>
      </c>
      <c r="FI190" s="102">
        <v>1</v>
      </c>
      <c r="FJ190" s="189">
        <f t="shared" si="758"/>
        <v>7.0016396883977525E-2</v>
      </c>
      <c r="FK190" s="262">
        <f>FJ190*VLOOKUP(L190,各项系数!$D$1:$F$143,2,0)</f>
        <v>0.80518856416574158</v>
      </c>
      <c r="FL190" s="235"/>
      <c r="FM190" s="102"/>
      <c r="FN190" s="189"/>
      <c r="FO190" s="262"/>
      <c r="FP190" s="282">
        <f t="shared" si="759"/>
        <v>7.0016396883977525E-2</v>
      </c>
      <c r="FQ190" s="282">
        <f t="shared" si="760"/>
        <v>0.80518856416574158</v>
      </c>
      <c r="FR190" s="283">
        <f>各项系数!$F$76/4*($MQ190^2-$MN190^2*$EG190-$MO190^2*$EO190)*10^-2</f>
        <v>0.40670631394880141</v>
      </c>
      <c r="FS190" s="284">
        <f t="shared" si="652"/>
        <v>1</v>
      </c>
      <c r="FT190" s="285">
        <f t="shared" si="604"/>
        <v>0.40670631394880141</v>
      </c>
      <c r="FU190" s="302">
        <f>$FT190*(VLOOKUP($FT$9,各项系数!$D$1:$F$143,3,0))*10^-3*10^2*各项系数!$J$55</f>
        <v>4.8560733885486887E-2</v>
      </c>
      <c r="FV190" s="303">
        <v>1</v>
      </c>
      <c r="FW190" s="304">
        <f t="shared" si="761"/>
        <v>4.8560733885486887E-2</v>
      </c>
      <c r="FX190" s="285">
        <f>FW190*(VLOOKUP($FT$9,各项系数!$D$1:$F$143,2,0))</f>
        <v>0.14568220165646067</v>
      </c>
      <c r="FY190" s="302">
        <f>IF($BK190&lt;&gt;$FY$9,0,各项系数!$F$76/4*($MS190^2-$MQ190^2)*10^-2*(VLOOKUP($FY$9,各项系数!$D$1:$F$143,3,0))*10^-3*10^2)*各项系数!$J$4</f>
        <v>0</v>
      </c>
      <c r="FZ190" s="303">
        <v>1</v>
      </c>
      <c r="GA190" s="304">
        <f t="shared" si="762"/>
        <v>0</v>
      </c>
      <c r="GB190" s="285">
        <f>GA190*(VLOOKUP($FY$9,各项系数!$D$1:$F$143,2,0))</f>
        <v>0</v>
      </c>
      <c r="GC190" s="302">
        <f>IF($BK190&lt;&gt;$GC$9,0,各项系数!$F$76/4*($MS190^2-$MQ190^2)*10^-2*(VLOOKUP($GC$9,各项系数!$D$1:$F$143,3,0))*10^-3*10^2)*各项系数!$J$4</f>
        <v>3.5632243548646297E-3</v>
      </c>
      <c r="GD190" s="303">
        <v>1</v>
      </c>
      <c r="GE190" s="304">
        <f t="shared" si="763"/>
        <v>3.5632243548646297E-3</v>
      </c>
      <c r="GF190" s="285">
        <f>GE190*(VLOOKUP($GC$9,各项系数!$D$1:$F$143,2,0))</f>
        <v>4.5965594177753727E-2</v>
      </c>
      <c r="GG190" s="302">
        <f>IF($BK190&lt;&gt;$GG$9,0,各项系数!$F$76/4*($MS190^2-$MQ190^2)*10^-2*(VLOOKUP($GG$9,各项系数!$D$1:$F$143,3,0))*10^-3*10^2)*各项系数!$J$4</f>
        <v>0</v>
      </c>
      <c r="GH190" s="303">
        <v>1</v>
      </c>
      <c r="GI190" s="304">
        <f t="shared" si="764"/>
        <v>0</v>
      </c>
      <c r="GJ190" s="285">
        <f>GI190*(VLOOKUP($GG$9,各项系数!$D$1:$F$143,2,0))</f>
        <v>0</v>
      </c>
      <c r="GK190" s="302">
        <f>IF($BK190&lt;&gt;$GK$9,0,各项系数!$F$76/4*($MS190^2-$MQ190^2)*10^-2*(VLOOKUP($GK$9,各项系数!$D$1:$F$143,3,0))*10^-3*10^2)*各项系数!$J$4</f>
        <v>0</v>
      </c>
      <c r="GL190" s="303">
        <v>1</v>
      </c>
      <c r="GM190" s="304">
        <f t="shared" si="765"/>
        <v>0</v>
      </c>
      <c r="GN190" s="285">
        <f>GM190*(VLOOKUP($GK$9,各项系数!$D$1:$F$143,2,0))</f>
        <v>0</v>
      </c>
      <c r="GO190" s="304">
        <f t="shared" si="766"/>
        <v>3.5632243548646297E-3</v>
      </c>
      <c r="GP190" s="304">
        <f t="shared" si="767"/>
        <v>4.5965594177753727E-2</v>
      </c>
      <c r="GQ190" s="315">
        <f>各项系数!$F$76/4*($MU190^2-$MS190^2)*10^-2*(VLOOKUP($S190,各项系数!$D$1:$F$143,3,0))*10^-3*10^2*各项系数!$J$4</f>
        <v>0.20199433668513389</v>
      </c>
      <c r="GR190" s="303">
        <v>1</v>
      </c>
      <c r="GS190" s="304">
        <f t="shared" si="768"/>
        <v>0.20199433668513389</v>
      </c>
      <c r="GT190" s="304">
        <f t="shared" si="696"/>
        <v>1</v>
      </c>
      <c r="GU190" s="304">
        <f>ROUND($GS190*(VLOOKUP($S190,各项系数!$D$1:$F$143,2,0))+$E$3*GS190,GT190)</f>
        <v>1.2</v>
      </c>
      <c r="GV190" s="315">
        <f>各项系数!$F$76/4*($MT190^2-$MS190^2)*10^-2*(VLOOKUP($GV$9,各项系数!$D$1:$F$143,3,0))*10^-3*10^2*各项系数!$J$4*PI()/4*R190</f>
        <v>1.8511331564089777E-2</v>
      </c>
      <c r="GW190" s="303">
        <v>1</v>
      </c>
      <c r="GX190" s="304">
        <f t="shared" si="769"/>
        <v>1.8511331564089777E-2</v>
      </c>
      <c r="GY190" s="304">
        <f>$GX190*(VLOOKUP($GV$9,各项系数!$D$1:$F$143,2,0))</f>
        <v>1.2495148805760599</v>
      </c>
      <c r="GZ190" s="315">
        <f>各项系数!$F$76/4*($MV190^2-$MS190^2)*10^-2*(VLOOKUP($GZ$9,各项系数!$D$1:$F$143,3,0))*10^-3*10^2*各项系数!$J$4</f>
        <v>0.12215284944092321</v>
      </c>
      <c r="HA190" s="303">
        <v>1</v>
      </c>
      <c r="HB190" s="304">
        <f t="shared" si="653"/>
        <v>0.12215284944092321</v>
      </c>
      <c r="HC190" s="304">
        <f>HB190*(VLOOKUP($GZ$9,各项系数!$D$1:$F$143,2,0))</f>
        <v>2.0765984404956948</v>
      </c>
      <c r="HD190" s="315">
        <f>各项系数!$F$76/4*($MW190^2-$MT190^2)*10^-2*(VLOOKUP($HD$9,各项系数!$D$1:$F$143,3,0))*10^-3*10^2*各项系数!$J$4</f>
        <v>0.12345821888760163</v>
      </c>
      <c r="HE190" s="303">
        <v>1</v>
      </c>
      <c r="HF190" s="304">
        <f t="shared" si="654"/>
        <v>0.12345821888760163</v>
      </c>
      <c r="HG190" s="304">
        <f>HF190*(VLOOKUP($HD$9,各项系数!$D$1:$F$143,2,0))</f>
        <v>2.0987897210892275</v>
      </c>
      <c r="HH190" s="315">
        <f>各项系数!$F$76/4*($MV190^2-$MS190^2)*10^-2*(VLOOKUP($HH$9,各项系数!$D$1:$F$143,3,0))*10^-3*10^2*各项系数!$J$4</f>
        <v>0.12215284944092321</v>
      </c>
      <c r="HI190" s="322">
        <v>1</v>
      </c>
      <c r="HJ190" s="304">
        <f t="shared" si="655"/>
        <v>0.12215284944092321</v>
      </c>
      <c r="HK190" s="304">
        <f>HJ190*(VLOOKUP($HH$9,各项系数!$D$1:$F$143,2,0))</f>
        <v>2.0765984404956948</v>
      </c>
      <c r="HL190" s="315">
        <f>各项系数!$F$76/4*($MW190^2-$MT190^2)*10^-2*(VLOOKUP($HL$9,各项系数!$D$1:$F$143,3,0))*10^-3*10^2*各项系数!$J$4</f>
        <v>0.12345821888760163</v>
      </c>
      <c r="HM190" s="322">
        <v>1</v>
      </c>
      <c r="HN190" s="304">
        <f t="shared" si="605"/>
        <v>0.12345821888760163</v>
      </c>
      <c r="HO190" s="304">
        <f>HN190*(VLOOKUP($HL$9,各项系数!$D$1:$F$143,2,0))</f>
        <v>2.0987897210892275</v>
      </c>
      <c r="HP190" s="315">
        <f>各项系数!$F$76/4*($MV190^2-$MS190^2)*10^-2*(VLOOKUP(AN190,各项系数!$D$1:$F$143,3,0))*10^-3*10^2*各项系数!$J$4</f>
        <v>0.12383771632976355</v>
      </c>
      <c r="HQ190" s="303">
        <v>1</v>
      </c>
      <c r="HR190" s="304">
        <f t="shared" si="770"/>
        <v>0.12383771632976355</v>
      </c>
      <c r="HS190" s="304">
        <f>HR190*(VLOOKUP(AN190,各项系数!$D$1:$F$143,2,0))</f>
        <v>1.2383771632976355</v>
      </c>
      <c r="HT190" s="315">
        <f>各项系数!$F$76/4*($MW190^2-$MT190^2)*10^-2*(VLOOKUP(AN190,各项系数!$D$1:$F$143,3,0))*10^-3*10^2*各项系数!$J$4</f>
        <v>0.12516109087225821</v>
      </c>
      <c r="HU190" s="303">
        <v>1</v>
      </c>
      <c r="HV190" s="304">
        <f t="shared" si="771"/>
        <v>0.12516109087225821</v>
      </c>
      <c r="HW190" s="304">
        <f>HV190*(VLOOKUP(AN190,各项系数!$D$1:$F$143,2,0))</f>
        <v>1.2516109087225822</v>
      </c>
      <c r="HX190" s="315">
        <f>各项系数!$F$76/4*($MV190^2-$MS190^2)*10^-2*(VLOOKUP($HX$9,各项系数!$D$1:$F$143,3,0))*10^-3*10^2*各项系数!$J$4</f>
        <v>0.12383771632976355</v>
      </c>
      <c r="HY190" s="322">
        <v>1</v>
      </c>
      <c r="HZ190" s="304">
        <f t="shared" si="772"/>
        <v>0.12383771632976355</v>
      </c>
      <c r="IA190" s="304">
        <f>HZ190*(VLOOKUP($HX$9,各项系数!$D$1:$F$143,2,0))</f>
        <v>1.362214879627399</v>
      </c>
      <c r="IB190" s="315">
        <f>各项系数!$F$76/4*($MW190^2-$MT190^2)*10^-2*(VLOOKUP($IB$9,各项系数!$D$1:$F$143,3,0))*10^-3*10^2*各项系数!$J$4</f>
        <v>0.12516109087225821</v>
      </c>
      <c r="IC190" s="322">
        <v>1</v>
      </c>
      <c r="ID190" s="304">
        <f t="shared" si="773"/>
        <v>0.12516109087225821</v>
      </c>
      <c r="IE190" s="304">
        <f>ID190*(VLOOKUP($IB$9,各项系数!$D$1:$F$143,2,0))</f>
        <v>1.3767719995948404</v>
      </c>
      <c r="IF190" s="328"/>
      <c r="IG190" s="315">
        <f t="shared" si="656"/>
        <v>3.416676257252807E-2</v>
      </c>
      <c r="IH190" s="303">
        <v>1</v>
      </c>
      <c r="II190" s="304">
        <f t="shared" si="774"/>
        <v>3.416676257252807E-2</v>
      </c>
      <c r="IJ190" s="304">
        <f>II190*(VLOOKUP($IG$8,各项系数!$D$1:$F$143,2,0))</f>
        <v>0.85416906431320172</v>
      </c>
      <c r="IK190" s="315">
        <f>(各项系数!$F$76/4*($MX190^2-$MK190^2)*$EG190)*10^-2*(VLOOKUP($IG$8,各项系数!$D$1:$F$143,3,0))*10^-3*10^2*各项系数!$J$4</f>
        <v>3.416676257252807E-2</v>
      </c>
      <c r="IL190" s="303">
        <f>IK190*(VLOOKUP($IG$8,各项系数!$D$1:$F$143,2,0))</f>
        <v>0.85416906431320172</v>
      </c>
      <c r="IM190" s="304">
        <f>(各项系数!$F$76/4*(($MM190+3*$X190)^2-MM190^2)*$EO190)*10^-2*(VLOOKUP($IG$8,各项系数!$D$1:$F$143,3,0))*10^-3*10^2*各项系数!$J$4</f>
        <v>0</v>
      </c>
      <c r="IN190" s="303">
        <f>IM190*(VLOOKUP($IG$8,各项系数!$D$1:$F$143,2,0))</f>
        <v>0</v>
      </c>
      <c r="IO190" s="315">
        <f>各项系数!$F$76/4*($MZ190^2-$MX190^2)*10^-2*(VLOOKUP(L190,各项系数!$D$1:$F$143,3,0))*10^-3*10^2*$ES190*各项系数!$J$4</f>
        <v>8.734630160712184E-2</v>
      </c>
      <c r="IP190" s="303">
        <v>1</v>
      </c>
      <c r="IQ190" s="304">
        <f t="shared" si="775"/>
        <v>8.734630160712184E-2</v>
      </c>
      <c r="IR190" s="285">
        <f>IQ190*(VLOOKUP(L190,各项系数!$D$1:$F$143,2,0))</f>
        <v>1.0044824684819011</v>
      </c>
      <c r="IS190" s="315">
        <f>IF($L190&lt;&gt;$IS$9,0,各项系数!$F$76/4*($MZ190^2-$MX190^2)*10^-2*各项系数!$F$12*10^-3*10^2)*$ES190*各项系数!$J$4</f>
        <v>0</v>
      </c>
      <c r="IT190" s="303">
        <v>1</v>
      </c>
      <c r="IU190" s="304">
        <f t="shared" si="776"/>
        <v>0</v>
      </c>
      <c r="IV190" s="285">
        <f>IU190*各项系数!$E$12</f>
        <v>0</v>
      </c>
      <c r="IW190" s="302">
        <f t="shared" si="777"/>
        <v>8.734630160712184E-2</v>
      </c>
      <c r="IX190" s="302">
        <f t="shared" si="778"/>
        <v>1.0044824684819011</v>
      </c>
      <c r="IY190" s="339">
        <f>各项系数!$F$76/4*($NB190^2-$MZ190^2*$EG190-$NA190^2*$EO190)*10^-2</f>
        <v>0.57792655996695774</v>
      </c>
      <c r="IZ190" s="284">
        <f t="shared" si="697"/>
        <v>1</v>
      </c>
      <c r="JA190" s="285">
        <f t="shared" si="606"/>
        <v>0.57792655996695774</v>
      </c>
      <c r="JB190" s="282">
        <f>IF($DE190&lt;&gt;$JB$9,0,$JA190*各项系数!$F$32*10^-3*10^2)*各项系数!$J$4</f>
        <v>0</v>
      </c>
      <c r="JC190" s="102">
        <v>1</v>
      </c>
      <c r="JD190" s="189">
        <f t="shared" si="779"/>
        <v>0</v>
      </c>
      <c r="JE190" s="262">
        <f>JD190*各项系数!$E$32</f>
        <v>0</v>
      </c>
      <c r="JF190" s="282">
        <f>IF($DE190&lt;&gt;$JF$9,0,$JA190*VLOOKUP($JF$9,各项系数!$D$4:$F$540,2,0)*10^-3*10^2)*各项系数!$J$4</f>
        <v>0.28751846358356148</v>
      </c>
      <c r="JG190" s="102">
        <v>1</v>
      </c>
      <c r="JH190" s="189">
        <f t="shared" si="607"/>
        <v>0.28751846358356148</v>
      </c>
      <c r="JI190" s="262">
        <f>JH190*VLOOKUP($JF$9,各项系数!$D$4:$F$540,3,0)</f>
        <v>0.34502215630027377</v>
      </c>
      <c r="JJ190" s="282">
        <f t="shared" si="780"/>
        <v>0.28751846358356148</v>
      </c>
      <c r="JK190" s="189">
        <f t="shared" si="781"/>
        <v>0.34502215630027377</v>
      </c>
      <c r="JL190" s="282">
        <f>IF($DF190&lt;&gt;$JL$9,0,各项系数!$F$76/4*($NE190^2-$NC190^2)*10^-2*各项系数!$F$39*10^-3*10^2)*各项系数!$J$4</f>
        <v>1.7568872721053404E-3</v>
      </c>
      <c r="JM190" s="102">
        <v>1</v>
      </c>
      <c r="JN190" s="189">
        <f t="shared" si="782"/>
        <v>1.7568872721053404E-3</v>
      </c>
      <c r="JO190" s="262">
        <f>JN190*各项系数!$E$39</f>
        <v>3.5137745442106808E-2</v>
      </c>
      <c r="JP190" s="282">
        <f>IF($DF190&lt;&gt;$JP$9,0,各项系数!$F$76/4*($NE190^2-$NC190^2)*10^-2*各项系数!$F$36*10^-3*10^2)*各项系数!$J$4</f>
        <v>0</v>
      </c>
      <c r="JQ190" s="102">
        <v>1</v>
      </c>
      <c r="JR190" s="189">
        <f t="shared" si="783"/>
        <v>0</v>
      </c>
      <c r="JS190" s="262">
        <f>JR190*各项系数!$E$36</f>
        <v>0</v>
      </c>
      <c r="JT190" s="282">
        <f>IF($DF190&lt;&gt;$JT$9,0,各项系数!$F$76/4*($NE190^2-$NC190^2)*10^-2*各项系数!$F$40*10^-3*10^2)*各项系数!$J$4</f>
        <v>0</v>
      </c>
      <c r="JU190" s="102">
        <v>1</v>
      </c>
      <c r="JV190" s="189">
        <f t="shared" si="784"/>
        <v>0</v>
      </c>
      <c r="JW190" s="262">
        <f>JV190*各项系数!$E$40</f>
        <v>0</v>
      </c>
      <c r="JX190" s="282">
        <f>IF($DF190&lt;&gt;$JX$9,0,各项系数!$F$76/4*($NE190^2-$NC190^2)*10^-2*各项系数!$F$38*10^-3*10^2)*各项系数!$J$4</f>
        <v>0</v>
      </c>
      <c r="JY190" s="102">
        <v>1</v>
      </c>
      <c r="JZ190" s="189">
        <f t="shared" si="785"/>
        <v>0</v>
      </c>
      <c r="KA190" s="262">
        <f>JZ190*各项系数!$E$38</f>
        <v>0</v>
      </c>
      <c r="KB190" s="282">
        <f>IF($DF190&lt;&gt;$KB$9,0,各项系数!$F$76/4*($NE190^2-$NC190^2)*10^-2*各项系数!$F$41*10^-3*10^2)*各项系数!$J$4</f>
        <v>0</v>
      </c>
      <c r="KC190" s="102">
        <v>1</v>
      </c>
      <c r="KD190" s="189">
        <f t="shared" si="786"/>
        <v>0</v>
      </c>
      <c r="KE190" s="262">
        <f>KD190*各项系数!$E$41</f>
        <v>0</v>
      </c>
      <c r="KF190" s="189">
        <f t="shared" si="787"/>
        <v>1.7568872721053404E-3</v>
      </c>
      <c r="KG190" s="189">
        <f t="shared" si="788"/>
        <v>3.5137745442106808E-2</v>
      </c>
      <c r="KH190" s="235">
        <f>各项系数!$F$76/4*($NG190^2-$NE190^2)*10^-2*各项系数!$F$44*10^-3*10^2*各项系数!$J$4*0.75*$U190</f>
        <v>0.71862288948188424</v>
      </c>
      <c r="KI190" s="102">
        <v>1</v>
      </c>
      <c r="KJ190" s="189">
        <f t="shared" si="789"/>
        <v>0.71862288948188424</v>
      </c>
      <c r="KK190" s="189">
        <f>ROUND(KJ190*各项系数!$E$43,GT190)</f>
        <v>4.2</v>
      </c>
      <c r="KL190" s="235">
        <f>各项系数!$F$76/4*($NF190^2-$NE190^2)*10^-2*各项系数!$F$46*10^-3*10^2*各项系数!$J$4*PI()/4*R190</f>
        <v>2.2087224728533653E-2</v>
      </c>
      <c r="KM190" s="102">
        <v>1</v>
      </c>
      <c r="KN190" s="189">
        <f t="shared" si="790"/>
        <v>2.2087224728533653E-2</v>
      </c>
      <c r="KO190" s="189">
        <f>KN190*各项系数!$E$46</f>
        <v>1.4908876691760216</v>
      </c>
      <c r="KP190" s="235">
        <f>各项系数!$F$76/4*($NH190^2-$NE190^2)*10^-2*(VLOOKUP($KP$9,各项系数!$D$1:$F$143,3,0))*10^-3*10^2*各项系数!$J$4</f>
        <v>0.1430387605877777</v>
      </c>
      <c r="KQ190" s="102">
        <v>1</v>
      </c>
      <c r="KR190" s="189">
        <f t="shared" si="657"/>
        <v>0.1430387605877777</v>
      </c>
      <c r="KS190" s="189">
        <f>KR190*(VLOOKUP($KP$9,各项系数!$D$1:$F$143,2,0))</f>
        <v>2.4316589299922211</v>
      </c>
      <c r="KT190" s="235">
        <f>各项系数!$F$76/4*($NI190^2-$NF190^2)*10^-2*(VLOOKUP($KT$9,各项系数!$D$1:$F$143,3,0))*10^-3*10^2*各项系数!$J$4</f>
        <v>0.14434413003445615</v>
      </c>
      <c r="KU190" s="102">
        <v>1</v>
      </c>
      <c r="KV190" s="189">
        <f t="shared" si="658"/>
        <v>0.14434413003445615</v>
      </c>
      <c r="KW190" s="189">
        <f>KV190*(VLOOKUP($KT$9,各项系数!$D$1:$F$143,2,0))</f>
        <v>2.4538502105857547</v>
      </c>
      <c r="KX190" s="189">
        <f>各项系数!$F$76/4*($NH190^2-$NE190^2)*10^-2*(VLOOKUP($KX$9,各项系数!$D$1:$F$143,3,0))*10^-3*10^2*各项系数!$J$4</f>
        <v>0.1430387605877777</v>
      </c>
      <c r="KY190" s="353">
        <v>1</v>
      </c>
      <c r="KZ190" s="189">
        <f t="shared" si="659"/>
        <v>0.1430387605877777</v>
      </c>
      <c r="LA190" s="189">
        <f>KZ190*(VLOOKUP($KX$9,各项系数!$D$1:$F$143,2,0))</f>
        <v>2.4316589299922211</v>
      </c>
      <c r="LB190" s="189">
        <f>各项系数!$F$76/4*($NI190^2-$NF190^2)*10^-2*(VLOOKUP($LB$9,各项系数!$D$1:$F$143,3,0))*10^-3*10^2*各项系数!$J$4</f>
        <v>0.14434413003445615</v>
      </c>
      <c r="LC190" s="353">
        <v>1</v>
      </c>
      <c r="LD190" s="189">
        <f t="shared" si="660"/>
        <v>0.14434413003445615</v>
      </c>
      <c r="LE190" s="189">
        <f>LD190*(VLOOKUP($LB$9,各项系数!$D$1:$F$143,2,0))</f>
        <v>2.4538502105857547</v>
      </c>
      <c r="LF190" s="235">
        <f>各项系数!$F$76/4*($NH190^2-$NE190^2)*10^-2*(VLOOKUP(AN190,各项系数!$D$1:$F$143,3,0))*10^-3*10^2*各项系数!$J$4</f>
        <v>0.14501170900967808</v>
      </c>
      <c r="LG190" s="102">
        <v>1</v>
      </c>
      <c r="LH190" s="189">
        <f t="shared" si="791"/>
        <v>0.14501170900967808</v>
      </c>
      <c r="LI190" s="189">
        <f>LH190*(VLOOKUP(AN190,各项系数!$D$1:$F$143,2,0))</f>
        <v>1.4501170900967808</v>
      </c>
      <c r="LJ190" s="235">
        <f>各项系数!$F$76/4*($NI190^2-$NF190^2)*10^-2*(VLOOKUP(AN190,各项系数!$D$1:$F$143,3,0))*10^-3*10^2*各项系数!$J$4</f>
        <v>0.14633508355217278</v>
      </c>
      <c r="LK190" s="102">
        <v>1</v>
      </c>
      <c r="LL190" s="189">
        <f t="shared" si="792"/>
        <v>0.14633508355217278</v>
      </c>
      <c r="LM190" s="189">
        <f>LL190*(VLOOKUP(AN190,各项系数!$D$1:$F$143,2,0))</f>
        <v>1.463350835521728</v>
      </c>
      <c r="LN190" s="189">
        <f>各项系数!$F$76/4*($NH190^2-$NE190^2)*10^-2*(VLOOKUP($LN$9,各项系数!$D$1:$F$143,3,0))*10^-3*10^2*各项系数!$J$4</f>
        <v>0.14501170900967808</v>
      </c>
      <c r="LO190" s="353">
        <v>1</v>
      </c>
      <c r="LP190" s="189">
        <f t="shared" si="793"/>
        <v>0.14501170900967808</v>
      </c>
      <c r="LQ190" s="189">
        <f>LP190*(VLOOKUP($LN$9,各项系数!$D$1:$F$143,2,0))</f>
        <v>1.5951287991064589</v>
      </c>
      <c r="LR190" s="189">
        <f>各项系数!$F$76/4*($NI190^2-$NF190^2)*10^-2*(VLOOKUP($LR$9,各项系数!$D$1:$F$143,3,0))*10^-3*10^2*各项系数!$J$4</f>
        <v>0.14633508355217278</v>
      </c>
      <c r="LS190" s="353">
        <v>1</v>
      </c>
      <c r="LT190" s="189">
        <f t="shared" si="794"/>
        <v>0.14633508355217278</v>
      </c>
      <c r="LU190" s="189">
        <f>LT190*(VLOOKUP($LR$9,各项系数!$D$1:$F$143,2,0))</f>
        <v>1.6096859190739006</v>
      </c>
      <c r="LV190" s="227">
        <f t="shared" si="661"/>
        <v>28.016128909999999</v>
      </c>
      <c r="LW190" s="227">
        <f t="shared" si="662"/>
        <v>28.016128909999999</v>
      </c>
      <c r="LX190" s="227">
        <f t="shared" si="663"/>
        <v>5.9725407674297237</v>
      </c>
      <c r="LY190" s="227">
        <f t="shared" si="664"/>
        <v>0</v>
      </c>
      <c r="LZ190" s="374">
        <f t="shared" si="608"/>
        <v>1</v>
      </c>
      <c r="MA190" s="375">
        <f t="shared" si="609"/>
        <v>28.016128909999999</v>
      </c>
      <c r="MB190" s="375">
        <f t="shared" si="665"/>
        <v>1.7241240099999999</v>
      </c>
      <c r="MC190" s="227">
        <f t="shared" si="666"/>
        <v>0</v>
      </c>
      <c r="MD190" s="227">
        <f t="shared" si="667"/>
        <v>0</v>
      </c>
      <c r="ME190" s="227">
        <f t="shared" si="668"/>
        <v>0</v>
      </c>
      <c r="MF190" s="227">
        <f t="shared" si="669"/>
        <v>0</v>
      </c>
      <c r="MG190" s="374">
        <f t="shared" si="670"/>
        <v>1</v>
      </c>
      <c r="MH190" s="375">
        <f t="shared" si="610"/>
        <v>0</v>
      </c>
      <c r="MI190" s="375">
        <f t="shared" si="671"/>
        <v>0</v>
      </c>
      <c r="MJ190" s="189">
        <f t="shared" si="611"/>
        <v>1.7241240099999999</v>
      </c>
      <c r="MK190" s="189">
        <f t="shared" si="672"/>
        <v>1.7241240099999999</v>
      </c>
      <c r="ML190" s="189">
        <f t="shared" si="795"/>
        <v>0</v>
      </c>
      <c r="MM190" s="189">
        <f t="shared" si="612"/>
        <v>0</v>
      </c>
      <c r="MN190" s="189">
        <f t="shared" si="613"/>
        <v>3.1241240100000001</v>
      </c>
      <c r="MO190" s="189">
        <f t="shared" si="673"/>
        <v>0</v>
      </c>
      <c r="MP190" s="189">
        <f t="shared" si="674"/>
        <v>12.996355879999999</v>
      </c>
      <c r="MQ190" s="189">
        <f t="shared" si="796"/>
        <v>12.996355879999999</v>
      </c>
      <c r="MR190" s="246">
        <f t="shared" si="675"/>
        <v>12.996355879999999</v>
      </c>
      <c r="MS190" s="380">
        <f t="shared" si="614"/>
        <v>13.17235588</v>
      </c>
      <c r="MT190" s="380">
        <f t="shared" si="615"/>
        <v>13.33235588</v>
      </c>
      <c r="MU190" s="380">
        <f t="shared" si="616"/>
        <v>14.372355880000001</v>
      </c>
      <c r="MV190" s="380">
        <f t="shared" si="617"/>
        <v>16.772355879999999</v>
      </c>
      <c r="MW190" s="380">
        <f t="shared" si="618"/>
        <v>16.932355879999999</v>
      </c>
      <c r="MX190" s="254">
        <f t="shared" si="619"/>
        <v>2.3241240100000002</v>
      </c>
      <c r="MY190" s="254">
        <f t="shared" si="620"/>
        <v>0</v>
      </c>
      <c r="MZ190" s="189">
        <f t="shared" si="621"/>
        <v>3.7241240100000002</v>
      </c>
      <c r="NA190" s="189">
        <f t="shared" si="622"/>
        <v>0</v>
      </c>
      <c r="NB190" s="189">
        <f t="shared" si="676"/>
        <v>15.49235588</v>
      </c>
      <c r="NC190" s="254">
        <f t="shared" si="797"/>
        <v>15.49235588</v>
      </c>
      <c r="ND190" s="246">
        <f t="shared" si="677"/>
        <v>15.49235588</v>
      </c>
      <c r="NE190" s="386">
        <f t="shared" si="678"/>
        <v>15.73235588</v>
      </c>
      <c r="NF190" s="380">
        <f t="shared" si="623"/>
        <v>15.89235588</v>
      </c>
      <c r="NG190" s="387">
        <f t="shared" si="624"/>
        <v>16.932355879999999</v>
      </c>
      <c r="NH190" s="254">
        <f t="shared" si="625"/>
        <v>19.332355880000001</v>
      </c>
      <c r="NI190" s="380">
        <f t="shared" si="626"/>
        <v>19.492355880000002</v>
      </c>
      <c r="NK190" s="388">
        <f t="shared" si="627"/>
        <v>0.49379613972092762</v>
      </c>
      <c r="NL190" s="388">
        <f t="shared" si="628"/>
        <v>18.467296994775285</v>
      </c>
      <c r="NM190" s="388">
        <f t="shared" si="629"/>
        <v>0.49379613972092762</v>
      </c>
      <c r="NN190" s="388">
        <f t="shared" si="630"/>
        <v>18.591134711105049</v>
      </c>
      <c r="NO190" s="388">
        <f t="shared" si="631"/>
        <v>0.80361819231182974</v>
      </c>
      <c r="NP190" s="388">
        <f t="shared" si="632"/>
        <v>19.921011996111957</v>
      </c>
      <c r="NQ190" s="388">
        <f t="shared" si="633"/>
        <v>0.80361819231182974</v>
      </c>
      <c r="NR190" s="388">
        <f t="shared" si="634"/>
        <v>20.066023705121633</v>
      </c>
      <c r="NS190" s="388">
        <f t="shared" si="635"/>
        <v>0.51230747128501741</v>
      </c>
      <c r="NT190" s="388">
        <f t="shared" si="636"/>
        <v>0.51230747128501741</v>
      </c>
      <c r="NU190" s="388">
        <f t="shared" si="637"/>
        <v>0.82570541704036338</v>
      </c>
      <c r="NV190" s="388">
        <f t="shared" si="638"/>
        <v>0.82570541704036338</v>
      </c>
      <c r="NW190">
        <f t="shared" si="639"/>
        <v>0.69579047640606151</v>
      </c>
      <c r="NX190">
        <f>各项系数!$M$9*NK190</f>
        <v>0.14813884191627827</v>
      </c>
      <c r="NY190">
        <f t="shared" si="640"/>
        <v>0.51230747128501741</v>
      </c>
    </row>
    <row r="191" spans="1:389" ht="15" hidden="1" customHeight="1">
      <c r="A191" s="69"/>
      <c r="B191" s="70"/>
      <c r="C191" s="69"/>
      <c r="D191" s="102" t="s">
        <v>236</v>
      </c>
      <c r="E191" s="61">
        <f t="shared" ref="E191:E196" si="829">MV191</f>
        <v>17.553386880000001</v>
      </c>
      <c r="F191" s="62">
        <f t="shared" si="820"/>
        <v>172.412400708262</v>
      </c>
      <c r="G191" s="16"/>
      <c r="H191" s="16"/>
      <c r="I191" s="145">
        <v>0</v>
      </c>
      <c r="J191" s="16"/>
      <c r="K191" s="16"/>
      <c r="L191" s="97" t="s">
        <v>469</v>
      </c>
      <c r="M191" s="103">
        <f t="shared" si="582"/>
        <v>0.7</v>
      </c>
      <c r="N191" s="103">
        <f t="shared" si="804"/>
        <v>0</v>
      </c>
      <c r="O191" s="53">
        <f t="shared" si="825"/>
        <v>0.08</v>
      </c>
      <c r="P191" s="99">
        <v>0.1</v>
      </c>
      <c r="Q191" s="133">
        <f t="shared" si="823"/>
        <v>0.1</v>
      </c>
      <c r="R191" s="406">
        <v>0.8</v>
      </c>
      <c r="S191" s="142" t="str">
        <f>各项系数!$D$43</f>
        <v>钢带</v>
      </c>
      <c r="T191" s="102">
        <v>0.2</v>
      </c>
      <c r="U191" s="62">
        <v>4</v>
      </c>
      <c r="V191" s="143"/>
      <c r="W191" s="141">
        <f t="shared" si="828"/>
        <v>1.8</v>
      </c>
      <c r="X191" s="135">
        <f t="shared" si="824"/>
        <v>0.2</v>
      </c>
      <c r="Y191" s="135"/>
      <c r="Z191" s="168"/>
      <c r="AA191" s="153">
        <v>1</v>
      </c>
      <c r="AB191" s="153">
        <f>PI()*EJ191*EJ191/4*EH191*(1-H191)*AA191*各项系数!$F$5*各项系数!$J$4*10^-7</f>
        <v>2.0651505688902914E-2</v>
      </c>
      <c r="AC191" s="153">
        <f t="shared" ref="AC191:AC196" si="830">EJ191</f>
        <v>172.412400708262</v>
      </c>
      <c r="AD191" s="153">
        <f t="shared" si="584"/>
        <v>2.3346774015073013</v>
      </c>
      <c r="AE191" s="153">
        <f>POWER(4*EU191/PI()/EG191/10^-7/EH191/(1-H191)/各项系数!$F$5/各项系数!$J$4,0.5)</f>
        <v>172.41240070826197</v>
      </c>
      <c r="AF191" s="69">
        <v>1</v>
      </c>
      <c r="AG191" s="69">
        <f>IF(EM191=0,0,PI()*ER191*ER191/4*EP191*(1-K191)*(1+AF191)*各项系数!$F$5*各项系数!$J$4*10^-7)</f>
        <v>0</v>
      </c>
      <c r="AH191" s="69">
        <f t="shared" ref="AH191:AH196" si="831">ER191</f>
        <v>0</v>
      </c>
      <c r="AI191" s="69">
        <f t="shared" si="641"/>
        <v>0</v>
      </c>
      <c r="AJ191" s="69">
        <f>IF(OR(EP191="",EP191=0),0,POWER(4*EW191/PI()/EO191/10^-7/EP191/(1-K191)/各项系数!$F$5/各项系数!$J$4,0.5))</f>
        <v>0</v>
      </c>
      <c r="AK191" s="69" t="str">
        <f t="shared" si="585"/>
        <v>√</v>
      </c>
      <c r="AL191" s="69">
        <f t="shared" ref="AL191:AL196" si="832">AO191*(1+0.02)</f>
        <v>22.133047593942806</v>
      </c>
      <c r="AM191" s="188">
        <f t="shared" ref="AM191:AM196" si="833">EE191*1</f>
        <v>2.5</v>
      </c>
      <c r="AN191" s="97" t="s">
        <v>486</v>
      </c>
      <c r="AO191" s="196">
        <f>AP191+各项系数!$M$9*$NK191</f>
        <v>21.699066268571379</v>
      </c>
      <c r="AP191" s="196">
        <f>AQ191*(1+$BI191+(VLOOKUP($AM191,$A$12:$B$323,2,0))+各项系数!$J$6+各项系数!$M$5)*(1+$E$2)</f>
        <v>21.532642621849554</v>
      </c>
      <c r="AQ191" s="197">
        <f>AR191+各项系数!$L$9*$NK191</f>
        <v>21.972084308009748</v>
      </c>
      <c r="AR191" s="197">
        <f>AS191*(1+$BJ191+各项系数!$J$5+各项系数!$L$5)</f>
        <v>21.805660661287924</v>
      </c>
      <c r="AS191" s="197">
        <f t="shared" si="642"/>
        <v>21.378098687537179</v>
      </c>
      <c r="AT191" s="196">
        <f>AU191+各项系数!$M$9*$NM191</f>
        <v>22.580660471041032</v>
      </c>
      <c r="AU191" s="196">
        <f>AV191*(1+$BI191+(VLOOKUP($AM191,$A$12:$B$323,2,0))+各项系数!$J$6+各项系数!$M$5)*(1+$E$2)</f>
        <v>22.414236824319207</v>
      </c>
      <c r="AV191" s="197">
        <f>AW191+各项系数!$L$9*$NM191</f>
        <v>22.871670228897152</v>
      </c>
      <c r="AW191" s="197">
        <f>AX191*(1+$BJ191+各项系数!$J$5+各项系数!$L$5)</f>
        <v>22.705246582175327</v>
      </c>
      <c r="AX191" s="197">
        <f t="shared" si="643"/>
        <v>22.260045668799339</v>
      </c>
      <c r="AY191" s="196">
        <f>AZ191+各项系数!$M$9*$NS191</f>
        <v>23.046564586754197</v>
      </c>
      <c r="AZ191" s="196">
        <f>BA191*(1+$BI191+(VLOOKUP($AM191,$A$12:$B$214,2,0))+各项系数!$J$6+各项系数!$M$5)*(1+$E$2)</f>
        <v>22.874260249538054</v>
      </c>
      <c r="BA191" s="197">
        <f>BB191+各项系数!$L$9*$NS191</f>
        <v>23.341081887283728</v>
      </c>
      <c r="BB191" s="197">
        <f>BC191*(1+$BJ191+各项系数!$J$5+各项系数!$L$5)</f>
        <v>23.168777550067585</v>
      </c>
      <c r="BC191" s="199">
        <f t="shared" si="644"/>
        <v>22.714487794183906</v>
      </c>
      <c r="BD191" s="196">
        <f>BE191+各项系数!$M$9*$NS191</f>
        <v>23.937112741378368</v>
      </c>
      <c r="BE191" s="196">
        <f>BF191*(1+$BI191+(VLOOKUP($AM191,$A$12:$B$214,2,0))+各项系数!$J$6+各项系数!$M$5)*(1+$E$2)</f>
        <v>23.764808404162224</v>
      </c>
      <c r="BF191" s="197">
        <f>BG191+各项系数!$L$9*$NS191</f>
        <v>24.249804494043087</v>
      </c>
      <c r="BG191" s="197">
        <f>BH191*(1+$BJ191+各项系数!$J$5+各项系数!$L$5)</f>
        <v>24.077500156826943</v>
      </c>
      <c r="BH191" s="199">
        <f t="shared" si="645"/>
        <v>23.605392310614651</v>
      </c>
      <c r="BI191" s="213"/>
      <c r="BJ191" s="208">
        <f t="shared" si="822"/>
        <v>0</v>
      </c>
      <c r="BK191" s="102" t="s">
        <v>514</v>
      </c>
      <c r="BL191" s="196">
        <f>BM191+各项系数!$M$9*$NM191</f>
        <v>22.040094128758735</v>
      </c>
      <c r="BM191" s="196">
        <f>BN191*(1+$CF191+(VLOOKUP($AM191,$A$12:$B$323,2,0))+各项系数!$J$6+各项系数!$M$5)*(1+$E$2)</f>
        <v>21.873670482036911</v>
      </c>
      <c r="BN191" s="197">
        <f>BO191+各项系数!$L$9*$NM191</f>
        <v>22.320071920445827</v>
      </c>
      <c r="BO191" s="197">
        <f>BP191*(1+$CG191+各项系数!$J$5+各项系数!$L$5)</f>
        <v>22.153648273724002</v>
      </c>
      <c r="BP191" s="197">
        <f t="shared" si="646"/>
        <v>21.508396382256311</v>
      </c>
      <c r="BQ191" s="196">
        <f>BR191+各项系数!$M$9*$NM191</f>
        <v>22.798808918595267</v>
      </c>
      <c r="BR191" s="196">
        <f>BS191*(1+$CF191+(VLOOKUP($AM191,$A$12:$B$323,2,0))+各项系数!$J$6+各项系数!$M$5)*(1+$E$2)</f>
        <v>22.632385271873442</v>
      </c>
      <c r="BS191" s="197">
        <f>BT191+各项系数!$L$9*$NM191</f>
        <v>23.094270685585144</v>
      </c>
      <c r="BT191" s="197">
        <f>BU191*(1+$CG191+各项系数!$J$5+各项系数!$L$5)</f>
        <v>22.92784703886332</v>
      </c>
      <c r="BU191" s="197">
        <f t="shared" si="647"/>
        <v>22.260045668799339</v>
      </c>
      <c r="BV191" s="196">
        <f>BW191+各项系数!$M$9*$NT191</f>
        <v>23.241264759069939</v>
      </c>
      <c r="BW191" s="196">
        <f>BX191*(1+$CF191+(VLOOKUP($AM191,$A$12:$B$214,2,0))+各项系数!$J$6+各项系数!$M$5)*(1+$E$2)</f>
        <v>23.068960421853795</v>
      </c>
      <c r="BX191" s="197">
        <f>BY191+各项系数!$L$9*$NT$12</f>
        <v>23.539755532503872</v>
      </c>
      <c r="BY191" s="197">
        <f>BZ191*(1+$CG191+各项系数!$J$5+各项系数!$L$5)</f>
        <v>23.531492129348898</v>
      </c>
      <c r="BZ191" s="199">
        <f t="shared" si="586"/>
        <v>22.846108863445533</v>
      </c>
      <c r="CA191" s="196">
        <f>CB191+各项系数!$M$9*$NT191</f>
        <v>24.007685470642446</v>
      </c>
      <c r="CB191" s="196">
        <f>CC191*(1+$CF191+(VLOOKUP($AM191,$A$12:$B$214,2,0))+各项系数!$J$6+各项系数!$M$5)*(1+$E$2)</f>
        <v>23.835381133426303</v>
      </c>
      <c r="CC191" s="197">
        <f>CD191+各项系数!$L$9*$NT$12</f>
        <v>24.321817483088065</v>
      </c>
      <c r="CD191" s="197">
        <f>CE191*(1+$CG191+各项系数!$J$5+各项系数!$L$5)</f>
        <v>24.313554079933091</v>
      </c>
      <c r="CE191" s="199">
        <f t="shared" si="648"/>
        <v>23.605392310614651</v>
      </c>
      <c r="CF191" s="213">
        <f t="shared" si="753"/>
        <v>0</v>
      </c>
      <c r="CG191" s="213">
        <f t="shared" si="587"/>
        <v>0.01</v>
      </c>
      <c r="CH191" s="102"/>
      <c r="CI191" s="196">
        <f>CJ191+各项系数!$M$9*$NO191</f>
        <v>23.704853366221741</v>
      </c>
      <c r="CJ191" s="196">
        <f>CK191*(1+$DC191+(VLOOKUP($AM191,$A$12:$B$323,2,0))+各项系数!$J$6+各项系数!$M$5)*(1+$E$2)+各项系数!$M$9*$NK191</f>
        <v>23.440643041248403</v>
      </c>
      <c r="CK191" s="197">
        <f>CL191+各项系数!$L$9*$NO191</f>
        <v>23.749203463802633</v>
      </c>
      <c r="CL191" s="197">
        <f>CM191*(1+$DD191+各项系数!$J$5+各项系数!$L$5)</f>
        <v>23.484993138829296</v>
      </c>
      <c r="CM191" s="197">
        <f t="shared" si="588"/>
        <v>23.024503077283622</v>
      </c>
      <c r="CN191" s="196">
        <f>CO191+各项系数!$M$9*$NO191</f>
        <v>24.362390664181618</v>
      </c>
      <c r="CO191" s="196">
        <f>CP191*(1+$DC191+(VLOOKUP($AM191,$A$12:$B$323,2,0))+各项系数!$J$6+各项系数!$M$5)*(1+$E$2)+各项系数!$M$9*$NK191</f>
        <v>24.09818033920828</v>
      </c>
      <c r="CP191" s="197">
        <f>CQ191+各项系数!$L$9*$NO191</f>
        <v>24.420159890292304</v>
      </c>
      <c r="CQ191" s="197">
        <f>CR191*(1+$DD191+各项系数!$J$5+各项系数!$L$5)</f>
        <v>24.155949565318966</v>
      </c>
      <c r="CR191" s="197">
        <f t="shared" si="589"/>
        <v>23.68230349541075</v>
      </c>
      <c r="CS191" s="196">
        <f>CT191+各项系数!$M$9*$NU191</f>
        <v>25.143590095208353</v>
      </c>
      <c r="CT191" s="196">
        <f t="shared" si="590"/>
        <v>24.87236345429433</v>
      </c>
      <c r="CU191" s="197">
        <f>CV191+各项系数!$L$9*$NU191</f>
        <v>25.379962708463601</v>
      </c>
      <c r="CV191" s="197">
        <f>CW191*(1+$DD191+各项系数!$J$5+各项系数!$L$5)</f>
        <v>25.108736067549579</v>
      </c>
      <c r="CW191" s="199">
        <f t="shared" si="591"/>
        <v>24.61640790936233</v>
      </c>
      <c r="CX191" s="196">
        <f>CY191+各项系数!$M$9*$NU191</f>
        <v>26.185795814449683</v>
      </c>
      <c r="CY191" s="196">
        <f t="shared" si="592"/>
        <v>25.914569173535661</v>
      </c>
      <c r="CZ191" s="197">
        <f>DA191+各项系数!$L$9*$NU191</f>
        <v>26.443437932179247</v>
      </c>
      <c r="DA191" s="197">
        <f>DB191*(1+$DD191+各项系数!$J$5+各项系数!$L$5)</f>
        <v>26.172211291265224</v>
      </c>
      <c r="DB191" s="199">
        <f t="shared" si="593"/>
        <v>25.659030677711005</v>
      </c>
      <c r="DC191" s="213">
        <f t="shared" si="827"/>
        <v>0</v>
      </c>
      <c r="DD191" s="213">
        <f t="shared" si="594"/>
        <v>0</v>
      </c>
      <c r="DE191" s="53" t="s">
        <v>498</v>
      </c>
      <c r="DF191" s="53" t="s">
        <v>513</v>
      </c>
      <c r="DG191" s="196">
        <f>DH191+各项系数!$M$9*$NQ191</f>
        <v>24.084641343511464</v>
      </c>
      <c r="DH191" s="196">
        <f>DI191*(1+$EA191+(VLOOKUP($AM191,$A$12:$B$323,2,0))+各项系数!$J$6+各项系数!$M$5)*(1+$E$2)+各项系数!$M$9*$NK191</f>
        <v>23.820431018538127</v>
      </c>
      <c r="DI191" s="197">
        <f>DJ191+各项系数!$L$9*$NQ191</f>
        <v>24.136742216139083</v>
      </c>
      <c r="DJ191" s="197">
        <f>DK191*(1+$EB191+各项系数!$J$5+各项系数!$L$5)</f>
        <v>23.872531891165746</v>
      </c>
      <c r="DK191" s="197">
        <f t="shared" si="595"/>
        <v>23.177215428316259</v>
      </c>
      <c r="DL191" s="196">
        <f>DM191+各项系数!$M$9*$NQ191</f>
        <v>24.973875182751108</v>
      </c>
      <c r="DM191" s="196">
        <f>DN191*(1+$EA191+(VLOOKUP($AM191,$A$12:$B$323,2,0))+各项系数!$J$6+各项系数!$M$5)*(1+$E$2)+各项系数!$M$9*$NK191</f>
        <v>24.709664857777771</v>
      </c>
      <c r="DN191" s="197">
        <f>DO191+各项系数!$L$9*$NQ191</f>
        <v>25.044123684750964</v>
      </c>
      <c r="DO191" s="197">
        <f>DP191*(1+$EB191+各项系数!$J$5+各项系数!$L$5)</f>
        <v>24.779913359777627</v>
      </c>
      <c r="DP191" s="197">
        <f t="shared" si="596"/>
        <v>24.058168310463714</v>
      </c>
      <c r="DQ191" s="196">
        <f>DR191+各项系数!$M$9*$NV191</f>
        <v>25.540314554115636</v>
      </c>
      <c r="DR191" s="196">
        <f t="shared" si="597"/>
        <v>25.269087913201613</v>
      </c>
      <c r="DS191" s="197">
        <f>DT191+各项系数!$L$9*$NV191</f>
        <v>25.784783584899607</v>
      </c>
      <c r="DT191" s="197">
        <f>DU191*(1+$EB191+各项系数!$J$5+各项系数!$L$5)</f>
        <v>25.513556943985584</v>
      </c>
      <c r="DU191" s="199">
        <f t="shared" si="598"/>
        <v>24.770443634937461</v>
      </c>
      <c r="DV191" s="196">
        <f>DW191+各项系数!$M$9*$NV191</f>
        <v>25.254342277458019</v>
      </c>
      <c r="DW191" s="196">
        <f t="shared" si="599"/>
        <v>24.983115636543996</v>
      </c>
      <c r="DX191" s="197">
        <f>DY191+各项系数!$L$9*$NV191</f>
        <v>25.492975139330607</v>
      </c>
      <c r="DY191" s="197">
        <f>DZ191*(1+$EB191+各项系数!$J$5+各项系数!$L$5)</f>
        <v>25.221748498416584</v>
      </c>
      <c r="DZ191" s="199">
        <f t="shared" si="600"/>
        <v>24.487134464482121</v>
      </c>
      <c r="EA191" s="213">
        <f t="shared" si="826"/>
        <v>0</v>
      </c>
      <c r="EB191" s="213">
        <f t="shared" si="601"/>
        <v>0.01</v>
      </c>
      <c r="EC191" s="235">
        <f t="shared" si="649"/>
        <v>14</v>
      </c>
      <c r="ED191" s="235" t="str">
        <f t="shared" ref="ED191:ED196" si="834">IF(COUNTIF($D191,"*+*")&gt;0,MID($D191,1,FIND("+",$D191)-1),MID($D191,1,LEN($D191)))</f>
        <v>14*2.5</v>
      </c>
      <c r="EE191" s="189">
        <f t="shared" ref="EE191:EE196" si="835">IF($D191="",0,IF(COUNTIF($D191,"*+*")&gt;0,MID($D191,FIND("*",$D191)+1,FIND("+",$D191)-FIND("*",$D191)-1),RIGHT($D191,(LEN($D191)-FIND("*",$D191)))))*1</f>
        <v>2.5</v>
      </c>
      <c r="EF191" s="189">
        <f>LOOKUP(EH191,{1,7,10,14,19,24,30,37,48,61},{1,"1+6","2+8","4+10","1+6+12","2+8+14","4+10+16","1+6+12+18","3+9+15+21","1+6+12+18+24"})</f>
        <v>1</v>
      </c>
      <c r="EG191" s="188">
        <f t="shared" si="602"/>
        <v>14</v>
      </c>
      <c r="EH191" s="197">
        <f>VLOOKUP(EE191,各项系数!$B$87:$C$124,2,0)</f>
        <v>1</v>
      </c>
      <c r="EI191" s="188">
        <f>IF(EH191=0,0,VLOOKUP(EH191,各项系数!$D$142:$E$195,2,0))*1</f>
        <v>1</v>
      </c>
      <c r="EJ191" s="238">
        <f t="shared" si="650"/>
        <v>172.412400708262</v>
      </c>
      <c r="EK191" s="189">
        <f t="shared" ref="EK191:EK196" si="836">IF(COUNTIF($D191,"*+*")&gt;0,MID($D191,FIND("+",$D191)+1,LEN($D191)),0)</f>
        <v>0</v>
      </c>
      <c r="EL191" s="189">
        <f t="shared" si="603"/>
        <v>0</v>
      </c>
      <c r="EM191" s="189">
        <f t="shared" ref="EM191:EM196" si="837">EL191/1</f>
        <v>0</v>
      </c>
      <c r="EN191" s="189">
        <f>IF(EP191=0,0,LOOKUP(EP191,{1,7,10,14,19,24,30,37,48,61},{1,"1+6","2+8","4+10","1+6+12","2+8+14","4+10+16","1+6+12+18","3+9+15+21","1+6+12+18+24"}))</f>
        <v>0</v>
      </c>
      <c r="EO191" s="189">
        <f t="shared" ref="EO191:EO196" si="838">IF(EK191=0,0,MID(EK191,1,1))</f>
        <v>0</v>
      </c>
      <c r="EP191" s="189">
        <f>IF(EM191=0,0,IF(EM191&lt;10,1,IF(AND(EM191&gt;=10,EM191&lt;=35),7,LOOKUP(EM191,{50,70,95,120,150,185,240,300},{10,14,19,24,30,37,48,61})*1)))</f>
        <v>0</v>
      </c>
      <c r="EQ191" s="189">
        <f>IF(EP191=0,0,VLOOKUP(EP191,各项系数!$D$142:$E$195,2,0))*1</f>
        <v>0</v>
      </c>
      <c r="ER191" s="53">
        <f t="shared" ref="ER191:ER196" si="839">$I191-$J191</f>
        <v>0</v>
      </c>
      <c r="ES191" s="412">
        <f t="shared" ref="ES191:ES196" si="840">EO191+EG191</f>
        <v>14</v>
      </c>
      <c r="ET191" s="189">
        <f>VLOOKUP(ES191,各项系数!$D$142:$E$195,2,0)*1</f>
        <v>4.41</v>
      </c>
      <c r="EU191" s="243">
        <f>((各项系数!$F$76/4*$EJ191^2*$EG191*$EH191*1*10^-7)*(1-$H191)*AA191)*(VLOOKUP($EY$9,各项系数!$D$4:$F$143,3,0))*各项系数!$J$4</f>
        <v>0.28912107964464079</v>
      </c>
      <c r="EV191" s="244">
        <f>EU191*(VLOOKUP($EY$9,各项系数!$D$4:$F$143,2,0))</f>
        <v>18.93743071672397</v>
      </c>
      <c r="EW191" s="252">
        <f>(IF($EO191=0,0,(各项系数!$F$76/4*$ER191^2*$EO191*$EP191*1*10^-7))*(1-$K191)*$AF191)*(VLOOKUP($EY$9,各项系数!$D$4:$F$143,3,0))*各项系数!$J$4</f>
        <v>0</v>
      </c>
      <c r="EX191" s="253">
        <f>EW191*(VLOOKUP($EY$9,各项系数!$D$4:$F$143,2,0))</f>
        <v>0</v>
      </c>
      <c r="EY191" s="189">
        <f>((各项系数!$F$76/4*$EJ191^2*$EG191*$EH191*1*10^-7)*(1-$H191)*AA191+IF($EO191=0,0,(各项系数!$F$76/4*$ER191^2*$EO191*$EP191*1*10^-7))*(1-$K191)*$AF191)*(VLOOKUP($EY$9,各项系数!$D$4:$F$143,3,0))*各项系数!$J$4</f>
        <v>0.28912107964464079</v>
      </c>
      <c r="EZ191" s="102">
        <v>1</v>
      </c>
      <c r="FA191" s="189">
        <f t="shared" ref="FA191:FA196" si="841">EZ191*EY191</f>
        <v>0.28912107964464079</v>
      </c>
      <c r="FB191" s="254">
        <f>FA191*(VLOOKUP($EY$9,各项系数!$D$4:$F$143,2,0))</f>
        <v>18.93743071672397</v>
      </c>
      <c r="FC191" s="255"/>
      <c r="FD191" s="235">
        <f>各项系数!$F$76/4*($MN191^2-MK191^2)*10^-2*(VLOOKUP(L191,各项系数!$D$1:$F$143,3,0))*10^-3*10^2*$EG191*各项系数!$J$4</f>
        <v>8.1685796364640448E-2</v>
      </c>
      <c r="FE191" s="262">
        <f>FD191*VLOOKUP(L191,各项系数!$D$1:$F$143,2,0)</f>
        <v>0.9393866581933652</v>
      </c>
      <c r="FF191" s="188">
        <f>各项系数!$F$76/4*($MO191^2-ML191^2)*10^-2*(VLOOKUP(L191,各项系数!$D$1:$F$143,3,0))*10^-3*10^2*$EO191*各项系数!$J$4</f>
        <v>0</v>
      </c>
      <c r="FG191" s="262">
        <f>FF191*VLOOKUP(L191,各项系数!$D$1:$F$143,2,0)</f>
        <v>0</v>
      </c>
      <c r="FH191" s="235">
        <f t="shared" si="651"/>
        <v>8.1685796364640448E-2</v>
      </c>
      <c r="FI191" s="102">
        <v>1</v>
      </c>
      <c r="FJ191" s="189">
        <f t="shared" ref="FJ191:FJ196" si="842">FI191*FH191</f>
        <v>8.1685796364640448E-2</v>
      </c>
      <c r="FK191" s="262">
        <f>FJ191*VLOOKUP(L191,各项系数!$D$1:$F$143,2,0)</f>
        <v>0.9393866581933652</v>
      </c>
      <c r="FL191" s="235"/>
      <c r="FM191" s="102"/>
      <c r="FN191" s="189"/>
      <c r="FO191" s="262"/>
      <c r="FP191" s="282">
        <f t="shared" ref="FP191:FP196" si="843">FJ191</f>
        <v>8.1685796364640448E-2</v>
      </c>
      <c r="FQ191" s="282">
        <f t="shared" ref="FQ191:FQ196" si="844">FK191</f>
        <v>0.9393866581933652</v>
      </c>
      <c r="FR191" s="283">
        <f>各项系数!$F$76/4*($MQ191^2-$MN191^2*$EG191-$MO191^2*$EO191)*10^-2</f>
        <v>0.41762979985229565</v>
      </c>
      <c r="FS191" s="284">
        <f t="shared" si="652"/>
        <v>1</v>
      </c>
      <c r="FT191" s="285">
        <f t="shared" si="604"/>
        <v>0.41762979985229565</v>
      </c>
      <c r="FU191" s="302">
        <f>$FT191*(VLOOKUP($FT$9,各项系数!$D$1:$F$143,3,0))*10^-3*10^2*各项系数!$J$55</f>
        <v>4.9864998102364097E-2</v>
      </c>
      <c r="FV191" s="303">
        <v>1</v>
      </c>
      <c r="FW191" s="304">
        <f t="shared" ref="FW191:FW196" si="845">FV191*FU191</f>
        <v>4.9864998102364097E-2</v>
      </c>
      <c r="FX191" s="285">
        <f>FW191*(VLOOKUP($FT$9,各项系数!$D$1:$F$143,2,0))</f>
        <v>0.14959499430709228</v>
      </c>
      <c r="FY191" s="302">
        <f>IF($BK191&lt;&gt;$FY$9,0,各项系数!$F$76/4*($MS191^2-$MQ191^2)*10^-2*(VLOOKUP($FY$9,各项系数!$D$1:$F$143,3,0))*10^-3*10^2)*各项系数!$J$4</f>
        <v>0</v>
      </c>
      <c r="FZ191" s="303">
        <v>1</v>
      </c>
      <c r="GA191" s="304">
        <f t="shared" ref="GA191:GA196" si="846">FZ191*FY191</f>
        <v>0</v>
      </c>
      <c r="GB191" s="285">
        <f>GA191*(VLOOKUP($FY$9,各项系数!$D$1:$F$143,2,0))</f>
        <v>0</v>
      </c>
      <c r="GC191" s="302">
        <f>IF($BK191&lt;&gt;$GC$9,0,各项系数!$F$76/4*($MS191^2-$MQ191^2)*10^-2*(VLOOKUP($GC$9,各项系数!$D$1:$F$143,3,0))*10^-3*10^2)*各项系数!$J$4</f>
        <v>3.7759202419704002E-3</v>
      </c>
      <c r="GD191" s="303">
        <v>1</v>
      </c>
      <c r="GE191" s="304">
        <f t="shared" ref="GE191:GE196" si="847">GD191*GC191</f>
        <v>3.7759202419704002E-3</v>
      </c>
      <c r="GF191" s="285">
        <f>GE191*(VLOOKUP($GC$9,各项系数!$D$1:$F$143,2,0))</f>
        <v>4.8709371121418162E-2</v>
      </c>
      <c r="GG191" s="302">
        <f>IF($BK191&lt;&gt;$GG$9,0,各项系数!$F$76/4*($MS191^2-$MQ191^2)*10^-2*(VLOOKUP($GG$9,各项系数!$D$1:$F$143,3,0))*10^-3*10^2)*各项系数!$J$4</f>
        <v>0</v>
      </c>
      <c r="GH191" s="303">
        <v>1</v>
      </c>
      <c r="GI191" s="304">
        <f t="shared" ref="GI191:GI196" si="848">GH191*GG191</f>
        <v>0</v>
      </c>
      <c r="GJ191" s="285">
        <f>GI191*(VLOOKUP($GG$9,各项系数!$D$1:$F$143,2,0))</f>
        <v>0</v>
      </c>
      <c r="GK191" s="302">
        <f>IF($BK191&lt;&gt;$GK$9,0,各项系数!$F$76/4*($MS191^2-$MQ191^2)*10^-2*(VLOOKUP($GK$9,各项系数!$D$1:$F$143,3,0))*10^-3*10^2)*各项系数!$J$4</f>
        <v>0</v>
      </c>
      <c r="GL191" s="303">
        <v>1</v>
      </c>
      <c r="GM191" s="304">
        <f t="shared" ref="GM191:GM196" si="849">GL191*GK191</f>
        <v>0</v>
      </c>
      <c r="GN191" s="285">
        <f>GM191*(VLOOKUP($GK$9,各项系数!$D$1:$F$143,2,0))</f>
        <v>0</v>
      </c>
      <c r="GO191" s="304">
        <f t="shared" ref="GO191:GO196" si="850">GM191+GI191+GE191+GA191</f>
        <v>3.7759202419704002E-3</v>
      </c>
      <c r="GP191" s="304">
        <f t="shared" ref="GP191:GP196" si="851">GN191+GJ191+GF191+GB191</f>
        <v>4.8709371121418162E-2</v>
      </c>
      <c r="GQ191" s="315">
        <f>各项系数!$F$76/4*($MU191^2-$MS191^2)*10^-2*(VLOOKUP($S191,各项系数!$D$1:$F$143,3,0))*10^-3*10^2*各项系数!$J$4</f>
        <v>0.21344944575653294</v>
      </c>
      <c r="GR191" s="303">
        <v>1</v>
      </c>
      <c r="GS191" s="304">
        <f t="shared" ref="GS191:GS196" si="852">$GR191*$GQ191</f>
        <v>0.21344944575653294</v>
      </c>
      <c r="GT191" s="304">
        <f t="shared" si="696"/>
        <v>1</v>
      </c>
      <c r="GU191" s="304">
        <f>ROUND($GS191*(VLOOKUP($S191,各项系数!$D$1:$F$143,2,0))+$E$3*GS191,GT191)</f>
        <v>1.2</v>
      </c>
      <c r="GV191" s="315">
        <f>各项系数!$F$76/4*($MT191^2-$MS191^2)*10^-2*(VLOOKUP($GV$9,各项系数!$D$1:$F$143,3,0))*10^-3*10^2*各项系数!$J$4*PI()/4*R191</f>
        <v>1.9602301647730049E-2</v>
      </c>
      <c r="GW191" s="303">
        <v>1</v>
      </c>
      <c r="GX191" s="304">
        <f t="shared" ref="GX191:GX196" si="853">$GW191*$GV191</f>
        <v>1.9602301647730049E-2</v>
      </c>
      <c r="GY191" s="304">
        <f>$GX191*(VLOOKUP($GV$9,各项系数!$D$1:$F$143,2,0))</f>
        <v>1.3231553612217783</v>
      </c>
      <c r="GZ191" s="315">
        <f>各项系数!$F$76/4*($MV191^2-$MS191^2)*10^-2*(VLOOKUP($GZ$9,各项系数!$D$1:$F$143,3,0))*10^-3*10^2*各项系数!$J$4</f>
        <v>0.12852493696785255</v>
      </c>
      <c r="HA191" s="303">
        <v>1</v>
      </c>
      <c r="HB191" s="304">
        <f t="shared" si="653"/>
        <v>0.12852493696785255</v>
      </c>
      <c r="HC191" s="304">
        <f>HB191*(VLOOKUP($GZ$9,各项系数!$D$1:$F$143,2,0))</f>
        <v>2.1849239284534936</v>
      </c>
      <c r="HD191" s="315">
        <f>各项系数!$F$76/4*($MW191^2-$MT191^2)*10^-2*(VLOOKUP($HD$9,各项系数!$D$1:$F$143,3,0))*10^-3*10^2*各项系数!$J$4</f>
        <v>0.12983030641453094</v>
      </c>
      <c r="HE191" s="303">
        <v>1</v>
      </c>
      <c r="HF191" s="304">
        <f t="shared" si="654"/>
        <v>0.12983030641453094</v>
      </c>
      <c r="HG191" s="304">
        <f>HF191*(VLOOKUP($HD$9,各项系数!$D$1:$F$143,2,0))</f>
        <v>2.2071152090470258</v>
      </c>
      <c r="HH191" s="315">
        <f>各项系数!$F$76/4*($MV191^2-$MS191^2)*10^-2*(VLOOKUP($HH$9,各项系数!$D$1:$F$143,3,0))*10^-3*10^2*各项系数!$J$4</f>
        <v>0.12852493696785255</v>
      </c>
      <c r="HI191" s="322">
        <v>1</v>
      </c>
      <c r="HJ191" s="304">
        <f t="shared" si="655"/>
        <v>0.12852493696785255</v>
      </c>
      <c r="HK191" s="304">
        <f>HJ191*(VLOOKUP($HH$9,各项系数!$D$1:$F$143,2,0))</f>
        <v>2.1849239284534936</v>
      </c>
      <c r="HL191" s="315">
        <f>各项系数!$F$76/4*($MW191^2-$MT191^2)*10^-2*(VLOOKUP($HL$9,各项系数!$D$1:$F$143,3,0))*10^-3*10^2*各项系数!$J$4</f>
        <v>0.12983030641453094</v>
      </c>
      <c r="HM191" s="322">
        <v>1</v>
      </c>
      <c r="HN191" s="304">
        <f t="shared" si="605"/>
        <v>0.12983030641453094</v>
      </c>
      <c r="HO191" s="304">
        <f>HN191*(VLOOKUP($HL$9,各项系数!$D$1:$F$143,2,0))</f>
        <v>2.2071152090470258</v>
      </c>
      <c r="HP191" s="315">
        <f>各项系数!$F$76/4*($MV191^2-$MS191^2)*10^-2*(VLOOKUP(AN191,各项系数!$D$1:$F$143,3,0))*10^-3*10^2*各项系数!$J$4</f>
        <v>0.1302976947191333</v>
      </c>
      <c r="HQ191" s="303">
        <v>1</v>
      </c>
      <c r="HR191" s="304">
        <f t="shared" ref="HR191:HR196" si="854">HQ191*HP191</f>
        <v>0.1302976947191333</v>
      </c>
      <c r="HS191" s="304">
        <f>HR191*(VLOOKUP(AN191,各项系数!$D$1:$F$143,2,0))</f>
        <v>1.3029769471913331</v>
      </c>
      <c r="HT191" s="315">
        <f>各项系数!$F$76/4*($MW191^2-$MT191^2)*10^-2*(VLOOKUP(AN191,各项系数!$D$1:$F$143,3,0))*10^-3*10^2*各项系数!$J$4</f>
        <v>0.13162106926162792</v>
      </c>
      <c r="HU191" s="303">
        <v>1</v>
      </c>
      <c r="HV191" s="304">
        <f t="shared" ref="HV191:HV196" si="855">HU191*HT191</f>
        <v>0.13162106926162792</v>
      </c>
      <c r="HW191" s="304">
        <f>HV191*(VLOOKUP(AN191,各项系数!$D$1:$F$143,2,0))</f>
        <v>1.3162106926162793</v>
      </c>
      <c r="HX191" s="315">
        <f>各项系数!$F$76/4*($MV191^2-$MS191^2)*10^-2*(VLOOKUP($HX$9,各项系数!$D$1:$F$143,3,0))*10^-3*10^2*各项系数!$J$4</f>
        <v>0.1302976947191333</v>
      </c>
      <c r="HY191" s="322">
        <v>1</v>
      </c>
      <c r="HZ191" s="304">
        <f t="shared" ref="HZ191:HZ196" si="856">HY191*HX191</f>
        <v>0.1302976947191333</v>
      </c>
      <c r="IA191" s="304">
        <f>HZ191*(VLOOKUP($HX$9,各项系数!$D$1:$F$143,2,0))</f>
        <v>1.4332746419104663</v>
      </c>
      <c r="IB191" s="315">
        <f>各项系数!$F$76/4*($MW191^2-$MT191^2)*10^-2*(VLOOKUP($IB$9,各项系数!$D$1:$F$143,3,0))*10^-3*10^2*各项系数!$J$4</f>
        <v>0.13162106926162792</v>
      </c>
      <c r="IC191" s="322">
        <v>1</v>
      </c>
      <c r="ID191" s="304">
        <f t="shared" ref="ID191:ID196" si="857">IC191*IB191</f>
        <v>0.13162106926162792</v>
      </c>
      <c r="IE191" s="304">
        <f>ID191*(VLOOKUP($IB$9,各项系数!$D$1:$F$143,2,0))</f>
        <v>1.4478317618779071</v>
      </c>
      <c r="IF191" s="328"/>
      <c r="IG191" s="315">
        <f t="shared" si="656"/>
        <v>3.9861223001282739E-2</v>
      </c>
      <c r="IH191" s="303">
        <v>1</v>
      </c>
      <c r="II191" s="304">
        <f t="shared" ref="II191:II196" si="858">IH191*IG191</f>
        <v>3.9861223001282739E-2</v>
      </c>
      <c r="IJ191" s="304">
        <f>II191*(VLOOKUP($IG$8,各项系数!$D$1:$F$143,2,0))</f>
        <v>0.99653057503206843</v>
      </c>
      <c r="IK191" s="315">
        <f>(各项系数!$F$76/4*($MX191^2-$MK191^2)*$EG191)*10^-2*(VLOOKUP($IG$8,各项系数!$D$1:$F$143,3,0))*10^-3*10^2*各项系数!$J$4</f>
        <v>3.9861223001282739E-2</v>
      </c>
      <c r="IL191" s="303">
        <f>IK191*(VLOOKUP($IG$8,各项系数!$D$1:$F$143,2,0))</f>
        <v>0.99653057503206843</v>
      </c>
      <c r="IM191" s="304">
        <f>(各项系数!$F$76/4*(($MM191+3*$X191)^2-MM191^2)*$EO191)*10^-2*(VLOOKUP($IG$8,各项系数!$D$1:$F$143,3,0))*10^-3*10^2*各项系数!$J$4</f>
        <v>0</v>
      </c>
      <c r="IN191" s="303">
        <f>IM191*(VLOOKUP($IG$8,各项系数!$D$1:$F$143,2,0))</f>
        <v>0</v>
      </c>
      <c r="IO191" s="315">
        <f>各项系数!$F$76/4*($MZ191^2-$MX191^2)*10^-2*(VLOOKUP(L191,各项系数!$D$1:$F$143,3,0))*10^-3*10^2*$ES191*各项系数!$J$4</f>
        <v>0.10190401854164215</v>
      </c>
      <c r="IP191" s="303">
        <v>1</v>
      </c>
      <c r="IQ191" s="304">
        <f t="shared" ref="IQ191:IQ196" si="859">IP191*IO191</f>
        <v>0.10190401854164215</v>
      </c>
      <c r="IR191" s="285">
        <f>IQ191*(VLOOKUP(L191,各项系数!$D$1:$F$143,2,0))</f>
        <v>1.1718962132288846</v>
      </c>
      <c r="IS191" s="315">
        <f>IF($L191&lt;&gt;$IS$9,0,各项系数!$F$76/4*($MZ191^2-$MX191^2)*10^-2*各项系数!$F$12*10^-3*10^2)*$ES191*各项系数!$J$4</f>
        <v>0</v>
      </c>
      <c r="IT191" s="303">
        <v>1</v>
      </c>
      <c r="IU191" s="304">
        <f t="shared" ref="IU191:IU196" si="860">IT191*IS191</f>
        <v>0</v>
      </c>
      <c r="IV191" s="285">
        <f>IU191*各项系数!$E$12</f>
        <v>0</v>
      </c>
      <c r="IW191" s="302">
        <f t="shared" ref="IW191:IW196" si="861">IQ191</f>
        <v>0.10190401854164215</v>
      </c>
      <c r="IX191" s="302">
        <f t="shared" ref="IX191:IX196" si="862">IR191</f>
        <v>1.1718962132288846</v>
      </c>
      <c r="IY191" s="339">
        <f>各项系数!$F$76/4*($NB191^2-$MZ191^2*$EG191-$NA191^2*$EO191)*10^-2</f>
        <v>0.59344874997464903</v>
      </c>
      <c r="IZ191" s="284">
        <f t="shared" si="697"/>
        <v>1</v>
      </c>
      <c r="JA191" s="285">
        <f t="shared" si="606"/>
        <v>0.59344874997464903</v>
      </c>
      <c r="JB191" s="282">
        <f>IF($DE191&lt;&gt;$JB$9,0,$JA191*各项系数!$F$32*10^-3*10^2)*各项系数!$J$4</f>
        <v>0</v>
      </c>
      <c r="JC191" s="102">
        <v>1</v>
      </c>
      <c r="JD191" s="189">
        <f t="shared" ref="JD191:JD196" si="863">JC191*JB191</f>
        <v>0</v>
      </c>
      <c r="JE191" s="262">
        <f>JD191*各项系数!$E$32</f>
        <v>0</v>
      </c>
      <c r="JF191" s="282">
        <f>IF($DE191&lt;&gt;$JF$9,0,$JA191*VLOOKUP($JF$9,各项系数!$D$4:$F$540,2,0)*10^-3*10^2)*各项系数!$J$4</f>
        <v>0.2952407531123879</v>
      </c>
      <c r="JG191" s="102">
        <v>1</v>
      </c>
      <c r="JH191" s="189">
        <f t="shared" si="607"/>
        <v>0.2952407531123879</v>
      </c>
      <c r="JI191" s="262">
        <f>JH191*VLOOKUP($JF$9,各项系数!$D$4:$F$540,3,0)</f>
        <v>0.35428890373486549</v>
      </c>
      <c r="JJ191" s="282">
        <f t="shared" ref="JJ191:JJ196" si="864">JH191+JD191</f>
        <v>0.2952407531123879</v>
      </c>
      <c r="JK191" s="189">
        <f t="shared" ref="JK191:JK196" si="865">JI191+JE191</f>
        <v>0.35428890373486549</v>
      </c>
      <c r="JL191" s="282">
        <f>IF($DF191&lt;&gt;$JL$9,0,各项系数!$F$76/4*($NE191^2-$NC191^2)*10^-2*各项系数!$F$39*10^-3*10^2)*各项系数!$J$4</f>
        <v>1.8616579118734752E-3</v>
      </c>
      <c r="JM191" s="102">
        <v>1</v>
      </c>
      <c r="JN191" s="189">
        <f t="shared" ref="JN191:JN196" si="866">JM191*JL191</f>
        <v>1.8616579118734752E-3</v>
      </c>
      <c r="JO191" s="262">
        <f>JN191*各项系数!$E$39</f>
        <v>3.7233158237469505E-2</v>
      </c>
      <c r="JP191" s="282">
        <f>IF($DF191&lt;&gt;$JP$9,0,各项系数!$F$76/4*($NE191^2-$NC191^2)*10^-2*各项系数!$F$36*10^-3*10^2)*各项系数!$J$4</f>
        <v>0</v>
      </c>
      <c r="JQ191" s="102">
        <v>1</v>
      </c>
      <c r="JR191" s="189">
        <f t="shared" ref="JR191:JR196" si="867">JQ191*JP191</f>
        <v>0</v>
      </c>
      <c r="JS191" s="262">
        <f>JR191*各项系数!$E$36</f>
        <v>0</v>
      </c>
      <c r="JT191" s="282">
        <f>IF($DF191&lt;&gt;$JT$9,0,各项系数!$F$76/4*($NE191^2-$NC191^2)*10^-2*各项系数!$F$40*10^-3*10^2)*各项系数!$J$4</f>
        <v>0</v>
      </c>
      <c r="JU191" s="102">
        <v>1</v>
      </c>
      <c r="JV191" s="189">
        <f t="shared" ref="JV191:JV196" si="868">JU191*JT191</f>
        <v>0</v>
      </c>
      <c r="JW191" s="262">
        <f>JV191*各项系数!$E$40</f>
        <v>0</v>
      </c>
      <c r="JX191" s="282">
        <f>IF($DF191&lt;&gt;$JX$9,0,各项系数!$F$76/4*($NE191^2-$NC191^2)*10^-2*各项系数!$F$38*10^-3*10^2)*各项系数!$J$4</f>
        <v>0</v>
      </c>
      <c r="JY191" s="102">
        <v>1</v>
      </c>
      <c r="JZ191" s="189">
        <f t="shared" ref="JZ191:JZ196" si="869">JY191*JX191</f>
        <v>0</v>
      </c>
      <c r="KA191" s="262">
        <f>JZ191*各项系数!$E$38</f>
        <v>0</v>
      </c>
      <c r="KB191" s="282">
        <f>IF($DF191&lt;&gt;$KB$9,0,各项系数!$F$76/4*($NE191^2-$NC191^2)*10^-2*各项系数!$F$41*10^-3*10^2)*各项系数!$J$4</f>
        <v>0</v>
      </c>
      <c r="KC191" s="102">
        <v>1</v>
      </c>
      <c r="KD191" s="189">
        <f t="shared" ref="KD191:KD196" si="870">KC191*KB191</f>
        <v>0</v>
      </c>
      <c r="KE191" s="262">
        <f>KD191*各项系数!$E$41</f>
        <v>0</v>
      </c>
      <c r="KF191" s="189">
        <f t="shared" ref="KF191:KF196" si="871">KD191+JZ191+JV191+JR191+JN191</f>
        <v>1.8616579118734752E-3</v>
      </c>
      <c r="KG191" s="189">
        <f t="shared" ref="KG191:KG196" si="872">KE191+KA191+JW191+JS191+JO191</f>
        <v>3.7233158237469505E-2</v>
      </c>
      <c r="KH191" s="235">
        <f>各项系数!$F$76/4*($NG191^2-$NE191^2)*10^-2*各项系数!$F$44*10^-3*10^2*各项系数!$J$4*0.75*$U191</f>
        <v>0.75958820963122742</v>
      </c>
      <c r="KI191" s="102">
        <v>1</v>
      </c>
      <c r="KJ191" s="189">
        <f t="shared" ref="KJ191:KJ196" si="873">KI191*KH191</f>
        <v>0.75958820963122742</v>
      </c>
      <c r="KK191" s="189">
        <f>ROUND(KJ191*各项系数!$E$43,GT191)</f>
        <v>4.4000000000000004</v>
      </c>
      <c r="KL191" s="235">
        <f>各项系数!$F$76/4*($NF191^2-$NE191^2)*10^-2*各项系数!$F$46*10^-3*10^2*各项系数!$J$4*PI()/4*R191</f>
        <v>2.338771980227794E-2</v>
      </c>
      <c r="KM191" s="102">
        <v>1</v>
      </c>
      <c r="KN191" s="189">
        <f t="shared" ref="KN191:KN196" si="874">$KL191*$KM191</f>
        <v>2.338771980227794E-2</v>
      </c>
      <c r="KO191" s="189">
        <f>KN191*各项系数!$E$46</f>
        <v>1.578671086653761</v>
      </c>
      <c r="KP191" s="235">
        <f>各项系数!$F$76/4*($NH191^2-$NE191^2)*10^-2*(VLOOKUP($KP$9,各项系数!$D$1:$F$143,3,0))*10^-3*10^2*各项系数!$J$4</f>
        <v>0.15063463197096794</v>
      </c>
      <c r="KQ191" s="102">
        <v>1</v>
      </c>
      <c r="KR191" s="189">
        <f t="shared" si="657"/>
        <v>0.15063463197096794</v>
      </c>
      <c r="KS191" s="189">
        <f>KR191*(VLOOKUP($KP$9,各项系数!$D$1:$F$143,2,0))</f>
        <v>2.5607887435064551</v>
      </c>
      <c r="KT191" s="235">
        <f>各项系数!$F$76/4*($NI191^2-$NF191^2)*10^-2*(VLOOKUP($KT$9,各项系数!$D$1:$F$143,3,0))*10^-3*10^2*各项系数!$J$4</f>
        <v>0.15194000141764638</v>
      </c>
      <c r="KU191" s="102">
        <v>1</v>
      </c>
      <c r="KV191" s="189">
        <f t="shared" si="658"/>
        <v>0.15194000141764638</v>
      </c>
      <c r="KW191" s="189">
        <f>KV191*(VLOOKUP($KT$9,各项系数!$D$1:$F$143,2,0))</f>
        <v>2.5829800240999883</v>
      </c>
      <c r="KX191" s="189">
        <f>各项系数!$F$76/4*($NH191^2-$NE191^2)*10^-2*(VLOOKUP($KX$9,各项系数!$D$1:$F$143,3,0))*10^-3*10^2*各项系数!$J$4</f>
        <v>0.15063463197096794</v>
      </c>
      <c r="KY191" s="353">
        <v>1</v>
      </c>
      <c r="KZ191" s="189">
        <f t="shared" si="659"/>
        <v>0.15063463197096794</v>
      </c>
      <c r="LA191" s="189">
        <f>KZ191*(VLOOKUP($KX$9,各项系数!$D$1:$F$143,2,0))</f>
        <v>2.5607887435064551</v>
      </c>
      <c r="LB191" s="189">
        <f>各项系数!$F$76/4*($NI191^2-$NF191^2)*10^-2*(VLOOKUP($LB$9,各项系数!$D$1:$F$143,3,0))*10^-3*10^2*各项系数!$J$4</f>
        <v>0.15194000141764638</v>
      </c>
      <c r="LC191" s="353">
        <v>1</v>
      </c>
      <c r="LD191" s="189">
        <f t="shared" si="660"/>
        <v>0.15194000141764638</v>
      </c>
      <c r="LE191" s="189">
        <f>LD191*(VLOOKUP($LB$9,各项系数!$D$1:$F$143,2,0))</f>
        <v>2.5829800240999883</v>
      </c>
      <c r="LF191" s="235">
        <f>各项系数!$F$76/4*($NH191^2-$NE191^2)*10^-2*(VLOOKUP(AN191,各项系数!$D$1:$F$143,3,0))*10^-3*10^2*各项系数!$J$4</f>
        <v>0.15271235103263645</v>
      </c>
      <c r="LG191" s="102">
        <v>1</v>
      </c>
      <c r="LH191" s="189">
        <f t="shared" ref="LH191:LH196" si="875">LG191*LF191</f>
        <v>0.15271235103263645</v>
      </c>
      <c r="LI191" s="189">
        <f>LH191*(VLOOKUP(AN191,各项系数!$D$1:$F$143,2,0))</f>
        <v>1.5271235103263645</v>
      </c>
      <c r="LJ191" s="235">
        <f>各项系数!$F$76/4*($NI191^2-$NF191^2)*10^-2*(VLOOKUP(AN191,各项系数!$D$1:$F$143,3,0))*10^-3*10^2*各项系数!$J$4</f>
        <v>0.15403572557513118</v>
      </c>
      <c r="LK191" s="102">
        <v>1</v>
      </c>
      <c r="LL191" s="189">
        <f t="shared" ref="LL191:LL196" si="876">LK191*LJ191</f>
        <v>0.15403572557513118</v>
      </c>
      <c r="LM191" s="189">
        <f>LL191*(VLOOKUP(AN191,各项系数!$D$1:$F$143,2,0))</f>
        <v>1.5403572557513119</v>
      </c>
      <c r="LN191" s="189">
        <f>各项系数!$F$76/4*($NH191^2-$NE191^2)*10^-2*(VLOOKUP($LN$9,各项系数!$D$1:$F$143,3,0))*10^-3*10^2*各项系数!$J$4</f>
        <v>0.15271235103263645</v>
      </c>
      <c r="LO191" s="353">
        <v>1</v>
      </c>
      <c r="LP191" s="189">
        <f t="shared" ref="LP191:LP196" si="877">LO191*LN191</f>
        <v>0.15271235103263645</v>
      </c>
      <c r="LQ191" s="189">
        <f>LP191*(VLOOKUP($LN$9,各项系数!$D$1:$F$143,2,0))</f>
        <v>1.679835861359001</v>
      </c>
      <c r="LR191" s="189">
        <f>各项系数!$F$76/4*($NI191^2-$NF191^2)*10^-2*(VLOOKUP($LR$9,各项系数!$D$1:$F$143,3,0))*10^-3*10^2*各项系数!$J$4</f>
        <v>0.15403572557513118</v>
      </c>
      <c r="LS191" s="353">
        <v>1</v>
      </c>
      <c r="LT191" s="189">
        <f t="shared" ref="LT191:LT196" si="878">LS191*LR191</f>
        <v>0.15403572557513118</v>
      </c>
      <c r="LU191" s="189">
        <f>LT191*(VLOOKUP($LR$9,各项系数!$D$1:$F$143,2,0))</f>
        <v>1.6943929813264429</v>
      </c>
      <c r="LV191" s="227">
        <f t="shared" si="661"/>
        <v>32.685483730000001</v>
      </c>
      <c r="LW191" s="227">
        <f t="shared" si="662"/>
        <v>32.685483730000001</v>
      </c>
      <c r="LX191" s="227">
        <f t="shared" si="663"/>
        <v>6.4510813375614608</v>
      </c>
      <c r="LY191" s="227">
        <f t="shared" si="664"/>
        <v>0</v>
      </c>
      <c r="LZ191" s="374">
        <f t="shared" si="608"/>
        <v>1</v>
      </c>
      <c r="MA191" s="375">
        <f t="shared" si="609"/>
        <v>32.685483730000001</v>
      </c>
      <c r="MB191" s="375">
        <f t="shared" si="665"/>
        <v>1.7241240099999999</v>
      </c>
      <c r="MC191" s="227">
        <f t="shared" si="666"/>
        <v>0</v>
      </c>
      <c r="MD191" s="227">
        <f t="shared" si="667"/>
        <v>0</v>
      </c>
      <c r="ME191" s="227">
        <f t="shared" si="668"/>
        <v>0</v>
      </c>
      <c r="MF191" s="227">
        <f t="shared" si="669"/>
        <v>0</v>
      </c>
      <c r="MG191" s="374">
        <f t="shared" si="670"/>
        <v>1</v>
      </c>
      <c r="MH191" s="375">
        <f t="shared" si="610"/>
        <v>0</v>
      </c>
      <c r="MI191" s="375">
        <f t="shared" si="671"/>
        <v>0</v>
      </c>
      <c r="MJ191" s="189">
        <f t="shared" si="611"/>
        <v>1.7241240099999999</v>
      </c>
      <c r="MK191" s="189">
        <f t="shared" si="672"/>
        <v>1.7241240099999999</v>
      </c>
      <c r="ML191" s="189">
        <f t="shared" ref="ML191:ML196" si="879">$ER191*$EQ191*10^-2</f>
        <v>0</v>
      </c>
      <c r="MM191" s="189">
        <f t="shared" si="612"/>
        <v>0</v>
      </c>
      <c r="MN191" s="189">
        <f t="shared" si="613"/>
        <v>3.1241240100000001</v>
      </c>
      <c r="MO191" s="189">
        <f t="shared" si="673"/>
        <v>0</v>
      </c>
      <c r="MP191" s="189">
        <f t="shared" si="674"/>
        <v>13.77738688</v>
      </c>
      <c r="MQ191" s="189">
        <f t="shared" ref="MQ191:MQ196" si="880">MP191</f>
        <v>13.77738688</v>
      </c>
      <c r="MR191" s="246">
        <f t="shared" si="675"/>
        <v>13.77738688</v>
      </c>
      <c r="MS191" s="380">
        <f t="shared" si="614"/>
        <v>13.95338688</v>
      </c>
      <c r="MT191" s="380">
        <f t="shared" si="615"/>
        <v>14.11338688</v>
      </c>
      <c r="MU191" s="380">
        <f t="shared" si="616"/>
        <v>15.153386879999999</v>
      </c>
      <c r="MV191" s="380">
        <f t="shared" si="617"/>
        <v>17.553386880000001</v>
      </c>
      <c r="MW191" s="380">
        <f t="shared" si="618"/>
        <v>17.713386880000002</v>
      </c>
      <c r="MX191" s="254">
        <f t="shared" si="619"/>
        <v>2.3241240100000002</v>
      </c>
      <c r="MY191" s="254">
        <f t="shared" si="620"/>
        <v>0</v>
      </c>
      <c r="MZ191" s="189">
        <f t="shared" si="621"/>
        <v>3.7241240100000002</v>
      </c>
      <c r="NA191" s="189">
        <f t="shared" si="622"/>
        <v>0</v>
      </c>
      <c r="NB191" s="189">
        <f t="shared" si="676"/>
        <v>16.423386879999999</v>
      </c>
      <c r="NC191" s="254">
        <f t="shared" ref="NC191:NC196" si="881">NB191</f>
        <v>16.423386879999999</v>
      </c>
      <c r="ND191" s="246">
        <f t="shared" si="677"/>
        <v>16.423386879999999</v>
      </c>
      <c r="NE191" s="386">
        <f t="shared" si="678"/>
        <v>16.663386879999997</v>
      </c>
      <c r="NF191" s="380">
        <f t="shared" si="623"/>
        <v>16.823386879999997</v>
      </c>
      <c r="NG191" s="387">
        <f t="shared" si="624"/>
        <v>17.863386879999997</v>
      </c>
      <c r="NH191" s="254">
        <f t="shared" si="625"/>
        <v>20.263386879999999</v>
      </c>
      <c r="NI191" s="380">
        <f t="shared" si="626"/>
        <v>20.423386879999999</v>
      </c>
      <c r="NK191" s="388">
        <f t="shared" si="627"/>
        <v>0.55474548907274901</v>
      </c>
      <c r="NL191" s="388">
        <f t="shared" si="628"/>
        <v>21.378098687537179</v>
      </c>
      <c r="NM191" s="388">
        <f t="shared" si="629"/>
        <v>0.55474548907274901</v>
      </c>
      <c r="NN191" s="388">
        <f t="shared" si="630"/>
        <v>21.508396382256311</v>
      </c>
      <c r="NO191" s="388">
        <f t="shared" si="631"/>
        <v>0.8807010832444635</v>
      </c>
      <c r="NP191" s="388">
        <f t="shared" si="632"/>
        <v>23.024503077283622</v>
      </c>
      <c r="NQ191" s="388">
        <f t="shared" si="633"/>
        <v>0.8807010832444635</v>
      </c>
      <c r="NR191" s="388">
        <f t="shared" si="634"/>
        <v>23.177215428316259</v>
      </c>
      <c r="NS191" s="388">
        <f t="shared" si="635"/>
        <v>0.57434779072047903</v>
      </c>
      <c r="NT191" s="388">
        <f t="shared" si="636"/>
        <v>0.57434779072047903</v>
      </c>
      <c r="NU191" s="388">
        <f t="shared" si="637"/>
        <v>0.90408880304674144</v>
      </c>
      <c r="NV191" s="388">
        <f t="shared" si="638"/>
        <v>0.90408880304674144</v>
      </c>
      <c r="NW191">
        <f t="shared" si="639"/>
        <v>0.76819493482928192</v>
      </c>
      <c r="NX191">
        <f>各项系数!$M$9*NK191</f>
        <v>0.16642364672182469</v>
      </c>
      <c r="NY191">
        <f t="shared" si="640"/>
        <v>0.57434779072047903</v>
      </c>
    </row>
    <row r="192" spans="1:389" ht="15" hidden="1" customHeight="1">
      <c r="A192" s="69"/>
      <c r="B192" s="70"/>
      <c r="C192" s="69"/>
      <c r="D192" s="102" t="s">
        <v>245</v>
      </c>
      <c r="E192" s="61">
        <f t="shared" si="829"/>
        <v>18.459382850000001</v>
      </c>
      <c r="F192" s="62">
        <f t="shared" si="820"/>
        <v>172.412400708262</v>
      </c>
      <c r="G192" s="16"/>
      <c r="H192" s="16"/>
      <c r="I192" s="145">
        <v>0</v>
      </c>
      <c r="J192" s="16"/>
      <c r="K192" s="16"/>
      <c r="L192" s="97" t="s">
        <v>469</v>
      </c>
      <c r="M192" s="103">
        <f t="shared" si="582"/>
        <v>0.7</v>
      </c>
      <c r="N192" s="103">
        <f t="shared" si="804"/>
        <v>0</v>
      </c>
      <c r="O192" s="53">
        <f t="shared" si="825"/>
        <v>0.08</v>
      </c>
      <c r="P192" s="99">
        <v>0.1</v>
      </c>
      <c r="Q192" s="133">
        <f t="shared" si="823"/>
        <v>0.1</v>
      </c>
      <c r="R192" s="406">
        <v>0.8</v>
      </c>
      <c r="S192" s="142" t="str">
        <f>各项系数!$D$43</f>
        <v>钢带</v>
      </c>
      <c r="T192" s="102">
        <v>0.2</v>
      </c>
      <c r="U192" s="62">
        <v>4</v>
      </c>
      <c r="V192" s="143"/>
      <c r="W192" s="141">
        <f t="shared" si="828"/>
        <v>1.8</v>
      </c>
      <c r="X192" s="135">
        <f t="shared" si="824"/>
        <v>0.2</v>
      </c>
      <c r="Y192" s="135"/>
      <c r="Z192" s="168"/>
      <c r="AA192" s="153">
        <v>1</v>
      </c>
      <c r="AB192" s="153">
        <f>PI()*EJ192*EJ192/4*EH192*(1-H192)*AA192*各项系数!$F$5*各项系数!$J$4*10^-7</f>
        <v>2.0651505688902914E-2</v>
      </c>
      <c r="AC192" s="153">
        <f t="shared" si="830"/>
        <v>172.412400708262</v>
      </c>
      <c r="AD192" s="153">
        <f t="shared" si="584"/>
        <v>2.3346774015073013</v>
      </c>
      <c r="AE192" s="153">
        <f>POWER(4*EU192/PI()/EG192/10^-7/EH192/(1-H192)/各项系数!$F$5/各项系数!$J$4,0.5)</f>
        <v>172.41240070826197</v>
      </c>
      <c r="AF192" s="69">
        <v>1</v>
      </c>
      <c r="AG192" s="69">
        <f>IF(EM192=0,0,PI()*ER192*ER192/4*EP192*(1-K192)*(1+AF192)*各项系数!$F$5*各项系数!$J$4*10^-7)</f>
        <v>0</v>
      </c>
      <c r="AH192" s="69">
        <f t="shared" si="831"/>
        <v>0</v>
      </c>
      <c r="AI192" s="69">
        <f t="shared" si="641"/>
        <v>0</v>
      </c>
      <c r="AJ192" s="69">
        <f>IF(OR(EP192="",EP192=0),0,POWER(4*EW192/PI()/EO192/10^-7/EP192/(1-K192)/各项系数!$F$5/各项系数!$J$4,0.5))</f>
        <v>0</v>
      </c>
      <c r="AK192" s="69" t="str">
        <f t="shared" si="585"/>
        <v>√</v>
      </c>
      <c r="AL192" s="69">
        <f t="shared" si="832"/>
        <v>25.166189316260645</v>
      </c>
      <c r="AM192" s="188">
        <f t="shared" si="833"/>
        <v>2.5</v>
      </c>
      <c r="AN192" s="97" t="s">
        <v>486</v>
      </c>
      <c r="AO192" s="196">
        <f>AP192+各项系数!$M$9*$NK192</f>
        <v>24.672734623784947</v>
      </c>
      <c r="AP192" s="196">
        <f>AQ192*(1+$BI192+(VLOOKUP($AM192,$A$12:$B$323,2,0))+各项系数!$J$6+各项系数!$M$5)*(1+$E$2)</f>
        <v>24.486334621509307</v>
      </c>
      <c r="AQ192" s="197">
        <f>AR192+各项系数!$L$9*$NK192</f>
        <v>24.986055736233986</v>
      </c>
      <c r="AR192" s="197">
        <f>AS192*(1+$BJ192+各项系数!$J$5+各项系数!$L$5)</f>
        <v>24.799655733958346</v>
      </c>
      <c r="AS192" s="197">
        <f t="shared" si="642"/>
        <v>24.313387974468966</v>
      </c>
      <c r="AT192" s="196">
        <f>AU192+各项系数!$M$9*$NM192</f>
        <v>25.605030354801894</v>
      </c>
      <c r="AU192" s="196">
        <f>AV192*(1+$BI192+(VLOOKUP($AM192,$A$12:$B$323,2,0))+各项系数!$J$6+各项系数!$M$5)*(1+$E$2)</f>
        <v>25.418630352526254</v>
      </c>
      <c r="AV192" s="197">
        <f>AW192+各项系数!$L$9*$NM192</f>
        <v>25.937377910741077</v>
      </c>
      <c r="AW192" s="197">
        <f>AX192*(1+$BJ192+各项系数!$J$5+各项系数!$L$5)</f>
        <v>25.750977908465437</v>
      </c>
      <c r="AX192" s="197">
        <f t="shared" si="643"/>
        <v>25.246056773005328</v>
      </c>
      <c r="AY192" s="196">
        <f>AZ192+各项系数!$M$9*$NS192</f>
        <v>26.106373453310969</v>
      </c>
      <c r="AZ192" s="196">
        <f>BA192*(1+$BI192+(VLOOKUP($AM192,$A$12:$B$214,2,0))+各项系数!$J$6+各项系数!$M$5)*(1+$E$2)</f>
        <v>25.913713102947714</v>
      </c>
      <c r="BA192" s="197">
        <f>BB192+各项系数!$L$9*$NS192</f>
        <v>26.442564390762975</v>
      </c>
      <c r="BB192" s="197">
        <f>BC192*(1+$BJ192+各项系数!$J$5+各项系数!$L$5)</f>
        <v>26.24990404039972</v>
      </c>
      <c r="BC192" s="199">
        <f t="shared" si="644"/>
        <v>25.73520003960757</v>
      </c>
      <c r="BD192" s="196">
        <f>BE192+各项系数!$M$9*$NS192</f>
        <v>27.047623136482443</v>
      </c>
      <c r="BE192" s="196">
        <f>BF192*(1+$BI192+(VLOOKUP($AM192,$A$12:$B$214,2,0))+各项系数!$J$6+各项系数!$M$5)*(1+$E$2)</f>
        <v>26.854962786119188</v>
      </c>
      <c r="BF192" s="197">
        <f>BG192+各项系数!$L$9*$NS192</f>
        <v>27.403023251142027</v>
      </c>
      <c r="BG192" s="197">
        <f>BH192*(1+$BJ192+各项系数!$J$5+各项系数!$L$5)</f>
        <v>27.210362900778772</v>
      </c>
      <c r="BH192" s="199">
        <f t="shared" si="645"/>
        <v>26.676826373312522</v>
      </c>
      <c r="BI192" s="213"/>
      <c r="BJ192" s="208">
        <f t="shared" si="822"/>
        <v>0</v>
      </c>
      <c r="BK192" s="102" t="s">
        <v>514</v>
      </c>
      <c r="BL192" s="196">
        <f>BM192+各项系数!$M$9*$NM192</f>
        <v>25.050092333603747</v>
      </c>
      <c r="BM192" s="196">
        <f>BN192*(1+$CF192+(VLOOKUP($AM192,$A$12:$B$323,2,0))+各项系数!$J$6+各项系数!$M$5)*(1+$E$2)</f>
        <v>24.863692331328107</v>
      </c>
      <c r="BN192" s="197">
        <f>BO192+各项系数!$L$9*$NM192</f>
        <v>25.371114623804193</v>
      </c>
      <c r="BO192" s="197">
        <f>BP192*(1+$CG192+各项系数!$J$5+各项系数!$L$5)</f>
        <v>25.184714621528553</v>
      </c>
      <c r="BP192" s="197">
        <f t="shared" si="646"/>
        <v>24.451179244202478</v>
      </c>
      <c r="BQ192" s="196">
        <f>BR192+各项系数!$M$9*$NM192</f>
        <v>25.852441711177345</v>
      </c>
      <c r="BR192" s="196">
        <f>BS192*(1+$CF192+(VLOOKUP($AM192,$A$12:$B$323,2,0))+各项系数!$J$6+各项系数!$M$5)*(1+$E$2)</f>
        <v>25.666041708901705</v>
      </c>
      <c r="BS192" s="197">
        <f>BT192+各项系数!$L$9*$NM192</f>
        <v>26.189838478471128</v>
      </c>
      <c r="BT192" s="197">
        <f>BU192*(1+$CG192+各项系数!$J$5+各项系数!$L$5)</f>
        <v>26.003438476195488</v>
      </c>
      <c r="BU192" s="197">
        <f t="shared" si="647"/>
        <v>25.246056773005328</v>
      </c>
      <c r="BV192" s="196">
        <f>BW192+各项系数!$M$9*$NT192</f>
        <v>26.318291727367214</v>
      </c>
      <c r="BW192" s="196">
        <f>BX192*(1+$CF192+(VLOOKUP($AM192,$A$12:$B$214,2,0))+各项系数!$J$6+各项系数!$M$5)*(1+$E$2)</f>
        <v>26.125631377003959</v>
      </c>
      <c r="BX192" s="197">
        <f>BY192+各项系数!$L$9*$NT$12</f>
        <v>26.658807527555062</v>
      </c>
      <c r="BY192" s="197">
        <f>BZ192*(1+$CG192+各项系数!$J$5+各项系数!$L$5)</f>
        <v>26.650544124400088</v>
      </c>
      <c r="BZ192" s="199">
        <f t="shared" si="586"/>
        <v>25.874314683883579</v>
      </c>
      <c r="CA192" s="196">
        <f>CB192+各项系数!$M$9*$NT192</f>
        <v>27.128347026676789</v>
      </c>
      <c r="CB192" s="196">
        <f>CC192*(1+$CF192+(VLOOKUP($AM192,$A$12:$B$214,2,0))+各项系数!$J$6+各项系数!$M$5)*(1+$E$2)</f>
        <v>26.935686676313534</v>
      </c>
      <c r="CC192" s="197">
        <f>CD192+各项系数!$L$9*$NT$12</f>
        <v>27.485394567666873</v>
      </c>
      <c r="CD192" s="197">
        <f>CE192*(1+$CG192+各项系数!$J$5+各项系数!$L$5)</f>
        <v>27.477131164511899</v>
      </c>
      <c r="CE192" s="199">
        <f t="shared" si="648"/>
        <v>26.676826373312522</v>
      </c>
      <c r="CF192" s="213">
        <f t="shared" si="753"/>
        <v>0</v>
      </c>
      <c r="CG192" s="213">
        <f t="shared" si="587"/>
        <v>0.01</v>
      </c>
      <c r="CH192" s="102"/>
      <c r="CI192" s="196">
        <f>CJ192+各项系数!$M$9*$NO192</f>
        <v>26.934798164491859</v>
      </c>
      <c r="CJ192" s="196">
        <f>CK192*(1+$DC192+(VLOOKUP($AM192,$A$12:$B$323,2,0))+各项系数!$J$6+各项系数!$M$5)*(1+$E$2)+各项系数!$M$9*$NK192</f>
        <v>26.638969340326632</v>
      </c>
      <c r="CK192" s="197">
        <f>CL192+各项系数!$L$9*$NO192</f>
        <v>26.992417691888768</v>
      </c>
      <c r="CL192" s="197">
        <f>CM192*(1+$DD192+各项系数!$J$5+各项系数!$L$5)</f>
        <v>26.696588867723545</v>
      </c>
      <c r="CM192" s="197">
        <f t="shared" si="588"/>
        <v>26.173126340905437</v>
      </c>
      <c r="CN192" s="196">
        <f>CO192+各项系数!$M$9*$NO192</f>
        <v>27.628651049528663</v>
      </c>
      <c r="CO192" s="196">
        <f>CP192*(1+$DC192+(VLOOKUP($AM192,$A$12:$B$323,2,0))+各项系数!$J$6+各项系数!$M$5)*(1+$E$2)+各项系数!$M$9*$NK192</f>
        <v>27.332822225363437</v>
      </c>
      <c r="CP192" s="197">
        <f>CQ192+各项系数!$L$9*$NO192</f>
        <v>27.700430839885506</v>
      </c>
      <c r="CQ192" s="197">
        <f>CR192*(1+$DD192+各项系数!$J$5+各项系数!$L$5)</f>
        <v>27.404602015720283</v>
      </c>
      <c r="CR192" s="197">
        <f t="shared" si="589"/>
        <v>26.867256878157139</v>
      </c>
      <c r="CS192" s="196">
        <f>CT192+各项系数!$M$9*$NU192</f>
        <v>28.456242664769508</v>
      </c>
      <c r="CT192" s="196">
        <f t="shared" si="590"/>
        <v>28.152944952373748</v>
      </c>
      <c r="CU192" s="197">
        <f>CV192+各项系数!$L$9*$NU192</f>
        <v>28.727494849360969</v>
      </c>
      <c r="CV192" s="197">
        <f>CW192*(1+$DD192+各项系数!$J$5+各项系数!$L$5)</f>
        <v>28.424197136965208</v>
      </c>
      <c r="CW192" s="199">
        <f t="shared" si="591"/>
        <v>27.866859938201184</v>
      </c>
      <c r="CX192" s="196">
        <f>CY192+各项系数!$M$9*$NU192</f>
        <v>29.55888733552618</v>
      </c>
      <c r="CY192" s="196">
        <f t="shared" si="592"/>
        <v>29.255589623130419</v>
      </c>
      <c r="CZ192" s="197">
        <f>DA192+各项系数!$L$9*$NU192</f>
        <v>29.852642472582062</v>
      </c>
      <c r="DA192" s="197">
        <f>DB192*(1+$DD192+各项系数!$J$5+各项系数!$L$5)</f>
        <v>29.549344760186301</v>
      </c>
      <c r="DB192" s="199">
        <f t="shared" si="593"/>
        <v>28.969945843319902</v>
      </c>
      <c r="DC192" s="213">
        <f t="shared" si="827"/>
        <v>0</v>
      </c>
      <c r="DD192" s="213">
        <f t="shared" si="594"/>
        <v>0</v>
      </c>
      <c r="DE192" s="53" t="s">
        <v>498</v>
      </c>
      <c r="DF192" s="53" t="s">
        <v>513</v>
      </c>
      <c r="DG192" s="196">
        <f>DH192+各项系数!$M$9*$NQ192</f>
        <v>27.354459362395815</v>
      </c>
      <c r="DH192" s="196">
        <f>DI192*(1+$EA192+(VLOOKUP($AM192,$A$12:$B$323,2,0))+各项系数!$J$6+各项系数!$M$5)*(1+$E$2)+各项系数!$M$9*$NK192</f>
        <v>27.058630538230592</v>
      </c>
      <c r="DI192" s="197">
        <f>DJ192+各项系数!$L$9*$NQ192</f>
        <v>27.420643404035665</v>
      </c>
      <c r="DJ192" s="197">
        <f>DK192*(1+$EB192+各项系数!$J$5+各项系数!$L$5)</f>
        <v>27.124814579870442</v>
      </c>
      <c r="DK192" s="197">
        <f t="shared" si="595"/>
        <v>26.334771436767419</v>
      </c>
      <c r="DL192" s="196">
        <f>DM192+各项系数!$M$9*$NQ192</f>
        <v>28.295707979260399</v>
      </c>
      <c r="DM192" s="196">
        <f>DN192*(1+$EA192+(VLOOKUP($AM192,$A$12:$B$323,2,0))+各项系数!$J$6+各项系数!$M$5)*(1+$E$2)+各项系数!$M$9*$NK192</f>
        <v>27.999879155095172</v>
      </c>
      <c r="DN192" s="197">
        <f>DO192+各项系数!$L$9*$NQ192</f>
        <v>28.381101176346462</v>
      </c>
      <c r="DO192" s="197">
        <f>DP192*(1+$EB192+各项系数!$J$5+各项系数!$L$5)</f>
        <v>28.085272352181239</v>
      </c>
      <c r="DP192" s="197">
        <f t="shared" si="596"/>
        <v>27.267254710855571</v>
      </c>
      <c r="DQ192" s="196">
        <f>DR192+各项系数!$M$9*$NV192</f>
        <v>28.893838266190158</v>
      </c>
      <c r="DR192" s="196">
        <f t="shared" si="597"/>
        <v>28.590540553794398</v>
      </c>
      <c r="DS192" s="197">
        <f>DT192+各项系数!$L$9*$NV192</f>
        <v>29.174020973259591</v>
      </c>
      <c r="DT192" s="197">
        <f>DU192*(1+$EB192+各项系数!$J$5+各项系数!$L$5)</f>
        <v>28.87072326086383</v>
      </c>
      <c r="DU192" s="199">
        <f t="shared" si="598"/>
        <v>28.02982840860566</v>
      </c>
      <c r="DV192" s="196">
        <f>DW192+各项系数!$M$9*$NV192</f>
        <v>28.490893333209875</v>
      </c>
      <c r="DW192" s="196">
        <f t="shared" si="599"/>
        <v>28.187595620814115</v>
      </c>
      <c r="DX192" s="197">
        <f>DY192+各项系数!$L$9*$NV192</f>
        <v>28.762852674300117</v>
      </c>
      <c r="DY192" s="197">
        <f>DZ192*(1+$EB192+各项系数!$J$5+各项系数!$L$5)</f>
        <v>28.459554961904356</v>
      </c>
      <c r="DZ192" s="199">
        <f t="shared" si="600"/>
        <v>27.630635885344034</v>
      </c>
      <c r="EA192" s="213">
        <f t="shared" si="826"/>
        <v>0</v>
      </c>
      <c r="EB192" s="213">
        <f t="shared" si="601"/>
        <v>0.01</v>
      </c>
      <c r="EC192" s="235">
        <f t="shared" si="649"/>
        <v>16</v>
      </c>
      <c r="ED192" s="235" t="str">
        <f t="shared" si="834"/>
        <v>16*2.5</v>
      </c>
      <c r="EE192" s="189">
        <f t="shared" si="835"/>
        <v>2.5</v>
      </c>
      <c r="EF192" s="189">
        <f>LOOKUP(EH192,{1,7,10,14,19,24,30,37,48,61},{1,"1+6","2+8","4+10","1+6+12","2+8+14","4+10+16","1+6+12+18","3+9+15+21","1+6+12+18+24"})</f>
        <v>1</v>
      </c>
      <c r="EG192" s="188">
        <f t="shared" si="602"/>
        <v>16</v>
      </c>
      <c r="EH192" s="197">
        <f>VLOOKUP(EE192,各项系数!$B$87:$C$124,2,0)</f>
        <v>1</v>
      </c>
      <c r="EI192" s="188">
        <f>IF(EH192=0,0,VLOOKUP(EH192,各项系数!$D$142:$E$195,2,0))*1</f>
        <v>1</v>
      </c>
      <c r="EJ192" s="238">
        <f t="shared" si="650"/>
        <v>172.412400708262</v>
      </c>
      <c r="EK192" s="189">
        <f t="shared" si="836"/>
        <v>0</v>
      </c>
      <c r="EL192" s="189">
        <f t="shared" si="603"/>
        <v>0</v>
      </c>
      <c r="EM192" s="189">
        <f t="shared" si="837"/>
        <v>0</v>
      </c>
      <c r="EN192" s="189">
        <f>IF(EP192=0,0,LOOKUP(EP192,{1,7,10,14,19,24,30,37,48,61},{1,"1+6","2+8","4+10","1+6+12","2+8+14","4+10+16","1+6+12+18","3+9+15+21","1+6+12+18+24"}))</f>
        <v>0</v>
      </c>
      <c r="EO192" s="189">
        <f t="shared" si="838"/>
        <v>0</v>
      </c>
      <c r="EP192" s="189">
        <f>IF(EM192=0,0,IF(EM192&lt;10,1,IF(AND(EM192&gt;=10,EM192&lt;=35),7,LOOKUP(EM192,{50,70,95,120,150,185,240,300},{10,14,19,24,30,37,48,61})*1)))</f>
        <v>0</v>
      </c>
      <c r="EQ192" s="189">
        <f>IF(EP192=0,0,VLOOKUP(EP192,各项系数!$D$142:$E$195,2,0))*1</f>
        <v>0</v>
      </c>
      <c r="ER192" s="53">
        <f t="shared" si="839"/>
        <v>0</v>
      </c>
      <c r="ES192" s="412">
        <f t="shared" si="840"/>
        <v>16</v>
      </c>
      <c r="ET192" s="189">
        <f>VLOOKUP(ES192,各项系数!$D$142:$E$195,2,0)*1</f>
        <v>4.7</v>
      </c>
      <c r="EU192" s="243">
        <f>((各项系数!$F$76/4*$EJ192^2*$EG192*$EH192*1*10^-7)*(1-$H192)*AA192)*(VLOOKUP($EY$9,各项系数!$D$4:$F$143,3,0))*各项系数!$J$4</f>
        <v>0.33042409102244663</v>
      </c>
      <c r="EV192" s="244">
        <f>EU192*(VLOOKUP($EY$9,各项系数!$D$4:$F$143,2,0))</f>
        <v>21.642777961970253</v>
      </c>
      <c r="EW192" s="252">
        <f>(IF($EO192=0,0,(各项系数!$F$76/4*$ER192^2*$EO192*$EP192*1*10^-7))*(1-$K192)*$AF192)*(VLOOKUP($EY$9,各项系数!$D$4:$F$143,3,0))*各项系数!$J$4</f>
        <v>0</v>
      </c>
      <c r="EX192" s="253">
        <f>EW192*(VLOOKUP($EY$9,各项系数!$D$4:$F$143,2,0))</f>
        <v>0</v>
      </c>
      <c r="EY192" s="189">
        <f>((各项系数!$F$76/4*$EJ192^2*$EG192*$EH192*1*10^-7)*(1-$H192)*AA192+IF($EO192=0,0,(各项系数!$F$76/4*$ER192^2*$EO192*$EP192*1*10^-7))*(1-$K192)*$AF192)*(VLOOKUP($EY$9,各项系数!$D$4:$F$143,3,0))*各项系数!$J$4</f>
        <v>0.33042409102244663</v>
      </c>
      <c r="EZ192" s="102">
        <v>1</v>
      </c>
      <c r="FA192" s="189">
        <f t="shared" si="841"/>
        <v>0.33042409102244663</v>
      </c>
      <c r="FB192" s="254">
        <f>FA192*(VLOOKUP($EY$9,各项系数!$D$4:$F$143,2,0))</f>
        <v>21.642777961970253</v>
      </c>
      <c r="FC192" s="255"/>
      <c r="FD192" s="235">
        <f>各项系数!$F$76/4*($MN192^2-MK192^2)*10^-2*(VLOOKUP(L192,各项系数!$D$1:$F$143,3,0))*10^-3*10^2*$EG192*各项系数!$J$4</f>
        <v>9.3355195845303357E-2</v>
      </c>
      <c r="FE192" s="262">
        <f>FD192*VLOOKUP(L192,各项系数!$D$1:$F$143,2,0)</f>
        <v>1.0735847522209887</v>
      </c>
      <c r="FF192" s="188">
        <f>各项系数!$F$76/4*($MO192^2-ML192^2)*10^-2*(VLOOKUP(L192,各项系数!$D$1:$F$143,3,0))*10^-3*10^2*$EO192*各项系数!$J$4</f>
        <v>0</v>
      </c>
      <c r="FG192" s="262">
        <f>FF192*VLOOKUP(L192,各项系数!$D$1:$F$143,2,0)</f>
        <v>0</v>
      </c>
      <c r="FH192" s="235">
        <f t="shared" si="651"/>
        <v>9.3355195845303357E-2</v>
      </c>
      <c r="FI192" s="102">
        <v>1</v>
      </c>
      <c r="FJ192" s="189">
        <f t="shared" si="842"/>
        <v>9.3355195845303357E-2</v>
      </c>
      <c r="FK192" s="262">
        <f>FJ192*VLOOKUP(L192,各项系数!$D$1:$F$143,2,0)</f>
        <v>1.0735847522209887</v>
      </c>
      <c r="FL192" s="235"/>
      <c r="FM192" s="102"/>
      <c r="FN192" s="189"/>
      <c r="FO192" s="262"/>
      <c r="FP192" s="282">
        <f t="shared" si="843"/>
        <v>9.3355195845303357E-2</v>
      </c>
      <c r="FQ192" s="282">
        <f t="shared" si="844"/>
        <v>1.0735847522209887</v>
      </c>
      <c r="FR192" s="283">
        <f>各项系数!$F$76/4*($MQ192^2-$MN192^2*$EG192-$MO192^2*$EO192)*10^-2</f>
        <v>0.46683531694974151</v>
      </c>
      <c r="FS192" s="284">
        <f t="shared" si="652"/>
        <v>1</v>
      </c>
      <c r="FT192" s="285">
        <f t="shared" si="604"/>
        <v>0.46683531694974151</v>
      </c>
      <c r="FU192" s="302">
        <f>$FT192*(VLOOKUP($FT$9,各项系数!$D$1:$F$143,3,0))*10^-3*10^2*各项系数!$J$55</f>
        <v>5.5740136843799144E-2</v>
      </c>
      <c r="FV192" s="303">
        <v>1</v>
      </c>
      <c r="FW192" s="304">
        <f t="shared" si="845"/>
        <v>5.5740136843799144E-2</v>
      </c>
      <c r="FX192" s="285">
        <f>FW192*(VLOOKUP($FT$9,各项系数!$D$1:$F$143,2,0))</f>
        <v>0.16722041053139744</v>
      </c>
      <c r="FY192" s="302">
        <f>IF($BK192&lt;&gt;$FY$9,0,各项系数!$F$76/4*($MS192^2-$MQ192^2)*10^-2*(VLOOKUP($FY$9,各项系数!$D$1:$F$143,3,0))*10^-3*10^2)*各项系数!$J$4</f>
        <v>0</v>
      </c>
      <c r="FZ192" s="303">
        <v>1</v>
      </c>
      <c r="GA192" s="304">
        <f t="shared" si="846"/>
        <v>0</v>
      </c>
      <c r="GB192" s="285">
        <f>GA192*(VLOOKUP($FY$9,各项系数!$D$1:$F$143,2,0))</f>
        <v>0</v>
      </c>
      <c r="GC192" s="302">
        <f>IF($BK192&lt;&gt;$GC$9,0,各项系数!$F$76/4*($MS192^2-$MQ192^2)*10^-2*(VLOOKUP($GC$9,各项系数!$D$1:$F$143,3,0))*10^-3*10^2)*各项系数!$J$4</f>
        <v>4.0226474737363772E-3</v>
      </c>
      <c r="GD192" s="303">
        <v>1</v>
      </c>
      <c r="GE192" s="304">
        <f t="shared" si="847"/>
        <v>4.0226474737363772E-3</v>
      </c>
      <c r="GF192" s="285">
        <f>GE192*(VLOOKUP($GC$9,各项系数!$D$1:$F$143,2,0))</f>
        <v>5.1892152411199266E-2</v>
      </c>
      <c r="GG192" s="302">
        <f>IF($BK192&lt;&gt;$GG$9,0,各项系数!$F$76/4*($MS192^2-$MQ192^2)*10^-2*(VLOOKUP($GG$9,各项系数!$D$1:$F$143,3,0))*10^-3*10^2)*各项系数!$J$4</f>
        <v>0</v>
      </c>
      <c r="GH192" s="303">
        <v>1</v>
      </c>
      <c r="GI192" s="304">
        <f t="shared" si="848"/>
        <v>0</v>
      </c>
      <c r="GJ192" s="285">
        <f>GI192*(VLOOKUP($GG$9,各项系数!$D$1:$F$143,2,0))</f>
        <v>0</v>
      </c>
      <c r="GK192" s="302">
        <f>IF($BK192&lt;&gt;$GK$9,0,各项系数!$F$76/4*($MS192^2-$MQ192^2)*10^-2*(VLOOKUP($GK$9,各项系数!$D$1:$F$143,3,0))*10^-3*10^2)*各项系数!$J$4</f>
        <v>0</v>
      </c>
      <c r="GL192" s="303">
        <v>1</v>
      </c>
      <c r="GM192" s="304">
        <f t="shared" si="849"/>
        <v>0</v>
      </c>
      <c r="GN192" s="285">
        <f>GM192*(VLOOKUP($GK$9,各项系数!$D$1:$F$143,2,0))</f>
        <v>0</v>
      </c>
      <c r="GO192" s="304">
        <f t="shared" si="850"/>
        <v>4.0226474737363772E-3</v>
      </c>
      <c r="GP192" s="304">
        <f t="shared" si="851"/>
        <v>5.1892152411199266E-2</v>
      </c>
      <c r="GQ192" s="315">
        <f>各项系数!$F$76/4*($MU192^2-$MS192^2)*10^-2*(VLOOKUP($S192,各项系数!$D$1:$F$143,3,0))*10^-3*10^2*各项系数!$J$4</f>
        <v>0.22673737242602232</v>
      </c>
      <c r="GR192" s="303">
        <v>1</v>
      </c>
      <c r="GS192" s="304">
        <f t="shared" si="852"/>
        <v>0.22673737242602232</v>
      </c>
      <c r="GT192" s="304">
        <f t="shared" si="696"/>
        <v>1</v>
      </c>
      <c r="GU192" s="304">
        <f>ROUND($GS192*(VLOOKUP($S192,各项系数!$D$1:$F$143,2,0))+$E$3*GS192,GT192)</f>
        <v>1.3</v>
      </c>
      <c r="GV192" s="315">
        <f>各项系数!$F$76/4*($MT192^2-$MS192^2)*10^-2*(VLOOKUP($GV$9,各项系数!$D$1:$F$143,3,0))*10^-3*10^2*各项系数!$J$4*PI()/4*R192</f>
        <v>2.0867826958720841E-2</v>
      </c>
      <c r="GW192" s="303">
        <v>1</v>
      </c>
      <c r="GX192" s="304">
        <f t="shared" si="853"/>
        <v>2.0867826958720841E-2</v>
      </c>
      <c r="GY192" s="304">
        <f>$GX192*(VLOOKUP($GV$9,各项系数!$D$1:$F$143,2,0))</f>
        <v>1.4085783197136568</v>
      </c>
      <c r="GZ192" s="315">
        <f>各项系数!$F$76/4*($MV192^2-$MS192^2)*10^-2*(VLOOKUP($GZ$9,各项系数!$D$1:$F$143,3,0))*10^-3*10^2*各项系数!$J$4</f>
        <v>0.13591655858067606</v>
      </c>
      <c r="HA192" s="303">
        <v>1</v>
      </c>
      <c r="HB192" s="304">
        <f t="shared" si="653"/>
        <v>0.13591655858067606</v>
      </c>
      <c r="HC192" s="304">
        <f>HB192*(VLOOKUP($GZ$9,各项系数!$D$1:$F$143,2,0))</f>
        <v>2.3105814958714928</v>
      </c>
      <c r="HD192" s="315">
        <f>各项系数!$F$76/4*($MW192^2-$MT192^2)*10^-2*(VLOOKUP($HD$9,各项系数!$D$1:$F$143,3,0))*10^-3*10^2*各项系数!$J$4</f>
        <v>0.13722192802735447</v>
      </c>
      <c r="HE192" s="303">
        <v>1</v>
      </c>
      <c r="HF192" s="304">
        <f t="shared" si="654"/>
        <v>0.13722192802735447</v>
      </c>
      <c r="HG192" s="304">
        <f>HF192*(VLOOKUP($HD$9,各项系数!$D$1:$F$143,2,0))</f>
        <v>2.3327727764650259</v>
      </c>
      <c r="HH192" s="315">
        <f>各项系数!$F$76/4*($MV192^2-$MS192^2)*10^-2*(VLOOKUP($HH$9,各项系数!$D$1:$F$143,3,0))*10^-3*10^2*各项系数!$J$4</f>
        <v>0.13591655858067606</v>
      </c>
      <c r="HI192" s="322">
        <v>1</v>
      </c>
      <c r="HJ192" s="304">
        <f t="shared" si="655"/>
        <v>0.13591655858067606</v>
      </c>
      <c r="HK192" s="304">
        <f>HJ192*(VLOOKUP($HH$9,各项系数!$D$1:$F$143,2,0))</f>
        <v>2.3105814958714928</v>
      </c>
      <c r="HL192" s="315">
        <f>各项系数!$F$76/4*($MW192^2-$MT192^2)*10^-2*(VLOOKUP($HL$9,各项系数!$D$1:$F$143,3,0))*10^-3*10^2*各项系数!$J$4</f>
        <v>0.13722192802735447</v>
      </c>
      <c r="HM192" s="322">
        <v>1</v>
      </c>
      <c r="HN192" s="304">
        <f t="shared" si="605"/>
        <v>0.13722192802735447</v>
      </c>
      <c r="HO192" s="304">
        <f>HN192*(VLOOKUP($HL$9,各项系数!$D$1:$F$143,2,0))</f>
        <v>2.3327727764650259</v>
      </c>
      <c r="HP192" s="315">
        <f>各项系数!$F$76/4*($MV192^2-$MS192^2)*10^-2*(VLOOKUP(AN192,各项系数!$D$1:$F$143,3,0))*10^-3*10^2*各项系数!$J$4</f>
        <v>0.13779126973351297</v>
      </c>
      <c r="HQ192" s="303">
        <v>1</v>
      </c>
      <c r="HR192" s="304">
        <f t="shared" si="854"/>
        <v>0.13779126973351297</v>
      </c>
      <c r="HS192" s="304">
        <f>HR192*(VLOOKUP(AN192,各项系数!$D$1:$F$143,2,0))</f>
        <v>1.3779126973351297</v>
      </c>
      <c r="HT192" s="315">
        <f>各项系数!$F$76/4*($MW192^2-$MT192^2)*10^-2*(VLOOKUP(AN192,各项系数!$D$1:$F$143,3,0))*10^-3*10^2*各项系数!$J$4</f>
        <v>0.13911464427600764</v>
      </c>
      <c r="HU192" s="303">
        <v>1</v>
      </c>
      <c r="HV192" s="304">
        <f t="shared" si="855"/>
        <v>0.13911464427600764</v>
      </c>
      <c r="HW192" s="304">
        <f>HV192*(VLOOKUP(AN192,各项系数!$D$1:$F$143,2,0))</f>
        <v>1.3911464427600764</v>
      </c>
      <c r="HX192" s="315">
        <f>各项系数!$F$76/4*($MV192^2-$MS192^2)*10^-2*(VLOOKUP($HX$9,各项系数!$D$1:$F$143,3,0))*10^-3*10^2*各项系数!$J$4</f>
        <v>0.13779126973351297</v>
      </c>
      <c r="HY192" s="322">
        <v>1</v>
      </c>
      <c r="HZ192" s="304">
        <f t="shared" si="856"/>
        <v>0.13779126973351297</v>
      </c>
      <c r="IA192" s="304">
        <f>HZ192*(VLOOKUP($HX$9,各项系数!$D$1:$F$143,2,0))</f>
        <v>1.5157039670686427</v>
      </c>
      <c r="IB192" s="315">
        <f>各项系数!$F$76/4*($MW192^2-$MT192^2)*10^-2*(VLOOKUP($IB$9,各项系数!$D$1:$F$143,3,0))*10^-3*10^2*各项系数!$J$4</f>
        <v>0.13911464427600764</v>
      </c>
      <c r="IC192" s="322">
        <v>1</v>
      </c>
      <c r="ID192" s="304">
        <f t="shared" si="857"/>
        <v>0.13911464427600764</v>
      </c>
      <c r="IE192" s="304">
        <f>ID192*(VLOOKUP($IB$9,各项系数!$D$1:$F$143,2,0))</f>
        <v>1.530261087036084</v>
      </c>
      <c r="IF192" s="328"/>
      <c r="IG192" s="315">
        <f t="shared" si="656"/>
        <v>4.5555683430037422E-2</v>
      </c>
      <c r="IH192" s="303">
        <v>1</v>
      </c>
      <c r="II192" s="304">
        <f t="shared" si="858"/>
        <v>4.5555683430037422E-2</v>
      </c>
      <c r="IJ192" s="304">
        <f>II192*(VLOOKUP($IG$8,各项系数!$D$1:$F$143,2,0))</f>
        <v>1.1388920857509355</v>
      </c>
      <c r="IK192" s="315">
        <f>(各项系数!$F$76/4*($MX192^2-$MK192^2)*$EG192)*10^-2*(VLOOKUP($IG$8,各项系数!$D$1:$F$143,3,0))*10^-3*10^2*各项系数!$J$4</f>
        <v>4.5555683430037422E-2</v>
      </c>
      <c r="IL192" s="303">
        <f>IK192*(VLOOKUP($IG$8,各项系数!$D$1:$F$143,2,0))</f>
        <v>1.1388920857509355</v>
      </c>
      <c r="IM192" s="304">
        <f>(各项系数!$F$76/4*(($MM192+3*$X192)^2-MM192^2)*$EO192)*10^-2*(VLOOKUP($IG$8,各项系数!$D$1:$F$143,3,0))*10^-3*10^2*各项系数!$J$4</f>
        <v>0</v>
      </c>
      <c r="IN192" s="303">
        <f>IM192*(VLOOKUP($IG$8,各项系数!$D$1:$F$143,2,0))</f>
        <v>0</v>
      </c>
      <c r="IO192" s="315">
        <f>各项系数!$F$76/4*($MZ192^2-$MX192^2)*10^-2*(VLOOKUP(L192,各项系数!$D$1:$F$143,3,0))*10^-3*10^2*$ES192*各项系数!$J$4</f>
        <v>0.11646173547616244</v>
      </c>
      <c r="IP192" s="303">
        <v>1</v>
      </c>
      <c r="IQ192" s="304">
        <f t="shared" si="859"/>
        <v>0.11646173547616244</v>
      </c>
      <c r="IR192" s="285">
        <f>IQ192*(VLOOKUP(L192,各项系数!$D$1:$F$143,2,0))</f>
        <v>1.339309957975868</v>
      </c>
      <c r="IS192" s="315">
        <f>IF($L192&lt;&gt;$IS$9,0,各项系数!$F$76/4*($MZ192^2-$MX192^2)*10^-2*各项系数!$F$12*10^-3*10^2)*$ES192*各项系数!$J$4</f>
        <v>0</v>
      </c>
      <c r="IT192" s="303">
        <v>1</v>
      </c>
      <c r="IU192" s="304">
        <f t="shared" si="860"/>
        <v>0</v>
      </c>
      <c r="IV192" s="285">
        <f>IU192*各项系数!$E$12</f>
        <v>0</v>
      </c>
      <c r="IW192" s="302">
        <f t="shared" si="861"/>
        <v>0.11646173547616244</v>
      </c>
      <c r="IX192" s="302">
        <f t="shared" si="862"/>
        <v>1.339309957975868</v>
      </c>
      <c r="IY192" s="339">
        <f>各项系数!$F$76/4*($NB192^2-$MZ192^2*$EG192-$NA192^2*$EO192)*10^-2</f>
        <v>0.6633694128743618</v>
      </c>
      <c r="IZ192" s="284">
        <f t="shared" si="697"/>
        <v>1</v>
      </c>
      <c r="JA192" s="285">
        <f t="shared" si="606"/>
        <v>0.6633694128743618</v>
      </c>
      <c r="JB192" s="282">
        <f>IF($DE192&lt;&gt;$JB$9,0,$JA192*各项系数!$F$32*10^-3*10^2)*各项系数!$J$4</f>
        <v>0</v>
      </c>
      <c r="JC192" s="102">
        <v>1</v>
      </c>
      <c r="JD192" s="189">
        <f t="shared" si="863"/>
        <v>0</v>
      </c>
      <c r="JE192" s="262">
        <f>JD192*各项系数!$E$32</f>
        <v>0</v>
      </c>
      <c r="JF192" s="282">
        <f>IF($DE192&lt;&gt;$JF$9,0,$JA192*VLOOKUP($JF$9,各项系数!$D$4:$F$540,2,0)*10^-3*10^2)*各项系数!$J$4</f>
        <v>0.33002628290499497</v>
      </c>
      <c r="JG192" s="102">
        <v>1</v>
      </c>
      <c r="JH192" s="189">
        <f t="shared" si="607"/>
        <v>0.33002628290499497</v>
      </c>
      <c r="JI192" s="262">
        <f>JH192*VLOOKUP($JF$9,各项系数!$D$4:$F$540,3,0)</f>
        <v>0.39603153948599396</v>
      </c>
      <c r="JJ192" s="282">
        <f t="shared" si="864"/>
        <v>0.33002628290499497</v>
      </c>
      <c r="JK192" s="189">
        <f t="shared" si="865"/>
        <v>0.39603153948599396</v>
      </c>
      <c r="JL192" s="282">
        <f>IF($DF192&lt;&gt;$JL$9,0,各项系数!$F$76/4*($NE192^2-$NC192^2)*10^-2*各项系数!$F$39*10^-3*10^2)*各项系数!$J$4</f>
        <v>1.9831918551298298E-3</v>
      </c>
      <c r="JM192" s="102">
        <v>1</v>
      </c>
      <c r="JN192" s="189">
        <f t="shared" si="866"/>
        <v>1.9831918551298298E-3</v>
      </c>
      <c r="JO192" s="262">
        <f>JN192*各项系数!$E$39</f>
        <v>3.9663837102596598E-2</v>
      </c>
      <c r="JP192" s="282">
        <f>IF($DF192&lt;&gt;$JP$9,0,各项系数!$F$76/4*($NE192^2-$NC192^2)*10^-2*各项系数!$F$36*10^-3*10^2)*各项系数!$J$4</f>
        <v>0</v>
      </c>
      <c r="JQ192" s="102">
        <v>1</v>
      </c>
      <c r="JR192" s="189">
        <f t="shared" si="867"/>
        <v>0</v>
      </c>
      <c r="JS192" s="262">
        <f>JR192*各项系数!$E$36</f>
        <v>0</v>
      </c>
      <c r="JT192" s="282">
        <f>IF($DF192&lt;&gt;$JT$9,0,各项系数!$F$76/4*($NE192^2-$NC192^2)*10^-2*各项系数!$F$40*10^-3*10^2)*各项系数!$J$4</f>
        <v>0</v>
      </c>
      <c r="JU192" s="102">
        <v>1</v>
      </c>
      <c r="JV192" s="189">
        <f t="shared" si="868"/>
        <v>0</v>
      </c>
      <c r="JW192" s="262">
        <f>JV192*各项系数!$E$40</f>
        <v>0</v>
      </c>
      <c r="JX192" s="282">
        <f>IF($DF192&lt;&gt;$JX$9,0,各项系数!$F$76/4*($NE192^2-$NC192^2)*10^-2*各项系数!$F$38*10^-3*10^2)*各项系数!$J$4</f>
        <v>0</v>
      </c>
      <c r="JY192" s="102">
        <v>1</v>
      </c>
      <c r="JZ192" s="189">
        <f t="shared" si="869"/>
        <v>0</v>
      </c>
      <c r="KA192" s="262">
        <f>JZ192*各项系数!$E$38</f>
        <v>0</v>
      </c>
      <c r="KB192" s="282">
        <f>IF($DF192&lt;&gt;$KB$9,0,各项系数!$F$76/4*($NE192^2-$NC192^2)*10^-2*各项系数!$F$41*10^-3*10^2)*各项系数!$J$4</f>
        <v>0</v>
      </c>
      <c r="KC192" s="102">
        <v>1</v>
      </c>
      <c r="KD192" s="189">
        <f t="shared" si="870"/>
        <v>0</v>
      </c>
      <c r="KE192" s="262">
        <f>KD192*各项系数!$E$41</f>
        <v>0</v>
      </c>
      <c r="KF192" s="189">
        <f t="shared" si="871"/>
        <v>1.9831918551298298E-3</v>
      </c>
      <c r="KG192" s="189">
        <f t="shared" si="872"/>
        <v>3.9663837102596598E-2</v>
      </c>
      <c r="KH192" s="235">
        <f>各项系数!$F$76/4*($NG192^2-$NE192^2)*10^-2*各项系数!$F$44*10^-3*10^2*各项系数!$J$4*0.75*$U192</f>
        <v>0.80710798144446549</v>
      </c>
      <c r="KI192" s="102">
        <v>1</v>
      </c>
      <c r="KJ192" s="189">
        <f t="shared" si="873"/>
        <v>0.80710798144446549</v>
      </c>
      <c r="KK192" s="189">
        <f>ROUND(KJ192*各项系数!$E$43,GT192)</f>
        <v>4.7</v>
      </c>
      <c r="KL192" s="235">
        <f>各项系数!$F$76/4*($NF192^2-$NE192^2)*10^-2*各项系数!$F$46*10^-3*10^2*各项系数!$J$4*PI()/4*R192</f>
        <v>2.4896294101789618E-2</v>
      </c>
      <c r="KM192" s="102">
        <v>1</v>
      </c>
      <c r="KN192" s="189">
        <f t="shared" si="874"/>
        <v>2.4896294101789618E-2</v>
      </c>
      <c r="KO192" s="189">
        <f>KN192*各项系数!$E$46</f>
        <v>1.6804998518707992</v>
      </c>
      <c r="KP192" s="235">
        <f>各项系数!$F$76/4*($NH192^2-$NE192^2)*10^-2*(VLOOKUP($KP$9,各项系数!$D$1:$F$143,3,0))*10^-3*10^2*各项系数!$J$4</f>
        <v>0.15944584285705432</v>
      </c>
      <c r="KQ192" s="102">
        <v>1</v>
      </c>
      <c r="KR192" s="189">
        <f t="shared" si="657"/>
        <v>0.15944584285705432</v>
      </c>
      <c r="KS192" s="189">
        <f>KR192*(VLOOKUP($KP$9,各项系数!$D$1:$F$143,2,0))</f>
        <v>2.7105793285699233</v>
      </c>
      <c r="KT192" s="235">
        <f>各项系数!$F$76/4*($NI192^2-$NF192^2)*10^-2*(VLOOKUP($KT$9,各项系数!$D$1:$F$143,3,0))*10^-3*10^2*各项系数!$J$4</f>
        <v>0.16075121230373268</v>
      </c>
      <c r="KU192" s="102">
        <v>1</v>
      </c>
      <c r="KV192" s="189">
        <f t="shared" si="658"/>
        <v>0.16075121230373268</v>
      </c>
      <c r="KW192" s="189">
        <f>KV192*(VLOOKUP($KT$9,各项系数!$D$1:$F$143,2,0))</f>
        <v>2.7327706091634556</v>
      </c>
      <c r="KX192" s="189">
        <f>各项系数!$F$76/4*($NH192^2-$NE192^2)*10^-2*(VLOOKUP($KX$9,各项系数!$D$1:$F$143,3,0))*10^-3*10^2*各项系数!$J$4</f>
        <v>0.15944584285705432</v>
      </c>
      <c r="KY192" s="353">
        <v>1</v>
      </c>
      <c r="KZ192" s="189">
        <f t="shared" si="659"/>
        <v>0.15944584285705432</v>
      </c>
      <c r="LA192" s="189">
        <f>KZ192*(VLOOKUP($KX$9,各项系数!$D$1:$F$143,2,0))</f>
        <v>2.7105793285699233</v>
      </c>
      <c r="LB192" s="189">
        <f>各项系数!$F$76/4*($NI192^2-$NF192^2)*10^-2*(VLOOKUP($LB$9,各项系数!$D$1:$F$143,3,0))*10^-3*10^2*各项系数!$J$4</f>
        <v>0.16075121230373268</v>
      </c>
      <c r="LC192" s="353">
        <v>1</v>
      </c>
      <c r="LD192" s="189">
        <f t="shared" si="660"/>
        <v>0.16075121230373268</v>
      </c>
      <c r="LE192" s="189">
        <f>LD192*(VLOOKUP($LB$9,各项系数!$D$1:$F$143,2,0))</f>
        <v>2.7327706091634556</v>
      </c>
      <c r="LF192" s="235">
        <f>各项系数!$F$76/4*($NH192^2-$NE192^2)*10^-2*(VLOOKUP(AN192,各项系数!$D$1:$F$143,3,0))*10^-3*10^2*各项系数!$J$4</f>
        <v>0.16164509586197917</v>
      </c>
      <c r="LG192" s="102">
        <v>1</v>
      </c>
      <c r="LH192" s="189">
        <f t="shared" si="875"/>
        <v>0.16164509586197917</v>
      </c>
      <c r="LI192" s="189">
        <f>LH192*(VLOOKUP(AN192,各项系数!$D$1:$F$143,2,0))</f>
        <v>1.6164509586197917</v>
      </c>
      <c r="LJ192" s="235">
        <f>各项系数!$F$76/4*($NI192^2-$NF192^2)*10^-2*(VLOOKUP(AN192,各项系数!$D$1:$F$143,3,0))*10^-3*10^2*各项系数!$J$4</f>
        <v>0.16296847040447382</v>
      </c>
      <c r="LK192" s="102">
        <v>1</v>
      </c>
      <c r="LL192" s="189">
        <f t="shared" si="876"/>
        <v>0.16296847040447382</v>
      </c>
      <c r="LM192" s="189">
        <f>LL192*(VLOOKUP(AN192,各项系数!$D$1:$F$143,2,0))</f>
        <v>1.6296847040447382</v>
      </c>
      <c r="LN192" s="189">
        <f>各项系数!$F$76/4*($NH192^2-$NE192^2)*10^-2*(VLOOKUP($LN$9,各项系数!$D$1:$F$143,3,0))*10^-3*10^2*各项系数!$J$4</f>
        <v>0.16164509586197917</v>
      </c>
      <c r="LO192" s="353">
        <v>1</v>
      </c>
      <c r="LP192" s="189">
        <f t="shared" si="877"/>
        <v>0.16164509586197917</v>
      </c>
      <c r="LQ192" s="189">
        <f>LP192*(VLOOKUP($LN$9,各项系数!$D$1:$F$143,2,0))</f>
        <v>1.7780960544817708</v>
      </c>
      <c r="LR192" s="189">
        <f>各项系数!$F$76/4*($NI192^2-$NF192^2)*10^-2*(VLOOKUP($LR$9,各项系数!$D$1:$F$143,3,0))*10^-3*10^2*各项系数!$J$4</f>
        <v>0.16296847040447382</v>
      </c>
      <c r="LS192" s="353">
        <v>1</v>
      </c>
      <c r="LT192" s="189">
        <f t="shared" si="878"/>
        <v>0.16296847040447382</v>
      </c>
      <c r="LU192" s="189">
        <f>LT192*(VLOOKUP($LR$9,各项系数!$D$1:$F$143,2,0))</f>
        <v>1.792653174449212</v>
      </c>
      <c r="LV192" s="227">
        <f t="shared" si="661"/>
        <v>37.354838549999997</v>
      </c>
      <c r="LW192" s="227">
        <f t="shared" si="662"/>
        <v>37.354838549999997</v>
      </c>
      <c r="LX192" s="227">
        <f t="shared" si="663"/>
        <v>6.896496039950831</v>
      </c>
      <c r="LY192" s="227">
        <f t="shared" si="664"/>
        <v>0</v>
      </c>
      <c r="LZ192" s="374">
        <f t="shared" si="608"/>
        <v>1</v>
      </c>
      <c r="MA192" s="375">
        <f t="shared" si="609"/>
        <v>37.354838549999997</v>
      </c>
      <c r="MB192" s="375">
        <f t="shared" si="665"/>
        <v>1.7241240099999999</v>
      </c>
      <c r="MC192" s="227">
        <f t="shared" si="666"/>
        <v>0</v>
      </c>
      <c r="MD192" s="227">
        <f t="shared" si="667"/>
        <v>0</v>
      </c>
      <c r="ME192" s="227">
        <f t="shared" si="668"/>
        <v>0</v>
      </c>
      <c r="MF192" s="227">
        <f t="shared" si="669"/>
        <v>0</v>
      </c>
      <c r="MG192" s="374">
        <f t="shared" si="670"/>
        <v>1</v>
      </c>
      <c r="MH192" s="375">
        <f t="shared" si="610"/>
        <v>0</v>
      </c>
      <c r="MI192" s="375">
        <f t="shared" si="671"/>
        <v>0</v>
      </c>
      <c r="MJ192" s="189">
        <f t="shared" si="611"/>
        <v>1.7241240099999999</v>
      </c>
      <c r="MK192" s="189">
        <f t="shared" si="672"/>
        <v>1.7241240099999999</v>
      </c>
      <c r="ML192" s="189">
        <f t="shared" si="879"/>
        <v>0</v>
      </c>
      <c r="MM192" s="189">
        <f t="shared" si="612"/>
        <v>0</v>
      </c>
      <c r="MN192" s="189">
        <f t="shared" si="613"/>
        <v>3.1241240100000001</v>
      </c>
      <c r="MO192" s="189">
        <f t="shared" si="673"/>
        <v>0</v>
      </c>
      <c r="MP192" s="189">
        <f t="shared" si="674"/>
        <v>14.683382849999999</v>
      </c>
      <c r="MQ192" s="189">
        <f t="shared" si="880"/>
        <v>14.683382849999999</v>
      </c>
      <c r="MR192" s="246">
        <f t="shared" si="675"/>
        <v>14.683382849999999</v>
      </c>
      <c r="MS192" s="380">
        <f t="shared" si="614"/>
        <v>14.859382849999999</v>
      </c>
      <c r="MT192" s="380">
        <f t="shared" si="615"/>
        <v>15.01938285</v>
      </c>
      <c r="MU192" s="380">
        <f t="shared" si="616"/>
        <v>16.059382849999999</v>
      </c>
      <c r="MV192" s="380">
        <f t="shared" si="617"/>
        <v>18.459382850000001</v>
      </c>
      <c r="MW192" s="380">
        <f t="shared" si="618"/>
        <v>18.619382850000001</v>
      </c>
      <c r="MX192" s="254">
        <f t="shared" si="619"/>
        <v>2.3241240100000002</v>
      </c>
      <c r="MY192" s="254">
        <f t="shared" si="620"/>
        <v>0</v>
      </c>
      <c r="MZ192" s="189">
        <f t="shared" si="621"/>
        <v>3.7241240100000002</v>
      </c>
      <c r="NA192" s="189">
        <f t="shared" si="622"/>
        <v>0</v>
      </c>
      <c r="NB192" s="189">
        <f t="shared" si="676"/>
        <v>17.503382850000001</v>
      </c>
      <c r="NC192" s="254">
        <f t="shared" si="881"/>
        <v>17.503382850000001</v>
      </c>
      <c r="ND192" s="246">
        <f t="shared" si="677"/>
        <v>17.503382850000001</v>
      </c>
      <c r="NE192" s="386">
        <f t="shared" si="678"/>
        <v>17.74338285</v>
      </c>
      <c r="NF192" s="380">
        <f t="shared" si="623"/>
        <v>17.90338285</v>
      </c>
      <c r="NG192" s="387">
        <f t="shared" si="624"/>
        <v>18.943382849999999</v>
      </c>
      <c r="NH192" s="254">
        <f t="shared" si="625"/>
        <v>21.343382850000001</v>
      </c>
      <c r="NI192" s="380">
        <f t="shared" si="626"/>
        <v>21.503382850000001</v>
      </c>
      <c r="NK192" s="388">
        <f t="shared" si="627"/>
        <v>0.62133334091879844</v>
      </c>
      <c r="NL192" s="388">
        <f t="shared" si="628"/>
        <v>24.313387974468966</v>
      </c>
      <c r="NM192" s="388">
        <f t="shared" si="629"/>
        <v>0.62133334091879844</v>
      </c>
      <c r="NN192" s="388">
        <f t="shared" si="630"/>
        <v>24.451179244202478</v>
      </c>
      <c r="NO192" s="388">
        <f t="shared" si="631"/>
        <v>0.98609608055075049</v>
      </c>
      <c r="NP192" s="388">
        <f t="shared" si="632"/>
        <v>26.173126340905441</v>
      </c>
      <c r="NQ192" s="388">
        <f t="shared" si="633"/>
        <v>0.98609608055075049</v>
      </c>
      <c r="NR192" s="388">
        <f t="shared" si="634"/>
        <v>26.334771436767419</v>
      </c>
      <c r="NS192" s="388">
        <f t="shared" si="635"/>
        <v>0.64220116787751924</v>
      </c>
      <c r="NT192" s="388">
        <f t="shared" si="636"/>
        <v>0.64220116787751924</v>
      </c>
      <c r="NU192" s="388">
        <f t="shared" si="637"/>
        <v>1.01099237465254</v>
      </c>
      <c r="NV192" s="388">
        <f t="shared" si="638"/>
        <v>1.01099237465254</v>
      </c>
      <c r="NW192">
        <f t="shared" si="639"/>
        <v>0.84807071334482076</v>
      </c>
      <c r="NX192">
        <f>各项系数!$M$9*NK192</f>
        <v>0.18640000227563952</v>
      </c>
      <c r="NY192">
        <f t="shared" si="640"/>
        <v>0.64220116787751924</v>
      </c>
    </row>
    <row r="193" spans="1:389" ht="15" hidden="1" customHeight="1">
      <c r="A193" s="69"/>
      <c r="B193" s="70"/>
      <c r="C193" s="69"/>
      <c r="D193" s="102" t="s">
        <v>254</v>
      </c>
      <c r="E193" s="61">
        <f t="shared" si="829"/>
        <v>19.396620049999999</v>
      </c>
      <c r="F193" s="62">
        <f t="shared" si="820"/>
        <v>172.412400708262</v>
      </c>
      <c r="G193" s="16"/>
      <c r="H193" s="16"/>
      <c r="I193" s="145">
        <v>0</v>
      </c>
      <c r="J193" s="16"/>
      <c r="K193" s="16"/>
      <c r="L193" s="97" t="s">
        <v>469</v>
      </c>
      <c r="M193" s="103">
        <f t="shared" si="582"/>
        <v>0.7</v>
      </c>
      <c r="N193" s="103">
        <f t="shared" si="804"/>
        <v>0</v>
      </c>
      <c r="O193" s="53">
        <f t="shared" si="825"/>
        <v>0.08</v>
      </c>
      <c r="P193" s="99">
        <v>0.1</v>
      </c>
      <c r="Q193" s="133">
        <f t="shared" si="823"/>
        <v>0.1</v>
      </c>
      <c r="R193" s="406">
        <v>0.8</v>
      </c>
      <c r="S193" s="142" t="str">
        <f>各项系数!$D$43</f>
        <v>钢带</v>
      </c>
      <c r="T193" s="102">
        <v>0.2</v>
      </c>
      <c r="U193" s="62">
        <v>4</v>
      </c>
      <c r="V193" s="143"/>
      <c r="W193" s="141">
        <f t="shared" si="828"/>
        <v>1.8</v>
      </c>
      <c r="X193" s="135">
        <f t="shared" si="824"/>
        <v>0.2</v>
      </c>
      <c r="Y193" s="135"/>
      <c r="Z193" s="168"/>
      <c r="AA193" s="153">
        <v>1</v>
      </c>
      <c r="AB193" s="153">
        <f>PI()*EJ193*EJ193/4*EH193*(1-H193)*AA193*各项系数!$F$5*各项系数!$J$4*10^-7</f>
        <v>2.0651505688902914E-2</v>
      </c>
      <c r="AC193" s="153">
        <f t="shared" si="830"/>
        <v>172.412400708262</v>
      </c>
      <c r="AD193" s="153">
        <f t="shared" si="584"/>
        <v>2.3346774015073022</v>
      </c>
      <c r="AE193" s="153">
        <f>POWER(4*EU193/PI()/EG193/10^-7/EH193/(1-H193)/各项系数!$F$5/各项系数!$J$4,0.5)</f>
        <v>172.412400708262</v>
      </c>
      <c r="AF193" s="69">
        <v>1</v>
      </c>
      <c r="AG193" s="69">
        <f>IF(EM193=0,0,PI()*ER193*ER193/4*EP193*(1-K193)*(1+AF193)*各项系数!$F$5*各项系数!$J$4*10^-7)</f>
        <v>0</v>
      </c>
      <c r="AH193" s="69">
        <f t="shared" si="831"/>
        <v>0</v>
      </c>
      <c r="AI193" s="69">
        <f t="shared" si="641"/>
        <v>0</v>
      </c>
      <c r="AJ193" s="69">
        <f>IF(OR(EP193="",EP193=0),0,POWER(4*EW193/PI()/EO193/10^-7/EP193/(1-K193)/各项系数!$F$5/各项系数!$J$4,0.5))</f>
        <v>0</v>
      </c>
      <c r="AK193" s="69" t="str">
        <f t="shared" si="585"/>
        <v>√</v>
      </c>
      <c r="AL193" s="69">
        <f t="shared" si="832"/>
        <v>29.641326479440988</v>
      </c>
      <c r="AM193" s="188">
        <f t="shared" si="833"/>
        <v>2.5</v>
      </c>
      <c r="AN193" s="97" t="s">
        <v>486</v>
      </c>
      <c r="AO193" s="196">
        <f>AP193+各项系数!$M$9*$NK193</f>
        <v>29.06012399945195</v>
      </c>
      <c r="AP193" s="196">
        <f>AQ193*(1+$BI193+(VLOOKUP($AM193,$A$12:$B$323,2,0))+各项系数!$J$6+各项系数!$M$5)*(1+$E$2)</f>
        <v>28.847731373334295</v>
      </c>
      <c r="AQ193" s="197">
        <f>AR193+各项系数!$L$9*$NK193</f>
        <v>29.436460585034997</v>
      </c>
      <c r="AR193" s="197">
        <f>AS193*(1+$BJ193+各项系数!$J$5+各项系数!$L$5)</f>
        <v>29.224067958917342</v>
      </c>
      <c r="AS193" s="197">
        <f t="shared" si="642"/>
        <v>28.651047018546414</v>
      </c>
      <c r="AT193" s="196">
        <f>AU193+各项系数!$M$9*$NM193</f>
        <v>30.04486958700787</v>
      </c>
      <c r="AU193" s="196">
        <f>AV193*(1+$BI193+(VLOOKUP($AM193,$A$12:$B$323,2,0))+各项系数!$J$6+各项系数!$M$5)*(1+$E$2)</f>
        <v>29.832476960890215</v>
      </c>
      <c r="AV193" s="197">
        <f>AW193+各项系数!$L$9*$NM193</f>
        <v>30.441303021316546</v>
      </c>
      <c r="AW193" s="197">
        <f>AX193*(1+$BJ193+各项系数!$J$5+各项系数!$L$5)</f>
        <v>30.228910395198891</v>
      </c>
      <c r="AX193" s="197">
        <f t="shared" si="643"/>
        <v>29.636186661959698</v>
      </c>
      <c r="AY193" s="196">
        <f>AZ193+各项系数!$M$9*$NS193</f>
        <v>30.582873701797748</v>
      </c>
      <c r="AZ193" s="196">
        <f>BA193*(1+$BI193+(VLOOKUP($AM193,$A$12:$B$214,2,0))+各项系数!$J$6+各项系数!$M$5)*(1+$E$2)</f>
        <v>30.363827978362366</v>
      </c>
      <c r="BA193" s="197">
        <f>BB193+各项系数!$L$9*$NS193</f>
        <v>30.983497937104456</v>
      </c>
      <c r="BB193" s="197">
        <f>BC193*(1+$BJ193+各项系数!$J$5+各项系数!$L$5)</f>
        <v>30.764452213669074</v>
      </c>
      <c r="BC193" s="199">
        <f t="shared" si="644"/>
        <v>30.161227660459875</v>
      </c>
      <c r="BD193" s="196">
        <f>BE193+各项系数!$M$9*$NS193</f>
        <v>31.576573241508186</v>
      </c>
      <c r="BE193" s="196">
        <f>BF193*(1+$BI193+(VLOOKUP($AM193,$A$12:$B$214,2,0))+各项系数!$J$6+各项系数!$M$5)*(1+$E$2)</f>
        <v>31.357527518072803</v>
      </c>
      <c r="BF193" s="197">
        <f>BG193+各项系数!$L$9*$NS193</f>
        <v>31.997477059257964</v>
      </c>
      <c r="BG193" s="197">
        <f>BH193*(1+$BJ193+各项系数!$J$5+各项系数!$L$5)</f>
        <v>31.778431335822582</v>
      </c>
      <c r="BH193" s="199">
        <f t="shared" si="645"/>
        <v>31.155324839041747</v>
      </c>
      <c r="BI193" s="213"/>
      <c r="BJ193" s="208">
        <f t="shared" si="822"/>
        <v>0</v>
      </c>
      <c r="BK193" s="102" t="s">
        <v>514</v>
      </c>
      <c r="BL193" s="196">
        <f>BM193+各项系数!$M$9*$NM193</f>
        <v>29.487815610526191</v>
      </c>
      <c r="BM193" s="196">
        <f>BN193*(1+$CF193+(VLOOKUP($AM193,$A$12:$B$323,2,0))+各项系数!$J$6+各项系数!$M$5)*(1+$E$2)</f>
        <v>29.275422984408536</v>
      </c>
      <c r="BN193" s="197">
        <f>BO193+各项系数!$L$9*$NM193</f>
        <v>29.872880596335243</v>
      </c>
      <c r="BO193" s="197">
        <f>BP193*(1+$CG193+各项系数!$J$5+各项系数!$L$5)</f>
        <v>29.660487970217588</v>
      </c>
      <c r="BP193" s="197">
        <f t="shared" si="646"/>
        <v>28.796590262347173</v>
      </c>
      <c r="BQ193" s="196">
        <f>BR193+各项系数!$M$9*$NM193</f>
        <v>30.335304216295075</v>
      </c>
      <c r="BR193" s="196">
        <f>BS193*(1+$CF193+(VLOOKUP($AM193,$A$12:$B$323,2,0))+各项系数!$J$6+各项系数!$M$5)*(1+$E$2)</f>
        <v>30.12291159017742</v>
      </c>
      <c r="BS193" s="197">
        <f>BT193+各项系数!$L$9*$NM193</f>
        <v>30.737664887936145</v>
      </c>
      <c r="BT193" s="197">
        <f>BU193*(1+$CG193+各项系数!$J$5+各项系数!$L$5)</f>
        <v>30.52527226181849</v>
      </c>
      <c r="BU193" s="197">
        <f t="shared" si="647"/>
        <v>29.636186661959698</v>
      </c>
      <c r="BV193" s="196">
        <f>BW193+各项系数!$M$9*$NT193</f>
        <v>30.820134223551133</v>
      </c>
      <c r="BW193" s="196">
        <f>BX193*(1+$CF193+(VLOOKUP($AM193,$A$12:$B$214,2,0))+各项系数!$J$6+各项系数!$M$5)*(1+$E$2)</f>
        <v>30.60108850011575</v>
      </c>
      <c r="BX193" s="197">
        <f>BY193+各项系数!$L$9*$NT$12</f>
        <v>31.225600510322195</v>
      </c>
      <c r="BY193" s="197">
        <f>BZ193*(1+$CG193+各项系数!$J$5+各项系数!$L$5)</f>
        <v>31.217337107167221</v>
      </c>
      <c r="BZ193" s="199">
        <f t="shared" si="586"/>
        <v>30.308094278803125</v>
      </c>
      <c r="CA193" s="196">
        <f>CB193+各项系数!$M$9*$NT193</f>
        <v>31.675328751055993</v>
      </c>
      <c r="CB193" s="196">
        <f>CC193*(1+$CF193+(VLOOKUP($AM193,$A$12:$B$214,2,0))+各项系数!$J$6+各项系数!$M$5)*(1+$E$2)</f>
        <v>31.456283027620611</v>
      </c>
      <c r="CC193" s="197">
        <f>CD193+各项系数!$L$9*$NT$12</f>
        <v>32.098247987367969</v>
      </c>
      <c r="CD193" s="197">
        <f>CE193*(1+$CG193+各项系数!$J$5+各项系数!$L$5)</f>
        <v>32.089984584212999</v>
      </c>
      <c r="CE193" s="199">
        <f t="shared" si="648"/>
        <v>31.155324839041747</v>
      </c>
      <c r="CF193" s="213">
        <f t="shared" si="753"/>
        <v>0</v>
      </c>
      <c r="CG193" s="213">
        <f t="shared" si="587"/>
        <v>0.01</v>
      </c>
      <c r="CH193" s="102"/>
      <c r="CI193" s="196">
        <f>CJ193+各项系数!$M$9*$NO193</f>
        <v>31.628211647453998</v>
      </c>
      <c r="CJ193" s="196">
        <f>CK193*(1+$DC193+(VLOOKUP($AM193,$A$12:$B$323,2,0))+各项系数!$J$6+各项系数!$M$5)*(1+$E$2)+各项系数!$M$9*$NK193</f>
        <v>31.303336210630377</v>
      </c>
      <c r="CK193" s="197">
        <f>CL193+各项系数!$L$9*$NO193</f>
        <v>31.725452637257881</v>
      </c>
      <c r="CL193" s="197">
        <f>CM193*(1+$DD193+各项系数!$J$5+各项系数!$L$5)</f>
        <v>31.40057720043426</v>
      </c>
      <c r="CM193" s="197">
        <f t="shared" si="588"/>
        <v>30.784879608268881</v>
      </c>
      <c r="CN193" s="196">
        <f>CO193+各项系数!$M$9*$NO193</f>
        <v>32.35963238061214</v>
      </c>
      <c r="CO193" s="196">
        <f>CP193*(1+$DC193+(VLOOKUP($AM193,$A$12:$B$323,2,0))+各项系数!$J$6+各项系数!$M$5)*(1+$E$2)+各项系数!$M$9*$NK193</f>
        <v>32.034756943788523</v>
      </c>
      <c r="CP193" s="197">
        <f>CQ193+各项系数!$L$9*$NO193</f>
        <v>32.471800324153946</v>
      </c>
      <c r="CQ193" s="197">
        <f>CR193*(1+$DD193+各项系数!$J$5+各项系数!$L$5)</f>
        <v>32.146924887330329</v>
      </c>
      <c r="CR193" s="197">
        <f t="shared" si="589"/>
        <v>31.516593026794439</v>
      </c>
      <c r="CS193" s="196">
        <f>CT193+各项系数!$M$9*$NU193</f>
        <v>33.229888481711107</v>
      </c>
      <c r="CT193" s="196">
        <f t="shared" si="590"/>
        <v>32.897075978430401</v>
      </c>
      <c r="CU193" s="197">
        <f>CV193+各项系数!$L$9*$NU193</f>
        <v>33.568444875949389</v>
      </c>
      <c r="CV193" s="197">
        <f>CW193*(1+$DD193+各项系数!$J$5+各项系数!$L$5)</f>
        <v>33.235632372668682</v>
      </c>
      <c r="CW193" s="199">
        <f t="shared" si="591"/>
        <v>32.583953306537921</v>
      </c>
      <c r="CX193" s="196">
        <f>CY193+各项系数!$M$9*$NU193</f>
        <v>34.39505620518058</v>
      </c>
      <c r="CY193" s="196">
        <f t="shared" si="592"/>
        <v>34.062243701899874</v>
      </c>
      <c r="CZ193" s="197">
        <f>DA193+各项系数!$L$9*$NU193</f>
        <v>34.757391532550891</v>
      </c>
      <c r="DA193" s="197">
        <f>DB193*(1+$DD193+各项系数!$J$5+各项系数!$L$5)</f>
        <v>34.424579029270184</v>
      </c>
      <c r="DB193" s="199">
        <f t="shared" si="593"/>
        <v>33.749587283598217</v>
      </c>
      <c r="DC193" s="213">
        <f t="shared" si="827"/>
        <v>0</v>
      </c>
      <c r="DD193" s="213">
        <f t="shared" si="594"/>
        <v>0</v>
      </c>
      <c r="DE193" s="53" t="s">
        <v>498</v>
      </c>
      <c r="DF193" s="53" t="s">
        <v>513</v>
      </c>
      <c r="DG193" s="196">
        <f>DH193+各项系数!$M$9*$NQ193</f>
        <v>32.10239566104768</v>
      </c>
      <c r="DH193" s="196">
        <f>DI193*(1+$EA193+(VLOOKUP($AM193,$A$12:$B$323,2,0))+各项系数!$J$6+各项系数!$M$5)*(1+$E$2)+各项系数!$M$9*$NK193</f>
        <v>31.777520224224062</v>
      </c>
      <c r="DI193" s="197">
        <f>DJ193+各项系数!$L$9*$NQ193</f>
        <v>32.209313875618783</v>
      </c>
      <c r="DJ193" s="197">
        <f>DK193*(1+$EB193+各项系数!$J$5+各项系数!$L$5)</f>
        <v>31.884438438795165</v>
      </c>
      <c r="DK193" s="197">
        <f t="shared" si="595"/>
        <v>30.955765474558412</v>
      </c>
      <c r="DL193" s="196">
        <f>DM193+各项系数!$M$9*$NQ193</f>
        <v>33.097452668060519</v>
      </c>
      <c r="DM193" s="196">
        <f>DN193*(1+$EA193+(VLOOKUP($AM193,$A$12:$B$323,2,0))+各项系数!$J$6+各项系数!$M$5)*(1+$E$2)+各项系数!$M$9*$NK193</f>
        <v>32.772577231236902</v>
      </c>
      <c r="DN193" s="197">
        <f>DO193+各项系数!$L$9*$NQ193</f>
        <v>33.224678168489028</v>
      </c>
      <c r="DO193" s="197">
        <f>DP193*(1+$EB193+各项系数!$J$5+各项系数!$L$5)</f>
        <v>32.89980273166541</v>
      </c>
      <c r="DP193" s="197">
        <f t="shared" si="596"/>
        <v>31.941556050160592</v>
      </c>
      <c r="DQ193" s="196">
        <f>DR193+各项系数!$M$9*$NV193</f>
        <v>33.723039231811022</v>
      </c>
      <c r="DR193" s="196">
        <f t="shared" si="597"/>
        <v>33.390226728530315</v>
      </c>
      <c r="DS193" s="197">
        <f>DT193+各项系数!$L$9*$NV193</f>
        <v>34.07165992707175</v>
      </c>
      <c r="DT193" s="197">
        <f>DU193*(1+$EB193+各项系数!$J$5+各项系数!$L$5)</f>
        <v>33.738847423791043</v>
      </c>
      <c r="DU193" s="199">
        <f t="shared" si="598"/>
        <v>32.756162547369946</v>
      </c>
      <c r="DV193" s="196">
        <f>DW193+各项系数!$M$9*$NV193</f>
        <v>33.120421538057592</v>
      </c>
      <c r="DW193" s="196">
        <f t="shared" si="599"/>
        <v>32.787609034776885</v>
      </c>
      <c r="DX193" s="197">
        <f>DY193+各项系数!$L$9*$NV193</f>
        <v>33.456743913037641</v>
      </c>
      <c r="DY193" s="197">
        <f>DZ193*(1+$EB193+各项系数!$J$5+各项系数!$L$5)</f>
        <v>33.123931409756935</v>
      </c>
      <c r="DZ193" s="199">
        <f t="shared" si="600"/>
        <v>32.159156708501875</v>
      </c>
      <c r="EA193" s="213">
        <f t="shared" si="826"/>
        <v>0</v>
      </c>
      <c r="EB193" s="213">
        <f t="shared" si="601"/>
        <v>0.01</v>
      </c>
      <c r="EC193" s="235">
        <f t="shared" si="649"/>
        <v>19</v>
      </c>
      <c r="ED193" s="235" t="str">
        <f t="shared" si="834"/>
        <v>19*2.5</v>
      </c>
      <c r="EE193" s="189">
        <f t="shared" si="835"/>
        <v>2.5</v>
      </c>
      <c r="EF193" s="189">
        <f>LOOKUP(EH193,{1,7,10,14,19,24,30,37,48,61},{1,"1+6","2+8","4+10","1+6+12","2+8+14","4+10+16","1+6+12+18","3+9+15+21","1+6+12+18+24"})</f>
        <v>1</v>
      </c>
      <c r="EG193" s="188">
        <f t="shared" si="602"/>
        <v>19</v>
      </c>
      <c r="EH193" s="197">
        <f>VLOOKUP(EE193,各项系数!$B$87:$C$124,2,0)</f>
        <v>1</v>
      </c>
      <c r="EI193" s="188">
        <f>IF(EH193=0,0,VLOOKUP(EH193,各项系数!$D$142:$E$195,2,0))*1</f>
        <v>1</v>
      </c>
      <c r="EJ193" s="238">
        <f t="shared" si="650"/>
        <v>172.412400708262</v>
      </c>
      <c r="EK193" s="189">
        <f t="shared" si="836"/>
        <v>0</v>
      </c>
      <c r="EL193" s="189">
        <f t="shared" si="603"/>
        <v>0</v>
      </c>
      <c r="EM193" s="189">
        <f t="shared" si="837"/>
        <v>0</v>
      </c>
      <c r="EN193" s="189">
        <f>IF(EP193=0,0,LOOKUP(EP193,{1,7,10,14,19,24,30,37,48,61},{1,"1+6","2+8","4+10","1+6+12","2+8+14","4+10+16","1+6+12+18","3+9+15+21","1+6+12+18+24"}))</f>
        <v>0</v>
      </c>
      <c r="EO193" s="189">
        <f t="shared" si="838"/>
        <v>0</v>
      </c>
      <c r="EP193" s="189">
        <f>IF(EM193=0,0,IF(EM193&lt;10,1,IF(AND(EM193&gt;=10,EM193&lt;=35),7,LOOKUP(EM193,{50,70,95,120,150,185,240,300},{10,14,19,24,30,37,48,61})*1)))</f>
        <v>0</v>
      </c>
      <c r="EQ193" s="189">
        <f>IF(EP193=0,0,VLOOKUP(EP193,各项系数!$D$142:$E$195,2,0))*1</f>
        <v>0</v>
      </c>
      <c r="ER193" s="53">
        <f t="shared" si="839"/>
        <v>0</v>
      </c>
      <c r="ES193" s="412">
        <f t="shared" si="840"/>
        <v>19</v>
      </c>
      <c r="ET193" s="189">
        <f>VLOOKUP(ES193,各项系数!$D$142:$E$195,2,0)*1</f>
        <v>5</v>
      </c>
      <c r="EU193" s="243">
        <f>((各项系数!$F$76/4*$EJ193^2*$EG193*$EH193*1*10^-7)*(1-$H193)*AA193)*(VLOOKUP($EY$9,各项系数!$D$4:$F$143,3,0))*各项系数!$J$4</f>
        <v>0.39237860808915542</v>
      </c>
      <c r="EV193" s="244">
        <f>EU193*(VLOOKUP($EY$9,各项系数!$D$4:$F$143,2,0))</f>
        <v>25.70079882983968</v>
      </c>
      <c r="EW193" s="252">
        <f>(IF($EO193=0,0,(各项系数!$F$76/4*$ER193^2*$EO193*$EP193*1*10^-7))*(1-$K193)*$AF193)*(VLOOKUP($EY$9,各项系数!$D$4:$F$143,3,0))*各项系数!$J$4</f>
        <v>0</v>
      </c>
      <c r="EX193" s="253">
        <f>EW193*(VLOOKUP($EY$9,各项系数!$D$4:$F$143,2,0))</f>
        <v>0</v>
      </c>
      <c r="EY193" s="189">
        <f>((各项系数!$F$76/4*$EJ193^2*$EG193*$EH193*1*10^-7)*(1-$H193)*AA193+IF($EO193=0,0,(各项系数!$F$76/4*$ER193^2*$EO193*$EP193*1*10^-7))*(1-$K193)*$AF193)*(VLOOKUP($EY$9,各项系数!$D$4:$F$143,3,0))*各项系数!$J$4</f>
        <v>0.39237860808915542</v>
      </c>
      <c r="EZ193" s="102">
        <v>1</v>
      </c>
      <c r="FA193" s="189">
        <f t="shared" si="841"/>
        <v>0.39237860808915542</v>
      </c>
      <c r="FB193" s="254">
        <f>FA193*(VLOOKUP($EY$9,各项系数!$D$4:$F$143,2,0))</f>
        <v>25.70079882983968</v>
      </c>
      <c r="FC193" s="255"/>
      <c r="FD193" s="235">
        <f>各项系数!$F$76/4*($MN193^2-MK193^2)*10^-2*(VLOOKUP(L193,各项系数!$D$1:$F$143,3,0))*10^-3*10^2*$EG193*各项系数!$J$4</f>
        <v>0.11085929506629774</v>
      </c>
      <c r="FE193" s="262">
        <f>FD193*VLOOKUP(L193,各项系数!$D$1:$F$143,2,0)</f>
        <v>1.274881893262424</v>
      </c>
      <c r="FF193" s="188">
        <f>各项系数!$F$76/4*($MO193^2-ML193^2)*10^-2*(VLOOKUP(L193,各项系数!$D$1:$F$143,3,0))*10^-3*10^2*$EO193*各项系数!$J$4</f>
        <v>0</v>
      </c>
      <c r="FG193" s="262">
        <f>FF193*VLOOKUP(L193,各项系数!$D$1:$F$143,2,0)</f>
        <v>0</v>
      </c>
      <c r="FH193" s="235">
        <f t="shared" si="651"/>
        <v>0.11085929506629774</v>
      </c>
      <c r="FI193" s="102">
        <v>1</v>
      </c>
      <c r="FJ193" s="189">
        <f t="shared" si="842"/>
        <v>0.11085929506629774</v>
      </c>
      <c r="FK193" s="262">
        <f>FJ193*VLOOKUP(L193,各项系数!$D$1:$F$143,2,0)</f>
        <v>1.274881893262424</v>
      </c>
      <c r="FL193" s="235"/>
      <c r="FM193" s="102"/>
      <c r="FN193" s="189"/>
      <c r="FO193" s="262"/>
      <c r="FP193" s="282">
        <f t="shared" si="843"/>
        <v>0.11085929506629774</v>
      </c>
      <c r="FQ193" s="282">
        <f t="shared" si="844"/>
        <v>1.274881893262424</v>
      </c>
      <c r="FR193" s="283">
        <f>各项系数!$F$76/4*($MQ193^2-$MN193^2*$EG193-$MO193^2*$EO193)*10^-2</f>
        <v>0.45993627217517563</v>
      </c>
      <c r="FS193" s="284">
        <f t="shared" si="652"/>
        <v>1</v>
      </c>
      <c r="FT193" s="285">
        <f t="shared" si="604"/>
        <v>0.45993627217517563</v>
      </c>
      <c r="FU193" s="302">
        <f>$FT193*(VLOOKUP($FT$9,各项系数!$D$1:$F$143,3,0))*10^-3*10^2*各项系数!$J$55</f>
        <v>5.4916390897715966E-2</v>
      </c>
      <c r="FV193" s="303">
        <v>1</v>
      </c>
      <c r="FW193" s="304">
        <f t="shared" si="845"/>
        <v>5.4916390897715966E-2</v>
      </c>
      <c r="FX193" s="285">
        <f>FW193*(VLOOKUP($FT$9,各项系数!$D$1:$F$143,2,0))</f>
        <v>0.1647491726931479</v>
      </c>
      <c r="FY193" s="302">
        <f>IF($BK193&lt;&gt;$FY$9,0,各项系数!$F$76/4*($MS193^2-$MQ193^2)*10^-2*(VLOOKUP($FY$9,各项系数!$D$1:$F$143,3,0))*10^-3*10^2)*各项系数!$J$4</f>
        <v>0</v>
      </c>
      <c r="FZ193" s="303">
        <v>1</v>
      </c>
      <c r="GA193" s="304">
        <f t="shared" si="846"/>
        <v>0</v>
      </c>
      <c r="GB193" s="285">
        <f>GA193*(VLOOKUP($FY$9,各项系数!$D$1:$F$143,2,0))</f>
        <v>0</v>
      </c>
      <c r="GC193" s="302">
        <f>IF($BK193&lt;&gt;$GC$9,0,各项系数!$F$76/4*($MS193^2-$MQ193^2)*10^-2*(VLOOKUP($GC$9,各项系数!$D$1:$F$143,3,0))*10^-3*10^2)*各项系数!$J$4</f>
        <v>4.2778825382633126E-3</v>
      </c>
      <c r="GD193" s="303">
        <v>1</v>
      </c>
      <c r="GE193" s="304">
        <f t="shared" si="847"/>
        <v>4.2778825382633126E-3</v>
      </c>
      <c r="GF193" s="285">
        <f>GE193*(VLOOKUP($GC$9,各项系数!$D$1:$F$143,2,0))</f>
        <v>5.5184684743596737E-2</v>
      </c>
      <c r="GG193" s="302">
        <f>IF($BK193&lt;&gt;$GG$9,0,各项系数!$F$76/4*($MS193^2-$MQ193^2)*10^-2*(VLOOKUP($GG$9,各项系数!$D$1:$F$143,3,0))*10^-3*10^2)*各项系数!$J$4</f>
        <v>0</v>
      </c>
      <c r="GH193" s="303">
        <v>1</v>
      </c>
      <c r="GI193" s="304">
        <f t="shared" si="848"/>
        <v>0</v>
      </c>
      <c r="GJ193" s="285">
        <f>GI193*(VLOOKUP($GG$9,各项系数!$D$1:$F$143,2,0))</f>
        <v>0</v>
      </c>
      <c r="GK193" s="302">
        <f>IF($BK193&lt;&gt;$GK$9,0,各项系数!$F$76/4*($MS193^2-$MQ193^2)*10^-2*(VLOOKUP($GK$9,各项系数!$D$1:$F$143,3,0))*10^-3*10^2)*各项系数!$J$4</f>
        <v>0</v>
      </c>
      <c r="GL193" s="303">
        <v>1</v>
      </c>
      <c r="GM193" s="304">
        <f t="shared" si="849"/>
        <v>0</v>
      </c>
      <c r="GN193" s="285">
        <f>GM193*(VLOOKUP($GK$9,各项系数!$D$1:$F$143,2,0))</f>
        <v>0</v>
      </c>
      <c r="GO193" s="304">
        <f t="shared" si="850"/>
        <v>4.2778825382633126E-3</v>
      </c>
      <c r="GP193" s="304">
        <f t="shared" si="851"/>
        <v>5.5184684743596737E-2</v>
      </c>
      <c r="GQ193" s="315">
        <f>各项系数!$F$76/4*($MU193^2-$MS193^2)*10^-2*(VLOOKUP($S193,各项系数!$D$1:$F$143,3,0))*10^-3*10^2*各项系数!$J$4</f>
        <v>0.24048350331170204</v>
      </c>
      <c r="GR193" s="303">
        <v>1</v>
      </c>
      <c r="GS193" s="304">
        <f t="shared" si="852"/>
        <v>0.24048350331170204</v>
      </c>
      <c r="GT193" s="304">
        <f t="shared" si="696"/>
        <v>0</v>
      </c>
      <c r="GU193" s="304">
        <f>ROUND($GS193*(VLOOKUP($S193,各项系数!$D$1:$F$143,2,0))+$E$3*GS193,GT193)</f>
        <v>1</v>
      </c>
      <c r="GV193" s="315">
        <f>各项系数!$F$76/4*($MT193^2-$MS193^2)*10^-2*(VLOOKUP($GV$9,各项系数!$D$1:$F$143,3,0))*10^-3*10^2*各项系数!$J$4*PI()/4*R193</f>
        <v>2.2176991059089088E-2</v>
      </c>
      <c r="GW193" s="303">
        <v>1</v>
      </c>
      <c r="GX193" s="304">
        <f t="shared" si="853"/>
        <v>2.2176991059089088E-2</v>
      </c>
      <c r="GY193" s="304">
        <f>$GX193*(VLOOKUP($GV$9,各项系数!$D$1:$F$143,2,0))</f>
        <v>1.4969468964885135</v>
      </c>
      <c r="GZ193" s="315">
        <f>各项系数!$F$76/4*($MV193^2-$MS193^2)*10^-2*(VLOOKUP($GZ$9,各项系数!$D$1:$F$143,3,0))*10^-3*10^2*各项系数!$J$4</f>
        <v>0.14356306361299107</v>
      </c>
      <c r="HA193" s="303">
        <v>1</v>
      </c>
      <c r="HB193" s="304">
        <f t="shared" si="653"/>
        <v>0.14356306361299107</v>
      </c>
      <c r="HC193" s="304">
        <f>HB193*(VLOOKUP($GZ$9,各项系数!$D$1:$F$143,2,0))</f>
        <v>2.4405720814208482</v>
      </c>
      <c r="HD193" s="315">
        <f>各项系数!$F$76/4*($MW193^2-$MT193^2)*10^-2*(VLOOKUP($HD$9,各项系数!$D$1:$F$143,3,0))*10^-3*10^2*各项系数!$J$4</f>
        <v>0.14486843305966945</v>
      </c>
      <c r="HE193" s="303">
        <v>1</v>
      </c>
      <c r="HF193" s="304">
        <f t="shared" si="654"/>
        <v>0.14486843305966945</v>
      </c>
      <c r="HG193" s="304">
        <f>HF193*(VLOOKUP($HD$9,各项系数!$D$1:$F$143,2,0))</f>
        <v>2.462763362014381</v>
      </c>
      <c r="HH193" s="315">
        <f>各项系数!$F$76/4*($MV193^2-$MS193^2)*10^-2*(VLOOKUP($HH$9,各项系数!$D$1:$F$143,3,0))*10^-3*10^2*各项系数!$J$4</f>
        <v>0.14356306361299107</v>
      </c>
      <c r="HI193" s="322">
        <v>1</v>
      </c>
      <c r="HJ193" s="304">
        <f t="shared" si="655"/>
        <v>0.14356306361299107</v>
      </c>
      <c r="HK193" s="304">
        <f>HJ193*(VLOOKUP($HH$9,各项系数!$D$1:$F$143,2,0))</f>
        <v>2.4405720814208482</v>
      </c>
      <c r="HL193" s="315">
        <f>各项系数!$F$76/4*($MW193^2-$MT193^2)*10^-2*(VLOOKUP($HL$9,各项系数!$D$1:$F$143,3,0))*10^-3*10^2*各项系数!$J$4</f>
        <v>0.14486843305966945</v>
      </c>
      <c r="HM193" s="322">
        <v>1</v>
      </c>
      <c r="HN193" s="304">
        <f t="shared" si="605"/>
        <v>0.14486843305966945</v>
      </c>
      <c r="HO193" s="304">
        <f>HN193*(VLOOKUP($HL$9,各项系数!$D$1:$F$143,2,0))</f>
        <v>2.462763362014381</v>
      </c>
      <c r="HP193" s="315">
        <f>各项系数!$F$76/4*($MV193^2-$MS193^2)*10^-2*(VLOOKUP(AN193,各项系数!$D$1:$F$143,3,0))*10^-3*10^2*各项系数!$J$4</f>
        <v>0.14554324380075645</v>
      </c>
      <c r="HQ193" s="303">
        <v>1</v>
      </c>
      <c r="HR193" s="304">
        <f t="shared" si="854"/>
        <v>0.14554324380075645</v>
      </c>
      <c r="HS193" s="304">
        <f>HR193*(VLOOKUP(AN193,各项系数!$D$1:$F$143,2,0))</f>
        <v>1.4554324380075645</v>
      </c>
      <c r="HT193" s="315">
        <f>各项系数!$F$76/4*($MW193^2-$MT193^2)*10^-2*(VLOOKUP(AN193,各项系数!$D$1:$F$143,3,0))*10^-3*10^2*各项系数!$J$4</f>
        <v>0.14686661834325107</v>
      </c>
      <c r="HU193" s="303">
        <v>1</v>
      </c>
      <c r="HV193" s="304">
        <f t="shared" si="855"/>
        <v>0.14686661834325107</v>
      </c>
      <c r="HW193" s="304">
        <f>HV193*(VLOOKUP(AN193,各项系数!$D$1:$F$143,2,0))</f>
        <v>1.4686661834325108</v>
      </c>
      <c r="HX193" s="315">
        <f>各项系数!$F$76/4*($MV193^2-$MS193^2)*10^-2*(VLOOKUP($HX$9,各项系数!$D$1:$F$143,3,0))*10^-3*10^2*各项系数!$J$4</f>
        <v>0.14554324380075645</v>
      </c>
      <c r="HY193" s="322">
        <v>1</v>
      </c>
      <c r="HZ193" s="304">
        <f t="shared" si="856"/>
        <v>0.14554324380075645</v>
      </c>
      <c r="IA193" s="304">
        <f>HZ193*(VLOOKUP($HX$9,各项系数!$D$1:$F$143,2,0))</f>
        <v>1.6009756818083209</v>
      </c>
      <c r="IB193" s="315">
        <f>各项系数!$F$76/4*($MW193^2-$MT193^2)*10^-2*(VLOOKUP($IB$9,各项系数!$D$1:$F$143,3,0))*10^-3*10^2*各项系数!$J$4</f>
        <v>0.14686661834325107</v>
      </c>
      <c r="IC193" s="322">
        <v>1</v>
      </c>
      <c r="ID193" s="304">
        <f t="shared" si="857"/>
        <v>0.14686661834325107</v>
      </c>
      <c r="IE193" s="304">
        <f>ID193*(VLOOKUP($IB$9,各项系数!$D$1:$F$143,2,0))</f>
        <v>1.6155328017757618</v>
      </c>
      <c r="IF193" s="328"/>
      <c r="IG193" s="315">
        <f t="shared" si="656"/>
        <v>5.4097374073169432E-2</v>
      </c>
      <c r="IH193" s="303">
        <v>1</v>
      </c>
      <c r="II193" s="304">
        <f t="shared" si="858"/>
        <v>5.4097374073169432E-2</v>
      </c>
      <c r="IJ193" s="304">
        <f>II193*(VLOOKUP($IG$8,各项系数!$D$1:$F$143,2,0))</f>
        <v>1.3524343518292359</v>
      </c>
      <c r="IK193" s="315">
        <f>(各项系数!$F$76/4*($MX193^2-$MK193^2)*$EG193)*10^-2*(VLOOKUP($IG$8,各项系数!$D$1:$F$143,3,0))*10^-3*10^2*各项系数!$J$4</f>
        <v>5.4097374073169432E-2</v>
      </c>
      <c r="IL193" s="303">
        <f>IK193*(VLOOKUP($IG$8,各项系数!$D$1:$F$143,2,0))</f>
        <v>1.3524343518292359</v>
      </c>
      <c r="IM193" s="304">
        <f>(各项系数!$F$76/4*(($MM193+3*$X193)^2-MM193^2)*$EO193)*10^-2*(VLOOKUP($IG$8,各项系数!$D$1:$F$143,3,0))*10^-3*10^2*各项系数!$J$4</f>
        <v>0</v>
      </c>
      <c r="IN193" s="303">
        <f>IM193*(VLOOKUP($IG$8,各项系数!$D$1:$F$143,2,0))</f>
        <v>0</v>
      </c>
      <c r="IO193" s="315">
        <f>各项系数!$F$76/4*($MZ193^2-$MX193^2)*10^-2*(VLOOKUP(L193,各项系数!$D$1:$F$143,3,0))*10^-3*10^2*$ES193*各项系数!$J$4</f>
        <v>0.13829831087794289</v>
      </c>
      <c r="IP193" s="303">
        <v>1</v>
      </c>
      <c r="IQ193" s="304">
        <f t="shared" si="859"/>
        <v>0.13829831087794289</v>
      </c>
      <c r="IR193" s="285">
        <f>IQ193*(VLOOKUP(L193,各项系数!$D$1:$F$143,2,0))</f>
        <v>1.5904305750963432</v>
      </c>
      <c r="IS193" s="315">
        <f>IF($L193&lt;&gt;$IS$9,0,各项系数!$F$76/4*($MZ193^2-$MX193^2)*10^-2*各项系数!$F$12*10^-3*10^2)*$ES193*各项系数!$J$4</f>
        <v>0</v>
      </c>
      <c r="IT193" s="303">
        <v>1</v>
      </c>
      <c r="IU193" s="304">
        <f t="shared" si="860"/>
        <v>0</v>
      </c>
      <c r="IV193" s="285">
        <f>IU193*各项系数!$E$12</f>
        <v>0</v>
      </c>
      <c r="IW193" s="302">
        <f t="shared" si="861"/>
        <v>0.13829831087794289</v>
      </c>
      <c r="IX193" s="302">
        <f t="shared" si="862"/>
        <v>1.5904305750963432</v>
      </c>
      <c r="IY193" s="339">
        <f>各项系数!$F$76/4*($NB193^2-$MZ193^2*$EG193-$NA193^2*$EO193)*10^-2</f>
        <v>0.65356592320151097</v>
      </c>
      <c r="IZ193" s="284">
        <f t="shared" si="697"/>
        <v>1</v>
      </c>
      <c r="JA193" s="285">
        <f t="shared" si="606"/>
        <v>0.65356592320151097</v>
      </c>
      <c r="JB193" s="282">
        <f>IF($DE193&lt;&gt;$JB$9,0,$JA193*各项系数!$F$32*10^-3*10^2)*各项系数!$J$4</f>
        <v>0</v>
      </c>
      <c r="JC193" s="102">
        <v>1</v>
      </c>
      <c r="JD193" s="189">
        <f t="shared" si="863"/>
        <v>0</v>
      </c>
      <c r="JE193" s="262">
        <f>JD193*各项系数!$E$32</f>
        <v>0</v>
      </c>
      <c r="JF193" s="282">
        <f>IF($DE193&lt;&gt;$JF$9,0,$JA193*VLOOKUP($JF$9,各项系数!$D$4:$F$540,2,0)*10^-3*10^2)*各项系数!$J$4</f>
        <v>0.32514904679275175</v>
      </c>
      <c r="JG193" s="102">
        <v>1</v>
      </c>
      <c r="JH193" s="189">
        <f t="shared" si="607"/>
        <v>0.32514904679275175</v>
      </c>
      <c r="JI193" s="262">
        <f>JH193*VLOOKUP($JF$9,各项系数!$D$4:$F$540,3,0)</f>
        <v>0.3901788561513021</v>
      </c>
      <c r="JJ193" s="282">
        <f t="shared" si="864"/>
        <v>0.32514904679275175</v>
      </c>
      <c r="JK193" s="189">
        <f t="shared" si="865"/>
        <v>0.3901788561513021</v>
      </c>
      <c r="JL193" s="282">
        <f>IF($DF193&lt;&gt;$JL$9,0,各项系数!$F$76/4*($NE193^2-$NC193^2)*10^-2*各项系数!$F$39*10^-3*10^2)*各项系数!$J$4</f>
        <v>2.1089166228515951E-3</v>
      </c>
      <c r="JM193" s="102">
        <v>1</v>
      </c>
      <c r="JN193" s="189">
        <f t="shared" si="866"/>
        <v>2.1089166228515951E-3</v>
      </c>
      <c r="JO193" s="262">
        <f>JN193*各项系数!$E$39</f>
        <v>4.2178332457031904E-2</v>
      </c>
      <c r="JP193" s="282">
        <f>IF($DF193&lt;&gt;$JP$9,0,各项系数!$F$76/4*($NE193^2-$NC193^2)*10^-2*各项系数!$F$36*10^-3*10^2)*各项系数!$J$4</f>
        <v>0</v>
      </c>
      <c r="JQ193" s="102">
        <v>1</v>
      </c>
      <c r="JR193" s="189">
        <f t="shared" si="867"/>
        <v>0</v>
      </c>
      <c r="JS193" s="262">
        <f>JR193*各项系数!$E$36</f>
        <v>0</v>
      </c>
      <c r="JT193" s="282">
        <f>IF($DF193&lt;&gt;$JT$9,0,各项系数!$F$76/4*($NE193^2-$NC193^2)*10^-2*各项系数!$F$40*10^-3*10^2)*各项系数!$J$4</f>
        <v>0</v>
      </c>
      <c r="JU193" s="102">
        <v>1</v>
      </c>
      <c r="JV193" s="189">
        <f t="shared" si="868"/>
        <v>0</v>
      </c>
      <c r="JW193" s="262">
        <f>JV193*各项系数!$E$40</f>
        <v>0</v>
      </c>
      <c r="JX193" s="282">
        <f>IF($DF193&lt;&gt;$JX$9,0,各项系数!$F$76/4*($NE193^2-$NC193^2)*10^-2*各项系数!$F$38*10^-3*10^2)*各项系数!$J$4</f>
        <v>0</v>
      </c>
      <c r="JY193" s="102">
        <v>1</v>
      </c>
      <c r="JZ193" s="189">
        <f t="shared" si="869"/>
        <v>0</v>
      </c>
      <c r="KA193" s="262">
        <f>JZ193*各项系数!$E$38</f>
        <v>0</v>
      </c>
      <c r="KB193" s="282">
        <f>IF($DF193&lt;&gt;$KB$9,0,各项系数!$F$76/4*($NE193^2-$NC193^2)*10^-2*各项系数!$F$41*10^-3*10^2)*各项系数!$J$4</f>
        <v>0</v>
      </c>
      <c r="KC193" s="102">
        <v>1</v>
      </c>
      <c r="KD193" s="189">
        <f t="shared" si="870"/>
        <v>0</v>
      </c>
      <c r="KE193" s="262">
        <f>KD193*各项系数!$E$41</f>
        <v>0</v>
      </c>
      <c r="KF193" s="189">
        <f t="shared" si="871"/>
        <v>2.1089166228515951E-3</v>
      </c>
      <c r="KG193" s="189">
        <f t="shared" si="872"/>
        <v>4.2178332457031904E-2</v>
      </c>
      <c r="KH193" s="235">
        <f>各项系数!$F$76/4*($NG193^2-$NE193^2)*10^-2*各项系数!$F$44*10^-3*10^2*各项系数!$J$4*0.75*$U193</f>
        <v>0.85626636562367753</v>
      </c>
      <c r="KI193" s="102">
        <v>1</v>
      </c>
      <c r="KJ193" s="189">
        <f t="shared" si="873"/>
        <v>0.85626636562367753</v>
      </c>
      <c r="KK193" s="189">
        <f>ROUND(KJ193*各项系数!$E$43,GT193)</f>
        <v>5</v>
      </c>
      <c r="KL193" s="235">
        <f>各项系数!$F$76/4*($NF193^2-$NE193^2)*10^-2*各项系数!$F$46*10^-3*10^2*各项系数!$J$4*PI()/4*R193</f>
        <v>2.6456888190282871E-2</v>
      </c>
      <c r="KM193" s="102">
        <v>1</v>
      </c>
      <c r="KN193" s="189">
        <f t="shared" si="874"/>
        <v>2.6456888190282871E-2</v>
      </c>
      <c r="KO193" s="189">
        <f>KN193*各项系数!$E$46</f>
        <v>1.7858399528440938</v>
      </c>
      <c r="KP193" s="235">
        <f>各项系数!$F$76/4*($NH193^2-$NE193^2)*10^-2*(VLOOKUP($KP$9,各项系数!$D$1:$F$143,3,0))*10^-3*10^2*各项系数!$J$4</f>
        <v>0.16856088851688253</v>
      </c>
      <c r="KQ193" s="102">
        <v>1</v>
      </c>
      <c r="KR193" s="189">
        <f t="shared" si="657"/>
        <v>0.16856088851688253</v>
      </c>
      <c r="KS193" s="189">
        <f>KR193*(VLOOKUP($KP$9,各项系数!$D$1:$F$143,2,0))</f>
        <v>2.865535104787003</v>
      </c>
      <c r="KT193" s="235">
        <f>各项系数!$F$76/4*($NI193^2-$NF193^2)*10^-2*(VLOOKUP($KT$9,各项系数!$D$1:$F$143,3,0))*10^-3*10^2*各项系数!$J$4</f>
        <v>0.16986625796356095</v>
      </c>
      <c r="KU193" s="102">
        <v>1</v>
      </c>
      <c r="KV193" s="189">
        <f t="shared" si="658"/>
        <v>0.16986625796356095</v>
      </c>
      <c r="KW193" s="189">
        <f>KV193*(VLOOKUP($KT$9,各项系数!$D$1:$F$143,2,0))</f>
        <v>2.8877263853805362</v>
      </c>
      <c r="KX193" s="189">
        <f>各项系数!$F$76/4*($NH193^2-$NE193^2)*10^-2*(VLOOKUP($KX$9,各项系数!$D$1:$F$143,3,0))*10^-3*10^2*各项系数!$J$4</f>
        <v>0.16856088851688253</v>
      </c>
      <c r="KY193" s="353">
        <v>1</v>
      </c>
      <c r="KZ193" s="189">
        <f t="shared" si="659"/>
        <v>0.16856088851688253</v>
      </c>
      <c r="LA193" s="189">
        <f>KZ193*(VLOOKUP($KX$9,各项系数!$D$1:$F$143,2,0))</f>
        <v>2.865535104787003</v>
      </c>
      <c r="LB193" s="189">
        <f>各项系数!$F$76/4*($NI193^2-$NF193^2)*10^-2*(VLOOKUP($LB$9,各项系数!$D$1:$F$143,3,0))*10^-3*10^2*各项系数!$J$4</f>
        <v>0.16986625796356095</v>
      </c>
      <c r="LC193" s="353">
        <v>1</v>
      </c>
      <c r="LD193" s="189">
        <f t="shared" si="660"/>
        <v>0.16986625796356095</v>
      </c>
      <c r="LE193" s="189">
        <f>LD193*(VLOOKUP($LB$9,各项系数!$D$1:$F$143,2,0))</f>
        <v>2.8877263853805362</v>
      </c>
      <c r="LF193" s="235">
        <f>各项系数!$F$76/4*($NH193^2-$NE193^2)*10^-2*(VLOOKUP(AN193,各项系数!$D$1:$F$143,3,0))*10^-3*10^2*各项系数!$J$4</f>
        <v>0.17088586628952923</v>
      </c>
      <c r="LG193" s="102">
        <v>1</v>
      </c>
      <c r="LH193" s="189">
        <f t="shared" si="875"/>
        <v>0.17088586628952923</v>
      </c>
      <c r="LI193" s="189">
        <f>LH193*(VLOOKUP(AN193,各项系数!$D$1:$F$143,2,0))</f>
        <v>1.7088586628952922</v>
      </c>
      <c r="LJ193" s="235">
        <f>各项系数!$F$76/4*($NI193^2-$NF193^2)*10^-2*(VLOOKUP(AN193,各项系数!$D$1:$F$143,3,0))*10^-3*10^2*各项系数!$J$4</f>
        <v>0.17220924083202385</v>
      </c>
      <c r="LK193" s="102">
        <v>1</v>
      </c>
      <c r="LL193" s="189">
        <f t="shared" si="876"/>
        <v>0.17220924083202385</v>
      </c>
      <c r="LM193" s="189">
        <f>LL193*(VLOOKUP(AN193,各项系数!$D$1:$F$143,2,0))</f>
        <v>1.7220924083202385</v>
      </c>
      <c r="LN193" s="189">
        <f>各项系数!$F$76/4*($NH193^2-$NE193^2)*10^-2*(VLOOKUP($LN$9,各项系数!$D$1:$F$143,3,0))*10^-3*10^2*各项系数!$J$4</f>
        <v>0.17088586628952923</v>
      </c>
      <c r="LO193" s="353">
        <v>1</v>
      </c>
      <c r="LP193" s="189">
        <f t="shared" si="877"/>
        <v>0.17088586628952923</v>
      </c>
      <c r="LQ193" s="189">
        <f>LP193*(VLOOKUP($LN$9,各项系数!$D$1:$F$143,2,0))</f>
        <v>1.8797445291848216</v>
      </c>
      <c r="LR193" s="189">
        <f>各项系数!$F$76/4*($NI193^2-$NF193^2)*10^-2*(VLOOKUP($LR$9,各项系数!$D$1:$F$143,3,0))*10^-3*10^2*各项系数!$J$4</f>
        <v>0.17220924083202385</v>
      </c>
      <c r="LS193" s="353">
        <v>1</v>
      </c>
      <c r="LT193" s="189">
        <f t="shared" si="878"/>
        <v>0.17220924083202385</v>
      </c>
      <c r="LU193" s="189">
        <f>LT193*(VLOOKUP($LR$9,各项系数!$D$1:$F$143,2,0))</f>
        <v>1.8943016491522624</v>
      </c>
      <c r="LV193" s="227">
        <f t="shared" si="661"/>
        <v>44.358870779999997</v>
      </c>
      <c r="LW193" s="227">
        <f t="shared" si="662"/>
        <v>44.358870779999997</v>
      </c>
      <c r="LX193" s="227">
        <f t="shared" si="663"/>
        <v>7.5152823258273607</v>
      </c>
      <c r="LY193" s="227">
        <f t="shared" si="664"/>
        <v>0</v>
      </c>
      <c r="LZ193" s="374">
        <f t="shared" si="608"/>
        <v>1</v>
      </c>
      <c r="MA193" s="375">
        <f t="shared" si="609"/>
        <v>44.358870779999997</v>
      </c>
      <c r="MB193" s="375">
        <f t="shared" si="665"/>
        <v>1.7241240099999999</v>
      </c>
      <c r="MC193" s="227">
        <f t="shared" si="666"/>
        <v>0</v>
      </c>
      <c r="MD193" s="227">
        <f t="shared" si="667"/>
        <v>0</v>
      </c>
      <c r="ME193" s="227">
        <f t="shared" si="668"/>
        <v>0</v>
      </c>
      <c r="MF193" s="227">
        <f t="shared" si="669"/>
        <v>0</v>
      </c>
      <c r="MG193" s="374">
        <f t="shared" si="670"/>
        <v>1</v>
      </c>
      <c r="MH193" s="375">
        <f t="shared" si="610"/>
        <v>0</v>
      </c>
      <c r="MI193" s="375">
        <f t="shared" si="671"/>
        <v>0</v>
      </c>
      <c r="MJ193" s="189">
        <f t="shared" si="611"/>
        <v>1.7241240099999999</v>
      </c>
      <c r="MK193" s="189">
        <f t="shared" si="672"/>
        <v>1.7241240099999999</v>
      </c>
      <c r="ML193" s="189">
        <f t="shared" si="879"/>
        <v>0</v>
      </c>
      <c r="MM193" s="189">
        <f t="shared" si="612"/>
        <v>0</v>
      </c>
      <c r="MN193" s="189">
        <f t="shared" si="613"/>
        <v>3.1241240100000001</v>
      </c>
      <c r="MO193" s="189">
        <f t="shared" si="673"/>
        <v>0</v>
      </c>
      <c r="MP193" s="189">
        <f t="shared" si="674"/>
        <v>15.620620049999999</v>
      </c>
      <c r="MQ193" s="189">
        <f t="shared" si="880"/>
        <v>15.620620049999999</v>
      </c>
      <c r="MR193" s="246">
        <f t="shared" si="675"/>
        <v>15.620620049999999</v>
      </c>
      <c r="MS193" s="380">
        <f t="shared" si="614"/>
        <v>15.79662005</v>
      </c>
      <c r="MT193" s="380">
        <f t="shared" si="615"/>
        <v>15.95662005</v>
      </c>
      <c r="MU193" s="380">
        <f t="shared" si="616"/>
        <v>16.996620050000001</v>
      </c>
      <c r="MV193" s="380">
        <f t="shared" si="617"/>
        <v>19.396620049999999</v>
      </c>
      <c r="MW193" s="380">
        <f t="shared" si="618"/>
        <v>19.556620049999999</v>
      </c>
      <c r="MX193" s="254">
        <f t="shared" si="619"/>
        <v>2.3241240100000002</v>
      </c>
      <c r="MY193" s="254">
        <f t="shared" si="620"/>
        <v>0</v>
      </c>
      <c r="MZ193" s="189">
        <f t="shared" si="621"/>
        <v>3.7241240100000002</v>
      </c>
      <c r="NA193" s="189">
        <f t="shared" si="622"/>
        <v>0</v>
      </c>
      <c r="NB193" s="189">
        <f t="shared" si="676"/>
        <v>18.620620049999999</v>
      </c>
      <c r="NC193" s="254">
        <f t="shared" si="881"/>
        <v>18.620620049999999</v>
      </c>
      <c r="ND193" s="246">
        <f t="shared" si="677"/>
        <v>18.620620049999999</v>
      </c>
      <c r="NE193" s="386">
        <f t="shared" si="678"/>
        <v>18.860620049999998</v>
      </c>
      <c r="NF193" s="380">
        <f t="shared" si="623"/>
        <v>19.020620049999998</v>
      </c>
      <c r="NG193" s="387">
        <f t="shared" si="624"/>
        <v>20.060620049999997</v>
      </c>
      <c r="NH193" s="254">
        <f t="shared" si="625"/>
        <v>22.460620049999999</v>
      </c>
      <c r="NI193" s="380">
        <f t="shared" si="626"/>
        <v>22.620620049999999</v>
      </c>
      <c r="NK193" s="388">
        <f t="shared" si="627"/>
        <v>0.70797542039218886</v>
      </c>
      <c r="NL193" s="388">
        <f t="shared" si="628"/>
        <v>28.651047018546414</v>
      </c>
      <c r="NM193" s="388">
        <f t="shared" si="629"/>
        <v>0.70797542039218886</v>
      </c>
      <c r="NN193" s="388">
        <f t="shared" si="630"/>
        <v>28.796590262347173</v>
      </c>
      <c r="NO193" s="388">
        <f t="shared" si="631"/>
        <v>1.0829181227454003</v>
      </c>
      <c r="NP193" s="388">
        <f t="shared" si="632"/>
        <v>30.784879608268884</v>
      </c>
      <c r="NQ193" s="388">
        <f t="shared" si="633"/>
        <v>1.0829181227454003</v>
      </c>
      <c r="NR193" s="388">
        <f t="shared" si="634"/>
        <v>30.955765474558412</v>
      </c>
      <c r="NS193" s="388">
        <f t="shared" si="635"/>
        <v>0.73015241145127796</v>
      </c>
      <c r="NT193" s="388">
        <f t="shared" si="636"/>
        <v>0.73015241145127796</v>
      </c>
      <c r="NU193" s="388">
        <f t="shared" si="637"/>
        <v>1.1093750109356832</v>
      </c>
      <c r="NV193" s="388">
        <f t="shared" si="638"/>
        <v>1.1093750109356832</v>
      </c>
      <c r="NW193">
        <f t="shared" si="639"/>
        <v>0.94845892370389095</v>
      </c>
      <c r="NX193">
        <f>各项系数!$M$9*NK193</f>
        <v>0.21239262611765666</v>
      </c>
      <c r="NY193">
        <f t="shared" si="640"/>
        <v>0.73015241145127807</v>
      </c>
    </row>
    <row r="194" spans="1:389" ht="15" hidden="1" customHeight="1">
      <c r="A194" s="69"/>
      <c r="B194" s="70"/>
      <c r="C194" s="69"/>
      <c r="D194" s="102" t="s">
        <v>263</v>
      </c>
      <c r="E194" s="61">
        <f t="shared" si="829"/>
        <v>20.427580970000001</v>
      </c>
      <c r="F194" s="62">
        <f t="shared" si="820"/>
        <v>172.412400708262</v>
      </c>
      <c r="G194" s="16"/>
      <c r="H194" s="16"/>
      <c r="I194" s="145">
        <v>0</v>
      </c>
      <c r="J194" s="16"/>
      <c r="K194" s="16"/>
      <c r="L194" s="97" t="s">
        <v>469</v>
      </c>
      <c r="M194" s="103">
        <f t="shared" si="582"/>
        <v>0.7</v>
      </c>
      <c r="N194" s="103">
        <f t="shared" si="804"/>
        <v>0</v>
      </c>
      <c r="O194" s="53">
        <f t="shared" si="825"/>
        <v>0.08</v>
      </c>
      <c r="P194" s="99">
        <v>0.1</v>
      </c>
      <c r="Q194" s="133">
        <f t="shared" ref="Q194:Q203" si="882">$Q$12</f>
        <v>0.1</v>
      </c>
      <c r="R194" s="406">
        <v>0.8</v>
      </c>
      <c r="S194" s="142" t="str">
        <f>各项系数!$D$43</f>
        <v>钢带</v>
      </c>
      <c r="T194" s="102">
        <v>0.2</v>
      </c>
      <c r="U194" s="62">
        <v>4</v>
      </c>
      <c r="V194" s="143"/>
      <c r="W194" s="141">
        <f t="shared" si="828"/>
        <v>1.8</v>
      </c>
      <c r="X194" s="135">
        <f t="shared" ref="X194:X203" si="883">$X$12</f>
        <v>0.2</v>
      </c>
      <c r="Y194" s="135"/>
      <c r="Z194" s="168"/>
      <c r="AA194" s="153">
        <v>1</v>
      </c>
      <c r="AB194" s="153">
        <f>PI()*EJ194*EJ194/4*EH194*(1-H194)*AA194*各项系数!$F$5*各项系数!$J$4*10^-7</f>
        <v>2.0651505688902914E-2</v>
      </c>
      <c r="AC194" s="153">
        <f t="shared" si="830"/>
        <v>172.412400708262</v>
      </c>
      <c r="AD194" s="153">
        <f t="shared" si="584"/>
        <v>2.3346774015073022</v>
      </c>
      <c r="AE194" s="153">
        <f>POWER(4*EU194/PI()/EG194/10^-7/EH194/(1-H194)/各项系数!$F$5/各项系数!$J$4,0.5)</f>
        <v>172.412400708262</v>
      </c>
      <c r="AF194" s="69">
        <v>1</v>
      </c>
      <c r="AG194" s="69">
        <f>IF(EM194=0,0,PI()*ER194*ER194/4*EP194*(1-K194)*(1+AF194)*各项系数!$F$5*各项系数!$J$4*10^-7)</f>
        <v>0</v>
      </c>
      <c r="AH194" s="69">
        <f t="shared" si="831"/>
        <v>0</v>
      </c>
      <c r="AI194" s="69">
        <f t="shared" si="641"/>
        <v>0</v>
      </c>
      <c r="AJ194" s="69">
        <f>IF(OR(EP194="",EP194=0),0,POWER(4*EW194/PI()/EO194/10^-7/EP194/(1-K194)/各项系数!$F$5/各项系数!$J$4,0.5))</f>
        <v>0</v>
      </c>
      <c r="AK194" s="69" t="str">
        <f t="shared" si="585"/>
        <v>√</v>
      </c>
      <c r="AL194" s="69">
        <f t="shared" si="832"/>
        <v>31.281732840329596</v>
      </c>
      <c r="AM194" s="188">
        <f t="shared" si="833"/>
        <v>2.5</v>
      </c>
      <c r="AN194" s="97" t="s">
        <v>486</v>
      </c>
      <c r="AO194" s="196">
        <f>AP194+各项系数!$M$9*$NK194</f>
        <v>30.668365529734899</v>
      </c>
      <c r="AP194" s="196">
        <f>AQ194*(1+$BI194+(VLOOKUP($AM194,$A$12:$B$323,2,0))+各项系数!$J$6+各项系数!$M$5)*(1+$E$2)</f>
        <v>30.438770258304231</v>
      </c>
      <c r="AQ194" s="197">
        <f>AR194+各项系数!$L$9*$NK194</f>
        <v>31.059969651330849</v>
      </c>
      <c r="AR194" s="197">
        <f>AS194*(1+$BJ194+各项系数!$J$5+各项系数!$L$5)</f>
        <v>30.830374379900181</v>
      </c>
      <c r="AS194" s="197">
        <f t="shared" si="642"/>
        <v>30.225857235196255</v>
      </c>
      <c r="AT194" s="196">
        <f>AU194+各项系数!$M$9*$NM194</f>
        <v>31.71080595948369</v>
      </c>
      <c r="AU194" s="196">
        <f>AV194*(1+$BI194+(VLOOKUP($AM194,$A$12:$B$323,2,0))+各项系数!$J$6+各项系数!$M$5)*(1+$E$2)</f>
        <v>31.481210688053022</v>
      </c>
      <c r="AV194" s="197">
        <f>AW194+各项系数!$L$9*$NM194</f>
        <v>32.123684375564309</v>
      </c>
      <c r="AW194" s="197">
        <f>AX194*(1+$BJ194+各项系数!$J$5+各项系数!$L$5)</f>
        <v>31.894089104133638</v>
      </c>
      <c r="AX194" s="197">
        <f t="shared" si="643"/>
        <v>31.268714807974153</v>
      </c>
      <c r="AY194" s="196">
        <f>AZ194+各项系数!$M$9*$NS194</f>
        <v>32.289137192182416</v>
      </c>
      <c r="AZ194" s="196">
        <f>BA194*(1+$BI194+(VLOOKUP($AM194,$A$12:$B$214,2,0))+各项系数!$J$6+各项系数!$M$5)*(1+$E$2)</f>
        <v>32.052456799280897</v>
      </c>
      <c r="BA194" s="197">
        <f>BB194+各项系数!$L$9*$NS194</f>
        <v>32.706588570694791</v>
      </c>
      <c r="BB194" s="197">
        <f>BC194*(1+$BJ194+各项系数!$J$5+各项系数!$L$5)</f>
        <v>32.469908177793272</v>
      </c>
      <c r="BC194" s="199">
        <f t="shared" si="644"/>
        <v>31.833243311562033</v>
      </c>
      <c r="BD194" s="196">
        <f>BE194+各项系数!$M$9*$NS194</f>
        <v>33.340531574085723</v>
      </c>
      <c r="BE194" s="196">
        <f>BF194*(1+$BI194+(VLOOKUP($AM194,$A$12:$B$214,2,0))+各项系数!$J$6+各项系数!$M$5)*(1+$E$2)</f>
        <v>33.103851181184204</v>
      </c>
      <c r="BF194" s="197">
        <f>BG194+各项系数!$L$9*$NS194</f>
        <v>33.779439980800205</v>
      </c>
      <c r="BG194" s="197">
        <f>BH194*(1+$BJ194+各项系数!$J$5+各项系数!$L$5)</f>
        <v>33.542759587898686</v>
      </c>
      <c r="BH194" s="199">
        <f t="shared" si="645"/>
        <v>32.885058419508518</v>
      </c>
      <c r="BI194" s="213"/>
      <c r="BJ194" s="208">
        <f t="shared" si="822"/>
        <v>0</v>
      </c>
      <c r="BK194" s="102" t="s">
        <v>514</v>
      </c>
      <c r="BL194" s="196">
        <f>BM194+各项系数!$M$9*$NM194</f>
        <v>31.120097607818128</v>
      </c>
      <c r="BM194" s="196">
        <f>BN194*(1+$CF194+(VLOOKUP($AM194,$A$12:$B$323,2,0))+各项系数!$J$6+各项系数!$M$5)*(1+$E$2)</f>
        <v>30.89050233638746</v>
      </c>
      <c r="BN194" s="197">
        <f>BO194+各项系数!$L$9*$NM194</f>
        <v>31.520920751415776</v>
      </c>
      <c r="BO194" s="197">
        <f>BP194*(1+$CG194+各项系数!$J$5+各项系数!$L$5)</f>
        <v>31.291325479985108</v>
      </c>
      <c r="BP194" s="197">
        <f t="shared" si="646"/>
        <v>30.379927650470979</v>
      </c>
      <c r="BQ194" s="196">
        <f>BR194+各项系数!$M$9*$NM194</f>
        <v>32.017239364601835</v>
      </c>
      <c r="BR194" s="196">
        <f>BS194*(1+$CF194+(VLOOKUP($AM194,$A$12:$B$323,2,0))+各项系数!$J$6+各项系数!$M$5)*(1+$E$2)</f>
        <v>31.787644093171167</v>
      </c>
      <c r="BS194" s="197">
        <f>BT194+各项系数!$L$9*$NM194</f>
        <v>32.436371523644048</v>
      </c>
      <c r="BT194" s="197">
        <f>BU194*(1+$CG194+各项系数!$J$5+各项系数!$L$5)</f>
        <v>32.20677625221338</v>
      </c>
      <c r="BU194" s="197">
        <f t="shared" si="647"/>
        <v>31.268714807974153</v>
      </c>
      <c r="BV194" s="196">
        <f>BW194+各项系数!$M$9*$NT194</f>
        <v>32.53410881812561</v>
      </c>
      <c r="BW194" s="196">
        <f>BX194*(1+$CF194+(VLOOKUP($AM194,$A$12:$B$214,2,0))+各项系数!$J$6+各项系数!$M$5)*(1+$E$2)</f>
        <v>32.297428425224091</v>
      </c>
      <c r="BX194" s="197">
        <f>BY194+各项系数!$L$9*$NT$12</f>
        <v>32.9565596175756</v>
      </c>
      <c r="BY194" s="197">
        <f>BZ194*(1+$CG194+各项系数!$J$5+各项系数!$L$5)</f>
        <v>32.94829621442063</v>
      </c>
      <c r="BZ194" s="199">
        <f t="shared" si="586"/>
        <v>31.988637101379254</v>
      </c>
      <c r="CA194" s="196">
        <f>CB194+各项系数!$M$9*$NT194</f>
        <v>33.438956496645289</v>
      </c>
      <c r="CB194" s="196">
        <f>CC194*(1+$CF194+(VLOOKUP($AM194,$A$12:$B$214,2,0))+各项系数!$J$6+各项系数!$M$5)*(1+$E$2)</f>
        <v>33.20227610374377</v>
      </c>
      <c r="CC194" s="197">
        <f>CD194+各项系数!$L$9*$NT$12</f>
        <v>33.879873575248745</v>
      </c>
      <c r="CD194" s="197">
        <f>CE194*(1+$CG194+各项系数!$J$5+各项系数!$L$5)</f>
        <v>33.871610172093774</v>
      </c>
      <c r="CE194" s="199">
        <f t="shared" si="648"/>
        <v>32.885058419508518</v>
      </c>
      <c r="CF194" s="213">
        <f t="shared" ref="CF194:CF214" si="884">BI194+$CF$2</f>
        <v>0</v>
      </c>
      <c r="CG194" s="213">
        <f t="shared" si="587"/>
        <v>0.01</v>
      </c>
      <c r="CH194" s="102"/>
      <c r="CI194" s="196">
        <f>CJ194+各项系数!$M$9*$NO194</f>
        <v>33.515276680530427</v>
      </c>
      <c r="CJ194" s="196">
        <f>CK194*(1+$DC194+(VLOOKUP($AM194,$A$12:$B$323,2,0))+各项系数!$J$6+各项系数!$M$5)*(1+$E$2)+各项系数!$M$9*$NK194</f>
        <v>33.138914445193819</v>
      </c>
      <c r="CK194" s="197">
        <f>CL194+各项系数!$L$9*$NO194</f>
        <v>33.580937932411381</v>
      </c>
      <c r="CL194" s="197">
        <f>CM194*(1+$DD194+各项系数!$J$5+各项系数!$L$5)</f>
        <v>33.204575697074773</v>
      </c>
      <c r="CM194" s="197">
        <f t="shared" si="588"/>
        <v>32.553505585367425</v>
      </c>
      <c r="CN194" s="196">
        <f>CO194+各项系数!$M$9*$NO194</f>
        <v>34.288022046622061</v>
      </c>
      <c r="CO194" s="196">
        <f>CP194*(1+$DC194+(VLOOKUP($AM194,$A$12:$B$323,2,0))+各项系数!$J$6+各项系数!$M$5)*(1+$E$2)+各项系数!$M$9*$NK194</f>
        <v>33.911659811285453</v>
      </c>
      <c r="CP194" s="197">
        <f>CQ194+各项系数!$L$9*$NO194</f>
        <v>34.36945361209672</v>
      </c>
      <c r="CQ194" s="197">
        <f>CR194*(1+$DD194+各项系数!$J$5+各项系数!$L$5)</f>
        <v>33.993091376760113</v>
      </c>
      <c r="CR194" s="197">
        <f t="shared" si="589"/>
        <v>33.326560173294226</v>
      </c>
      <c r="CS194" s="196">
        <f>CT194+各项系数!$M$9*$NU194</f>
        <v>35.216598323078109</v>
      </c>
      <c r="CT194" s="196">
        <f t="shared" si="590"/>
        <v>34.831784025235216</v>
      </c>
      <c r="CU194" s="197">
        <f>CV194+各项系数!$L$9*$NU194</f>
        <v>35.542636760444097</v>
      </c>
      <c r="CV194" s="197">
        <f>CW194*(1+$DD194+各项系数!$J$5+各项系数!$L$5)</f>
        <v>35.157822462601203</v>
      </c>
      <c r="CW194" s="199">
        <f t="shared" si="591"/>
        <v>34.468453394707062</v>
      </c>
      <c r="CX194" s="196">
        <f>CY194+各项系数!$M$9*$NU194</f>
        <v>36.45054140453167</v>
      </c>
      <c r="CY194" s="196">
        <f t="shared" si="592"/>
        <v>36.065727106688776</v>
      </c>
      <c r="CZ194" s="197">
        <f>DA194+各项系数!$L$9*$NU194</f>
        <v>36.801762353764055</v>
      </c>
      <c r="DA194" s="197">
        <f>DB194*(1+$DD194+各项系数!$J$5+各项系数!$L$5)</f>
        <v>36.416948055921161</v>
      </c>
      <c r="DB194" s="199">
        <f t="shared" si="593"/>
        <v>35.702890250903096</v>
      </c>
      <c r="DC194" s="213">
        <f t="shared" si="827"/>
        <v>0</v>
      </c>
      <c r="DD194" s="213">
        <f t="shared" si="594"/>
        <v>0</v>
      </c>
      <c r="DE194" s="53" t="s">
        <v>498</v>
      </c>
      <c r="DF194" s="53" t="s">
        <v>513</v>
      </c>
      <c r="DG194" s="196">
        <f>DH194+各项系数!$M$9*$NQ194</f>
        <v>34.01705362573621</v>
      </c>
      <c r="DH194" s="196">
        <f>DI194*(1+$EA194+(VLOOKUP($AM194,$A$12:$B$323,2,0))+各项系数!$J$6+各项系数!$M$5)*(1+$E$2)+各项系数!$M$9*$NK194</f>
        <v>33.640691390399603</v>
      </c>
      <c r="DI194" s="197">
        <f>DJ194+各项系数!$L$9*$NQ194</f>
        <v>34.092955223437691</v>
      </c>
      <c r="DJ194" s="197">
        <f>DK194*(1+$EB194+各项系数!$J$5+各项系数!$L$5)</f>
        <v>33.716592988101084</v>
      </c>
      <c r="DK194" s="197">
        <f t="shared" si="595"/>
        <v>32.734556299127263</v>
      </c>
      <c r="DL194" s="196">
        <f>DM194+各项系数!$M$9*$NQ194</f>
        <v>35.071299861912138</v>
      </c>
      <c r="DM194" s="196">
        <f>DN194*(1+$EA194+(VLOOKUP($AM194,$A$12:$B$323,2,0))+各项系数!$J$6+各项系数!$M$5)*(1+$E$2)+各项系数!$M$9*$NK194</f>
        <v>34.69493762657553</v>
      </c>
      <c r="DN194" s="197">
        <f>DO194+各项系数!$L$9*$NQ194</f>
        <v>35.168716688923332</v>
      </c>
      <c r="DO194" s="197">
        <f>DP194*(1+$EB194+各项系数!$J$5+各项系数!$L$5)</f>
        <v>34.792354453586725</v>
      </c>
      <c r="DP194" s="197">
        <f t="shared" si="596"/>
        <v>33.778984906394875</v>
      </c>
      <c r="DQ194" s="196">
        <f>DR194+各项系数!$M$9*$NV194</f>
        <v>35.738477571078612</v>
      </c>
      <c r="DR194" s="196">
        <f t="shared" si="597"/>
        <v>35.353663273235718</v>
      </c>
      <c r="DS194" s="197">
        <f>DT194+各项系数!$L$9*$NV194</f>
        <v>36.075166605342567</v>
      </c>
      <c r="DT194" s="197">
        <f>DU194*(1+$EB194+各项系数!$J$5+各项系数!$L$5)</f>
        <v>35.690352307499673</v>
      </c>
      <c r="DU194" s="199">
        <f t="shared" si="598"/>
        <v>34.650827483009387</v>
      </c>
      <c r="DV194" s="196">
        <f>DW194+各项系数!$M$9*$NV194</f>
        <v>35.110555389514467</v>
      </c>
      <c r="DW194" s="196">
        <f t="shared" si="599"/>
        <v>34.725741091671573</v>
      </c>
      <c r="DX194" s="197">
        <f>DY194+各项系数!$L$9*$NV194</f>
        <v>35.434429685379158</v>
      </c>
      <c r="DY194" s="197">
        <f>DZ194*(1+$EB194+各项系数!$J$5+各项系数!$L$5)</f>
        <v>35.049615387536264</v>
      </c>
      <c r="DZ194" s="199">
        <f t="shared" si="600"/>
        <v>34.028752803433264</v>
      </c>
      <c r="EA194" s="213">
        <f t="shared" si="826"/>
        <v>0</v>
      </c>
      <c r="EB194" s="213">
        <f t="shared" si="601"/>
        <v>0.01</v>
      </c>
      <c r="EC194" s="235">
        <f t="shared" si="649"/>
        <v>20</v>
      </c>
      <c r="ED194" s="235" t="str">
        <f t="shared" si="834"/>
        <v>20*2.5</v>
      </c>
      <c r="EE194" s="189">
        <f t="shared" si="835"/>
        <v>2.5</v>
      </c>
      <c r="EF194" s="189">
        <f>LOOKUP(EH194,{1,7,10,14,19,24,30,37,48,61},{1,"1+6","2+8","4+10","1+6+12","2+8+14","4+10+16","1+6+12+18","3+9+15+21","1+6+12+18+24"})</f>
        <v>1</v>
      </c>
      <c r="EG194" s="188">
        <f t="shared" si="602"/>
        <v>20</v>
      </c>
      <c r="EH194" s="197">
        <f>VLOOKUP(EE194,各项系数!$B$87:$C$124,2,0)</f>
        <v>1</v>
      </c>
      <c r="EI194" s="188">
        <f>IF(EH194=0,0,VLOOKUP(EH194,各项系数!$D$142:$E$195,2,0))*1</f>
        <v>1</v>
      </c>
      <c r="EJ194" s="238">
        <f t="shared" si="650"/>
        <v>172.412400708262</v>
      </c>
      <c r="EK194" s="189">
        <f t="shared" si="836"/>
        <v>0</v>
      </c>
      <c r="EL194" s="189">
        <f t="shared" si="603"/>
        <v>0</v>
      </c>
      <c r="EM194" s="189">
        <f t="shared" si="837"/>
        <v>0</v>
      </c>
      <c r="EN194" s="189">
        <f>IF(EP194=0,0,LOOKUP(EP194,{1,7,10,14,19,24,30,37,48,61},{1,"1+6","2+8","4+10","1+6+12","2+8+14","4+10+16","1+6+12+18","3+9+15+21","1+6+12+18+24"}))</f>
        <v>0</v>
      </c>
      <c r="EO194" s="189">
        <f t="shared" si="838"/>
        <v>0</v>
      </c>
      <c r="EP194" s="189">
        <f>IF(EM194=0,0,IF(EM194&lt;10,1,IF(AND(EM194&gt;=10,EM194&lt;=35),7,LOOKUP(EM194,{50,70,95,120,150,185,240,300},{10,14,19,24,30,37,48,61})*1)))</f>
        <v>0</v>
      </c>
      <c r="EQ194" s="189">
        <f>IF(EP194=0,0,VLOOKUP(EP194,各项系数!$D$142:$E$195,2,0))*1</f>
        <v>0</v>
      </c>
      <c r="ER194" s="53">
        <f t="shared" si="839"/>
        <v>0</v>
      </c>
      <c r="ES194" s="412">
        <f t="shared" si="840"/>
        <v>20</v>
      </c>
      <c r="ET194" s="189">
        <f>VLOOKUP(ES194,各项系数!$D$142:$E$195,2,0)*1</f>
        <v>5.33</v>
      </c>
      <c r="EU194" s="243">
        <f>((各项系数!$F$76/4*$EJ194^2*$EG194*$EH194*1*10^-7)*(1-$H194)*AA194)*(VLOOKUP($EY$9,各项系数!$D$4:$F$143,3,0))*各项系数!$J$4</f>
        <v>0.41303011377805832</v>
      </c>
      <c r="EV194" s="244">
        <f>EU194*(VLOOKUP($EY$9,各项系数!$D$4:$F$143,2,0))</f>
        <v>27.05347245246282</v>
      </c>
      <c r="EW194" s="252">
        <f>(IF($EO194=0,0,(各项系数!$F$76/4*$ER194^2*$EO194*$EP194*1*10^-7))*(1-$K194)*$AF194)*(VLOOKUP($EY$9,各项系数!$D$4:$F$143,3,0))*各项系数!$J$4</f>
        <v>0</v>
      </c>
      <c r="EX194" s="253">
        <f>EW194*(VLOOKUP($EY$9,各项系数!$D$4:$F$143,2,0))</f>
        <v>0</v>
      </c>
      <c r="EY194" s="189">
        <f>((各项系数!$F$76/4*$EJ194^2*$EG194*$EH194*1*10^-7)*(1-$H194)*AA194+IF($EO194=0,0,(各项系数!$F$76/4*$ER194^2*$EO194*$EP194*1*10^-7))*(1-$K194)*$AF194)*(VLOOKUP($EY$9,各项系数!$D$4:$F$143,3,0))*各项系数!$J$4</f>
        <v>0.41303011377805832</v>
      </c>
      <c r="EZ194" s="102">
        <v>1</v>
      </c>
      <c r="FA194" s="189">
        <f t="shared" si="841"/>
        <v>0.41303011377805832</v>
      </c>
      <c r="FB194" s="254">
        <f>FA194*(VLOOKUP($EY$9,各项系数!$D$4:$F$143,2,0))</f>
        <v>27.05347245246282</v>
      </c>
      <c r="FC194" s="255"/>
      <c r="FD194" s="235">
        <f>各项系数!$F$76/4*($MN194^2-MK194^2)*10^-2*(VLOOKUP(L194,各项系数!$D$1:$F$143,3,0))*10^-3*10^2*$EG194*各项系数!$J$4</f>
        <v>0.1166939948066292</v>
      </c>
      <c r="FE194" s="262">
        <f>FD194*VLOOKUP(L194,各项系数!$D$1:$F$143,2,0)</f>
        <v>1.3419809402762359</v>
      </c>
      <c r="FF194" s="188">
        <f>各项系数!$F$76/4*($MO194^2-ML194^2)*10^-2*(VLOOKUP(L194,各项系数!$D$1:$F$143,3,0))*10^-3*10^2*$EO194*各项系数!$J$4</f>
        <v>0</v>
      </c>
      <c r="FG194" s="262">
        <f>FF194*VLOOKUP(L194,各项系数!$D$1:$F$143,2,0)</f>
        <v>0</v>
      </c>
      <c r="FH194" s="235">
        <f t="shared" si="651"/>
        <v>0.1166939948066292</v>
      </c>
      <c r="FI194" s="102">
        <v>1</v>
      </c>
      <c r="FJ194" s="189">
        <f t="shared" si="842"/>
        <v>0.1166939948066292</v>
      </c>
      <c r="FK194" s="262">
        <f>FJ194*VLOOKUP(L194,各项系数!$D$1:$F$143,2,0)</f>
        <v>1.3419809402762359</v>
      </c>
      <c r="FL194" s="235"/>
      <c r="FM194" s="102"/>
      <c r="FN194" s="189"/>
      <c r="FO194" s="262"/>
      <c r="FP194" s="282">
        <f t="shared" si="843"/>
        <v>0.1166939948066292</v>
      </c>
      <c r="FQ194" s="282">
        <f t="shared" si="844"/>
        <v>1.3419809402762359</v>
      </c>
      <c r="FR194" s="283">
        <f>各项系数!$F$76/4*($MQ194^2-$MN194^2*$EG194-$MO194^2*$EO194)*10^-2</f>
        <v>0.644593018985817</v>
      </c>
      <c r="FS194" s="284">
        <f t="shared" si="652"/>
        <v>1</v>
      </c>
      <c r="FT194" s="285">
        <f t="shared" si="604"/>
        <v>0.644593018985817</v>
      </c>
      <c r="FU194" s="302">
        <f>$FT194*(VLOOKUP($FT$9,各项系数!$D$1:$F$143,3,0))*10^-3*10^2*各项系数!$J$55</f>
        <v>7.6964406466906554E-2</v>
      </c>
      <c r="FV194" s="303">
        <v>1</v>
      </c>
      <c r="FW194" s="304">
        <f t="shared" si="845"/>
        <v>7.6964406466906554E-2</v>
      </c>
      <c r="FX194" s="285">
        <f>FW194*(VLOOKUP($FT$9,各项系数!$D$1:$F$143,2,0))</f>
        <v>0.23089321940071966</v>
      </c>
      <c r="FY194" s="302">
        <f>IF($BK194&lt;&gt;$FY$9,0,各项系数!$F$76/4*($MS194^2-$MQ194^2)*10^-2*(VLOOKUP($FY$9,各项系数!$D$1:$F$143,3,0))*10^-3*10^2)*各项系数!$J$4</f>
        <v>0</v>
      </c>
      <c r="FZ194" s="303">
        <v>1</v>
      </c>
      <c r="GA194" s="304">
        <f t="shared" si="846"/>
        <v>0</v>
      </c>
      <c r="GB194" s="285">
        <f>GA194*(VLOOKUP($FY$9,各项系数!$D$1:$F$143,2,0))</f>
        <v>0</v>
      </c>
      <c r="GC194" s="302">
        <f>IF($BK194&lt;&gt;$GC$9,0,各项系数!$F$76/4*($MS194^2-$MQ194^2)*10^-2*(VLOOKUP($GC$9,各项系数!$D$1:$F$143,3,0))*10^-3*10^2)*各项系数!$J$4</f>
        <v>4.5586411092429103E-3</v>
      </c>
      <c r="GD194" s="303">
        <v>1</v>
      </c>
      <c r="GE194" s="304">
        <f t="shared" si="847"/>
        <v>4.5586411092429103E-3</v>
      </c>
      <c r="GF194" s="285">
        <f>GE194*(VLOOKUP($GC$9,各项系数!$D$1:$F$143,2,0))</f>
        <v>5.8806470309233541E-2</v>
      </c>
      <c r="GG194" s="302">
        <f>IF($BK194&lt;&gt;$GG$9,0,各项系数!$F$76/4*($MS194^2-$MQ194^2)*10^-2*(VLOOKUP($GG$9,各项系数!$D$1:$F$143,3,0))*10^-3*10^2)*各项系数!$J$4</f>
        <v>0</v>
      </c>
      <c r="GH194" s="303">
        <v>1</v>
      </c>
      <c r="GI194" s="304">
        <f t="shared" si="848"/>
        <v>0</v>
      </c>
      <c r="GJ194" s="285">
        <f>GI194*(VLOOKUP($GG$9,各项系数!$D$1:$F$143,2,0))</f>
        <v>0</v>
      </c>
      <c r="GK194" s="302">
        <f>IF($BK194&lt;&gt;$GK$9,0,各项系数!$F$76/4*($MS194^2-$MQ194^2)*10^-2*(VLOOKUP($GK$9,各项系数!$D$1:$F$143,3,0))*10^-3*10^2)*各项系数!$J$4</f>
        <v>0</v>
      </c>
      <c r="GL194" s="303">
        <v>1</v>
      </c>
      <c r="GM194" s="304">
        <f t="shared" si="849"/>
        <v>0</v>
      </c>
      <c r="GN194" s="285">
        <f>GM194*(VLOOKUP($GK$9,各项系数!$D$1:$F$143,2,0))</f>
        <v>0</v>
      </c>
      <c r="GO194" s="304">
        <f t="shared" si="850"/>
        <v>4.5586411092429103E-3</v>
      </c>
      <c r="GP194" s="304">
        <f t="shared" si="851"/>
        <v>5.8806470309233541E-2</v>
      </c>
      <c r="GQ194" s="315">
        <f>各项系数!$F$76/4*($MU194^2-$MS194^2)*10^-2*(VLOOKUP($S194,各项系数!$D$1:$F$143,3,0))*10^-3*10^2*各项系数!$J$4</f>
        <v>0.25560424728594827</v>
      </c>
      <c r="GR194" s="303">
        <v>1</v>
      </c>
      <c r="GS194" s="304">
        <f t="shared" si="852"/>
        <v>0.25560424728594827</v>
      </c>
      <c r="GT194" s="304">
        <f t="shared" si="696"/>
        <v>0</v>
      </c>
      <c r="GU194" s="304">
        <f>ROUND($GS194*(VLOOKUP($S194,各项系数!$D$1:$F$143,2,0))+$E$3*GS194,GT194)</f>
        <v>1</v>
      </c>
      <c r="GV194" s="315">
        <f>各项系数!$F$76/4*($MT194^2-$MS194^2)*10^-2*(VLOOKUP($GV$9,各项系数!$D$1:$F$143,3,0))*10^-3*10^2*各项系数!$J$4*PI()/4*R194</f>
        <v>2.3617071569493851E-2</v>
      </c>
      <c r="GW194" s="303">
        <v>1</v>
      </c>
      <c r="GX194" s="304">
        <f t="shared" si="853"/>
        <v>2.3617071569493851E-2</v>
      </c>
      <c r="GY194" s="304">
        <f>$GX194*(VLOOKUP($GV$9,各项系数!$D$1:$F$143,2,0))</f>
        <v>1.594152330940835</v>
      </c>
      <c r="GZ194" s="315">
        <f>各项系数!$F$76/4*($MV194^2-$MS194^2)*10^-2*(VLOOKUP($GZ$9,各项系数!$D$1:$F$143,3,0))*10^-3*10^2*各项系数!$J$4</f>
        <v>0.15197421914853779</v>
      </c>
      <c r="HA194" s="303">
        <v>1</v>
      </c>
      <c r="HB194" s="304">
        <f t="shared" si="653"/>
        <v>0.15197421914853779</v>
      </c>
      <c r="HC194" s="304">
        <f>HB194*(VLOOKUP($GZ$9,各项系数!$D$1:$F$143,2,0))</f>
        <v>2.5835617255251422</v>
      </c>
      <c r="HD194" s="315">
        <f>各项系数!$F$76/4*($MW194^2-$MT194^2)*10^-2*(VLOOKUP($HD$9,各项系数!$D$1:$F$143,3,0))*10^-3*10^2*各项系数!$J$4</f>
        <v>0.15327958859521623</v>
      </c>
      <c r="HE194" s="303">
        <v>1</v>
      </c>
      <c r="HF194" s="304">
        <f t="shared" si="654"/>
        <v>0.15327958859521623</v>
      </c>
      <c r="HG194" s="304">
        <f>HF194*(VLOOKUP($HD$9,各项系数!$D$1:$F$143,2,0))</f>
        <v>2.6057530061186758</v>
      </c>
      <c r="HH194" s="315">
        <f>各项系数!$F$76/4*($MV194^2-$MS194^2)*10^-2*(VLOOKUP($HH$9,各项系数!$D$1:$F$143,3,0))*10^-3*10^2*各项系数!$J$4</f>
        <v>0.15197421914853779</v>
      </c>
      <c r="HI194" s="322">
        <v>1</v>
      </c>
      <c r="HJ194" s="304">
        <f t="shared" si="655"/>
        <v>0.15197421914853779</v>
      </c>
      <c r="HK194" s="304">
        <f>HJ194*(VLOOKUP($HH$9,各项系数!$D$1:$F$143,2,0))</f>
        <v>2.5835617255251422</v>
      </c>
      <c r="HL194" s="315">
        <f>各项系数!$F$76/4*($MW194^2-$MT194^2)*10^-2*(VLOOKUP($HL$9,各项系数!$D$1:$F$143,3,0))*10^-3*10^2*各项系数!$J$4</f>
        <v>0.15327958859521623</v>
      </c>
      <c r="HM194" s="322">
        <v>1</v>
      </c>
      <c r="HN194" s="304">
        <f t="shared" si="605"/>
        <v>0.15327958859521623</v>
      </c>
      <c r="HO194" s="304">
        <f>HN194*(VLOOKUP($HL$9,各项系数!$D$1:$F$143,2,0))</f>
        <v>2.6057530061186758</v>
      </c>
      <c r="HP194" s="315">
        <f>各项系数!$F$76/4*($MV194^2-$MS194^2)*10^-2*(VLOOKUP(AN194,各项系数!$D$1:$F$143,3,0))*10^-3*10^2*各项系数!$J$4</f>
        <v>0.15407041527472451</v>
      </c>
      <c r="HQ194" s="303">
        <v>1</v>
      </c>
      <c r="HR194" s="304">
        <f t="shared" si="854"/>
        <v>0.15407041527472451</v>
      </c>
      <c r="HS194" s="304">
        <f>HR194*(VLOOKUP(AN194,各项系数!$D$1:$F$143,2,0))</f>
        <v>1.5407041527472451</v>
      </c>
      <c r="HT194" s="315">
        <f>各项系数!$F$76/4*($MW194^2-$MT194^2)*10^-2*(VLOOKUP(AN194,各项系数!$D$1:$F$143,3,0))*10^-3*10^2*各项系数!$J$4</f>
        <v>0.15539378981721919</v>
      </c>
      <c r="HU194" s="303">
        <v>1</v>
      </c>
      <c r="HV194" s="304">
        <f t="shared" si="855"/>
        <v>0.15539378981721919</v>
      </c>
      <c r="HW194" s="304">
        <f>HV194*(VLOOKUP(AN194,各项系数!$D$1:$F$143,2,0))</f>
        <v>1.5539378981721919</v>
      </c>
      <c r="HX194" s="315">
        <f>各项系数!$F$76/4*($MV194^2-$MS194^2)*10^-2*(VLOOKUP($HX$9,各项系数!$D$1:$F$143,3,0))*10^-3*10^2*各项系数!$J$4</f>
        <v>0.15407041527472451</v>
      </c>
      <c r="HY194" s="322">
        <v>1</v>
      </c>
      <c r="HZ194" s="304">
        <f t="shared" si="856"/>
        <v>0.15407041527472451</v>
      </c>
      <c r="IA194" s="304">
        <f>HZ194*(VLOOKUP($HX$9,各项系数!$D$1:$F$143,2,0))</f>
        <v>1.6947745680219697</v>
      </c>
      <c r="IB194" s="315">
        <f>各项系数!$F$76/4*($MW194^2-$MT194^2)*10^-2*(VLOOKUP($IB$9,各项系数!$D$1:$F$143,3,0))*10^-3*10^2*各项系数!$J$4</f>
        <v>0.15539378981721919</v>
      </c>
      <c r="IC194" s="322">
        <v>1</v>
      </c>
      <c r="ID194" s="304">
        <f t="shared" si="857"/>
        <v>0.15539378981721919</v>
      </c>
      <c r="IE194" s="304">
        <f>ID194*(VLOOKUP($IB$9,各项系数!$D$1:$F$143,2,0))</f>
        <v>1.7093316879894109</v>
      </c>
      <c r="IF194" s="328"/>
      <c r="IG194" s="315">
        <f t="shared" si="656"/>
        <v>5.6944604287546774E-2</v>
      </c>
      <c r="IH194" s="303">
        <v>1</v>
      </c>
      <c r="II194" s="304">
        <f t="shared" si="858"/>
        <v>5.6944604287546774E-2</v>
      </c>
      <c r="IJ194" s="304">
        <f>II194*(VLOOKUP($IG$8,各项系数!$D$1:$F$143,2,0))</f>
        <v>1.4236151071886693</v>
      </c>
      <c r="IK194" s="315">
        <f>(各项系数!$F$76/4*($MX194^2-$MK194^2)*$EG194)*10^-2*(VLOOKUP($IG$8,各项系数!$D$1:$F$143,3,0))*10^-3*10^2*各项系数!$J$4</f>
        <v>5.6944604287546774E-2</v>
      </c>
      <c r="IL194" s="303">
        <f>IK194*(VLOOKUP($IG$8,各项系数!$D$1:$F$143,2,0))</f>
        <v>1.4236151071886693</v>
      </c>
      <c r="IM194" s="304">
        <f>(各项系数!$F$76/4*(($MM194+3*$X194)^2-MM194^2)*$EO194)*10^-2*(VLOOKUP($IG$8,各项系数!$D$1:$F$143,3,0))*10^-3*10^2*各项系数!$J$4</f>
        <v>0</v>
      </c>
      <c r="IN194" s="303">
        <f>IM194*(VLOOKUP($IG$8,各项系数!$D$1:$F$143,2,0))</f>
        <v>0</v>
      </c>
      <c r="IO194" s="315">
        <f>各项系数!$F$76/4*($MZ194^2-$MX194^2)*10^-2*(VLOOKUP(L194,各项系数!$D$1:$F$143,3,0))*10^-3*10^2*$ES194*各项系数!$J$4</f>
        <v>0.14557716934520304</v>
      </c>
      <c r="IP194" s="303">
        <v>1</v>
      </c>
      <c r="IQ194" s="304">
        <f t="shared" si="859"/>
        <v>0.14557716934520304</v>
      </c>
      <c r="IR194" s="285">
        <f>IQ194*(VLOOKUP(L194,各项系数!$D$1:$F$143,2,0))</f>
        <v>1.6741374474698349</v>
      </c>
      <c r="IS194" s="315">
        <f>IF($L194&lt;&gt;$IS$9,0,各项系数!$F$76/4*($MZ194^2-$MX194^2)*10^-2*各项系数!$F$12*10^-3*10^2)*$ES194*各项系数!$J$4</f>
        <v>0</v>
      </c>
      <c r="IT194" s="303">
        <v>1</v>
      </c>
      <c r="IU194" s="304">
        <f t="shared" si="860"/>
        <v>0</v>
      </c>
      <c r="IV194" s="285">
        <f>IU194*各项系数!$E$12</f>
        <v>0</v>
      </c>
      <c r="IW194" s="302">
        <f t="shared" si="861"/>
        <v>0.14557716934520304</v>
      </c>
      <c r="IX194" s="302">
        <f t="shared" si="862"/>
        <v>1.6741374474698349</v>
      </c>
      <c r="IY194" s="339">
        <f>各项系数!$F$76/4*($NB194^2-$MZ194^2*$EG194-$NA194^2*$EO194)*10^-2</f>
        <v>0.91596174757260362</v>
      </c>
      <c r="IZ194" s="284">
        <f t="shared" si="697"/>
        <v>1</v>
      </c>
      <c r="JA194" s="285">
        <f t="shared" si="606"/>
        <v>0.91596174757260362</v>
      </c>
      <c r="JB194" s="282">
        <f>IF($DE194&lt;&gt;$JB$9,0,$JA194*各项系数!$F$32*10^-3*10^2)*各项系数!$J$4</f>
        <v>0</v>
      </c>
      <c r="JC194" s="102">
        <v>1</v>
      </c>
      <c r="JD194" s="189">
        <f t="shared" si="863"/>
        <v>0</v>
      </c>
      <c r="JE194" s="262">
        <f>JD194*各项系数!$E$32</f>
        <v>0</v>
      </c>
      <c r="JF194" s="282">
        <f>IF($DE194&lt;&gt;$JF$9,0,$JA194*VLOOKUP($JF$9,各项系数!$D$4:$F$540,2,0)*10^-3*10^2)*各项系数!$J$4</f>
        <v>0.45569096941737031</v>
      </c>
      <c r="JG194" s="102">
        <v>1</v>
      </c>
      <c r="JH194" s="189">
        <f t="shared" si="607"/>
        <v>0.45569096941737031</v>
      </c>
      <c r="JI194" s="262">
        <f>JH194*VLOOKUP($JF$9,各项系数!$D$4:$F$540,3,0)</f>
        <v>0.5468291633008443</v>
      </c>
      <c r="JJ194" s="282">
        <f t="shared" si="864"/>
        <v>0.45569096941737031</v>
      </c>
      <c r="JK194" s="189">
        <f t="shared" si="865"/>
        <v>0.5468291633008443</v>
      </c>
      <c r="JL194" s="282">
        <f>IF($DF194&lt;&gt;$JL$9,0,各项系数!$F$76/4*($NE194^2-$NC194^2)*10^-2*各项系数!$F$39*10^-3*10^2)*各项系数!$J$4</f>
        <v>2.2472138673455522E-3</v>
      </c>
      <c r="JM194" s="102">
        <v>1</v>
      </c>
      <c r="JN194" s="189">
        <f t="shared" si="866"/>
        <v>2.2472138673455522E-3</v>
      </c>
      <c r="JO194" s="262">
        <f>JN194*各项系数!$E$39</f>
        <v>4.4944277346911046E-2</v>
      </c>
      <c r="JP194" s="282">
        <f>IF($DF194&lt;&gt;$JP$9,0,各项系数!$F$76/4*($NE194^2-$NC194^2)*10^-2*各项系数!$F$36*10^-3*10^2)*各项系数!$J$4</f>
        <v>0</v>
      </c>
      <c r="JQ194" s="102">
        <v>1</v>
      </c>
      <c r="JR194" s="189">
        <f t="shared" si="867"/>
        <v>0</v>
      </c>
      <c r="JS194" s="262">
        <f>JR194*各项系数!$E$36</f>
        <v>0</v>
      </c>
      <c r="JT194" s="282">
        <f>IF($DF194&lt;&gt;$JT$9,0,各项系数!$F$76/4*($NE194^2-$NC194^2)*10^-2*各项系数!$F$40*10^-3*10^2)*各项系数!$J$4</f>
        <v>0</v>
      </c>
      <c r="JU194" s="102">
        <v>1</v>
      </c>
      <c r="JV194" s="189">
        <f t="shared" si="868"/>
        <v>0</v>
      </c>
      <c r="JW194" s="262">
        <f>JV194*各项系数!$E$40</f>
        <v>0</v>
      </c>
      <c r="JX194" s="282">
        <f>IF($DF194&lt;&gt;$JX$9,0,各项系数!$F$76/4*($NE194^2-$NC194^2)*10^-2*各项系数!$F$38*10^-3*10^2)*各项系数!$J$4</f>
        <v>0</v>
      </c>
      <c r="JY194" s="102">
        <v>1</v>
      </c>
      <c r="JZ194" s="189">
        <f t="shared" si="869"/>
        <v>0</v>
      </c>
      <c r="KA194" s="262">
        <f>JZ194*各项系数!$E$38</f>
        <v>0</v>
      </c>
      <c r="KB194" s="282">
        <f>IF($DF194&lt;&gt;$KB$9,0,各项系数!$F$76/4*($NE194^2-$NC194^2)*10^-2*各项系数!$F$41*10^-3*10^2)*各项系数!$J$4</f>
        <v>0</v>
      </c>
      <c r="KC194" s="102">
        <v>1</v>
      </c>
      <c r="KD194" s="189">
        <f t="shared" si="870"/>
        <v>0</v>
      </c>
      <c r="KE194" s="262">
        <f>KD194*各项系数!$E$41</f>
        <v>0</v>
      </c>
      <c r="KF194" s="189">
        <f t="shared" si="871"/>
        <v>2.2472138673455522E-3</v>
      </c>
      <c r="KG194" s="189">
        <f t="shared" si="872"/>
        <v>4.4944277346911046E-2</v>
      </c>
      <c r="KH194" s="235">
        <f>各项系数!$F$76/4*($NG194^2-$NE194^2)*10^-2*各项系数!$F$44*10^-3*10^2*各项系数!$J$4*0.75*$U194</f>
        <v>0.91034058822080977</v>
      </c>
      <c r="KI194" s="102">
        <v>1</v>
      </c>
      <c r="KJ194" s="189">
        <f t="shared" si="873"/>
        <v>0.91034058822080977</v>
      </c>
      <c r="KK194" s="189">
        <f>ROUND(KJ194*各项系数!$E$43,GT194)</f>
        <v>5</v>
      </c>
      <c r="KL194" s="235">
        <f>各项系数!$F$76/4*($NF194^2-$NE194^2)*10^-2*各项系数!$F$46*10^-3*10^2*各项系数!$J$4*PI()/4*R194</f>
        <v>2.8173541687625044E-2</v>
      </c>
      <c r="KM194" s="102">
        <v>1</v>
      </c>
      <c r="KN194" s="189">
        <f t="shared" si="874"/>
        <v>2.8173541687625044E-2</v>
      </c>
      <c r="KO194" s="189">
        <f>KN194*各项系数!$E$46</f>
        <v>1.9017140639146903</v>
      </c>
      <c r="KP194" s="235">
        <f>各项系数!$F$76/4*($NH194^2-$NE194^2)*10^-2*(VLOOKUP($KP$9,各项系数!$D$1:$F$143,3,0))*10^-3*10^2*各项系数!$J$4</f>
        <v>0.1785874387426937</v>
      </c>
      <c r="KQ194" s="102">
        <v>1</v>
      </c>
      <c r="KR194" s="189">
        <f t="shared" si="657"/>
        <v>0.1785874387426937</v>
      </c>
      <c r="KS194" s="189">
        <f>KR194*(VLOOKUP($KP$9,各项系数!$D$1:$F$143,2,0))</f>
        <v>3.0359864586257927</v>
      </c>
      <c r="KT194" s="235">
        <f>各项系数!$F$76/4*($NI194^2-$NF194^2)*10^-2*(VLOOKUP($KT$9,各项系数!$D$1:$F$143,3,0))*10^-3*10^2*各项系数!$J$4</f>
        <v>0.17989280818937214</v>
      </c>
      <c r="KU194" s="102">
        <v>1</v>
      </c>
      <c r="KV194" s="189">
        <f t="shared" si="658"/>
        <v>0.17989280818937214</v>
      </c>
      <c r="KW194" s="189">
        <f>KV194*(VLOOKUP($KT$9,各项系数!$D$1:$F$143,2,0))</f>
        <v>3.0581777392193263</v>
      </c>
      <c r="KX194" s="189">
        <f>各项系数!$F$76/4*($NH194^2-$NE194^2)*10^-2*(VLOOKUP($KX$9,各项系数!$D$1:$F$143,3,0))*10^-3*10^2*各项系数!$J$4</f>
        <v>0.1785874387426937</v>
      </c>
      <c r="KY194" s="353">
        <v>1</v>
      </c>
      <c r="KZ194" s="189">
        <f t="shared" si="659"/>
        <v>0.1785874387426937</v>
      </c>
      <c r="LA194" s="189">
        <f>KZ194*(VLOOKUP($KX$9,各项系数!$D$1:$F$143,2,0))</f>
        <v>3.0359864586257927</v>
      </c>
      <c r="LB194" s="189">
        <f>各项系数!$F$76/4*($NI194^2-$NF194^2)*10^-2*(VLOOKUP($LB$9,各项系数!$D$1:$F$143,3,0))*10^-3*10^2*各项系数!$J$4</f>
        <v>0.17989280818937214</v>
      </c>
      <c r="LC194" s="353">
        <v>1</v>
      </c>
      <c r="LD194" s="189">
        <f t="shared" si="660"/>
        <v>0.17989280818937214</v>
      </c>
      <c r="LE194" s="189">
        <f>LD194*(VLOOKUP($LB$9,各项系数!$D$1:$F$143,2,0))</f>
        <v>3.0581777392193263</v>
      </c>
      <c r="LF194" s="235">
        <f>各项系数!$F$76/4*($NH194^2-$NE194^2)*10^-2*(VLOOKUP(AN194,各项系数!$D$1:$F$143,3,0))*10^-3*10^2*各项系数!$J$4</f>
        <v>0.18105071375983434</v>
      </c>
      <c r="LG194" s="102">
        <v>1</v>
      </c>
      <c r="LH194" s="189">
        <f t="shared" si="875"/>
        <v>0.18105071375983434</v>
      </c>
      <c r="LI194" s="189">
        <f>LH194*(VLOOKUP(AN194,各项系数!$D$1:$F$143,2,0))</f>
        <v>1.8105071375983433</v>
      </c>
      <c r="LJ194" s="235">
        <f>各项系数!$F$76/4*($NI194^2-$NF194^2)*10^-2*(VLOOKUP(AN194,各项系数!$D$1:$F$143,3,0))*10^-3*10^2*各项系数!$J$4</f>
        <v>0.18237408830232901</v>
      </c>
      <c r="LK194" s="102">
        <v>1</v>
      </c>
      <c r="LL194" s="189">
        <f t="shared" si="876"/>
        <v>0.18237408830232901</v>
      </c>
      <c r="LM194" s="189">
        <f>LL194*(VLOOKUP(AN194,各项系数!$D$1:$F$143,2,0))</f>
        <v>1.8237408830232902</v>
      </c>
      <c r="LN194" s="189">
        <f>各项系数!$F$76/4*($NH194^2-$NE194^2)*10^-2*(VLOOKUP($LN$9,各项系数!$D$1:$F$143,3,0))*10^-3*10^2*各项系数!$J$4</f>
        <v>0.18105071375983434</v>
      </c>
      <c r="LO194" s="353">
        <v>1</v>
      </c>
      <c r="LP194" s="189">
        <f t="shared" si="877"/>
        <v>0.18105071375983434</v>
      </c>
      <c r="LQ194" s="189">
        <f>LP194*(VLOOKUP($LN$9,各项系数!$D$1:$F$143,2,0))</f>
        <v>1.9915578513581778</v>
      </c>
      <c r="LR194" s="189">
        <f>各项系数!$F$76/4*($NI194^2-$NF194^2)*10^-2*(VLOOKUP($LR$9,各项系数!$D$1:$F$143,3,0))*10^-3*10^2*各项系数!$J$4</f>
        <v>0.18237408830232901</v>
      </c>
      <c r="LS194" s="353">
        <v>1</v>
      </c>
      <c r="LT194" s="189">
        <f t="shared" si="878"/>
        <v>0.18237408830232901</v>
      </c>
      <c r="LU194" s="189">
        <f>LT194*(VLOOKUP($LR$9,各项系数!$D$1:$F$143,2,0))</f>
        <v>2.0061149713256192</v>
      </c>
      <c r="LV194" s="227">
        <f t="shared" si="661"/>
        <v>46.693548190000001</v>
      </c>
      <c r="LW194" s="227">
        <f t="shared" si="662"/>
        <v>46.693548190000001</v>
      </c>
      <c r="LX194" s="227">
        <f t="shared" si="663"/>
        <v>7.7105169761504957</v>
      </c>
      <c r="LY194" s="227">
        <f t="shared" si="664"/>
        <v>0</v>
      </c>
      <c r="LZ194" s="374">
        <f t="shared" si="608"/>
        <v>1</v>
      </c>
      <c r="MA194" s="375">
        <f t="shared" si="609"/>
        <v>46.693548190000001</v>
      </c>
      <c r="MB194" s="375">
        <f t="shared" si="665"/>
        <v>1.7241240099999999</v>
      </c>
      <c r="MC194" s="227">
        <f t="shared" si="666"/>
        <v>0</v>
      </c>
      <c r="MD194" s="227">
        <f t="shared" si="667"/>
        <v>0</v>
      </c>
      <c r="ME194" s="227">
        <f t="shared" si="668"/>
        <v>0</v>
      </c>
      <c r="MF194" s="227">
        <f t="shared" si="669"/>
        <v>0</v>
      </c>
      <c r="MG194" s="374">
        <f t="shared" si="670"/>
        <v>1</v>
      </c>
      <c r="MH194" s="375">
        <f t="shared" si="610"/>
        <v>0</v>
      </c>
      <c r="MI194" s="375">
        <f t="shared" si="671"/>
        <v>0</v>
      </c>
      <c r="MJ194" s="189">
        <f t="shared" si="611"/>
        <v>1.7241240099999999</v>
      </c>
      <c r="MK194" s="189">
        <f t="shared" si="672"/>
        <v>1.7241240099999999</v>
      </c>
      <c r="ML194" s="189">
        <f t="shared" si="879"/>
        <v>0</v>
      </c>
      <c r="MM194" s="189">
        <f t="shared" si="612"/>
        <v>0</v>
      </c>
      <c r="MN194" s="189">
        <f t="shared" si="613"/>
        <v>3.1241240100000001</v>
      </c>
      <c r="MO194" s="189">
        <f t="shared" si="673"/>
        <v>0</v>
      </c>
      <c r="MP194" s="189">
        <f t="shared" si="674"/>
        <v>16.651580970000001</v>
      </c>
      <c r="MQ194" s="189">
        <f t="shared" si="880"/>
        <v>16.651580970000001</v>
      </c>
      <c r="MR194" s="246">
        <f t="shared" si="675"/>
        <v>16.651580970000001</v>
      </c>
      <c r="MS194" s="380">
        <f t="shared" si="614"/>
        <v>16.82758097</v>
      </c>
      <c r="MT194" s="380">
        <f t="shared" si="615"/>
        <v>16.98758097</v>
      </c>
      <c r="MU194" s="380">
        <f t="shared" si="616"/>
        <v>18.027580969999999</v>
      </c>
      <c r="MV194" s="380">
        <f t="shared" si="617"/>
        <v>20.427580970000001</v>
      </c>
      <c r="MW194" s="380">
        <f t="shared" si="618"/>
        <v>20.587580970000001</v>
      </c>
      <c r="MX194" s="254">
        <f t="shared" si="619"/>
        <v>2.3241240100000002</v>
      </c>
      <c r="MY194" s="254">
        <f t="shared" si="620"/>
        <v>0</v>
      </c>
      <c r="MZ194" s="189">
        <f t="shared" si="621"/>
        <v>3.7241240100000002</v>
      </c>
      <c r="NA194" s="189">
        <f t="shared" si="622"/>
        <v>0</v>
      </c>
      <c r="NB194" s="189">
        <f t="shared" si="676"/>
        <v>19.849580970000002</v>
      </c>
      <c r="NC194" s="254">
        <f t="shared" si="881"/>
        <v>19.849580970000002</v>
      </c>
      <c r="ND194" s="246">
        <f t="shared" si="677"/>
        <v>19.849580970000002</v>
      </c>
      <c r="NE194" s="386">
        <f t="shared" si="678"/>
        <v>20.08958097</v>
      </c>
      <c r="NF194" s="380">
        <f t="shared" si="623"/>
        <v>20.24958097</v>
      </c>
      <c r="NG194" s="387">
        <f t="shared" si="624"/>
        <v>21.289580969999999</v>
      </c>
      <c r="NH194" s="254">
        <f t="shared" si="625"/>
        <v>23.689580970000002</v>
      </c>
      <c r="NI194" s="380">
        <f t="shared" si="626"/>
        <v>23.849580970000002</v>
      </c>
      <c r="NK194" s="388">
        <f t="shared" si="627"/>
        <v>0.76531757143556156</v>
      </c>
      <c r="NL194" s="388">
        <f t="shared" si="628"/>
        <v>30.225857235196255</v>
      </c>
      <c r="NM194" s="388">
        <f t="shared" si="629"/>
        <v>0.76531757143556156</v>
      </c>
      <c r="NN194" s="388">
        <f t="shared" si="630"/>
        <v>30.379927650470979</v>
      </c>
      <c r="NO194" s="388">
        <f t="shared" si="631"/>
        <v>1.2545407844553584</v>
      </c>
      <c r="NP194" s="388">
        <f t="shared" si="632"/>
        <v>32.553505585367425</v>
      </c>
      <c r="NQ194" s="388">
        <f t="shared" si="633"/>
        <v>1.2545407844553584</v>
      </c>
      <c r="NR194" s="388">
        <f t="shared" si="634"/>
        <v>32.734556299127263</v>
      </c>
      <c r="NS194" s="388">
        <f t="shared" si="635"/>
        <v>0.78893464300505545</v>
      </c>
      <c r="NT194" s="388">
        <f t="shared" si="636"/>
        <v>0.78893464300505545</v>
      </c>
      <c r="NU194" s="388">
        <f t="shared" si="637"/>
        <v>1.2827143261429834</v>
      </c>
      <c r="NV194" s="388">
        <f t="shared" si="638"/>
        <v>1.2827143261429834</v>
      </c>
      <c r="NW194">
        <f t="shared" si="639"/>
        <v>1.0209218187215099</v>
      </c>
      <c r="NX194">
        <f>各项系数!$M$9*NK194</f>
        <v>0.22959527143066846</v>
      </c>
      <c r="NY194">
        <f t="shared" si="640"/>
        <v>0.78893464300505534</v>
      </c>
    </row>
    <row r="195" spans="1:389" ht="15" hidden="1" customHeight="1">
      <c r="A195" s="69"/>
      <c r="B195" s="70"/>
      <c r="C195" s="69"/>
      <c r="D195" s="102" t="s">
        <v>272</v>
      </c>
      <c r="E195" s="61">
        <f t="shared" si="829"/>
        <v>22.520744059999998</v>
      </c>
      <c r="F195" s="62">
        <f t="shared" si="820"/>
        <v>172.412400708262</v>
      </c>
      <c r="G195" s="16"/>
      <c r="H195" s="16"/>
      <c r="I195" s="145">
        <v>0</v>
      </c>
      <c r="J195" s="16"/>
      <c r="K195" s="16"/>
      <c r="L195" s="97" t="s">
        <v>469</v>
      </c>
      <c r="M195" s="103">
        <f t="shared" si="582"/>
        <v>0.7</v>
      </c>
      <c r="N195" s="103">
        <f t="shared" si="804"/>
        <v>0</v>
      </c>
      <c r="O195" s="53">
        <f t="shared" si="825"/>
        <v>0.08</v>
      </c>
      <c r="P195" s="99">
        <v>0.1</v>
      </c>
      <c r="Q195" s="133">
        <f t="shared" si="882"/>
        <v>0.1</v>
      </c>
      <c r="R195" s="406">
        <v>0.8</v>
      </c>
      <c r="S195" s="142" t="str">
        <f>各项系数!$D$43</f>
        <v>钢带</v>
      </c>
      <c r="T195" s="102">
        <v>0.2</v>
      </c>
      <c r="U195" s="62">
        <v>4</v>
      </c>
      <c r="V195" s="143"/>
      <c r="W195" s="141">
        <f t="shared" si="828"/>
        <v>1.8</v>
      </c>
      <c r="X195" s="135">
        <f t="shared" si="883"/>
        <v>0.2</v>
      </c>
      <c r="Y195" s="135"/>
      <c r="Z195" s="168"/>
      <c r="AA195" s="153">
        <v>1</v>
      </c>
      <c r="AB195" s="153">
        <f>PI()*EJ195*EJ195/4*EH195*(1-H195)*AA195*各项系数!$F$5*各项系数!$J$4*10^-7</f>
        <v>2.0651505688902914E-2</v>
      </c>
      <c r="AC195" s="153">
        <f t="shared" si="830"/>
        <v>172.412400708262</v>
      </c>
      <c r="AD195" s="153">
        <f t="shared" si="584"/>
        <v>2.3346774015073022</v>
      </c>
      <c r="AE195" s="153">
        <f>POWER(4*EU195/PI()/EG195/10^-7/EH195/(1-H195)/各项系数!$F$5/各项系数!$J$4,0.5)</f>
        <v>172.412400708262</v>
      </c>
      <c r="AF195" s="69">
        <v>1</v>
      </c>
      <c r="AG195" s="69">
        <f>IF(EM195=0,0,PI()*ER195*ER195/4*EP195*(1-K195)*(1+AF195)*各项系数!$F$5*各项系数!$J$4*10^-7)</f>
        <v>0</v>
      </c>
      <c r="AH195" s="69">
        <f t="shared" si="831"/>
        <v>0</v>
      </c>
      <c r="AI195" s="69">
        <f t="shared" si="641"/>
        <v>0</v>
      </c>
      <c r="AJ195" s="69">
        <f>IF(OR(EP195="",EP195=0),0,POWER(4*EW195/PI()/EO195/10^-7/EP195/(1-K195)/各项系数!$F$5/各项系数!$J$4,0.5))</f>
        <v>0</v>
      </c>
      <c r="AK195" s="69" t="str">
        <f t="shared" si="585"/>
        <v>√</v>
      </c>
      <c r="AL195" s="69">
        <f t="shared" si="832"/>
        <v>37.451580934490941</v>
      </c>
      <c r="AM195" s="188">
        <f t="shared" si="833"/>
        <v>2.5</v>
      </c>
      <c r="AN195" s="97" t="s">
        <v>486</v>
      </c>
      <c r="AO195" s="196">
        <f>AP195+各项系数!$M$9*$NK195</f>
        <v>36.717236210285236</v>
      </c>
      <c r="AP195" s="196">
        <f>AQ195*(1+$BI195+(VLOOKUP($AM195,$A$12:$B$323,2,0))+各项系数!$J$6+各项系数!$M$5)*(1+$E$2)</f>
        <v>36.440632149597015</v>
      </c>
      <c r="AQ195" s="197">
        <f>AR195+各项系数!$L$9*$NK195</f>
        <v>37.184318519996957</v>
      </c>
      <c r="AR195" s="197">
        <f>AS195*(1+$BJ195+各项系数!$J$5+各项系数!$L$5)</f>
        <v>36.907714459308735</v>
      </c>
      <c r="AS195" s="197">
        <f t="shared" si="642"/>
        <v>36.184033783636018</v>
      </c>
      <c r="AT195" s="196">
        <f>AU195+各项系数!$M$9*$NM195</f>
        <v>37.87681465353068</v>
      </c>
      <c r="AU195" s="196">
        <f>AV195*(1+$BI195+(VLOOKUP($AM195,$A$12:$B$323,2,0))+各项系数!$J$6+各项系数!$M$5)*(1+$E$2)</f>
        <v>37.600210592842458</v>
      </c>
      <c r="AV195" s="197">
        <f>AW195+各项系数!$L$9*$NM195</f>
        <v>38.367561829431082</v>
      </c>
      <c r="AW195" s="197">
        <f>AX195*(1+$BJ195+各项系数!$J$5+各项系数!$L$5)</f>
        <v>38.090957768742861</v>
      </c>
      <c r="AX195" s="197">
        <f t="shared" si="643"/>
        <v>37.344076243865551</v>
      </c>
      <c r="AY195" s="196">
        <f>AZ195+各项系数!$M$9*$NS195</f>
        <v>38.537022156314357</v>
      </c>
      <c r="AZ195" s="196">
        <f>BA195*(1+$BI195+(VLOOKUP($AM195,$A$12:$B$214,2,0))+各项系数!$J$6+各项系数!$M$5)*(1+$E$2)</f>
        <v>38.25245583420385</v>
      </c>
      <c r="BA195" s="197">
        <f>BB195+各项系数!$L$9*$NS195</f>
        <v>39.033118198167195</v>
      </c>
      <c r="BB195" s="197">
        <f>BC195*(1+$BJ195+各项系数!$J$5+各项系数!$L$5)</f>
        <v>38.748551876056688</v>
      </c>
      <c r="BC195" s="199">
        <f t="shared" si="644"/>
        <v>37.988776349075181</v>
      </c>
      <c r="BD195" s="196">
        <f>BE195+各项系数!$M$9*$NS195</f>
        <v>39.705554551714314</v>
      </c>
      <c r="BE195" s="196">
        <f>BF195*(1+$BI195+(VLOOKUP($AM195,$A$12:$B$214,2,0))+各项系数!$J$6+各项系数!$M$5)*(1+$E$2)</f>
        <v>39.420988229603807</v>
      </c>
      <c r="BF195" s="197">
        <f>BG195+各项系数!$L$9*$NS195</f>
        <v>40.225498193473271</v>
      </c>
      <c r="BG195" s="197">
        <f>BH195*(1+$BJ195+各项系数!$J$5+各项系数!$L$5)</f>
        <v>39.940931871362764</v>
      </c>
      <c r="BH195" s="199">
        <f t="shared" si="645"/>
        <v>39.157776344473298</v>
      </c>
      <c r="BI195" s="213"/>
      <c r="BJ195" s="208">
        <f t="shared" si="822"/>
        <v>0</v>
      </c>
      <c r="BK195" s="102" t="s">
        <v>514</v>
      </c>
      <c r="BL195" s="196">
        <f>BM195+各项系数!$M$9*$NM195</f>
        <v>37.244833900485766</v>
      </c>
      <c r="BM195" s="196">
        <f>BN195*(1+$CF195+(VLOOKUP($AM195,$A$12:$B$323,2,0))+各项系数!$J$6+各项系数!$M$5)*(1+$E$2)</f>
        <v>36.968229839797544</v>
      </c>
      <c r="BN195" s="197">
        <f>BO195+各项系数!$L$9*$NM195</f>
        <v>37.722683509997495</v>
      </c>
      <c r="BO195" s="197">
        <f>BP195*(1+$CG195+各项系数!$J$5+各项系数!$L$5)</f>
        <v>37.446079449309273</v>
      </c>
      <c r="BP195" s="197">
        <f t="shared" si="646"/>
        <v>36.35541694107696</v>
      </c>
      <c r="BQ195" s="196">
        <f>BR195+各项系数!$M$9*$NM195</f>
        <v>38.242786600720564</v>
      </c>
      <c r="BR195" s="196">
        <f>BS195*(1+$CF195+(VLOOKUP($AM195,$A$12:$B$323,2,0))+各项系数!$J$6+各项系数!$M$5)*(1+$E$2)</f>
        <v>37.966182540032342</v>
      </c>
      <c r="BS195" s="197">
        <f>BT195+各项系数!$L$9*$NM195</f>
        <v>38.741002591869737</v>
      </c>
      <c r="BT195" s="197">
        <f>BU195*(1+$CG195+各项系数!$J$5+各项系数!$L$5)</f>
        <v>38.464398531181516</v>
      </c>
      <c r="BU195" s="197">
        <f t="shared" si="647"/>
        <v>37.344076243865551</v>
      </c>
      <c r="BV195" s="196">
        <f>BW195+各项系数!$M$9*$NT195</f>
        <v>38.812865277342944</v>
      </c>
      <c r="BW195" s="196">
        <f>BX195*(1+$CF195+(VLOOKUP($AM195,$A$12:$B$214,2,0))+各项系数!$J$6+各项系数!$M$5)*(1+$E$2)</f>
        <v>38.528298955232437</v>
      </c>
      <c r="BX195" s="197">
        <f>BY195+各项系数!$L$9*$NT$12</f>
        <v>39.314590770645346</v>
      </c>
      <c r="BY195" s="197">
        <f>BZ195*(1+$CG195+各项系数!$J$5+各项系数!$L$5)</f>
        <v>39.306327367490375</v>
      </c>
      <c r="BZ195" s="199">
        <f t="shared" si="586"/>
        <v>38.161482881058618</v>
      </c>
      <c r="CA195" s="196">
        <f>CB195+各项系数!$M$9*$NT195</f>
        <v>39.818523899313725</v>
      </c>
      <c r="CB195" s="196">
        <f>CC195*(1+$CF195+(VLOOKUP($AM195,$A$12:$B$214,2,0))+各项系数!$J$6+各项系数!$M$5)*(1+$E$2)</f>
        <v>39.533957577203218</v>
      </c>
      <c r="CC195" s="197">
        <f>CD195+各项系数!$L$9*$NT$12</f>
        <v>40.340773037962471</v>
      </c>
      <c r="CD195" s="197">
        <f>CE195*(1+$CG195+各项系数!$J$5+各项系数!$L$5)</f>
        <v>40.332509634807501</v>
      </c>
      <c r="CE195" s="199">
        <f t="shared" si="648"/>
        <v>39.157776344473298</v>
      </c>
      <c r="CF195" s="213">
        <f t="shared" si="884"/>
        <v>0</v>
      </c>
      <c r="CG195" s="213">
        <f t="shared" si="587"/>
        <v>0.01</v>
      </c>
      <c r="CH195" s="102"/>
      <c r="CI195" s="196">
        <f>CJ195+各项系数!$M$9*$NO195</f>
        <v>40.236611415541077</v>
      </c>
      <c r="CJ195" s="196">
        <f>CK195*(1+$DC195+(VLOOKUP($AM195,$A$12:$B$323,2,0))+各项系数!$J$6+各项系数!$M$5)*(1+$E$2)+各项系数!$M$9*$NK195</f>
        <v>39.758658377903394</v>
      </c>
      <c r="CK195" s="197">
        <f>CL195+各项系数!$L$9*$NO195</f>
        <v>40.287810527770588</v>
      </c>
      <c r="CL195" s="197">
        <f>CM195*(1+$DD195+各项系数!$J$5+各项系数!$L$5)</f>
        <v>39.809857490132913</v>
      </c>
      <c r="CM195" s="197">
        <f t="shared" si="588"/>
        <v>39.029272049149917</v>
      </c>
      <c r="CN195" s="196">
        <f>CO195+各项系数!$M$9*$NO195</f>
        <v>41.093258309663341</v>
      </c>
      <c r="CO195" s="196">
        <f>CP195*(1+$DC195+(VLOOKUP($AM195,$A$12:$B$323,2,0))+各项系数!$J$6+各项系数!$M$5)*(1+$E$2)+各项系数!$M$9*$NK195</f>
        <v>40.615305272025658</v>
      </c>
      <c r="CP195" s="197">
        <f>CQ195+各项系数!$L$9*$NO195</f>
        <v>41.161940011568817</v>
      </c>
      <c r="CQ195" s="197">
        <f>CR195*(1+$DD195+各项系数!$J$5+各项系数!$L$5)</f>
        <v>40.683986973931141</v>
      </c>
      <c r="CR195" s="197">
        <f t="shared" si="589"/>
        <v>39.886261739148175</v>
      </c>
      <c r="CS195" s="196">
        <f>CT195+各项系数!$M$9*$NU195</f>
        <v>42.128160008916609</v>
      </c>
      <c r="CT195" s="196">
        <f t="shared" si="590"/>
        <v>41.640709310729164</v>
      </c>
      <c r="CU195" s="197">
        <f>CV195+各项系数!$L$9*$NU195</f>
        <v>42.49051970482568</v>
      </c>
      <c r="CV195" s="197">
        <f>CW195*(1+$DD195+各项系数!$J$5+各项系数!$L$5)</f>
        <v>42.003069006638235</v>
      </c>
      <c r="CW195" s="199">
        <f t="shared" si="591"/>
        <v>41.179479418272777</v>
      </c>
      <c r="CX195" s="196">
        <f>CY195+各项系数!$M$9*$NU195</f>
        <v>43.501737908655052</v>
      </c>
      <c r="CY195" s="196">
        <f t="shared" si="592"/>
        <v>43.014287210467607</v>
      </c>
      <c r="CZ195" s="197">
        <f>DA195+各项系数!$L$9*$NU195</f>
        <v>43.892129806599598</v>
      </c>
      <c r="DA195" s="197">
        <f>DB195*(1+$DD195+各项系数!$J$5+各项系数!$L$5)</f>
        <v>43.404679108412154</v>
      </c>
      <c r="DB195" s="199">
        <f t="shared" si="593"/>
        <v>42.55360696903152</v>
      </c>
      <c r="DC195" s="213">
        <f t="shared" si="827"/>
        <v>0</v>
      </c>
      <c r="DD195" s="213">
        <f t="shared" si="594"/>
        <v>0</v>
      </c>
      <c r="DE195" s="53" t="s">
        <v>498</v>
      </c>
      <c r="DF195" s="53" t="s">
        <v>513</v>
      </c>
      <c r="DG195" s="196">
        <f>DH195+各项系数!$M$9*$NQ195</f>
        <v>40.822682587370792</v>
      </c>
      <c r="DH195" s="196">
        <f>DI195*(1+$EA195+(VLOOKUP($AM195,$A$12:$B$323,2,0))+各项系数!$J$6+各项系数!$M$5)*(1+$E$2)+各项系数!$M$9*$NK195</f>
        <v>40.34472954973311</v>
      </c>
      <c r="DI195" s="197">
        <f>DJ195+各项系数!$L$9*$NQ195</f>
        <v>40.885842335760088</v>
      </c>
      <c r="DJ195" s="197">
        <f>DK195*(1+$EB195+各项系数!$J$5+各项系数!$L$5)</f>
        <v>40.407889298122413</v>
      </c>
      <c r="DK195" s="197">
        <f t="shared" si="595"/>
        <v>39.230960483613991</v>
      </c>
      <c r="DL195" s="196">
        <f>DM195+各项系数!$M$9*$NQ195</f>
        <v>41.997100895359452</v>
      </c>
      <c r="DM195" s="196">
        <f>DN195*(1+$EA195+(VLOOKUP($AM195,$A$12:$B$323,2,0))+各项系数!$J$6+各项系数!$M$5)*(1+$E$2)+各项系数!$M$9*$NK195</f>
        <v>41.519147857721777</v>
      </c>
      <c r="DN195" s="197">
        <f>DO195+各项系数!$L$9*$NQ195</f>
        <v>42.084228364319955</v>
      </c>
      <c r="DO195" s="197">
        <f>DP195*(1+$EB195+各项系数!$J$5+各项系数!$L$5)</f>
        <v>41.60627532668228</v>
      </c>
      <c r="DP195" s="197">
        <f t="shared" si="596"/>
        <v>40.394442064740076</v>
      </c>
      <c r="DQ195" s="196">
        <f>DR195+各项系数!$M$9*$NV195</f>
        <v>42.736639027226914</v>
      </c>
      <c r="DR195" s="196">
        <f t="shared" si="597"/>
        <v>42.24918832903947</v>
      </c>
      <c r="DS195" s="197">
        <f>DT195+各项系数!$L$9*$NV195</f>
        <v>43.111416662285173</v>
      </c>
      <c r="DT195" s="197">
        <f>DU195*(1+$EB195+各项系数!$J$5+各项系数!$L$5)</f>
        <v>42.623965964097728</v>
      </c>
      <c r="DU195" s="199">
        <f t="shared" si="598"/>
        <v>41.382491227279345</v>
      </c>
      <c r="DV195" s="196">
        <f>DW195+各项系数!$M$9*$NV195</f>
        <v>41.890914049580296</v>
      </c>
      <c r="DW195" s="196">
        <f t="shared" si="599"/>
        <v>41.403463351392851</v>
      </c>
      <c r="DX195" s="197">
        <f>DY195+各项系数!$L$9*$NV195</f>
        <v>42.248431991217196</v>
      </c>
      <c r="DY195" s="197">
        <f>DZ195*(1+$EB195+各项系数!$J$5+各项系数!$L$5)</f>
        <v>41.760981293029751</v>
      </c>
      <c r="DZ195" s="199">
        <f t="shared" si="600"/>
        <v>40.544642032067721</v>
      </c>
      <c r="EA195" s="213">
        <f t="shared" si="826"/>
        <v>0</v>
      </c>
      <c r="EB195" s="213">
        <f t="shared" si="601"/>
        <v>0.01</v>
      </c>
      <c r="EC195" s="235">
        <f t="shared" si="649"/>
        <v>24</v>
      </c>
      <c r="ED195" s="235" t="str">
        <f t="shared" si="834"/>
        <v>24*2.5</v>
      </c>
      <c r="EE195" s="189">
        <f t="shared" si="835"/>
        <v>2.5</v>
      </c>
      <c r="EF195" s="189">
        <f>LOOKUP(EH195,{1,7,10,14,19,24,30,37,48,61},{1,"1+6","2+8","4+10","1+6+12","2+8+14","4+10+16","1+6+12+18","3+9+15+21","1+6+12+18+24"})</f>
        <v>1</v>
      </c>
      <c r="EG195" s="188">
        <f t="shared" si="602"/>
        <v>24</v>
      </c>
      <c r="EH195" s="197">
        <f>VLOOKUP(EE195,各项系数!$B$87:$C$124,2,0)</f>
        <v>1</v>
      </c>
      <c r="EI195" s="188">
        <f>IF(EH195=0,0,VLOOKUP(EH195,各项系数!$D$142:$E$195,2,0))*1</f>
        <v>1</v>
      </c>
      <c r="EJ195" s="238">
        <f t="shared" si="650"/>
        <v>172.412400708262</v>
      </c>
      <c r="EK195" s="189">
        <f t="shared" si="836"/>
        <v>0</v>
      </c>
      <c r="EL195" s="189">
        <f t="shared" si="603"/>
        <v>0</v>
      </c>
      <c r="EM195" s="189">
        <f t="shared" si="837"/>
        <v>0</v>
      </c>
      <c r="EN195" s="189">
        <f>IF(EP195=0,0,LOOKUP(EP195,{1,7,10,14,19,24,30,37,48,61},{1,"1+6","2+8","4+10","1+6+12","2+8+14","4+10+16","1+6+12+18","3+9+15+21","1+6+12+18+24"}))</f>
        <v>0</v>
      </c>
      <c r="EO195" s="189">
        <f t="shared" si="838"/>
        <v>0</v>
      </c>
      <c r="EP195" s="189">
        <f>IF(EM195=0,0,IF(EM195&lt;10,1,IF(AND(EM195&gt;=10,EM195&lt;=35),7,LOOKUP(EM195,{50,70,95,120,150,185,240,300},{10,14,19,24,30,37,48,61})*1)))</f>
        <v>0</v>
      </c>
      <c r="EQ195" s="189">
        <f>IF(EP195=0,0,VLOOKUP(EP195,各项系数!$D$142:$E$195,2,0))*1</f>
        <v>0</v>
      </c>
      <c r="ER195" s="53">
        <f t="shared" si="839"/>
        <v>0</v>
      </c>
      <c r="ES195" s="412">
        <f t="shared" si="840"/>
        <v>24</v>
      </c>
      <c r="ET195" s="189">
        <f>VLOOKUP(ES195,各项系数!$D$142:$E$195,2,0)*1</f>
        <v>6</v>
      </c>
      <c r="EU195" s="243">
        <f>((各项系数!$F$76/4*$EJ195^2*$EG195*$EH195*1*10^-7)*(1-$H195)*AA195)*(VLOOKUP($EY$9,各项系数!$D$4:$F$143,3,0))*各项系数!$J$4</f>
        <v>0.49563613653367</v>
      </c>
      <c r="EV195" s="244">
        <f>EU195*(VLOOKUP($EY$9,各项系数!$D$4:$F$143,2,0))</f>
        <v>32.464166942955387</v>
      </c>
      <c r="EW195" s="252">
        <f>(IF($EO195=0,0,(各项系数!$F$76/4*$ER195^2*$EO195*$EP195*1*10^-7))*(1-$K195)*$AF195)*(VLOOKUP($EY$9,各项系数!$D$4:$F$143,3,0))*各项系数!$J$4</f>
        <v>0</v>
      </c>
      <c r="EX195" s="253">
        <f>EW195*(VLOOKUP($EY$9,各项系数!$D$4:$F$143,2,0))</f>
        <v>0</v>
      </c>
      <c r="EY195" s="189">
        <f>((各项系数!$F$76/4*$EJ195^2*$EG195*$EH195*1*10^-7)*(1-$H195)*AA195+IF($EO195=0,0,(各项系数!$F$76/4*$ER195^2*$EO195*$EP195*1*10^-7))*(1-$K195)*$AF195)*(VLOOKUP($EY$9,各项系数!$D$4:$F$143,3,0))*各项系数!$J$4</f>
        <v>0.49563613653367</v>
      </c>
      <c r="EZ195" s="102">
        <v>1</v>
      </c>
      <c r="FA195" s="189">
        <f t="shared" si="841"/>
        <v>0.49563613653367</v>
      </c>
      <c r="FB195" s="254">
        <f>FA195*(VLOOKUP($EY$9,各项系数!$D$4:$F$143,2,0))</f>
        <v>32.464166942955387</v>
      </c>
      <c r="FC195" s="255"/>
      <c r="FD195" s="235">
        <f>各项系数!$F$76/4*($MN195^2-MK195^2)*10^-2*(VLOOKUP(L195,各项系数!$D$1:$F$143,3,0))*10^-3*10^2*$EG195*各项系数!$J$4</f>
        <v>0.14003279376795505</v>
      </c>
      <c r="FE195" s="262">
        <f>FD195*VLOOKUP(L195,各项系数!$D$1:$F$143,2,0)</f>
        <v>1.6103771283314832</v>
      </c>
      <c r="FF195" s="188">
        <f>各项系数!$F$76/4*($MO195^2-ML195^2)*10^-2*(VLOOKUP(L195,各项系数!$D$1:$F$143,3,0))*10^-3*10^2*$EO195*各项系数!$J$4</f>
        <v>0</v>
      </c>
      <c r="FG195" s="262">
        <f>FF195*VLOOKUP(L195,各项系数!$D$1:$F$143,2,0)</f>
        <v>0</v>
      </c>
      <c r="FH195" s="235">
        <f t="shared" si="651"/>
        <v>0.14003279376795505</v>
      </c>
      <c r="FI195" s="102">
        <v>1</v>
      </c>
      <c r="FJ195" s="189">
        <f t="shared" si="842"/>
        <v>0.14003279376795505</v>
      </c>
      <c r="FK195" s="262">
        <f>FJ195*VLOOKUP(L195,各项系数!$D$1:$F$143,2,0)</f>
        <v>1.6103771283314832</v>
      </c>
      <c r="FL195" s="235"/>
      <c r="FM195" s="102"/>
      <c r="FN195" s="189"/>
      <c r="FO195" s="262"/>
      <c r="FP195" s="282">
        <f t="shared" si="843"/>
        <v>0.14003279376795505</v>
      </c>
      <c r="FQ195" s="282">
        <f t="shared" si="844"/>
        <v>1.6103771283314832</v>
      </c>
      <c r="FR195" s="283">
        <f>各项系数!$F$76/4*($MQ195^2-$MN195^2*$EG195-$MO195^2*$EO195)*10^-2</f>
        <v>0.91987254435035126</v>
      </c>
      <c r="FS195" s="284">
        <f t="shared" si="652"/>
        <v>1</v>
      </c>
      <c r="FT195" s="285">
        <f t="shared" si="604"/>
        <v>0.91987254435035126</v>
      </c>
      <c r="FU195" s="302">
        <f>$FT195*(VLOOKUP($FT$9,各项系数!$D$1:$F$143,3,0))*10^-3*10^2*各项系数!$J$55</f>
        <v>0.10983278179543193</v>
      </c>
      <c r="FV195" s="303">
        <v>1</v>
      </c>
      <c r="FW195" s="304">
        <f t="shared" si="845"/>
        <v>0.10983278179543193</v>
      </c>
      <c r="FX195" s="285">
        <f>FW195*(VLOOKUP($FT$9,各项系数!$D$1:$F$143,2,0))</f>
        <v>0.3294983453862958</v>
      </c>
      <c r="FY195" s="302">
        <f>IF($BK195&lt;&gt;$FY$9,0,各项系数!$F$76/4*($MS195^2-$MQ195^2)*10^-2*(VLOOKUP($FY$9,各项系数!$D$1:$F$143,3,0))*10^-3*10^2)*各项系数!$J$4</f>
        <v>0</v>
      </c>
      <c r="FZ195" s="303">
        <v>1</v>
      </c>
      <c r="GA195" s="304">
        <f t="shared" si="846"/>
        <v>0</v>
      </c>
      <c r="GB195" s="285">
        <f>GA195*(VLOOKUP($FY$9,各项系数!$D$1:$F$143,2,0))</f>
        <v>0</v>
      </c>
      <c r="GC195" s="302">
        <f>IF($BK195&lt;&gt;$GC$9,0,各项系数!$F$76/4*($MS195^2-$MQ195^2)*10^-2*(VLOOKUP($GC$9,各项系数!$D$1:$F$143,3,0))*10^-3*10^2)*各项系数!$J$4</f>
        <v>5.1286660894096685E-3</v>
      </c>
      <c r="GD195" s="303">
        <v>1</v>
      </c>
      <c r="GE195" s="304">
        <f t="shared" si="847"/>
        <v>5.1286660894096685E-3</v>
      </c>
      <c r="GF195" s="285">
        <f>GE195*(VLOOKUP($GC$9,各项系数!$D$1:$F$143,2,0))</f>
        <v>6.6159792553384722E-2</v>
      </c>
      <c r="GG195" s="302">
        <f>IF($BK195&lt;&gt;$GG$9,0,各项系数!$F$76/4*($MS195^2-$MQ195^2)*10^-2*(VLOOKUP($GG$9,各项系数!$D$1:$F$143,3,0))*10^-3*10^2)*各项系数!$J$4</f>
        <v>0</v>
      </c>
      <c r="GH195" s="303">
        <v>1</v>
      </c>
      <c r="GI195" s="304">
        <f t="shared" si="848"/>
        <v>0</v>
      </c>
      <c r="GJ195" s="285">
        <f>GI195*(VLOOKUP($GG$9,各项系数!$D$1:$F$143,2,0))</f>
        <v>0</v>
      </c>
      <c r="GK195" s="302">
        <f>IF($BK195&lt;&gt;$GK$9,0,各项系数!$F$76/4*($MS195^2-$MQ195^2)*10^-2*(VLOOKUP($GK$9,各项系数!$D$1:$F$143,3,0))*10^-3*10^2)*各项系数!$J$4</f>
        <v>0</v>
      </c>
      <c r="GL195" s="303">
        <v>1</v>
      </c>
      <c r="GM195" s="304">
        <f t="shared" si="849"/>
        <v>0</v>
      </c>
      <c r="GN195" s="285">
        <f>GM195*(VLOOKUP($GK$9,各项系数!$D$1:$F$143,2,0))</f>
        <v>0</v>
      </c>
      <c r="GO195" s="304">
        <f t="shared" si="850"/>
        <v>5.1286660894096685E-3</v>
      </c>
      <c r="GP195" s="304">
        <f t="shared" si="851"/>
        <v>6.6159792553384722E-2</v>
      </c>
      <c r="GQ195" s="315">
        <f>各项系数!$F$76/4*($MU195^2-$MS195^2)*10^-2*(VLOOKUP($S195,各项系数!$D$1:$F$143,3,0))*10^-3*10^2*各项系数!$J$4</f>
        <v>0.28630393974396495</v>
      </c>
      <c r="GR195" s="303">
        <v>1</v>
      </c>
      <c r="GS195" s="304">
        <f t="shared" si="852"/>
        <v>0.28630393974396495</v>
      </c>
      <c r="GT195" s="304">
        <f t="shared" si="696"/>
        <v>0</v>
      </c>
      <c r="GU195" s="304">
        <f>ROUND($GS195*(VLOOKUP($S195,各项系数!$D$1:$F$143,2,0))+$E$3*GS195,GT195)</f>
        <v>2</v>
      </c>
      <c r="GV195" s="315">
        <f>各项系数!$F$76/4*($MT195^2-$MS195^2)*10^-2*(VLOOKUP($GV$9,各项系数!$D$1:$F$143,3,0))*10^-3*10^2*各项系数!$J$4*PI()/4*R195</f>
        <v>2.6540871407618002E-2</v>
      </c>
      <c r="GW195" s="303">
        <v>1</v>
      </c>
      <c r="GX195" s="304">
        <f t="shared" si="853"/>
        <v>2.6540871407618002E-2</v>
      </c>
      <c r="GY195" s="304">
        <f>$GX195*(VLOOKUP($GV$9,各项系数!$D$1:$F$143,2,0))</f>
        <v>1.7915088200142151</v>
      </c>
      <c r="GZ195" s="315">
        <f>各项系数!$F$76/4*($MV195^2-$MS195^2)*10^-2*(VLOOKUP($GZ$9,各项系数!$D$1:$F$143,3,0))*10^-3*10^2*各项系数!$J$4</f>
        <v>0.16905141380229369</v>
      </c>
      <c r="HA195" s="303">
        <v>1</v>
      </c>
      <c r="HB195" s="304">
        <f t="shared" si="653"/>
        <v>0.16905141380229369</v>
      </c>
      <c r="HC195" s="304">
        <f>HB195*(VLOOKUP($GZ$9,各项系数!$D$1:$F$143,2,0))</f>
        <v>2.8738740346389928</v>
      </c>
      <c r="HD195" s="315">
        <f>各项系数!$F$76/4*($MW195^2-$MT195^2)*10^-2*(VLOOKUP($HD$9,各项系数!$D$1:$F$143,3,0))*10^-3*10^2*各项系数!$J$4</f>
        <v>0.17035678324897216</v>
      </c>
      <c r="HE195" s="303">
        <v>1</v>
      </c>
      <c r="HF195" s="304">
        <f t="shared" si="654"/>
        <v>0.17035678324897216</v>
      </c>
      <c r="HG195" s="304">
        <f>HF195*(VLOOKUP($HD$9,各项系数!$D$1:$F$143,2,0))</f>
        <v>2.8960653152325269</v>
      </c>
      <c r="HH195" s="315">
        <f>各项系数!$F$76/4*($MV195^2-$MS195^2)*10^-2*(VLOOKUP($HH$9,各项系数!$D$1:$F$143,3,0))*10^-3*10^2*各项系数!$J$4</f>
        <v>0.16905141380229369</v>
      </c>
      <c r="HI195" s="322">
        <v>1</v>
      </c>
      <c r="HJ195" s="304">
        <f t="shared" si="655"/>
        <v>0.16905141380229369</v>
      </c>
      <c r="HK195" s="304">
        <f>HJ195*(VLOOKUP($HH$9,各项系数!$D$1:$F$143,2,0))</f>
        <v>2.8738740346389928</v>
      </c>
      <c r="HL195" s="315">
        <f>各项系数!$F$76/4*($MW195^2-$MT195^2)*10^-2*(VLOOKUP($HL$9,各项系数!$D$1:$F$143,3,0))*10^-3*10^2*各项系数!$J$4</f>
        <v>0.17035678324897216</v>
      </c>
      <c r="HM195" s="322">
        <v>1</v>
      </c>
      <c r="HN195" s="304">
        <f t="shared" si="605"/>
        <v>0.17035678324897216</v>
      </c>
      <c r="HO195" s="304">
        <f>HN195*(VLOOKUP($HL$9,各项系数!$D$1:$F$143,2,0))</f>
        <v>2.8960653152325269</v>
      </c>
      <c r="HP195" s="315">
        <f>各项系数!$F$76/4*($MV195^2-$MS195^2)*10^-2*(VLOOKUP(AN195,各项系数!$D$1:$F$143,3,0))*10^-3*10^2*各项系数!$J$4</f>
        <v>0.17138315744094607</v>
      </c>
      <c r="HQ195" s="303">
        <v>1</v>
      </c>
      <c r="HR195" s="304">
        <f t="shared" si="854"/>
        <v>0.17138315744094607</v>
      </c>
      <c r="HS195" s="304">
        <f>HR195*(VLOOKUP(AN195,各项系数!$D$1:$F$143,2,0))</f>
        <v>1.7138315744094608</v>
      </c>
      <c r="HT195" s="315">
        <f>各项系数!$F$76/4*($MW195^2-$MT195^2)*10^-2*(VLOOKUP(AN195,各项系数!$D$1:$F$143,3,0))*10^-3*10^2*各项系数!$J$4</f>
        <v>0.17270653198344074</v>
      </c>
      <c r="HU195" s="303">
        <v>1</v>
      </c>
      <c r="HV195" s="304">
        <f t="shared" si="855"/>
        <v>0.17270653198344074</v>
      </c>
      <c r="HW195" s="304">
        <f>HV195*(VLOOKUP(AN195,各项系数!$D$1:$F$143,2,0))</f>
        <v>1.7270653198344075</v>
      </c>
      <c r="HX195" s="315">
        <f>各项系数!$F$76/4*($MV195^2-$MS195^2)*10^-2*(VLOOKUP($HX$9,各项系数!$D$1:$F$143,3,0))*10^-3*10^2*各项系数!$J$4</f>
        <v>0.17138315744094607</v>
      </c>
      <c r="HY195" s="322">
        <v>1</v>
      </c>
      <c r="HZ195" s="304">
        <f t="shared" si="856"/>
        <v>0.17138315744094607</v>
      </c>
      <c r="IA195" s="304">
        <f>HZ195*(VLOOKUP($HX$9,各项系数!$D$1:$F$143,2,0))</f>
        <v>1.8852147318504067</v>
      </c>
      <c r="IB195" s="315">
        <f>各项系数!$F$76/4*($MW195^2-$MT195^2)*10^-2*(VLOOKUP($IB$9,各项系数!$D$1:$F$143,3,0))*10^-3*10^2*各项系数!$J$4</f>
        <v>0.17270653198344074</v>
      </c>
      <c r="IC195" s="322">
        <v>1</v>
      </c>
      <c r="ID195" s="304">
        <f t="shared" si="857"/>
        <v>0.17270653198344074</v>
      </c>
      <c r="IE195" s="304">
        <f>ID195*(VLOOKUP($IB$9,各项系数!$D$1:$F$143,2,0))</f>
        <v>1.8997718518178481</v>
      </c>
      <c r="IF195" s="328"/>
      <c r="IG195" s="315">
        <f t="shared" si="656"/>
        <v>6.833352514505614E-2</v>
      </c>
      <c r="IH195" s="303">
        <v>1</v>
      </c>
      <c r="II195" s="304">
        <f t="shared" si="858"/>
        <v>6.833352514505614E-2</v>
      </c>
      <c r="IJ195" s="304">
        <f>II195*(VLOOKUP($IG$8,各项系数!$D$1:$F$143,2,0))</f>
        <v>1.7083381286264034</v>
      </c>
      <c r="IK195" s="315">
        <f>(各项系数!$F$76/4*($MX195^2-$MK195^2)*$EG195)*10^-2*(VLOOKUP($IG$8,各项系数!$D$1:$F$143,3,0))*10^-3*10^2*各项系数!$J$4</f>
        <v>6.833352514505614E-2</v>
      </c>
      <c r="IL195" s="303">
        <f>IK195*(VLOOKUP($IG$8,各项系数!$D$1:$F$143,2,0))</f>
        <v>1.7083381286264034</v>
      </c>
      <c r="IM195" s="304">
        <f>(各项系数!$F$76/4*(($MM195+3*$X195)^2-MM195^2)*$EO195)*10^-2*(VLOOKUP($IG$8,各项系数!$D$1:$F$143,3,0))*10^-3*10^2*各项系数!$J$4</f>
        <v>0</v>
      </c>
      <c r="IN195" s="303">
        <f>IM195*(VLOOKUP($IG$8,各项系数!$D$1:$F$143,2,0))</f>
        <v>0</v>
      </c>
      <c r="IO195" s="315">
        <f>各项系数!$F$76/4*($MZ195^2-$MX195^2)*10^-2*(VLOOKUP(L195,各项系数!$D$1:$F$143,3,0))*10^-3*10^2*$ES195*各项系数!$J$4</f>
        <v>0.17469260321424368</v>
      </c>
      <c r="IP195" s="303">
        <v>1</v>
      </c>
      <c r="IQ195" s="304">
        <f t="shared" si="859"/>
        <v>0.17469260321424368</v>
      </c>
      <c r="IR195" s="285">
        <f>IQ195*(VLOOKUP(L195,各项系数!$D$1:$F$143,2,0))</f>
        <v>2.0089649369638023</v>
      </c>
      <c r="IS195" s="315">
        <f>IF($L195&lt;&gt;$IS$9,0,各项系数!$F$76/4*($MZ195^2-$MX195^2)*10^-2*各项系数!$F$12*10^-3*10^2)*$ES195*各项系数!$J$4</f>
        <v>0</v>
      </c>
      <c r="IT195" s="303">
        <v>1</v>
      </c>
      <c r="IU195" s="304">
        <f t="shared" si="860"/>
        <v>0</v>
      </c>
      <c r="IV195" s="285">
        <f>IU195*各项系数!$E$12</f>
        <v>0</v>
      </c>
      <c r="IW195" s="302">
        <f t="shared" si="861"/>
        <v>0.17469260321424368</v>
      </c>
      <c r="IX195" s="302">
        <f t="shared" si="862"/>
        <v>2.0089649369638023</v>
      </c>
      <c r="IY195" s="339">
        <f>各项系数!$F$76/4*($NB195^2-$MZ195^2*$EG195-$NA195^2*$EO195)*10^-2</f>
        <v>1.3071318464030228</v>
      </c>
      <c r="IZ195" s="284">
        <f t="shared" si="697"/>
        <v>1</v>
      </c>
      <c r="JA195" s="285">
        <f t="shared" si="606"/>
        <v>1.3071318464030228</v>
      </c>
      <c r="JB195" s="282">
        <f>IF($DE195&lt;&gt;$JB$9,0,$JA195*各项系数!$F$32*10^-3*10^2)*各项系数!$J$4</f>
        <v>0</v>
      </c>
      <c r="JC195" s="102">
        <v>1</v>
      </c>
      <c r="JD195" s="189">
        <f t="shared" si="863"/>
        <v>0</v>
      </c>
      <c r="JE195" s="262">
        <f>JD195*各项系数!$E$32</f>
        <v>0</v>
      </c>
      <c r="JF195" s="282">
        <f>IF($DE195&lt;&gt;$JF$9,0,$JA195*VLOOKUP($JF$9,各项系数!$D$4:$F$540,2,0)*10^-3*10^2)*各项系数!$J$4</f>
        <v>0.65029809358550383</v>
      </c>
      <c r="JG195" s="102">
        <v>1</v>
      </c>
      <c r="JH195" s="189">
        <f t="shared" si="607"/>
        <v>0.65029809358550383</v>
      </c>
      <c r="JI195" s="262">
        <f>JH195*VLOOKUP($JF$9,各项系数!$D$4:$F$540,3,0)</f>
        <v>0.78035771230260453</v>
      </c>
      <c r="JJ195" s="282">
        <f t="shared" si="864"/>
        <v>0.65029809358550383</v>
      </c>
      <c r="JK195" s="189">
        <f t="shared" si="865"/>
        <v>0.78035771230260453</v>
      </c>
      <c r="JL195" s="282">
        <f>IF($DF195&lt;&gt;$JL$9,0,各项系数!$F$76/4*($NE195^2-$NC195^2)*10^-2*各项系数!$F$39*10^-3*10^2)*各项系数!$J$4</f>
        <v>2.5279991830494744E-3</v>
      </c>
      <c r="JM195" s="102">
        <v>1</v>
      </c>
      <c r="JN195" s="189">
        <f t="shared" si="866"/>
        <v>2.5279991830494744E-3</v>
      </c>
      <c r="JO195" s="262">
        <f>JN195*各项系数!$E$39</f>
        <v>5.0559983660989488E-2</v>
      </c>
      <c r="JP195" s="282">
        <f>IF($DF195&lt;&gt;$JP$9,0,各项系数!$F$76/4*($NE195^2-$NC195^2)*10^-2*各项系数!$F$36*10^-3*10^2)*各项系数!$J$4</f>
        <v>0</v>
      </c>
      <c r="JQ195" s="102">
        <v>1</v>
      </c>
      <c r="JR195" s="189">
        <f t="shared" si="867"/>
        <v>0</v>
      </c>
      <c r="JS195" s="262">
        <f>JR195*各项系数!$E$36</f>
        <v>0</v>
      </c>
      <c r="JT195" s="282">
        <f>IF($DF195&lt;&gt;$JT$9,0,各项系数!$F$76/4*($NE195^2-$NC195^2)*10^-2*各项系数!$F$40*10^-3*10^2)*各项系数!$J$4</f>
        <v>0</v>
      </c>
      <c r="JU195" s="102">
        <v>1</v>
      </c>
      <c r="JV195" s="189">
        <f t="shared" si="868"/>
        <v>0</v>
      </c>
      <c r="JW195" s="262">
        <f>JV195*各项系数!$E$40</f>
        <v>0</v>
      </c>
      <c r="JX195" s="282">
        <f>IF($DF195&lt;&gt;$JX$9,0,各项系数!$F$76/4*($NE195^2-$NC195^2)*10^-2*各项系数!$F$38*10^-3*10^2)*各项系数!$J$4</f>
        <v>0</v>
      </c>
      <c r="JY195" s="102">
        <v>1</v>
      </c>
      <c r="JZ195" s="189">
        <f t="shared" si="869"/>
        <v>0</v>
      </c>
      <c r="KA195" s="262">
        <f>JZ195*各项系数!$E$38</f>
        <v>0</v>
      </c>
      <c r="KB195" s="282">
        <f>IF($DF195&lt;&gt;$KB$9,0,各项系数!$F$76/4*($NE195^2-$NC195^2)*10^-2*各项系数!$F$41*10^-3*10^2)*各项系数!$J$4</f>
        <v>0</v>
      </c>
      <c r="KC195" s="102">
        <v>1</v>
      </c>
      <c r="KD195" s="189">
        <f t="shared" si="870"/>
        <v>0</v>
      </c>
      <c r="KE195" s="262">
        <f>KD195*各项系数!$E$41</f>
        <v>0</v>
      </c>
      <c r="KF195" s="189">
        <f t="shared" si="871"/>
        <v>2.5279991830494744E-3</v>
      </c>
      <c r="KG195" s="189">
        <f t="shared" si="872"/>
        <v>5.0559983660989488E-2</v>
      </c>
      <c r="KH195" s="235">
        <f>各项系数!$F$76/4*($NG195^2-$NE195^2)*10^-2*各项系数!$F$44*10^-3*10^2*各项系数!$J$4*0.75*$U195</f>
        <v>1.0201276466610496</v>
      </c>
      <c r="KI195" s="102">
        <v>1</v>
      </c>
      <c r="KJ195" s="189">
        <f t="shared" si="873"/>
        <v>1.0201276466610496</v>
      </c>
      <c r="KK195" s="189">
        <f>ROUND(KJ195*各项系数!$E$43,GT195)</f>
        <v>6</v>
      </c>
      <c r="KL195" s="235">
        <f>各项系数!$F$76/4*($NF195^2-$NE195^2)*10^-2*各项系数!$F$46*10^-3*10^2*各项系数!$J$4*PI()/4*R195</f>
        <v>3.165886849922836E-2</v>
      </c>
      <c r="KM195" s="102">
        <v>1</v>
      </c>
      <c r="KN195" s="189">
        <f t="shared" si="874"/>
        <v>3.165886849922836E-2</v>
      </c>
      <c r="KO195" s="189">
        <f>KN195*各项系数!$E$46</f>
        <v>2.1369736236979144</v>
      </c>
      <c r="KP195" s="235">
        <f>各项系数!$F$76/4*($NH195^2-$NE195^2)*10^-2*(VLOOKUP($KP$9,各项系数!$D$1:$F$143,3,0))*10^-3*10^2*各项系数!$J$4</f>
        <v>0.19894437413122915</v>
      </c>
      <c r="KQ195" s="102">
        <v>1</v>
      </c>
      <c r="KR195" s="189">
        <f t="shared" si="657"/>
        <v>0.19894437413122915</v>
      </c>
      <c r="KS195" s="189">
        <f>KR195*(VLOOKUP($KP$9,各项系数!$D$1:$F$143,2,0))</f>
        <v>3.3820543602308955</v>
      </c>
      <c r="KT195" s="235">
        <f>各项系数!$F$76/4*($NI195^2-$NF195^2)*10^-2*(VLOOKUP($KT$9,各项系数!$D$1:$F$143,3,0))*10^-3*10^2*各项系数!$J$4</f>
        <v>0.20024974357790756</v>
      </c>
      <c r="KU195" s="102">
        <v>1</v>
      </c>
      <c r="KV195" s="189">
        <f t="shared" si="658"/>
        <v>0.20024974357790756</v>
      </c>
      <c r="KW195" s="189">
        <f>KV195*(VLOOKUP($KT$9,各项系数!$D$1:$F$143,2,0))</f>
        <v>3.4042456408244286</v>
      </c>
      <c r="KX195" s="189">
        <f>各项系数!$F$76/4*($NH195^2-$NE195^2)*10^-2*(VLOOKUP($KX$9,各项系数!$D$1:$F$143,3,0))*10^-3*10^2*各项系数!$J$4</f>
        <v>0.19894437413122915</v>
      </c>
      <c r="KY195" s="353">
        <v>1</v>
      </c>
      <c r="KZ195" s="189">
        <f t="shared" si="659"/>
        <v>0.19894437413122915</v>
      </c>
      <c r="LA195" s="189">
        <f>KZ195*(VLOOKUP($KX$9,各项系数!$D$1:$F$143,2,0))</f>
        <v>3.3820543602308955</v>
      </c>
      <c r="LB195" s="189">
        <f>各项系数!$F$76/4*($NI195^2-$NF195^2)*10^-2*(VLOOKUP($LB$9,各项系数!$D$1:$F$143,3,0))*10^-3*10^2*各项系数!$J$4</f>
        <v>0.20024974357790756</v>
      </c>
      <c r="LC195" s="353">
        <v>1</v>
      </c>
      <c r="LD195" s="189">
        <f t="shared" si="660"/>
        <v>0.20024974357790756</v>
      </c>
      <c r="LE195" s="189">
        <f>LD195*(VLOOKUP($LB$9,各项系数!$D$1:$F$143,2,0))</f>
        <v>3.4042456408244286</v>
      </c>
      <c r="LF195" s="235">
        <f>各项系数!$F$76/4*($NH195^2-$NE195^2)*10^-2*(VLOOKUP(AN195,各项系数!$D$1:$F$143,3,0))*10^-3*10^2*各项系数!$J$4</f>
        <v>0.20168843446407367</v>
      </c>
      <c r="LG195" s="102">
        <v>1</v>
      </c>
      <c r="LH195" s="189">
        <f t="shared" si="875"/>
        <v>0.20168843446407367</v>
      </c>
      <c r="LI195" s="189">
        <f>LH195*(VLOOKUP(AN195,各项系数!$D$1:$F$143,2,0))</f>
        <v>2.0168843446407365</v>
      </c>
      <c r="LJ195" s="235">
        <f>各项系数!$F$76/4*($NI195^2-$NF195^2)*10^-2*(VLOOKUP(AN195,各项系数!$D$1:$F$143,3,0))*10^-3*10^2*各项系数!$J$4</f>
        <v>0.20301180900656837</v>
      </c>
      <c r="LK195" s="102">
        <v>1</v>
      </c>
      <c r="LL195" s="189">
        <f t="shared" si="876"/>
        <v>0.20301180900656837</v>
      </c>
      <c r="LM195" s="189">
        <f>LL195*(VLOOKUP(AN195,各项系数!$D$1:$F$143,2,0))</f>
        <v>2.0301180900656837</v>
      </c>
      <c r="LN195" s="189">
        <f>各项系数!$F$76/4*($NH195^2-$NE195^2)*10^-2*(VLOOKUP($LN$9,各项系数!$D$1:$F$143,3,0))*10^-3*10^2*各项系数!$J$4</f>
        <v>0.20168843446407367</v>
      </c>
      <c r="LO195" s="353">
        <v>1</v>
      </c>
      <c r="LP195" s="189">
        <f t="shared" si="877"/>
        <v>0.20168843446407367</v>
      </c>
      <c r="LQ195" s="189">
        <f>LP195*(VLOOKUP($LN$9,各项系数!$D$1:$F$143,2,0))</f>
        <v>2.2185727791048104</v>
      </c>
      <c r="LR195" s="189">
        <f>各项系数!$F$76/4*($NI195^2-$NF195^2)*10^-2*(VLOOKUP($LR$9,各项系数!$D$1:$F$143,3,0))*10^-3*10^2*各项系数!$J$4</f>
        <v>0.20301180900656837</v>
      </c>
      <c r="LS195" s="353">
        <v>1</v>
      </c>
      <c r="LT195" s="189">
        <f t="shared" si="878"/>
        <v>0.20301180900656837</v>
      </c>
      <c r="LU195" s="189">
        <f>LT195*(VLOOKUP($LR$9,各项系数!$D$1:$F$143,2,0))</f>
        <v>2.2331298990722521</v>
      </c>
      <c r="LV195" s="227">
        <f t="shared" si="661"/>
        <v>56.032257829999999</v>
      </c>
      <c r="LW195" s="227">
        <f t="shared" si="662"/>
        <v>56.032257829999999</v>
      </c>
      <c r="LX195" s="227">
        <f t="shared" si="663"/>
        <v>8.4464481558790414</v>
      </c>
      <c r="LY195" s="227">
        <f t="shared" si="664"/>
        <v>0</v>
      </c>
      <c r="LZ195" s="374">
        <f t="shared" si="608"/>
        <v>1</v>
      </c>
      <c r="MA195" s="375">
        <f t="shared" si="609"/>
        <v>56.032257829999999</v>
      </c>
      <c r="MB195" s="375">
        <f t="shared" si="665"/>
        <v>1.7241240099999999</v>
      </c>
      <c r="MC195" s="227">
        <f t="shared" si="666"/>
        <v>0</v>
      </c>
      <c r="MD195" s="227">
        <f t="shared" si="667"/>
        <v>0</v>
      </c>
      <c r="ME195" s="227">
        <f t="shared" si="668"/>
        <v>0</v>
      </c>
      <c r="MF195" s="227">
        <f t="shared" si="669"/>
        <v>0</v>
      </c>
      <c r="MG195" s="374">
        <f t="shared" si="670"/>
        <v>1</v>
      </c>
      <c r="MH195" s="375">
        <f t="shared" si="610"/>
        <v>0</v>
      </c>
      <c r="MI195" s="375">
        <f t="shared" si="671"/>
        <v>0</v>
      </c>
      <c r="MJ195" s="189">
        <f t="shared" si="611"/>
        <v>1.7241240099999999</v>
      </c>
      <c r="MK195" s="189">
        <f t="shared" si="672"/>
        <v>1.7241240099999999</v>
      </c>
      <c r="ML195" s="189">
        <f t="shared" si="879"/>
        <v>0</v>
      </c>
      <c r="MM195" s="189">
        <f t="shared" si="612"/>
        <v>0</v>
      </c>
      <c r="MN195" s="189">
        <f t="shared" si="613"/>
        <v>3.1241240100000001</v>
      </c>
      <c r="MO195" s="189">
        <f t="shared" si="673"/>
        <v>0</v>
      </c>
      <c r="MP195" s="189">
        <f t="shared" si="674"/>
        <v>18.744744059999999</v>
      </c>
      <c r="MQ195" s="189">
        <f t="shared" si="880"/>
        <v>18.744744059999999</v>
      </c>
      <c r="MR195" s="246">
        <f t="shared" si="675"/>
        <v>18.744744059999999</v>
      </c>
      <c r="MS195" s="380">
        <f t="shared" si="614"/>
        <v>18.920744059999997</v>
      </c>
      <c r="MT195" s="380">
        <f t="shared" si="615"/>
        <v>19.080744059999997</v>
      </c>
      <c r="MU195" s="380">
        <f t="shared" si="616"/>
        <v>20.120744059999996</v>
      </c>
      <c r="MV195" s="380">
        <f t="shared" si="617"/>
        <v>22.520744059999998</v>
      </c>
      <c r="MW195" s="380">
        <f t="shared" si="618"/>
        <v>22.680744059999999</v>
      </c>
      <c r="MX195" s="254">
        <f t="shared" si="619"/>
        <v>2.3241240100000002</v>
      </c>
      <c r="MY195" s="254">
        <f t="shared" si="620"/>
        <v>0</v>
      </c>
      <c r="MZ195" s="189">
        <f t="shared" si="621"/>
        <v>3.7241240100000002</v>
      </c>
      <c r="NA195" s="189">
        <f t="shared" si="622"/>
        <v>0</v>
      </c>
      <c r="NB195" s="189">
        <f t="shared" si="676"/>
        <v>22.34474406</v>
      </c>
      <c r="NC195" s="254">
        <f t="shared" si="881"/>
        <v>22.34474406</v>
      </c>
      <c r="ND195" s="246">
        <f t="shared" si="677"/>
        <v>22.34474406</v>
      </c>
      <c r="NE195" s="386">
        <f t="shared" si="678"/>
        <v>22.584744059999998</v>
      </c>
      <c r="NF195" s="380">
        <f t="shared" si="623"/>
        <v>22.744744059999999</v>
      </c>
      <c r="NG195" s="387">
        <f t="shared" si="624"/>
        <v>23.784744059999998</v>
      </c>
      <c r="NH195" s="254">
        <f t="shared" si="625"/>
        <v>26.18474406</v>
      </c>
      <c r="NI195" s="380">
        <f t="shared" si="626"/>
        <v>26.34474406</v>
      </c>
      <c r="NK195" s="388">
        <f t="shared" si="627"/>
        <v>0.92201353562741273</v>
      </c>
      <c r="NL195" s="388">
        <f t="shared" si="628"/>
        <v>36.184033783636018</v>
      </c>
      <c r="NM195" s="388">
        <f t="shared" si="629"/>
        <v>0.92201353562741273</v>
      </c>
      <c r="NN195" s="388">
        <f t="shared" si="630"/>
        <v>36.35541694107696</v>
      </c>
      <c r="NO195" s="388">
        <f t="shared" si="631"/>
        <v>1.5931767921255968</v>
      </c>
      <c r="NP195" s="388">
        <f t="shared" si="632"/>
        <v>39.029272049149924</v>
      </c>
      <c r="NQ195" s="388">
        <f t="shared" si="633"/>
        <v>1.5931767921255968</v>
      </c>
      <c r="NR195" s="388">
        <f t="shared" si="634"/>
        <v>39.230960483613991</v>
      </c>
      <c r="NS195" s="388">
        <f t="shared" si="635"/>
        <v>0.94855440703503069</v>
      </c>
      <c r="NT195" s="388">
        <f t="shared" si="636"/>
        <v>0.94855440703503069</v>
      </c>
      <c r="NU195" s="388">
        <f t="shared" si="637"/>
        <v>1.6248356606248251</v>
      </c>
      <c r="NV195" s="388">
        <f t="shared" si="638"/>
        <v>1.6248356606248251</v>
      </c>
      <c r="NW195">
        <f t="shared" si="639"/>
        <v>1.2083174753713777</v>
      </c>
      <c r="NX195">
        <f>各项系数!$M$9*NK195</f>
        <v>0.2766040606882238</v>
      </c>
      <c r="NY195">
        <f t="shared" si="640"/>
        <v>0.9485544070350308</v>
      </c>
    </row>
    <row r="196" spans="1:389" ht="15" hidden="1" customHeight="1">
      <c r="A196" s="69"/>
      <c r="B196" s="70"/>
      <c r="C196" s="69"/>
      <c r="D196" s="102" t="s">
        <v>942</v>
      </c>
      <c r="E196" s="61">
        <f t="shared" si="829"/>
        <v>22.989362660000001</v>
      </c>
      <c r="F196" s="62">
        <f t="shared" si="820"/>
        <v>172.412400708262</v>
      </c>
      <c r="G196" s="16"/>
      <c r="H196" s="16"/>
      <c r="I196" s="145">
        <v>0</v>
      </c>
      <c r="J196" s="16"/>
      <c r="K196" s="16"/>
      <c r="L196" s="97" t="s">
        <v>469</v>
      </c>
      <c r="M196" s="103">
        <f t="shared" si="582"/>
        <v>0.7</v>
      </c>
      <c r="N196" s="103">
        <f t="shared" si="804"/>
        <v>0</v>
      </c>
      <c r="O196" s="53">
        <f t="shared" si="825"/>
        <v>0.08</v>
      </c>
      <c r="P196" s="99">
        <v>0.1</v>
      </c>
      <c r="Q196" s="133">
        <f t="shared" si="882"/>
        <v>0.1</v>
      </c>
      <c r="R196" s="406">
        <v>0.8</v>
      </c>
      <c r="S196" s="142" t="str">
        <f>各项系数!$D$43</f>
        <v>钢带</v>
      </c>
      <c r="T196" s="102">
        <v>0.2</v>
      </c>
      <c r="U196" s="62">
        <v>4</v>
      </c>
      <c r="V196" s="143"/>
      <c r="W196" s="141">
        <f t="shared" si="828"/>
        <v>1.8</v>
      </c>
      <c r="X196" s="135">
        <f t="shared" si="883"/>
        <v>0.2</v>
      </c>
      <c r="Y196" s="135"/>
      <c r="Z196" s="168"/>
      <c r="AA196" s="153">
        <v>1</v>
      </c>
      <c r="AB196" s="153">
        <f>PI()*EJ196*EJ196/4*EH196*(1-H196)*AA196*各项系数!$F$5*各项系数!$J$4*10^-7</f>
        <v>2.0651505688902914E-2</v>
      </c>
      <c r="AC196" s="153">
        <f t="shared" si="830"/>
        <v>172.412400708262</v>
      </c>
      <c r="AD196" s="153">
        <f t="shared" si="584"/>
        <v>2.3346774015073031</v>
      </c>
      <c r="AE196" s="153">
        <f>POWER(4*EU196/PI()/EG196/10^-7/EH196/(1-H196)/各项系数!$F$5/各项系数!$J$4,0.5)</f>
        <v>172.41240070826203</v>
      </c>
      <c r="AF196" s="69">
        <v>1</v>
      </c>
      <c r="AG196" s="69">
        <f>IF(EM196=0,0,PI()*ER196*ER196/4*EP196*(1-K196)*(1+AF196)*各项系数!$F$5*各项系数!$J$4*10^-7)</f>
        <v>0</v>
      </c>
      <c r="AH196" s="69">
        <f t="shared" si="831"/>
        <v>0</v>
      </c>
      <c r="AI196" s="69">
        <f t="shared" si="641"/>
        <v>0</v>
      </c>
      <c r="AJ196" s="69">
        <f>IF(OR(EP196="",EP196=0),0,POWER(4*EW196/PI()/EO196/10^-7/EP196/(1-K196)/各项系数!$F$5/各项系数!$J$4,0.5))</f>
        <v>0</v>
      </c>
      <c r="AK196" s="69" t="str">
        <f t="shared" si="585"/>
        <v>√</v>
      </c>
      <c r="AL196" s="69">
        <f t="shared" si="832"/>
        <v>41.846618115558776</v>
      </c>
      <c r="AM196" s="188">
        <f t="shared" si="833"/>
        <v>2.5</v>
      </c>
      <c r="AN196" s="97" t="s">
        <v>486</v>
      </c>
      <c r="AO196" s="196">
        <f>AP196+各项系数!$M$9*$NK196</f>
        <v>41.026096191724292</v>
      </c>
      <c r="AP196" s="196">
        <f>AQ196*(1+$BI196+(VLOOKUP($AM196,$A$12:$B$323,2,0))+各项系数!$J$6+各项系数!$M$5)*(1+$E$2)</f>
        <v>40.727686667310309</v>
      </c>
      <c r="AQ196" s="197">
        <f>AR196+各项系数!$L$9*$NK196</f>
        <v>41.558863946235007</v>
      </c>
      <c r="AR196" s="197">
        <f>AS196*(1+$BJ196+各项系数!$J$5+各项系数!$L$5)</f>
        <v>41.260454421821024</v>
      </c>
      <c r="AS196" s="197">
        <f t="shared" si="642"/>
        <v>40.451425903746099</v>
      </c>
      <c r="AT196" s="196">
        <f>AU196+各项系数!$M$9*$NM196</f>
        <v>42.211899563239214</v>
      </c>
      <c r="AU196" s="196">
        <f>AV196*(1+$BI196+(VLOOKUP($AM196,$A$12:$B$323,2,0))+各项系数!$J$6+各项系数!$M$5)*(1+$E$2)</f>
        <v>41.91349003882523</v>
      </c>
      <c r="AV196" s="197">
        <f>AW196+各项系数!$L$9*$NM196</f>
        <v>42.768867386556359</v>
      </c>
      <c r="AW196" s="197">
        <f>AX196*(1+$BJ196+各项系数!$J$5+各项系数!$L$5)</f>
        <v>42.470457862142375</v>
      </c>
      <c r="AX196" s="197">
        <f t="shared" si="643"/>
        <v>41.637703786414093</v>
      </c>
      <c r="AY196" s="196">
        <f>AZ196+各项系数!$M$9*$NS196</f>
        <v>42.890437574163258</v>
      </c>
      <c r="AZ196" s="196">
        <f>BA196*(1+$BI196+(VLOOKUP($AM196,$A$12:$B$214,2,0))+各项系数!$J$6+各项系数!$M$5)*(1+$E$2)</f>
        <v>42.583869413711938</v>
      </c>
      <c r="BA196" s="197">
        <f>BB196+各项系数!$L$9*$NS196</f>
        <v>43.452927973175449</v>
      </c>
      <c r="BB196" s="197">
        <f>BC196*(1+$BJ196+各项系数!$J$5+各项系数!$L$5)</f>
        <v>43.146359812724128</v>
      </c>
      <c r="BC196" s="199">
        <f t="shared" si="644"/>
        <v>42.300352757572675</v>
      </c>
      <c r="BD196" s="196">
        <f>BE196+各项系数!$M$9*$NS196</f>
        <v>44.085194897832707</v>
      </c>
      <c r="BE196" s="196">
        <f>BF196*(1+$BI196+(VLOOKUP($AM196,$A$12:$B$214,2,0))+各项系数!$J$6+各项系数!$M$5)*(1+$E$2)</f>
        <v>43.778626737381387</v>
      </c>
      <c r="BF196" s="197">
        <f>BG196+各项系数!$L$9*$NS196</f>
        <v>44.672068099368765</v>
      </c>
      <c r="BG196" s="197">
        <f>BH196*(1+$BJ196+各项系数!$J$5+各项系数!$L$5)</f>
        <v>44.365499938917445</v>
      </c>
      <c r="BH196" s="199">
        <f t="shared" si="645"/>
        <v>43.49558817540926</v>
      </c>
      <c r="BI196" s="213"/>
      <c r="BJ196" s="208">
        <f t="shared" si="822"/>
        <v>0</v>
      </c>
      <c r="BK196" s="102" t="s">
        <v>514</v>
      </c>
      <c r="BL196" s="196">
        <f>BM196+各项系数!$M$9*$NM196</f>
        <v>41.599426746013634</v>
      </c>
      <c r="BM196" s="196">
        <f>BN196*(1+$CF196+(VLOOKUP($AM196,$A$12:$B$323,2,0))+各项系数!$J$6+各项系数!$M$5)*(1+$E$2)</f>
        <v>41.30101722159965</v>
      </c>
      <c r="BN196" s="197">
        <f>BO196+各项系数!$L$9*$NM196</f>
        <v>42.143895124081276</v>
      </c>
      <c r="BO196" s="197">
        <f>BP196*(1+$CG196+各项系数!$J$5+各项系数!$L$5)</f>
        <v>41.845485599667292</v>
      </c>
      <c r="BP196" s="197">
        <f t="shared" si="646"/>
        <v>40.626685048220672</v>
      </c>
      <c r="BQ196" s="196">
        <f>BR196+各项系数!$M$9*$NM196</f>
        <v>42.619949060346073</v>
      </c>
      <c r="BR196" s="196">
        <f>BS196*(1+$CF196+(VLOOKUP($AM196,$A$12:$B$323,2,0))+各项系数!$J$6+各项系数!$M$5)*(1+$E$2)</f>
        <v>42.321539535932089</v>
      </c>
      <c r="BS196" s="197">
        <f>BT196+各项系数!$L$9*$NM196</f>
        <v>43.185244424420503</v>
      </c>
      <c r="BT196" s="197">
        <f>BU196*(1+$CG196+各项系数!$J$5+各项系数!$L$5)</f>
        <v>42.886834900006519</v>
      </c>
      <c r="BU196" s="197">
        <f t="shared" si="647"/>
        <v>41.637703786414093</v>
      </c>
      <c r="BV196" s="196">
        <f>BW196+各项系数!$M$9*$NT196</f>
        <v>43.190884763732875</v>
      </c>
      <c r="BW196" s="196">
        <f>BX196*(1+$CF196+(VLOOKUP($AM196,$A$12:$B$214,2,0))+各项系数!$J$6+各项系数!$M$5)*(1+$E$2)</f>
        <v>42.884316603281555</v>
      </c>
      <c r="BX196" s="197">
        <f>BY196+各项系数!$L$9*$NT$12</f>
        <v>43.759506738042404</v>
      </c>
      <c r="BY196" s="197">
        <f>BZ196*(1+$CG196+各项系数!$J$5+各项系数!$L$5)</f>
        <v>43.751243334887434</v>
      </c>
      <c r="BZ196" s="199">
        <f t="shared" si="586"/>
        <v>42.476935276589742</v>
      </c>
      <c r="CA196" s="196">
        <f>CB196+各项系数!$M$9*$NT196</f>
        <v>44.219112999801297</v>
      </c>
      <c r="CB196" s="196">
        <f>CC196*(1+$CF196+(VLOOKUP($AM196,$A$12:$B$214,2,0))+各项系数!$J$6+各项系数!$M$5)*(1+$E$2)</f>
        <v>43.912544839349977</v>
      </c>
      <c r="CC196" s="197">
        <f>CD196+各项系数!$L$9*$NT$12</f>
        <v>44.808719223826508</v>
      </c>
      <c r="CD196" s="197">
        <f>CE196*(1+$CG196+各项系数!$J$5+各项系数!$L$5)</f>
        <v>44.800455820671537</v>
      </c>
      <c r="CE196" s="199">
        <f t="shared" si="648"/>
        <v>43.49558817540926</v>
      </c>
      <c r="CF196" s="213">
        <f t="shared" si="884"/>
        <v>0</v>
      </c>
      <c r="CG196" s="213">
        <f t="shared" si="587"/>
        <v>0.01</v>
      </c>
      <c r="CH196" s="102"/>
      <c r="CI196" s="196">
        <f>CJ196+各项系数!$M$9*$NO196</f>
        <v>44.769915785232719</v>
      </c>
      <c r="CJ196" s="196">
        <f>CK196*(1+$DC196+(VLOOKUP($AM196,$A$12:$B$323,2,0))+各项系数!$J$6+各项系数!$M$5)*(1+$E$2)+各项系数!$M$9*$NK196</f>
        <v>44.282001088592729</v>
      </c>
      <c r="CK196" s="197">
        <f>CL196+各项系数!$L$9*$NO196</f>
        <v>44.881215881815045</v>
      </c>
      <c r="CL196" s="197">
        <f>CM196*(1+$DD196+各项系数!$J$5+各项系数!$L$5)</f>
        <v>44.393301185175055</v>
      </c>
      <c r="CM196" s="197">
        <f t="shared" si="588"/>
        <v>43.522844299191227</v>
      </c>
      <c r="CN196" s="196">
        <f>CO196+各项系数!$M$9*$NO196</f>
        <v>45.645346603415639</v>
      </c>
      <c r="CO196" s="196">
        <f>CP196*(1+$DC196+(VLOOKUP($AM196,$A$12:$B$323,2,0))+各项系数!$J$6+各项系数!$M$5)*(1+$E$2)+各项系数!$M$9*$NK196</f>
        <v>45.157431906775649</v>
      </c>
      <c r="CP196" s="197">
        <f>CQ196+各项系数!$L$9*$NO196</f>
        <v>45.774512635062926</v>
      </c>
      <c r="CQ196" s="197">
        <f>CR196*(1+$DD196+各项系数!$J$5+各项系数!$L$5)</f>
        <v>45.286597938422936</v>
      </c>
      <c r="CR196" s="197">
        <f t="shared" si="589"/>
        <v>44.39862542982641</v>
      </c>
      <c r="CS196" s="196">
        <f>CT196+各项系数!$M$9*$NU196</f>
        <v>46.692771393793201</v>
      </c>
      <c r="CT196" s="196">
        <f t="shared" si="590"/>
        <v>46.195124947490172</v>
      </c>
      <c r="CU196" s="197">
        <f>CV196+各项系数!$L$9*$NU196</f>
        <v>47.137882599479767</v>
      </c>
      <c r="CV196" s="197">
        <f>CW196*(1+$DD196+各项系数!$J$5+各项系数!$L$5)</f>
        <v>46.640236153176737</v>
      </c>
      <c r="CW196" s="199">
        <f t="shared" si="591"/>
        <v>45.72572171880072</v>
      </c>
      <c r="CX196" s="196">
        <f>CY196+各项系数!$M$9*$NU196</f>
        <v>48.09761081988804</v>
      </c>
      <c r="CY196" s="196">
        <f t="shared" si="592"/>
        <v>47.59996437358501</v>
      </c>
      <c r="CZ196" s="197">
        <f>DA196+各项系数!$L$9*$NU196</f>
        <v>48.571392217943888</v>
      </c>
      <c r="DA196" s="197">
        <f>DB196*(1+$DD196+各项系数!$J$5+各项系数!$L$5)</f>
        <v>48.073745771640858</v>
      </c>
      <c r="DB196" s="199">
        <f t="shared" si="593"/>
        <v>47.131123305530252</v>
      </c>
      <c r="DC196" s="213">
        <f t="shared" si="827"/>
        <v>0</v>
      </c>
      <c r="DD196" s="213">
        <f t="shared" si="594"/>
        <v>0</v>
      </c>
      <c r="DE196" s="53" t="s">
        <v>498</v>
      </c>
      <c r="DF196" s="53" t="s">
        <v>513</v>
      </c>
      <c r="DG196" s="196">
        <f>DH196+各项系数!$M$9*$NQ196</f>
        <v>45.404687781947615</v>
      </c>
      <c r="DH196" s="196">
        <f>DI196*(1+$EA196+(VLOOKUP($AM196,$A$12:$B$323,2,0))+各项系数!$J$6+各项系数!$M$5)*(1+$E$2)+各项系数!$M$9*$NK196</f>
        <v>44.916773085307625</v>
      </c>
      <c r="DI196" s="197">
        <f>DJ196+各项系数!$L$9*$NQ196</f>
        <v>45.528942409075142</v>
      </c>
      <c r="DJ196" s="197">
        <f>DK196*(1+$EB196+各项系数!$J$5+各项系数!$L$5)</f>
        <v>45.041027712435152</v>
      </c>
      <c r="DK196" s="197">
        <f t="shared" si="595"/>
        <v>43.729153118869078</v>
      </c>
      <c r="DL196" s="196">
        <f>DM196+各项系数!$M$9*$NQ196</f>
        <v>46.606010285010406</v>
      </c>
      <c r="DM196" s="196">
        <f>DN196*(1+$EA196+(VLOOKUP($AM196,$A$12:$B$323,2,0))+各项系数!$J$6+各项系数!$M$5)*(1+$E$2)+各项系数!$M$9*$NK196</f>
        <v>46.118095588370416</v>
      </c>
      <c r="DN196" s="197">
        <f>DO196+各项系数!$L$9*$NQ196</f>
        <v>46.75478169791473</v>
      </c>
      <c r="DO196" s="197">
        <f>DP196*(1+$EB196+各项系数!$J$5+各项系数!$L$5)</f>
        <v>46.26686700127474</v>
      </c>
      <c r="DP196" s="197">
        <f t="shared" si="596"/>
        <v>44.919288350752176</v>
      </c>
      <c r="DQ196" s="196">
        <f>DR196+各项系数!$M$9*$NV196</f>
        <v>47.350467403483464</v>
      </c>
      <c r="DR196" s="196">
        <f t="shared" si="597"/>
        <v>46.852820957180434</v>
      </c>
      <c r="DS196" s="197">
        <f>DT196+各项系数!$L$9*$NV196</f>
        <v>47.809000976714728</v>
      </c>
      <c r="DT196" s="197">
        <f>DU196*(1+$EB196+各项系数!$J$5+各项系数!$L$5)</f>
        <v>47.311354530411698</v>
      </c>
      <c r="DU196" s="199">
        <f t="shared" si="598"/>
        <v>45.933353913021065</v>
      </c>
      <c r="DV196" s="196">
        <f>DW196+各项系数!$M$9*$NV196</f>
        <v>46.27816546998956</v>
      </c>
      <c r="DW196" s="196">
        <f t="shared" si="599"/>
        <v>45.78051902368653</v>
      </c>
      <c r="DX196" s="197">
        <f>DY196+各项系数!$L$9*$NV196</f>
        <v>46.714815330292382</v>
      </c>
      <c r="DY196" s="197">
        <f>DZ196*(1+$EB196+各项系数!$J$5+各项系数!$L$5)</f>
        <v>46.217168883989352</v>
      </c>
      <c r="DZ196" s="199">
        <f t="shared" si="600"/>
        <v>44.871037751445975</v>
      </c>
      <c r="EA196" s="213">
        <f t="shared" si="826"/>
        <v>0</v>
      </c>
      <c r="EB196" s="213">
        <f t="shared" si="601"/>
        <v>0.01</v>
      </c>
      <c r="EC196" s="235">
        <f t="shared" si="649"/>
        <v>27</v>
      </c>
      <c r="ED196" s="235" t="str">
        <f t="shared" si="834"/>
        <v>27*2.5</v>
      </c>
      <c r="EE196" s="189">
        <f t="shared" si="835"/>
        <v>2.5</v>
      </c>
      <c r="EF196" s="189">
        <f>LOOKUP(EH196,{1,7,10,14,19,24,30,37,48,61},{1,"1+6","2+8","4+10","1+6+12","2+8+14","4+10+16","1+6+12+18","3+9+15+21","1+6+12+18+24"})</f>
        <v>1</v>
      </c>
      <c r="EG196" s="188">
        <f t="shared" si="602"/>
        <v>27</v>
      </c>
      <c r="EH196" s="197">
        <f>VLOOKUP(EE196,各项系数!$B$87:$C$124,2,0)</f>
        <v>1</v>
      </c>
      <c r="EI196" s="188">
        <f>IF(EH196=0,0,VLOOKUP(EH196,各项系数!$D$142:$E$195,2,0))*1</f>
        <v>1</v>
      </c>
      <c r="EJ196" s="238">
        <f t="shared" si="650"/>
        <v>172.412400708262</v>
      </c>
      <c r="EK196" s="189">
        <f t="shared" si="836"/>
        <v>0</v>
      </c>
      <c r="EL196" s="189">
        <f t="shared" si="603"/>
        <v>0</v>
      </c>
      <c r="EM196" s="189">
        <f t="shared" si="837"/>
        <v>0</v>
      </c>
      <c r="EN196" s="189">
        <f>IF(EP196=0,0,LOOKUP(EP196,{1,7,10,14,19,24,30,37,48,61},{1,"1+6","2+8","4+10","1+6+12","2+8+14","4+10+16","1+6+12+18","3+9+15+21","1+6+12+18+24"}))</f>
        <v>0</v>
      </c>
      <c r="EO196" s="189">
        <f t="shared" si="838"/>
        <v>0</v>
      </c>
      <c r="EP196" s="189">
        <f>IF(EM196=0,0,IF(EM196&lt;10,1,IF(AND(EM196&gt;=10,EM196&lt;=35),7,LOOKUP(EM196,{50,70,95,120,150,185,240,300},{10,14,19,24,30,37,48,61})*1)))</f>
        <v>0</v>
      </c>
      <c r="EQ196" s="189">
        <f>IF(EP196=0,0,VLOOKUP(EP196,各项系数!$D$142:$E$195,2,0))*1</f>
        <v>0</v>
      </c>
      <c r="ER196" s="53">
        <f t="shared" si="839"/>
        <v>0</v>
      </c>
      <c r="ES196" s="412">
        <f t="shared" si="840"/>
        <v>27</v>
      </c>
      <c r="ET196" s="189">
        <f>VLOOKUP(ES196,各项系数!$D$142:$E$195,2,0)*1</f>
        <v>6.15</v>
      </c>
      <c r="EU196" s="243">
        <f>((各项系数!$F$76/4*$EJ196^2*$EG196*$EH196*1*10^-7)*(1-$H196)*AA196)*(VLOOKUP($EY$9,各项系数!$D$4:$F$143,3,0))*各项系数!$J$4</f>
        <v>0.55759065360037885</v>
      </c>
      <c r="EV196" s="244">
        <f>EU196*(VLOOKUP($EY$9,各项系数!$D$4:$F$143,2,0))</f>
        <v>36.522187810824818</v>
      </c>
      <c r="EW196" s="252">
        <f>(IF($EO196=0,0,(各项系数!$F$76/4*$ER196^2*$EO196*$EP196*1*10^-7))*(1-$K196)*$AF196)*(VLOOKUP($EY$9,各项系数!$D$4:$F$143,3,0))*各项系数!$J$4</f>
        <v>0</v>
      </c>
      <c r="EX196" s="253">
        <f>EW196*(VLOOKUP($EY$9,各项系数!$D$4:$F$143,2,0))</f>
        <v>0</v>
      </c>
      <c r="EY196" s="189">
        <f>((各项系数!$F$76/4*$EJ196^2*$EG196*$EH196*1*10^-7)*(1-$H196)*AA196+IF($EO196=0,0,(各项系数!$F$76/4*$ER196^2*$EO196*$EP196*1*10^-7))*(1-$K196)*$AF196)*(VLOOKUP($EY$9,各项系数!$D$4:$F$143,3,0))*各项系数!$J$4</f>
        <v>0.55759065360037885</v>
      </c>
      <c r="EZ196" s="102">
        <v>1</v>
      </c>
      <c r="FA196" s="189">
        <f t="shared" si="841"/>
        <v>0.55759065360037885</v>
      </c>
      <c r="FB196" s="254">
        <f>FA196*(VLOOKUP($EY$9,各项系数!$D$4:$F$143,2,0))</f>
        <v>36.522187810824818</v>
      </c>
      <c r="FC196" s="255"/>
      <c r="FD196" s="235">
        <f>各项系数!$F$76/4*($MN196^2-MK196^2)*10^-2*(VLOOKUP(L196,各项系数!$D$1:$F$143,3,0))*10^-3*10^2*$EG196*各项系数!$J$4</f>
        <v>0.15753689298894943</v>
      </c>
      <c r="FE196" s="262">
        <f>FD196*VLOOKUP(L196,各项系数!$D$1:$F$143,2,0)</f>
        <v>1.8116742693729184</v>
      </c>
      <c r="FF196" s="188">
        <f>各项系数!$F$76/4*($MO196^2-ML196^2)*10^-2*(VLOOKUP(L196,各项系数!$D$1:$F$143,3,0))*10^-3*10^2*$EO196*各项系数!$J$4</f>
        <v>0</v>
      </c>
      <c r="FG196" s="262">
        <f>FF196*VLOOKUP(L196,各项系数!$D$1:$F$143,2,0)</f>
        <v>0</v>
      </c>
      <c r="FH196" s="235">
        <f t="shared" si="651"/>
        <v>0.15753689298894943</v>
      </c>
      <c r="FI196" s="102">
        <v>1</v>
      </c>
      <c r="FJ196" s="189">
        <f t="shared" si="842"/>
        <v>0.15753689298894943</v>
      </c>
      <c r="FK196" s="262">
        <f>FJ196*VLOOKUP(L196,各项系数!$D$1:$F$143,2,0)</f>
        <v>1.8116742693729184</v>
      </c>
      <c r="FL196" s="235"/>
      <c r="FM196" s="102"/>
      <c r="FN196" s="189"/>
      <c r="FO196" s="262"/>
      <c r="FP196" s="282">
        <f t="shared" si="843"/>
        <v>0.15753689298894943</v>
      </c>
      <c r="FQ196" s="282">
        <f t="shared" si="844"/>
        <v>1.8116742693729184</v>
      </c>
      <c r="FR196" s="283">
        <f>各项系数!$F$76/4*($MQ196^2-$MN196^2*$EG196-$MO196^2*$EO196)*10^-2</f>
        <v>0.82961005048326986</v>
      </c>
      <c r="FS196" s="284">
        <f t="shared" si="652"/>
        <v>1</v>
      </c>
      <c r="FT196" s="285">
        <f t="shared" si="604"/>
        <v>0.82961005048326986</v>
      </c>
      <c r="FU196" s="302">
        <f>$FT196*(VLOOKUP($FT$9,各项系数!$D$1:$F$143,3,0))*10^-3*10^2*各项系数!$J$55</f>
        <v>9.9055440027702418E-2</v>
      </c>
      <c r="FV196" s="303">
        <v>1</v>
      </c>
      <c r="FW196" s="304">
        <f t="shared" si="845"/>
        <v>9.9055440027702418E-2</v>
      </c>
      <c r="FX196" s="285">
        <f>FW196*(VLOOKUP($FT$9,各项系数!$D$1:$F$143,2,0))</f>
        <v>0.29716632008310728</v>
      </c>
      <c r="FY196" s="302">
        <f>IF($BK196&lt;&gt;$FY$9,0,各项系数!$F$76/4*($MS196^2-$MQ196^2)*10^-2*(VLOOKUP($FY$9,各项系数!$D$1:$F$143,3,0))*10^-3*10^2)*各项系数!$J$4</f>
        <v>0</v>
      </c>
      <c r="FZ196" s="303">
        <v>1</v>
      </c>
      <c r="GA196" s="304">
        <f t="shared" si="846"/>
        <v>0</v>
      </c>
      <c r="GB196" s="285">
        <f>GA196*(VLOOKUP($FY$9,各项系数!$D$1:$F$143,2,0))</f>
        <v>0</v>
      </c>
      <c r="GC196" s="302">
        <f>IF($BK196&lt;&gt;$GC$9,0,各项系数!$F$76/4*($MS196^2-$MQ196^2)*10^-2*(VLOOKUP($GC$9,各项系数!$D$1:$F$143,3,0))*10^-3*10^2)*各项系数!$J$4</f>
        <v>5.256283621673092E-3</v>
      </c>
      <c r="GD196" s="303">
        <v>1</v>
      </c>
      <c r="GE196" s="304">
        <f t="shared" si="847"/>
        <v>5.256283621673092E-3</v>
      </c>
      <c r="GF196" s="285">
        <f>GE196*(VLOOKUP($GC$9,各项系数!$D$1:$F$143,2,0))</f>
        <v>6.7806058719582882E-2</v>
      </c>
      <c r="GG196" s="302">
        <f>IF($BK196&lt;&gt;$GG$9,0,各项系数!$F$76/4*($MS196^2-$MQ196^2)*10^-2*(VLOOKUP($GG$9,各项系数!$D$1:$F$143,3,0))*10^-3*10^2)*各项系数!$J$4</f>
        <v>0</v>
      </c>
      <c r="GH196" s="303">
        <v>1</v>
      </c>
      <c r="GI196" s="304">
        <f t="shared" si="848"/>
        <v>0</v>
      </c>
      <c r="GJ196" s="285">
        <f>GI196*(VLOOKUP($GG$9,各项系数!$D$1:$F$143,2,0))</f>
        <v>0</v>
      </c>
      <c r="GK196" s="302">
        <f>IF($BK196&lt;&gt;$GK$9,0,各项系数!$F$76/4*($MS196^2-$MQ196^2)*10^-2*(VLOOKUP($GK$9,各项系数!$D$1:$F$143,3,0))*10^-3*10^2)*各项系数!$J$4</f>
        <v>0</v>
      </c>
      <c r="GL196" s="303">
        <v>1</v>
      </c>
      <c r="GM196" s="304">
        <f t="shared" si="849"/>
        <v>0</v>
      </c>
      <c r="GN196" s="285">
        <f>GM196*(VLOOKUP($GK$9,各项系数!$D$1:$F$143,2,0))</f>
        <v>0</v>
      </c>
      <c r="GO196" s="304">
        <f t="shared" si="850"/>
        <v>5.256283621673092E-3</v>
      </c>
      <c r="GP196" s="304">
        <f t="shared" si="851"/>
        <v>6.7806058719582882E-2</v>
      </c>
      <c r="GQ196" s="315">
        <f>各项系数!$F$76/4*($MU196^2-$MS196^2)*10^-2*(VLOOKUP($S196,各项系数!$D$1:$F$143,3,0))*10^-3*10^2*各项系数!$J$4</f>
        <v>0.29317700518680445</v>
      </c>
      <c r="GR196" s="303">
        <v>1</v>
      </c>
      <c r="GS196" s="304">
        <f t="shared" si="852"/>
        <v>0.29317700518680445</v>
      </c>
      <c r="GT196" s="304">
        <f t="shared" si="696"/>
        <v>0</v>
      </c>
      <c r="GU196" s="304">
        <f>ROUND($GS196*(VLOOKUP($S196,各项系数!$D$1:$F$143,2,0))+$E$3*GS196,GT196)</f>
        <v>2</v>
      </c>
      <c r="GV196" s="315">
        <f>各项系数!$F$76/4*($MT196^2-$MS196^2)*10^-2*(VLOOKUP($GV$9,各项系数!$D$1:$F$143,3,0))*10^-3*10^2*各项系数!$J$4*PI()/4*R196</f>
        <v>2.7195453457801944E-2</v>
      </c>
      <c r="GW196" s="303">
        <v>1</v>
      </c>
      <c r="GX196" s="304">
        <f t="shared" si="853"/>
        <v>2.7195453457801944E-2</v>
      </c>
      <c r="GY196" s="304">
        <f>$GX196*(VLOOKUP($GV$9,各项系数!$D$1:$F$143,2,0))</f>
        <v>1.8356931084016312</v>
      </c>
      <c r="GZ196" s="315">
        <f>各项系数!$F$76/4*($MV196^2-$MS196^2)*10^-2*(VLOOKUP($GZ$9,各项系数!$D$1:$F$143,3,0))*10^-3*10^2*各项系数!$J$4</f>
        <v>0.1728746663184513</v>
      </c>
      <c r="HA196" s="303">
        <v>1</v>
      </c>
      <c r="HB196" s="304">
        <f t="shared" si="653"/>
        <v>0.1728746663184513</v>
      </c>
      <c r="HC196" s="304">
        <f>HB196*(VLOOKUP($GZ$9,各项系数!$D$1:$F$143,2,0))</f>
        <v>2.9388693274136721</v>
      </c>
      <c r="HD196" s="315">
        <f>各项系数!$F$76/4*($MW196^2-$MT196^2)*10^-2*(VLOOKUP($HD$9,各项系数!$D$1:$F$143,3,0))*10^-3*10^2*各项系数!$J$4</f>
        <v>0.17418003576512975</v>
      </c>
      <c r="HE196" s="303">
        <v>1</v>
      </c>
      <c r="HF196" s="304">
        <f t="shared" si="654"/>
        <v>0.17418003576512975</v>
      </c>
      <c r="HG196" s="304">
        <f>HF196*(VLOOKUP($HD$9,各项系数!$D$1:$F$143,2,0))</f>
        <v>2.9610606080072057</v>
      </c>
      <c r="HH196" s="315">
        <f>各项系数!$F$76/4*($MV196^2-$MS196^2)*10^-2*(VLOOKUP($HH$9,各项系数!$D$1:$F$143,3,0))*10^-3*10^2*各项系数!$J$4</f>
        <v>0.1728746663184513</v>
      </c>
      <c r="HI196" s="322">
        <v>1</v>
      </c>
      <c r="HJ196" s="304">
        <f t="shared" si="655"/>
        <v>0.1728746663184513</v>
      </c>
      <c r="HK196" s="304">
        <f>HJ196*(VLOOKUP($HH$9,各项系数!$D$1:$F$143,2,0))</f>
        <v>2.9388693274136721</v>
      </c>
      <c r="HL196" s="315">
        <f>各项系数!$F$76/4*($MW196^2-$MT196^2)*10^-2*(VLOOKUP($HL$9,各项系数!$D$1:$F$143,3,0))*10^-3*10^2*各项系数!$J$4</f>
        <v>0.17418003576512975</v>
      </c>
      <c r="HM196" s="322">
        <v>1</v>
      </c>
      <c r="HN196" s="304">
        <f t="shared" si="605"/>
        <v>0.17418003576512975</v>
      </c>
      <c r="HO196" s="304">
        <f>HN196*(VLOOKUP($HL$9,各项系数!$D$1:$F$143,2,0))</f>
        <v>2.9610606080072057</v>
      </c>
      <c r="HP196" s="315">
        <f>各项系数!$F$76/4*($MV196^2-$MS196^2)*10^-2*(VLOOKUP(AN196,各项系数!$D$1:$F$143,3,0))*10^-3*10^2*各项系数!$J$4</f>
        <v>0.17525914447456786</v>
      </c>
      <c r="HQ196" s="303">
        <v>1</v>
      </c>
      <c r="HR196" s="304">
        <f t="shared" si="854"/>
        <v>0.17525914447456786</v>
      </c>
      <c r="HS196" s="304">
        <f>HR196*(VLOOKUP(AN196,各项系数!$D$1:$F$143,2,0))</f>
        <v>1.7525914447456787</v>
      </c>
      <c r="HT196" s="315">
        <f>各项系数!$F$76/4*($MW196^2-$MT196^2)*10^-2*(VLOOKUP(AN196,各项系数!$D$1:$F$143,3,0))*10^-3*10^2*各项系数!$J$4</f>
        <v>0.17658251901706257</v>
      </c>
      <c r="HU196" s="303">
        <v>1</v>
      </c>
      <c r="HV196" s="304">
        <f t="shared" si="855"/>
        <v>0.17658251901706257</v>
      </c>
      <c r="HW196" s="304">
        <f>HV196*(VLOOKUP(AN196,各项系数!$D$1:$F$143,2,0))</f>
        <v>1.7658251901706257</v>
      </c>
      <c r="HX196" s="315">
        <f>各项系数!$F$76/4*($MV196^2-$MS196^2)*10^-2*(VLOOKUP($HX$9,各项系数!$D$1:$F$143,3,0))*10^-3*10^2*各项系数!$J$4</f>
        <v>0.17525914447456786</v>
      </c>
      <c r="HY196" s="322">
        <v>1</v>
      </c>
      <c r="HZ196" s="304">
        <f t="shared" si="856"/>
        <v>0.17525914447456786</v>
      </c>
      <c r="IA196" s="304">
        <f>HZ196*(VLOOKUP($HX$9,各项系数!$D$1:$F$143,2,0))</f>
        <v>1.9278505892202464</v>
      </c>
      <c r="IB196" s="315">
        <f>各项系数!$F$76/4*($MW196^2-$MT196^2)*10^-2*(VLOOKUP($IB$9,各项系数!$D$1:$F$143,3,0))*10^-3*10^2*各项系数!$J$4</f>
        <v>0.17658251901706257</v>
      </c>
      <c r="IC196" s="322">
        <v>1</v>
      </c>
      <c r="ID196" s="304">
        <f t="shared" si="857"/>
        <v>0.17658251901706257</v>
      </c>
      <c r="IE196" s="304">
        <f>ID196*(VLOOKUP($IB$9,各项系数!$D$1:$F$143,2,0))</f>
        <v>1.9424077091876883</v>
      </c>
      <c r="IF196" s="328"/>
      <c r="IG196" s="315">
        <f t="shared" si="656"/>
        <v>7.687521578818815E-2</v>
      </c>
      <c r="IH196" s="303">
        <v>1</v>
      </c>
      <c r="II196" s="304">
        <f t="shared" si="858"/>
        <v>7.687521578818815E-2</v>
      </c>
      <c r="IJ196" s="304">
        <f>II196*(VLOOKUP($IG$8,各项系数!$D$1:$F$143,2,0))</f>
        <v>1.9218803947047038</v>
      </c>
      <c r="IK196" s="315">
        <f>(各项系数!$F$76/4*($MX196^2-$MK196^2)*$EG196)*10^-2*(VLOOKUP($IG$8,各项系数!$D$1:$F$143,3,0))*10^-3*10^2*各项系数!$J$4</f>
        <v>7.687521578818815E-2</v>
      </c>
      <c r="IL196" s="303">
        <f>IK196*(VLOOKUP($IG$8,各项系数!$D$1:$F$143,2,0))</f>
        <v>1.9218803947047038</v>
      </c>
      <c r="IM196" s="304">
        <f>(各项系数!$F$76/4*(($MM196+3*$X196)^2-MM196^2)*$EO196)*10^-2*(VLOOKUP($IG$8,各项系数!$D$1:$F$143,3,0))*10^-3*10^2*各项系数!$J$4</f>
        <v>0</v>
      </c>
      <c r="IN196" s="303">
        <f>IM196*(VLOOKUP($IG$8,各项系数!$D$1:$F$143,2,0))</f>
        <v>0</v>
      </c>
      <c r="IO196" s="315">
        <f>各项系数!$F$76/4*($MZ196^2-$MX196^2)*10^-2*(VLOOKUP(L196,各项系数!$D$1:$F$143,3,0))*10^-3*10^2*$ES196*各项系数!$J$4</f>
        <v>0.19652917861602415</v>
      </c>
      <c r="IP196" s="303">
        <v>1</v>
      </c>
      <c r="IQ196" s="304">
        <f t="shared" si="859"/>
        <v>0.19652917861602415</v>
      </c>
      <c r="IR196" s="285">
        <f>IQ196*(VLOOKUP(L196,各项系数!$D$1:$F$143,2,0))</f>
        <v>2.2600855540842777</v>
      </c>
      <c r="IS196" s="315">
        <f>IF($L196&lt;&gt;$IS$9,0,各项系数!$F$76/4*($MZ196^2-$MX196^2)*10^-2*各项系数!$F$12*10^-3*10^2)*$ES196*各项系数!$J$4</f>
        <v>0</v>
      </c>
      <c r="IT196" s="303">
        <v>1</v>
      </c>
      <c r="IU196" s="304">
        <f t="shared" si="860"/>
        <v>0</v>
      </c>
      <c r="IV196" s="285">
        <f>IU196*各项系数!$E$12</f>
        <v>0</v>
      </c>
      <c r="IW196" s="302">
        <f t="shared" si="861"/>
        <v>0.19652917861602415</v>
      </c>
      <c r="IX196" s="302">
        <f t="shared" si="862"/>
        <v>2.2600855540842777</v>
      </c>
      <c r="IY196" s="339">
        <f>各项系数!$F$76/4*($NB196^2-$MZ196^2*$EG196-$NA196^2*$EO196)*10^-2</f>
        <v>1.1788695334350781</v>
      </c>
      <c r="IZ196" s="284">
        <f t="shared" si="697"/>
        <v>1</v>
      </c>
      <c r="JA196" s="285">
        <f t="shared" si="606"/>
        <v>1.1788695334350781</v>
      </c>
      <c r="JB196" s="282">
        <f>IF($DE196&lt;&gt;$JB$9,0,$JA196*各项系数!$F$32*10^-3*10^2)*各项系数!$J$4</f>
        <v>0</v>
      </c>
      <c r="JC196" s="102">
        <v>1</v>
      </c>
      <c r="JD196" s="189">
        <f t="shared" si="863"/>
        <v>0</v>
      </c>
      <c r="JE196" s="262">
        <f>JD196*各项系数!$E$32</f>
        <v>0</v>
      </c>
      <c r="JF196" s="282">
        <f>IF($DE196&lt;&gt;$JF$9,0,$JA196*VLOOKUP($JF$9,各项系数!$D$4:$F$540,2,0)*10^-3*10^2)*各项系数!$J$4</f>
        <v>0.58648759288395136</v>
      </c>
      <c r="JG196" s="102">
        <v>1</v>
      </c>
      <c r="JH196" s="189">
        <f t="shared" si="607"/>
        <v>0.58648759288395136</v>
      </c>
      <c r="JI196" s="262">
        <f>JH196*VLOOKUP($JF$9,各项系数!$D$4:$F$540,3,0)</f>
        <v>0.70378511146074163</v>
      </c>
      <c r="JJ196" s="282">
        <f t="shared" si="864"/>
        <v>0.58648759288395136</v>
      </c>
      <c r="JK196" s="189">
        <f t="shared" si="865"/>
        <v>0.70378511146074163</v>
      </c>
      <c r="JL196" s="282">
        <f>IF($DF196&lt;&gt;$JL$9,0,各项系数!$F$76/4*($NE196^2-$NC196^2)*10^-2*各项系数!$F$39*10^-3*10^2)*各项系数!$J$4</f>
        <v>2.5908615669103696E-3</v>
      </c>
      <c r="JM196" s="102">
        <v>1</v>
      </c>
      <c r="JN196" s="189">
        <f t="shared" si="866"/>
        <v>2.5908615669103696E-3</v>
      </c>
      <c r="JO196" s="262">
        <f>JN196*各项系数!$E$39</f>
        <v>5.1817231338207391E-2</v>
      </c>
      <c r="JP196" s="282">
        <f>IF($DF196&lt;&gt;$JP$9,0,各项系数!$F$76/4*($NE196^2-$NC196^2)*10^-2*各项系数!$F$36*10^-3*10^2)*各项系数!$J$4</f>
        <v>0</v>
      </c>
      <c r="JQ196" s="102">
        <v>1</v>
      </c>
      <c r="JR196" s="189">
        <f t="shared" si="867"/>
        <v>0</v>
      </c>
      <c r="JS196" s="262">
        <f>JR196*各项系数!$E$36</f>
        <v>0</v>
      </c>
      <c r="JT196" s="282">
        <f>IF($DF196&lt;&gt;$JT$9,0,各项系数!$F$76/4*($NE196^2-$NC196^2)*10^-2*各项系数!$F$40*10^-3*10^2)*各项系数!$J$4</f>
        <v>0</v>
      </c>
      <c r="JU196" s="102">
        <v>1</v>
      </c>
      <c r="JV196" s="189">
        <f t="shared" si="868"/>
        <v>0</v>
      </c>
      <c r="JW196" s="262">
        <f>JV196*各项系数!$E$40</f>
        <v>0</v>
      </c>
      <c r="JX196" s="282">
        <f>IF($DF196&lt;&gt;$JX$9,0,各项系数!$F$76/4*($NE196^2-$NC196^2)*10^-2*各项系数!$F$38*10^-3*10^2)*各项系数!$J$4</f>
        <v>0</v>
      </c>
      <c r="JY196" s="102">
        <v>1</v>
      </c>
      <c r="JZ196" s="189">
        <f t="shared" si="869"/>
        <v>0</v>
      </c>
      <c r="KA196" s="262">
        <f>JZ196*各项系数!$E$38</f>
        <v>0</v>
      </c>
      <c r="KB196" s="282">
        <f>IF($DF196&lt;&gt;$KB$9,0,各项系数!$F$76/4*($NE196^2-$NC196^2)*10^-2*各项系数!$F$41*10^-3*10^2)*各项系数!$J$4</f>
        <v>0</v>
      </c>
      <c r="KC196" s="102">
        <v>1</v>
      </c>
      <c r="KD196" s="189">
        <f t="shared" si="870"/>
        <v>0</v>
      </c>
      <c r="KE196" s="262">
        <f>KD196*各项系数!$E$41</f>
        <v>0</v>
      </c>
      <c r="KF196" s="189">
        <f t="shared" si="871"/>
        <v>2.5908615669103696E-3</v>
      </c>
      <c r="KG196" s="189">
        <f t="shared" si="872"/>
        <v>5.1817231338207391E-2</v>
      </c>
      <c r="KH196" s="235">
        <f>各项系数!$F$76/4*($NG196^2-$NE196^2)*10^-2*各项系数!$F$44*10^-3*10^2*各项系数!$J$4*0.75*$U196</f>
        <v>1.0447068387506544</v>
      </c>
      <c r="KI196" s="102">
        <v>1</v>
      </c>
      <c r="KJ196" s="189">
        <f t="shared" si="873"/>
        <v>1.0447068387506544</v>
      </c>
      <c r="KK196" s="189">
        <f>ROUND(KJ196*各项系数!$E$43,GT196)</f>
        <v>6</v>
      </c>
      <c r="KL196" s="235">
        <f>各项系数!$F$76/4*($NF196^2-$NE196^2)*10^-2*各项系数!$F$46*10^-3*10^2*各项系数!$J$4*PI()/4*R196</f>
        <v>3.2439165543474736E-2</v>
      </c>
      <c r="KM196" s="102">
        <v>1</v>
      </c>
      <c r="KN196" s="189">
        <f t="shared" si="874"/>
        <v>3.2439165543474736E-2</v>
      </c>
      <c r="KO196" s="189">
        <f>KN196*各项系数!$E$46</f>
        <v>2.1896436741845449</v>
      </c>
      <c r="KP196" s="235">
        <f>各项系数!$F$76/4*($NH196^2-$NE196^2)*10^-2*(VLOOKUP($KP$9,各项系数!$D$1:$F$143,3,0))*10^-3*10^2*各项系数!$J$4</f>
        <v>0.20350189696114326</v>
      </c>
      <c r="KQ196" s="102">
        <v>1</v>
      </c>
      <c r="KR196" s="189">
        <f t="shared" si="657"/>
        <v>0.20350189696114326</v>
      </c>
      <c r="KS196" s="189">
        <f>KR196*(VLOOKUP($KP$9,各项系数!$D$1:$F$143,2,0))</f>
        <v>3.4595322483394355</v>
      </c>
      <c r="KT196" s="235">
        <f>各项系数!$F$76/4*($NI196^2-$NF196^2)*10^-2*(VLOOKUP($KT$9,各项系数!$D$1:$F$143,3,0))*10^-3*10^2*各项系数!$J$4</f>
        <v>0.20480726640782171</v>
      </c>
      <c r="KU196" s="102">
        <v>1</v>
      </c>
      <c r="KV196" s="189">
        <f t="shared" si="658"/>
        <v>0.20480726640782171</v>
      </c>
      <c r="KW196" s="189">
        <f>KV196*(VLOOKUP($KT$9,各项系数!$D$1:$F$143,2,0))</f>
        <v>3.4817235289329691</v>
      </c>
      <c r="KX196" s="189">
        <f>各项系数!$F$76/4*($NH196^2-$NE196^2)*10^-2*(VLOOKUP($KX$9,各项系数!$D$1:$F$143,3,0))*10^-3*10^2*各项系数!$J$4</f>
        <v>0.20350189696114326</v>
      </c>
      <c r="KY196" s="353">
        <v>1</v>
      </c>
      <c r="KZ196" s="189">
        <f t="shared" si="659"/>
        <v>0.20350189696114326</v>
      </c>
      <c r="LA196" s="189">
        <f>KZ196*(VLOOKUP($KX$9,各项系数!$D$1:$F$143,2,0))</f>
        <v>3.4595322483394355</v>
      </c>
      <c r="LB196" s="189">
        <f>各项系数!$F$76/4*($NI196^2-$NF196^2)*10^-2*(VLOOKUP($LB$9,各项系数!$D$1:$F$143,3,0))*10^-3*10^2*各项系数!$J$4</f>
        <v>0.20480726640782171</v>
      </c>
      <c r="LC196" s="353">
        <v>1</v>
      </c>
      <c r="LD196" s="189">
        <f t="shared" si="660"/>
        <v>0.20480726640782171</v>
      </c>
      <c r="LE196" s="189">
        <f>LD196*(VLOOKUP($LB$9,各项系数!$D$1:$F$143,2,0))</f>
        <v>3.4817235289329691</v>
      </c>
      <c r="LF196" s="235">
        <f>各项系数!$F$76/4*($NH196^2-$NE196^2)*10^-2*(VLOOKUP(AN196,各项系数!$D$1:$F$143,3,0))*10^-3*10^2*各项系数!$J$4</f>
        <v>0.2063088196778487</v>
      </c>
      <c r="LG196" s="102">
        <v>1</v>
      </c>
      <c r="LH196" s="189">
        <f t="shared" si="875"/>
        <v>0.2063088196778487</v>
      </c>
      <c r="LI196" s="189">
        <f>LH196*(VLOOKUP(AN196,各项系数!$D$1:$F$143,2,0))</f>
        <v>2.0630881967784869</v>
      </c>
      <c r="LJ196" s="235">
        <f>各项系数!$F$76/4*($NI196^2-$NF196^2)*10^-2*(VLOOKUP(AN196,各项系数!$D$1:$F$143,3,0))*10^-3*10^2*各项系数!$J$4</f>
        <v>0.20763219422034337</v>
      </c>
      <c r="LK196" s="102">
        <v>1</v>
      </c>
      <c r="LL196" s="189">
        <f t="shared" si="876"/>
        <v>0.20763219422034337</v>
      </c>
      <c r="LM196" s="189">
        <f>LL196*(VLOOKUP(AN196,各项系数!$D$1:$F$143,2,0))</f>
        <v>2.0763219422034336</v>
      </c>
      <c r="LN196" s="189">
        <f>各项系数!$F$76/4*($NH196^2-$NE196^2)*10^-2*(VLOOKUP($LN$9,各项系数!$D$1:$F$143,3,0))*10^-3*10^2*各项系数!$J$4</f>
        <v>0.2063088196778487</v>
      </c>
      <c r="LO196" s="353">
        <v>1</v>
      </c>
      <c r="LP196" s="189">
        <f t="shared" si="877"/>
        <v>0.2063088196778487</v>
      </c>
      <c r="LQ196" s="189">
        <f>LP196*(VLOOKUP($LN$9,各项系数!$D$1:$F$143,2,0))</f>
        <v>2.2693970164563355</v>
      </c>
      <c r="LR196" s="189">
        <f>各项系数!$F$76/4*($NI196^2-$NF196^2)*10^-2*(VLOOKUP($LR$9,各项系数!$D$1:$F$143,3,0))*10^-3*10^2*各项系数!$J$4</f>
        <v>0.20763219422034337</v>
      </c>
      <c r="LS196" s="353">
        <v>1</v>
      </c>
      <c r="LT196" s="189">
        <f t="shared" si="878"/>
        <v>0.20763219422034337</v>
      </c>
      <c r="LU196" s="189">
        <f>LT196*(VLOOKUP($LR$9,各项系数!$D$1:$F$143,2,0))</f>
        <v>2.2839541364237772</v>
      </c>
      <c r="LV196" s="227">
        <f t="shared" si="661"/>
        <v>63.036290049999998</v>
      </c>
      <c r="LW196" s="227">
        <f t="shared" si="662"/>
        <v>63.036290049999998</v>
      </c>
      <c r="LX196" s="227">
        <f t="shared" si="663"/>
        <v>8.9588111513222373</v>
      </c>
      <c r="LY196" s="227">
        <f t="shared" si="664"/>
        <v>0</v>
      </c>
      <c r="LZ196" s="374">
        <f t="shared" si="608"/>
        <v>1</v>
      </c>
      <c r="MA196" s="375">
        <f t="shared" si="609"/>
        <v>63.036290049999998</v>
      </c>
      <c r="MB196" s="375">
        <f t="shared" si="665"/>
        <v>1.7241240099999999</v>
      </c>
      <c r="MC196" s="227">
        <f t="shared" si="666"/>
        <v>0</v>
      </c>
      <c r="MD196" s="227">
        <f t="shared" si="667"/>
        <v>0</v>
      </c>
      <c r="ME196" s="227">
        <f t="shared" si="668"/>
        <v>0</v>
      </c>
      <c r="MF196" s="227">
        <f t="shared" si="669"/>
        <v>0</v>
      </c>
      <c r="MG196" s="374">
        <f t="shared" si="670"/>
        <v>1</v>
      </c>
      <c r="MH196" s="375">
        <f t="shared" si="610"/>
        <v>0</v>
      </c>
      <c r="MI196" s="375">
        <f t="shared" si="671"/>
        <v>0</v>
      </c>
      <c r="MJ196" s="189">
        <f t="shared" si="611"/>
        <v>1.7241240099999999</v>
      </c>
      <c r="MK196" s="189">
        <f t="shared" si="672"/>
        <v>1.7241240099999999</v>
      </c>
      <c r="ML196" s="189">
        <f t="shared" si="879"/>
        <v>0</v>
      </c>
      <c r="MM196" s="189">
        <f t="shared" si="612"/>
        <v>0</v>
      </c>
      <c r="MN196" s="189">
        <f t="shared" si="613"/>
        <v>3.1241240100000001</v>
      </c>
      <c r="MO196" s="189">
        <f t="shared" si="673"/>
        <v>0</v>
      </c>
      <c r="MP196" s="189">
        <f t="shared" si="674"/>
        <v>19.213362660000001</v>
      </c>
      <c r="MQ196" s="189">
        <f t="shared" si="880"/>
        <v>19.213362660000001</v>
      </c>
      <c r="MR196" s="246">
        <f t="shared" si="675"/>
        <v>19.213362660000001</v>
      </c>
      <c r="MS196" s="380">
        <f t="shared" si="614"/>
        <v>19.38936266</v>
      </c>
      <c r="MT196" s="380">
        <f t="shared" si="615"/>
        <v>19.54936266</v>
      </c>
      <c r="MU196" s="380">
        <f t="shared" si="616"/>
        <v>20.589362659999999</v>
      </c>
      <c r="MV196" s="380">
        <f t="shared" si="617"/>
        <v>22.989362660000001</v>
      </c>
      <c r="MW196" s="380">
        <f t="shared" si="618"/>
        <v>23.149362660000001</v>
      </c>
      <c r="MX196" s="254">
        <f t="shared" si="619"/>
        <v>2.3241240100000002</v>
      </c>
      <c r="MY196" s="254">
        <f t="shared" si="620"/>
        <v>0</v>
      </c>
      <c r="MZ196" s="189">
        <f t="shared" si="621"/>
        <v>3.7241240100000002</v>
      </c>
      <c r="NA196" s="189">
        <f t="shared" si="622"/>
        <v>0</v>
      </c>
      <c r="NB196" s="189">
        <f t="shared" si="676"/>
        <v>22.903362659999999</v>
      </c>
      <c r="NC196" s="254">
        <f t="shared" si="881"/>
        <v>22.903362659999999</v>
      </c>
      <c r="ND196" s="246">
        <f t="shared" si="677"/>
        <v>22.903362659999999</v>
      </c>
      <c r="NE196" s="386">
        <f t="shared" si="678"/>
        <v>23.143362659999998</v>
      </c>
      <c r="NF196" s="380">
        <f t="shared" si="623"/>
        <v>23.303362659999998</v>
      </c>
      <c r="NG196" s="387">
        <f t="shared" si="624"/>
        <v>24.343362659999997</v>
      </c>
      <c r="NH196" s="254">
        <f t="shared" si="625"/>
        <v>26.743362659999999</v>
      </c>
      <c r="NI196" s="380">
        <f t="shared" si="626"/>
        <v>26.903362659999999</v>
      </c>
      <c r="NK196" s="388">
        <f t="shared" si="627"/>
        <v>0.99469841471327169</v>
      </c>
      <c r="NL196" s="388">
        <f t="shared" si="628"/>
        <v>40.451425903746099</v>
      </c>
      <c r="NM196" s="388">
        <f t="shared" si="629"/>
        <v>0.99469841471327169</v>
      </c>
      <c r="NN196" s="388">
        <f t="shared" si="630"/>
        <v>40.626685048220672</v>
      </c>
      <c r="NO196" s="388">
        <f t="shared" si="631"/>
        <v>1.6263823221333018</v>
      </c>
      <c r="NP196" s="388">
        <f t="shared" si="632"/>
        <v>43.522844299191235</v>
      </c>
      <c r="NQ196" s="388">
        <f t="shared" si="633"/>
        <v>1.6263823221333018</v>
      </c>
      <c r="NR196" s="388">
        <f t="shared" si="634"/>
        <v>43.729153118869078</v>
      </c>
      <c r="NS196" s="388">
        <f t="shared" si="635"/>
        <v>1.0218938681710736</v>
      </c>
      <c r="NT196" s="388">
        <f t="shared" si="636"/>
        <v>1.0218938681710736</v>
      </c>
      <c r="NU196" s="388">
        <f t="shared" si="637"/>
        <v>1.6588214876767766</v>
      </c>
      <c r="NV196" s="388">
        <f t="shared" si="638"/>
        <v>1.6588214876767766</v>
      </c>
      <c r="NW196">
        <f t="shared" si="639"/>
        <v>1.2878754199000761</v>
      </c>
      <c r="NX196">
        <f>各项系数!$M$9*NK196</f>
        <v>0.2984095244139815</v>
      </c>
      <c r="NY196">
        <f t="shared" si="640"/>
        <v>1.0218938681710736</v>
      </c>
    </row>
    <row r="197" spans="1:389" ht="15" hidden="1" customHeight="1">
      <c r="A197" s="69"/>
      <c r="B197" s="70"/>
      <c r="C197" s="69"/>
      <c r="D197" s="102" t="s">
        <v>280</v>
      </c>
      <c r="E197" s="61">
        <f t="shared" ref="E197:E214" si="885">MV197</f>
        <v>24.201634899999998</v>
      </c>
      <c r="F197" s="62">
        <f t="shared" si="820"/>
        <v>172.412400708262</v>
      </c>
      <c r="G197" s="16"/>
      <c r="H197" s="16"/>
      <c r="I197" s="145">
        <v>0</v>
      </c>
      <c r="J197" s="16"/>
      <c r="K197" s="16"/>
      <c r="L197" s="97" t="s">
        <v>469</v>
      </c>
      <c r="M197" s="103">
        <f t="shared" si="582"/>
        <v>0.7</v>
      </c>
      <c r="N197" s="103">
        <f t="shared" si="804"/>
        <v>0</v>
      </c>
      <c r="O197" s="53">
        <f t="shared" si="825"/>
        <v>0.08</v>
      </c>
      <c r="P197" s="99">
        <v>0.1</v>
      </c>
      <c r="Q197" s="133">
        <f t="shared" si="882"/>
        <v>0.1</v>
      </c>
      <c r="R197" s="406">
        <v>0.8</v>
      </c>
      <c r="S197" s="142" t="str">
        <f>各项系数!$D$43</f>
        <v>钢带</v>
      </c>
      <c r="T197" s="102">
        <v>0.2</v>
      </c>
      <c r="U197" s="62">
        <v>4</v>
      </c>
      <c r="V197" s="143"/>
      <c r="W197" s="407">
        <v>2</v>
      </c>
      <c r="X197" s="135">
        <f t="shared" si="883"/>
        <v>0.2</v>
      </c>
      <c r="Y197" s="135"/>
      <c r="Z197" s="168"/>
      <c r="AA197" s="153">
        <v>1</v>
      </c>
      <c r="AB197" s="153">
        <f>PI()*EJ197*EJ197/4*EH197*(1-H197)*AA197*各项系数!$F$5*各项系数!$J$4*10^-7</f>
        <v>2.0651505688902914E-2</v>
      </c>
      <c r="AC197" s="153">
        <f t="shared" ref="AC197:AC214" si="886">EJ197</f>
        <v>172.412400708262</v>
      </c>
      <c r="AD197" s="153">
        <f t="shared" si="584"/>
        <v>2.3346774015073022</v>
      </c>
      <c r="AE197" s="153">
        <f>POWER(4*EU197/PI()/EG197/10^-7/EH197/(1-H197)/各项系数!$F$5/各项系数!$J$4,0.5)</f>
        <v>172.412400708262</v>
      </c>
      <c r="AF197" s="69">
        <v>1</v>
      </c>
      <c r="AG197" s="69">
        <f>IF(EM197=0,0,PI()*ER197*ER197/4*EP197*(1-K197)*(1+AF197)*各项系数!$F$5*各项系数!$J$4*10^-7)</f>
        <v>0</v>
      </c>
      <c r="AH197" s="69">
        <f t="shared" ref="AH197:AH214" si="887">ER197</f>
        <v>0</v>
      </c>
      <c r="AI197" s="69">
        <f t="shared" si="641"/>
        <v>0</v>
      </c>
      <c r="AJ197" s="69">
        <f>IF(OR(EP197="",EP197=0),0,POWER(4*EW197/PI()/EO197/10^-7/EP197/(1-K197)/各项系数!$F$5/各项系数!$J$4,0.5))</f>
        <v>0</v>
      </c>
      <c r="AK197" s="69" t="str">
        <f t="shared" si="585"/>
        <v>√</v>
      </c>
      <c r="AL197" s="69">
        <f t="shared" ref="AL197:AL214" si="888">AO197*(1+0.02)</f>
        <v>46.560313097614113</v>
      </c>
      <c r="AM197" s="188">
        <f t="shared" ref="AM197:AM214" si="889">EE197*1</f>
        <v>2.5</v>
      </c>
      <c r="AN197" s="97" t="s">
        <v>486</v>
      </c>
      <c r="AO197" s="196">
        <f>AP197+各项系数!$M$9*$NK197</f>
        <v>45.647365781974621</v>
      </c>
      <c r="AP197" s="196">
        <f>AQ197*(1+$BI197+(VLOOKUP($AM197,$A$12:$B$323,2,0))+各项系数!$J$6+各项系数!$M$5)*(1+$E$2)</f>
        <v>45.315690185199571</v>
      </c>
      <c r="AQ197" s="197">
        <f>AR197+各项系数!$L$9*$NK197</f>
        <v>46.240500188979155</v>
      </c>
      <c r="AR197" s="197">
        <f>AS197*(1+$BJ197+各项系数!$J$5+各项系数!$L$5)</f>
        <v>45.908824592204105</v>
      </c>
      <c r="AS197" s="197">
        <f t="shared" si="642"/>
        <v>45.008651560984418</v>
      </c>
      <c r="AT197" s="196">
        <f>AU197+各项系数!$M$9*$NM197</f>
        <v>47.027868397576675</v>
      </c>
      <c r="AU197" s="196">
        <f>AV197*(1+$BI197+(VLOOKUP($AM197,$A$12:$B$323,2,0))+各项系数!$J$6+各项系数!$M$5)*(1+$E$2)</f>
        <v>46.696192800801626</v>
      </c>
      <c r="AV197" s="197">
        <f>AW197+各项系数!$L$9*$NM197</f>
        <v>47.649176327348599</v>
      </c>
      <c r="AW197" s="197">
        <f>AX197*(1+$BJ197+各项系数!$J$5+各项系数!$L$5)</f>
        <v>47.317500730573549</v>
      </c>
      <c r="AX197" s="197">
        <f t="shared" si="643"/>
        <v>46.389706598601521</v>
      </c>
      <c r="AY197" s="196">
        <f>AZ197+各项系数!$M$9*$NS197</f>
        <v>47.590406415515929</v>
      </c>
      <c r="AZ197" s="196">
        <f>BA197*(1+$BI197+(VLOOKUP($AM197,$A$12:$B$214,2,0))+各项系数!$J$6+各项系数!$M$5)*(1+$E$2)</f>
        <v>47.25023180003744</v>
      </c>
      <c r="BA197" s="197">
        <f>BB197+各项系数!$L$9*$NS197</f>
        <v>48.214522244936163</v>
      </c>
      <c r="BB197" s="197">
        <f>BC197*(1+$BJ197+各项系数!$J$5+各项系数!$L$5)</f>
        <v>47.874347629457674</v>
      </c>
      <c r="BC197" s="199">
        <f t="shared" si="644"/>
        <v>46.935634930840855</v>
      </c>
      <c r="BD197" s="196">
        <f>BE197+各项系数!$M$9*$NS197</f>
        <v>48.980857866845227</v>
      </c>
      <c r="BE197" s="196">
        <f>BF197*(1+$BI197+(VLOOKUP($AM197,$A$12:$B$214,2,0))+各项系数!$J$6+各项系数!$M$5)*(1+$E$2)</f>
        <v>48.640683251366738</v>
      </c>
      <c r="BF197" s="197">
        <f>BG197+各项系数!$L$9*$NS197</f>
        <v>49.633350256496669</v>
      </c>
      <c r="BG197" s="197">
        <f>BH197*(1+$BJ197+各项系数!$J$5+各项系数!$L$5)</f>
        <v>49.29317564101818</v>
      </c>
      <c r="BH197" s="199">
        <f t="shared" si="645"/>
        <v>48.32664278531194</v>
      </c>
      <c r="BI197" s="213"/>
      <c r="BJ197" s="208">
        <f t="shared" si="822"/>
        <v>0</v>
      </c>
      <c r="BK197" s="102" t="s">
        <v>514</v>
      </c>
      <c r="BL197" s="196">
        <f>BM197+各项系数!$M$9*$NM197</f>
        <v>46.29440376564483</v>
      </c>
      <c r="BM197" s="196">
        <f>BN197*(1+$CF197+(VLOOKUP($AM197,$A$12:$B$323,2,0))+各项系数!$J$6+各项系数!$M$5)*(1+$E$2)</f>
        <v>45.962728168869781</v>
      </c>
      <c r="BN197" s="197">
        <f>BO197+各项系数!$L$9*$NM197</f>
        <v>46.900743029458958</v>
      </c>
      <c r="BO197" s="197">
        <f>BP197*(1+$CG197+各项系数!$J$5+各项系数!$L$5)</f>
        <v>46.569067432683909</v>
      </c>
      <c r="BP197" s="197">
        <f t="shared" si="646"/>
        <v>45.212686827848451</v>
      </c>
      <c r="BQ197" s="196">
        <f>BR197+各项系数!$M$9*$NM197</f>
        <v>47.48248752224297</v>
      </c>
      <c r="BR197" s="196">
        <f>BS197*(1+$CF197+(VLOOKUP($AM197,$A$12:$B$323,2,0))+各项系数!$J$6+各项系数!$M$5)*(1+$E$2)</f>
        <v>47.15081192546792</v>
      </c>
      <c r="BS197" s="197">
        <f>BT197+各项系数!$L$9*$NM197</f>
        <v>48.113073393334616</v>
      </c>
      <c r="BT197" s="197">
        <f>BU197*(1+$CG197+各项系数!$J$5+各项系数!$L$5)</f>
        <v>47.781397796559567</v>
      </c>
      <c r="BU197" s="197">
        <f t="shared" si="647"/>
        <v>46.389706598601521</v>
      </c>
      <c r="BV197" s="196">
        <f>BW197+各项系数!$M$9*$NT197</f>
        <v>47.932540086203893</v>
      </c>
      <c r="BW197" s="196">
        <f>BX197*(1+$CF197+(VLOOKUP($AM197,$A$12:$B$214,2,0))+各项系数!$J$6+各项系数!$M$5)*(1+$E$2)</f>
        <v>47.592365470725404</v>
      </c>
      <c r="BX197" s="197">
        <f>BY197+各项系数!$L$9*$NT$12</f>
        <v>48.563638235434084</v>
      </c>
      <c r="BY197" s="197">
        <f>BZ197*(1+$CG197+各项系数!$J$5+各项系数!$L$5)</f>
        <v>48.555374832279114</v>
      </c>
      <c r="BZ197" s="199">
        <f t="shared" si="586"/>
        <v>47.141140613863215</v>
      </c>
      <c r="CA197" s="196">
        <f>CB197+各项系数!$M$9*$NT197</f>
        <v>49.129185978064228</v>
      </c>
      <c r="CB197" s="196">
        <f>CC197*(1+$CF197+(VLOOKUP($AM197,$A$12:$B$214,2,0))+各项系数!$J$6+各项系数!$M$5)*(1+$E$2)</f>
        <v>48.78901136258574</v>
      </c>
      <c r="CC197" s="197">
        <f>CD197+各项系数!$L$9*$NT$12</f>
        <v>49.784705472026268</v>
      </c>
      <c r="CD197" s="197">
        <f>CE197*(1+$CG197+各项系数!$J$5+各项系数!$L$5)</f>
        <v>49.776442068871297</v>
      </c>
      <c r="CE197" s="199">
        <f t="shared" si="648"/>
        <v>48.32664278531194</v>
      </c>
      <c r="CF197" s="213">
        <f t="shared" si="884"/>
        <v>0</v>
      </c>
      <c r="CG197" s="213">
        <f t="shared" si="587"/>
        <v>0.01</v>
      </c>
      <c r="CH197" s="102"/>
      <c r="CI197" s="196">
        <f>CJ197+各项系数!$M$9*$NO197</f>
        <v>49.763416564225892</v>
      </c>
      <c r="CJ197" s="196">
        <f>CK197*(1+$DC197+(VLOOKUP($AM197,$A$12:$B$323,2,0))+各项系数!$J$6+各项系数!$M$5)*(1+$E$2)+各项系数!$M$9*$NK197</f>
        <v>49.233353442403718</v>
      </c>
      <c r="CK197" s="197">
        <f>CL197+各项系数!$L$9*$NO197</f>
        <v>49.899671271049662</v>
      </c>
      <c r="CL197" s="197">
        <f>CM197*(1+$DD197+各项系数!$J$5+各项系数!$L$5)</f>
        <v>49.369608149227489</v>
      </c>
      <c r="CM197" s="197">
        <f t="shared" si="588"/>
        <v>48.401576616889692</v>
      </c>
      <c r="CN197" s="196">
        <f>CO197+各项系数!$M$9*$NO197</f>
        <v>50.784729964316156</v>
      </c>
      <c r="CO197" s="196">
        <f>CP197*(1+$DC197+(VLOOKUP($AM197,$A$12:$B$323,2,0))+各项系数!$J$6+各项系数!$M$5)*(1+$E$2)+各项系数!$M$9*$NK197</f>
        <v>50.254666842493982</v>
      </c>
      <c r="CP197" s="197">
        <f>CQ197+各项系数!$L$9*$NO197</f>
        <v>50.941827801754016</v>
      </c>
      <c r="CQ197" s="197">
        <f>CR197*(1+$DD197+各项系数!$J$5+各项系数!$L$5)</f>
        <v>50.411764679931842</v>
      </c>
      <c r="CR197" s="197">
        <f t="shared" si="589"/>
        <v>49.423298705815533</v>
      </c>
      <c r="CS197" s="196">
        <f>CT197+各项系数!$M$9*$NU197</f>
        <v>51.746537558529113</v>
      </c>
      <c r="CT197" s="196">
        <f t="shared" si="590"/>
        <v>51.206336932580889</v>
      </c>
      <c r="CU197" s="197">
        <f>CV197+各项系数!$L$9*$NU197</f>
        <v>52.251364216919278</v>
      </c>
      <c r="CV197" s="197">
        <f>CW197*(1+$DD197+各项系数!$J$5+各项系数!$L$5)</f>
        <v>51.711163590971054</v>
      </c>
      <c r="CW197" s="199">
        <f t="shared" si="591"/>
        <v>50.697219206834369</v>
      </c>
      <c r="CX197" s="196">
        <f>CY197+各项系数!$M$9*$NU197</f>
        <v>53.38011368294292</v>
      </c>
      <c r="CY197" s="196">
        <f t="shared" si="592"/>
        <v>52.839913056994696</v>
      </c>
      <c r="CZ197" s="197">
        <f>DA197+各项系数!$L$9*$NU197</f>
        <v>53.918278629586425</v>
      </c>
      <c r="DA197" s="197">
        <f>DB197*(1+$DD197+各项系数!$J$5+各项系数!$L$5)</f>
        <v>53.378078003638201</v>
      </c>
      <c r="DB197" s="199">
        <f t="shared" si="593"/>
        <v>52.331449023174706</v>
      </c>
      <c r="DC197" s="213">
        <f t="shared" si="827"/>
        <v>0</v>
      </c>
      <c r="DD197" s="213">
        <f t="shared" si="594"/>
        <v>0</v>
      </c>
      <c r="DE197" s="53" t="s">
        <v>498</v>
      </c>
      <c r="DF197" s="53" t="s">
        <v>513</v>
      </c>
      <c r="DG197" s="196">
        <f>DH197+各项系数!$M$9*$NQ197</f>
        <v>50.479976281284856</v>
      </c>
      <c r="DH197" s="196">
        <f>DI197*(1+$EA197+(VLOOKUP($AM197,$A$12:$B$323,2,0))+各项系数!$J$6+各项系数!$M$5)*(1+$E$2)+各项系数!$M$9*$NK197</f>
        <v>49.949913159462682</v>
      </c>
      <c r="DI197" s="197">
        <f>DJ197+各项系数!$L$9*$NQ197</f>
        <v>50.630854655803709</v>
      </c>
      <c r="DJ197" s="197">
        <f>DK197*(1+$EB197+各项系数!$J$5+各项系数!$L$5)</f>
        <v>50.100791533981536</v>
      </c>
      <c r="DK197" s="197">
        <f t="shared" si="595"/>
        <v>48.641545178622849</v>
      </c>
      <c r="DL197" s="196">
        <f>DM197+各项系数!$M$9*$NQ197</f>
        <v>51.877297218352929</v>
      </c>
      <c r="DM197" s="196">
        <f>DN197*(1+$EA197+(VLOOKUP($AM197,$A$12:$B$323,2,0))+各项系数!$J$6+各项系数!$M$5)*(1+$E$2)+各项系数!$M$9*$NK197</f>
        <v>51.347234096530755</v>
      </c>
      <c r="DN197" s="197">
        <f>DO197+各项系数!$L$9*$NQ197</f>
        <v>52.056692346689495</v>
      </c>
      <c r="DO197" s="197">
        <f>DP197*(1+$EB197+各项系数!$J$5+各项系数!$L$5)</f>
        <v>51.526629224867321</v>
      </c>
      <c r="DP197" s="197">
        <f t="shared" si="596"/>
        <v>50.02585361637604</v>
      </c>
      <c r="DQ197" s="196">
        <f>DR197+各项系数!$M$9*$NV197</f>
        <v>52.487078811039758</v>
      </c>
      <c r="DR197" s="196">
        <f t="shared" si="597"/>
        <v>51.946878185091535</v>
      </c>
      <c r="DS197" s="197">
        <f>DT197+各项系数!$L$9*$NV197</f>
        <v>53.007018556215854</v>
      </c>
      <c r="DT197" s="197">
        <f>DU197*(1+$EB197+各项系数!$J$5+各项系数!$L$5)</f>
        <v>52.466817930267631</v>
      </c>
      <c r="DU197" s="199">
        <f t="shared" si="598"/>
        <v>50.938658184725853</v>
      </c>
      <c r="DV197" s="196">
        <f>DW197+各项系数!$M$9*$NV197</f>
        <v>51.358150374155947</v>
      </c>
      <c r="DW197" s="196">
        <f t="shared" si="599"/>
        <v>50.817949748207724</v>
      </c>
      <c r="DX197" s="197">
        <f>DY197+各项系数!$L$9*$NV197</f>
        <v>51.855050763477273</v>
      </c>
      <c r="DY197" s="197">
        <f>DZ197*(1+$EB197+各项系数!$J$5+各项系数!$L$5)</f>
        <v>51.314850137529049</v>
      </c>
      <c r="DZ197" s="199">
        <f t="shared" si="600"/>
        <v>49.820242851969951</v>
      </c>
      <c r="EA197" s="213">
        <f t="shared" si="826"/>
        <v>0</v>
      </c>
      <c r="EB197" s="213">
        <f t="shared" si="601"/>
        <v>0.01</v>
      </c>
      <c r="EC197" s="235">
        <f t="shared" si="649"/>
        <v>30</v>
      </c>
      <c r="ED197" s="235" t="str">
        <f t="shared" ref="ED197:ED214" si="890">IF(COUNTIF($D197,"*+*")&gt;0,MID($D197,1,FIND("+",$D197)-1),MID($D197,1,LEN($D197)))</f>
        <v>30*2.5</v>
      </c>
      <c r="EE197" s="189">
        <f t="shared" ref="EE197:EE214" si="891">IF($D197="",0,IF(COUNTIF($D197,"*+*")&gt;0,MID($D197,FIND("*",$D197)+1,FIND("+",$D197)-FIND("*",$D197)-1),RIGHT($D197,(LEN($D197)-FIND("*",$D197)))))*1</f>
        <v>2.5</v>
      </c>
      <c r="EF197" s="189">
        <f>LOOKUP(EH197,{1,7,10,14,19,24,30,37,48,61},{1,"1+6","2+8","4+10","1+6+12","2+8+14","4+10+16","1+6+12+18","3+9+15+21","1+6+12+18+24"})</f>
        <v>1</v>
      </c>
      <c r="EG197" s="188">
        <f t="shared" si="602"/>
        <v>30</v>
      </c>
      <c r="EH197" s="197">
        <f>VLOOKUP(EE197,各项系数!$B$87:$C$124,2,0)</f>
        <v>1</v>
      </c>
      <c r="EI197" s="188">
        <f>IF(EH197=0,0,VLOOKUP(EH197,各项系数!$D$142:$E$195,2,0))*1</f>
        <v>1</v>
      </c>
      <c r="EJ197" s="238">
        <f t="shared" si="650"/>
        <v>172.412400708262</v>
      </c>
      <c r="EK197" s="189">
        <f t="shared" ref="EK197:EK214" si="892">IF(COUNTIF($D197,"*+*")&gt;0,MID($D197,FIND("+",$D197)+1,LEN($D197)),0)</f>
        <v>0</v>
      </c>
      <c r="EL197" s="189">
        <f t="shared" si="603"/>
        <v>0</v>
      </c>
      <c r="EM197" s="189">
        <f t="shared" ref="EM197:EM214" si="893">EL197/1</f>
        <v>0</v>
      </c>
      <c r="EN197" s="189">
        <f>IF(EP197=0,0,LOOKUP(EP197,{1,7,10,14,19,24,30,37,48,61},{1,"1+6","2+8","4+10","1+6+12","2+8+14","4+10+16","1+6+12+18","3+9+15+21","1+6+12+18+24"}))</f>
        <v>0</v>
      </c>
      <c r="EO197" s="189">
        <f t="shared" ref="EO197:EO214" si="894">IF(EK197=0,0,MID(EK197,1,1))</f>
        <v>0</v>
      </c>
      <c r="EP197" s="189">
        <f>IF(EM197=0,0,IF(EM197&lt;10,1,IF(AND(EM197&gt;=10,EM197&lt;=35),7,LOOKUP(EM197,{50,70,95,120,150,185,240,300},{10,14,19,24,30,37,48,61})*1)))</f>
        <v>0</v>
      </c>
      <c r="EQ197" s="189">
        <f>IF(EP197=0,0,VLOOKUP(EP197,各项系数!$D$142:$E$195,2,0))*1</f>
        <v>0</v>
      </c>
      <c r="ER197" s="53">
        <f t="shared" ref="ER197:ER214" si="895">$I197-$J197</f>
        <v>0</v>
      </c>
      <c r="ES197" s="412">
        <f t="shared" ref="ES197:ES214" si="896">EO197+EG197</f>
        <v>30</v>
      </c>
      <c r="ET197" s="189">
        <f>VLOOKUP(ES197,各项系数!$D$142:$E$195,2,0)*1</f>
        <v>6.41</v>
      </c>
      <c r="EU197" s="243">
        <f>((各项系数!$F$76/4*$EJ197^2*$EG197*$EH197*1*10^-7)*(1-$H197)*AA197)*(VLOOKUP($EY$9,各项系数!$D$4:$F$143,3,0))*各项系数!$J$4</f>
        <v>0.61954517066708747</v>
      </c>
      <c r="EV197" s="244">
        <f>EU197*(VLOOKUP($EY$9,各项系数!$D$4:$F$143,2,0))</f>
        <v>40.580208678694227</v>
      </c>
      <c r="EW197" s="252">
        <f>(IF($EO197=0,0,(各项系数!$F$76/4*$ER197^2*$EO197*$EP197*1*10^-7))*(1-$K197)*$AF197)*(VLOOKUP($EY$9,各项系数!$D$4:$F$143,3,0))*各项系数!$J$4</f>
        <v>0</v>
      </c>
      <c r="EX197" s="253">
        <f>EW197*(VLOOKUP($EY$9,各项系数!$D$4:$F$143,2,0))</f>
        <v>0</v>
      </c>
      <c r="EY197" s="189">
        <f>((各项系数!$F$76/4*$EJ197^2*$EG197*$EH197*1*10^-7)*(1-$H197)*AA197+IF($EO197=0,0,(各项系数!$F$76/4*$ER197^2*$EO197*$EP197*1*10^-7))*(1-$K197)*$AF197)*(VLOOKUP($EY$9,各项系数!$D$4:$F$143,3,0))*各项系数!$J$4</f>
        <v>0.61954517066708747</v>
      </c>
      <c r="EZ197" s="102">
        <v>1</v>
      </c>
      <c r="FA197" s="189">
        <f t="shared" ref="FA197:FA214" si="897">EZ197*EY197</f>
        <v>0.61954517066708747</v>
      </c>
      <c r="FB197" s="254">
        <f>FA197*(VLOOKUP($EY$9,各项系数!$D$4:$F$143,2,0))</f>
        <v>40.580208678694227</v>
      </c>
      <c r="FC197" s="255"/>
      <c r="FD197" s="235">
        <f>各项系数!$F$76/4*($MN197^2-MK197^2)*10^-2*(VLOOKUP(L197,各项系数!$D$1:$F$143,3,0))*10^-3*10^2*$EG197*各项系数!$J$4</f>
        <v>0.17504099220994379</v>
      </c>
      <c r="FE197" s="262">
        <f>FD197*VLOOKUP(L197,各项系数!$D$1:$F$143,2,0)</f>
        <v>2.0129714104143535</v>
      </c>
      <c r="FF197" s="188">
        <f>各项系数!$F$76/4*($MO197^2-ML197^2)*10^-2*(VLOOKUP(L197,各项系数!$D$1:$F$143,3,0))*10^-3*10^2*$EO197*各项系数!$J$4</f>
        <v>0</v>
      </c>
      <c r="FG197" s="262">
        <f>FF197*VLOOKUP(L197,各项系数!$D$1:$F$143,2,0)</f>
        <v>0</v>
      </c>
      <c r="FH197" s="235">
        <f t="shared" si="651"/>
        <v>0.17504099220994379</v>
      </c>
      <c r="FI197" s="102">
        <v>1</v>
      </c>
      <c r="FJ197" s="189">
        <f t="shared" ref="FJ197:FJ214" si="898">FI197*FH197</f>
        <v>0.17504099220994379</v>
      </c>
      <c r="FK197" s="262">
        <f>FJ197*VLOOKUP(L197,各项系数!$D$1:$F$143,2,0)</f>
        <v>2.0129714104143535</v>
      </c>
      <c r="FL197" s="235"/>
      <c r="FM197" s="102"/>
      <c r="FN197" s="189"/>
      <c r="FO197" s="262"/>
      <c r="FP197" s="282">
        <f t="shared" ref="FP197:FP214" si="899">FJ197</f>
        <v>0.17504099220994379</v>
      </c>
      <c r="FQ197" s="282">
        <f t="shared" ref="FQ197:FQ214" si="900">FK197</f>
        <v>2.0129714104143535</v>
      </c>
      <c r="FR197" s="283">
        <f>各项系数!$F$76/4*($MQ197^2-$MN197^2*$EG197-$MO197^2*$EO197)*10^-2</f>
        <v>0.84996989529455735</v>
      </c>
      <c r="FS197" s="284">
        <f t="shared" si="652"/>
        <v>1</v>
      </c>
      <c r="FT197" s="285">
        <f t="shared" si="604"/>
        <v>0.84996989529455735</v>
      </c>
      <c r="FU197" s="302">
        <f>$FT197*(VLOOKUP($FT$9,各项系数!$D$1:$F$143,3,0))*10^-3*10^2*各项系数!$J$55</f>
        <v>0.10148640549817015</v>
      </c>
      <c r="FV197" s="303">
        <v>1</v>
      </c>
      <c r="FW197" s="304">
        <f t="shared" ref="FW197:FW214" si="901">FV197*FU197</f>
        <v>0.10148640549817015</v>
      </c>
      <c r="FX197" s="285">
        <f>FW197*(VLOOKUP($FT$9,各项系数!$D$1:$F$143,2,0))</f>
        <v>0.30445921649451047</v>
      </c>
      <c r="FY197" s="302">
        <f>IF($BK197&lt;&gt;$FY$9,0,各项系数!$F$76/4*($MS197^2-$MQ197^2)*10^-2*(VLOOKUP($FY$9,各项系数!$D$1:$F$143,3,0))*10^-3*10^2)*各项系数!$J$4</f>
        <v>0</v>
      </c>
      <c r="FZ197" s="303">
        <v>1</v>
      </c>
      <c r="GA197" s="304">
        <f t="shared" ref="GA197:GA214" si="902">FZ197*FY197</f>
        <v>0</v>
      </c>
      <c r="GB197" s="285">
        <f>GA197*(VLOOKUP($FY$9,各项系数!$D$1:$F$143,2,0))</f>
        <v>0</v>
      </c>
      <c r="GC197" s="302">
        <f>IF($BK197&lt;&gt;$GC$9,0,各项系数!$F$76/4*($MS197^2-$MQ197^2)*10^-2*(VLOOKUP($GC$9,各项系数!$D$1:$F$143,3,0))*10^-3*10^2)*各项系数!$J$4</f>
        <v>5.4774873442631133E-3</v>
      </c>
      <c r="GD197" s="303">
        <v>1</v>
      </c>
      <c r="GE197" s="304">
        <f t="shared" ref="GE197:GE214" si="903">GD197*GC197</f>
        <v>5.4774873442631133E-3</v>
      </c>
      <c r="GF197" s="285">
        <f>GE197*(VLOOKUP($GC$9,各项系数!$D$1:$F$143,2,0))</f>
        <v>7.0659586740994165E-2</v>
      </c>
      <c r="GG197" s="302">
        <f>IF($BK197&lt;&gt;$GG$9,0,各项系数!$F$76/4*($MS197^2-$MQ197^2)*10^-2*(VLOOKUP($GG$9,各项系数!$D$1:$F$143,3,0))*10^-3*10^2)*各项系数!$J$4</f>
        <v>0</v>
      </c>
      <c r="GH197" s="303">
        <v>1</v>
      </c>
      <c r="GI197" s="304">
        <f t="shared" ref="GI197:GI214" si="904">GH197*GG197</f>
        <v>0</v>
      </c>
      <c r="GJ197" s="285">
        <f>GI197*(VLOOKUP($GG$9,各项系数!$D$1:$F$143,2,0))</f>
        <v>0</v>
      </c>
      <c r="GK197" s="302">
        <f>IF($BK197&lt;&gt;$GK$9,0,各项系数!$F$76/4*($MS197^2-$MQ197^2)*10^-2*(VLOOKUP($GK$9,各项系数!$D$1:$F$143,3,0))*10^-3*10^2)*各项系数!$J$4</f>
        <v>0</v>
      </c>
      <c r="GL197" s="303">
        <v>1</v>
      </c>
      <c r="GM197" s="304">
        <f t="shared" ref="GM197:GM214" si="905">GL197*GK197</f>
        <v>0</v>
      </c>
      <c r="GN197" s="285">
        <f>GM197*(VLOOKUP($GK$9,各项系数!$D$1:$F$143,2,0))</f>
        <v>0</v>
      </c>
      <c r="GO197" s="304">
        <f t="shared" ref="GO197:GO214" si="906">GM197+GI197+GE197+GA197</f>
        <v>5.4774873442631133E-3</v>
      </c>
      <c r="GP197" s="304">
        <f t="shared" ref="GP197:GP214" si="907">GN197+GJ197+GF197+GB197</f>
        <v>7.0659586740994165E-2</v>
      </c>
      <c r="GQ197" s="315">
        <f>各项系数!$F$76/4*($MU197^2-$MS197^2)*10^-2*(VLOOKUP($S197,各项系数!$D$1:$F$143,3,0))*10^-3*10^2*各项系数!$J$4</f>
        <v>0.30509031862105984</v>
      </c>
      <c r="GR197" s="303">
        <v>1</v>
      </c>
      <c r="GS197" s="304">
        <f t="shared" ref="GS197:GS214" si="908">$GR197*$GQ197</f>
        <v>0.30509031862105984</v>
      </c>
      <c r="GT197" s="304">
        <f t="shared" ref="GT197:GT214" si="909">IF(OR(AND(EG197=$AC$3,EE197&lt;$AC$4),AND(EE197&lt;($AB$4+1),EG197&lt;$AB$3)),$AB$5,0)</f>
        <v>0</v>
      </c>
      <c r="GU197" s="304">
        <f>ROUND($GS197*(VLOOKUP($S197,各项系数!$D$1:$F$143,2,0))+$E$3*GS197,GT197)</f>
        <v>2</v>
      </c>
      <c r="GV197" s="315">
        <f>各项系数!$F$76/4*($MT197^2-$MS197^2)*10^-2*(VLOOKUP($GV$9,各项系数!$D$1:$F$143,3,0))*10^-3*10^2*各项系数!$J$4*PI()/4*R197</f>
        <v>2.8330062344787639E-2</v>
      </c>
      <c r="GW197" s="303">
        <v>1</v>
      </c>
      <c r="GX197" s="304">
        <f t="shared" ref="GX197:GX214" si="910">$GW197*$GV197</f>
        <v>2.8330062344787639E-2</v>
      </c>
      <c r="GY197" s="304">
        <f>$GX197*(VLOOKUP($GV$9,各项系数!$D$1:$F$143,2,0))</f>
        <v>1.9122792082731657</v>
      </c>
      <c r="GZ197" s="315">
        <f>各项系数!$F$76/4*($MV197^2-$MS197^2)*10^-2*(VLOOKUP($GZ$9,各项系数!$D$1:$F$143,3,0))*10^-3*10^2*各项系数!$J$4</f>
        <v>0.20125927683867284</v>
      </c>
      <c r="HA197" s="303">
        <v>1</v>
      </c>
      <c r="HB197" s="304">
        <f t="shared" si="653"/>
        <v>0.20125927683867284</v>
      </c>
      <c r="HC197" s="304">
        <f>HB197*(VLOOKUP($GZ$9,各项系数!$D$1:$F$143,2,0))</f>
        <v>3.4214077062574382</v>
      </c>
      <c r="HD197" s="315">
        <f>各项系数!$F$76/4*($MW197^2-$MT197^2)*10^-2*(VLOOKUP($HD$9,各项系数!$D$1:$F$143,3,0))*10^-3*10^2*各项系数!$J$4</f>
        <v>0.20270968733498232</v>
      </c>
      <c r="HE197" s="303">
        <v>1</v>
      </c>
      <c r="HF197" s="304">
        <f t="shared" si="654"/>
        <v>0.20270968733498232</v>
      </c>
      <c r="HG197" s="304">
        <f>HF197*(VLOOKUP($HD$9,各项系数!$D$1:$F$143,2,0))</f>
        <v>3.4460646846946994</v>
      </c>
      <c r="HH197" s="315">
        <f>各项系数!$F$76/4*($MV197^2-$MS197^2)*10^-2*(VLOOKUP($HH$9,各项系数!$D$1:$F$143,3,0))*10^-3*10^2*各项系数!$J$4</f>
        <v>0.20125927683867284</v>
      </c>
      <c r="HI197" s="322">
        <v>1</v>
      </c>
      <c r="HJ197" s="304">
        <f t="shared" si="655"/>
        <v>0.20125927683867284</v>
      </c>
      <c r="HK197" s="304">
        <f>HJ197*(VLOOKUP($HH$9,各项系数!$D$1:$F$143,2,0))</f>
        <v>3.4214077062574382</v>
      </c>
      <c r="HL197" s="315">
        <f>各项系数!$F$76/4*($MW197^2-$MT197^2)*10^-2*(VLOOKUP($HL$9,各项系数!$D$1:$F$143,3,0))*10^-3*10^2*各项系数!$J$4</f>
        <v>0.20270968733498232</v>
      </c>
      <c r="HM197" s="322">
        <v>1</v>
      </c>
      <c r="HN197" s="304">
        <f t="shared" si="605"/>
        <v>0.20270968733498232</v>
      </c>
      <c r="HO197" s="304">
        <f>HN197*(VLOOKUP($HL$9,各项系数!$D$1:$F$143,2,0))</f>
        <v>3.4460646846946994</v>
      </c>
      <c r="HP197" s="315">
        <f>各项系数!$F$76/4*($MV197^2-$MS197^2)*10^-2*(VLOOKUP(AN197,各项系数!$D$1:$F$143,3,0))*10^-3*10^2*各项系数!$J$4</f>
        <v>0.20403526686403387</v>
      </c>
      <c r="HQ197" s="303">
        <v>1</v>
      </c>
      <c r="HR197" s="304">
        <f t="shared" ref="HR197:HR214" si="911">HQ197*HP197</f>
        <v>0.20403526686403387</v>
      </c>
      <c r="HS197" s="304">
        <f>HR197*(VLOOKUP(AN197,各项系数!$D$1:$F$143,2,0))</f>
        <v>2.0403526686403386</v>
      </c>
      <c r="HT197" s="315">
        <f>各项系数!$F$76/4*($MW197^2-$MT197^2)*10^-2*(VLOOKUP(AN197,各项系数!$D$1:$F$143,3,0))*10^-3*10^2*各项系数!$J$4</f>
        <v>0.20550568302236136</v>
      </c>
      <c r="HU197" s="303">
        <v>1</v>
      </c>
      <c r="HV197" s="304">
        <f t="shared" ref="HV197:HV214" si="912">HU197*HT197</f>
        <v>0.20550568302236136</v>
      </c>
      <c r="HW197" s="304">
        <f>HV197*(VLOOKUP(AN197,各项系数!$D$1:$F$143,2,0))</f>
        <v>2.0550568302236134</v>
      </c>
      <c r="HX197" s="315">
        <f>各项系数!$F$76/4*($MV197^2-$MS197^2)*10^-2*(VLOOKUP($HX$9,各项系数!$D$1:$F$143,3,0))*10^-3*10^2*各项系数!$J$4</f>
        <v>0.20403526686403387</v>
      </c>
      <c r="HY197" s="322">
        <v>1</v>
      </c>
      <c r="HZ197" s="304">
        <f t="shared" ref="HZ197:HZ214" si="913">HY197*HX197</f>
        <v>0.20403526686403387</v>
      </c>
      <c r="IA197" s="304">
        <f>HZ197*(VLOOKUP($HX$9,各项系数!$D$1:$F$143,2,0))</f>
        <v>2.2443879355043723</v>
      </c>
      <c r="IB197" s="315">
        <f>各项系数!$F$76/4*($MW197^2-$MT197^2)*10^-2*(VLOOKUP($IB$9,各项系数!$D$1:$F$143,3,0))*10^-3*10^2*各项系数!$J$4</f>
        <v>0.20550568302236136</v>
      </c>
      <c r="IC197" s="322">
        <v>1</v>
      </c>
      <c r="ID197" s="304">
        <f t="shared" ref="ID197:ID214" si="914">IC197*IB197</f>
        <v>0.20550568302236136</v>
      </c>
      <c r="IE197" s="304">
        <f>ID197*(VLOOKUP($IB$9,各项系数!$D$1:$F$143,2,0))</f>
        <v>2.2605625132459748</v>
      </c>
      <c r="IF197" s="328"/>
      <c r="IG197" s="315">
        <f t="shared" si="656"/>
        <v>8.5416906431320175E-2</v>
      </c>
      <c r="IH197" s="303">
        <v>1</v>
      </c>
      <c r="II197" s="304">
        <f t="shared" ref="II197:II214" si="915">IH197*IG197</f>
        <v>8.5416906431320175E-2</v>
      </c>
      <c r="IJ197" s="304">
        <f>II197*(VLOOKUP($IG$8,各项系数!$D$1:$F$143,2,0))</f>
        <v>2.1354226607830045</v>
      </c>
      <c r="IK197" s="315">
        <f>(各项系数!$F$76/4*($MX197^2-$MK197^2)*$EG197)*10^-2*(VLOOKUP($IG$8,各项系数!$D$1:$F$143,3,0))*10^-3*10^2*各项系数!$J$4</f>
        <v>8.5416906431320175E-2</v>
      </c>
      <c r="IL197" s="303">
        <f>IK197*(VLOOKUP($IG$8,各项系数!$D$1:$F$143,2,0))</f>
        <v>2.1354226607830045</v>
      </c>
      <c r="IM197" s="304">
        <f>(各项系数!$F$76/4*(($MM197+3*$X197)^2-MM197^2)*$EO197)*10^-2*(VLOOKUP($IG$8,各项系数!$D$1:$F$143,3,0))*10^-3*10^2*各项系数!$J$4</f>
        <v>0</v>
      </c>
      <c r="IN197" s="303">
        <f>IM197*(VLOOKUP($IG$8,各项系数!$D$1:$F$143,2,0))</f>
        <v>0</v>
      </c>
      <c r="IO197" s="315">
        <f>各项系数!$F$76/4*($MZ197^2-$MX197^2)*10^-2*(VLOOKUP(L197,各项系数!$D$1:$F$143,3,0))*10^-3*10^2*$ES197*各项系数!$J$4</f>
        <v>0.21836575401780459</v>
      </c>
      <c r="IP197" s="303">
        <v>1</v>
      </c>
      <c r="IQ197" s="304">
        <f t="shared" ref="IQ197:IQ214" si="916">IP197*IO197</f>
        <v>0.21836575401780459</v>
      </c>
      <c r="IR197" s="285">
        <f>IQ197*(VLOOKUP(L197,各项系数!$D$1:$F$143,2,0))</f>
        <v>2.5112061712047526</v>
      </c>
      <c r="IS197" s="315">
        <f>IF($L197&lt;&gt;$IS$9,0,各项系数!$F$76/4*($MZ197^2-$MX197^2)*10^-2*各项系数!$F$12*10^-3*10^2)*$ES197*各项系数!$J$4</f>
        <v>0</v>
      </c>
      <c r="IT197" s="303">
        <v>1</v>
      </c>
      <c r="IU197" s="304">
        <f t="shared" ref="IU197:IU214" si="917">IT197*IS197</f>
        <v>0</v>
      </c>
      <c r="IV197" s="285">
        <f>IU197*各项系数!$E$12</f>
        <v>0</v>
      </c>
      <c r="IW197" s="302">
        <f t="shared" ref="IW197:IW214" si="918">IQ197</f>
        <v>0.21836575401780459</v>
      </c>
      <c r="IX197" s="302">
        <f t="shared" ref="IX197:IX214" si="919">IR197</f>
        <v>2.5112061712047526</v>
      </c>
      <c r="IY197" s="339">
        <f>各项系数!$F$76/4*($NB197^2-$MZ197^2*$EG197-$NA197^2*$EO197)*10^-2</f>
        <v>1.207800717304383</v>
      </c>
      <c r="IZ197" s="284">
        <f t="shared" si="697"/>
        <v>1</v>
      </c>
      <c r="JA197" s="285">
        <f t="shared" si="606"/>
        <v>1.207800717304383</v>
      </c>
      <c r="JB197" s="282">
        <f>IF($DE197&lt;&gt;$JB$9,0,$JA197*各项系数!$F$32*10^-3*10^2)*各项系数!$J$4</f>
        <v>0</v>
      </c>
      <c r="JC197" s="102">
        <v>1</v>
      </c>
      <c r="JD197" s="189">
        <f t="shared" ref="JD197:JD214" si="920">JC197*JB197</f>
        <v>0</v>
      </c>
      <c r="JE197" s="262">
        <f>JD197*各项系数!$E$32</f>
        <v>0</v>
      </c>
      <c r="JF197" s="282">
        <f>IF($DE197&lt;&gt;$JF$9,0,$JA197*VLOOKUP($JF$9,各项系数!$D$4:$F$540,2,0)*10^-3*10^2)*各项系数!$J$4</f>
        <v>0.60088085685893056</v>
      </c>
      <c r="JG197" s="102">
        <v>1</v>
      </c>
      <c r="JH197" s="189">
        <f t="shared" si="607"/>
        <v>0.60088085685893056</v>
      </c>
      <c r="JI197" s="262">
        <f>JH197*VLOOKUP($JF$9,各项系数!$D$4:$F$540,3,0)</f>
        <v>0.7210570282307166</v>
      </c>
      <c r="JJ197" s="282">
        <f t="shared" ref="JJ197:JJ214" si="921">JH197+JD197</f>
        <v>0.60088085685893056</v>
      </c>
      <c r="JK197" s="189">
        <f t="shared" ref="JK197:JK214" si="922">JI197+JE197</f>
        <v>0.7210570282307166</v>
      </c>
      <c r="JL197" s="282">
        <f>IF($DF197&lt;&gt;$JL$9,0,各项系数!$F$76/4*($NE197^2-$NC197^2)*10^-2*各项系数!$F$39*10^-3*10^2)*各项系数!$J$4</f>
        <v>2.6998230322692199E-3</v>
      </c>
      <c r="JM197" s="102">
        <v>1</v>
      </c>
      <c r="JN197" s="189">
        <f t="shared" ref="JN197:JN214" si="923">JM197*JL197</f>
        <v>2.6998230322692199E-3</v>
      </c>
      <c r="JO197" s="262">
        <f>JN197*各项系数!$E$39</f>
        <v>5.3996460645384395E-2</v>
      </c>
      <c r="JP197" s="282">
        <f>IF($DF197&lt;&gt;$JP$9,0,各项系数!$F$76/4*($NE197^2-$NC197^2)*10^-2*各项系数!$F$36*10^-3*10^2)*各项系数!$J$4</f>
        <v>0</v>
      </c>
      <c r="JQ197" s="102">
        <v>1</v>
      </c>
      <c r="JR197" s="189">
        <f t="shared" ref="JR197:JR214" si="924">JQ197*JP197</f>
        <v>0</v>
      </c>
      <c r="JS197" s="262">
        <f>JR197*各项系数!$E$36</f>
        <v>0</v>
      </c>
      <c r="JT197" s="282">
        <f>IF($DF197&lt;&gt;$JT$9,0,各项系数!$F$76/4*($NE197^2-$NC197^2)*10^-2*各项系数!$F$40*10^-3*10^2)*各项系数!$J$4</f>
        <v>0</v>
      </c>
      <c r="JU197" s="102">
        <v>1</v>
      </c>
      <c r="JV197" s="189">
        <f t="shared" ref="JV197:JV214" si="925">JU197*JT197</f>
        <v>0</v>
      </c>
      <c r="JW197" s="262">
        <f>JV197*各项系数!$E$40</f>
        <v>0</v>
      </c>
      <c r="JX197" s="282">
        <f>IF($DF197&lt;&gt;$JX$9,0,各项系数!$F$76/4*($NE197^2-$NC197^2)*10^-2*各项系数!$F$38*10^-3*10^2)*各项系数!$J$4</f>
        <v>0</v>
      </c>
      <c r="JY197" s="102">
        <v>1</v>
      </c>
      <c r="JZ197" s="189">
        <f t="shared" ref="JZ197:JZ214" si="926">JY197*JX197</f>
        <v>0</v>
      </c>
      <c r="KA197" s="262">
        <f>JZ197*各项系数!$E$38</f>
        <v>0</v>
      </c>
      <c r="KB197" s="282">
        <f>IF($DF197&lt;&gt;$KB$9,0,各项系数!$F$76/4*($NE197^2-$NC197^2)*10^-2*各项系数!$F$41*10^-3*10^2)*各项系数!$J$4</f>
        <v>0</v>
      </c>
      <c r="KC197" s="102">
        <v>1</v>
      </c>
      <c r="KD197" s="189">
        <f t="shared" ref="KD197:KD214" si="927">KC197*KB197</f>
        <v>0</v>
      </c>
      <c r="KE197" s="262">
        <f>KD197*各项系数!$E$41</f>
        <v>0</v>
      </c>
      <c r="KF197" s="189">
        <f t="shared" ref="KF197:KF214" si="928">KD197+JZ197+JV197+JR197+JN197</f>
        <v>2.6998230322692199E-3</v>
      </c>
      <c r="KG197" s="189">
        <f t="shared" ref="KG197:KG214" si="929">KE197+KA197+JW197+JS197+JO197</f>
        <v>5.3996460645384395E-2</v>
      </c>
      <c r="KH197" s="235">
        <f>各项系数!$F$76/4*($NG197^2-$NE197^2)*10^-2*各项系数!$F$44*10^-3*10^2*各项系数!$J$4*0.75*$U197</f>
        <v>1.0873107717059733</v>
      </c>
      <c r="KI197" s="102">
        <v>1</v>
      </c>
      <c r="KJ197" s="189">
        <f t="shared" ref="KJ197:KJ214" si="930">KI197*KH197</f>
        <v>1.0873107717059733</v>
      </c>
      <c r="KK197" s="189">
        <f>ROUND(KJ197*各项系数!$E$43,GT197)</f>
        <v>6</v>
      </c>
      <c r="KL197" s="235">
        <f>各项系数!$F$76/4*($NF197^2-$NE197^2)*10^-2*各项系数!$F$46*10^-3*10^2*各项系数!$J$4*PI()/4*R197</f>
        <v>3.3791680420168911E-2</v>
      </c>
      <c r="KM197" s="102">
        <v>1</v>
      </c>
      <c r="KN197" s="189">
        <f t="shared" ref="KN197:KN214" si="931">$KL197*$KM197</f>
        <v>3.3791680420168911E-2</v>
      </c>
      <c r="KO197" s="189">
        <f>KN197*各项系数!$E$46</f>
        <v>2.2809384283614014</v>
      </c>
      <c r="KP197" s="235">
        <f>各项系数!$F$76/4*($NH197^2-$NE197^2)*10^-2*(VLOOKUP($KP$9,各项系数!$D$1:$F$143,3,0))*10^-3*10^2*各项系数!$J$4</f>
        <v>0.23670368334223232</v>
      </c>
      <c r="KQ197" s="102">
        <v>1</v>
      </c>
      <c r="KR197" s="189">
        <f t="shared" si="657"/>
        <v>0.23670368334223232</v>
      </c>
      <c r="KS197" s="189">
        <f>KR197*(VLOOKUP($KP$9,各项系数!$D$1:$F$143,2,0))</f>
        <v>4.0239626168179496</v>
      </c>
      <c r="KT197" s="235">
        <f>各项系数!$F$76/4*($NI197^2-$NF197^2)*10^-2*(VLOOKUP($KT$9,各项系数!$D$1:$F$143,3,0))*10^-3*10^2*各项系数!$J$4</f>
        <v>0.23815409383854172</v>
      </c>
      <c r="KU197" s="102">
        <v>1</v>
      </c>
      <c r="KV197" s="189">
        <f t="shared" si="658"/>
        <v>0.23815409383854172</v>
      </c>
      <c r="KW197" s="189">
        <f>KV197*(VLOOKUP($KT$9,各项系数!$D$1:$F$143,2,0))</f>
        <v>4.0486195952552091</v>
      </c>
      <c r="KX197" s="189">
        <f>各项系数!$F$76/4*($NH197^2-$NE197^2)*10^-2*(VLOOKUP($KX$9,各项系数!$D$1:$F$143,3,0))*10^-3*10^2*各项系数!$J$4</f>
        <v>0.23670368334223232</v>
      </c>
      <c r="KY197" s="353">
        <v>1</v>
      </c>
      <c r="KZ197" s="189">
        <f t="shared" si="659"/>
        <v>0.23670368334223232</v>
      </c>
      <c r="LA197" s="189">
        <f>KZ197*(VLOOKUP($KX$9,各项系数!$D$1:$F$143,2,0))</f>
        <v>4.0239626168179496</v>
      </c>
      <c r="LB197" s="189">
        <f>各项系数!$F$76/4*($NI197^2-$NF197^2)*10^-2*(VLOOKUP($LB$9,各项系数!$D$1:$F$143,3,0))*10^-3*10^2*各项系数!$J$4</f>
        <v>0.23815409383854172</v>
      </c>
      <c r="LC197" s="353">
        <v>1</v>
      </c>
      <c r="LD197" s="189">
        <f t="shared" si="660"/>
        <v>0.23815409383854172</v>
      </c>
      <c r="LE197" s="189">
        <f>LD197*(VLOOKUP($LB$9,各项系数!$D$1:$F$143,2,0))</f>
        <v>4.0486195952552091</v>
      </c>
      <c r="LF197" s="235">
        <f>各项系数!$F$76/4*($NH197^2-$NE197^2)*10^-2*(VLOOKUP(AN197,各项系数!$D$1:$F$143,3,0))*10^-3*10^2*各项系数!$J$4</f>
        <v>0.23996856173315964</v>
      </c>
      <c r="LG197" s="102">
        <v>1</v>
      </c>
      <c r="LH197" s="189">
        <f t="shared" ref="LH197:LH214" si="932">LG197*LF197</f>
        <v>0.23996856173315964</v>
      </c>
      <c r="LI197" s="189">
        <f>LH197*(VLOOKUP(AN197,各项系数!$D$1:$F$143,2,0))</f>
        <v>2.3996856173315964</v>
      </c>
      <c r="LJ197" s="235">
        <f>各项系数!$F$76/4*($NI197^2-$NF197^2)*10^-2*(VLOOKUP(AN197,各项系数!$D$1:$F$143,3,0))*10^-3*10^2*各项系数!$J$4</f>
        <v>0.24143897789148711</v>
      </c>
      <c r="LK197" s="102">
        <v>1</v>
      </c>
      <c r="LL197" s="189">
        <f t="shared" ref="LL197:LL214" si="933">LK197*LJ197</f>
        <v>0.24143897789148711</v>
      </c>
      <c r="LM197" s="189">
        <f>LL197*(VLOOKUP(AN197,各项系数!$D$1:$F$143,2,0))</f>
        <v>2.4143897789148712</v>
      </c>
      <c r="LN197" s="189">
        <f>各项系数!$F$76/4*($NH197^2-$NE197^2)*10^-2*(VLOOKUP($LN$9,各项系数!$D$1:$F$143,3,0))*10^-3*10^2*各项系数!$J$4</f>
        <v>0.23996856173315964</v>
      </c>
      <c r="LO197" s="353">
        <v>1</v>
      </c>
      <c r="LP197" s="189">
        <f t="shared" ref="LP197:LP214" si="934">LO197*LN197</f>
        <v>0.23996856173315964</v>
      </c>
      <c r="LQ197" s="189">
        <f>LP197*(VLOOKUP($LN$9,各项系数!$D$1:$F$143,2,0))</f>
        <v>2.6396541790647561</v>
      </c>
      <c r="LR197" s="189">
        <f>各项系数!$F$76/4*($NI197^2-$NF197^2)*10^-2*(VLOOKUP($LR$9,各项系数!$D$1:$F$143,3,0))*10^-3*10^2*各项系数!$J$4</f>
        <v>0.24143897789148711</v>
      </c>
      <c r="LS197" s="353">
        <v>1</v>
      </c>
      <c r="LT197" s="189">
        <f t="shared" ref="LT197:LT214" si="935">LS197*LR197</f>
        <v>0.24143897789148711</v>
      </c>
      <c r="LU197" s="189">
        <f>LT197*(VLOOKUP($LR$9,各项系数!$D$1:$F$143,2,0))</f>
        <v>2.6558287568063581</v>
      </c>
      <c r="LV197" s="227">
        <f t="shared" si="661"/>
        <v>70.040322279999998</v>
      </c>
      <c r="LW197" s="227">
        <f t="shared" si="662"/>
        <v>70.040322279999998</v>
      </c>
      <c r="LX197" s="227">
        <f t="shared" si="663"/>
        <v>9.4434161219810324</v>
      </c>
      <c r="LY197" s="227">
        <f t="shared" si="664"/>
        <v>0</v>
      </c>
      <c r="LZ197" s="374">
        <f t="shared" si="608"/>
        <v>1</v>
      </c>
      <c r="MA197" s="375">
        <f t="shared" si="609"/>
        <v>70.040322279999998</v>
      </c>
      <c r="MB197" s="375">
        <f t="shared" si="665"/>
        <v>1.7241240099999999</v>
      </c>
      <c r="MC197" s="227">
        <f t="shared" si="666"/>
        <v>0</v>
      </c>
      <c r="MD197" s="227">
        <f t="shared" si="667"/>
        <v>0</v>
      </c>
      <c r="ME197" s="227">
        <f t="shared" si="668"/>
        <v>0</v>
      </c>
      <c r="MF197" s="227">
        <f t="shared" si="669"/>
        <v>0</v>
      </c>
      <c r="MG197" s="374">
        <f t="shared" si="670"/>
        <v>1</v>
      </c>
      <c r="MH197" s="375">
        <f t="shared" si="610"/>
        <v>0</v>
      </c>
      <c r="MI197" s="375">
        <f t="shared" si="671"/>
        <v>0</v>
      </c>
      <c r="MJ197" s="189">
        <f t="shared" si="611"/>
        <v>1.7241240099999999</v>
      </c>
      <c r="MK197" s="189">
        <f t="shared" si="672"/>
        <v>1.7241240099999999</v>
      </c>
      <c r="ML197" s="189">
        <f t="shared" ref="ML197:ML214" si="936">$ER197*$EQ197*10^-2</f>
        <v>0</v>
      </c>
      <c r="MM197" s="189">
        <f t="shared" si="612"/>
        <v>0</v>
      </c>
      <c r="MN197" s="189">
        <f t="shared" si="613"/>
        <v>3.1241240100000001</v>
      </c>
      <c r="MO197" s="189">
        <f t="shared" si="673"/>
        <v>0</v>
      </c>
      <c r="MP197" s="189">
        <f t="shared" si="674"/>
        <v>20.0256349</v>
      </c>
      <c r="MQ197" s="189">
        <f t="shared" ref="MQ197:MQ214" si="937">MP197</f>
        <v>20.0256349</v>
      </c>
      <c r="MR197" s="246">
        <f t="shared" si="675"/>
        <v>20.0256349</v>
      </c>
      <c r="MS197" s="380">
        <f t="shared" si="614"/>
        <v>20.201634899999998</v>
      </c>
      <c r="MT197" s="380">
        <f t="shared" si="615"/>
        <v>20.361634899999999</v>
      </c>
      <c r="MU197" s="380">
        <f t="shared" si="616"/>
        <v>21.401634899999998</v>
      </c>
      <c r="MV197" s="380">
        <f t="shared" si="617"/>
        <v>24.201634899999998</v>
      </c>
      <c r="MW197" s="380">
        <f t="shared" si="618"/>
        <v>24.361634899999999</v>
      </c>
      <c r="MX197" s="254">
        <f t="shared" si="619"/>
        <v>2.3241240100000002</v>
      </c>
      <c r="MY197" s="254">
        <f t="shared" si="620"/>
        <v>0</v>
      </c>
      <c r="MZ197" s="189">
        <f t="shared" si="621"/>
        <v>3.7241240100000002</v>
      </c>
      <c r="NA197" s="189">
        <f t="shared" si="622"/>
        <v>0</v>
      </c>
      <c r="NB197" s="189">
        <f t="shared" si="676"/>
        <v>23.8716349</v>
      </c>
      <c r="NC197" s="254">
        <f t="shared" ref="NC197:NC214" si="938">NB197</f>
        <v>23.8716349</v>
      </c>
      <c r="ND197" s="246">
        <f t="shared" si="677"/>
        <v>23.8716349</v>
      </c>
      <c r="NE197" s="386">
        <f t="shared" si="678"/>
        <v>24.111634899999999</v>
      </c>
      <c r="NF197" s="380">
        <f t="shared" si="623"/>
        <v>24.271634899999999</v>
      </c>
      <c r="NG197" s="387">
        <f t="shared" si="624"/>
        <v>25.311634899999998</v>
      </c>
      <c r="NH197" s="254">
        <f t="shared" si="625"/>
        <v>28.111634899999999</v>
      </c>
      <c r="NI197" s="380">
        <f t="shared" si="626"/>
        <v>28.271634899999999</v>
      </c>
      <c r="NK197" s="388">
        <f t="shared" si="627"/>
        <v>1.1055853225834984</v>
      </c>
      <c r="NL197" s="388">
        <f t="shared" si="628"/>
        <v>45.008651560984418</v>
      </c>
      <c r="NM197" s="388">
        <f t="shared" si="629"/>
        <v>1.1055853225834984</v>
      </c>
      <c r="NN197" s="388">
        <f t="shared" si="630"/>
        <v>45.212686827848451</v>
      </c>
      <c r="NO197" s="388">
        <f t="shared" si="631"/>
        <v>1.7668770727405718</v>
      </c>
      <c r="NP197" s="388">
        <f t="shared" si="632"/>
        <v>48.401576616889685</v>
      </c>
      <c r="NQ197" s="388">
        <f t="shared" si="633"/>
        <v>1.7668770727405718</v>
      </c>
      <c r="NR197" s="388">
        <f t="shared" si="634"/>
        <v>48.641545178622849</v>
      </c>
      <c r="NS197" s="388">
        <f t="shared" si="635"/>
        <v>1.1339153849282861</v>
      </c>
      <c r="NT197" s="388">
        <f t="shared" si="636"/>
        <v>1.1339153849282861</v>
      </c>
      <c r="NU197" s="388">
        <f t="shared" si="637"/>
        <v>1.8006687531607408</v>
      </c>
      <c r="NV197" s="388">
        <f t="shared" si="638"/>
        <v>1.8006687531607408</v>
      </c>
      <c r="NW197">
        <f t="shared" si="639"/>
        <v>1.4106756412045582</v>
      </c>
      <c r="NX197">
        <f>各项系数!$M$9*NK197</f>
        <v>0.33167559677504949</v>
      </c>
      <c r="NY197">
        <f t="shared" si="640"/>
        <v>1.1339153849282861</v>
      </c>
    </row>
    <row r="198" spans="1:389" ht="15" hidden="1" customHeight="1">
      <c r="A198" s="69"/>
      <c r="B198" s="70"/>
      <c r="C198" s="69"/>
      <c r="D198" s="102" t="s">
        <v>291</v>
      </c>
      <c r="E198" s="61">
        <f t="shared" si="885"/>
        <v>26.04486807</v>
      </c>
      <c r="F198" s="62">
        <f t="shared" si="820"/>
        <v>172.412400708262</v>
      </c>
      <c r="G198" s="16"/>
      <c r="H198" s="16"/>
      <c r="I198" s="145">
        <v>0</v>
      </c>
      <c r="J198" s="16"/>
      <c r="K198" s="16"/>
      <c r="L198" s="97" t="s">
        <v>469</v>
      </c>
      <c r="M198" s="103">
        <f t="shared" si="582"/>
        <v>0.7</v>
      </c>
      <c r="N198" s="103">
        <f t="shared" si="804"/>
        <v>0</v>
      </c>
      <c r="O198" s="53">
        <f t="shared" ref="O198:O207" si="939">$O$36</f>
        <v>0.08</v>
      </c>
      <c r="P198" s="99">
        <v>0.1</v>
      </c>
      <c r="Q198" s="133">
        <f t="shared" si="882"/>
        <v>0.1</v>
      </c>
      <c r="R198" s="406">
        <v>0.8</v>
      </c>
      <c r="S198" s="142" t="str">
        <f>各项系数!$D$43</f>
        <v>钢带</v>
      </c>
      <c r="T198" s="102">
        <v>0.2</v>
      </c>
      <c r="U198" s="62">
        <v>4</v>
      </c>
      <c r="V198" s="143"/>
      <c r="W198" s="141">
        <f>$W$197</f>
        <v>2</v>
      </c>
      <c r="X198" s="135">
        <f t="shared" si="883"/>
        <v>0.2</v>
      </c>
      <c r="Y198" s="135"/>
      <c r="Z198" s="168"/>
      <c r="AA198" s="153">
        <v>1</v>
      </c>
      <c r="AB198" s="153">
        <f>PI()*EJ198*EJ198/4*EH198*(1-H198)*AA198*各项系数!$F$5*各项系数!$J$4*10^-7</f>
        <v>2.0651505688902914E-2</v>
      </c>
      <c r="AC198" s="153">
        <f t="shared" si="886"/>
        <v>172.412400708262</v>
      </c>
      <c r="AD198" s="153">
        <f t="shared" si="584"/>
        <v>2.3346774015073022</v>
      </c>
      <c r="AE198" s="153">
        <f>POWER(4*EU198/PI()/EG198/10^-7/EH198/(1-H198)/各项系数!$F$5/各项系数!$J$4,0.5)</f>
        <v>172.412400708262</v>
      </c>
      <c r="AF198" s="69">
        <v>1</v>
      </c>
      <c r="AG198" s="69">
        <f>IF(EM198=0,0,PI()*ER198*ER198/4*EP198*(1-K198)*(1+AF198)*各项系数!$F$5*各项系数!$J$4*10^-7)</f>
        <v>0</v>
      </c>
      <c r="AH198" s="69">
        <f t="shared" si="887"/>
        <v>0</v>
      </c>
      <c r="AI198" s="69">
        <f t="shared" si="641"/>
        <v>0</v>
      </c>
      <c r="AJ198" s="69">
        <f>IF(OR(EP198="",EP198=0),0,POWER(4*EW198/PI()/EO198/10^-7/EP198/(1-K198)/各项系数!$F$5/各项系数!$J$4,0.5))</f>
        <v>0</v>
      </c>
      <c r="AK198" s="69" t="str">
        <f t="shared" si="585"/>
        <v>√</v>
      </c>
      <c r="AL198" s="69">
        <f t="shared" si="888"/>
        <v>57.026237308032137</v>
      </c>
      <c r="AM198" s="188">
        <f t="shared" si="889"/>
        <v>2.5</v>
      </c>
      <c r="AN198" s="97" t="s">
        <v>486</v>
      </c>
      <c r="AO198" s="196">
        <f>AP198+各项系数!$M$9*$NK198</f>
        <v>55.90807579218837</v>
      </c>
      <c r="AP198" s="196">
        <f>AQ198*(1+$BI198+(VLOOKUP($AM198,$A$12:$B$323,2,0))+各项系数!$J$6+各项系数!$M$5)*(1+$E$2)</f>
        <v>55.51304281273999</v>
      </c>
      <c r="AQ198" s="197">
        <f>AR198+各项系数!$L$9*$NK198</f>
        <v>56.645962053816319</v>
      </c>
      <c r="AR198" s="197">
        <f>AS198*(1+$BJ198+各项系数!$J$5+各项系数!$L$5)</f>
        <v>56.250929074367939</v>
      </c>
      <c r="AS198" s="197">
        <f t="shared" si="642"/>
        <v>55.14796968075288</v>
      </c>
      <c r="AT198" s="196">
        <f>AU198+各项系数!$M$9*$NM198</f>
        <v>57.403191057886261</v>
      </c>
      <c r="AU198" s="196">
        <f>AV198*(1+$BI198+(VLOOKUP($AM198,$A$12:$B$323,2,0))+各项系数!$J$6+各项系数!$M$5)*(1+$E$2)</f>
        <v>57.00815807843788</v>
      </c>
      <c r="AV198" s="197">
        <f>AW198+各项系数!$L$9*$NM198</f>
        <v>58.171589875957025</v>
      </c>
      <c r="AW198" s="197">
        <f>AX198*(1+$BJ198+各项系数!$J$5+各项系数!$L$5)</f>
        <v>57.776556896508644</v>
      </c>
      <c r="AX198" s="197">
        <f t="shared" si="643"/>
        <v>56.643683231871222</v>
      </c>
      <c r="AY198" s="196">
        <f>AZ198+各项系数!$M$9*$NS198</f>
        <v>58.026367809892669</v>
      </c>
      <c r="AZ198" s="196">
        <f>BA198*(1+$BI198+(VLOOKUP($AM198,$A$12:$B$214,2,0))+各项系数!$J$6+各项系数!$M$5)*(1+$E$2)</f>
        <v>57.622063404917441</v>
      </c>
      <c r="BA198" s="197">
        <f>BB198+各项系数!$L$9*$NS198</f>
        <v>58.79802388256882</v>
      </c>
      <c r="BB198" s="197">
        <f>BC198*(1+$BJ198+各项系数!$J$5+各项系数!$L$5)</f>
        <v>58.393719477593592</v>
      </c>
      <c r="BC198" s="199">
        <f t="shared" si="644"/>
        <v>57.248744585876068</v>
      </c>
      <c r="BD198" s="196">
        <f>BE198+各项系数!$M$9*$NS198</f>
        <v>59.531431911317817</v>
      </c>
      <c r="BE198" s="196">
        <f>BF198*(1+$BI198+(VLOOKUP($AM198,$A$12:$B$214,2,0))+各项系数!$J$6+各项系数!$M$5)*(1+$E$2)</f>
        <v>59.127127506342589</v>
      </c>
      <c r="BF198" s="197">
        <f>BG198+各项系数!$L$9*$NS198</f>
        <v>60.333803577900603</v>
      </c>
      <c r="BG198" s="197">
        <f>BH198*(1+$BJ198+各项系数!$J$5+各项系数!$L$5)</f>
        <v>59.929499172925375</v>
      </c>
      <c r="BH198" s="199">
        <f t="shared" si="645"/>
        <v>58.754410953848407</v>
      </c>
      <c r="BI198" s="213"/>
      <c r="BJ198" s="208">
        <f t="shared" si="822"/>
        <v>0</v>
      </c>
      <c r="BK198" s="102" t="s">
        <v>514</v>
      </c>
      <c r="BL198" s="196">
        <f>BM198+各项系数!$M$9*$NM198</f>
        <v>56.6715778237023</v>
      </c>
      <c r="BM198" s="196">
        <f>BN198*(1+$CF198+(VLOOKUP($AM198,$A$12:$B$323,2,0))+各项系数!$J$6+各项系数!$M$5)*(1+$E$2)</f>
        <v>56.27654484425392</v>
      </c>
      <c r="BN198" s="197">
        <f>BO198+各项系数!$L$9*$NM198</f>
        <v>57.425045759442774</v>
      </c>
      <c r="BO198" s="197">
        <f>BP198*(1+$CG198+各项系数!$J$5+各项系数!$L$5)</f>
        <v>57.030012779994394</v>
      </c>
      <c r="BP198" s="197">
        <f t="shared" si="646"/>
        <v>55.368944446596494</v>
      </c>
      <c r="BQ198" s="196">
        <f>BR198+各项系数!$M$9*$NM198</f>
        <v>57.958299153558606</v>
      </c>
      <c r="BR198" s="196">
        <f>BS198*(1+$CF198+(VLOOKUP($AM198,$A$12:$B$323,2,0))+各项系数!$J$6+各项系数!$M$5)*(1+$E$2)</f>
        <v>57.563266174110225</v>
      </c>
      <c r="BS198" s="197">
        <f>BT198+各项系数!$L$9*$NM198</f>
        <v>58.73802670827574</v>
      </c>
      <c r="BT198" s="197">
        <f>BU198*(1+$CG198+各项系数!$J$5+各项系数!$L$5)</f>
        <v>58.342993728827359</v>
      </c>
      <c r="BU198" s="197">
        <f t="shared" si="647"/>
        <v>56.643683231871222</v>
      </c>
      <c r="BV198" s="196">
        <f>BW198+各项系数!$M$9*$NT198</f>
        <v>58.423821491763171</v>
      </c>
      <c r="BW198" s="196">
        <f>BX198*(1+$CF198+(VLOOKUP($AM198,$A$12:$B$214,2,0))+各项系数!$J$6+各项系数!$M$5)*(1+$E$2)</f>
        <v>58.019517086787943</v>
      </c>
      <c r="BX198" s="197">
        <f>BY198+各项系数!$L$9*$NT$12</f>
        <v>59.203588864069332</v>
      </c>
      <c r="BY198" s="197">
        <f>BZ198*(1+$CG198+各项系数!$J$5+各项系数!$L$5)</f>
        <v>59.195325460914361</v>
      </c>
      <c r="BZ198" s="199">
        <f t="shared" si="586"/>
        <v>57.471189767878016</v>
      </c>
      <c r="CA198" s="196">
        <f>CB198+各项系数!$M$9*$NT198</f>
        <v>59.719104956881679</v>
      </c>
      <c r="CB198" s="196">
        <f>CC198*(1+$CF198+(VLOOKUP($AM198,$A$12:$B$214,2,0))+各项系数!$J$6+各项系数!$M$5)*(1+$E$2)</f>
        <v>59.314800551906451</v>
      </c>
      <c r="CC198" s="197">
        <f>CD198+各项系数!$L$9*$NT$12</f>
        <v>60.52530668561883</v>
      </c>
      <c r="CD198" s="197">
        <f>CE198*(1+$CG198+各项系数!$J$5+各项系数!$L$5)</f>
        <v>60.51704328246386</v>
      </c>
      <c r="CE198" s="199">
        <f t="shared" si="648"/>
        <v>58.754410953848407</v>
      </c>
      <c r="CF198" s="213">
        <f t="shared" si="884"/>
        <v>0</v>
      </c>
      <c r="CG198" s="213">
        <f t="shared" si="587"/>
        <v>0.01</v>
      </c>
      <c r="CH198" s="102"/>
      <c r="CI198" s="196">
        <f>CJ198+各项系数!$M$9*$NO198</f>
        <v>60.811017331710872</v>
      </c>
      <c r="CJ198" s="196">
        <f>CK198*(1+$DC198+(VLOOKUP($AM198,$A$12:$B$323,2,0))+各项系数!$J$6+各项系数!$M$5)*(1+$E$2)+各项系数!$M$9*$NK198</f>
        <v>60.195364074660333</v>
      </c>
      <c r="CK198" s="197">
        <f>CL198+各项系数!$L$9*$NO198</f>
        <v>61.020746015522398</v>
      </c>
      <c r="CL198" s="197">
        <f>CM198*(1+$DD198+各项系数!$J$5+各项系数!$L$5)</f>
        <v>60.405092758471859</v>
      </c>
      <c r="CM198" s="197">
        <f t="shared" si="588"/>
        <v>59.22067917497241</v>
      </c>
      <c r="CN198" s="196">
        <f>CO198+各项系数!$M$9*$NO198</f>
        <v>61.914423437576993</v>
      </c>
      <c r="CO198" s="196">
        <f>CP198*(1+$DC198+(VLOOKUP($AM198,$A$12:$B$323,2,0))+各项系数!$J$6+各项系数!$M$5)*(1+$E$2)+各项系数!$M$9*$NK198</f>
        <v>61.298770180526454</v>
      </c>
      <c r="CP198" s="197">
        <f>CQ198+各项系数!$L$9*$NO198</f>
        <v>62.146670613344973</v>
      </c>
      <c r="CQ198" s="197">
        <f>CR198*(1+$DD198+各项系数!$J$5+各项系数!$L$5)</f>
        <v>61.531017356294434</v>
      </c>
      <c r="CR198" s="197">
        <f t="shared" si="589"/>
        <v>60.324526819896505</v>
      </c>
      <c r="CS198" s="196">
        <f>CT198+各项系数!$M$9*$NU198</f>
        <v>62.939690028007078</v>
      </c>
      <c r="CT198" s="196">
        <f t="shared" si="590"/>
        <v>62.312978516314089</v>
      </c>
      <c r="CU198" s="197">
        <f>CV198+各项系数!$L$9*$NU198</f>
        <v>63.584671955422543</v>
      </c>
      <c r="CV198" s="197">
        <f>CW198*(1+$DD198+各项系数!$J$5+各项系数!$L$5)</f>
        <v>62.957960443729554</v>
      </c>
      <c r="CW198" s="199">
        <f t="shared" si="591"/>
        <v>61.723490631107403</v>
      </c>
      <c r="CX198" s="196">
        <f>CY198+各项系数!$M$9*$NU198</f>
        <v>64.709890601563259</v>
      </c>
      <c r="CY198" s="196">
        <f t="shared" si="592"/>
        <v>64.083179089870271</v>
      </c>
      <c r="CZ198" s="197">
        <f>DA198+各项系数!$L$9*$NU198</f>
        <v>65.390999071296193</v>
      </c>
      <c r="DA198" s="197">
        <f>DB198*(1+$DD198+各项系数!$J$5+各项系数!$L$5)</f>
        <v>64.764287559603204</v>
      </c>
      <c r="DB198" s="199">
        <f t="shared" si="593"/>
        <v>63.494399568238428</v>
      </c>
      <c r="DC198" s="213">
        <f t="shared" si="827"/>
        <v>0</v>
      </c>
      <c r="DD198" s="213">
        <f t="shared" si="594"/>
        <v>0</v>
      </c>
      <c r="DE198" s="53" t="s">
        <v>498</v>
      </c>
      <c r="DF198" s="53" t="s">
        <v>513</v>
      </c>
      <c r="DG198" s="196">
        <f>DH198+各项系数!$M$9*$NQ198</f>
        <v>61.653986860839389</v>
      </c>
      <c r="DH198" s="196">
        <f>DI198*(1+$EA198+(VLOOKUP($AM198,$A$12:$B$323,2,0))+各项系数!$J$6+各项系数!$M$5)*(1+$E$2)+各项系数!$M$9*$NK198</f>
        <v>61.03833360378885</v>
      </c>
      <c r="DI198" s="197">
        <f>DJ198+各项系数!$L$9*$NQ198</f>
        <v>61.880919004429053</v>
      </c>
      <c r="DJ198" s="197">
        <f>DK198*(1+$EB198+各项系数!$J$5+各项系数!$L$5)</f>
        <v>61.265265747378514</v>
      </c>
      <c r="DK198" s="197">
        <f t="shared" si="595"/>
        <v>59.480840531435447</v>
      </c>
      <c r="DL198" s="196">
        <f>DM198+各项系数!$M$9*$NQ198</f>
        <v>63.168889095433236</v>
      </c>
      <c r="DM198" s="196">
        <f>DN198*(1+$EA198+(VLOOKUP($AM198,$A$12:$B$323,2,0))+各项系数!$J$6+各项系数!$M$5)*(1+$E$2)+各项系数!$M$9*$NK198</f>
        <v>62.553235838382697</v>
      </c>
      <c r="DN198" s="197">
        <f>DO198+各项系数!$L$9*$NQ198</f>
        <v>63.426737611157471</v>
      </c>
      <c r="DO198" s="197">
        <f>DP198*(1+$EB198+各项系数!$J$5+各项系数!$L$5)</f>
        <v>62.811084354106931</v>
      </c>
      <c r="DP198" s="197">
        <f t="shared" si="596"/>
        <v>60.981635295249447</v>
      </c>
      <c r="DQ198" s="196">
        <f>DR198+各项系数!$M$9*$NV198</f>
        <v>63.808671347475929</v>
      </c>
      <c r="DR198" s="196">
        <f t="shared" si="597"/>
        <v>63.181959835782941</v>
      </c>
      <c r="DS198" s="197">
        <f>DT198+各项系数!$L$9*$NV198</f>
        <v>64.471387587533613</v>
      </c>
      <c r="DT198" s="197">
        <f>DU198*(1+$EB198+各项系数!$J$5+各项系数!$L$5)</f>
        <v>63.844676075840631</v>
      </c>
      <c r="DU198" s="199">
        <f t="shared" si="598"/>
        <v>61.985122403728766</v>
      </c>
      <c r="DV198" s="196">
        <f>DW198+各项系数!$M$9*$NV198</f>
        <v>62.205868189301292</v>
      </c>
      <c r="DW198" s="196">
        <f t="shared" si="599"/>
        <v>61.579156677608303</v>
      </c>
      <c r="DX198" s="197">
        <f>DY198+各项系数!$L$9*$NV198</f>
        <v>62.835874160824801</v>
      </c>
      <c r="DY198" s="197">
        <f>DZ198*(1+$EB198+各项系数!$J$5+各项系数!$L$5)</f>
        <v>62.209162649131812</v>
      </c>
      <c r="DZ198" s="199">
        <f t="shared" si="600"/>
        <v>60.397245290419235</v>
      </c>
      <c r="EA198" s="213">
        <f t="shared" si="826"/>
        <v>0</v>
      </c>
      <c r="EB198" s="213">
        <f t="shared" si="601"/>
        <v>0.01</v>
      </c>
      <c r="EC198" s="235">
        <f t="shared" si="649"/>
        <v>37</v>
      </c>
      <c r="ED198" s="235" t="str">
        <f t="shared" si="890"/>
        <v>37*2.5</v>
      </c>
      <c r="EE198" s="189">
        <f t="shared" si="891"/>
        <v>2.5</v>
      </c>
      <c r="EF198" s="189">
        <f>LOOKUP(EH198,{1,7,10,14,19,24,30,37,48,61},{1,"1+6","2+8","4+10","1+6+12","2+8+14","4+10+16","1+6+12+18","3+9+15+21","1+6+12+18+24"})</f>
        <v>1</v>
      </c>
      <c r="EG198" s="188">
        <f t="shared" si="602"/>
        <v>37</v>
      </c>
      <c r="EH198" s="197">
        <f>VLOOKUP(EE198,各项系数!$B$87:$C$124,2,0)</f>
        <v>1</v>
      </c>
      <c r="EI198" s="188">
        <f>IF(EH198=0,0,VLOOKUP(EH198,各项系数!$D$142:$E$195,2,0))*1</f>
        <v>1</v>
      </c>
      <c r="EJ198" s="238">
        <f t="shared" si="650"/>
        <v>172.412400708262</v>
      </c>
      <c r="EK198" s="189">
        <f t="shared" si="892"/>
        <v>0</v>
      </c>
      <c r="EL198" s="189">
        <f t="shared" si="603"/>
        <v>0</v>
      </c>
      <c r="EM198" s="189">
        <f t="shared" si="893"/>
        <v>0</v>
      </c>
      <c r="EN198" s="189">
        <f>IF(EP198=0,0,LOOKUP(EP198,{1,7,10,14,19,24,30,37,48,61},{1,"1+6","2+8","4+10","1+6+12","2+8+14","4+10+16","1+6+12+18","3+9+15+21","1+6+12+18+24"}))</f>
        <v>0</v>
      </c>
      <c r="EO198" s="189">
        <f t="shared" si="894"/>
        <v>0</v>
      </c>
      <c r="EP198" s="189">
        <f>IF(EM198=0,0,IF(EM198&lt;10,1,IF(AND(EM198&gt;=10,EM198&lt;=35),7,LOOKUP(EM198,{50,70,95,120,150,185,240,300},{10,14,19,24,30,37,48,61})*1)))</f>
        <v>0</v>
      </c>
      <c r="EQ198" s="189">
        <f>IF(EP198=0,0,VLOOKUP(EP198,各项系数!$D$142:$E$195,2,0))*1</f>
        <v>0</v>
      </c>
      <c r="ER198" s="53">
        <f t="shared" si="895"/>
        <v>0</v>
      </c>
      <c r="ES198" s="412">
        <f t="shared" si="896"/>
        <v>37</v>
      </c>
      <c r="ET198" s="189">
        <f>VLOOKUP(ES198,各项系数!$D$142:$E$195,2,0)*1</f>
        <v>7</v>
      </c>
      <c r="EU198" s="243">
        <f>((各项系数!$F$76/4*$EJ198^2*$EG198*$EH198*1*10^-7)*(1-$H198)*AA198)*(VLOOKUP($EY$9,各项系数!$D$4:$F$143,3,0))*各项系数!$J$4</f>
        <v>0.7641057104894079</v>
      </c>
      <c r="EV198" s="244">
        <f>EU198*(VLOOKUP($EY$9,各项系数!$D$4:$F$143,2,0))</f>
        <v>50.048924037056217</v>
      </c>
      <c r="EW198" s="252">
        <f>(IF($EO198=0,0,(各项系数!$F$76/4*$ER198^2*$EO198*$EP198*1*10^-7))*(1-$K198)*$AF198)*(VLOOKUP($EY$9,各项系数!$D$4:$F$143,3,0))*各项系数!$J$4</f>
        <v>0</v>
      </c>
      <c r="EX198" s="253">
        <f>EW198*(VLOOKUP($EY$9,各项系数!$D$4:$F$143,2,0))</f>
        <v>0</v>
      </c>
      <c r="EY198" s="189">
        <f>((各项系数!$F$76/4*$EJ198^2*$EG198*$EH198*1*10^-7)*(1-$H198)*AA198+IF($EO198=0,0,(各项系数!$F$76/4*$ER198^2*$EO198*$EP198*1*10^-7))*(1-$K198)*$AF198)*(VLOOKUP($EY$9,各项系数!$D$4:$F$143,3,0))*各项系数!$J$4</f>
        <v>0.7641057104894079</v>
      </c>
      <c r="EZ198" s="102">
        <v>1</v>
      </c>
      <c r="FA198" s="189">
        <f t="shared" si="897"/>
        <v>0.7641057104894079</v>
      </c>
      <c r="FB198" s="254">
        <f>FA198*(VLOOKUP($EY$9,各项系数!$D$4:$F$143,2,0))</f>
        <v>50.048924037056217</v>
      </c>
      <c r="FC198" s="255"/>
      <c r="FD198" s="235">
        <f>各项系数!$F$76/4*($MN198^2-MK198^2)*10^-2*(VLOOKUP(L198,各项系数!$D$1:$F$143,3,0))*10^-3*10^2*$EG198*各项系数!$J$4</f>
        <v>0.21588389039226402</v>
      </c>
      <c r="FE198" s="262">
        <f>FD198*VLOOKUP(L198,各项系数!$D$1:$F$143,2,0)</f>
        <v>2.4826647395110362</v>
      </c>
      <c r="FF198" s="188">
        <f>各项系数!$F$76/4*($MO198^2-ML198^2)*10^-2*(VLOOKUP(L198,各项系数!$D$1:$F$143,3,0))*10^-3*10^2*$EO198*各项系数!$J$4</f>
        <v>0</v>
      </c>
      <c r="FG198" s="262">
        <f>FF198*VLOOKUP(L198,各项系数!$D$1:$F$143,2,0)</f>
        <v>0</v>
      </c>
      <c r="FH198" s="235">
        <f t="shared" si="651"/>
        <v>0.21588389039226402</v>
      </c>
      <c r="FI198" s="102">
        <v>1</v>
      </c>
      <c r="FJ198" s="189">
        <f t="shared" si="898"/>
        <v>0.21588389039226402</v>
      </c>
      <c r="FK198" s="262">
        <f>FJ198*VLOOKUP(L198,各项系数!$D$1:$F$143,2,0)</f>
        <v>2.4826647395110362</v>
      </c>
      <c r="FL198" s="235"/>
      <c r="FM198" s="102"/>
      <c r="FN198" s="189"/>
      <c r="FO198" s="262"/>
      <c r="FP198" s="282">
        <f t="shared" si="899"/>
        <v>0.21588389039226402</v>
      </c>
      <c r="FQ198" s="282">
        <f t="shared" si="900"/>
        <v>2.4826647395110362</v>
      </c>
      <c r="FR198" s="283">
        <f>各项系数!$F$76/4*($MQ198^2-$MN198^2*$EG198-$MO198^2*$EO198)*10^-2</f>
        <v>0.91987254435035215</v>
      </c>
      <c r="FS198" s="284">
        <f t="shared" si="652"/>
        <v>1</v>
      </c>
      <c r="FT198" s="285">
        <f t="shared" si="604"/>
        <v>0.91987254435035215</v>
      </c>
      <c r="FU198" s="302">
        <f>$FT198*(VLOOKUP($FT$9,各项系数!$D$1:$F$143,3,0))*10^-3*10^2*各项系数!$J$55</f>
        <v>0.10983278179543203</v>
      </c>
      <c r="FV198" s="303">
        <v>1</v>
      </c>
      <c r="FW198" s="304">
        <f t="shared" si="901"/>
        <v>0.10983278179543203</v>
      </c>
      <c r="FX198" s="285">
        <f>FW198*(VLOOKUP($FT$9,各项系数!$D$1:$F$143,2,0))</f>
        <v>0.32949834538629608</v>
      </c>
      <c r="FY198" s="302">
        <f>IF($BK198&lt;&gt;$FY$9,0,各项系数!$F$76/4*($MS198^2-$MQ198^2)*10^-2*(VLOOKUP($FY$9,各项系数!$D$1:$F$143,3,0))*10^-3*10^2)*各项系数!$J$4</f>
        <v>0</v>
      </c>
      <c r="FZ198" s="303">
        <v>1</v>
      </c>
      <c r="GA198" s="304">
        <f t="shared" si="902"/>
        <v>0</v>
      </c>
      <c r="GB198" s="285">
        <f>GA198*(VLOOKUP($FY$9,各项系数!$D$1:$F$143,2,0))</f>
        <v>0</v>
      </c>
      <c r="GC198" s="302">
        <f>IF($BK198&lt;&gt;$GC$9,0,各项系数!$F$76/4*($MS198^2-$MQ198^2)*10^-2*(VLOOKUP($GC$9,各项系数!$D$1:$F$143,3,0))*10^-3*10^2)*各项系数!$J$4</f>
        <v>5.9794496405560027E-3</v>
      </c>
      <c r="GD198" s="303">
        <v>1</v>
      </c>
      <c r="GE198" s="304">
        <f t="shared" si="903"/>
        <v>5.9794496405560027E-3</v>
      </c>
      <c r="GF198" s="285">
        <f>GE198*(VLOOKUP($GC$9,各项系数!$D$1:$F$143,2,0))</f>
        <v>7.7134900363172443E-2</v>
      </c>
      <c r="GG198" s="302">
        <f>IF($BK198&lt;&gt;$GG$9,0,各项系数!$F$76/4*($MS198^2-$MQ198^2)*10^-2*(VLOOKUP($GG$9,各项系数!$D$1:$F$143,3,0))*10^-3*10^2)*各项系数!$J$4</f>
        <v>0</v>
      </c>
      <c r="GH198" s="303">
        <v>1</v>
      </c>
      <c r="GI198" s="304">
        <f t="shared" si="904"/>
        <v>0</v>
      </c>
      <c r="GJ198" s="285">
        <f>GI198*(VLOOKUP($GG$9,各项系数!$D$1:$F$143,2,0))</f>
        <v>0</v>
      </c>
      <c r="GK198" s="302">
        <f>IF($BK198&lt;&gt;$GK$9,0,各项系数!$F$76/4*($MS198^2-$MQ198^2)*10^-2*(VLOOKUP($GK$9,各项系数!$D$1:$F$143,3,0))*10^-3*10^2)*各项系数!$J$4</f>
        <v>0</v>
      </c>
      <c r="GL198" s="303">
        <v>1</v>
      </c>
      <c r="GM198" s="304">
        <f t="shared" si="905"/>
        <v>0</v>
      </c>
      <c r="GN198" s="285">
        <f>GM198*(VLOOKUP($GK$9,各项系数!$D$1:$F$143,2,0))</f>
        <v>0</v>
      </c>
      <c r="GO198" s="304">
        <f t="shared" si="906"/>
        <v>5.9794496405560027E-3</v>
      </c>
      <c r="GP198" s="304">
        <f t="shared" si="907"/>
        <v>7.7134900363172443E-2</v>
      </c>
      <c r="GQ198" s="315">
        <f>各项系数!$F$76/4*($MU198^2-$MS198^2)*10^-2*(VLOOKUP($S198,各项系数!$D$1:$F$143,3,0))*10^-3*10^2*各项系数!$J$4</f>
        <v>0.33212437617622814</v>
      </c>
      <c r="GR198" s="303">
        <v>1</v>
      </c>
      <c r="GS198" s="304">
        <f t="shared" si="908"/>
        <v>0.33212437617622814</v>
      </c>
      <c r="GT198" s="304">
        <f t="shared" si="909"/>
        <v>0</v>
      </c>
      <c r="GU198" s="304">
        <f>ROUND($GS198*(VLOOKUP($S198,各项系数!$D$1:$F$143,2,0))+$E$3*GS198,GT198)</f>
        <v>2</v>
      </c>
      <c r="GV198" s="315">
        <f>各项系数!$F$76/4*($MT198^2-$MS198^2)*10^-2*(VLOOKUP($GV$9,各项系数!$D$1:$F$143,3,0))*10^-3*10^2*各项系数!$J$4*PI()/4*R198</f>
        <v>3.0904751756146921E-2</v>
      </c>
      <c r="GW198" s="303">
        <v>1</v>
      </c>
      <c r="GX198" s="304">
        <f t="shared" si="910"/>
        <v>3.0904751756146921E-2</v>
      </c>
      <c r="GY198" s="304">
        <f>$GX198*(VLOOKUP($GV$9,各项系数!$D$1:$F$143,2,0))</f>
        <v>2.0860707435399171</v>
      </c>
      <c r="GZ198" s="315">
        <f>各项系数!$F$76/4*($MV198^2-$MS198^2)*10^-2*(VLOOKUP($GZ$9,各项系数!$D$1:$F$143,3,0))*10^-3*10^2*各项系数!$J$4</f>
        <v>0.21796830644438253</v>
      </c>
      <c r="HA198" s="303">
        <v>1</v>
      </c>
      <c r="HB198" s="304">
        <f t="shared" si="653"/>
        <v>0.21796830644438253</v>
      </c>
      <c r="HC198" s="304">
        <f>HB198*(VLOOKUP($GZ$9,各项系数!$D$1:$F$143,2,0))</f>
        <v>3.7054612095545032</v>
      </c>
      <c r="HD198" s="315">
        <f>各项系数!$F$76/4*($MW198^2-$MT198^2)*10^-2*(VLOOKUP($HD$9,各项系数!$D$1:$F$143,3,0))*10^-3*10^2*各项系数!$J$4</f>
        <v>0.21941871694069187</v>
      </c>
      <c r="HE198" s="303">
        <v>1</v>
      </c>
      <c r="HF198" s="304">
        <f t="shared" si="654"/>
        <v>0.21941871694069187</v>
      </c>
      <c r="HG198" s="304">
        <f>HF198*(VLOOKUP($HD$9,各项系数!$D$1:$F$143,2,0))</f>
        <v>3.7301181879917618</v>
      </c>
      <c r="HH198" s="315">
        <f>各项系数!$F$76/4*($MV198^2-$MS198^2)*10^-2*(VLOOKUP($HH$9,各项系数!$D$1:$F$143,3,0))*10^-3*10^2*各项系数!$J$4</f>
        <v>0.21796830644438253</v>
      </c>
      <c r="HI198" s="322">
        <v>1</v>
      </c>
      <c r="HJ198" s="304">
        <f t="shared" si="655"/>
        <v>0.21796830644438253</v>
      </c>
      <c r="HK198" s="304">
        <f>HJ198*(VLOOKUP($HH$9,各项系数!$D$1:$F$143,2,0))</f>
        <v>3.7054612095545032</v>
      </c>
      <c r="HL198" s="315">
        <f>各项系数!$F$76/4*($MW198^2-$MT198^2)*10^-2*(VLOOKUP($HL$9,各项系数!$D$1:$F$143,3,0))*10^-3*10^2*各项系数!$J$4</f>
        <v>0.21941871694069187</v>
      </c>
      <c r="HM198" s="322">
        <v>1</v>
      </c>
      <c r="HN198" s="304">
        <f t="shared" si="605"/>
        <v>0.21941871694069187</v>
      </c>
      <c r="HO198" s="304">
        <f>HN198*(VLOOKUP($HL$9,各项系数!$D$1:$F$143,2,0))</f>
        <v>3.7301181879917618</v>
      </c>
      <c r="HP198" s="315">
        <f>各项系数!$F$76/4*($MV198^2-$MS198^2)*10^-2*(VLOOKUP(AN198,各项系数!$D$1:$F$143,3,0))*10^-3*10^2*各项系数!$J$4</f>
        <v>0.22097476584361539</v>
      </c>
      <c r="HQ198" s="303">
        <v>1</v>
      </c>
      <c r="HR198" s="304">
        <f t="shared" si="911"/>
        <v>0.22097476584361539</v>
      </c>
      <c r="HS198" s="304">
        <f>HR198*(VLOOKUP(AN198,各项系数!$D$1:$F$143,2,0))</f>
        <v>2.2097476584361537</v>
      </c>
      <c r="HT198" s="315">
        <f>各项系数!$F$76/4*($MW198^2-$MT198^2)*10^-2*(VLOOKUP(AN198,各项系数!$D$1:$F$143,3,0))*10^-3*10^2*各项系数!$J$4</f>
        <v>0.22244518200194283</v>
      </c>
      <c r="HU198" s="303">
        <v>1</v>
      </c>
      <c r="HV198" s="304">
        <f t="shared" si="912"/>
        <v>0.22244518200194283</v>
      </c>
      <c r="HW198" s="304">
        <f>HV198*(VLOOKUP(AN198,各项系数!$D$1:$F$143,2,0))</f>
        <v>2.2244518200194281</v>
      </c>
      <c r="HX198" s="315">
        <f>各项系数!$F$76/4*($MV198^2-$MS198^2)*10^-2*(VLOOKUP($HX$9,各项系数!$D$1:$F$143,3,0))*10^-3*10^2*各项系数!$J$4</f>
        <v>0.22097476584361539</v>
      </c>
      <c r="HY198" s="322">
        <v>1</v>
      </c>
      <c r="HZ198" s="304">
        <f t="shared" si="913"/>
        <v>0.22097476584361539</v>
      </c>
      <c r="IA198" s="304">
        <f>HZ198*(VLOOKUP($HX$9,各项系数!$D$1:$F$143,2,0))</f>
        <v>2.4307224242797694</v>
      </c>
      <c r="IB198" s="315">
        <f>各项系数!$F$76/4*($MW198^2-$MT198^2)*10^-2*(VLOOKUP($IB$9,各项系数!$D$1:$F$143,3,0))*10^-3*10^2*各项系数!$J$4</f>
        <v>0.22244518200194283</v>
      </c>
      <c r="IC198" s="322">
        <v>1</v>
      </c>
      <c r="ID198" s="304">
        <f t="shared" si="914"/>
        <v>0.22244518200194283</v>
      </c>
      <c r="IE198" s="304">
        <f>ID198*(VLOOKUP($IB$9,各项系数!$D$1:$F$143,2,0))</f>
        <v>2.4468970020213709</v>
      </c>
      <c r="IF198" s="328"/>
      <c r="IG198" s="315">
        <f t="shared" si="656"/>
        <v>0.10534751793196152</v>
      </c>
      <c r="IH198" s="303">
        <v>1</v>
      </c>
      <c r="II198" s="304">
        <f t="shared" si="915"/>
        <v>0.10534751793196152</v>
      </c>
      <c r="IJ198" s="304">
        <f>II198*(VLOOKUP($IG$8,各项系数!$D$1:$F$143,2,0))</f>
        <v>2.6336879482990381</v>
      </c>
      <c r="IK198" s="315">
        <f>(各项系数!$F$76/4*($MX198^2-$MK198^2)*$EG198)*10^-2*(VLOOKUP($IG$8,各项系数!$D$1:$F$143,3,0))*10^-3*10^2*各项系数!$J$4</f>
        <v>0.10534751793196152</v>
      </c>
      <c r="IL198" s="303">
        <f>IK198*(VLOOKUP($IG$8,各项系数!$D$1:$F$143,2,0))</f>
        <v>2.6336879482990381</v>
      </c>
      <c r="IM198" s="304">
        <f>(各项系数!$F$76/4*(($MM198+3*$X198)^2-MM198^2)*$EO198)*10^-2*(VLOOKUP($IG$8,各项系数!$D$1:$F$143,3,0))*10^-3*10^2*各项系数!$J$4</f>
        <v>0</v>
      </c>
      <c r="IN198" s="303">
        <f>IM198*(VLOOKUP($IG$8,各项系数!$D$1:$F$143,2,0))</f>
        <v>0</v>
      </c>
      <c r="IO198" s="315">
        <f>各项系数!$F$76/4*($MZ198^2-$MX198^2)*10^-2*(VLOOKUP(L198,各项系数!$D$1:$F$143,3,0))*10^-3*10^2*$ES198*各项系数!$J$4</f>
        <v>0.26931776328862567</v>
      </c>
      <c r="IP198" s="303">
        <v>1</v>
      </c>
      <c r="IQ198" s="304">
        <f t="shared" si="916"/>
        <v>0.26931776328862567</v>
      </c>
      <c r="IR198" s="285">
        <f>IQ198*(VLOOKUP(L198,各项系数!$D$1:$F$143,2,0))</f>
        <v>3.0971542778191949</v>
      </c>
      <c r="IS198" s="315">
        <f>IF($L198&lt;&gt;$IS$9,0,各项系数!$F$76/4*($MZ198^2-$MX198^2)*10^-2*各项系数!$F$12*10^-3*10^2)*$ES198*各项系数!$J$4</f>
        <v>0</v>
      </c>
      <c r="IT198" s="303">
        <v>1</v>
      </c>
      <c r="IU198" s="304">
        <f t="shared" si="917"/>
        <v>0</v>
      </c>
      <c r="IV198" s="285">
        <f>IU198*各项系数!$E$12</f>
        <v>0</v>
      </c>
      <c r="IW198" s="302">
        <f t="shared" si="918"/>
        <v>0.26931776328862567</v>
      </c>
      <c r="IX198" s="302">
        <f t="shared" si="919"/>
        <v>3.0971542778191949</v>
      </c>
      <c r="IY198" s="339">
        <f>各项系数!$F$76/4*($NB198^2-$MZ198^2*$EG198-$NA198^2*$EO198)*10^-2</f>
        <v>1.3071318464030228</v>
      </c>
      <c r="IZ198" s="284">
        <f t="shared" si="697"/>
        <v>1</v>
      </c>
      <c r="JA198" s="285">
        <f t="shared" si="606"/>
        <v>1.3071318464030228</v>
      </c>
      <c r="JB198" s="282">
        <f>IF($DE198&lt;&gt;$JB$9,0,$JA198*各项系数!$F$32*10^-3*10^2)*各项系数!$J$4</f>
        <v>0</v>
      </c>
      <c r="JC198" s="102">
        <v>1</v>
      </c>
      <c r="JD198" s="189">
        <f t="shared" si="920"/>
        <v>0</v>
      </c>
      <c r="JE198" s="262">
        <f>JD198*各项系数!$E$32</f>
        <v>0</v>
      </c>
      <c r="JF198" s="282">
        <f>IF($DE198&lt;&gt;$JF$9,0,$JA198*VLOOKUP($JF$9,各项系数!$D$4:$F$540,2,0)*10^-3*10^2)*各项系数!$J$4</f>
        <v>0.65029809358550383</v>
      </c>
      <c r="JG198" s="102">
        <v>1</v>
      </c>
      <c r="JH198" s="189">
        <f t="shared" si="607"/>
        <v>0.65029809358550383</v>
      </c>
      <c r="JI198" s="262">
        <f>JH198*VLOOKUP($JF$9,各项系数!$D$4:$F$540,3,0)</f>
        <v>0.78035771230260453</v>
      </c>
      <c r="JJ198" s="282">
        <f t="shared" si="921"/>
        <v>0.65029809358550383</v>
      </c>
      <c r="JK198" s="189">
        <f t="shared" si="922"/>
        <v>0.78035771230260453</v>
      </c>
      <c r="JL198" s="282">
        <f>IF($DF198&lt;&gt;$JL$9,0,各项系数!$F$76/4*($NE198^2-$NC198^2)*10^-2*各项系数!$F$39*10^-3*10^2)*各项系数!$J$4</f>
        <v>2.9470817432473667E-3</v>
      </c>
      <c r="JM198" s="102">
        <v>1</v>
      </c>
      <c r="JN198" s="189">
        <f t="shared" si="923"/>
        <v>2.9470817432473667E-3</v>
      </c>
      <c r="JO198" s="262">
        <f>JN198*各项系数!$E$39</f>
        <v>5.8941634864947336E-2</v>
      </c>
      <c r="JP198" s="282">
        <f>IF($DF198&lt;&gt;$JP$9,0,各项系数!$F$76/4*($NE198^2-$NC198^2)*10^-2*各项系数!$F$36*10^-3*10^2)*各项系数!$J$4</f>
        <v>0</v>
      </c>
      <c r="JQ198" s="102">
        <v>1</v>
      </c>
      <c r="JR198" s="189">
        <f t="shared" si="924"/>
        <v>0</v>
      </c>
      <c r="JS198" s="262">
        <f>JR198*各项系数!$E$36</f>
        <v>0</v>
      </c>
      <c r="JT198" s="282">
        <f>IF($DF198&lt;&gt;$JT$9,0,各项系数!$F$76/4*($NE198^2-$NC198^2)*10^-2*各项系数!$F$40*10^-3*10^2)*各项系数!$J$4</f>
        <v>0</v>
      </c>
      <c r="JU198" s="102">
        <v>1</v>
      </c>
      <c r="JV198" s="189">
        <f t="shared" si="925"/>
        <v>0</v>
      </c>
      <c r="JW198" s="262">
        <f>JV198*各项系数!$E$40</f>
        <v>0</v>
      </c>
      <c r="JX198" s="282">
        <f>IF($DF198&lt;&gt;$JX$9,0,各项系数!$F$76/4*($NE198^2-$NC198^2)*10^-2*各项系数!$F$38*10^-3*10^2)*各项系数!$J$4</f>
        <v>0</v>
      </c>
      <c r="JY198" s="102">
        <v>1</v>
      </c>
      <c r="JZ198" s="189">
        <f t="shared" si="926"/>
        <v>0</v>
      </c>
      <c r="KA198" s="262">
        <f>JZ198*各项系数!$E$38</f>
        <v>0</v>
      </c>
      <c r="KB198" s="282">
        <f>IF($DF198&lt;&gt;$KB$9,0,各项系数!$F$76/4*($NE198^2-$NC198^2)*10^-2*各项系数!$F$41*10^-3*10^2)*各项系数!$J$4</f>
        <v>0</v>
      </c>
      <c r="KC198" s="102">
        <v>1</v>
      </c>
      <c r="KD198" s="189">
        <f t="shared" si="927"/>
        <v>0</v>
      </c>
      <c r="KE198" s="262">
        <f>KD198*各项系数!$E$41</f>
        <v>0</v>
      </c>
      <c r="KF198" s="189">
        <f t="shared" si="928"/>
        <v>2.9470817432473667E-3</v>
      </c>
      <c r="KG198" s="189">
        <f t="shared" si="929"/>
        <v>5.8941634864947336E-2</v>
      </c>
      <c r="KH198" s="235">
        <f>各项系数!$F$76/4*($NG198^2-$NE198^2)*10^-2*各项系数!$F$44*10^-3*10^2*各项系数!$J$4*0.75*$U198</f>
        <v>1.1839889276984223</v>
      </c>
      <c r="KI198" s="102">
        <v>1</v>
      </c>
      <c r="KJ198" s="189">
        <f t="shared" si="930"/>
        <v>1.1839889276984223</v>
      </c>
      <c r="KK198" s="189">
        <f>ROUND(KJ198*各项系数!$E$43,GT198)</f>
        <v>7</v>
      </c>
      <c r="KL198" s="235">
        <f>各项系数!$F$76/4*($NF198^2-$NE198^2)*10^-2*各项系数!$F$46*10^-3*10^2*各项系数!$J$4*PI()/4*R198</f>
        <v>3.6860848808173592E-2</v>
      </c>
      <c r="KM198" s="102">
        <v>1</v>
      </c>
      <c r="KN198" s="189">
        <f t="shared" si="931"/>
        <v>3.6860848808173592E-2</v>
      </c>
      <c r="KO198" s="189">
        <f>KN198*各项系数!$E$46</f>
        <v>2.4881072945517175</v>
      </c>
      <c r="KP198" s="235">
        <f>各项系数!$F$76/4*($NH198^2-$NE198^2)*10^-2*(VLOOKUP($KP$9,各项系数!$D$1:$F$143,3,0))*10^-3*10^2*各项系数!$J$4</f>
        <v>0.25662174617102618</v>
      </c>
      <c r="KQ198" s="102">
        <v>1</v>
      </c>
      <c r="KR198" s="189">
        <f t="shared" si="657"/>
        <v>0.25662174617102618</v>
      </c>
      <c r="KS198" s="189">
        <f>KR198*(VLOOKUP($KP$9,各项系数!$D$1:$F$143,2,0))</f>
        <v>4.3625696849074451</v>
      </c>
      <c r="KT198" s="235">
        <f>各项系数!$F$76/4*($NI198^2-$NF198^2)*10^-2*(VLOOKUP($KT$9,各项系数!$D$1:$F$143,3,0))*10^-3*10^2*各项系数!$J$4</f>
        <v>0.25807215666733563</v>
      </c>
      <c r="KU198" s="102">
        <v>1</v>
      </c>
      <c r="KV198" s="189">
        <f t="shared" si="658"/>
        <v>0.25807215666733563</v>
      </c>
      <c r="KW198" s="189">
        <f>KV198*(VLOOKUP($KT$9,各项系数!$D$1:$F$143,2,0))</f>
        <v>4.3872266633447055</v>
      </c>
      <c r="KX198" s="189">
        <f>各项系数!$F$76/4*($NH198^2-$NE198^2)*10^-2*(VLOOKUP($KX$9,各项系数!$D$1:$F$143,3,0))*10^-3*10^2*各项系数!$J$4</f>
        <v>0.25662174617102618</v>
      </c>
      <c r="KY198" s="353">
        <v>1</v>
      </c>
      <c r="KZ198" s="189">
        <f t="shared" si="659"/>
        <v>0.25662174617102618</v>
      </c>
      <c r="LA198" s="189">
        <f>KZ198*(VLOOKUP($KX$9,各项系数!$D$1:$F$143,2,0))</f>
        <v>4.3625696849074451</v>
      </c>
      <c r="LB198" s="189">
        <f>各项系数!$F$76/4*($NI198^2-$NF198^2)*10^-2*(VLOOKUP($LB$9,各项系数!$D$1:$F$143,3,0))*10^-3*10^2*各项系数!$J$4</f>
        <v>0.25807215666733563</v>
      </c>
      <c r="LC198" s="353">
        <v>1</v>
      </c>
      <c r="LD198" s="189">
        <f t="shared" si="660"/>
        <v>0.25807215666733563</v>
      </c>
      <c r="LE198" s="189">
        <f>LD198*(VLOOKUP($LB$9,各项系数!$D$1:$F$143,2,0))</f>
        <v>4.3872266633447055</v>
      </c>
      <c r="LF198" s="235">
        <f>各项系数!$F$76/4*($NH198^2-$NE198^2)*10^-2*(VLOOKUP(AN198,各项系数!$D$1:$F$143,3,0))*10^-3*10^2*各项系数!$J$4</f>
        <v>0.26016135646304034</v>
      </c>
      <c r="LG198" s="102">
        <v>1</v>
      </c>
      <c r="LH198" s="189">
        <f t="shared" si="932"/>
        <v>0.26016135646304034</v>
      </c>
      <c r="LI198" s="189">
        <f>LH198*(VLOOKUP(AN198,各项系数!$D$1:$F$143,2,0))</f>
        <v>2.6016135646304033</v>
      </c>
      <c r="LJ198" s="235">
        <f>各项系数!$F$76/4*($NI198^2-$NF198^2)*10^-2*(VLOOKUP(AN198,各项系数!$D$1:$F$143,3,0))*10^-3*10^2*各项系数!$J$4</f>
        <v>0.26163177262136789</v>
      </c>
      <c r="LK198" s="102">
        <v>1</v>
      </c>
      <c r="LL198" s="189">
        <f t="shared" si="933"/>
        <v>0.26163177262136789</v>
      </c>
      <c r="LM198" s="189">
        <f>LL198*(VLOOKUP(AN198,各项系数!$D$1:$F$143,2,0))</f>
        <v>2.616317726213679</v>
      </c>
      <c r="LN198" s="189">
        <f>各项系数!$F$76/4*($NH198^2-$NE198^2)*10^-2*(VLOOKUP($LN$9,各项系数!$D$1:$F$143,3,0))*10^-3*10^2*各项系数!$J$4</f>
        <v>0.26016135646304034</v>
      </c>
      <c r="LO198" s="353">
        <v>1</v>
      </c>
      <c r="LP198" s="189">
        <f t="shared" si="934"/>
        <v>0.26016135646304034</v>
      </c>
      <c r="LQ198" s="189">
        <f>LP198*(VLOOKUP($LN$9,各项系数!$D$1:$F$143,2,0))</f>
        <v>2.8617749210934438</v>
      </c>
      <c r="LR198" s="189">
        <f>各项系数!$F$76/4*($NI198^2-$NF198^2)*10^-2*(VLOOKUP($LR$9,各项系数!$D$1:$F$143,3,0))*10^-3*10^2*各项系数!$J$4</f>
        <v>0.26163177262136789</v>
      </c>
      <c r="LS198" s="353">
        <v>1</v>
      </c>
      <c r="LT198" s="189">
        <f t="shared" si="935"/>
        <v>0.26163177262136789</v>
      </c>
      <c r="LU198" s="189">
        <f>LT198*(VLOOKUP($LR$9,各项系数!$D$1:$F$143,2,0))</f>
        <v>2.8779494988350467</v>
      </c>
      <c r="LV198" s="227">
        <f t="shared" si="661"/>
        <v>86.383064149999996</v>
      </c>
      <c r="LW198" s="227">
        <f t="shared" si="662"/>
        <v>86.383064149999996</v>
      </c>
      <c r="LX198" s="227">
        <f t="shared" si="663"/>
        <v>10.487436925730441</v>
      </c>
      <c r="LY198" s="227">
        <f t="shared" si="664"/>
        <v>0</v>
      </c>
      <c r="LZ198" s="374">
        <f t="shared" si="608"/>
        <v>1</v>
      </c>
      <c r="MA198" s="375">
        <f t="shared" si="609"/>
        <v>86.383064149999996</v>
      </c>
      <c r="MB198" s="375">
        <f t="shared" si="665"/>
        <v>1.7241240099999999</v>
      </c>
      <c r="MC198" s="227">
        <f t="shared" si="666"/>
        <v>0</v>
      </c>
      <c r="MD198" s="227">
        <f t="shared" si="667"/>
        <v>0</v>
      </c>
      <c r="ME198" s="227">
        <f t="shared" si="668"/>
        <v>0</v>
      </c>
      <c r="MF198" s="227">
        <f t="shared" si="669"/>
        <v>0</v>
      </c>
      <c r="MG198" s="374">
        <f t="shared" si="670"/>
        <v>1</v>
      </c>
      <c r="MH198" s="375">
        <f t="shared" si="610"/>
        <v>0</v>
      </c>
      <c r="MI198" s="375">
        <f t="shared" si="671"/>
        <v>0</v>
      </c>
      <c r="MJ198" s="189">
        <f t="shared" si="611"/>
        <v>1.7241240099999999</v>
      </c>
      <c r="MK198" s="189">
        <f t="shared" si="672"/>
        <v>1.7241240099999999</v>
      </c>
      <c r="ML198" s="189">
        <f t="shared" si="936"/>
        <v>0</v>
      </c>
      <c r="MM198" s="189">
        <f t="shared" si="612"/>
        <v>0</v>
      </c>
      <c r="MN198" s="189">
        <f t="shared" si="613"/>
        <v>3.1241240100000001</v>
      </c>
      <c r="MO198" s="189">
        <f t="shared" si="673"/>
        <v>0</v>
      </c>
      <c r="MP198" s="189">
        <f t="shared" si="674"/>
        <v>21.868868070000001</v>
      </c>
      <c r="MQ198" s="189">
        <f t="shared" si="937"/>
        <v>21.868868070000001</v>
      </c>
      <c r="MR198" s="246">
        <f t="shared" si="675"/>
        <v>21.868868070000001</v>
      </c>
      <c r="MS198" s="380">
        <f t="shared" si="614"/>
        <v>22.04486807</v>
      </c>
      <c r="MT198" s="380">
        <f t="shared" si="615"/>
        <v>22.20486807</v>
      </c>
      <c r="MU198" s="380">
        <f t="shared" si="616"/>
        <v>23.244868069999999</v>
      </c>
      <c r="MV198" s="380">
        <f t="shared" si="617"/>
        <v>26.04486807</v>
      </c>
      <c r="MW198" s="380">
        <f t="shared" si="618"/>
        <v>26.20486807</v>
      </c>
      <c r="MX198" s="254">
        <f t="shared" si="619"/>
        <v>2.3241240100000002</v>
      </c>
      <c r="MY198" s="254">
        <f t="shared" si="620"/>
        <v>0</v>
      </c>
      <c r="MZ198" s="189">
        <f t="shared" si="621"/>
        <v>3.7241240100000002</v>
      </c>
      <c r="NA198" s="189">
        <f t="shared" si="622"/>
        <v>0</v>
      </c>
      <c r="NB198" s="189">
        <f t="shared" si="676"/>
        <v>26.068868070000001</v>
      </c>
      <c r="NC198" s="254">
        <f t="shared" si="938"/>
        <v>26.068868070000001</v>
      </c>
      <c r="ND198" s="246">
        <f t="shared" si="677"/>
        <v>26.068868070000001</v>
      </c>
      <c r="NE198" s="386">
        <f t="shared" si="678"/>
        <v>26.308868069999999</v>
      </c>
      <c r="NF198" s="380">
        <f t="shared" si="623"/>
        <v>26.468868069999999</v>
      </c>
      <c r="NG198" s="387">
        <f t="shared" si="624"/>
        <v>27.508868069999998</v>
      </c>
      <c r="NH198" s="254">
        <f t="shared" si="625"/>
        <v>30.308868069999999</v>
      </c>
      <c r="NI198" s="380">
        <f t="shared" si="626"/>
        <v>30.468868069999999</v>
      </c>
      <c r="NK198" s="388">
        <f t="shared" si="627"/>
        <v>1.3167765981612753</v>
      </c>
      <c r="NL198" s="388">
        <f t="shared" si="628"/>
        <v>55.14796968075288</v>
      </c>
      <c r="NM198" s="388">
        <f t="shared" si="629"/>
        <v>1.3167765981612753</v>
      </c>
      <c r="NN198" s="388">
        <f t="shared" si="630"/>
        <v>55.368944446596494</v>
      </c>
      <c r="NO198" s="388">
        <f t="shared" si="631"/>
        <v>2.0521775235017867</v>
      </c>
      <c r="NP198" s="388">
        <f t="shared" si="632"/>
        <v>59.220679174972403</v>
      </c>
      <c r="NQ198" s="388">
        <f t="shared" si="633"/>
        <v>2.0521775235017867</v>
      </c>
      <c r="NR198" s="388">
        <f t="shared" si="634"/>
        <v>59.480840531435447</v>
      </c>
      <c r="NS198" s="388">
        <f t="shared" si="635"/>
        <v>1.3476813499174223</v>
      </c>
      <c r="NT198" s="388">
        <f t="shared" si="636"/>
        <v>1.3476813499174223</v>
      </c>
      <c r="NU198" s="388">
        <f t="shared" si="637"/>
        <v>2.0890383723099601</v>
      </c>
      <c r="NV198" s="388">
        <f t="shared" si="638"/>
        <v>2.0890383723099601</v>
      </c>
      <c r="NW198">
        <f t="shared" si="639"/>
        <v>1.6489009743375034</v>
      </c>
      <c r="NX198">
        <f>各项系数!$M$9*NK198</f>
        <v>0.39503297944838262</v>
      </c>
      <c r="NY198">
        <f t="shared" si="640"/>
        <v>1.3476813499174223</v>
      </c>
    </row>
    <row r="199" spans="1:389" ht="15" hidden="1" customHeight="1">
      <c r="A199" s="69"/>
      <c r="B199" s="70"/>
      <c r="C199" s="69"/>
      <c r="D199" s="102" t="s">
        <v>171</v>
      </c>
      <c r="E199" s="54">
        <f t="shared" si="885"/>
        <v>10.330715080000001</v>
      </c>
      <c r="F199" s="16">
        <f>$F$18</f>
        <v>218.58841470644899</v>
      </c>
      <c r="G199" s="16"/>
      <c r="H199" s="16"/>
      <c r="I199" s="145">
        <v>0</v>
      </c>
      <c r="J199" s="16"/>
      <c r="K199" s="16"/>
      <c r="L199" s="97" t="s">
        <v>469</v>
      </c>
      <c r="M199" s="103">
        <f t="shared" si="582"/>
        <v>0.7</v>
      </c>
      <c r="N199" s="103">
        <f t="shared" si="804"/>
        <v>0</v>
      </c>
      <c r="O199" s="53">
        <f t="shared" si="939"/>
        <v>0.08</v>
      </c>
      <c r="P199" s="99">
        <v>0.1</v>
      </c>
      <c r="Q199" s="133">
        <f t="shared" si="882"/>
        <v>0.1</v>
      </c>
      <c r="R199" s="406">
        <v>0.8</v>
      </c>
      <c r="S199" s="142" t="str">
        <f>各项系数!$D$43</f>
        <v>钢带</v>
      </c>
      <c r="T199" s="102">
        <v>0.2</v>
      </c>
      <c r="U199" s="62">
        <v>4</v>
      </c>
      <c r="V199" s="143"/>
      <c r="W199" s="407">
        <v>1.5</v>
      </c>
      <c r="X199" s="135">
        <f t="shared" si="883"/>
        <v>0.2</v>
      </c>
      <c r="Y199" s="135"/>
      <c r="Z199" s="168"/>
      <c r="AA199" s="153">
        <v>1</v>
      </c>
      <c r="AB199" s="153">
        <f>PI()*EJ199*EJ199/4*EH199*(1-H199)*AA199*各项系数!$F$5*各项系数!$J$4*10^-7</f>
        <v>3.3194719556349603E-2</v>
      </c>
      <c r="AC199" s="153">
        <f t="shared" si="886"/>
        <v>218.58841470644899</v>
      </c>
      <c r="AD199" s="153">
        <f t="shared" si="584"/>
        <v>3.7527027212948432</v>
      </c>
      <c r="AE199" s="153">
        <f>POWER(4*EU199/PI()/EG199/10^-7/EH199/(1-H199)/各项系数!$F$5/各项系数!$J$4,0.5)</f>
        <v>218.58841470644899</v>
      </c>
      <c r="AF199" s="69">
        <v>1</v>
      </c>
      <c r="AG199" s="69">
        <f>IF(EM199=0,0,PI()*ER199*ER199/4*EP199*(1-K199)*(1+AF199)*各项系数!$F$5*各项系数!$J$4*10^-7)</f>
        <v>0</v>
      </c>
      <c r="AH199" s="69">
        <f t="shared" si="887"/>
        <v>0</v>
      </c>
      <c r="AI199" s="69">
        <f t="shared" si="641"/>
        <v>0</v>
      </c>
      <c r="AJ199" s="69">
        <f>IF(OR(EP199="",EP199=0),0,POWER(4*EW199/PI()/EO199/10^-7/EP199/(1-K199)/各项系数!$F$5/各项系数!$J$4,0.5))</f>
        <v>0</v>
      </c>
      <c r="AK199" s="69" t="str">
        <f t="shared" si="585"/>
        <v>√</v>
      </c>
      <c r="AL199" s="69">
        <f t="shared" si="888"/>
        <v>5.3316582983770591</v>
      </c>
      <c r="AM199" s="188">
        <f t="shared" si="889"/>
        <v>4</v>
      </c>
      <c r="AN199" s="97" t="s">
        <v>486</v>
      </c>
      <c r="AO199" s="196">
        <f>AP199+各项系数!$M$9*$NK199</f>
        <v>5.227115978801038</v>
      </c>
      <c r="AP199" s="196">
        <f>AQ199*(1+$BI199+(VLOOKUP($AM199,$A$12:$B$323,2,0))+各项系数!$J$6+各项系数!$M$5)*(1+$E$2)</f>
        <v>5.1838747989972971</v>
      </c>
      <c r="AQ199" s="197">
        <f>AR199+各项系数!$L$9*$NK199</f>
        <v>5.2896681622421395</v>
      </c>
      <c r="AR199" s="197">
        <f>AS199*(1+$BJ199+各项系数!$J$5+各项系数!$L$5)</f>
        <v>5.2464269824383987</v>
      </c>
      <c r="AS199" s="197">
        <f t="shared" si="642"/>
        <v>5.143555865135685</v>
      </c>
      <c r="AT199" s="196">
        <f>AU199+各项系数!$M$9*$NM199</f>
        <v>5.6389378554495178</v>
      </c>
      <c r="AU199" s="196">
        <f>AV199*(1+$BI199+(VLOOKUP($AM199,$A$12:$B$323,2,0))+各项系数!$J$6+各项系数!$M$5)*(1+$E$2)</f>
        <v>5.5956966756457769</v>
      </c>
      <c r="AV199" s="197">
        <f>AW199+各项系数!$L$9*$NM199</f>
        <v>5.7098945669854864</v>
      </c>
      <c r="AW199" s="197">
        <f>AX199*(1+$BJ199+各项系数!$J$5+各项系数!$L$5)</f>
        <v>5.6666533871817455</v>
      </c>
      <c r="AX199" s="197">
        <f t="shared" si="643"/>
        <v>5.5555425364526911</v>
      </c>
      <c r="AY199" s="196">
        <f>AZ199+各项系数!$M$9*$NS199</f>
        <v>5.9427375098650916</v>
      </c>
      <c r="AZ199" s="196">
        <f>BA199*(1+$BI199+(VLOOKUP($AM199,$A$12:$B$214,2,0))+各项系数!$J$6+各项系数!$M$5)*(1+$E$2)</f>
        <v>5.8963908700537475</v>
      </c>
      <c r="BA199" s="197">
        <f>BB199+各项系数!$L$9*$NS199</f>
        <v>6.0167253776058649</v>
      </c>
      <c r="BB199" s="197">
        <f>BC199*(1+$BJ199+各项系数!$J$5+各项系数!$L$5)</f>
        <v>5.9703787377945208</v>
      </c>
      <c r="BC199" s="199">
        <f t="shared" si="644"/>
        <v>5.8533124880338434</v>
      </c>
      <c r="BD199" s="196">
        <f>BE199+各项系数!$M$9*$NS199</f>
        <v>6.3620210133090032</v>
      </c>
      <c r="BE199" s="196">
        <f>BF199*(1+$BI199+(VLOOKUP($AM199,$A$12:$B$214,2,0))+各项系数!$J$6+各项系数!$M$5)*(1+$E$2)</f>
        <v>6.315674373497659</v>
      </c>
      <c r="BF199" s="197">
        <f>BG199+各项系数!$L$9*$NS199</f>
        <v>6.444565687242509</v>
      </c>
      <c r="BG199" s="197">
        <f>BH199*(1+$BJ199+各项系数!$J$5+各项系数!$L$5)</f>
        <v>6.3982190474311649</v>
      </c>
      <c r="BH199" s="199">
        <f t="shared" si="645"/>
        <v>6.2727637719913378</v>
      </c>
      <c r="BI199" s="213"/>
      <c r="BJ199" s="411">
        <v>0</v>
      </c>
      <c r="BK199" s="102" t="s">
        <v>514</v>
      </c>
      <c r="BL199" s="196">
        <f>BM199+各项系数!$M$9*$NM199</f>
        <v>5.3389613427276341</v>
      </c>
      <c r="BM199" s="196">
        <f>BN199*(1+$CF199+(VLOOKUP($AM199,$A$12:$B$323,2,0))+各项系数!$J$6+各项系数!$M$5)*(1+$E$2)</f>
        <v>5.2957201629238932</v>
      </c>
      <c r="BN199" s="197">
        <f>BO199+各项系数!$L$9*$NM199</f>
        <v>5.4037960846162179</v>
      </c>
      <c r="BO199" s="197">
        <f>BP199*(1+$CG199+各项系数!$J$5+各项系数!$L$5)</f>
        <v>5.360554904812477</v>
      </c>
      <c r="BP199" s="197">
        <f t="shared" si="646"/>
        <v>5.2044222376820164</v>
      </c>
      <c r="BQ199" s="196">
        <f>BR199+各项系数!$M$9*$NM199</f>
        <v>5.6933821723067535</v>
      </c>
      <c r="BR199" s="196">
        <f>BS199*(1+$CF199+(VLOOKUP($AM199,$A$12:$B$323,2,0))+各项系数!$J$6+各项系数!$M$5)*(1+$E$2)</f>
        <v>5.6501409925030126</v>
      </c>
      <c r="BS199" s="197">
        <f>BT199+各项系数!$L$9*$NM199</f>
        <v>5.7654499923500131</v>
      </c>
      <c r="BT199" s="197">
        <f>BU199*(1+$CG199+各项系数!$J$5+各项系数!$L$5)</f>
        <v>5.7222088125462722</v>
      </c>
      <c r="BU199" s="197">
        <f t="shared" si="647"/>
        <v>5.5555425364526911</v>
      </c>
      <c r="BV199" s="196">
        <f>BW199+各项系数!$M$9*$NT199</f>
        <v>6.0253300953255087</v>
      </c>
      <c r="BW199" s="196">
        <f>BX199*(1+$CF199+(VLOOKUP($AM199,$A$12:$B$214,2,0))+各项系数!$J$6+各项系数!$M$5)*(1+$E$2)</f>
        <v>5.9789834555141645</v>
      </c>
      <c r="BX199" s="197">
        <f>BY199+各项系数!$L$9*$NT$12</f>
        <v>6.1010035260348623</v>
      </c>
      <c r="BY199" s="197">
        <f>BZ199*(1+$CG199+各项系数!$J$5+各项系数!$L$5)</f>
        <v>6.0927401228798885</v>
      </c>
      <c r="BZ199" s="199">
        <f t="shared" si="586"/>
        <v>5.9152816726989208</v>
      </c>
      <c r="CA199" s="196">
        <f>CB199+各项系数!$M$9*$NT199</f>
        <v>6.3861725263512747</v>
      </c>
      <c r="CB199" s="196">
        <f>CC199*(1+$CF199+(VLOOKUP($AM199,$A$12:$B$214,2,0))+各项系数!$J$6+各项系数!$M$5)*(1+$E$2)</f>
        <v>6.3398258865399306</v>
      </c>
      <c r="CC199" s="197">
        <f>CD199+各项系数!$L$9*$NT$12</f>
        <v>6.4692100883060517</v>
      </c>
      <c r="CD199" s="197">
        <f>CE199*(1+$CG199+各项系数!$J$5+各项系数!$L$5)</f>
        <v>6.460946685151078</v>
      </c>
      <c r="CE199" s="199">
        <f t="shared" si="648"/>
        <v>6.2727637719913378</v>
      </c>
      <c r="CF199" s="213">
        <f t="shared" si="884"/>
        <v>0</v>
      </c>
      <c r="CG199" s="213">
        <f t="shared" si="587"/>
        <v>0.01</v>
      </c>
      <c r="CH199" s="102"/>
      <c r="CI199" s="196">
        <f>CJ199+各项系数!$M$9*$NO199</f>
        <v>5.5781618244828328</v>
      </c>
      <c r="CJ199" s="196">
        <f>CK199*(1+$DC199+(VLOOKUP($AM199,$A$12:$B$323,2,0))+各项系数!$J$6+各项系数!$M$5)*(1+$E$2)+各项系数!$M$9*$NK199</f>
        <v>5.5279285991785825</v>
      </c>
      <c r="CK199" s="197">
        <f>CL199+各项系数!$L$9*$NO199</f>
        <v>5.596619815688614</v>
      </c>
      <c r="CL199" s="197">
        <f>CM199*(1+$DD199+各项系数!$J$5+各项系数!$L$5)</f>
        <v>5.5463865903843637</v>
      </c>
      <c r="CM199" s="197">
        <f t="shared" si="588"/>
        <v>5.4376339121415329</v>
      </c>
      <c r="CN199" s="196">
        <f>CO199+各项系数!$M$9*$NO199</f>
        <v>5.9030929867004911</v>
      </c>
      <c r="CO199" s="196">
        <f>CP199*(1+$DC199+(VLOOKUP($AM199,$A$12:$B$323,2,0))+各项系数!$J$6+各项系数!$M$5)*(1+$E$2)+各项系数!$M$9*$NK199</f>
        <v>5.8528597613962408</v>
      </c>
      <c r="CP199" s="197">
        <f>CQ199+各项系数!$L$9*$NO199</f>
        <v>5.9281822261147958</v>
      </c>
      <c r="CQ199" s="197">
        <f>CR199*(1+$DD199+各项系数!$J$5+各项系数!$L$5)</f>
        <v>5.8779490008105455</v>
      </c>
      <c r="CR199" s="197">
        <f t="shared" si="589"/>
        <v>5.7626950988338681</v>
      </c>
      <c r="CS199" s="196">
        <f>CT199+各项系数!$M$9*$NU199</f>
        <v>6.3704497874765176</v>
      </c>
      <c r="CT199" s="196">
        <f t="shared" si="590"/>
        <v>6.316582618706895</v>
      </c>
      <c r="CU199" s="197">
        <f>CV199+各项系数!$L$9*$NU199</f>
        <v>6.4454924680682604</v>
      </c>
      <c r="CV199" s="197">
        <f>CW199*(1+$DD199+各项系数!$J$5+各项系数!$L$5)</f>
        <v>6.3916252992986378</v>
      </c>
      <c r="CW199" s="199">
        <f t="shared" si="591"/>
        <v>6.2662993130378801</v>
      </c>
      <c r="CX199" s="196">
        <f>CY199+各项系数!$M$9*$NU199</f>
        <v>6.8485470738174836</v>
      </c>
      <c r="CY199" s="196">
        <f t="shared" si="592"/>
        <v>6.794679905047861</v>
      </c>
      <c r="CZ199" s="197">
        <f>DA199+各项系数!$L$9*$NU199</f>
        <v>6.9333468418855722</v>
      </c>
      <c r="DA199" s="197">
        <f>DB199*(1+$DD199+各项系数!$J$5+各项系数!$L$5)</f>
        <v>6.8794796731159495</v>
      </c>
      <c r="DB199" s="199">
        <f t="shared" si="593"/>
        <v>6.744587914819558</v>
      </c>
      <c r="DC199" s="213">
        <f t="shared" si="827"/>
        <v>0</v>
      </c>
      <c r="DD199" s="213">
        <f t="shared" si="594"/>
        <v>0</v>
      </c>
      <c r="DE199" s="53" t="s">
        <v>498</v>
      </c>
      <c r="DF199" s="53" t="s">
        <v>513</v>
      </c>
      <c r="DG199" s="196">
        <f>DH199+各项系数!$M$9*$NQ199</f>
        <v>5.7016634116881013</v>
      </c>
      <c r="DH199" s="196">
        <f>DI199*(1+$EA199+(VLOOKUP($AM199,$A$12:$B$323,2,0))+各项系数!$J$6+各项系数!$M$5)*(1+$E$2)+各项系数!$M$9*$NK199</f>
        <v>5.651430186383851</v>
      </c>
      <c r="DI199" s="197">
        <f>DJ199+各项系数!$L$9*$NQ199</f>
        <v>5.7226418434490922</v>
      </c>
      <c r="DJ199" s="197">
        <f>DK199*(1+$EB199+各项系数!$J$5+各项系数!$L$5)</f>
        <v>5.6724086181448419</v>
      </c>
      <c r="DK199" s="197">
        <f t="shared" si="595"/>
        <v>5.5071928331503317</v>
      </c>
      <c r="DL199" s="196">
        <f>DM199+各项系数!$M$9*$NQ199</f>
        <v>6.1067003714609358</v>
      </c>
      <c r="DM199" s="196">
        <f>DN199*(1+$EA199+(VLOOKUP($AM199,$A$12:$B$323,2,0))+各项系数!$J$6+各项系数!$M$5)*(1+$E$2)+各项系数!$M$9*$NK199</f>
        <v>6.0564671461566855</v>
      </c>
      <c r="DN199" s="197">
        <f>DO199+各项系数!$L$9*$NQ199</f>
        <v>6.1359448636254541</v>
      </c>
      <c r="DO199" s="197">
        <f>DP199*(1+$EB199+各项系数!$J$5+各项系数!$L$5)</f>
        <v>6.0857116383212038</v>
      </c>
      <c r="DP199" s="197">
        <f t="shared" si="596"/>
        <v>5.9084579012827216</v>
      </c>
      <c r="DQ199" s="196">
        <f>DR199+各项系数!$M$9*$NV199</f>
        <v>6.5031854741632324</v>
      </c>
      <c r="DR199" s="196">
        <f t="shared" si="597"/>
        <v>6.4493183053936098</v>
      </c>
      <c r="DS199" s="197">
        <f>DT199+各项系数!$L$9*$NV199</f>
        <v>6.5809370463200105</v>
      </c>
      <c r="DT199" s="197">
        <f>DU199*(1+$EB199+各项系数!$J$5+各项系数!$L$5)</f>
        <v>6.5270698775503879</v>
      </c>
      <c r="DU199" s="199">
        <f t="shared" si="598"/>
        <v>6.3369610461654249</v>
      </c>
      <c r="DV199" s="196">
        <f>DW199+各项系数!$M$9*$NV199</f>
        <v>6.7198535388292591</v>
      </c>
      <c r="DW199" s="196">
        <f t="shared" si="599"/>
        <v>6.6659863700596365</v>
      </c>
      <c r="DX199" s="197">
        <f>DY199+各项系数!$L$9*$NV199</f>
        <v>6.8020269082241187</v>
      </c>
      <c r="DY199" s="197">
        <f>DZ199*(1+$EB199+各项系数!$J$5+各项系数!$L$5)</f>
        <v>6.7481597394544961</v>
      </c>
      <c r="DZ199" s="199">
        <f t="shared" si="600"/>
        <v>6.551611397528637</v>
      </c>
      <c r="EA199" s="213">
        <f t="shared" si="826"/>
        <v>0</v>
      </c>
      <c r="EB199" s="213">
        <f t="shared" si="601"/>
        <v>0.01</v>
      </c>
      <c r="EC199" s="235">
        <f t="shared" si="649"/>
        <v>2</v>
      </c>
      <c r="ED199" s="235" t="str">
        <f t="shared" si="890"/>
        <v>2*4</v>
      </c>
      <c r="EE199" s="189">
        <f t="shared" si="891"/>
        <v>4</v>
      </c>
      <c r="EF199" s="189">
        <f>LOOKUP(EH199,{1,7,10,14,19,24,30,37,48,61},{1,"1+6","2+8","4+10","1+6+12","2+8+14","4+10+16","1+6+12+18","3+9+15+21","1+6+12+18+24"})</f>
        <v>1</v>
      </c>
      <c r="EG199" s="188">
        <f t="shared" si="602"/>
        <v>2</v>
      </c>
      <c r="EH199" s="197">
        <f>VLOOKUP(EE199,各项系数!$B$87:$C$124,2,0)</f>
        <v>1</v>
      </c>
      <c r="EI199" s="188">
        <f>IF(EH199=0,0,VLOOKUP(EH199,各项系数!$D$142:$E$195,2,0))*1</f>
        <v>1</v>
      </c>
      <c r="EJ199" s="238">
        <f t="shared" si="650"/>
        <v>218.58841470644899</v>
      </c>
      <c r="EK199" s="189">
        <f t="shared" si="892"/>
        <v>0</v>
      </c>
      <c r="EL199" s="189">
        <f t="shared" si="603"/>
        <v>0</v>
      </c>
      <c r="EM199" s="189">
        <f t="shared" si="893"/>
        <v>0</v>
      </c>
      <c r="EN199" s="189">
        <f>IF(EP199=0,0,LOOKUP(EP199,{1,7,10,14,19,24,30,37,48,61},{1,"1+6","2+8","4+10","1+6+12","2+8+14","4+10+16","1+6+12+18","3+9+15+21","1+6+12+18+24"}))</f>
        <v>0</v>
      </c>
      <c r="EO199" s="189">
        <f t="shared" si="894"/>
        <v>0</v>
      </c>
      <c r="EP199" s="189">
        <f>IF(EM199=0,0,IF(EM199&lt;10,1,IF(AND(EM199&gt;=10,EM199&lt;=35),7,LOOKUP(EM199,{50,70,95,120,150,185,240,300},{10,14,19,24,30,37,48,61})*1)))</f>
        <v>0</v>
      </c>
      <c r="EQ199" s="189">
        <f>IF(EP199=0,0,VLOOKUP(EP199,各项系数!$D$142:$E$195,2,0))*1</f>
        <v>0</v>
      </c>
      <c r="ER199" s="53">
        <f t="shared" si="895"/>
        <v>0</v>
      </c>
      <c r="ES199" s="412">
        <f t="shared" si="896"/>
        <v>2</v>
      </c>
      <c r="ET199" s="189">
        <f>VLOOKUP(ES199,各项系数!$D$142:$E$195,2,0)*1</f>
        <v>2</v>
      </c>
      <c r="EU199" s="243">
        <f>((各项系数!$F$76/4*$EJ199^2*$EG199*$EH199*1*10^-7)*(1-$H199)*AA199)*(VLOOKUP($EY$9,各项系数!$D$4:$F$143,3,0))*各项系数!$J$4</f>
        <v>6.6389439112699192E-2</v>
      </c>
      <c r="EV199" s="244">
        <f>EU199*(VLOOKUP($EY$9,各项系数!$D$4:$F$143,2,0))</f>
        <v>4.348508261881797</v>
      </c>
      <c r="EW199" s="252">
        <f>(IF($EO199=0,0,(各项系数!$F$76/4*$ER199^2*$EO199*$EP199*1*10^-7))*(1-$K199)*$AF199)*(VLOOKUP($EY$9,各项系数!$D$4:$F$143,3,0))*各项系数!$J$4</f>
        <v>0</v>
      </c>
      <c r="EX199" s="253">
        <f>EW199*(VLOOKUP($EY$9,各项系数!$D$4:$F$143,2,0))</f>
        <v>0</v>
      </c>
      <c r="EY199" s="189">
        <f>((各项系数!$F$76/4*$EJ199^2*$EG199*$EH199*1*10^-7)*(1-$H199)*AA199+IF($EO199=0,0,(各项系数!$F$76/4*$ER199^2*$EO199*$EP199*1*10^-7))*(1-$K199)*$AF199)*(VLOOKUP($EY$9,各项系数!$D$4:$F$143,3,0))*各项系数!$J$4</f>
        <v>6.6389439112699192E-2</v>
      </c>
      <c r="EZ199" s="102">
        <v>1</v>
      </c>
      <c r="FA199" s="189">
        <f t="shared" si="897"/>
        <v>6.6389439112699192E-2</v>
      </c>
      <c r="FB199" s="254">
        <f>FA199*(VLOOKUP($EY$9,各项系数!$D$4:$F$143,2,0))</f>
        <v>4.348508261881797</v>
      </c>
      <c r="FC199" s="255"/>
      <c r="FD199" s="235">
        <f>各项系数!$F$76/4*($MN199^2-MK199^2)*10^-2*(VLOOKUP(L199,各项系数!$D$1:$F$143,3,0))*10^-3*10^2*$EG199*各项系数!$J$4</f>
        <v>1.3892249267092305E-2</v>
      </c>
      <c r="FE199" s="262">
        <f>FD199*VLOOKUP(L199,各项系数!$D$1:$F$143,2,0)</f>
        <v>0.15976086657156152</v>
      </c>
      <c r="FF199" s="188">
        <f>各项系数!$F$76/4*($MO199^2-ML199^2)*10^-2*(VLOOKUP(L199,各项系数!$D$1:$F$143,3,0))*10^-3*10^2*$EO199*各项系数!$J$4</f>
        <v>0</v>
      </c>
      <c r="FG199" s="262">
        <f>FF199*VLOOKUP(L199,各项系数!$D$1:$F$143,2,0)</f>
        <v>0</v>
      </c>
      <c r="FH199" s="235">
        <f t="shared" si="651"/>
        <v>1.3892249267092305E-2</v>
      </c>
      <c r="FI199" s="102">
        <v>1</v>
      </c>
      <c r="FJ199" s="189">
        <f t="shared" si="898"/>
        <v>1.3892249267092305E-2</v>
      </c>
      <c r="FK199" s="262">
        <f>FJ199*VLOOKUP(L199,各项系数!$D$1:$F$143,2,0)</f>
        <v>0.15976086657156152</v>
      </c>
      <c r="FL199" s="235"/>
      <c r="FM199" s="102"/>
      <c r="FN199" s="189"/>
      <c r="FO199" s="262"/>
      <c r="FP199" s="282">
        <f t="shared" si="899"/>
        <v>1.3892249267092305E-2</v>
      </c>
      <c r="FQ199" s="282">
        <f t="shared" si="900"/>
        <v>0.15976086657156152</v>
      </c>
      <c r="FR199" s="283">
        <f>各项系数!$F$76/4*($MQ199^2-$MN199^2*$EG199-$MO199^2*$EO199)*10^-2</f>
        <v>0.20198186885400013</v>
      </c>
      <c r="FS199" s="284">
        <f t="shared" si="652"/>
        <v>0.05</v>
      </c>
      <c r="FT199" s="285">
        <f t="shared" si="604"/>
        <v>1.0099093442700007E-2</v>
      </c>
      <c r="FU199" s="302">
        <f>$FT199*(VLOOKUP($FT$9,各项系数!$D$1:$F$143,3,0))*10^-3*10^2*各项系数!$J$55</f>
        <v>1.2058317570583807E-3</v>
      </c>
      <c r="FV199" s="303">
        <v>1</v>
      </c>
      <c r="FW199" s="304">
        <f t="shared" si="901"/>
        <v>1.2058317570583807E-3</v>
      </c>
      <c r="FX199" s="285">
        <f>FW199*(VLOOKUP($FT$9,各项系数!$D$1:$F$143,2,0))</f>
        <v>3.6174952711751423E-3</v>
      </c>
      <c r="FY199" s="302">
        <f>IF($BK199&lt;&gt;$FY$9,0,各项系数!$F$76/4*($MS199^2-$MQ199^2)*10^-2*(VLOOKUP($FY$9,各项系数!$D$1:$F$143,3,0))*10^-3*10^2)*各项系数!$J$4</f>
        <v>0</v>
      </c>
      <c r="FZ199" s="303">
        <v>1</v>
      </c>
      <c r="GA199" s="304">
        <f t="shared" si="902"/>
        <v>0</v>
      </c>
      <c r="GB199" s="285">
        <f>GA199*(VLOOKUP($FY$9,各项系数!$D$1:$F$143,2,0))</f>
        <v>0</v>
      </c>
      <c r="GC199" s="302">
        <f>IF($BK199&lt;&gt;$GC$9,0,各项系数!$F$76/4*($MS199^2-$MQ199^2)*10^-2*(VLOOKUP($GC$9,各项系数!$D$1:$F$143,3,0))*10^-3*10^2)*各项系数!$J$4</f>
        <v>1.7833733292895481E-3</v>
      </c>
      <c r="GD199" s="303">
        <v>1</v>
      </c>
      <c r="GE199" s="304">
        <f t="shared" si="903"/>
        <v>1.7833733292895481E-3</v>
      </c>
      <c r="GF199" s="285">
        <f>GE199*(VLOOKUP($GC$9,各项系数!$D$1:$F$143,2,0))</f>
        <v>2.3005515947835172E-2</v>
      </c>
      <c r="GG199" s="302">
        <f>IF($BK199&lt;&gt;$GG$9,0,各项系数!$F$76/4*($MS199^2-$MQ199^2)*10^-2*(VLOOKUP($GG$9,各项系数!$D$1:$F$143,3,0))*10^-3*10^2)*各项系数!$J$4</f>
        <v>0</v>
      </c>
      <c r="GH199" s="303">
        <v>1</v>
      </c>
      <c r="GI199" s="304">
        <f t="shared" si="904"/>
        <v>0</v>
      </c>
      <c r="GJ199" s="285">
        <f>GI199*(VLOOKUP($GG$9,各项系数!$D$1:$F$143,2,0))</f>
        <v>0</v>
      </c>
      <c r="GK199" s="302">
        <f>IF($BK199&lt;&gt;$GK$9,0,各项系数!$F$76/4*($MS199^2-$MQ199^2)*10^-2*(VLOOKUP($GK$9,各项系数!$D$1:$F$143,3,0))*10^-3*10^2)*各项系数!$J$4</f>
        <v>0</v>
      </c>
      <c r="GL199" s="303">
        <v>1</v>
      </c>
      <c r="GM199" s="304">
        <f t="shared" si="905"/>
        <v>0</v>
      </c>
      <c r="GN199" s="285">
        <f>GM199*(VLOOKUP($GK$9,各项系数!$D$1:$F$143,2,0))</f>
        <v>0</v>
      </c>
      <c r="GO199" s="304">
        <f t="shared" si="906"/>
        <v>1.7833733292895481E-3</v>
      </c>
      <c r="GP199" s="304">
        <f t="shared" si="907"/>
        <v>2.3005515947835172E-2</v>
      </c>
      <c r="GQ199" s="315">
        <f>各项系数!$F$76/4*($MU199^2-$MS199^2)*10^-2*(VLOOKUP($S199,各项系数!$D$1:$F$143,3,0))*10^-3*10^2*各项系数!$J$4</f>
        <v>0.11631702999700491</v>
      </c>
      <c r="GR199" s="303">
        <v>1</v>
      </c>
      <c r="GS199" s="304">
        <f t="shared" si="908"/>
        <v>0.11631702999700491</v>
      </c>
      <c r="GT199" s="304">
        <f t="shared" si="909"/>
        <v>1</v>
      </c>
      <c r="GU199" s="304">
        <f>ROUND($GS199*(VLOOKUP($S199,各项系数!$D$1:$F$143,2,0))+$E$3*GS199,GT199)</f>
        <v>0.7</v>
      </c>
      <c r="GV199" s="315">
        <f>各项系数!$F$76/4*($MT199^2-$MS199^2)*10^-2*(VLOOKUP($GV$9,各项系数!$D$1:$F$143,3,0))*10^-3*10^2*各项系数!$J$4*PI()/4*R199</f>
        <v>1.0351533358677088E-2</v>
      </c>
      <c r="GW199" s="303">
        <v>1</v>
      </c>
      <c r="GX199" s="304">
        <f t="shared" si="910"/>
        <v>1.0351533358677088E-2</v>
      </c>
      <c r="GY199" s="304">
        <f>$GX199*(VLOOKUP($GV$9,各项系数!$D$1:$F$143,2,0))</f>
        <v>0.69872850171070344</v>
      </c>
      <c r="GZ199" s="315">
        <f>各项系数!$F$76/4*($MV199^2-$MS199^2)*10^-2*(VLOOKUP($GZ$9,各项系数!$D$1:$F$143,3,0))*10^-3*10^2*各项系数!$J$4</f>
        <v>6.0038258634136608E-2</v>
      </c>
      <c r="HA199" s="303">
        <v>1</v>
      </c>
      <c r="HB199" s="304">
        <f t="shared" si="653"/>
        <v>6.0038258634136608E-2</v>
      </c>
      <c r="HC199" s="304">
        <f>HB199*(VLOOKUP($GZ$9,各项系数!$D$1:$F$143,2,0))</f>
        <v>1.0206503967803224</v>
      </c>
      <c r="HD199" s="315">
        <f>各项系数!$F$76/4*($MW199^2-$MT199^2)*10^-2*(VLOOKUP($HD$9,各项系数!$D$1:$F$143,3,0))*10^-3*10^2*各项系数!$J$4</f>
        <v>6.11260665063686E-2</v>
      </c>
      <c r="HE199" s="303">
        <v>1</v>
      </c>
      <c r="HF199" s="304">
        <f t="shared" si="654"/>
        <v>6.11260665063686E-2</v>
      </c>
      <c r="HG199" s="304">
        <f>HF199*(VLOOKUP($HD$9,各项系数!$D$1:$F$143,2,0))</f>
        <v>1.0391431306082661</v>
      </c>
      <c r="HH199" s="315">
        <f>各项系数!$F$76/4*($MV199^2-$MS199^2)*10^-2*(VLOOKUP($HH$9,各项系数!$D$1:$F$143,3,0))*10^-3*10^2*各项系数!$J$4</f>
        <v>6.0038258634136608E-2</v>
      </c>
      <c r="HI199" s="322">
        <v>1</v>
      </c>
      <c r="HJ199" s="304">
        <f t="shared" si="655"/>
        <v>6.0038258634136608E-2</v>
      </c>
      <c r="HK199" s="304">
        <f>HJ199*(VLOOKUP($HH$9,各项系数!$D$1:$F$143,2,0))</f>
        <v>1.0206503967803224</v>
      </c>
      <c r="HL199" s="315">
        <f>各项系数!$F$76/4*($MW199^2-$MT199^2)*10^-2*(VLOOKUP($HL$9,各项系数!$D$1:$F$143,3,0))*10^-3*10^2*各项系数!$J$4</f>
        <v>6.11260665063686E-2</v>
      </c>
      <c r="HM199" s="322">
        <v>1</v>
      </c>
      <c r="HN199" s="304">
        <f t="shared" si="605"/>
        <v>6.11260665063686E-2</v>
      </c>
      <c r="HO199" s="304">
        <f>HN199*(VLOOKUP($HL$9,各项系数!$D$1:$F$143,2,0))</f>
        <v>1.0391431306082661</v>
      </c>
      <c r="HP199" s="315">
        <f>各项系数!$F$76/4*($MV199^2-$MS199^2)*10^-2*(VLOOKUP(AN199,各项系数!$D$1:$F$143,3,0))*10^-3*10^2*各项系数!$J$4</f>
        <v>6.0866372546331593E-2</v>
      </c>
      <c r="HQ199" s="303">
        <v>1</v>
      </c>
      <c r="HR199" s="304">
        <f t="shared" si="911"/>
        <v>6.0866372546331593E-2</v>
      </c>
      <c r="HS199" s="304">
        <f>HR199*(VLOOKUP(AN199,各项系数!$D$1:$F$143,2,0))</f>
        <v>0.60866372546331593</v>
      </c>
      <c r="HT199" s="315">
        <f>各项系数!$F$76/4*($MW199^2-$MT199^2)*10^-2*(VLOOKUP(AN199,各项系数!$D$1:$F$143,3,0))*10^-3*10^2*各项系数!$J$4</f>
        <v>6.1969184665077136E-2</v>
      </c>
      <c r="HU199" s="303">
        <v>1</v>
      </c>
      <c r="HV199" s="304">
        <f t="shared" si="912"/>
        <v>6.1969184665077136E-2</v>
      </c>
      <c r="HW199" s="304">
        <f>HV199*(VLOOKUP(AN199,各项系数!$D$1:$F$143,2,0))</f>
        <v>0.61969184665077137</v>
      </c>
      <c r="HX199" s="315">
        <f>各项系数!$F$76/4*($MV199^2-$MS199^2)*10^-2*(VLOOKUP($HX$9,各项系数!$D$1:$F$143,3,0))*10^-3*10^2*各项系数!$J$4</f>
        <v>6.0866372546331593E-2</v>
      </c>
      <c r="HY199" s="322">
        <v>1</v>
      </c>
      <c r="HZ199" s="304">
        <f t="shared" si="913"/>
        <v>6.0866372546331593E-2</v>
      </c>
      <c r="IA199" s="304">
        <f>HZ199*(VLOOKUP($HX$9,各项系数!$D$1:$F$143,2,0))</f>
        <v>0.66953009800964747</v>
      </c>
      <c r="IB199" s="315">
        <f>各项系数!$F$76/4*($MW199^2-$MT199^2)*10^-2*(VLOOKUP($IB$9,各项系数!$D$1:$F$143,3,0))*10^-3*10^2*各项系数!$J$4</f>
        <v>6.1969184665077136E-2</v>
      </c>
      <c r="IC199" s="322">
        <v>1</v>
      </c>
      <c r="ID199" s="304">
        <f t="shared" si="914"/>
        <v>6.1969184665077136E-2</v>
      </c>
      <c r="IE199" s="304">
        <f>ID199*(VLOOKUP($IB$9,各项系数!$D$1:$F$143,2,0))</f>
        <v>0.68166103131584854</v>
      </c>
      <c r="IF199" s="328"/>
      <c r="IG199" s="315">
        <f t="shared" si="656"/>
        <v>6.9935284857588617E-3</v>
      </c>
      <c r="IH199" s="303">
        <v>1</v>
      </c>
      <c r="II199" s="304">
        <f t="shared" si="915"/>
        <v>6.9935284857588617E-3</v>
      </c>
      <c r="IJ199" s="304">
        <f>II199*(VLOOKUP($IG$8,各项系数!$D$1:$F$143,2,0))</f>
        <v>0.17483821214397155</v>
      </c>
      <c r="IK199" s="315">
        <f>(各项系数!$F$76/4*($MX199^2-$MK199^2)*$EG199)*10^-2*(VLOOKUP($IG$8,各项系数!$D$1:$F$143,3,0))*10^-3*10^2*各项系数!$J$4</f>
        <v>6.9935284857588617E-3</v>
      </c>
      <c r="IL199" s="303">
        <f>IK199*(VLOOKUP($IG$8,各项系数!$D$1:$F$143,2,0))</f>
        <v>0.17483821214397155</v>
      </c>
      <c r="IM199" s="304">
        <f>(各项系数!$F$76/4*(($MM199+3*$X199)^2-MM199^2)*$EO199)*10^-2*(VLOOKUP($IG$8,各项系数!$D$1:$F$143,3,0))*10^-3*10^2*各项系数!$J$4</f>
        <v>0</v>
      </c>
      <c r="IN199" s="303">
        <f>IM199*(VLOOKUP($IG$8,各项系数!$D$1:$F$143,2,0))</f>
        <v>0</v>
      </c>
      <c r="IO199" s="315">
        <f>各项系数!$F$76/4*($MZ199^2-$MX199^2)*10^-2*(VLOOKUP(L199,各项系数!$D$1:$F$143,3,0))*10^-3*10^2*$ES199*各项系数!$J$4</f>
        <v>1.6780566720949679E-2</v>
      </c>
      <c r="IP199" s="303">
        <v>1</v>
      </c>
      <c r="IQ199" s="304">
        <f t="shared" si="916"/>
        <v>1.6780566720949679E-2</v>
      </c>
      <c r="IR199" s="285">
        <f>IQ199*(VLOOKUP(L199,各项系数!$D$1:$F$143,2,0))</f>
        <v>0.1929765172909213</v>
      </c>
      <c r="IS199" s="315">
        <f>IF($L199&lt;&gt;$IS$9,0,各项系数!$F$76/4*($MZ199^2-$MX199^2)*10^-2*各项系数!$F$12*10^-3*10^2)*$ES199*各项系数!$J$4</f>
        <v>0</v>
      </c>
      <c r="IT199" s="303">
        <v>1</v>
      </c>
      <c r="IU199" s="304">
        <f t="shared" si="917"/>
        <v>0</v>
      </c>
      <c r="IV199" s="285">
        <f>IU199*各项系数!$E$12</f>
        <v>0</v>
      </c>
      <c r="IW199" s="302">
        <f t="shared" si="918"/>
        <v>1.6780566720949679E-2</v>
      </c>
      <c r="IX199" s="302">
        <f t="shared" si="919"/>
        <v>0.1929765172909213</v>
      </c>
      <c r="IY199" s="339">
        <f>各项系数!$F$76/4*($NB199^2-$MZ199^2*$EG199-$NA199^2*$EO199)*10^-2</f>
        <v>0.27522905944404619</v>
      </c>
      <c r="IZ199" s="284">
        <f t="shared" si="697"/>
        <v>0.05</v>
      </c>
      <c r="JA199" s="285">
        <f t="shared" si="606"/>
        <v>1.376145297220231E-2</v>
      </c>
      <c r="JB199" s="282">
        <f>IF($DE199&lt;&gt;$JB$9,0,$JA199*各项系数!$F$32*10^-3*10^2)*各项系数!$J$4</f>
        <v>0</v>
      </c>
      <c r="JC199" s="102">
        <v>1</v>
      </c>
      <c r="JD199" s="189">
        <f t="shared" si="920"/>
        <v>0</v>
      </c>
      <c r="JE199" s="262">
        <f>JD199*各项系数!$E$32</f>
        <v>0</v>
      </c>
      <c r="JF199" s="282">
        <f>IF($DE199&lt;&gt;$JF$9,0,$JA199*VLOOKUP($JF$9,各项系数!$D$4:$F$540,2,0)*10^-3*10^2)*各项系数!$J$4</f>
        <v>6.8463228536706491E-3</v>
      </c>
      <c r="JG199" s="102">
        <v>1</v>
      </c>
      <c r="JH199" s="189">
        <f t="shared" si="607"/>
        <v>6.8463228536706491E-3</v>
      </c>
      <c r="JI199" s="262">
        <f>JH199*VLOOKUP($JF$9,各项系数!$D$4:$F$540,3,0)</f>
        <v>8.2155874244047786E-3</v>
      </c>
      <c r="JJ199" s="282">
        <f t="shared" si="921"/>
        <v>6.8463228536706491E-3</v>
      </c>
      <c r="JK199" s="189">
        <f t="shared" si="922"/>
        <v>8.2155874244047786E-3</v>
      </c>
      <c r="JL199" s="282">
        <f>IF($DF199&lt;&gt;$JL$9,0,各项系数!$F$76/4*($NE199^2-$NC199^2)*10^-2*各项系数!$F$39*10^-3*10^2)*各项系数!$J$4</f>
        <v>8.7530616562261215E-4</v>
      </c>
      <c r="JM199" s="102">
        <v>1</v>
      </c>
      <c r="JN199" s="189">
        <f t="shared" si="923"/>
        <v>8.7530616562261215E-4</v>
      </c>
      <c r="JO199" s="262">
        <f>JN199*各项系数!$E$39</f>
        <v>1.7506123312452243E-2</v>
      </c>
      <c r="JP199" s="282">
        <f>IF($DF199&lt;&gt;$JP$9,0,各项系数!$F$76/4*($NE199^2-$NC199^2)*10^-2*各项系数!$F$36*10^-3*10^2)*各项系数!$J$4</f>
        <v>0</v>
      </c>
      <c r="JQ199" s="102">
        <v>1</v>
      </c>
      <c r="JR199" s="189">
        <f t="shared" si="924"/>
        <v>0</v>
      </c>
      <c r="JS199" s="262">
        <f>JR199*各项系数!$E$36</f>
        <v>0</v>
      </c>
      <c r="JT199" s="282">
        <f>IF($DF199&lt;&gt;$JT$9,0,各项系数!$F$76/4*($NE199^2-$NC199^2)*10^-2*各项系数!$F$40*10^-3*10^2)*各项系数!$J$4</f>
        <v>0</v>
      </c>
      <c r="JU199" s="102">
        <v>1</v>
      </c>
      <c r="JV199" s="189">
        <f t="shared" si="925"/>
        <v>0</v>
      </c>
      <c r="JW199" s="262">
        <f>JV199*各项系数!$E$40</f>
        <v>0</v>
      </c>
      <c r="JX199" s="282">
        <f>IF($DF199&lt;&gt;$JX$9,0,各项系数!$F$76/4*($NE199^2-$NC199^2)*10^-2*各项系数!$F$38*10^-3*10^2)*各项系数!$J$4</f>
        <v>0</v>
      </c>
      <c r="JY199" s="102">
        <v>1</v>
      </c>
      <c r="JZ199" s="189">
        <f t="shared" si="926"/>
        <v>0</v>
      </c>
      <c r="KA199" s="262">
        <f>JZ199*各项系数!$E$38</f>
        <v>0</v>
      </c>
      <c r="KB199" s="282">
        <f>IF($DF199&lt;&gt;$KB$9,0,各项系数!$F$76/4*($NE199^2-$NC199^2)*10^-2*各项系数!$F$41*10^-3*10^2)*各项系数!$J$4</f>
        <v>0</v>
      </c>
      <c r="KC199" s="102">
        <v>1</v>
      </c>
      <c r="KD199" s="189">
        <f t="shared" si="927"/>
        <v>0</v>
      </c>
      <c r="KE199" s="262">
        <f>KD199*各项系数!$E$41</f>
        <v>0</v>
      </c>
      <c r="KF199" s="189">
        <f t="shared" si="928"/>
        <v>8.7530616562261215E-4</v>
      </c>
      <c r="KG199" s="189">
        <f t="shared" si="929"/>
        <v>1.7506123312452243E-2</v>
      </c>
      <c r="KH199" s="235">
        <f>各项系数!$F$76/4*($NG199^2-$NE199^2)*10^-2*各项系数!$F$44*10^-3*10^2*各项系数!$J$4*0.75*$U199</f>
        <v>0.4044414809922332</v>
      </c>
      <c r="KI199" s="102">
        <v>1</v>
      </c>
      <c r="KJ199" s="189">
        <f t="shared" si="930"/>
        <v>0.4044414809922332</v>
      </c>
      <c r="KK199" s="189">
        <f>ROUND(KJ199*各项系数!$E$43,GT199)</f>
        <v>2.2999999999999998</v>
      </c>
      <c r="KL199" s="235">
        <f>各项系数!$F$76/4*($NF199^2-$NE199^2)*10^-2*各项系数!$F$46*10^-3*10^2*各项系数!$J$4*PI()/4*R199</f>
        <v>1.2113144884576182E-2</v>
      </c>
      <c r="KM199" s="102">
        <v>1</v>
      </c>
      <c r="KN199" s="189">
        <f t="shared" si="931"/>
        <v>1.2113144884576182E-2</v>
      </c>
      <c r="KO199" s="189">
        <f>KN199*各项系数!$E$46</f>
        <v>0.81763727970889233</v>
      </c>
      <c r="KP199" s="235">
        <f>各项系数!$F$76/4*($NH199^2-$NE199^2)*10^-2*(VLOOKUP($KP$9,各项系数!$D$1:$F$143,3,0))*10^-3*10^2*各项系数!$J$4</f>
        <v>6.8612541131127969E-2</v>
      </c>
      <c r="KQ199" s="102">
        <v>1</v>
      </c>
      <c r="KR199" s="189">
        <f t="shared" si="657"/>
        <v>6.8612541131127969E-2</v>
      </c>
      <c r="KS199" s="189">
        <f>KR199*(VLOOKUP($KP$9,各项系数!$D$1:$F$143,2,0))</f>
        <v>1.1664131992291755</v>
      </c>
      <c r="KT199" s="235">
        <f>各项系数!$F$76/4*($NI199^2-$NF199^2)*10^-2*(VLOOKUP($KT$9,各项系数!$D$1:$F$143,3,0))*10^-3*10^2*各项系数!$J$4</f>
        <v>6.9700349003359974E-2</v>
      </c>
      <c r="KU199" s="102">
        <v>1</v>
      </c>
      <c r="KV199" s="189">
        <f t="shared" si="658"/>
        <v>6.9700349003359974E-2</v>
      </c>
      <c r="KW199" s="189">
        <f>KV199*(VLOOKUP($KT$9,各项系数!$D$1:$F$143,2,0))</f>
        <v>1.1849059330571197</v>
      </c>
      <c r="KX199" s="189">
        <f>各项系数!$F$76/4*($NH199^2-$NE199^2)*10^-2*(VLOOKUP($KX$9,各项系数!$D$1:$F$143,3,0))*10^-3*10^2*各项系数!$J$4</f>
        <v>6.8612541131127969E-2</v>
      </c>
      <c r="KY199" s="353">
        <v>1</v>
      </c>
      <c r="KZ199" s="189">
        <f t="shared" si="659"/>
        <v>6.8612541131127969E-2</v>
      </c>
      <c r="LA199" s="189">
        <f>KZ199*(VLOOKUP($KX$9,各项系数!$D$1:$F$143,2,0))</f>
        <v>1.1664131992291755</v>
      </c>
      <c r="LB199" s="189">
        <f>各项系数!$F$76/4*($NI199^2-$NF199^2)*10^-2*(VLOOKUP($LB$9,各项系数!$D$1:$F$143,3,0))*10^-3*10^2*各项系数!$J$4</f>
        <v>6.9700349003359974E-2</v>
      </c>
      <c r="LC199" s="353">
        <v>1</v>
      </c>
      <c r="LD199" s="189">
        <f t="shared" si="660"/>
        <v>6.9700349003359974E-2</v>
      </c>
      <c r="LE199" s="189">
        <f>LD199*(VLOOKUP($LB$9,各项系数!$D$1:$F$143,2,0))</f>
        <v>1.1849059330571197</v>
      </c>
      <c r="LF199" s="235">
        <f>各项系数!$F$76/4*($NH199^2-$NE199^2)*10^-2*(VLOOKUP(AN199,各项系数!$D$1:$F$143,3,0))*10^-3*10^2*各项系数!$J$4</f>
        <v>6.9558921008798708E-2</v>
      </c>
      <c r="LG199" s="102">
        <v>1</v>
      </c>
      <c r="LH199" s="189">
        <f t="shared" si="932"/>
        <v>6.9558921008798708E-2</v>
      </c>
      <c r="LI199" s="189">
        <f>LH199*(VLOOKUP(AN199,各项系数!$D$1:$F$143,2,0))</f>
        <v>0.69558921008798702</v>
      </c>
      <c r="LJ199" s="235">
        <f>各项系数!$F$76/4*($NI199^2-$NF199^2)*10^-2*(VLOOKUP(AN199,各项系数!$D$1:$F$143,3,0))*10^-3*10^2*各项系数!$J$4</f>
        <v>7.0661733127544243E-2</v>
      </c>
      <c r="LK199" s="102">
        <v>1</v>
      </c>
      <c r="LL199" s="189">
        <f t="shared" si="933"/>
        <v>7.0661733127544243E-2</v>
      </c>
      <c r="LM199" s="189">
        <f>LL199*(VLOOKUP(AN199,各项系数!$D$1:$F$143,2,0))</f>
        <v>0.70661733127544246</v>
      </c>
      <c r="LN199" s="189">
        <f>各项系数!$F$76/4*($NH199^2-$NE199^2)*10^-2*(VLOOKUP($LN$9,各项系数!$D$1:$F$143,3,0))*10^-3*10^2*各项系数!$J$4</f>
        <v>6.9558921008798708E-2</v>
      </c>
      <c r="LO199" s="353">
        <v>1</v>
      </c>
      <c r="LP199" s="189">
        <f t="shared" si="934"/>
        <v>6.9558921008798708E-2</v>
      </c>
      <c r="LQ199" s="189">
        <f>LP199*(VLOOKUP($LN$9,各项系数!$D$1:$F$143,2,0))</f>
        <v>0.76514813109678581</v>
      </c>
      <c r="LR199" s="189">
        <f>各项系数!$F$76/4*($NI199^2-$NF199^2)*10^-2*(VLOOKUP($LR$9,各项系数!$D$1:$F$143,3,0))*10^-3*10^2*各项系数!$J$4</f>
        <v>7.0661733127544243E-2</v>
      </c>
      <c r="LS199" s="353">
        <v>1</v>
      </c>
      <c r="LT199" s="189">
        <f t="shared" si="935"/>
        <v>7.0661733127544243E-2</v>
      </c>
      <c r="LU199" s="189">
        <f>LT199*(VLOOKUP($LR$9,各项系数!$D$1:$F$143,2,0))</f>
        <v>0.77727906440298666</v>
      </c>
      <c r="LV199" s="227">
        <f t="shared" si="661"/>
        <v>7.5054054600000004</v>
      </c>
      <c r="LW199" s="227">
        <f t="shared" si="662"/>
        <v>7.5054054600000004</v>
      </c>
      <c r="LX199" s="227">
        <f t="shared" si="663"/>
        <v>3.0913070101404041</v>
      </c>
      <c r="LY199" s="227">
        <f t="shared" si="664"/>
        <v>0</v>
      </c>
      <c r="LZ199" s="374">
        <f t="shared" si="608"/>
        <v>1</v>
      </c>
      <c r="MA199" s="375">
        <f t="shared" si="609"/>
        <v>7.5054054600000004</v>
      </c>
      <c r="MB199" s="375">
        <f t="shared" si="665"/>
        <v>2.1858841500000001</v>
      </c>
      <c r="MC199" s="227">
        <f t="shared" si="666"/>
        <v>0</v>
      </c>
      <c r="MD199" s="227">
        <f t="shared" si="667"/>
        <v>0</v>
      </c>
      <c r="ME199" s="227">
        <f t="shared" si="668"/>
        <v>0</v>
      </c>
      <c r="MF199" s="227">
        <f t="shared" si="669"/>
        <v>0</v>
      </c>
      <c r="MG199" s="374">
        <f t="shared" si="670"/>
        <v>1</v>
      </c>
      <c r="MH199" s="375">
        <f t="shared" si="610"/>
        <v>0</v>
      </c>
      <c r="MI199" s="375">
        <f t="shared" si="671"/>
        <v>0</v>
      </c>
      <c r="MJ199" s="189">
        <f t="shared" si="611"/>
        <v>2.1858841500000001</v>
      </c>
      <c r="MK199" s="189">
        <f t="shared" si="672"/>
        <v>2.1858841500000001</v>
      </c>
      <c r="ML199" s="189">
        <f t="shared" si="936"/>
        <v>0</v>
      </c>
      <c r="MM199" s="189">
        <f t="shared" si="612"/>
        <v>0</v>
      </c>
      <c r="MN199" s="189">
        <f t="shared" si="613"/>
        <v>3.58588415</v>
      </c>
      <c r="MO199" s="189">
        <f t="shared" si="673"/>
        <v>0</v>
      </c>
      <c r="MP199" s="189">
        <f t="shared" si="674"/>
        <v>7.1717683000000001</v>
      </c>
      <c r="MQ199" s="189">
        <f t="shared" si="937"/>
        <v>7.1717683000000001</v>
      </c>
      <c r="MR199" s="246">
        <f t="shared" si="675"/>
        <v>7.1547150799999999</v>
      </c>
      <c r="MS199" s="380">
        <f t="shared" si="614"/>
        <v>7.3307150800000001</v>
      </c>
      <c r="MT199" s="380">
        <f t="shared" si="615"/>
        <v>7.4907150800000002</v>
      </c>
      <c r="MU199" s="380">
        <f t="shared" si="616"/>
        <v>8.5307150800000002</v>
      </c>
      <c r="MV199" s="380">
        <f t="shared" si="617"/>
        <v>10.330715080000001</v>
      </c>
      <c r="MW199" s="380">
        <f t="shared" si="618"/>
        <v>10.490715080000001</v>
      </c>
      <c r="MX199" s="254">
        <f t="shared" si="619"/>
        <v>2.7858841500000002</v>
      </c>
      <c r="MY199" s="254">
        <f t="shared" si="620"/>
        <v>0</v>
      </c>
      <c r="MZ199" s="189">
        <f t="shared" si="621"/>
        <v>4.1858841499999997</v>
      </c>
      <c r="NA199" s="189">
        <f t="shared" si="622"/>
        <v>0</v>
      </c>
      <c r="NB199" s="189">
        <f t="shared" si="676"/>
        <v>8.3717682999999994</v>
      </c>
      <c r="NC199" s="254">
        <f t="shared" si="938"/>
        <v>8.3717682999999994</v>
      </c>
      <c r="ND199" s="246">
        <f t="shared" si="677"/>
        <v>8.3518616800000007</v>
      </c>
      <c r="NE199" s="386">
        <f t="shared" si="678"/>
        <v>8.5918616800000009</v>
      </c>
      <c r="NF199" s="380">
        <f t="shared" si="623"/>
        <v>8.7518616800000011</v>
      </c>
      <c r="NG199" s="387">
        <f t="shared" si="624"/>
        <v>9.7918616800000002</v>
      </c>
      <c r="NH199" s="254">
        <f t="shared" si="625"/>
        <v>11.591861680000001</v>
      </c>
      <c r="NI199" s="380">
        <f t="shared" si="626"/>
        <v>11.751861680000001</v>
      </c>
      <c r="NK199" s="388">
        <f t="shared" si="627"/>
        <v>0.14413726601247101</v>
      </c>
      <c r="NL199" s="388">
        <f t="shared" si="628"/>
        <v>5.143555865135685</v>
      </c>
      <c r="NM199" s="388">
        <f t="shared" si="629"/>
        <v>0.14413726601247101</v>
      </c>
      <c r="NN199" s="388">
        <f t="shared" si="630"/>
        <v>5.2044222376820164</v>
      </c>
      <c r="NO199" s="388">
        <f t="shared" si="631"/>
        <v>0.16744408434749972</v>
      </c>
      <c r="NP199" s="388">
        <f t="shared" si="632"/>
        <v>5.4376339121415338</v>
      </c>
      <c r="NQ199" s="388">
        <f t="shared" si="633"/>
        <v>0.16744408434749972</v>
      </c>
      <c r="NR199" s="388">
        <f t="shared" si="634"/>
        <v>5.5071928331503317</v>
      </c>
      <c r="NS199" s="388">
        <f t="shared" si="635"/>
        <v>0.15448879937114809</v>
      </c>
      <c r="NT199" s="388">
        <f t="shared" si="636"/>
        <v>0.15448879937114809</v>
      </c>
      <c r="NU199" s="388">
        <f t="shared" si="637"/>
        <v>0.1795572292320759</v>
      </c>
      <c r="NV199" s="388">
        <f t="shared" si="638"/>
        <v>0.1795572292320759</v>
      </c>
      <c r="NW199">
        <f t="shared" si="639"/>
        <v>0.26045429600947589</v>
      </c>
      <c r="NX199">
        <f>各项系数!$M$9*NK199</f>
        <v>4.32411798037413E-2</v>
      </c>
      <c r="NY199">
        <f t="shared" si="640"/>
        <v>0.15448879937114809</v>
      </c>
    </row>
    <row r="200" spans="1:389" ht="15" hidden="1" customHeight="1">
      <c r="A200" s="69"/>
      <c r="B200" s="70"/>
      <c r="C200" s="69"/>
      <c r="D200" s="102" t="s">
        <v>170</v>
      </c>
      <c r="E200" s="54">
        <f t="shared" si="885"/>
        <v>11.12150976</v>
      </c>
      <c r="F200" s="16">
        <f>$F$18</f>
        <v>218.58841470644899</v>
      </c>
      <c r="G200" s="62"/>
      <c r="H200" s="16"/>
      <c r="I200" s="145">
        <v>0</v>
      </c>
      <c r="J200" s="16"/>
      <c r="K200" s="16"/>
      <c r="L200" s="97" t="s">
        <v>469</v>
      </c>
      <c r="M200" s="103">
        <f t="shared" si="582"/>
        <v>0.7</v>
      </c>
      <c r="N200" s="103">
        <f t="shared" si="804"/>
        <v>0</v>
      </c>
      <c r="O200" s="53">
        <f t="shared" si="939"/>
        <v>0.08</v>
      </c>
      <c r="P200" s="99">
        <v>0.1</v>
      </c>
      <c r="Q200" s="133">
        <f t="shared" si="882"/>
        <v>0.1</v>
      </c>
      <c r="R200" s="406">
        <v>0.8</v>
      </c>
      <c r="S200" s="142" t="str">
        <f>各项系数!$D$43</f>
        <v>钢带</v>
      </c>
      <c r="T200" s="102">
        <v>0.2</v>
      </c>
      <c r="U200" s="62">
        <v>4</v>
      </c>
      <c r="V200" s="143"/>
      <c r="W200" s="407">
        <v>1.6</v>
      </c>
      <c r="X200" s="135">
        <f t="shared" si="883"/>
        <v>0.2</v>
      </c>
      <c r="Y200" s="135"/>
      <c r="Z200" s="168"/>
      <c r="AA200" s="153">
        <v>1</v>
      </c>
      <c r="AB200" s="153">
        <f>PI()*EJ200*EJ200/4*EH200*(1-H200)*AA200*各项系数!$F$5*各项系数!$J$4*10^-7</f>
        <v>3.3194719556349603E-2</v>
      </c>
      <c r="AC200" s="153">
        <f t="shared" si="886"/>
        <v>218.58841470644899</v>
      </c>
      <c r="AD200" s="153">
        <f t="shared" si="584"/>
        <v>3.7527027212948432</v>
      </c>
      <c r="AE200" s="153">
        <f>POWER(4*EU200/PI()/EG200/10^-7/EH200/(1-H200)/各项系数!$F$5/各项系数!$J$4,0.5)</f>
        <v>218.58841470644899</v>
      </c>
      <c r="AF200" s="69">
        <v>1</v>
      </c>
      <c r="AG200" s="69">
        <f>IF(EM200=0,0,PI()*ER200*ER200/4*EP200*(1-K200)*(1+AF200)*各项系数!$F$5*各项系数!$J$4*10^-7)</f>
        <v>0</v>
      </c>
      <c r="AH200" s="69">
        <f t="shared" si="887"/>
        <v>0</v>
      </c>
      <c r="AI200" s="69">
        <f t="shared" si="641"/>
        <v>0</v>
      </c>
      <c r="AJ200" s="69">
        <f>IF(OR(EP200="",EP200=0),0,POWER(4*EW200/PI()/EO200/10^-7/EP200/(1-K200)/各项系数!$F$5/各项系数!$J$4,0.5))</f>
        <v>0</v>
      </c>
      <c r="AK200" s="69" t="str">
        <f t="shared" si="585"/>
        <v>√</v>
      </c>
      <c r="AL200" s="69">
        <f t="shared" si="888"/>
        <v>7.8269648443347366</v>
      </c>
      <c r="AM200" s="188">
        <f t="shared" si="889"/>
        <v>4</v>
      </c>
      <c r="AN200" s="97" t="s">
        <v>486</v>
      </c>
      <c r="AO200" s="196">
        <f>AP200+各项系数!$M$9*$NK200</f>
        <v>7.6734949454262118</v>
      </c>
      <c r="AP200" s="196">
        <f>AQ200*(1+$BI200+(VLOOKUP($AM200,$A$12:$B$323,2,0))+各项系数!$J$6+各项系数!$M$5)*(1+$E$2)</f>
        <v>7.6097020298067584</v>
      </c>
      <c r="AQ200" s="197">
        <f>AR200+各项系数!$L$9*$NK200</f>
        <v>7.7650020712313861</v>
      </c>
      <c r="AR200" s="197">
        <f>AS200*(1+$BJ200+各项系数!$J$5+各项系数!$L$5)</f>
        <v>7.7012091556119326</v>
      </c>
      <c r="AS200" s="197">
        <f t="shared" si="642"/>
        <v>7.550205054521502</v>
      </c>
      <c r="AT200" s="196">
        <f>AU200+各项系数!$M$9*$NM200</f>
        <v>8.1471346278141237</v>
      </c>
      <c r="AU200" s="196">
        <f>AV200*(1+$BI200+(VLOOKUP($AM200,$A$12:$B$323,2,0))+各项系数!$J$6+各项系数!$M$5)*(1+$E$2)</f>
        <v>8.0833417121946702</v>
      </c>
      <c r="AV200" s="197">
        <f>AW200+各项系数!$L$9*$NM200</f>
        <v>8.2483078695863981</v>
      </c>
      <c r="AW200" s="197">
        <f>AX200*(1+$BJ200+各项系数!$J$5+各项系数!$L$5)</f>
        <v>8.1845149539669446</v>
      </c>
      <c r="AX200" s="197">
        <f t="shared" si="643"/>
        <v>8.0240342685950434</v>
      </c>
      <c r="AY200" s="196">
        <f>AZ200+各项系数!$M$9*$NS200</f>
        <v>8.4460231147754872</v>
      </c>
      <c r="AZ200" s="196">
        <f>BA200*(1+$BI200+(VLOOKUP($AM200,$A$12:$B$214,2,0))+各项系数!$J$6+各项系数!$M$5)*(1+$E$2)</f>
        <v>8.3788771666494686</v>
      </c>
      <c r="BA200" s="197">
        <f>BB200+各项系数!$L$9*$NS200</f>
        <v>8.5498746598463971</v>
      </c>
      <c r="BB200" s="197">
        <f>BC200*(1+$BJ200+各项系数!$J$5+各项系数!$L$5)</f>
        <v>8.4827287117203785</v>
      </c>
      <c r="BC200" s="199">
        <f t="shared" si="644"/>
        <v>8.3164006977650775</v>
      </c>
      <c r="BD200" s="196">
        <f>BE200+各项系数!$M$9*$NS200</f>
        <v>8.9276218657451931</v>
      </c>
      <c r="BE200" s="196">
        <f>BF200*(1+$BI200+(VLOOKUP($AM200,$A$12:$B$214,2,0))+各项系数!$J$6+各项系数!$M$5)*(1+$E$2)</f>
        <v>8.8604759176191745</v>
      </c>
      <c r="BF200" s="197">
        <f>BG200+各项系数!$L$9*$NS200</f>
        <v>9.0413019567542605</v>
      </c>
      <c r="BG200" s="197">
        <f>BH200*(1+$BJ200+各项系数!$J$5+各项系数!$L$5)</f>
        <v>8.9741560086282419</v>
      </c>
      <c r="BH200" s="199">
        <f t="shared" si="645"/>
        <v>8.7981921653218063</v>
      </c>
      <c r="BI200" s="211">
        <v>0</v>
      </c>
      <c r="BJ200" s="208">
        <f>$BJ$199</f>
        <v>0</v>
      </c>
      <c r="BK200" s="102" t="s">
        <v>514</v>
      </c>
      <c r="BL200" s="196">
        <f>BM200+各项系数!$M$9*$NM200</f>
        <v>7.818147891319132</v>
      </c>
      <c r="BM200" s="196">
        <f>BN200*(1+$CF200+(VLOOKUP($AM200,$A$12:$B$323,2,0))+各项系数!$J$6+各项系数!$M$5)*(1+$E$2)</f>
        <v>7.7543549756996786</v>
      </c>
      <c r="BN200" s="197">
        <f>BO200+各项系数!$L$9*$NM200</f>
        <v>7.9126071180608966</v>
      </c>
      <c r="BO200" s="197">
        <f>BP200*(1+$CG200+各项系数!$J$5+各项系数!$L$5)</f>
        <v>7.8488142024414431</v>
      </c>
      <c r="BP200" s="197">
        <f t="shared" si="646"/>
        <v>7.6202079635353819</v>
      </c>
      <c r="BQ200" s="196">
        <f>BR200+各项系数!$M$9*$NM200</f>
        <v>8.2257701636463558</v>
      </c>
      <c r="BR200" s="196">
        <f>BS200*(1+$CF200+(VLOOKUP($AM200,$A$12:$B$323,2,0))+各项系数!$J$6+各项系数!$M$5)*(1+$E$2)</f>
        <v>8.1619772480269024</v>
      </c>
      <c r="BS200" s="197">
        <f>BT200+各项系数!$L$9*$NM200</f>
        <v>8.3285482122723486</v>
      </c>
      <c r="BT200" s="197">
        <f>BU200*(1+$CG200+各项系数!$J$5+各项系数!$L$5)</f>
        <v>8.2647552966528952</v>
      </c>
      <c r="BU200" s="197">
        <f t="shared" si="647"/>
        <v>8.0240342685950434</v>
      </c>
      <c r="BV200" s="196">
        <f>BW200+各项系数!$M$9*$NT200</f>
        <v>8.5416672743567457</v>
      </c>
      <c r="BW200" s="196">
        <f>BX200*(1+$CF200+(VLOOKUP($AM200,$A$12:$B$214,2,0))+各项系数!$J$6+各项系数!$M$5)*(1+$E$2)</f>
        <v>8.4745213262307271</v>
      </c>
      <c r="BX200" s="197">
        <f>BY200+各项系数!$L$9*$NT$12</f>
        <v>8.6474707410517624</v>
      </c>
      <c r="BY200" s="197">
        <f>BZ200*(1+$CG200+各项系数!$J$5+各项系数!$L$5)</f>
        <v>8.6392073378967886</v>
      </c>
      <c r="BZ200" s="199">
        <f t="shared" si="586"/>
        <v>8.3875799397056205</v>
      </c>
      <c r="CA200" s="196">
        <f>CB200+各项系数!$M$9*$NT200</f>
        <v>8.9561392548937242</v>
      </c>
      <c r="CB200" s="196">
        <f>CC200*(1+$CF200+(VLOOKUP($AM200,$A$12:$B$214,2,0))+各项系数!$J$6+各项系数!$M$5)*(1+$E$2)</f>
        <v>8.8889933067677056</v>
      </c>
      <c r="CC200" s="197">
        <f>CD200+各项系数!$L$9*$NT$12</f>
        <v>9.0704013334364344</v>
      </c>
      <c r="CD200" s="197">
        <f>CE200*(1+$CG200+各项系数!$J$5+各项系数!$L$5)</f>
        <v>9.0621379302814606</v>
      </c>
      <c r="CE200" s="199">
        <f t="shared" si="648"/>
        <v>8.7981921653218063</v>
      </c>
      <c r="CF200" s="211">
        <f>(BI200+$CF$2)-BI200/1.3</f>
        <v>0</v>
      </c>
      <c r="CG200" s="213">
        <f t="shared" si="587"/>
        <v>0.01</v>
      </c>
      <c r="CH200" s="102"/>
      <c r="CI200" s="196">
        <f>CJ200+各项系数!$M$9*$NO200</f>
        <v>8.2887444149302141</v>
      </c>
      <c r="CJ200" s="196">
        <f>CK200*(1+$DC200+(VLOOKUP($AM200,$A$12:$B$323,2,0))+各项系数!$J$6+各项系数!$M$5)*(1+$E$2)+各项系数!$M$9*$NK200</f>
        <v>8.1896513083794265</v>
      </c>
      <c r="CK200" s="197">
        <f>CL200+各项系数!$L$9*$NO200</f>
        <v>8.2916922375101763</v>
      </c>
      <c r="CL200" s="197">
        <f>CM200*(1+$DD200+各项系数!$J$5+各项系数!$L$5)</f>
        <v>8.1925991309593886</v>
      </c>
      <c r="CM200" s="197">
        <f t="shared" si="588"/>
        <v>8.0319599323131268</v>
      </c>
      <c r="CN200" s="196">
        <f>CO200+各项系数!$M$9*$NO200</f>
        <v>8.6624357938713707</v>
      </c>
      <c r="CO200" s="196">
        <f>CP200*(1+$DC200+(VLOOKUP($AM200,$A$12:$B$323,2,0))+各项系数!$J$6+各项系数!$M$5)*(1+$E$2)+各项系数!$M$9*$NK200</f>
        <v>8.5633426873205831</v>
      </c>
      <c r="CP200" s="197">
        <f>CQ200+各项系数!$L$9*$NO200</f>
        <v>8.6730099711236015</v>
      </c>
      <c r="CQ200" s="197">
        <f>CR200*(1+$DD200+各项系数!$J$5+各项系数!$L$5)</f>
        <v>8.5739168645728139</v>
      </c>
      <c r="CR200" s="197">
        <f t="shared" si="589"/>
        <v>8.4058008476204051</v>
      </c>
      <c r="CS200" s="196">
        <f>CT200+各项系数!$M$9*$NU200</f>
        <v>9.1267860886728958</v>
      </c>
      <c r="CT200" s="196">
        <f t="shared" si="590"/>
        <v>9.0237700416424609</v>
      </c>
      <c r="CU200" s="197">
        <f>CV200+各项系数!$L$9*$NU200</f>
        <v>9.2079286139208794</v>
      </c>
      <c r="CV200" s="197">
        <f>CW200*(1+$DD200+各项系数!$J$5+各项系数!$L$5)</f>
        <v>9.1049125668904445</v>
      </c>
      <c r="CW200" s="199">
        <f t="shared" si="591"/>
        <v>8.9263848695004349</v>
      </c>
      <c r="CX200" s="196">
        <f>CY200+各项系数!$M$9*$NU200</f>
        <v>9.6760369225878566</v>
      </c>
      <c r="CY200" s="196">
        <f t="shared" si="592"/>
        <v>9.5730208755574218</v>
      </c>
      <c r="CZ200" s="197">
        <f>DA200+各项系数!$L$9*$NU200</f>
        <v>9.7683886485279814</v>
      </c>
      <c r="DA200" s="197">
        <f>DB200*(1+$DD200+各项系数!$J$5+各项系数!$L$5)</f>
        <v>9.6653726014975465</v>
      </c>
      <c r="DB200" s="199">
        <f t="shared" si="593"/>
        <v>9.4758554916642606</v>
      </c>
      <c r="DC200" s="211">
        <f>(BI200+$DC$2)-BI200/1.3</f>
        <v>0</v>
      </c>
      <c r="DD200" s="213">
        <f t="shared" si="594"/>
        <v>0</v>
      </c>
      <c r="DE200" s="53" t="s">
        <v>498</v>
      </c>
      <c r="DF200" s="53" t="s">
        <v>513</v>
      </c>
      <c r="DG200" s="196">
        <f>DH200+各项系数!$M$9*$NQ200</f>
        <v>8.4482113775029593</v>
      </c>
      <c r="DH200" s="196">
        <f>DI200*(1+$EA200+(VLOOKUP($AM200,$A$12:$B$323,2,0))+各项系数!$J$6+各项系数!$M$5)*(1+$E$2)+各项系数!$M$9*$NK200</f>
        <v>8.3491182709521716</v>
      </c>
      <c r="DI200" s="197">
        <f>DJ200+各项系数!$L$9*$NQ200</f>
        <v>8.4544136278905295</v>
      </c>
      <c r="DJ200" s="197">
        <f>DK200*(1+$EB200+各项系数!$J$5+各项系数!$L$5)</f>
        <v>8.3553205213397419</v>
      </c>
      <c r="DK200" s="197">
        <f t="shared" si="595"/>
        <v>8.1119616712036322</v>
      </c>
      <c r="DL200" s="196">
        <f>DM200+各项系数!$M$9*$NQ200</f>
        <v>8.9140561696131169</v>
      </c>
      <c r="DM200" s="196">
        <f>DN200*(1+$EA200+(VLOOKUP($AM200,$A$12:$B$323,2,0))+各项系数!$J$6+各项系数!$M$5)*(1+$E$2)+各项系数!$M$9*$NK200</f>
        <v>8.8149630630623292</v>
      </c>
      <c r="DN200" s="197">
        <f>DO200+各项系数!$L$9*$NQ200</f>
        <v>8.9297654565743638</v>
      </c>
      <c r="DO200" s="197">
        <f>DP200*(1+$EB200+各项系数!$J$5+各项系数!$L$5)</f>
        <v>8.8306723500235762</v>
      </c>
      <c r="DP200" s="197">
        <f t="shared" si="596"/>
        <v>8.5734683009937633</v>
      </c>
      <c r="DQ200" s="196">
        <f>DR200+各项系数!$M$9*$NV200</f>
        <v>9.2962058060862489</v>
      </c>
      <c r="DR200" s="196">
        <f t="shared" si="597"/>
        <v>9.193189759055814</v>
      </c>
      <c r="DS200" s="197">
        <f>DT200+各项系数!$L$9*$NV200</f>
        <v>9.3808058765875657</v>
      </c>
      <c r="DT200" s="197">
        <f>DU200*(1+$EB200+各项系数!$J$5+各项系数!$L$5)</f>
        <v>9.2777898295571308</v>
      </c>
      <c r="DU200" s="199">
        <f t="shared" si="598"/>
        <v>9.0075629413176017</v>
      </c>
      <c r="DV200" s="196">
        <f>DW200+各项系数!$M$9*$NV200</f>
        <v>9.4767145615759816</v>
      </c>
      <c r="DW200" s="196">
        <f t="shared" si="599"/>
        <v>9.3736985145455467</v>
      </c>
      <c r="DX200" s="197">
        <f>DY200+各项系数!$L$9*$NV200</f>
        <v>9.5649984842301503</v>
      </c>
      <c r="DY200" s="197">
        <f>DZ200*(1+$EB200+各项系数!$J$5+各项系数!$L$5)</f>
        <v>9.4619824371997154</v>
      </c>
      <c r="DZ200" s="199">
        <f t="shared" si="600"/>
        <v>9.1863907157278781</v>
      </c>
      <c r="EA200" s="211">
        <f>(BI200+$EA$2)-BI200/1.3</f>
        <v>0</v>
      </c>
      <c r="EB200" s="213">
        <f t="shared" si="601"/>
        <v>0.01</v>
      </c>
      <c r="EC200" s="235">
        <f t="shared" si="649"/>
        <v>3</v>
      </c>
      <c r="ED200" s="235" t="str">
        <f t="shared" si="890"/>
        <v>3*4</v>
      </c>
      <c r="EE200" s="189">
        <f t="shared" si="891"/>
        <v>4</v>
      </c>
      <c r="EF200" s="189">
        <f>LOOKUP(EH200,{1,7,10,14,19,24,30,37,48,61},{1,"1+6","2+8","4+10","1+6+12","2+8+14","4+10+16","1+6+12+18","3+9+15+21","1+6+12+18+24"})</f>
        <v>1</v>
      </c>
      <c r="EG200" s="188">
        <f t="shared" si="602"/>
        <v>3</v>
      </c>
      <c r="EH200" s="197">
        <f>VLOOKUP(EE200,各项系数!$B$87:$C$124,2,0)</f>
        <v>1</v>
      </c>
      <c r="EI200" s="188">
        <f>IF(EH200=0,0,VLOOKUP(EH200,各项系数!$D$142:$E$195,2,0))*1</f>
        <v>1</v>
      </c>
      <c r="EJ200" s="238">
        <f t="shared" si="650"/>
        <v>218.58841470644899</v>
      </c>
      <c r="EK200" s="189">
        <f t="shared" si="892"/>
        <v>0</v>
      </c>
      <c r="EL200" s="189">
        <f t="shared" si="603"/>
        <v>0</v>
      </c>
      <c r="EM200" s="189">
        <f t="shared" si="893"/>
        <v>0</v>
      </c>
      <c r="EN200" s="189">
        <f>IF(EP200=0,0,LOOKUP(EP200,{1,7,10,14,19,24,30,37,48,61},{1,"1+6","2+8","4+10","1+6+12","2+8+14","4+10+16","1+6+12+18","3+9+15+21","1+6+12+18+24"}))</f>
        <v>0</v>
      </c>
      <c r="EO200" s="189">
        <f t="shared" si="894"/>
        <v>0</v>
      </c>
      <c r="EP200" s="189">
        <f>IF(EM200=0,0,IF(EM200&lt;10,1,IF(AND(EM200&gt;=10,EM200&lt;=35),7,LOOKUP(EM200,{50,70,95,120,150,185,240,300},{10,14,19,24,30,37,48,61})*1)))</f>
        <v>0</v>
      </c>
      <c r="EQ200" s="189">
        <f>IF(EP200=0,0,VLOOKUP(EP200,各项系数!$D$142:$E$195,2,0))*1</f>
        <v>0</v>
      </c>
      <c r="ER200" s="53">
        <f t="shared" si="895"/>
        <v>0</v>
      </c>
      <c r="ES200" s="412">
        <f t="shared" si="896"/>
        <v>3</v>
      </c>
      <c r="ET200" s="189">
        <f>VLOOKUP(ES200,各项系数!$D$142:$E$195,2,0)*1</f>
        <v>2.16</v>
      </c>
      <c r="EU200" s="243">
        <f>((各项系数!$F$76/4*$EJ200^2*$EG200*$EH200*1*10^-7)*(1-$H200)*AA200)*(VLOOKUP($EY$9,各项系数!$D$4:$F$143,3,0))*各项系数!$J$4</f>
        <v>9.9584158669048795E-2</v>
      </c>
      <c r="EV200" s="244">
        <f>EU200*(VLOOKUP($EY$9,各项系数!$D$4:$F$143,2,0))</f>
        <v>6.5227623928226963</v>
      </c>
      <c r="EW200" s="252">
        <f>(IF($EO200=0,0,(各项系数!$F$76/4*$ER200^2*$EO200*$EP200*1*10^-7))*(1-$K200)*$AF200)*(VLOOKUP($EY$9,各项系数!$D$4:$F$143,3,0))*各项系数!$J$4</f>
        <v>0</v>
      </c>
      <c r="EX200" s="253">
        <f>EW200*(VLOOKUP($EY$9,各项系数!$D$4:$F$143,2,0))</f>
        <v>0</v>
      </c>
      <c r="EY200" s="189">
        <f>((各项系数!$F$76/4*$EJ200^2*$EG200*$EH200*1*10^-7)*(1-$H200)*AA200+IF($EO200=0,0,(各项系数!$F$76/4*$ER200^2*$EO200*$EP200*1*10^-7))*(1-$K200)*$AF200)*(VLOOKUP($EY$9,各项系数!$D$4:$F$143,3,0))*各项系数!$J$4</f>
        <v>9.9584158669048795E-2</v>
      </c>
      <c r="EZ200" s="102">
        <v>1</v>
      </c>
      <c r="FA200" s="189">
        <f t="shared" si="897"/>
        <v>9.9584158669048795E-2</v>
      </c>
      <c r="FB200" s="254">
        <f>FA200*(VLOOKUP($EY$9,各项系数!$D$4:$F$143,2,0))</f>
        <v>6.5227623928226963</v>
      </c>
      <c r="FC200" s="255"/>
      <c r="FD200" s="235">
        <f>各项系数!$F$76/4*($MN200^2-MK200^2)*10^-2*(VLOOKUP(L200,各项系数!$D$1:$F$143,3,0))*10^-3*10^2*$EG200*各项系数!$J$4</f>
        <v>2.0838373900638456E-2</v>
      </c>
      <c r="FE200" s="262">
        <f>FD200*VLOOKUP(L200,各项系数!$D$1:$F$143,2,0)</f>
        <v>0.23964129985734225</v>
      </c>
      <c r="FF200" s="188">
        <f>各项系数!$F$76/4*($MO200^2-ML200^2)*10^-2*(VLOOKUP(L200,各项系数!$D$1:$F$143,3,0))*10^-3*10^2*$EO200*各项系数!$J$4</f>
        <v>0</v>
      </c>
      <c r="FG200" s="262">
        <f>FF200*VLOOKUP(L200,各项系数!$D$1:$F$143,2,0)</f>
        <v>0</v>
      </c>
      <c r="FH200" s="235">
        <f t="shared" si="651"/>
        <v>2.0838373900638456E-2</v>
      </c>
      <c r="FI200" s="102">
        <v>1</v>
      </c>
      <c r="FJ200" s="189">
        <f t="shared" si="898"/>
        <v>2.0838373900638456E-2</v>
      </c>
      <c r="FK200" s="262">
        <f>FJ200*VLOOKUP(L200,各项系数!$D$1:$F$143,2,0)</f>
        <v>0.23964129985734225</v>
      </c>
      <c r="FL200" s="235"/>
      <c r="FM200" s="102"/>
      <c r="FN200" s="189"/>
      <c r="FO200" s="262"/>
      <c r="FP200" s="282">
        <f t="shared" si="899"/>
        <v>2.0838373900638456E-2</v>
      </c>
      <c r="FQ200" s="282">
        <f t="shared" si="900"/>
        <v>0.23964129985734225</v>
      </c>
      <c r="FR200" s="283">
        <f>各项系数!$F$76/4*($MQ200^2-$MN200^2*$EG200-$MO200^2*$EO200)*10^-2</f>
        <v>0.16821049989494655</v>
      </c>
      <c r="FS200" s="284">
        <f t="shared" si="652"/>
        <v>1</v>
      </c>
      <c r="FT200" s="285">
        <f t="shared" si="604"/>
        <v>0.16821049989494655</v>
      </c>
      <c r="FU200" s="302">
        <f>$FT200*(VLOOKUP($FT$9,各项系数!$D$1:$F$143,3,0))*10^-3*10^2*各项系数!$J$55</f>
        <v>2.0084333687456619E-2</v>
      </c>
      <c r="FV200" s="303">
        <v>1</v>
      </c>
      <c r="FW200" s="304">
        <f t="shared" si="901"/>
        <v>2.0084333687456619E-2</v>
      </c>
      <c r="FX200" s="285">
        <f>FW200*(VLOOKUP($FT$9,各项系数!$D$1:$F$143,2,0))</f>
        <v>6.025300106236986E-2</v>
      </c>
      <c r="FY200" s="302">
        <f>IF($BK200&lt;&gt;$FY$9,0,各项系数!$F$76/4*($MS200^2-$MQ200^2)*10^-2*(VLOOKUP($FY$9,各项系数!$D$1:$F$143,3,0))*10^-3*10^2)*各项系数!$J$4</f>
        <v>0</v>
      </c>
      <c r="FZ200" s="303">
        <v>1</v>
      </c>
      <c r="GA200" s="304">
        <f t="shared" si="902"/>
        <v>0</v>
      </c>
      <c r="GB200" s="285">
        <f>GA200*(VLOOKUP($FY$9,各项系数!$D$1:$F$143,2,0))</f>
        <v>0</v>
      </c>
      <c r="GC200" s="302">
        <f>IF($BK200&lt;&gt;$GC$9,0,各项系数!$F$76/4*($MS200^2-$MQ200^2)*10^-2*(VLOOKUP($GC$9,各项系数!$D$1:$F$143,3,0))*10^-3*10^2)*各项系数!$J$4</f>
        <v>2.1332767938211901E-3</v>
      </c>
      <c r="GD200" s="303">
        <v>1</v>
      </c>
      <c r="GE200" s="304">
        <f t="shared" si="903"/>
        <v>2.1332767938211901E-3</v>
      </c>
      <c r="GF200" s="285">
        <f>GE200*(VLOOKUP($GC$9,各项系数!$D$1:$F$143,2,0))</f>
        <v>2.7519270640293355E-2</v>
      </c>
      <c r="GG200" s="302">
        <f>IF($BK200&lt;&gt;$GG$9,0,各项系数!$F$76/4*($MS200^2-$MQ200^2)*10^-2*(VLOOKUP($GG$9,各项系数!$D$1:$F$143,3,0))*10^-3*10^2)*各项系数!$J$4</f>
        <v>0</v>
      </c>
      <c r="GH200" s="303">
        <v>1</v>
      </c>
      <c r="GI200" s="304">
        <f t="shared" si="904"/>
        <v>0</v>
      </c>
      <c r="GJ200" s="285">
        <f>GI200*(VLOOKUP($GG$9,各项系数!$D$1:$F$143,2,0))</f>
        <v>0</v>
      </c>
      <c r="GK200" s="302">
        <f>IF($BK200&lt;&gt;$GK$9,0,各项系数!$F$76/4*($MS200^2-$MQ200^2)*10^-2*(VLOOKUP($GK$9,各项系数!$D$1:$F$143,3,0))*10^-3*10^2)*各项系数!$J$4</f>
        <v>0</v>
      </c>
      <c r="GL200" s="303">
        <v>1</v>
      </c>
      <c r="GM200" s="304">
        <f t="shared" si="905"/>
        <v>0</v>
      </c>
      <c r="GN200" s="285">
        <f>GM200*(VLOOKUP($GK$9,各项系数!$D$1:$F$143,2,0))</f>
        <v>0</v>
      </c>
      <c r="GO200" s="304">
        <f t="shared" si="906"/>
        <v>2.1332767938211901E-3</v>
      </c>
      <c r="GP200" s="304">
        <f t="shared" si="907"/>
        <v>2.7519270640293355E-2</v>
      </c>
      <c r="GQ200" s="315">
        <f>各项系数!$F$76/4*($MU200^2-$MS200^2)*10^-2*(VLOOKUP($S200,各项系数!$D$1:$F$143,3,0))*10^-3*10^2*各项系数!$J$4</f>
        <v>0.12498200936171955</v>
      </c>
      <c r="GR200" s="303">
        <v>1</v>
      </c>
      <c r="GS200" s="304">
        <f t="shared" si="908"/>
        <v>0.12498200936171955</v>
      </c>
      <c r="GT200" s="304">
        <f t="shared" si="909"/>
        <v>1</v>
      </c>
      <c r="GU200" s="304">
        <f>ROUND($GS200*(VLOOKUP($S200,各项系数!$D$1:$F$143,2,0))+$E$3*GS200,GT200)</f>
        <v>0.7</v>
      </c>
      <c r="GV200" s="315">
        <f>各项系数!$F$76/4*($MT200^2-$MS200^2)*10^-2*(VLOOKUP($GV$9,各项系数!$D$1:$F$143,3,0))*10^-3*10^2*各项系数!$J$4*PI()/4*R200</f>
        <v>1.1176775021880837E-2</v>
      </c>
      <c r="GW200" s="303">
        <v>1</v>
      </c>
      <c r="GX200" s="304">
        <f t="shared" si="910"/>
        <v>1.1176775021880837E-2</v>
      </c>
      <c r="GY200" s="304">
        <f>$GX200*(VLOOKUP($GV$9,各项系数!$D$1:$F$143,2,0))</f>
        <v>0.75443231397695654</v>
      </c>
      <c r="GZ200" s="315">
        <f>各项系数!$F$76/4*($MV200^2-$MS200^2)*10^-2*(VLOOKUP($GZ$9,各项系数!$D$1:$F$143,3,0))*10^-3*10^2*各项系数!$J$4</f>
        <v>6.9050488483078917E-2</v>
      </c>
      <c r="HA200" s="303">
        <v>1</v>
      </c>
      <c r="HB200" s="304">
        <f t="shared" si="653"/>
        <v>6.9050488483078917E-2</v>
      </c>
      <c r="HC200" s="304">
        <f>HB200*(VLOOKUP($GZ$9,各项系数!$D$1:$F$143,2,0))</f>
        <v>1.1738583042123416</v>
      </c>
      <c r="HD200" s="315">
        <f>各项系数!$F$76/4*($MW200^2-$MT200^2)*10^-2*(VLOOKUP($HD$9,各项系数!$D$1:$F$143,3,0))*10^-3*10^2*各项系数!$J$4</f>
        <v>7.021081688012637E-2</v>
      </c>
      <c r="HE200" s="303">
        <v>1</v>
      </c>
      <c r="HF200" s="304">
        <f t="shared" si="654"/>
        <v>7.021081688012637E-2</v>
      </c>
      <c r="HG200" s="304">
        <f>HF200*(VLOOKUP($HD$9,各项系数!$D$1:$F$143,2,0))</f>
        <v>1.1935838869621482</v>
      </c>
      <c r="HH200" s="315">
        <f>各项系数!$F$76/4*($MV200^2-$MS200^2)*10^-2*(VLOOKUP($HH$9,各项系数!$D$1:$F$143,3,0))*10^-3*10^2*各项系数!$J$4</f>
        <v>6.9050488483078917E-2</v>
      </c>
      <c r="HI200" s="322">
        <v>1</v>
      </c>
      <c r="HJ200" s="304">
        <f t="shared" si="655"/>
        <v>6.9050488483078917E-2</v>
      </c>
      <c r="HK200" s="304">
        <f>HJ200*(VLOOKUP($HH$9,各项系数!$D$1:$F$143,2,0))</f>
        <v>1.1738583042123416</v>
      </c>
      <c r="HL200" s="315">
        <f>各项系数!$F$76/4*($MW200^2-$MT200^2)*10^-2*(VLOOKUP($HL$9,各项系数!$D$1:$F$143,3,0))*10^-3*10^2*各项系数!$J$4</f>
        <v>7.021081688012637E-2</v>
      </c>
      <c r="HM200" s="322">
        <v>1</v>
      </c>
      <c r="HN200" s="304">
        <f t="shared" si="605"/>
        <v>7.021081688012637E-2</v>
      </c>
      <c r="HO200" s="304">
        <f>HN200*(VLOOKUP($HL$9,各项系数!$D$1:$F$143,2,0))</f>
        <v>1.1935838869621482</v>
      </c>
      <c r="HP200" s="315">
        <f>各项系数!$F$76/4*($MV200^2-$MS200^2)*10^-2*(VLOOKUP(AN200,各项系数!$D$1:$F$143,3,0))*10^-3*10^2*各项系数!$J$4</f>
        <v>7.0002909013879996E-2</v>
      </c>
      <c r="HQ200" s="303">
        <v>1</v>
      </c>
      <c r="HR200" s="304">
        <f t="shared" si="911"/>
        <v>7.0002909013879996E-2</v>
      </c>
      <c r="HS200" s="304">
        <f>HR200*(VLOOKUP(AN200,各项系数!$D$1:$F$143,2,0))</f>
        <v>0.70002909013879999</v>
      </c>
      <c r="HT200" s="315">
        <f>各项系数!$F$76/4*($MW200^2-$MT200^2)*10^-2*(VLOOKUP(AN200,各项系数!$D$1:$F$143,3,0))*10^-3*10^2*各项系数!$J$4</f>
        <v>7.1179241940541912E-2</v>
      </c>
      <c r="HU200" s="303">
        <v>1</v>
      </c>
      <c r="HV200" s="304">
        <f t="shared" si="912"/>
        <v>7.1179241940541912E-2</v>
      </c>
      <c r="HW200" s="304">
        <f>HV200*(VLOOKUP(AN200,各项系数!$D$1:$F$143,2,0))</f>
        <v>0.71179241940541915</v>
      </c>
      <c r="HX200" s="315">
        <f>各项系数!$F$76/4*($MV200^2-$MS200^2)*10^-2*(VLOOKUP($HX$9,各项系数!$D$1:$F$143,3,0))*10^-3*10^2*各项系数!$J$4</f>
        <v>7.0002909013879996E-2</v>
      </c>
      <c r="HY200" s="322">
        <v>1</v>
      </c>
      <c r="HZ200" s="304">
        <f t="shared" si="913"/>
        <v>7.0002909013879996E-2</v>
      </c>
      <c r="IA200" s="304">
        <f>HZ200*(VLOOKUP($HX$9,各项系数!$D$1:$F$143,2,0))</f>
        <v>0.77003199915267995</v>
      </c>
      <c r="IB200" s="315">
        <f>各项系数!$F$76/4*($MW200^2-$MT200^2)*10^-2*(VLOOKUP($IB$9,各项系数!$D$1:$F$143,3,0))*10^-3*10^2*各项系数!$J$4</f>
        <v>7.1179241940541912E-2</v>
      </c>
      <c r="IC200" s="322">
        <v>1</v>
      </c>
      <c r="ID200" s="304">
        <f t="shared" si="914"/>
        <v>7.1179241940541912E-2</v>
      </c>
      <c r="IE200" s="304">
        <f>ID200*(VLOOKUP($IB$9,各项系数!$D$1:$F$143,2,0))</f>
        <v>0.78297166134596108</v>
      </c>
      <c r="IF200" s="328"/>
      <c r="IG200" s="315">
        <f t="shared" si="656"/>
        <v>1.0490292728638292E-2</v>
      </c>
      <c r="IH200" s="303">
        <v>1</v>
      </c>
      <c r="II200" s="304">
        <f t="shared" si="915"/>
        <v>1.0490292728638292E-2</v>
      </c>
      <c r="IJ200" s="304">
        <f>II200*(VLOOKUP($IG$8,各项系数!$D$1:$F$143,2,0))</f>
        <v>0.26225731821595732</v>
      </c>
      <c r="IK200" s="315">
        <f>(各项系数!$F$76/4*($MX200^2-$MK200^2)*$EG200)*10^-2*(VLOOKUP($IG$8,各项系数!$D$1:$F$143,3,0))*10^-3*10^2*各项系数!$J$4</f>
        <v>1.0490292728638292E-2</v>
      </c>
      <c r="IL200" s="303">
        <f>IK200*(VLOOKUP($IG$8,各项系数!$D$1:$F$143,2,0))</f>
        <v>0.26225731821595732</v>
      </c>
      <c r="IM200" s="304">
        <f>(各项系数!$F$76/4*(($MM200+3*$X200)^2-MM200^2)*$EO200)*10^-2*(VLOOKUP($IG$8,各项系数!$D$1:$F$143,3,0))*10^-3*10^2*各项系数!$J$4</f>
        <v>0</v>
      </c>
      <c r="IN200" s="303">
        <f>IM200*(VLOOKUP($IG$8,各项系数!$D$1:$F$143,2,0))</f>
        <v>0</v>
      </c>
      <c r="IO200" s="315">
        <f>各项系数!$F$76/4*($MZ200^2-$MX200^2)*10^-2*(VLOOKUP(L200,各项系数!$D$1:$F$143,3,0))*10^-3*10^2*$ES200*各项系数!$J$4</f>
        <v>2.5170850081424521E-2</v>
      </c>
      <c r="IP200" s="303">
        <v>1</v>
      </c>
      <c r="IQ200" s="304">
        <f t="shared" si="916"/>
        <v>2.5170850081424521E-2</v>
      </c>
      <c r="IR200" s="285">
        <f>IQ200*(VLOOKUP(L200,各项系数!$D$1:$F$143,2,0))</f>
        <v>0.28946477593638198</v>
      </c>
      <c r="IS200" s="315">
        <f>IF($L200&lt;&gt;$IS$9,0,各项系数!$F$76/4*($MZ200^2-$MX200^2)*10^-2*各项系数!$F$12*10^-3*10^2)*$ES200*各项系数!$J$4</f>
        <v>0</v>
      </c>
      <c r="IT200" s="303">
        <v>1</v>
      </c>
      <c r="IU200" s="304">
        <f t="shared" si="917"/>
        <v>0</v>
      </c>
      <c r="IV200" s="285">
        <f>IU200*各项系数!$E$12</f>
        <v>0</v>
      </c>
      <c r="IW200" s="302">
        <f t="shared" si="918"/>
        <v>2.5170850081424521E-2</v>
      </c>
      <c r="IX200" s="302">
        <f t="shared" si="919"/>
        <v>0.28946477593638198</v>
      </c>
      <c r="IY200" s="339">
        <f>各项系数!$F$76/4*($NB200^2-$MZ200^2*$EG200-$NA200^2*$EO200)*10^-2</f>
        <v>0.22921076013690694</v>
      </c>
      <c r="IZ200" s="284">
        <f t="shared" si="697"/>
        <v>1</v>
      </c>
      <c r="JA200" s="285">
        <f t="shared" si="606"/>
        <v>0.22921076013690694</v>
      </c>
      <c r="JB200" s="282">
        <f>IF($DE200&lt;&gt;$JB$9,0,$JA200*各项系数!$F$32*10^-3*10^2)*各项系数!$J$4</f>
        <v>0</v>
      </c>
      <c r="JC200" s="102">
        <v>1</v>
      </c>
      <c r="JD200" s="189">
        <f t="shared" si="920"/>
        <v>0</v>
      </c>
      <c r="JE200" s="262">
        <f>JD200*各项系数!$E$32</f>
        <v>0</v>
      </c>
      <c r="JF200" s="282">
        <f>IF($DE200&lt;&gt;$JF$9,0,$JA200*VLOOKUP($JF$9,各项系数!$D$4:$F$540,2,0)*10^-3*10^2)*各项系数!$J$4</f>
        <v>0.11403235316811121</v>
      </c>
      <c r="JG200" s="102">
        <v>1</v>
      </c>
      <c r="JH200" s="189">
        <f t="shared" si="607"/>
        <v>0.11403235316811121</v>
      </c>
      <c r="JI200" s="262">
        <f>JH200*VLOOKUP($JF$9,各项系数!$D$4:$F$540,3,0)</f>
        <v>0.13683882380173346</v>
      </c>
      <c r="JJ200" s="282">
        <f t="shared" si="921"/>
        <v>0.11403235316811121</v>
      </c>
      <c r="JK200" s="189">
        <f t="shared" si="922"/>
        <v>0.13683882380173346</v>
      </c>
      <c r="JL200" s="282">
        <f>IF($DF200&lt;&gt;$JL$9,0,各项系数!$F$76/4*($NE200^2-$NC200^2)*10^-2*各项系数!$F$39*10^-3*10^2)*各项系数!$J$4</f>
        <v>1.0309616315646547E-3</v>
      </c>
      <c r="JM200" s="102">
        <v>1</v>
      </c>
      <c r="JN200" s="189">
        <f t="shared" si="923"/>
        <v>1.0309616315646547E-3</v>
      </c>
      <c r="JO200" s="262">
        <f>JN200*各项系数!$E$39</f>
        <v>2.0619232631293095E-2</v>
      </c>
      <c r="JP200" s="282">
        <f>IF($DF200&lt;&gt;$JP$9,0,各项系数!$F$76/4*($NE200^2-$NC200^2)*10^-2*各项系数!$F$36*10^-3*10^2)*各项系数!$J$4</f>
        <v>0</v>
      </c>
      <c r="JQ200" s="102">
        <v>1</v>
      </c>
      <c r="JR200" s="189">
        <f t="shared" si="924"/>
        <v>0</v>
      </c>
      <c r="JS200" s="262">
        <f>JR200*各项系数!$E$36</f>
        <v>0</v>
      </c>
      <c r="JT200" s="282">
        <f>IF($DF200&lt;&gt;$JT$9,0,各项系数!$F$76/4*($NE200^2-$NC200^2)*10^-2*各项系数!$F$40*10^-3*10^2)*各项系数!$J$4</f>
        <v>0</v>
      </c>
      <c r="JU200" s="102">
        <v>1</v>
      </c>
      <c r="JV200" s="189">
        <f t="shared" si="925"/>
        <v>0</v>
      </c>
      <c r="JW200" s="262">
        <f>JV200*各项系数!$E$40</f>
        <v>0</v>
      </c>
      <c r="JX200" s="282">
        <f>IF($DF200&lt;&gt;$JX$9,0,各项系数!$F$76/4*($NE200^2-$NC200^2)*10^-2*各项系数!$F$38*10^-3*10^2)*各项系数!$J$4</f>
        <v>0</v>
      </c>
      <c r="JY200" s="102">
        <v>1</v>
      </c>
      <c r="JZ200" s="189">
        <f t="shared" si="926"/>
        <v>0</v>
      </c>
      <c r="KA200" s="262">
        <f>JZ200*各项系数!$E$38</f>
        <v>0</v>
      </c>
      <c r="KB200" s="282">
        <f>IF($DF200&lt;&gt;$KB$9,0,各项系数!$F$76/4*($NE200^2-$NC200^2)*10^-2*各项系数!$F$41*10^-3*10^2)*各项系数!$J$4</f>
        <v>0</v>
      </c>
      <c r="KC200" s="102">
        <v>1</v>
      </c>
      <c r="KD200" s="189">
        <f t="shared" si="927"/>
        <v>0</v>
      </c>
      <c r="KE200" s="262">
        <f>KD200*各项系数!$E$41</f>
        <v>0</v>
      </c>
      <c r="KF200" s="189">
        <f t="shared" si="928"/>
        <v>1.0309616315646547E-3</v>
      </c>
      <c r="KG200" s="189">
        <f t="shared" si="929"/>
        <v>2.0619232631293095E-2</v>
      </c>
      <c r="KH200" s="235">
        <f>各项系数!$F$76/4*($NG200^2-$NE200^2)*10^-2*各项系数!$F$44*10^-3*10^2*各项系数!$J$4*0.75*$U200</f>
        <v>0.43478596403047864</v>
      </c>
      <c r="KI200" s="102">
        <v>1</v>
      </c>
      <c r="KJ200" s="189">
        <f t="shared" si="930"/>
        <v>0.43478596403047864</v>
      </c>
      <c r="KK200" s="189">
        <f>ROUND(KJ200*各项系数!$E$43,GT200)</f>
        <v>2.5</v>
      </c>
      <c r="KL200" s="235">
        <f>各项系数!$F$76/4*($NF200^2-$NE200^2)*10^-2*各项系数!$F$46*10^-3*10^2*各项系数!$J$4*PI()/4*R200</f>
        <v>1.3076468265491695E-2</v>
      </c>
      <c r="KM200" s="102">
        <v>1</v>
      </c>
      <c r="KN200" s="189">
        <f t="shared" si="931"/>
        <v>1.3076468265491695E-2</v>
      </c>
      <c r="KO200" s="189">
        <f>KN200*各项系数!$E$46</f>
        <v>0.88266160792068948</v>
      </c>
      <c r="KP200" s="235">
        <f>各项系数!$F$76/4*($NH200^2-$NE200^2)*10^-2*(VLOOKUP($KP$9,各项系数!$D$1:$F$143,3,0))*10^-3*10^2*各项系数!$J$4</f>
        <v>7.8913279857982438E-2</v>
      </c>
      <c r="KQ200" s="102">
        <v>1</v>
      </c>
      <c r="KR200" s="189">
        <f t="shared" si="657"/>
        <v>7.8913279857982438E-2</v>
      </c>
      <c r="KS200" s="189">
        <f>KR200*(VLOOKUP($KP$9,各项系数!$D$1:$F$143,2,0))</f>
        <v>1.3415257575857014</v>
      </c>
      <c r="KT200" s="235">
        <f>各项系数!$F$76/4*($NI200^2-$NF200^2)*10^-2*(VLOOKUP($KT$9,各项系数!$D$1:$F$143,3,0))*10^-3*10^2*各项系数!$J$4</f>
        <v>8.0073608255029904E-2</v>
      </c>
      <c r="KU200" s="102">
        <v>1</v>
      </c>
      <c r="KV200" s="189">
        <f t="shared" si="658"/>
        <v>8.0073608255029904E-2</v>
      </c>
      <c r="KW200" s="189">
        <f>KV200*(VLOOKUP($KT$9,各项系数!$D$1:$F$143,2,0))</f>
        <v>1.3612513403355084</v>
      </c>
      <c r="KX200" s="189">
        <f>各项系数!$F$76/4*($NH200^2-$NE200^2)*10^-2*(VLOOKUP($KX$9,各项系数!$D$1:$F$143,3,0))*10^-3*10^2*各项系数!$J$4</f>
        <v>7.8913279857982438E-2</v>
      </c>
      <c r="KY200" s="353">
        <v>1</v>
      </c>
      <c r="KZ200" s="189">
        <f t="shared" si="659"/>
        <v>7.8913279857982438E-2</v>
      </c>
      <c r="LA200" s="189">
        <f>KZ200*(VLOOKUP($KX$9,各项系数!$D$1:$F$143,2,0))</f>
        <v>1.3415257575857014</v>
      </c>
      <c r="LB200" s="189">
        <f>各项系数!$F$76/4*($NI200^2-$NF200^2)*10^-2*(VLOOKUP($LB$9,各项系数!$D$1:$F$143,3,0))*10^-3*10^2*各项系数!$J$4</f>
        <v>8.0073608255029904E-2</v>
      </c>
      <c r="LC200" s="353">
        <v>1</v>
      </c>
      <c r="LD200" s="189">
        <f t="shared" si="660"/>
        <v>8.0073608255029904E-2</v>
      </c>
      <c r="LE200" s="189">
        <f>LD200*(VLOOKUP($LB$9,各项系数!$D$1:$F$143,2,0))</f>
        <v>1.3612513403355084</v>
      </c>
      <c r="LF200" s="235">
        <f>各项系数!$F$76/4*($NH200^2-$NE200^2)*10^-2*(VLOOKUP(AN200,各项系数!$D$1:$F$143,3,0))*10^-3*10^2*各项系数!$J$4</f>
        <v>8.0001738890506338E-2</v>
      </c>
      <c r="LG200" s="102">
        <v>1</v>
      </c>
      <c r="LH200" s="189">
        <f t="shared" si="932"/>
        <v>8.0001738890506338E-2</v>
      </c>
      <c r="LI200" s="189">
        <f>LH200*(VLOOKUP(AN200,各项系数!$D$1:$F$143,2,0))</f>
        <v>0.80001738890506335</v>
      </c>
      <c r="LJ200" s="235">
        <f>各项系数!$F$76/4*($NI200^2-$NF200^2)*10^-2*(VLOOKUP(AN200,各项系数!$D$1:$F$143,3,0))*10^-3*10^2*各项系数!$J$4</f>
        <v>8.1178071817168254E-2</v>
      </c>
      <c r="LK200" s="102">
        <v>1</v>
      </c>
      <c r="LL200" s="189">
        <f t="shared" si="933"/>
        <v>8.1178071817168254E-2</v>
      </c>
      <c r="LM200" s="189">
        <f>LL200*(VLOOKUP(AN200,各项系数!$D$1:$F$143,2,0))</f>
        <v>0.81178071817168251</v>
      </c>
      <c r="LN200" s="189">
        <f>各项系数!$F$76/4*($NH200^2-$NE200^2)*10^-2*(VLOOKUP($LN$9,各项系数!$D$1:$F$143,3,0))*10^-3*10^2*各项系数!$J$4</f>
        <v>8.0001738890506338E-2</v>
      </c>
      <c r="LO200" s="353">
        <v>1</v>
      </c>
      <c r="LP200" s="189">
        <f t="shared" si="934"/>
        <v>8.0001738890506338E-2</v>
      </c>
      <c r="LQ200" s="189">
        <f>LP200*(VLOOKUP($LN$9,各项系数!$D$1:$F$143,2,0))</f>
        <v>0.88001912779556968</v>
      </c>
      <c r="LR200" s="189">
        <f>各项系数!$F$76/4*($NI200^2-$NF200^2)*10^-2*(VLOOKUP($LR$9,各项系数!$D$1:$F$143,3,0))*10^-3*10^2*各项系数!$J$4</f>
        <v>8.1178071817168254E-2</v>
      </c>
      <c r="LS200" s="353">
        <v>1</v>
      </c>
      <c r="LT200" s="189">
        <f t="shared" si="935"/>
        <v>8.1178071817168254E-2</v>
      </c>
      <c r="LU200" s="189">
        <f>LT200*(VLOOKUP($LR$9,各项系数!$D$1:$F$143,2,0))</f>
        <v>0.89295878998885081</v>
      </c>
      <c r="LV200" s="227">
        <f t="shared" si="661"/>
        <v>11.25810819</v>
      </c>
      <c r="LW200" s="227">
        <f t="shared" si="662"/>
        <v>11.25810819</v>
      </c>
      <c r="LX200" s="227">
        <f t="shared" si="663"/>
        <v>3.7860624065663266</v>
      </c>
      <c r="LY200" s="227">
        <f t="shared" si="664"/>
        <v>0</v>
      </c>
      <c r="LZ200" s="374">
        <f t="shared" si="608"/>
        <v>1</v>
      </c>
      <c r="MA200" s="375">
        <f t="shared" si="609"/>
        <v>11.25810819</v>
      </c>
      <c r="MB200" s="375">
        <f t="shared" si="665"/>
        <v>2.1858841500000001</v>
      </c>
      <c r="MC200" s="227">
        <f t="shared" si="666"/>
        <v>0</v>
      </c>
      <c r="MD200" s="227">
        <f t="shared" si="667"/>
        <v>0</v>
      </c>
      <c r="ME200" s="227">
        <f t="shared" si="668"/>
        <v>0</v>
      </c>
      <c r="MF200" s="227">
        <f t="shared" si="669"/>
        <v>0</v>
      </c>
      <c r="MG200" s="374">
        <f t="shared" si="670"/>
        <v>1</v>
      </c>
      <c r="MH200" s="375">
        <f t="shared" si="610"/>
        <v>0</v>
      </c>
      <c r="MI200" s="375">
        <f t="shared" si="671"/>
        <v>0</v>
      </c>
      <c r="MJ200" s="189">
        <f t="shared" si="611"/>
        <v>2.1858841500000001</v>
      </c>
      <c r="MK200" s="189">
        <f t="shared" si="672"/>
        <v>2.1858841500000001</v>
      </c>
      <c r="ML200" s="189">
        <f t="shared" si="936"/>
        <v>0</v>
      </c>
      <c r="MM200" s="189">
        <f t="shared" si="612"/>
        <v>0</v>
      </c>
      <c r="MN200" s="189">
        <f t="shared" si="613"/>
        <v>3.58588415</v>
      </c>
      <c r="MO200" s="189">
        <f t="shared" si="673"/>
        <v>0</v>
      </c>
      <c r="MP200" s="189">
        <f t="shared" si="674"/>
        <v>7.74550976</v>
      </c>
      <c r="MQ200" s="189">
        <f t="shared" si="937"/>
        <v>7.74550976</v>
      </c>
      <c r="MR200" s="246">
        <f t="shared" si="675"/>
        <v>7.74550976</v>
      </c>
      <c r="MS200" s="380">
        <f t="shared" si="614"/>
        <v>7.9215097600000002</v>
      </c>
      <c r="MT200" s="380">
        <f t="shared" si="615"/>
        <v>8.0815097599999994</v>
      </c>
      <c r="MU200" s="380">
        <f t="shared" si="616"/>
        <v>9.1215097600000004</v>
      </c>
      <c r="MV200" s="380">
        <f t="shared" si="617"/>
        <v>11.12150976</v>
      </c>
      <c r="MW200" s="380">
        <f t="shared" si="618"/>
        <v>11.281509759999999</v>
      </c>
      <c r="MX200" s="254">
        <f t="shared" si="619"/>
        <v>2.7858841500000002</v>
      </c>
      <c r="MY200" s="254">
        <f t="shared" si="620"/>
        <v>0</v>
      </c>
      <c r="MZ200" s="189">
        <f t="shared" si="621"/>
        <v>4.1858841499999997</v>
      </c>
      <c r="NA200" s="189">
        <f t="shared" si="622"/>
        <v>0</v>
      </c>
      <c r="NB200" s="189">
        <f t="shared" si="676"/>
        <v>9.0415097600000003</v>
      </c>
      <c r="NC200" s="254">
        <f t="shared" si="938"/>
        <v>9.0415097600000003</v>
      </c>
      <c r="ND200" s="246">
        <f t="shared" si="677"/>
        <v>9.0415097600000003</v>
      </c>
      <c r="NE200" s="386">
        <f t="shared" si="678"/>
        <v>9.2815097600000005</v>
      </c>
      <c r="NF200" s="380">
        <f t="shared" si="623"/>
        <v>9.4415097600000006</v>
      </c>
      <c r="NG200" s="387">
        <f t="shared" si="624"/>
        <v>10.481509760000002</v>
      </c>
      <c r="NH200" s="254">
        <f t="shared" si="625"/>
        <v>12.481509760000002</v>
      </c>
      <c r="NI200" s="380">
        <f t="shared" si="626"/>
        <v>12.641509760000002</v>
      </c>
      <c r="NK200" s="388">
        <f t="shared" si="627"/>
        <v>0.21264305206484507</v>
      </c>
      <c r="NL200" s="388">
        <f t="shared" si="628"/>
        <v>7.550205054521502</v>
      </c>
      <c r="NM200" s="388">
        <f t="shared" si="629"/>
        <v>0.21264305206484507</v>
      </c>
      <c r="NN200" s="388">
        <f t="shared" si="630"/>
        <v>7.6202079635353819</v>
      </c>
      <c r="NO200" s="388">
        <f t="shared" si="631"/>
        <v>0.33031035516929386</v>
      </c>
      <c r="NP200" s="388">
        <f t="shared" si="632"/>
        <v>8.031959932313125</v>
      </c>
      <c r="NQ200" s="388">
        <f t="shared" si="633"/>
        <v>0.33031035516929386</v>
      </c>
      <c r="NR200" s="388">
        <f t="shared" si="634"/>
        <v>8.1119616712036322</v>
      </c>
      <c r="NS200" s="388">
        <f t="shared" si="635"/>
        <v>0.2238198270867259</v>
      </c>
      <c r="NT200" s="388">
        <f t="shared" si="636"/>
        <v>0.2238198270867259</v>
      </c>
      <c r="NU200" s="388">
        <f t="shared" si="637"/>
        <v>0.34338682343478555</v>
      </c>
      <c r="NV200" s="388">
        <f t="shared" si="638"/>
        <v>0.34338682343478555</v>
      </c>
      <c r="NW200">
        <f t="shared" si="639"/>
        <v>0.33762506142656462</v>
      </c>
      <c r="NX200">
        <f>各项系数!$M$9*NK200</f>
        <v>6.3792915619453522E-2</v>
      </c>
      <c r="NY200">
        <f t="shared" si="640"/>
        <v>0.2238198270867259</v>
      </c>
    </row>
    <row r="201" spans="1:389" ht="15" hidden="1" customHeight="1">
      <c r="A201" s="69"/>
      <c r="B201" s="70"/>
      <c r="C201" s="69"/>
      <c r="D201" s="102" t="s">
        <v>169</v>
      </c>
      <c r="E201" s="54">
        <f t="shared" si="885"/>
        <v>12.253839640000001</v>
      </c>
      <c r="F201" s="16">
        <f>$F$18</f>
        <v>218.58841470644899</v>
      </c>
      <c r="G201" s="62"/>
      <c r="H201" s="16"/>
      <c r="I201" s="145">
        <v>0</v>
      </c>
      <c r="J201" s="16"/>
      <c r="K201" s="16"/>
      <c r="L201" s="97" t="s">
        <v>469</v>
      </c>
      <c r="M201" s="103">
        <f t="shared" si="582"/>
        <v>0.7</v>
      </c>
      <c r="N201" s="103">
        <f t="shared" si="804"/>
        <v>0</v>
      </c>
      <c r="O201" s="53">
        <f t="shared" si="939"/>
        <v>0.08</v>
      </c>
      <c r="P201" s="99">
        <v>0.1</v>
      </c>
      <c r="Q201" s="133">
        <f t="shared" si="882"/>
        <v>0.1</v>
      </c>
      <c r="R201" s="406">
        <v>0.8</v>
      </c>
      <c r="S201" s="142" t="str">
        <f>各项系数!$D$43</f>
        <v>钢带</v>
      </c>
      <c r="T201" s="102">
        <v>0.2</v>
      </c>
      <c r="U201" s="62">
        <v>4</v>
      </c>
      <c r="V201" s="143"/>
      <c r="W201" s="407">
        <v>1.7</v>
      </c>
      <c r="X201" s="135">
        <f t="shared" si="883"/>
        <v>0.2</v>
      </c>
      <c r="Y201" s="135"/>
      <c r="Z201" s="168"/>
      <c r="AA201" s="153">
        <v>1</v>
      </c>
      <c r="AB201" s="153">
        <f>PI()*EJ201*EJ201/4*EH201*(1-H201)*AA201*各项系数!$F$5*各项系数!$J$4*10^-7</f>
        <v>3.3194719556349603E-2</v>
      </c>
      <c r="AC201" s="153">
        <f t="shared" si="886"/>
        <v>218.58841470644899</v>
      </c>
      <c r="AD201" s="153">
        <f t="shared" si="584"/>
        <v>3.7527027212948432</v>
      </c>
      <c r="AE201" s="153">
        <f>POWER(4*EU201/PI()/EG201/10^-7/EH201/(1-H201)/各项系数!$F$5/各项系数!$J$4,0.5)</f>
        <v>218.58841470644899</v>
      </c>
      <c r="AF201" s="69">
        <v>1</v>
      </c>
      <c r="AG201" s="69">
        <f>IF(EM201=0,0,PI()*ER201*ER201/4*EP201*(1-K201)*(1+AF201)*各项系数!$F$5*各项系数!$J$4*10^-7)</f>
        <v>0</v>
      </c>
      <c r="AH201" s="69">
        <f t="shared" si="887"/>
        <v>0</v>
      </c>
      <c r="AI201" s="69">
        <f t="shared" si="641"/>
        <v>0</v>
      </c>
      <c r="AJ201" s="69">
        <f>IF(OR(EP201="",EP201=0),0,POWER(4*EW201/PI()/EO201/10^-7/EP201/(1-K201)/各项系数!$F$5/各项系数!$J$4,0.5))</f>
        <v>0</v>
      </c>
      <c r="AK201" s="69" t="str">
        <f t="shared" si="585"/>
        <v>√</v>
      </c>
      <c r="AL201" s="69">
        <f t="shared" si="888"/>
        <v>10.295874610988514</v>
      </c>
      <c r="AM201" s="188">
        <f t="shared" si="889"/>
        <v>4</v>
      </c>
      <c r="AN201" s="97" t="s">
        <v>486</v>
      </c>
      <c r="AO201" s="196">
        <f>AP201+各项系数!$M$9*$NK201</f>
        <v>10.093994716655406</v>
      </c>
      <c r="AP201" s="196">
        <f>AQ201*(1+$BI201+(VLOOKUP($AM201,$A$12:$B$323,2,0))+各项系数!$J$6+各项系数!$M$5)*(1+$E$2)</f>
        <v>10.01366136549173</v>
      </c>
      <c r="AQ201" s="197">
        <f>AR201+各项系数!$L$9*$NK201</f>
        <v>10.218021801522173</v>
      </c>
      <c r="AR201" s="197">
        <f>AS201*(1+$BJ201+各项系数!$J$5+各项系数!$L$5)</f>
        <v>10.137688450358498</v>
      </c>
      <c r="AS201" s="197">
        <f t="shared" si="642"/>
        <v>9.9389102454495077</v>
      </c>
      <c r="AT201" s="196">
        <f>AU201+各项系数!$M$9*$NM201</f>
        <v>10.651798806277425</v>
      </c>
      <c r="AU201" s="196">
        <f>AV201*(1+$BI201+(VLOOKUP($AM201,$A$12:$B$323,2,0))+各项系数!$J$6+各项系数!$M$5)*(1+$E$2)</f>
        <v>10.571465455113749</v>
      </c>
      <c r="AV201" s="197">
        <f>AW201+各项系数!$L$9*$NM201</f>
        <v>10.787209648075255</v>
      </c>
      <c r="AW201" s="197">
        <f>AX201*(1+$BJ201+各项系数!$J$5+各项系数!$L$5)</f>
        <v>10.706876296911579</v>
      </c>
      <c r="AX201" s="197">
        <f t="shared" si="643"/>
        <v>10.496937545991743</v>
      </c>
      <c r="AY201" s="196">
        <f>AZ201+各项系数!$M$9*$NS201</f>
        <v>10.955902093422543</v>
      </c>
      <c r="AZ201" s="196">
        <f>BA201*(1+$BI201+(VLOOKUP($AM201,$A$12:$B$214,2,0))+各项系数!$J$6+各项系数!$M$5)*(1+$E$2)</f>
        <v>10.87182501693454</v>
      </c>
      <c r="BA201" s="197">
        <f>BB201+各项系数!$L$9*$NS201</f>
        <v>11.09369899687198</v>
      </c>
      <c r="BB201" s="197">
        <f>BC201*(1+$BJ201+各项系数!$J$5+各项系数!$L$5)</f>
        <v>11.009621920383978</v>
      </c>
      <c r="BC201" s="199">
        <f t="shared" si="644"/>
        <v>10.793746980768606</v>
      </c>
      <c r="BD201" s="196">
        <f>BE201+各项系数!$M$9*$NS201</f>
        <v>11.522162693412719</v>
      </c>
      <c r="BE201" s="196">
        <f>BF201*(1+$BI201+(VLOOKUP($AM201,$A$12:$B$214,2,0))+各项系数!$J$6+各项系数!$M$5)*(1+$E$2)</f>
        <v>11.438085616924717</v>
      </c>
      <c r="BF201" s="197">
        <f>BG201+各项系数!$L$9*$NS201</f>
        <v>11.671515935637466</v>
      </c>
      <c r="BG201" s="197">
        <f>BH201*(1+$BJ201+各项系数!$J$5+各项系数!$L$5)</f>
        <v>11.587438859149463</v>
      </c>
      <c r="BH201" s="199">
        <f t="shared" si="645"/>
        <v>11.360234175636728</v>
      </c>
      <c r="BI201" s="213"/>
      <c r="BJ201" s="208">
        <f>$BJ$199</f>
        <v>0</v>
      </c>
      <c r="BK201" s="102" t="s">
        <v>514</v>
      </c>
      <c r="BL201" s="196">
        <f>BM201+各项系数!$M$9*$NM201</f>
        <v>10.274613218270456</v>
      </c>
      <c r="BM201" s="196">
        <f>BN201*(1+$CF201+(VLOOKUP($AM201,$A$12:$B$323,2,0))+各项系数!$J$6+各项系数!$M$5)*(1+$E$2)</f>
        <v>10.194279867106781</v>
      </c>
      <c r="BN201" s="197">
        <f>BO201+各项系数!$L$9*$NM201</f>
        <v>10.40232639500692</v>
      </c>
      <c r="BO201" s="197">
        <f>BP201*(1+$CG201+各项系数!$J$5+各项系数!$L$5)</f>
        <v>10.321993043843245</v>
      </c>
      <c r="BP201" s="197">
        <f t="shared" si="646"/>
        <v>10.021352469750722</v>
      </c>
      <c r="BQ201" s="196">
        <f>BR201+各项系数!$M$9*$NM201</f>
        <v>10.754668794228143</v>
      </c>
      <c r="BR201" s="196">
        <f>BS201*(1+$CF201+(VLOOKUP($AM201,$A$12:$B$323,2,0))+各项系数!$J$6+各项系数!$M$5)*(1+$E$2)</f>
        <v>10.674335443064468</v>
      </c>
      <c r="BS201" s="197">
        <f>BT201+各项系数!$L$9*$NM201</f>
        <v>10.892179023535171</v>
      </c>
      <c r="BT201" s="197">
        <f>BU201*(1+$CG201+各项系数!$J$5+各项系数!$L$5)</f>
        <v>10.811845672371495</v>
      </c>
      <c r="BU201" s="197">
        <f t="shared" si="647"/>
        <v>10.496937545991743</v>
      </c>
      <c r="BV201" s="196">
        <f>BW201+各项系数!$M$9*$NT201</f>
        <v>11.071862197537037</v>
      </c>
      <c r="BW201" s="196">
        <f>BX201*(1+$CF201+(VLOOKUP($AM201,$A$12:$B$214,2,0))+各项系数!$J$6+各项系数!$M$5)*(1+$E$2)</f>
        <v>10.987785121049034</v>
      </c>
      <c r="BX201" s="197">
        <f>BY201+各项系数!$L$9*$NT$12</f>
        <v>11.212025633723504</v>
      </c>
      <c r="BY201" s="197">
        <f>BZ201*(1+$CG201+各项系数!$J$5+各项系数!$L$5)</f>
        <v>11.203762230568531</v>
      </c>
      <c r="BZ201" s="199">
        <f t="shared" si="586"/>
        <v>10.877439058804399</v>
      </c>
      <c r="CA201" s="196">
        <f>CB201+各项系数!$M$9*$NT201</f>
        <v>11.55919558846759</v>
      </c>
      <c r="CB201" s="196">
        <f>CC201*(1+$CF201+(VLOOKUP($AM201,$A$12:$B$214,2,0))+各项系数!$J$6+各项系数!$M$5)*(1+$E$2)</f>
        <v>11.475118511979588</v>
      </c>
      <c r="CC201" s="197">
        <f>CD201+各项系数!$L$9*$NT$12</f>
        <v>11.709304604060804</v>
      </c>
      <c r="CD201" s="197">
        <f>CE201*(1+$CG201+各项系数!$J$5+各项系数!$L$5)</f>
        <v>11.701041200905831</v>
      </c>
      <c r="CE201" s="199">
        <f t="shared" si="648"/>
        <v>11.360234175636728</v>
      </c>
      <c r="CF201" s="213">
        <f t="shared" si="884"/>
        <v>0</v>
      </c>
      <c r="CG201" s="213">
        <f t="shared" si="587"/>
        <v>0.01</v>
      </c>
      <c r="CH201" s="102"/>
      <c r="CI201" s="196">
        <f>CJ201+各项系数!$M$9*$NO201</f>
        <v>10.866486596297497</v>
      </c>
      <c r="CJ201" s="196">
        <f>CK201*(1+$DC201+(VLOOKUP($AM201,$A$12:$B$323,2,0))+各项系数!$J$6+各项系数!$M$5)*(1+$E$2)+各项系数!$M$9*$NK201</f>
        <v>10.745628527987996</v>
      </c>
      <c r="CK201" s="197">
        <f>CL201+各项系数!$L$9*$NO201</f>
        <v>10.882954262065633</v>
      </c>
      <c r="CL201" s="197">
        <f>CM201*(1+$DD201+各项系数!$J$5+各项系数!$L$5)</f>
        <v>10.762096193756133</v>
      </c>
      <c r="CM201" s="197">
        <f t="shared" si="588"/>
        <v>10.551074699760914</v>
      </c>
      <c r="CN201" s="196">
        <f>CO201+各项系数!$M$9*$NO201</f>
        <v>11.305914414024764</v>
      </c>
      <c r="CO201" s="196">
        <f>CP201*(1+$DC201+(VLOOKUP($AM201,$A$12:$B$323,2,0))+各项系数!$J$6+各项系数!$M$5)*(1+$E$2)+各项系数!$M$9*$NK201</f>
        <v>11.185056345715264</v>
      </c>
      <c r="CP201" s="197">
        <f>CQ201+各项系数!$L$9*$NO201</f>
        <v>11.331349994440396</v>
      </c>
      <c r="CQ201" s="197">
        <f>CR201*(1+$DD201+各项系数!$J$5+各项系数!$L$5)</f>
        <v>11.210491926130896</v>
      </c>
      <c r="CR201" s="197">
        <f t="shared" si="589"/>
        <v>10.990678358951858</v>
      </c>
      <c r="CS201" s="196">
        <f>CT201+各项系数!$M$9*$NU201</f>
        <v>11.792199248915292</v>
      </c>
      <c r="CT201" s="196">
        <f t="shared" si="590"/>
        <v>11.666962175511468</v>
      </c>
      <c r="CU201" s="197">
        <f>CV201+各项系数!$L$9*$NU201</f>
        <v>11.905063444399458</v>
      </c>
      <c r="CV201" s="197">
        <f>CW201*(1+$DD201+各项系数!$J$5+各项系数!$L$5)</f>
        <v>11.779826370995634</v>
      </c>
      <c r="CW201" s="199">
        <f t="shared" si="591"/>
        <v>11.548849383329053</v>
      </c>
      <c r="CX201" s="196">
        <f>CY201+各项系数!$M$9*$NU201</f>
        <v>12.438585284643754</v>
      </c>
      <c r="CY201" s="196">
        <f t="shared" si="592"/>
        <v>12.31334821123993</v>
      </c>
      <c r="CZ201" s="197">
        <f>DA201+各项系数!$L$9*$NU201</f>
        <v>12.56464103187748</v>
      </c>
      <c r="DA201" s="197">
        <f>DB201*(1+$DD201+各项系数!$J$5+各项系数!$L$5)</f>
        <v>12.439403958473656</v>
      </c>
      <c r="DB201" s="199">
        <f t="shared" si="593"/>
        <v>12.195494076934956</v>
      </c>
      <c r="DC201" s="213">
        <f t="shared" si="827"/>
        <v>0</v>
      </c>
      <c r="DD201" s="213">
        <f t="shared" si="594"/>
        <v>0</v>
      </c>
      <c r="DE201" s="53" t="s">
        <v>498</v>
      </c>
      <c r="DF201" s="53" t="s">
        <v>513</v>
      </c>
      <c r="DG201" s="196">
        <f>DH201+各项系数!$M$9*$NQ201</f>
        <v>11.065057991922799</v>
      </c>
      <c r="DH201" s="196">
        <f>DI201*(1+$EA201+(VLOOKUP($AM201,$A$12:$B$323,2,0))+各项系数!$J$6+各项系数!$M$5)*(1+$E$2)+各项系数!$M$9*$NK201</f>
        <v>10.944199923613299</v>
      </c>
      <c r="DI201" s="197">
        <f>DJ201+各项系数!$L$9*$NQ201</f>
        <v>11.085578135152677</v>
      </c>
      <c r="DJ201" s="197">
        <f>DK201*(1+$EB201+各项系数!$J$5+各项系数!$L$5)</f>
        <v>10.964720066843176</v>
      </c>
      <c r="DK201" s="197">
        <f t="shared" si="595"/>
        <v>10.645359288197259</v>
      </c>
      <c r="DL201" s="196">
        <f>DM201+各项系数!$M$9*$NQ201</f>
        <v>11.614070864748401</v>
      </c>
      <c r="DM201" s="196">
        <f>DN201*(1+$EA201+(VLOOKUP($AM201,$A$12:$B$323,2,0))+各项系数!$J$6+各项系数!$M$5)*(1+$E$2)+各项系数!$M$9*$NK201</f>
        <v>11.4932127964389</v>
      </c>
      <c r="DN201" s="197">
        <f>DO201+各项系数!$L$9*$NQ201</f>
        <v>11.645795352321658</v>
      </c>
      <c r="DO201" s="197">
        <f>DP201*(1+$EB201+各项系数!$J$5+各项系数!$L$5)</f>
        <v>11.524937284012157</v>
      </c>
      <c r="DP201" s="197">
        <f t="shared" si="596"/>
        <v>11.189259499040929</v>
      </c>
      <c r="DQ201" s="196">
        <f>DR201+各项系数!$M$9*$NV201</f>
        <v>12.001810438799247</v>
      </c>
      <c r="DR201" s="196">
        <f t="shared" si="597"/>
        <v>11.876573365395423</v>
      </c>
      <c r="DS201" s="197">
        <f>DT201+各项系数!$L$9*$NV201</f>
        <v>12.118952413668799</v>
      </c>
      <c r="DT201" s="197">
        <f>DU201*(1+$EB201+各项系数!$J$5+各项系数!$L$5)</f>
        <v>11.993715340264975</v>
      </c>
      <c r="DU201" s="199">
        <f t="shared" si="598"/>
        <v>11.644383825499975</v>
      </c>
      <c r="DV201" s="196">
        <f>DW201+各项系数!$M$9*$NV201</f>
        <v>12.168520133490805</v>
      </c>
      <c r="DW201" s="196">
        <f t="shared" si="599"/>
        <v>12.043283060086981</v>
      </c>
      <c r="DX201" s="197">
        <f>DY201+各项系数!$L$9*$NV201</f>
        <v>12.289064347027532</v>
      </c>
      <c r="DY201" s="197">
        <f>DZ201*(1+$EB201+各项系数!$J$5+各项系数!$L$5)</f>
        <v>12.163827273623708</v>
      </c>
      <c r="DZ201" s="199">
        <f t="shared" si="600"/>
        <v>11.809541042353114</v>
      </c>
      <c r="EA201" s="213">
        <f t="shared" si="826"/>
        <v>0</v>
      </c>
      <c r="EB201" s="213">
        <f t="shared" si="601"/>
        <v>0.01</v>
      </c>
      <c r="EC201" s="235">
        <f t="shared" si="649"/>
        <v>4</v>
      </c>
      <c r="ED201" s="235" t="str">
        <f t="shared" si="890"/>
        <v>4*4</v>
      </c>
      <c r="EE201" s="189">
        <f t="shared" si="891"/>
        <v>4</v>
      </c>
      <c r="EF201" s="189">
        <f>LOOKUP(EH201,{1,7,10,14,19,24,30,37,48,61},{1,"1+6","2+8","4+10","1+6+12","2+8+14","4+10+16","1+6+12+18","3+9+15+21","1+6+12+18+24"})</f>
        <v>1</v>
      </c>
      <c r="EG201" s="188">
        <f t="shared" si="602"/>
        <v>4</v>
      </c>
      <c r="EH201" s="197">
        <f>VLOOKUP(EE201,各项系数!$B$87:$C$124,2,0)</f>
        <v>1</v>
      </c>
      <c r="EI201" s="188">
        <f>IF(EH201=0,0,VLOOKUP(EH201,各项系数!$D$142:$E$195,2,0))*1</f>
        <v>1</v>
      </c>
      <c r="EJ201" s="238">
        <f t="shared" si="650"/>
        <v>218.58841470644899</v>
      </c>
      <c r="EK201" s="189">
        <f t="shared" si="892"/>
        <v>0</v>
      </c>
      <c r="EL201" s="189">
        <f t="shared" si="603"/>
        <v>0</v>
      </c>
      <c r="EM201" s="189">
        <f t="shared" si="893"/>
        <v>0</v>
      </c>
      <c r="EN201" s="189">
        <f>IF(EP201=0,0,LOOKUP(EP201,{1,7,10,14,19,24,30,37,48,61},{1,"1+6","2+8","4+10","1+6+12","2+8+14","4+10+16","1+6+12+18","3+9+15+21","1+6+12+18+24"}))</f>
        <v>0</v>
      </c>
      <c r="EO201" s="189">
        <f t="shared" si="894"/>
        <v>0</v>
      </c>
      <c r="EP201" s="189">
        <f>IF(EM201=0,0,IF(EM201&lt;10,1,IF(AND(EM201&gt;=10,EM201&lt;=35),7,LOOKUP(EM201,{50,70,95,120,150,185,240,300},{10,14,19,24,30,37,48,61})*1)))</f>
        <v>0</v>
      </c>
      <c r="EQ201" s="189">
        <f>IF(EP201=0,0,VLOOKUP(EP201,各项系数!$D$142:$E$195,2,0))*1</f>
        <v>0</v>
      </c>
      <c r="ER201" s="53">
        <f t="shared" si="895"/>
        <v>0</v>
      </c>
      <c r="ES201" s="412">
        <f t="shared" si="896"/>
        <v>4</v>
      </c>
      <c r="ET201" s="189">
        <f>VLOOKUP(ES201,各项系数!$D$142:$E$195,2,0)*1</f>
        <v>2.42</v>
      </c>
      <c r="EU201" s="243">
        <f>((各项系数!$F$76/4*$EJ201^2*$EG201*$EH201*1*10^-7)*(1-$H201)*AA201)*(VLOOKUP($EY$9,各项系数!$D$4:$F$143,3,0))*各项系数!$J$4</f>
        <v>0.13277887822539838</v>
      </c>
      <c r="EV201" s="244">
        <f>EU201*(VLOOKUP($EY$9,各项系数!$D$4:$F$143,2,0))</f>
        <v>8.6970165237635939</v>
      </c>
      <c r="EW201" s="252">
        <f>(IF($EO201=0,0,(各项系数!$F$76/4*$ER201^2*$EO201*$EP201*1*10^-7))*(1-$K201)*$AF201)*(VLOOKUP($EY$9,各项系数!$D$4:$F$143,3,0))*各项系数!$J$4</f>
        <v>0</v>
      </c>
      <c r="EX201" s="253">
        <f>EW201*(VLOOKUP($EY$9,各项系数!$D$4:$F$143,2,0))</f>
        <v>0</v>
      </c>
      <c r="EY201" s="189">
        <f>((各项系数!$F$76/4*$EJ201^2*$EG201*$EH201*1*10^-7)*(1-$H201)*AA201+IF($EO201=0,0,(各项系数!$F$76/4*$ER201^2*$EO201*$EP201*1*10^-7))*(1-$K201)*$AF201)*(VLOOKUP($EY$9,各项系数!$D$4:$F$143,3,0))*各项系数!$J$4</f>
        <v>0.13277887822539838</v>
      </c>
      <c r="EZ201" s="102">
        <v>1</v>
      </c>
      <c r="FA201" s="189">
        <f t="shared" si="897"/>
        <v>0.13277887822539838</v>
      </c>
      <c r="FB201" s="254">
        <f>FA201*(VLOOKUP($EY$9,各项系数!$D$4:$F$143,2,0))</f>
        <v>8.6970165237635939</v>
      </c>
      <c r="FC201" s="255"/>
      <c r="FD201" s="235">
        <f>各项系数!$F$76/4*($MN201^2-MK201^2)*10^-2*(VLOOKUP(L201,各项系数!$D$1:$F$143,3,0))*10^-3*10^2*$EG201*各项系数!$J$4</f>
        <v>2.7784498534184611E-2</v>
      </c>
      <c r="FE201" s="262">
        <f>FD201*VLOOKUP(L201,各项系数!$D$1:$F$143,2,0)</f>
        <v>0.31952173314312304</v>
      </c>
      <c r="FF201" s="188">
        <f>各项系数!$F$76/4*($MO201^2-ML201^2)*10^-2*(VLOOKUP(L201,各项系数!$D$1:$F$143,3,0))*10^-3*10^2*$EO201*各项系数!$J$4</f>
        <v>0</v>
      </c>
      <c r="FG201" s="262">
        <f>FF201*VLOOKUP(L201,各项系数!$D$1:$F$143,2,0)</f>
        <v>0</v>
      </c>
      <c r="FH201" s="235">
        <f t="shared" si="651"/>
        <v>2.7784498534184611E-2</v>
      </c>
      <c r="FI201" s="102">
        <v>1</v>
      </c>
      <c r="FJ201" s="189">
        <f t="shared" si="898"/>
        <v>2.7784498534184611E-2</v>
      </c>
      <c r="FK201" s="262">
        <f>FJ201*VLOOKUP(L201,各项系数!$D$1:$F$143,2,0)</f>
        <v>0.31952173314312304</v>
      </c>
      <c r="FL201" s="235"/>
      <c r="FM201" s="102"/>
      <c r="FN201" s="189"/>
      <c r="FO201" s="262"/>
      <c r="FP201" s="282">
        <f t="shared" si="899"/>
        <v>2.7784498534184611E-2</v>
      </c>
      <c r="FQ201" s="282">
        <f t="shared" si="900"/>
        <v>0.31952173314312304</v>
      </c>
      <c r="FR201" s="283">
        <f>各项系数!$F$76/4*($MQ201^2-$MN201^2*$EG201-$MO201^2*$EO201)*10^-2</f>
        <v>0.18747957026134937</v>
      </c>
      <c r="FS201" s="284">
        <f t="shared" si="652"/>
        <v>1</v>
      </c>
      <c r="FT201" s="285">
        <f t="shared" si="604"/>
        <v>0.18747957026134937</v>
      </c>
      <c r="FU201" s="302">
        <f>$FT201*(VLOOKUP($FT$9,各项系数!$D$1:$F$143,3,0))*10^-3*10^2*各项系数!$J$55</f>
        <v>2.2385060689205115E-2</v>
      </c>
      <c r="FV201" s="303">
        <v>1</v>
      </c>
      <c r="FW201" s="304">
        <f t="shared" si="901"/>
        <v>2.2385060689205115E-2</v>
      </c>
      <c r="FX201" s="285">
        <f>FW201*(VLOOKUP($FT$9,各项系数!$D$1:$F$143,2,0))</f>
        <v>6.7155182067615338E-2</v>
      </c>
      <c r="FY201" s="302">
        <f>IF($BK201&lt;&gt;$FY$9,0,各项系数!$F$76/4*($MS201^2-$MQ201^2)*10^-2*(VLOOKUP($FY$9,各项系数!$D$1:$F$143,3,0))*10^-3*10^2)*各项系数!$J$4</f>
        <v>0</v>
      </c>
      <c r="FZ201" s="303">
        <v>1</v>
      </c>
      <c r="GA201" s="304">
        <f t="shared" si="902"/>
        <v>0</v>
      </c>
      <c r="GB201" s="285">
        <f>GA201*(VLOOKUP($FY$9,各项系数!$D$1:$F$143,2,0))</f>
        <v>0</v>
      </c>
      <c r="GC201" s="302">
        <f>IF($BK201&lt;&gt;$GC$9,0,各项系数!$F$76/4*($MS201^2-$MQ201^2)*10^-2*(VLOOKUP($GC$9,各项系数!$D$1:$F$143,3,0))*10^-3*10^2)*各项系数!$J$4</f>
        <v>2.387175462250249E-3</v>
      </c>
      <c r="GD201" s="303">
        <v>1</v>
      </c>
      <c r="GE201" s="304">
        <f t="shared" si="903"/>
        <v>2.387175462250249E-3</v>
      </c>
      <c r="GF201" s="285">
        <f>GE201*(VLOOKUP($GC$9,各项系数!$D$1:$F$143,2,0))</f>
        <v>3.0794563463028213E-2</v>
      </c>
      <c r="GG201" s="302">
        <f>IF($BK201&lt;&gt;$GG$9,0,各项系数!$F$76/4*($MS201^2-$MQ201^2)*10^-2*(VLOOKUP($GG$9,各项系数!$D$1:$F$143,3,0))*10^-3*10^2)*各项系数!$J$4</f>
        <v>0</v>
      </c>
      <c r="GH201" s="303">
        <v>1</v>
      </c>
      <c r="GI201" s="304">
        <f t="shared" si="904"/>
        <v>0</v>
      </c>
      <c r="GJ201" s="285">
        <f>GI201*(VLOOKUP($GG$9,各项系数!$D$1:$F$143,2,0))</f>
        <v>0</v>
      </c>
      <c r="GK201" s="302">
        <f>IF($BK201&lt;&gt;$GK$9,0,各项系数!$F$76/4*($MS201^2-$MQ201^2)*10^-2*(VLOOKUP($GK$9,各项系数!$D$1:$F$143,3,0))*10^-3*10^2)*各项系数!$J$4</f>
        <v>0</v>
      </c>
      <c r="GL201" s="303">
        <v>1</v>
      </c>
      <c r="GM201" s="304">
        <f t="shared" si="905"/>
        <v>0</v>
      </c>
      <c r="GN201" s="285">
        <f>GM201*(VLOOKUP($GK$9,各项系数!$D$1:$F$143,2,0))</f>
        <v>0</v>
      </c>
      <c r="GO201" s="304">
        <f t="shared" si="906"/>
        <v>2.387175462250249E-3</v>
      </c>
      <c r="GP201" s="304">
        <f t="shared" si="907"/>
        <v>3.0794563463028213E-2</v>
      </c>
      <c r="GQ201" s="315">
        <f>各项系数!$F$76/4*($MU201^2-$MS201^2)*10^-2*(VLOOKUP($S201,各项系数!$D$1:$F$143,3,0))*10^-3*10^2*各项系数!$J$4</f>
        <v>0.13865616629777522</v>
      </c>
      <c r="GR201" s="303">
        <v>1</v>
      </c>
      <c r="GS201" s="304">
        <f t="shared" si="908"/>
        <v>0.13865616629777522</v>
      </c>
      <c r="GT201" s="304">
        <f t="shared" si="909"/>
        <v>1</v>
      </c>
      <c r="GU201" s="304">
        <f>ROUND($GS201*(VLOOKUP($S201,各项系数!$D$1:$F$143,2,0))+$E$3*GS201,GT201)</f>
        <v>0.8</v>
      </c>
      <c r="GV201" s="315">
        <f>各项系数!$F$76/4*($MT201^2-$MS201^2)*10^-2*(VLOOKUP($GV$9,各项系数!$D$1:$F$143,3,0))*10^-3*10^2*各项系数!$J$4*PI()/4*R201</f>
        <v>1.24790844144195E-2</v>
      </c>
      <c r="GW201" s="303">
        <v>1</v>
      </c>
      <c r="GX201" s="304">
        <f t="shared" si="910"/>
        <v>1.24790844144195E-2</v>
      </c>
      <c r="GY201" s="304">
        <f>$GX201*(VLOOKUP($GV$9,各项系数!$D$1:$F$143,2,0))</f>
        <v>0.84233819797331622</v>
      </c>
      <c r="GZ201" s="315">
        <f>各项系数!$F$76/4*($MV201^2-$MS201^2)*10^-2*(VLOOKUP($GZ$9,各项系数!$D$1:$F$143,3,0))*10^-3*10^2*各项系数!$J$4</f>
        <v>8.1320561385551965E-2</v>
      </c>
      <c r="HA201" s="303">
        <v>1</v>
      </c>
      <c r="HB201" s="304">
        <f t="shared" si="653"/>
        <v>8.1320561385551965E-2</v>
      </c>
      <c r="HC201" s="304">
        <f>HB201*(VLOOKUP($GZ$9,各项系数!$D$1:$F$143,2,0))</f>
        <v>1.3824495435543833</v>
      </c>
      <c r="HD201" s="315">
        <f>各项系数!$F$76/4*($MW201^2-$MT201^2)*10^-2*(VLOOKUP($HD$9,各项系数!$D$1:$F$143,3,0))*10^-3*10^2*各项系数!$J$4</f>
        <v>8.2553410307414893E-2</v>
      </c>
      <c r="HE201" s="303">
        <v>1</v>
      </c>
      <c r="HF201" s="304">
        <f t="shared" si="654"/>
        <v>8.2553410307414893E-2</v>
      </c>
      <c r="HG201" s="304">
        <f>HF201*(VLOOKUP($HD$9,各项系数!$D$1:$F$143,2,0))</f>
        <v>1.4034079752260531</v>
      </c>
      <c r="HH201" s="315">
        <f>各项系数!$F$76/4*($MV201^2-$MS201^2)*10^-2*(VLOOKUP($HH$9,各项系数!$D$1:$F$143,3,0))*10^-3*10^2*各项系数!$J$4</f>
        <v>8.1320561385551965E-2</v>
      </c>
      <c r="HI201" s="322">
        <v>1</v>
      </c>
      <c r="HJ201" s="304">
        <f t="shared" si="655"/>
        <v>8.1320561385551965E-2</v>
      </c>
      <c r="HK201" s="304">
        <f>HJ201*(VLOOKUP($HH$9,各项系数!$D$1:$F$143,2,0))</f>
        <v>1.3824495435543833</v>
      </c>
      <c r="HL201" s="315">
        <f>各项系数!$F$76/4*($MW201^2-$MT201^2)*10^-2*(VLOOKUP($HL$9,各项系数!$D$1:$F$143,3,0))*10^-3*10^2*各项系数!$J$4</f>
        <v>8.2553410307414893E-2</v>
      </c>
      <c r="HM201" s="322">
        <v>1</v>
      </c>
      <c r="HN201" s="304">
        <f t="shared" si="605"/>
        <v>8.2553410307414893E-2</v>
      </c>
      <c r="HO201" s="304">
        <f>HN201*(VLOOKUP($HL$9,各项系数!$D$1:$F$143,2,0))</f>
        <v>1.4034079752260531</v>
      </c>
      <c r="HP201" s="315">
        <f>各项系数!$F$76/4*($MV201^2-$MS201^2)*10^-2*(VLOOKUP(AN201,各项系数!$D$1:$F$143,3,0))*10^-3*10^2*各项系数!$J$4</f>
        <v>8.2442224301214756E-2</v>
      </c>
      <c r="HQ201" s="303">
        <v>1</v>
      </c>
      <c r="HR201" s="304">
        <f t="shared" si="911"/>
        <v>8.2442224301214756E-2</v>
      </c>
      <c r="HS201" s="304">
        <f>HR201*(VLOOKUP(AN201,各项系数!$D$1:$F$143,2,0))</f>
        <v>0.8244222430121475</v>
      </c>
      <c r="HT201" s="315">
        <f>各项系数!$F$76/4*($MW201^2-$MT201^2)*10^-2*(VLOOKUP(AN201,各项系数!$D$1:$F$143,3,0))*10^-3*10^2*各项系数!$J$4</f>
        <v>8.3692078035793024E-2</v>
      </c>
      <c r="HU201" s="303">
        <v>1</v>
      </c>
      <c r="HV201" s="304">
        <f t="shared" si="912"/>
        <v>8.3692078035793024E-2</v>
      </c>
      <c r="HW201" s="304">
        <f>HV201*(VLOOKUP(AN201,各项系数!$D$1:$F$143,2,0))</f>
        <v>0.83692078035793027</v>
      </c>
      <c r="HX201" s="315">
        <f>各项系数!$F$76/4*($MV201^2-$MS201^2)*10^-2*(VLOOKUP($HX$9,各项系数!$D$1:$F$143,3,0))*10^-3*10^2*各项系数!$J$4</f>
        <v>8.2442224301214756E-2</v>
      </c>
      <c r="HY201" s="322">
        <v>1</v>
      </c>
      <c r="HZ201" s="304">
        <f t="shared" si="913"/>
        <v>8.2442224301214756E-2</v>
      </c>
      <c r="IA201" s="304">
        <f>HZ201*(VLOOKUP($HX$9,各项系数!$D$1:$F$143,2,0))</f>
        <v>0.90686446731336234</v>
      </c>
      <c r="IB201" s="315">
        <f>各项系数!$F$76/4*($MW201^2-$MT201^2)*10^-2*(VLOOKUP($IB$9,各项系数!$D$1:$F$143,3,0))*10^-3*10^2*各项系数!$J$4</f>
        <v>8.3692078035793024E-2</v>
      </c>
      <c r="IC201" s="322">
        <v>1</v>
      </c>
      <c r="ID201" s="304">
        <f t="shared" si="914"/>
        <v>8.3692078035793024E-2</v>
      </c>
      <c r="IE201" s="304">
        <f>ID201*(VLOOKUP($IB$9,各项系数!$D$1:$F$143,2,0))</f>
        <v>0.92061285839372331</v>
      </c>
      <c r="IF201" s="328"/>
      <c r="IG201" s="315">
        <f t="shared" si="656"/>
        <v>1.3987056971517723E-2</v>
      </c>
      <c r="IH201" s="303">
        <v>1</v>
      </c>
      <c r="II201" s="304">
        <f t="shared" si="915"/>
        <v>1.3987056971517723E-2</v>
      </c>
      <c r="IJ201" s="304">
        <f>II201*(VLOOKUP($IG$8,各项系数!$D$1:$F$143,2,0))</f>
        <v>0.3496764242879431</v>
      </c>
      <c r="IK201" s="315">
        <f>(各项系数!$F$76/4*($MX201^2-$MK201^2)*$EG201)*10^-2*(VLOOKUP($IG$8,各项系数!$D$1:$F$143,3,0))*10^-3*10^2*各项系数!$J$4</f>
        <v>1.3987056971517723E-2</v>
      </c>
      <c r="IL201" s="303">
        <f>IK201*(VLOOKUP($IG$8,各项系数!$D$1:$F$143,2,0))</f>
        <v>0.3496764242879431</v>
      </c>
      <c r="IM201" s="304">
        <f>(各项系数!$F$76/4*(($MM201+3*$X201)^2-MM201^2)*$EO201)*10^-2*(VLOOKUP($IG$8,各项系数!$D$1:$F$143,3,0))*10^-3*10^2*各项系数!$J$4</f>
        <v>0</v>
      </c>
      <c r="IN201" s="303">
        <f>IM201*(VLOOKUP($IG$8,各项系数!$D$1:$F$143,2,0))</f>
        <v>0</v>
      </c>
      <c r="IO201" s="315">
        <f>各项系数!$F$76/4*($MZ201^2-$MX201^2)*10^-2*(VLOOKUP(L201,各项系数!$D$1:$F$143,3,0))*10^-3*10^2*$ES201*各项系数!$J$4</f>
        <v>3.3561133441899357E-2</v>
      </c>
      <c r="IP201" s="303">
        <v>1</v>
      </c>
      <c r="IQ201" s="304">
        <f t="shared" si="916"/>
        <v>3.3561133441899357E-2</v>
      </c>
      <c r="IR201" s="285">
        <f>IQ201*(VLOOKUP(L201,各项系数!$D$1:$F$143,2,0))</f>
        <v>0.3859530345818426</v>
      </c>
      <c r="IS201" s="315">
        <f>IF($L201&lt;&gt;$IS$9,0,各项系数!$F$76/4*($MZ201^2-$MX201^2)*10^-2*各项系数!$F$12*10^-3*10^2)*$ES201*各项系数!$J$4</f>
        <v>0</v>
      </c>
      <c r="IT201" s="303">
        <v>1</v>
      </c>
      <c r="IU201" s="304">
        <f t="shared" si="917"/>
        <v>0</v>
      </c>
      <c r="IV201" s="285">
        <f>IU201*各项系数!$E$12</f>
        <v>0</v>
      </c>
      <c r="IW201" s="302">
        <f t="shared" si="918"/>
        <v>3.3561133441899357E-2</v>
      </c>
      <c r="IX201" s="302">
        <f t="shared" si="919"/>
        <v>0.3859530345818426</v>
      </c>
      <c r="IY201" s="339">
        <f>各项系数!$F$76/4*($NB201^2-$MZ201^2*$EG201-$NA201^2*$EO201)*10^-2</f>
        <v>0.25546761249860639</v>
      </c>
      <c r="IZ201" s="284">
        <f t="shared" si="697"/>
        <v>1</v>
      </c>
      <c r="JA201" s="285">
        <f t="shared" si="606"/>
        <v>0.25546761249860639</v>
      </c>
      <c r="JB201" s="282">
        <f>IF($DE201&lt;&gt;$JB$9,0,$JA201*各项系数!$F$32*10^-3*10^2)*各项系数!$J$4</f>
        <v>0</v>
      </c>
      <c r="JC201" s="102">
        <v>1</v>
      </c>
      <c r="JD201" s="189">
        <f t="shared" si="920"/>
        <v>0</v>
      </c>
      <c r="JE201" s="262">
        <f>JD201*各项系数!$E$32</f>
        <v>0</v>
      </c>
      <c r="JF201" s="282">
        <f>IF($DE201&lt;&gt;$JF$9,0,$JA201*VLOOKUP($JF$9,各项系数!$D$4:$F$540,2,0)*10^-3*10^2)*各项系数!$J$4</f>
        <v>0.12709513721805668</v>
      </c>
      <c r="JG201" s="102">
        <v>1</v>
      </c>
      <c r="JH201" s="189">
        <f t="shared" si="607"/>
        <v>0.12709513721805668</v>
      </c>
      <c r="JI201" s="262">
        <f>JH201*VLOOKUP($JF$9,各项系数!$D$4:$F$540,3,0)</f>
        <v>0.15251416466166801</v>
      </c>
      <c r="JJ201" s="282">
        <f t="shared" si="921"/>
        <v>0.12709513721805668</v>
      </c>
      <c r="JK201" s="189">
        <f t="shared" si="922"/>
        <v>0.15251416466166801</v>
      </c>
      <c r="JL201" s="282">
        <f>IF($DF201&lt;&gt;$JL$9,0,各项系数!$F$76/4*($NE201^2-$NC201^2)*10^-2*各项系数!$F$39*10^-3*10^2)*各项系数!$J$4</f>
        <v>1.1534334051214784E-3</v>
      </c>
      <c r="JM201" s="102">
        <v>1</v>
      </c>
      <c r="JN201" s="189">
        <f t="shared" si="923"/>
        <v>1.1534334051214784E-3</v>
      </c>
      <c r="JO201" s="262">
        <f>JN201*各项系数!$E$39</f>
        <v>2.3068668102429569E-2</v>
      </c>
      <c r="JP201" s="282">
        <f>IF($DF201&lt;&gt;$JP$9,0,各项系数!$F$76/4*($NE201^2-$NC201^2)*10^-2*各项系数!$F$36*10^-3*10^2)*各项系数!$J$4</f>
        <v>0</v>
      </c>
      <c r="JQ201" s="102">
        <v>1</v>
      </c>
      <c r="JR201" s="189">
        <f t="shared" si="924"/>
        <v>0</v>
      </c>
      <c r="JS201" s="262">
        <f>JR201*各项系数!$E$36</f>
        <v>0</v>
      </c>
      <c r="JT201" s="282">
        <f>IF($DF201&lt;&gt;$JT$9,0,各项系数!$F$76/4*($NE201^2-$NC201^2)*10^-2*各项系数!$F$40*10^-3*10^2)*各项系数!$J$4</f>
        <v>0</v>
      </c>
      <c r="JU201" s="102">
        <v>1</v>
      </c>
      <c r="JV201" s="189">
        <f t="shared" si="925"/>
        <v>0</v>
      </c>
      <c r="JW201" s="262">
        <f>JV201*各项系数!$E$40</f>
        <v>0</v>
      </c>
      <c r="JX201" s="282">
        <f>IF($DF201&lt;&gt;$JX$9,0,各项系数!$F$76/4*($NE201^2-$NC201^2)*10^-2*各项系数!$F$38*10^-3*10^2)*各项系数!$J$4</f>
        <v>0</v>
      </c>
      <c r="JY201" s="102">
        <v>1</v>
      </c>
      <c r="JZ201" s="189">
        <f t="shared" si="926"/>
        <v>0</v>
      </c>
      <c r="KA201" s="262">
        <f>JZ201*各项系数!$E$38</f>
        <v>0</v>
      </c>
      <c r="KB201" s="282">
        <f>IF($DF201&lt;&gt;$KB$9,0,各项系数!$F$76/4*($NE201^2-$NC201^2)*10^-2*各项系数!$F$41*10^-3*10^2)*各项系数!$J$4</f>
        <v>0</v>
      </c>
      <c r="KC201" s="102">
        <v>1</v>
      </c>
      <c r="KD201" s="189">
        <f t="shared" si="927"/>
        <v>0</v>
      </c>
      <c r="KE201" s="262">
        <f>KD201*各项系数!$E$41</f>
        <v>0</v>
      </c>
      <c r="KF201" s="189">
        <f t="shared" si="928"/>
        <v>1.1534334051214784E-3</v>
      </c>
      <c r="KG201" s="189">
        <f t="shared" si="929"/>
        <v>2.3068668102429569E-2</v>
      </c>
      <c r="KH201" s="235">
        <f>各项系数!$F$76/4*($NG201^2-$NE201^2)*10^-2*各项系数!$F$44*10^-3*10^2*各项系数!$J$4*0.75*$U201</f>
        <v>0.48267242749119743</v>
      </c>
      <c r="KI201" s="102">
        <v>1</v>
      </c>
      <c r="KJ201" s="189">
        <f t="shared" si="930"/>
        <v>0.48267242749119743</v>
      </c>
      <c r="KK201" s="189">
        <f>ROUND(KJ201*各项系数!$E$43,GT201)</f>
        <v>2.8</v>
      </c>
      <c r="KL201" s="235">
        <f>各项系数!$F$76/4*($NF201^2-$NE201^2)*10^-2*各项系数!$F$46*10^-3*10^2*各项系数!$J$4*PI()/4*R201</f>
        <v>1.4596683647738593E-2</v>
      </c>
      <c r="KM201" s="102">
        <v>1</v>
      </c>
      <c r="KN201" s="189">
        <f t="shared" si="931"/>
        <v>1.4596683647738593E-2</v>
      </c>
      <c r="KO201" s="189">
        <f>KN201*各项系数!$E$46</f>
        <v>0.98527614622235504</v>
      </c>
      <c r="KP201" s="235">
        <f>各项系数!$F$76/4*($NH201^2-$NE201^2)*10^-2*(VLOOKUP($KP$9,各项系数!$D$1:$F$143,3,0))*10^-3*10^2*各项系数!$J$4</f>
        <v>9.3001804920203268E-2</v>
      </c>
      <c r="KQ201" s="102">
        <v>1</v>
      </c>
      <c r="KR201" s="189">
        <f t="shared" si="657"/>
        <v>9.3001804920203268E-2</v>
      </c>
      <c r="KS201" s="189">
        <f>KR201*(VLOOKUP($KP$9,各项系数!$D$1:$F$143,2,0))</f>
        <v>1.5810306836434556</v>
      </c>
      <c r="KT201" s="235">
        <f>各项系数!$F$76/4*($NI201^2-$NF201^2)*10^-2*(VLOOKUP($KT$9,各项系数!$D$1:$F$143,3,0))*10^-3*10^2*各项系数!$J$4</f>
        <v>9.4234653842066196E-2</v>
      </c>
      <c r="KU201" s="102">
        <v>1</v>
      </c>
      <c r="KV201" s="189">
        <f t="shared" si="658"/>
        <v>9.4234653842066196E-2</v>
      </c>
      <c r="KW201" s="189">
        <f>KV201*(VLOOKUP($KT$9,各项系数!$D$1:$F$143,2,0))</f>
        <v>1.6019891153151253</v>
      </c>
      <c r="KX201" s="189">
        <f>各项系数!$F$76/4*($NH201^2-$NE201^2)*10^-2*(VLOOKUP($KX$9,各项系数!$D$1:$F$143,3,0))*10^-3*10^2*各项系数!$J$4</f>
        <v>9.3001804920203268E-2</v>
      </c>
      <c r="KY201" s="353">
        <v>1</v>
      </c>
      <c r="KZ201" s="189">
        <f t="shared" si="659"/>
        <v>9.3001804920203268E-2</v>
      </c>
      <c r="LA201" s="189">
        <f>KZ201*(VLOOKUP($KX$9,各项系数!$D$1:$F$143,2,0))</f>
        <v>1.5810306836434556</v>
      </c>
      <c r="LB201" s="189">
        <f>各项系数!$F$76/4*($NI201^2-$NF201^2)*10^-2*(VLOOKUP($LB$9,各项系数!$D$1:$F$143,3,0))*10^-3*10^2*各项系数!$J$4</f>
        <v>9.4234653842066196E-2</v>
      </c>
      <c r="LC201" s="353">
        <v>1</v>
      </c>
      <c r="LD201" s="189">
        <f t="shared" si="660"/>
        <v>9.4234653842066196E-2</v>
      </c>
      <c r="LE201" s="189">
        <f>LD201*(VLOOKUP($LB$9,各项系数!$D$1:$F$143,2,0))</f>
        <v>1.6019891153151253</v>
      </c>
      <c r="LF201" s="235">
        <f>各项系数!$F$76/4*($NH201^2-$NE201^2)*10^-2*(VLOOKUP(AN201,各项系数!$D$1:$F$143,3,0))*10^-3*10^2*各项系数!$J$4</f>
        <v>9.4284588436344005E-2</v>
      </c>
      <c r="LG201" s="102">
        <v>1</v>
      </c>
      <c r="LH201" s="189">
        <f t="shared" si="932"/>
        <v>9.4284588436344005E-2</v>
      </c>
      <c r="LI201" s="189">
        <f>LH201*(VLOOKUP(AN201,各项系数!$D$1:$F$143,2,0))</f>
        <v>0.94284588436344008</v>
      </c>
      <c r="LJ201" s="235">
        <f>各项系数!$F$76/4*($NI201^2-$NF201^2)*10^-2*(VLOOKUP(AN201,各项系数!$D$1:$F$143,3,0))*10^-3*10^2*各项系数!$J$4</f>
        <v>9.5534442170922287E-2</v>
      </c>
      <c r="LK201" s="102">
        <v>1</v>
      </c>
      <c r="LL201" s="189">
        <f t="shared" si="933"/>
        <v>9.5534442170922287E-2</v>
      </c>
      <c r="LM201" s="189">
        <f>LL201*(VLOOKUP(AN201,各项系数!$D$1:$F$143,2,0))</f>
        <v>0.95534442170922285</v>
      </c>
      <c r="LN201" s="189">
        <f>各项系数!$F$76/4*($NH201^2-$NE201^2)*10^-2*(VLOOKUP($LN$9,各项系数!$D$1:$F$143,3,0))*10^-3*10^2*各项系数!$J$4</f>
        <v>9.4284588436344005E-2</v>
      </c>
      <c r="LO201" s="353">
        <v>1</v>
      </c>
      <c r="LP201" s="189">
        <f t="shared" si="934"/>
        <v>9.4284588436344005E-2</v>
      </c>
      <c r="LQ201" s="189">
        <f>LP201*(VLOOKUP($LN$9,各项系数!$D$1:$F$143,2,0))</f>
        <v>1.0371304727997841</v>
      </c>
      <c r="LR201" s="189">
        <f>各项系数!$F$76/4*($NI201^2-$NF201^2)*10^-2*(VLOOKUP($LR$9,各项系数!$D$1:$F$143,3,0))*10^-3*10^2*各项系数!$J$4</f>
        <v>9.5534442170922287E-2</v>
      </c>
      <c r="LS201" s="353">
        <v>1</v>
      </c>
      <c r="LT201" s="189">
        <f t="shared" si="935"/>
        <v>9.5534442170922287E-2</v>
      </c>
      <c r="LU201" s="189">
        <f>LT201*(VLOOKUP($LR$9,各项系数!$D$1:$F$143,2,0))</f>
        <v>1.0508788638801452</v>
      </c>
      <c r="LV201" s="227">
        <f t="shared" si="661"/>
        <v>15.01081093</v>
      </c>
      <c r="LW201" s="227">
        <f t="shared" si="662"/>
        <v>15.01081093</v>
      </c>
      <c r="LX201" s="227">
        <f t="shared" si="663"/>
        <v>4.3717683006557886</v>
      </c>
      <c r="LY201" s="227">
        <f t="shared" si="664"/>
        <v>0</v>
      </c>
      <c r="LZ201" s="374">
        <f t="shared" si="608"/>
        <v>1</v>
      </c>
      <c r="MA201" s="375">
        <f t="shared" si="609"/>
        <v>15.01081093</v>
      </c>
      <c r="MB201" s="375">
        <f t="shared" si="665"/>
        <v>2.1858841500000001</v>
      </c>
      <c r="MC201" s="227">
        <f t="shared" si="666"/>
        <v>0</v>
      </c>
      <c r="MD201" s="227">
        <f t="shared" si="667"/>
        <v>0</v>
      </c>
      <c r="ME201" s="227">
        <f t="shared" si="668"/>
        <v>0</v>
      </c>
      <c r="MF201" s="227">
        <f t="shared" si="669"/>
        <v>0</v>
      </c>
      <c r="MG201" s="374">
        <f t="shared" si="670"/>
        <v>1</v>
      </c>
      <c r="MH201" s="375">
        <f t="shared" si="610"/>
        <v>0</v>
      </c>
      <c r="MI201" s="375">
        <f t="shared" si="671"/>
        <v>0</v>
      </c>
      <c r="MJ201" s="189">
        <f t="shared" si="611"/>
        <v>2.1858841500000001</v>
      </c>
      <c r="MK201" s="189">
        <f t="shared" si="672"/>
        <v>2.1858841500000001</v>
      </c>
      <c r="ML201" s="189">
        <f t="shared" si="936"/>
        <v>0</v>
      </c>
      <c r="MM201" s="189">
        <f t="shared" si="612"/>
        <v>0</v>
      </c>
      <c r="MN201" s="189">
        <f t="shared" si="613"/>
        <v>3.58588415</v>
      </c>
      <c r="MO201" s="189">
        <f t="shared" si="673"/>
        <v>0</v>
      </c>
      <c r="MP201" s="189">
        <f t="shared" si="674"/>
        <v>8.6778396400000002</v>
      </c>
      <c r="MQ201" s="189">
        <f t="shared" si="937"/>
        <v>8.6778396400000002</v>
      </c>
      <c r="MR201" s="246">
        <f t="shared" si="675"/>
        <v>8.6778396400000002</v>
      </c>
      <c r="MS201" s="380">
        <f t="shared" si="614"/>
        <v>8.8538396400000003</v>
      </c>
      <c r="MT201" s="380">
        <f t="shared" si="615"/>
        <v>9.0138396400000005</v>
      </c>
      <c r="MU201" s="380">
        <f t="shared" si="616"/>
        <v>10.05383964</v>
      </c>
      <c r="MV201" s="380">
        <f t="shared" si="617"/>
        <v>12.253839640000001</v>
      </c>
      <c r="MW201" s="380">
        <f t="shared" si="618"/>
        <v>12.413839640000001</v>
      </c>
      <c r="MX201" s="254">
        <f t="shared" si="619"/>
        <v>2.7858841500000002</v>
      </c>
      <c r="MY201" s="254">
        <f t="shared" si="620"/>
        <v>0</v>
      </c>
      <c r="MZ201" s="189">
        <f t="shared" si="621"/>
        <v>4.1858841499999997</v>
      </c>
      <c r="NA201" s="189">
        <f t="shared" si="622"/>
        <v>0</v>
      </c>
      <c r="NB201" s="189">
        <f t="shared" si="676"/>
        <v>10.12983964</v>
      </c>
      <c r="NC201" s="254">
        <f t="shared" si="938"/>
        <v>10.12983964</v>
      </c>
      <c r="ND201" s="246">
        <f t="shared" si="677"/>
        <v>10.12983964</v>
      </c>
      <c r="NE201" s="386">
        <f t="shared" si="678"/>
        <v>10.36983964</v>
      </c>
      <c r="NF201" s="380">
        <f t="shared" si="623"/>
        <v>10.529839640000001</v>
      </c>
      <c r="NG201" s="387">
        <f t="shared" si="624"/>
        <v>11.569839640000001</v>
      </c>
      <c r="NH201" s="254">
        <f t="shared" si="625"/>
        <v>13.769839640000001</v>
      </c>
      <c r="NI201" s="380">
        <f t="shared" si="626"/>
        <v>13.929839640000001</v>
      </c>
      <c r="NK201" s="388">
        <f t="shared" si="627"/>
        <v>0.26777783721225312</v>
      </c>
      <c r="NL201" s="388">
        <f t="shared" si="628"/>
        <v>9.9389102454495077</v>
      </c>
      <c r="NM201" s="388">
        <f t="shared" si="629"/>
        <v>0.26777783721225312</v>
      </c>
      <c r="NN201" s="388">
        <f t="shared" si="630"/>
        <v>10.021352469750722</v>
      </c>
      <c r="NO201" s="388">
        <f t="shared" si="631"/>
        <v>0.40286022769833763</v>
      </c>
      <c r="NP201" s="388">
        <f t="shared" si="632"/>
        <v>10.551074699760917</v>
      </c>
      <c r="NQ201" s="388">
        <f t="shared" si="633"/>
        <v>0.40286022769833763</v>
      </c>
      <c r="NR201" s="388">
        <f t="shared" si="634"/>
        <v>10.645359288197259</v>
      </c>
      <c r="NS201" s="388">
        <f t="shared" si="635"/>
        <v>0.28025692162667259</v>
      </c>
      <c r="NT201" s="388">
        <f t="shared" si="636"/>
        <v>0.28025692162667259</v>
      </c>
      <c r="NU201" s="388">
        <f t="shared" si="637"/>
        <v>0.41745691134607621</v>
      </c>
      <c r="NV201" s="388">
        <f t="shared" si="638"/>
        <v>0.41745691134607621</v>
      </c>
      <c r="NW201">
        <f t="shared" si="639"/>
        <v>0.40643400351002834</v>
      </c>
      <c r="NX201">
        <f>各项系数!$M$9*NK201</f>
        <v>8.0333351163675931E-2</v>
      </c>
      <c r="NY201">
        <f t="shared" si="640"/>
        <v>0.28025692162667259</v>
      </c>
    </row>
    <row r="202" spans="1:389" s="10" customFormat="1" ht="15" hidden="1" customHeight="1">
      <c r="A202" s="16"/>
      <c r="B202" s="151"/>
      <c r="C202" s="16"/>
      <c r="D202" s="62" t="s">
        <v>168</v>
      </c>
      <c r="E202" s="54">
        <f t="shared" si="885"/>
        <v>13.457887209999999</v>
      </c>
      <c r="F202" s="16">
        <f>$F$18</f>
        <v>218.58841470644899</v>
      </c>
      <c r="G202" s="16"/>
      <c r="H202" s="16"/>
      <c r="I202" s="145">
        <v>0</v>
      </c>
      <c r="J202" s="16"/>
      <c r="K202" s="16"/>
      <c r="L202" s="100" t="s">
        <v>469</v>
      </c>
      <c r="M202" s="98">
        <f t="shared" si="582"/>
        <v>0.7</v>
      </c>
      <c r="N202" s="98">
        <f t="shared" si="804"/>
        <v>0</v>
      </c>
      <c r="O202" s="58">
        <f t="shared" si="939"/>
        <v>0.08</v>
      </c>
      <c r="P202" s="99">
        <v>0.1</v>
      </c>
      <c r="Q202" s="136">
        <f t="shared" si="882"/>
        <v>0.1</v>
      </c>
      <c r="R202" s="413">
        <v>0.8</v>
      </c>
      <c r="S202" s="144" t="str">
        <f>各项系数!$D$43</f>
        <v>钢带</v>
      </c>
      <c r="T202" s="62">
        <v>0.2</v>
      </c>
      <c r="U202" s="62">
        <v>4</v>
      </c>
      <c r="V202" s="143"/>
      <c r="W202" s="407">
        <v>1.8</v>
      </c>
      <c r="X202" s="139">
        <f t="shared" si="883"/>
        <v>0.2</v>
      </c>
      <c r="Y202" s="139"/>
      <c r="Z202" s="169"/>
      <c r="AA202" s="170">
        <v>1</v>
      </c>
      <c r="AB202" s="153">
        <f>PI()*EJ202*EJ202/4*EH202*(1-H202)*AA202*各项系数!$F$5*各项系数!$J$4*10^-7</f>
        <v>3.3194719556349603E-2</v>
      </c>
      <c r="AC202" s="170">
        <f t="shared" si="886"/>
        <v>218.58841470644899</v>
      </c>
      <c r="AD202" s="153">
        <f t="shared" si="584"/>
        <v>3.7527027212948432</v>
      </c>
      <c r="AE202" s="153">
        <f>POWER(4*EU202/PI()/EG202/10^-7/EH202/(1-H202)/各项系数!$F$5/各项系数!$J$4,0.5)</f>
        <v>218.58841470644899</v>
      </c>
      <c r="AF202" s="16">
        <v>1</v>
      </c>
      <c r="AG202" s="16">
        <f>IF(EM202=0,0,PI()*ER202*ER202/4*EP202*(1-K202)*(1+AF202)*各项系数!$F$5*各项系数!$J$4*10^-7)</f>
        <v>0</v>
      </c>
      <c r="AH202" s="16">
        <f t="shared" si="887"/>
        <v>0</v>
      </c>
      <c r="AI202" s="69">
        <f t="shared" si="641"/>
        <v>0</v>
      </c>
      <c r="AJ202" s="69">
        <f>IF(OR(EP202="",EP202=0),0,POWER(4*EW202/PI()/EO202/10^-7/EP202/(1-K202)/各项系数!$F$5/各项系数!$J$4,0.5))</f>
        <v>0</v>
      </c>
      <c r="AK202" s="16" t="str">
        <f t="shared" si="585"/>
        <v>√</v>
      </c>
      <c r="AL202" s="16">
        <f t="shared" si="888"/>
        <v>12.792437675246555</v>
      </c>
      <c r="AM202" s="62">
        <f t="shared" si="889"/>
        <v>4</v>
      </c>
      <c r="AN202" s="100" t="s">
        <v>486</v>
      </c>
      <c r="AO202" s="136">
        <f>AP202+各项系数!$M$9*$NK202</f>
        <v>12.541605563967211</v>
      </c>
      <c r="AP202" s="136">
        <f>AQ202*(1+$BI202+(VLOOKUP($AM202,$A$12:$B$323,2,0))+各项系数!$J$6+各项系数!$M$5)*(1+$E$2)</f>
        <v>12.443385018632476</v>
      </c>
      <c r="AQ202" s="198">
        <f>AR202+各项系数!$L$9*$NK202</f>
        <v>12.697331651665792</v>
      </c>
      <c r="AR202" s="198">
        <f>AS202*(1+$BJ202+各项系数!$J$5+各项系数!$L$5)</f>
        <v>12.599111106331057</v>
      </c>
      <c r="AS202" s="198">
        <f t="shared" si="642"/>
        <v>12.352069712089271</v>
      </c>
      <c r="AT202" s="136">
        <f>AU202+各项系数!$M$9*$NM202</f>
        <v>13.194006590849195</v>
      </c>
      <c r="AU202" s="136">
        <f>AV202*(1+$BI202+(VLOOKUP($AM202,$A$12:$B$323,2,0))+各项系数!$J$6+各项系数!$M$5)*(1+$E$2)</f>
        <v>13.09578604551446</v>
      </c>
      <c r="AV202" s="198">
        <f>AW202+各项系数!$L$9*$NM202</f>
        <v>13.363046985218837</v>
      </c>
      <c r="AW202" s="198">
        <f>AX202*(1+$BJ202+各项系数!$J$5+各项系数!$L$5)</f>
        <v>13.264826439884102</v>
      </c>
      <c r="AX202" s="198">
        <f t="shared" si="643"/>
        <v>13.004731803807942</v>
      </c>
      <c r="AY202" s="136">
        <f>AZ202+各项系数!$M$9*$NS202</f>
        <v>13.499710940612127</v>
      </c>
      <c r="AZ202" s="136">
        <f>BA202*(1+$BI202+(VLOOKUP($AM202,$A$12:$B$214,2,0))+各项系数!$J$6+各项系数!$M$5)*(1+$E$2)</f>
        <v>13.397325923838729</v>
      </c>
      <c r="BA202" s="198">
        <f>BB202+各项系数!$L$9*$NS202</f>
        <v>13.670740738610947</v>
      </c>
      <c r="BB202" s="198">
        <f>BC202*(1+$BJ202+各项系数!$J$5+各项系数!$L$5)</f>
        <v>13.568355721837548</v>
      </c>
      <c r="BC202" s="198">
        <f t="shared" si="644"/>
        <v>13.302309531213282</v>
      </c>
      <c r="BD202" s="136">
        <f>BE202+各项系数!$M$9*$NS202</f>
        <v>14.161065919648626</v>
      </c>
      <c r="BE202" s="136">
        <f>BF202*(1+$BI202+(VLOOKUP($AM202,$A$12:$B$214,2,0))+各项系数!$J$6+各项系数!$M$5)*(1+$E$2)</f>
        <v>14.058680902875228</v>
      </c>
      <c r="BF202" s="198">
        <f>BG202+各项系数!$L$9*$NS202</f>
        <v>14.345592758035947</v>
      </c>
      <c r="BG202" s="198">
        <f>BH202*(1+$BJ202+各项系数!$J$5+各项系数!$L$5)</f>
        <v>14.243207741262548</v>
      </c>
      <c r="BH202" s="198">
        <f t="shared" si="645"/>
        <v>13.963929158100537</v>
      </c>
      <c r="BI202" s="414">
        <v>0</v>
      </c>
      <c r="BJ202" s="209">
        <f>$BJ$199</f>
        <v>0</v>
      </c>
      <c r="BK202" s="62" t="s">
        <v>514</v>
      </c>
      <c r="BL202" s="136">
        <f>BM202+各项系数!$M$9*$NM202</f>
        <v>12.7599856722321</v>
      </c>
      <c r="BM202" s="136">
        <f>BN202*(1+$CF202+(VLOOKUP($AM202,$A$12:$B$323,2,0))+各项系数!$J$6+各项系数!$M$5)*(1+$E$2)</f>
        <v>12.661765126897365</v>
      </c>
      <c r="BN202" s="198">
        <f>BO202+各项系数!$L$9*$NM202</f>
        <v>12.920168496834046</v>
      </c>
      <c r="BO202" s="198">
        <f>BP202*(1+$CG202+各项系数!$J$5+各项系数!$L$5)</f>
        <v>12.821947951499311</v>
      </c>
      <c r="BP202" s="198">
        <f t="shared" si="646"/>
        <v>12.448493156795447</v>
      </c>
      <c r="BQ202" s="136">
        <f>BR202+各项系数!$M$9*$NM202</f>
        <v>13.321452962526513</v>
      </c>
      <c r="BR202" s="136">
        <f>BS202*(1+$CF202+(VLOOKUP($AM202,$A$12:$B$323,2,0))+各项系数!$J$6+各项系数!$M$5)*(1+$E$2)</f>
        <v>13.223232417191777</v>
      </c>
      <c r="BS202" s="198">
        <f>BT202+各项系数!$L$9*$NM202</f>
        <v>13.493094303256916</v>
      </c>
      <c r="BT202" s="198">
        <f>BU202*(1+$CG202+各项系数!$J$5+各项系数!$L$5)</f>
        <v>13.394873757922181</v>
      </c>
      <c r="BU202" s="198">
        <f t="shared" si="647"/>
        <v>13.004731803807942</v>
      </c>
      <c r="BV202" s="136">
        <f>BW202+各项系数!$M$9*$NT202</f>
        <v>13.636500032021567</v>
      </c>
      <c r="BW202" s="136">
        <f>BX202*(1+$CF202+(VLOOKUP($AM202,$A$12:$B$214,2,0))+各项系数!$J$6+各项系数!$M$5)*(1+$E$2)</f>
        <v>13.534115015248169</v>
      </c>
      <c r="BX202" s="198">
        <f>BY202+各项系数!$L$9*$NT$12</f>
        <v>13.810321444130786</v>
      </c>
      <c r="BY202" s="198">
        <f>BZ202*(1+$CG202+各项系数!$J$5+各项系数!$L$5)</f>
        <v>13.802058040975812</v>
      </c>
      <c r="BZ202" s="198">
        <f t="shared" si="586"/>
        <v>13.400056350461952</v>
      </c>
      <c r="CA202" s="136">
        <f>CB202+各项系数!$M$9*$NT202</f>
        <v>14.205673244051955</v>
      </c>
      <c r="CB202" s="136">
        <f>CC202*(1+$CF202+(VLOOKUP($AM202,$A$12:$B$214,2,0))+各项系数!$J$6+各项系数!$M$5)*(1+$E$2)</f>
        <v>14.103288227278556</v>
      </c>
      <c r="CC202" s="198">
        <f>CD202+各项系数!$L$9*$NT$12</f>
        <v>14.391110435998527</v>
      </c>
      <c r="CD202" s="198">
        <f>CE202*(1+$CG202+各项系数!$J$5+各项系数!$L$5)</f>
        <v>14.382847032843554</v>
      </c>
      <c r="CE202" s="198">
        <f t="shared" si="648"/>
        <v>13.963929158100537</v>
      </c>
      <c r="CF202" s="414">
        <f>(BI202+$CF$2)-BI202/1.3</f>
        <v>0</v>
      </c>
      <c r="CG202" s="223">
        <f t="shared" si="587"/>
        <v>0.01</v>
      </c>
      <c r="CH202" s="62"/>
      <c r="CI202" s="136">
        <f>CJ202+各项系数!$M$9*$NO202</f>
        <v>13.494481036268297</v>
      </c>
      <c r="CJ202" s="136">
        <f>CK202*(1+$DC202+(VLOOKUP($AM202,$A$12:$B$323,2,0))+各项系数!$J$6+各项系数!$M$5)*(1+$E$2)+各项系数!$M$9*$NK202</f>
        <v>13.346332961036229</v>
      </c>
      <c r="CK202" s="198">
        <f>CL202+各项系数!$L$9*$NO202</f>
        <v>13.518482056838259</v>
      </c>
      <c r="CL202" s="198">
        <f>CM202*(1+$DD202+各项系数!$J$5+各项系数!$L$5)</f>
        <v>13.370333981606191</v>
      </c>
      <c r="CM202" s="198">
        <f t="shared" si="588"/>
        <v>13.108170570202148</v>
      </c>
      <c r="CN202" s="136">
        <f>CO202+各项系数!$M$9*$NO202</f>
        <v>14.007652606620956</v>
      </c>
      <c r="CO202" s="136">
        <f>CP202*(1+$DC202+(VLOOKUP($AM202,$A$12:$B$323,2,0))+各项系数!$J$6+各项系数!$M$5)*(1+$E$2)+各项系数!$M$9*$NK202</f>
        <v>13.859504531388888</v>
      </c>
      <c r="CP202" s="198">
        <f>CQ202+各项系数!$L$9*$NO202</f>
        <v>14.042126516381789</v>
      </c>
      <c r="CQ202" s="198">
        <f>CR202*(1+$DD202+各项系数!$J$5+各项系数!$L$5)</f>
        <v>13.89397844114972</v>
      </c>
      <c r="CR202" s="198">
        <f t="shared" si="589"/>
        <v>13.621547491323255</v>
      </c>
      <c r="CS202" s="136">
        <f>CT202+各项系数!$M$9*$NU202</f>
        <v>14.514477640594396</v>
      </c>
      <c r="CT202" s="136">
        <f t="shared" si="590"/>
        <v>14.361459413756995</v>
      </c>
      <c r="CU202" s="198">
        <f>CV202+各项系数!$L$9*$NU202</f>
        <v>14.654550422201016</v>
      </c>
      <c r="CV202" s="198">
        <f>CW202*(1+$DD202+各项系数!$J$5+各项系数!$L$5)</f>
        <v>14.501532195363614</v>
      </c>
      <c r="CW202" s="198">
        <f t="shared" si="591"/>
        <v>14.217188426827073</v>
      </c>
      <c r="CX202" s="136">
        <f>CY202+各项系数!$M$9*$NU202</f>
        <v>15.270072966057208</v>
      </c>
      <c r="CY202" s="136">
        <f t="shared" si="592"/>
        <v>15.117054739219807</v>
      </c>
      <c r="CZ202" s="198">
        <f>DA202+各项系数!$L$9*$NU202</f>
        <v>15.425566060428375</v>
      </c>
      <c r="DA202" s="198">
        <f>DB202*(1+$DD202+各项系数!$J$5+各项系数!$L$5)</f>
        <v>15.272547833590973</v>
      </c>
      <c r="DB202" s="198">
        <f t="shared" si="593"/>
        <v>14.973086111363699</v>
      </c>
      <c r="DC202" s="414">
        <f>(BI202+$DC$2)-BI202/1.3</f>
        <v>0</v>
      </c>
      <c r="DD202" s="223">
        <f t="shared" si="594"/>
        <v>0</v>
      </c>
      <c r="DE202" s="58" t="s">
        <v>498</v>
      </c>
      <c r="DF202" s="58" t="s">
        <v>513</v>
      </c>
      <c r="DG202" s="136">
        <f>DH202+各项系数!$M$9*$NQ202</f>
        <v>13.734330378062811</v>
      </c>
      <c r="DH202" s="136">
        <f>DI202*(1+$EA202+(VLOOKUP($AM202,$A$12:$B$323,2,0))+各项系数!$J$6+各项系数!$M$5)*(1+$E$2)+各项系数!$M$9*$NK202</f>
        <v>13.586182302830743</v>
      </c>
      <c r="DI202" s="198">
        <f>DJ202+各项系数!$L$9*$NQ202</f>
        <v>13.763226283159192</v>
      </c>
      <c r="DJ202" s="198">
        <f>DK202*(1+$EB202+各项系数!$J$5+各项系数!$L$5)</f>
        <v>13.615078207927123</v>
      </c>
      <c r="DK202" s="198">
        <f t="shared" si="595"/>
        <v>13.21852253196808</v>
      </c>
      <c r="DL202" s="136">
        <f>DM202+各项系数!$M$9*$NQ202</f>
        <v>14.376902494628379</v>
      </c>
      <c r="DM202" s="136">
        <f>DN202*(1+$EA202+(VLOOKUP($AM202,$A$12:$B$323,2,0))+各项系数!$J$6+各项系数!$M$5)*(1+$E$2)+各项系数!$M$9*$NK202</f>
        <v>14.22875441939631</v>
      </c>
      <c r="DN202" s="198">
        <f>DO202+各项系数!$L$9*$NQ202</f>
        <v>14.418912116389363</v>
      </c>
      <c r="DO202" s="198">
        <f>DP202*(1+$EB202+各项系数!$J$5+各项系数!$L$5)</f>
        <v>14.270764041157294</v>
      </c>
      <c r="DP202" s="198">
        <f t="shared" si="596"/>
        <v>13.855110719570188</v>
      </c>
      <c r="DQ202" s="136">
        <f>DR202+各项系数!$M$9*$NV202</f>
        <v>14.76653117164703</v>
      </c>
      <c r="DR202" s="136">
        <f t="shared" si="597"/>
        <v>14.613512944809628</v>
      </c>
      <c r="DS202" s="198">
        <f>DT202+各项系数!$L$9*$NV202</f>
        <v>14.911747902866967</v>
      </c>
      <c r="DT202" s="198">
        <f>DU202*(1+$EB202+各项系数!$J$5+各项系数!$L$5)</f>
        <v>14.758729676029565</v>
      </c>
      <c r="DU202" s="198">
        <f t="shared" si="598"/>
        <v>14.3288637631355</v>
      </c>
      <c r="DV202" s="136">
        <f>DW202+各项系数!$M$9*$NV202</f>
        <v>14.929832968564932</v>
      </c>
      <c r="DW202" s="136">
        <f t="shared" si="599"/>
        <v>14.776814741727531</v>
      </c>
      <c r="DX202" s="198">
        <f>DY202+各项系数!$L$9*$NV202</f>
        <v>15.078382389517889</v>
      </c>
      <c r="DY202" s="198">
        <f>DZ202*(1+$EB202+各项系数!$J$5+各项系数!$L$5)</f>
        <v>14.925364162680488</v>
      </c>
      <c r="DZ202" s="198">
        <f t="shared" si="600"/>
        <v>14.490644818136396</v>
      </c>
      <c r="EA202" s="414">
        <f>(BI202+$EA$2)-BI202/1.3</f>
        <v>0</v>
      </c>
      <c r="EB202" s="223">
        <f t="shared" si="601"/>
        <v>0.01</v>
      </c>
      <c r="EC202" s="236">
        <f t="shared" si="649"/>
        <v>5</v>
      </c>
      <c r="ED202" s="236" t="str">
        <f t="shared" si="890"/>
        <v>5*4</v>
      </c>
      <c r="EE202" s="58">
        <f t="shared" si="891"/>
        <v>4</v>
      </c>
      <c r="EF202" s="58">
        <f>LOOKUP(EH202,{1,7,10,14,19,24,30,37,48,61},{1,"1+6","2+8","4+10","1+6+12","2+8+14","4+10+16","1+6+12+18","3+9+15+21","1+6+12+18+24"})</f>
        <v>1</v>
      </c>
      <c r="EG202" s="62">
        <f t="shared" si="602"/>
        <v>5</v>
      </c>
      <c r="EH202" s="198">
        <f>VLOOKUP(EE202,各项系数!$B$87:$C$124,2,0)</f>
        <v>1</v>
      </c>
      <c r="EI202" s="62">
        <f>IF(EH202=0,0,VLOOKUP(EH202,各项系数!$D$142:$E$195,2,0))*1</f>
        <v>1</v>
      </c>
      <c r="EJ202" s="239">
        <f t="shared" si="650"/>
        <v>218.58841470644899</v>
      </c>
      <c r="EK202" s="58">
        <f t="shared" si="892"/>
        <v>0</v>
      </c>
      <c r="EL202" s="58">
        <f t="shared" si="603"/>
        <v>0</v>
      </c>
      <c r="EM202" s="58">
        <f t="shared" si="893"/>
        <v>0</v>
      </c>
      <c r="EN202" s="58">
        <f>IF(EP202=0,0,LOOKUP(EP202,{1,7,10,14,19,24,30,37,48,61},{1,"1+6","2+8","4+10","1+6+12","2+8+14","4+10+16","1+6+12+18","3+9+15+21","1+6+12+18+24"}))</f>
        <v>0</v>
      </c>
      <c r="EO202" s="58">
        <f t="shared" si="894"/>
        <v>0</v>
      </c>
      <c r="EP202" s="58">
        <f>IF(EM202=0,0,IF(EM202&lt;10,1,IF(AND(EM202&gt;=10,EM202&lt;=35),7,LOOKUP(EM202,{50,70,95,120,150,185,240,300},{10,14,19,24,30,37,48,61})*1)))</f>
        <v>0</v>
      </c>
      <c r="EQ202" s="58">
        <f>IF(EP202=0,0,VLOOKUP(EP202,各项系数!$D$142:$E$195,2,0))*1</f>
        <v>0</v>
      </c>
      <c r="ER202" s="58">
        <f t="shared" si="895"/>
        <v>0</v>
      </c>
      <c r="ES202" s="236">
        <f t="shared" si="896"/>
        <v>5</v>
      </c>
      <c r="ET202" s="58">
        <f>VLOOKUP(ES202,各项系数!$D$142:$E$195,2,0)*1</f>
        <v>2.7</v>
      </c>
      <c r="EU202" s="243">
        <f>((各项系数!$F$76/4*$EJ202^2*$EG202*$EH202*1*10^-7)*(1-$H202)*AA202)*(VLOOKUP($EY$9,各项系数!$D$4:$F$143,3,0))*各项系数!$J$4</f>
        <v>0.16597359778174797</v>
      </c>
      <c r="EV202" s="245">
        <f>EU202*(VLOOKUP($EY$9,各项系数!$D$4:$F$143,2,0))</f>
        <v>10.871270654704492</v>
      </c>
      <c r="EW202" s="252">
        <f>(IF($EO202=0,0,(各项系数!$F$76/4*$ER202^2*$EO202*$EP202*1*10^-7))*(1-$K202)*$AF202)*(VLOOKUP($EY$9,各项系数!$D$4:$F$143,3,0))*各项系数!$J$4</f>
        <v>0</v>
      </c>
      <c r="EX202" s="245">
        <f>EW202*(VLOOKUP($EY$9,各项系数!$D$4:$F$143,2,0))</f>
        <v>0</v>
      </c>
      <c r="EY202" s="189">
        <f>((各项系数!$F$76/4*$EJ202^2*$EG202*$EH202*1*10^-7)*(1-$H202)*AA202+IF($EO202=0,0,(各项系数!$F$76/4*$ER202^2*$EO202*$EP202*1*10^-7))*(1-$K202)*$AF202)*(VLOOKUP($EY$9,各项系数!$D$4:$F$143,3,0))*各项系数!$J$4</f>
        <v>0.16597359778174797</v>
      </c>
      <c r="EZ202" s="62">
        <v>1</v>
      </c>
      <c r="FA202" s="58">
        <f t="shared" si="897"/>
        <v>0.16597359778174797</v>
      </c>
      <c r="FB202" s="245">
        <f>FA202*(VLOOKUP($EY$9,各项系数!$D$4:$F$143,2,0))</f>
        <v>10.871270654704492</v>
      </c>
      <c r="FC202" s="256"/>
      <c r="FD202" s="236">
        <f>各项系数!$F$76/4*($MN202^2-MK202^2)*10^-2*(VLOOKUP(L202,各项系数!$D$1:$F$143,3,0))*10^-3*10^2*$EG202*各项系数!$J$4</f>
        <v>3.4730623167730762E-2</v>
      </c>
      <c r="FE202" s="263">
        <f>FD202*VLOOKUP(L202,各项系数!$D$1:$F$143,2,0)</f>
        <v>0.39940216642890375</v>
      </c>
      <c r="FF202" s="62">
        <f>各项系数!$F$76/4*($MO202^2-ML202^2)*10^-2*(VLOOKUP(L202,各项系数!$D$1:$F$143,3,0))*10^-3*10^2*$EO202*各项系数!$J$4</f>
        <v>0</v>
      </c>
      <c r="FG202" s="263">
        <f>FF202*VLOOKUP(L202,各项系数!$D$1:$F$143,2,0)</f>
        <v>0</v>
      </c>
      <c r="FH202" s="236">
        <f t="shared" si="651"/>
        <v>3.4730623167730762E-2</v>
      </c>
      <c r="FI202" s="62">
        <v>1</v>
      </c>
      <c r="FJ202" s="58">
        <f t="shared" si="898"/>
        <v>3.4730623167730762E-2</v>
      </c>
      <c r="FK202" s="263">
        <f>FJ202*VLOOKUP(L202,各项系数!$D$1:$F$143,2,0)</f>
        <v>0.39940216642890375</v>
      </c>
      <c r="FL202" s="236"/>
      <c r="FM202" s="62"/>
      <c r="FN202" s="58"/>
      <c r="FO202" s="263"/>
      <c r="FP202" s="286">
        <f t="shared" si="899"/>
        <v>3.4730623167730762E-2</v>
      </c>
      <c r="FQ202" s="286">
        <f t="shared" si="900"/>
        <v>0.39940216642890375</v>
      </c>
      <c r="FR202" s="287">
        <f>各项系数!$F$76/4*($MQ202^2-$MN202^2*$EG202-$MO202^2*$EO202)*10^-2</f>
        <v>0.23126924059824366</v>
      </c>
      <c r="FS202" s="288">
        <f t="shared" si="652"/>
        <v>1</v>
      </c>
      <c r="FT202" s="285">
        <f t="shared" si="604"/>
        <v>0.23126924059824366</v>
      </c>
      <c r="FU202" s="305">
        <f>$FT202*(VLOOKUP($FT$9,各项系数!$D$1:$F$143,3,0))*10^-3*10^2*各项系数!$J$55</f>
        <v>2.7613547327430293E-2</v>
      </c>
      <c r="FV202" s="306">
        <v>1</v>
      </c>
      <c r="FW202" s="307">
        <f t="shared" si="901"/>
        <v>2.7613547327430293E-2</v>
      </c>
      <c r="FX202" s="308">
        <f>FW202*(VLOOKUP($FT$9,各项系数!$D$1:$F$143,2,0))</f>
        <v>8.284064198229088E-2</v>
      </c>
      <c r="FY202" s="305">
        <f>IF($BK202&lt;&gt;$FY$9,0,各项系数!$F$76/4*($MS202^2-$MQ202^2)*10^-2*(VLOOKUP($FY$9,各项系数!$D$1:$F$143,3,0))*10^-3*10^2)*各项系数!$J$4</f>
        <v>0</v>
      </c>
      <c r="FZ202" s="306">
        <v>1</v>
      </c>
      <c r="GA202" s="307">
        <f t="shared" si="902"/>
        <v>0</v>
      </c>
      <c r="GB202" s="308">
        <f>GA202*(VLOOKUP($FY$9,各项系数!$D$1:$F$143,2,0))</f>
        <v>0</v>
      </c>
      <c r="GC202" s="305">
        <f>IF($BK202&lt;&gt;$GC$9,0,各项系数!$F$76/4*($MS202^2-$MQ202^2)*10^-2*(VLOOKUP($GC$9,各项系数!$D$1:$F$143,3,0))*10^-3*10^2)*各项系数!$J$4</f>
        <v>2.6606047993668991E-3</v>
      </c>
      <c r="GD202" s="306">
        <v>1</v>
      </c>
      <c r="GE202" s="307">
        <f t="shared" si="903"/>
        <v>2.6606047993668991E-3</v>
      </c>
      <c r="GF202" s="308">
        <f>GE202*(VLOOKUP($GC$9,各项系数!$D$1:$F$143,2,0))</f>
        <v>3.4321801911832997E-2</v>
      </c>
      <c r="GG202" s="305">
        <f>IF($BK202&lt;&gt;$GG$9,0,各项系数!$F$76/4*($MS202^2-$MQ202^2)*10^-2*(VLOOKUP($GG$9,各项系数!$D$1:$F$143,3,0))*10^-3*10^2)*各项系数!$J$4</f>
        <v>0</v>
      </c>
      <c r="GH202" s="306">
        <v>1</v>
      </c>
      <c r="GI202" s="307">
        <f t="shared" si="904"/>
        <v>0</v>
      </c>
      <c r="GJ202" s="308">
        <f>GI202*(VLOOKUP($GG$9,各项系数!$D$1:$F$143,2,0))</f>
        <v>0</v>
      </c>
      <c r="GK202" s="305">
        <f>IF($BK202&lt;&gt;$GK$9,0,各项系数!$F$76/4*($MS202^2-$MQ202^2)*10^-2*(VLOOKUP($GK$9,各项系数!$D$1:$F$143,3,0))*10^-3*10^2)*各项系数!$J$4</f>
        <v>0</v>
      </c>
      <c r="GL202" s="306">
        <v>1</v>
      </c>
      <c r="GM202" s="307">
        <f t="shared" si="905"/>
        <v>0</v>
      </c>
      <c r="GN202" s="308">
        <f>GM202*(VLOOKUP($GK$9,各项系数!$D$1:$F$143,2,0))</f>
        <v>0</v>
      </c>
      <c r="GO202" s="307">
        <f t="shared" si="906"/>
        <v>2.6606047993668991E-3</v>
      </c>
      <c r="GP202" s="307">
        <f t="shared" si="907"/>
        <v>3.4321801911832997E-2</v>
      </c>
      <c r="GQ202" s="316">
        <f>各项系数!$F$76/4*($MU202^2-$MS202^2)*10^-2*(VLOOKUP($S202,各项系数!$D$1:$F$143,3,0))*10^-3*10^2*各项系数!$J$4</f>
        <v>0.15338218156121994</v>
      </c>
      <c r="GR202" s="306">
        <v>1</v>
      </c>
      <c r="GS202" s="307">
        <f t="shared" si="908"/>
        <v>0.15338218156121994</v>
      </c>
      <c r="GT202" s="307">
        <f t="shared" si="909"/>
        <v>1</v>
      </c>
      <c r="GU202" s="307">
        <f>ROUND($GS202*(VLOOKUP($S202,各项系数!$D$1:$F$143,2,0))+$E$3*GS202,GT202)</f>
        <v>0.9</v>
      </c>
      <c r="GV202" s="315">
        <f>各项系数!$F$76/4*($MT202^2-$MS202^2)*10^-2*(VLOOKUP($GV$9,各项系数!$D$1:$F$143,3,0))*10^-3*10^2*各项系数!$J$4*PI()/4*R202</f>
        <v>1.3881571462208354E-2</v>
      </c>
      <c r="GW202" s="306">
        <v>1</v>
      </c>
      <c r="GX202" s="307">
        <f t="shared" si="910"/>
        <v>1.3881571462208354E-2</v>
      </c>
      <c r="GY202" s="307">
        <f>$GX202*(VLOOKUP($GV$9,各项系数!$D$1:$F$143,2,0))</f>
        <v>0.93700607369906386</v>
      </c>
      <c r="GZ202" s="316">
        <f>各项系数!$F$76/4*($MV202^2-$MS202^2)*10^-2*(VLOOKUP($GZ$9,各项系数!$D$1:$F$143,3,0))*10^-3*10^2*各项系数!$J$4</f>
        <v>9.5111561104730749E-2</v>
      </c>
      <c r="HA202" s="306">
        <v>1</v>
      </c>
      <c r="HB202" s="307">
        <f t="shared" si="653"/>
        <v>9.5111561104730749E-2</v>
      </c>
      <c r="HC202" s="307">
        <f>HB202*(VLOOKUP($GZ$9,各项系数!$D$1:$F$143,2,0))</f>
        <v>1.6168965387804228</v>
      </c>
      <c r="HD202" s="316">
        <f>各项系数!$F$76/4*($MW202^2-$MT202^2)*10^-2*(VLOOKUP($HD$9,各项系数!$D$1:$F$143,3,0))*10^-3*10^2*各项系数!$J$4</f>
        <v>9.6416930551409138E-2</v>
      </c>
      <c r="HE202" s="306">
        <v>1</v>
      </c>
      <c r="HF202" s="307">
        <f t="shared" si="654"/>
        <v>9.6416930551409138E-2</v>
      </c>
      <c r="HG202" s="307">
        <f>HF202*(VLOOKUP($HD$9,各项系数!$D$1:$F$143,2,0))</f>
        <v>1.6390878193739553</v>
      </c>
      <c r="HH202" s="316">
        <f>各项系数!$F$76/4*($MV202^2-$MS202^2)*10^-2*(VLOOKUP($HH$9,各项系数!$D$1:$F$143,3,0))*10^-3*10^2*各项系数!$J$4</f>
        <v>9.5111561104730749E-2</v>
      </c>
      <c r="HI202" s="307">
        <v>1</v>
      </c>
      <c r="HJ202" s="307">
        <f t="shared" si="655"/>
        <v>9.5111561104730749E-2</v>
      </c>
      <c r="HK202" s="307">
        <f>HJ202*(VLOOKUP($HH$9,各项系数!$D$1:$F$143,2,0))</f>
        <v>1.6168965387804228</v>
      </c>
      <c r="HL202" s="316">
        <f>各项系数!$F$76/4*($MW202^2-$MT202^2)*10^-2*(VLOOKUP($HL$9,各项系数!$D$1:$F$143,3,0))*10^-3*10^2*各项系数!$J$4</f>
        <v>9.6416930551409138E-2</v>
      </c>
      <c r="HM202" s="307">
        <v>1</v>
      </c>
      <c r="HN202" s="307">
        <f t="shared" si="605"/>
        <v>9.6416930551409138E-2</v>
      </c>
      <c r="HO202" s="307">
        <f>HN202*(VLOOKUP($HL$9,各项系数!$D$1:$F$143,2,0))</f>
        <v>1.6390878193739553</v>
      </c>
      <c r="HP202" s="316">
        <f>各项系数!$F$76/4*($MV202^2-$MS202^2)*10^-2*(VLOOKUP(AN202,各项系数!$D$1:$F$143,3,0))*10^-3*10^2*各项系数!$J$4</f>
        <v>9.642344470617531E-2</v>
      </c>
      <c r="HQ202" s="306">
        <v>1</v>
      </c>
      <c r="HR202" s="307">
        <f t="shared" si="911"/>
        <v>9.642344470617531E-2</v>
      </c>
      <c r="HS202" s="307">
        <f>HR202*(VLOOKUP(AN202,各项系数!$D$1:$F$143,2,0))</f>
        <v>0.9642344470617531</v>
      </c>
      <c r="HT202" s="316">
        <f>各项系数!$F$76/4*($MW202^2-$MT202^2)*10^-2*(VLOOKUP(AN202,各项系数!$D$1:$F$143,3,0))*10^-3*10^2*各项系数!$J$4</f>
        <v>9.7746819248669972E-2</v>
      </c>
      <c r="HU202" s="306">
        <v>1</v>
      </c>
      <c r="HV202" s="307">
        <f t="shared" si="912"/>
        <v>9.7746819248669972E-2</v>
      </c>
      <c r="HW202" s="307">
        <f>HV202*(VLOOKUP(AN202,各项系数!$D$1:$F$143,2,0))</f>
        <v>0.97746819248669969</v>
      </c>
      <c r="HX202" s="316">
        <f>各项系数!$F$76/4*($MV202^2-$MS202^2)*10^-2*(VLOOKUP($HX$9,各项系数!$D$1:$F$143,3,0))*10^-3*10^2*各项系数!$J$4</f>
        <v>9.642344470617531E-2</v>
      </c>
      <c r="HY202" s="307">
        <v>1</v>
      </c>
      <c r="HZ202" s="307">
        <f t="shared" si="913"/>
        <v>9.642344470617531E-2</v>
      </c>
      <c r="IA202" s="307">
        <f>HZ202*(VLOOKUP($HX$9,各项系数!$D$1:$F$143,2,0))</f>
        <v>1.0606578917679284</v>
      </c>
      <c r="IB202" s="316">
        <f>各项系数!$F$76/4*($MW202^2-$MT202^2)*10^-2*(VLOOKUP($IB$9,各项系数!$D$1:$F$143,3,0))*10^-3*10^2*各项系数!$J$4</f>
        <v>9.7746819248669972E-2</v>
      </c>
      <c r="IC202" s="307">
        <v>1</v>
      </c>
      <c r="ID202" s="307">
        <f t="shared" si="914"/>
        <v>9.7746819248669972E-2</v>
      </c>
      <c r="IE202" s="307">
        <f>ID202*(VLOOKUP($IB$9,各项系数!$D$1:$F$143,2,0))</f>
        <v>1.0752150117353696</v>
      </c>
      <c r="IF202" s="305"/>
      <c r="IG202" s="316">
        <f t="shared" si="656"/>
        <v>1.7483821214397153E-2</v>
      </c>
      <c r="IH202" s="306">
        <v>1</v>
      </c>
      <c r="II202" s="307">
        <f t="shared" si="915"/>
        <v>1.7483821214397153E-2</v>
      </c>
      <c r="IJ202" s="307">
        <f>II202*(VLOOKUP($IG$8,各项系数!$D$1:$F$143,2,0))</f>
        <v>0.43709553035992882</v>
      </c>
      <c r="IK202" s="316">
        <f>(各项系数!$F$76/4*($MX202^2-$MK202^2)*$EG202)*10^-2*(VLOOKUP($IG$8,各项系数!$D$1:$F$143,3,0))*10^-3*10^2*各项系数!$J$4</f>
        <v>1.7483821214397153E-2</v>
      </c>
      <c r="IL202" s="306">
        <f>IK202*(VLOOKUP($IG$8,各项系数!$D$1:$F$143,2,0))</f>
        <v>0.43709553035992882</v>
      </c>
      <c r="IM202" s="307">
        <f>(各项系数!$F$76/4*(($MM202+3*$X202)^2-MM202^2)*$EO202)*10^-2*(VLOOKUP($IG$8,各项系数!$D$1:$F$143,3,0))*10^-3*10^2*各项系数!$J$4</f>
        <v>0</v>
      </c>
      <c r="IN202" s="306">
        <f>IM202*(VLOOKUP($IG$8,各项系数!$D$1:$F$143,2,0))</f>
        <v>0</v>
      </c>
      <c r="IO202" s="316">
        <f>各项系数!$F$76/4*($MZ202^2-$MX202^2)*10^-2*(VLOOKUP(L202,各项系数!$D$1:$F$143,3,0))*10^-3*10^2*$ES202*各项系数!$J$4</f>
        <v>4.19514168023742E-2</v>
      </c>
      <c r="IP202" s="306">
        <v>1</v>
      </c>
      <c r="IQ202" s="307">
        <f t="shared" si="916"/>
        <v>4.19514168023742E-2</v>
      </c>
      <c r="IR202" s="308">
        <f>IQ202*(VLOOKUP(L202,各项系数!$D$1:$F$143,2,0))</f>
        <v>0.48244129322730328</v>
      </c>
      <c r="IS202" s="316">
        <f>IF($L202&lt;&gt;$IS$9,0,各项系数!$F$76/4*($MZ202^2-$MX202^2)*10^-2*各项系数!$F$12*10^-3*10^2)*$ES202*各项系数!$J$4</f>
        <v>0</v>
      </c>
      <c r="IT202" s="306">
        <v>1</v>
      </c>
      <c r="IU202" s="307">
        <f t="shared" si="917"/>
        <v>0</v>
      </c>
      <c r="IV202" s="308">
        <f>IU202*各项系数!$E$12</f>
        <v>0</v>
      </c>
      <c r="IW202" s="305">
        <f t="shared" si="918"/>
        <v>4.19514168023742E-2</v>
      </c>
      <c r="IX202" s="305">
        <f t="shared" si="919"/>
        <v>0.48244129322730328</v>
      </c>
      <c r="IY202" s="340">
        <f>各项系数!$F$76/4*($NB202^2-$MZ202^2*$EG202-$NA202^2*$EO202)*10^-2</f>
        <v>0.31513727395108126</v>
      </c>
      <c r="IZ202" s="288">
        <f t="shared" si="697"/>
        <v>1</v>
      </c>
      <c r="JA202" s="285">
        <f t="shared" si="606"/>
        <v>0.31513727395108126</v>
      </c>
      <c r="JB202" s="286">
        <f>IF($DE202&lt;&gt;$JB$9,0,$JA202*各项系数!$F$32*10^-3*10^2)*各项系数!$J$4</f>
        <v>0</v>
      </c>
      <c r="JC202" s="62">
        <v>1</v>
      </c>
      <c r="JD202" s="58">
        <f t="shared" si="920"/>
        <v>0</v>
      </c>
      <c r="JE202" s="263">
        <f>JD202*各项系数!$E$32</f>
        <v>0</v>
      </c>
      <c r="JF202" s="282">
        <f>IF($DE202&lt;&gt;$JF$9,0,$JA202*VLOOKUP($JF$9,各项系数!$D$4:$F$540,2,0)*10^-3*10^2)*各项系数!$J$4</f>
        <v>0.15678079379066293</v>
      </c>
      <c r="JG202" s="102">
        <v>1</v>
      </c>
      <c r="JH202" s="189">
        <f t="shared" si="607"/>
        <v>0.15678079379066293</v>
      </c>
      <c r="JI202" s="262">
        <f>JH202*VLOOKUP($JF$9,各项系数!$D$4:$F$540,3,0)</f>
        <v>0.18813695254879551</v>
      </c>
      <c r="JJ202" s="286">
        <f t="shared" si="921"/>
        <v>0.15678079379066293</v>
      </c>
      <c r="JK202" s="58">
        <f t="shared" si="922"/>
        <v>0.18813695254879551</v>
      </c>
      <c r="JL202" s="286">
        <f>IF($DF202&lt;&gt;$JL$9,0,各项系数!$F$76/4*($NE202^2-$NC202^2)*10^-2*各项系数!$F$39*10^-3*10^2)*各项系数!$J$4</f>
        <v>1.2853260851155919E-3</v>
      </c>
      <c r="JM202" s="62">
        <v>1</v>
      </c>
      <c r="JN202" s="58">
        <f t="shared" si="923"/>
        <v>1.2853260851155919E-3</v>
      </c>
      <c r="JO202" s="263">
        <f>JN202*各项系数!$E$39</f>
        <v>2.5706521702311837E-2</v>
      </c>
      <c r="JP202" s="286">
        <f>IF($DF202&lt;&gt;$JP$9,0,各项系数!$F$76/4*($NE202^2-$NC202^2)*10^-2*各项系数!$F$36*10^-3*10^2)*各项系数!$J$4</f>
        <v>0</v>
      </c>
      <c r="JQ202" s="62">
        <v>1</v>
      </c>
      <c r="JR202" s="58">
        <f t="shared" si="924"/>
        <v>0</v>
      </c>
      <c r="JS202" s="263">
        <f>JR202*各项系数!$E$36</f>
        <v>0</v>
      </c>
      <c r="JT202" s="286">
        <f>IF($DF202&lt;&gt;$JT$9,0,各项系数!$F$76/4*($NE202^2-$NC202^2)*10^-2*各项系数!$F$40*10^-3*10^2)*各项系数!$J$4</f>
        <v>0</v>
      </c>
      <c r="JU202" s="62">
        <v>1</v>
      </c>
      <c r="JV202" s="58">
        <f t="shared" si="925"/>
        <v>0</v>
      </c>
      <c r="JW202" s="263">
        <f>JV202*各项系数!$E$40</f>
        <v>0</v>
      </c>
      <c r="JX202" s="286">
        <f>IF($DF202&lt;&gt;$JX$9,0,各项系数!$F$76/4*($NE202^2-$NC202^2)*10^-2*各项系数!$F$38*10^-3*10^2)*各项系数!$J$4</f>
        <v>0</v>
      </c>
      <c r="JY202" s="62">
        <v>1</v>
      </c>
      <c r="JZ202" s="58">
        <f t="shared" si="926"/>
        <v>0</v>
      </c>
      <c r="KA202" s="263">
        <f>JZ202*各项系数!$E$38</f>
        <v>0</v>
      </c>
      <c r="KB202" s="286">
        <f>IF($DF202&lt;&gt;$KB$9,0,各项系数!$F$76/4*($NE202^2-$NC202^2)*10^-2*各项系数!$F$41*10^-3*10^2)*各项系数!$J$4</f>
        <v>0</v>
      </c>
      <c r="KC202" s="62">
        <v>1</v>
      </c>
      <c r="KD202" s="58">
        <f t="shared" si="927"/>
        <v>0</v>
      </c>
      <c r="KE202" s="263">
        <f>KD202*各项系数!$E$41</f>
        <v>0</v>
      </c>
      <c r="KF202" s="58">
        <f t="shared" si="928"/>
        <v>1.2853260851155919E-3</v>
      </c>
      <c r="KG202" s="58">
        <f t="shared" si="929"/>
        <v>2.5706521702311837E-2</v>
      </c>
      <c r="KH202" s="236">
        <f>各项系数!$F$76/4*($NG202^2-$NE202^2)*10^-2*各项系数!$F$44*10^-3*10^2*各项系数!$J$4*0.75*$U202</f>
        <v>0.53424246536889375</v>
      </c>
      <c r="KI202" s="62">
        <v>1</v>
      </c>
      <c r="KJ202" s="58">
        <f t="shared" si="930"/>
        <v>0.53424246536889375</v>
      </c>
      <c r="KK202" s="58">
        <f>ROUND(KJ202*各项系数!$E$43,GT202)</f>
        <v>3.1</v>
      </c>
      <c r="KL202" s="235">
        <f>各项系数!$F$76/4*($NF202^2-$NE202^2)*10^-2*各项系数!$F$46*10^-3*10^2*各项系数!$J$4*PI()/4*R202</f>
        <v>1.6233838684444127E-2</v>
      </c>
      <c r="KM202" s="62">
        <v>1</v>
      </c>
      <c r="KN202" s="58">
        <f t="shared" si="931"/>
        <v>1.6233838684444127E-2</v>
      </c>
      <c r="KO202" s="58">
        <f>KN202*各项系数!$E$46</f>
        <v>1.0957841111999786</v>
      </c>
      <c r="KP202" s="236">
        <f>各项系数!$F$76/4*($NH202^2-$NE202^2)*10^-2*(VLOOKUP($KP$9,各项系数!$D$1:$F$143,3,0))*10^-3*10^2*各项系数!$J$4</f>
        <v>0.10885057453102094</v>
      </c>
      <c r="KQ202" s="62">
        <v>1</v>
      </c>
      <c r="KR202" s="58">
        <f t="shared" si="657"/>
        <v>0.10885057453102094</v>
      </c>
      <c r="KS202" s="58">
        <f>KR202*(VLOOKUP($KP$9,各项系数!$D$1:$F$143,2,0))</f>
        <v>1.8504597670273559</v>
      </c>
      <c r="KT202" s="236">
        <f>各项系数!$F$76/4*($NI202^2-$NF202^2)*10^-2*(VLOOKUP($KT$9,各项系数!$D$1:$F$143,3,0))*10^-3*10^2*各项系数!$J$4</f>
        <v>0.11015594397769933</v>
      </c>
      <c r="KU202" s="62">
        <v>1</v>
      </c>
      <c r="KV202" s="58">
        <f t="shared" si="658"/>
        <v>0.11015594397769933</v>
      </c>
      <c r="KW202" s="58">
        <f>KV202*(VLOOKUP($KT$9,各项系数!$D$1:$F$143,2,0))</f>
        <v>1.8726510476208886</v>
      </c>
      <c r="KX202" s="58">
        <f>各项系数!$F$76/4*($NH202^2-$NE202^2)*10^-2*(VLOOKUP($KX$9,各项系数!$D$1:$F$143,3,0))*10^-3*10^2*各项系数!$J$4</f>
        <v>0.10885057453102094</v>
      </c>
      <c r="KY202" s="354">
        <v>1</v>
      </c>
      <c r="KZ202" s="58">
        <f t="shared" si="659"/>
        <v>0.10885057453102094</v>
      </c>
      <c r="LA202" s="58">
        <f>KZ202*(VLOOKUP($KX$9,各项系数!$D$1:$F$143,2,0))</f>
        <v>1.8504597670273559</v>
      </c>
      <c r="LB202" s="58">
        <f>各项系数!$F$76/4*($NI202^2-$NF202^2)*10^-2*(VLOOKUP($LB$9,各项系数!$D$1:$F$143,3,0))*10^-3*10^2*各项系数!$J$4</f>
        <v>0.11015594397769933</v>
      </c>
      <c r="LC202" s="354">
        <v>1</v>
      </c>
      <c r="LD202" s="58">
        <f t="shared" si="660"/>
        <v>0.11015594397769933</v>
      </c>
      <c r="LE202" s="58">
        <f>LD202*(VLOOKUP($LB$9,各项系数!$D$1:$F$143,2,0))</f>
        <v>1.8726510476208886</v>
      </c>
      <c r="LF202" s="236">
        <f>各项系数!$F$76/4*($NH202^2-$NE202^2)*10^-2*(VLOOKUP(AN202,各项系数!$D$1:$F$143,3,0))*10^-3*10^2*各项系数!$J$4</f>
        <v>0.11035196176593158</v>
      </c>
      <c r="LG202" s="62">
        <v>1</v>
      </c>
      <c r="LH202" s="58">
        <f t="shared" si="932"/>
        <v>0.11035196176593158</v>
      </c>
      <c r="LI202" s="58">
        <f>LH202*(VLOOKUP(AN202,各项系数!$D$1:$F$143,2,0))</f>
        <v>1.1035196176593158</v>
      </c>
      <c r="LJ202" s="236">
        <f>各项系数!$F$76/4*($NI202^2-$NF202^2)*10^-2*(VLOOKUP(AN202,各项系数!$D$1:$F$143,3,0))*10^-3*10^2*各项系数!$J$4</f>
        <v>0.1116753363084262</v>
      </c>
      <c r="LK202" s="62">
        <v>1</v>
      </c>
      <c r="LL202" s="58">
        <f t="shared" si="933"/>
        <v>0.1116753363084262</v>
      </c>
      <c r="LM202" s="58">
        <f>LL202*(VLOOKUP(AN202,各项系数!$D$1:$F$143,2,0))</f>
        <v>1.1167533630842621</v>
      </c>
      <c r="LN202" s="58">
        <f>各项系数!$F$76/4*($NH202^2-$NE202^2)*10^-2*(VLOOKUP($LN$9,各项系数!$D$1:$F$143,3,0))*10^-3*10^2*各项系数!$J$4</f>
        <v>0.11035196176593158</v>
      </c>
      <c r="LO202" s="354">
        <v>1</v>
      </c>
      <c r="LP202" s="58">
        <f t="shared" si="934"/>
        <v>0.11035196176593158</v>
      </c>
      <c r="LQ202" s="58">
        <f>LP202*(VLOOKUP($LN$9,各项系数!$D$1:$F$143,2,0))</f>
        <v>1.2138715794252475</v>
      </c>
      <c r="LR202" s="58">
        <f>各项系数!$F$76/4*($NI202^2-$NF202^2)*10^-2*(VLOOKUP($LR$9,各项系数!$D$1:$F$143,3,0))*10^-3*10^2*各项系数!$J$4</f>
        <v>0.1116753363084262</v>
      </c>
      <c r="LS202" s="354">
        <v>1</v>
      </c>
      <c r="LT202" s="58">
        <f t="shared" si="935"/>
        <v>0.1116753363084262</v>
      </c>
      <c r="LU202" s="58">
        <f>LT202*(VLOOKUP($LR$9,各项系数!$D$1:$F$143,2,0))</f>
        <v>1.2284286993926883</v>
      </c>
      <c r="LV202" s="366">
        <f t="shared" si="661"/>
        <v>18.763513660000001</v>
      </c>
      <c r="LW202" s="366">
        <f t="shared" si="662"/>
        <v>18.763513660000001</v>
      </c>
      <c r="LX202" s="366">
        <f t="shared" si="663"/>
        <v>4.8877855507469237</v>
      </c>
      <c r="LY202" s="366">
        <f t="shared" si="664"/>
        <v>0</v>
      </c>
      <c r="LZ202" s="374">
        <f t="shared" si="608"/>
        <v>1</v>
      </c>
      <c r="MA202" s="375">
        <f t="shared" si="609"/>
        <v>18.763513660000001</v>
      </c>
      <c r="MB202" s="366">
        <f t="shared" si="665"/>
        <v>2.1858841500000001</v>
      </c>
      <c r="MC202" s="366">
        <f t="shared" si="666"/>
        <v>0</v>
      </c>
      <c r="MD202" s="366">
        <f t="shared" si="667"/>
        <v>0</v>
      </c>
      <c r="ME202" s="366">
        <f t="shared" si="668"/>
        <v>0</v>
      </c>
      <c r="MF202" s="366">
        <f t="shared" si="669"/>
        <v>0</v>
      </c>
      <c r="MG202" s="378">
        <f t="shared" si="670"/>
        <v>1</v>
      </c>
      <c r="MH202" s="375">
        <f t="shared" si="610"/>
        <v>0</v>
      </c>
      <c r="MI202" s="366">
        <f t="shared" si="671"/>
        <v>0</v>
      </c>
      <c r="MJ202" s="58">
        <f t="shared" si="611"/>
        <v>2.1858841500000001</v>
      </c>
      <c r="MK202" s="58">
        <f t="shared" si="672"/>
        <v>2.1858841500000001</v>
      </c>
      <c r="ML202" s="58">
        <f t="shared" si="936"/>
        <v>0</v>
      </c>
      <c r="MM202" s="58">
        <f t="shared" si="612"/>
        <v>0</v>
      </c>
      <c r="MN202" s="58">
        <f t="shared" si="613"/>
        <v>3.58588415</v>
      </c>
      <c r="MO202" s="58">
        <f t="shared" si="673"/>
        <v>0</v>
      </c>
      <c r="MP202" s="58">
        <f t="shared" si="674"/>
        <v>9.6818872099999993</v>
      </c>
      <c r="MQ202" s="58">
        <f t="shared" si="937"/>
        <v>9.6818872099999993</v>
      </c>
      <c r="MR202" s="245">
        <f t="shared" si="675"/>
        <v>9.6818872099999993</v>
      </c>
      <c r="MS202" s="380">
        <f t="shared" si="614"/>
        <v>9.8578872099999995</v>
      </c>
      <c r="MT202" s="381">
        <f t="shared" si="615"/>
        <v>10.01788721</v>
      </c>
      <c r="MU202" s="381">
        <f t="shared" si="616"/>
        <v>11.057887210000001</v>
      </c>
      <c r="MV202" s="381">
        <f t="shared" si="617"/>
        <v>13.457887209999999</v>
      </c>
      <c r="MW202" s="381">
        <f t="shared" si="618"/>
        <v>13.617887209999999</v>
      </c>
      <c r="MX202" s="245">
        <f t="shared" si="619"/>
        <v>2.7858841500000002</v>
      </c>
      <c r="MY202" s="245">
        <f t="shared" si="620"/>
        <v>0</v>
      </c>
      <c r="MZ202" s="58">
        <f t="shared" si="621"/>
        <v>4.1858841499999997</v>
      </c>
      <c r="NA202" s="58">
        <f t="shared" si="622"/>
        <v>0</v>
      </c>
      <c r="NB202" s="58">
        <f t="shared" si="676"/>
        <v>11.30188721</v>
      </c>
      <c r="NC202" s="245">
        <f t="shared" si="938"/>
        <v>11.30188721</v>
      </c>
      <c r="ND202" s="245">
        <f t="shared" si="677"/>
        <v>11.30188721</v>
      </c>
      <c r="NE202" s="403">
        <f t="shared" si="678"/>
        <v>11.541887210000001</v>
      </c>
      <c r="NF202" s="381">
        <f t="shared" si="623"/>
        <v>11.701887210000001</v>
      </c>
      <c r="NG202" s="139">
        <f t="shared" si="624"/>
        <v>12.741887210000002</v>
      </c>
      <c r="NH202" s="245">
        <f t="shared" si="625"/>
        <v>15.14188721</v>
      </c>
      <c r="NI202" s="381">
        <f t="shared" si="626"/>
        <v>15.30188721</v>
      </c>
      <c r="NK202" s="20">
        <f t="shared" si="627"/>
        <v>0.32740181778245125</v>
      </c>
      <c r="NL202" s="20">
        <f t="shared" si="628"/>
        <v>12.352069712089271</v>
      </c>
      <c r="NM202" s="20">
        <f t="shared" si="629"/>
        <v>0.32740181778245125</v>
      </c>
      <c r="NN202" s="20">
        <f t="shared" si="630"/>
        <v>12.448493156795447</v>
      </c>
      <c r="NO202" s="20">
        <f t="shared" si="631"/>
        <v>0.49382691744022944</v>
      </c>
      <c r="NP202" s="20">
        <f t="shared" si="632"/>
        <v>13.108170570202148</v>
      </c>
      <c r="NQ202" s="20">
        <f t="shared" si="633"/>
        <v>0.49382691744022944</v>
      </c>
      <c r="NR202" s="20">
        <f t="shared" si="634"/>
        <v>13.21852253196808</v>
      </c>
      <c r="NS202" s="20">
        <f t="shared" si="635"/>
        <v>0.34128338924465962</v>
      </c>
      <c r="NT202" s="20">
        <f t="shared" si="636"/>
        <v>0.34128338924465962</v>
      </c>
      <c r="NU202" s="20">
        <f t="shared" si="637"/>
        <v>0.51006075612467361</v>
      </c>
      <c r="NV202" s="20">
        <f t="shared" si="638"/>
        <v>0.51006075612467361</v>
      </c>
      <c r="NW202" s="10">
        <f t="shared" si="639"/>
        <v>0.48078399934367122</v>
      </c>
      <c r="NX202" s="10">
        <f>各项系数!$M$9*NK202</f>
        <v>9.8220545334735371E-2</v>
      </c>
      <c r="NY202" s="10">
        <f t="shared" si="640"/>
        <v>0.34128338924465962</v>
      </c>
    </row>
    <row r="203" spans="1:389" ht="15" hidden="1" customHeight="1">
      <c r="A203" s="69"/>
      <c r="B203" s="70"/>
      <c r="C203" s="69"/>
      <c r="D203" s="69" t="s">
        <v>186</v>
      </c>
      <c r="E203" s="54">
        <f t="shared" si="885"/>
        <v>11.30512723</v>
      </c>
      <c r="F203" s="16">
        <f>$F$19</f>
        <v>267.425148012862</v>
      </c>
      <c r="G203" s="16"/>
      <c r="H203" s="16"/>
      <c r="I203" s="145">
        <v>0</v>
      </c>
      <c r="J203" s="16"/>
      <c r="K203" s="16"/>
      <c r="L203" s="97" t="s">
        <v>469</v>
      </c>
      <c r="M203" s="103">
        <f t="shared" si="582"/>
        <v>0.7</v>
      </c>
      <c r="N203" s="103">
        <f t="shared" si="804"/>
        <v>0</v>
      </c>
      <c r="O203" s="53">
        <f t="shared" si="939"/>
        <v>0.08</v>
      </c>
      <c r="P203" s="99">
        <v>0.1</v>
      </c>
      <c r="Q203" s="133">
        <f t="shared" si="882"/>
        <v>0.1</v>
      </c>
      <c r="R203" s="406">
        <v>0.8</v>
      </c>
      <c r="S203" s="142" t="str">
        <f>各项系数!$D$43</f>
        <v>钢带</v>
      </c>
      <c r="T203" s="102">
        <v>0.2</v>
      </c>
      <c r="U203" s="62">
        <v>4</v>
      </c>
      <c r="V203" s="143"/>
      <c r="W203" s="141">
        <f>$W$199</f>
        <v>1.5</v>
      </c>
      <c r="X203" s="135">
        <f t="shared" si="883"/>
        <v>0.2</v>
      </c>
      <c r="Y203" s="135"/>
      <c r="Z203" s="168"/>
      <c r="AA203" s="153">
        <v>1</v>
      </c>
      <c r="AB203" s="153">
        <f>PI()*EJ203*EJ203/4*EH203*(1-H203)*AA203*各项系数!$F$5*各项系数!$J$4*10^-7</f>
        <v>4.9684304271029656E-2</v>
      </c>
      <c r="AC203" s="153">
        <f t="shared" si="886"/>
        <v>267.425148012862</v>
      </c>
      <c r="AD203" s="153">
        <f t="shared" si="584"/>
        <v>5.6168699821977874</v>
      </c>
      <c r="AE203" s="153">
        <f>POWER(4*EU203/PI()/EG203/10^-7/EH203/(1-H203)/各项系数!$F$5/各项系数!$J$4,0.5)</f>
        <v>267.42514801286194</v>
      </c>
      <c r="AF203" s="69">
        <v>1</v>
      </c>
      <c r="AG203" s="69">
        <f>IF(EM203=0,0,PI()*ER203*ER203/4*EP203*(1-K203)*(1+AF203)*各项系数!$F$5*各项系数!$J$4*10^-7)</f>
        <v>0</v>
      </c>
      <c r="AH203" s="69">
        <f t="shared" si="887"/>
        <v>0</v>
      </c>
      <c r="AI203" s="69">
        <f t="shared" si="641"/>
        <v>0</v>
      </c>
      <c r="AJ203" s="69">
        <f>IF(OR(EP203="",EP203=0),0,POWER(4*EW203/PI()/EO203/10^-7/EP203/(1-K203)/各项系数!$F$5/各项系数!$J$4,0.5))</f>
        <v>0</v>
      </c>
      <c r="AK203" s="69" t="str">
        <f t="shared" si="585"/>
        <v>√</v>
      </c>
      <c r="AL203" s="69">
        <f t="shared" si="888"/>
        <v>7.7358403350304989</v>
      </c>
      <c r="AM203" s="188">
        <f t="shared" si="889"/>
        <v>6</v>
      </c>
      <c r="AN203" s="97" t="s">
        <v>486</v>
      </c>
      <c r="AO203" s="196">
        <f>AP203+各项系数!$M$9*$NK203</f>
        <v>7.584157191206371</v>
      </c>
      <c r="AP203" s="196">
        <f>AQ203*(1+$BI203+(VLOOKUP($AM203,$A$12:$B$323,2,0))+各项系数!$J$6+各项系数!$M$5)*(1+$E$2)</f>
        <v>7.5281337628935763</v>
      </c>
      <c r="AQ203" s="197">
        <f>AR203+各项系数!$L$9*$NK203</f>
        <v>7.6057120255542294</v>
      </c>
      <c r="AR203" s="197">
        <f>AS203*(1+$BJ203+各项系数!$J$5+各项系数!$L$5)</f>
        <v>7.5496885972414347</v>
      </c>
      <c r="AS203" s="197">
        <f t="shared" si="642"/>
        <v>7.4016554874916025</v>
      </c>
      <c r="AT203" s="196">
        <f>AU203+各项系数!$M$9*$NM203</f>
        <v>8.0459935791608164</v>
      </c>
      <c r="AU203" s="196">
        <f>AV203*(1+$BI203+(VLOOKUP($AM203,$A$12:$B$323,2,0))+各项系数!$J$6+各项系数!$M$5)*(1+$E$2)</f>
        <v>7.9899701508480216</v>
      </c>
      <c r="AV203" s="197">
        <f>AW203+各项系数!$L$9*$NM203</f>
        <v>8.0723076892786647</v>
      </c>
      <c r="AW203" s="197">
        <f>AX203*(1+$BJ203+各项系数!$J$5+各项系数!$L$5)</f>
        <v>8.01628426096587</v>
      </c>
      <c r="AX203" s="197">
        <f t="shared" si="643"/>
        <v>7.8591022166332065</v>
      </c>
      <c r="AY203" s="196">
        <f>AZ203+各项系数!$M$9*$NS203</f>
        <v>8.4004716557371157</v>
      </c>
      <c r="AZ203" s="196">
        <f>BA203*(1+$BI203+(VLOOKUP($AM203,$A$12:$B$214,2,0))+各项系数!$J$6+各项系数!$M$5)*(1+$E$2)</f>
        <v>8.3409344400245455</v>
      </c>
      <c r="BA203" s="197">
        <f>BB203+各项系数!$L$9*$NS203</f>
        <v>8.4268887048136456</v>
      </c>
      <c r="BB203" s="197">
        <f>BC203*(1+$BJ203+各项系数!$J$5+各项系数!$L$5)</f>
        <v>8.3673514891010754</v>
      </c>
      <c r="BC203" s="199">
        <f t="shared" si="644"/>
        <v>8.2032857736285045</v>
      </c>
      <c r="BD203" s="196">
        <f>BE203+各项系数!$M$9*$NS203</f>
        <v>8.8698442867549474</v>
      </c>
      <c r="BE203" s="196">
        <f>BF203*(1+$BI203+(VLOOKUP($AM203,$A$12:$B$214,2,0))+各项系数!$J$6+各项系数!$M$5)*(1+$E$2)</f>
        <v>8.8103070710423772</v>
      </c>
      <c r="BF203" s="197">
        <f>BG203+各项系数!$L$9*$NS203</f>
        <v>8.9010982734313782</v>
      </c>
      <c r="BG203" s="197">
        <f>BH203*(1+$BJ203+各项系数!$J$5+各项系数!$L$5)</f>
        <v>8.841561057718808</v>
      </c>
      <c r="BH203" s="199">
        <f t="shared" si="645"/>
        <v>8.6681971154105959</v>
      </c>
      <c r="BI203" s="213"/>
      <c r="BJ203" s="411">
        <v>0</v>
      </c>
      <c r="BK203" s="102" t="s">
        <v>514</v>
      </c>
      <c r="BL203" s="196">
        <f>BM203+各项系数!$M$9*$NM203</f>
        <v>7.7263188141711963</v>
      </c>
      <c r="BM203" s="196">
        <f>BN203*(1+$CF203+(VLOOKUP($AM203,$A$12:$B$323,2,0))+各项系数!$J$6+各项系数!$M$5)*(1+$E$2)</f>
        <v>7.6702953858584015</v>
      </c>
      <c r="BN203" s="197">
        <f>BO203+各项系数!$L$9*$NM203</f>
        <v>7.7493386399862612</v>
      </c>
      <c r="BO203" s="197">
        <f>BP203*(1+$CG203+各项系数!$J$5+各项系数!$L$5)</f>
        <v>7.6933152116734664</v>
      </c>
      <c r="BP203" s="197">
        <f t="shared" si="646"/>
        <v>7.4692380695858898</v>
      </c>
      <c r="BQ203" s="196">
        <f>BR203+各项系数!$M$9*$NM203</f>
        <v>8.1237829729010524</v>
      </c>
      <c r="BR203" s="196">
        <f>BS203*(1+$CF203+(VLOOKUP($AM203,$A$12:$B$323,2,0))+各项系数!$J$6+各项系数!$M$5)*(1+$E$2)</f>
        <v>8.0677595445882577</v>
      </c>
      <c r="BS203" s="197">
        <f>BT203+各项系数!$L$9*$NM203</f>
        <v>8.1508987114449969</v>
      </c>
      <c r="BT203" s="197">
        <f>BU203*(1+$CG203+各项系数!$J$5+各项系数!$L$5)</f>
        <v>8.0948752831322022</v>
      </c>
      <c r="BU203" s="197">
        <f t="shared" si="647"/>
        <v>7.8591022166332065</v>
      </c>
      <c r="BV203" s="196">
        <f>BW203+各项系数!$M$9*$NT203</f>
        <v>8.5009413059428027</v>
      </c>
      <c r="BW203" s="196">
        <f>BX203*(1+$CF203+(VLOOKUP($AM203,$A$12:$B$214,2,0))+各项系数!$J$6+各项系数!$M$5)*(1+$E$2)</f>
        <v>8.4414040902302325</v>
      </c>
      <c r="BX203" s="197">
        <f>BY203+各项系数!$L$9*$NT$12</f>
        <v>8.5283937060317569</v>
      </c>
      <c r="BY203" s="197">
        <f>BZ203*(1+$CG203+各项系数!$J$5+各项系数!$L$5)</f>
        <v>8.5201303028767832</v>
      </c>
      <c r="BZ203" s="199">
        <f t="shared" si="586"/>
        <v>8.2719711678415369</v>
      </c>
      <c r="CA203" s="196">
        <f>CB203+各项系数!$M$9*$NT203</f>
        <v>8.9048912821337751</v>
      </c>
      <c r="CB203" s="196">
        <f>CC203*(1+$CF203+(VLOOKUP($AM203,$A$12:$B$214,2,0))+各项系数!$J$6+各项系数!$M$5)*(1+$E$2)</f>
        <v>8.8453540664212049</v>
      </c>
      <c r="CC203" s="197">
        <f>CD203+各项系数!$L$9*$NT$12</f>
        <v>8.9365064320278886</v>
      </c>
      <c r="CD203" s="197">
        <f>CE203*(1+$CG203+各项系数!$J$5+各项系数!$L$5)</f>
        <v>8.9282430288729149</v>
      </c>
      <c r="CE203" s="199">
        <f t="shared" si="648"/>
        <v>8.6681971154105959</v>
      </c>
      <c r="CF203" s="213">
        <f t="shared" si="884"/>
        <v>0</v>
      </c>
      <c r="CG203" s="213">
        <f t="shared" si="587"/>
        <v>0.01</v>
      </c>
      <c r="CH203" s="102"/>
      <c r="CI203" s="196">
        <f>CJ203+各项系数!$M$9*$NO203</f>
        <v>7.9872903239835837</v>
      </c>
      <c r="CJ203" s="196">
        <f>CK203*(1+$DC203+(VLOOKUP($AM203,$A$12:$B$323,2,0))+各项系数!$J$6+各项系数!$M$5)*(1+$E$2)+各项系数!$M$9*$NK203</f>
        <v>7.9234967009895207</v>
      </c>
      <c r="CK203" s="197">
        <f>CL203+各项系数!$L$9*$NO203</f>
        <v>7.9485484670405393</v>
      </c>
      <c r="CL203" s="197">
        <f>CM203*(1+$DD203+各项系数!$J$5+各项系数!$L$5)</f>
        <v>7.8847548440464763</v>
      </c>
      <c r="CM203" s="197">
        <f t="shared" si="588"/>
        <v>7.7301518078887019</v>
      </c>
      <c r="CN203" s="196">
        <f>CO203+各项系数!$M$9*$NO203</f>
        <v>8.3613670896670271</v>
      </c>
      <c r="CO203" s="196">
        <f>CP203*(1+$DC203+(VLOOKUP($AM203,$A$12:$B$323,2,0))+各项系数!$J$6+各项系数!$M$5)*(1+$E$2)+各项系数!$M$9*$NK203</f>
        <v>8.297573466672965</v>
      </c>
      <c r="CP203" s="197">
        <f>CQ203+各项系数!$L$9*$NO203</f>
        <v>8.3264801357447666</v>
      </c>
      <c r="CQ203" s="197">
        <f>CR203*(1+$DD203+各项系数!$J$5+各项系数!$L$5)</f>
        <v>8.2626865127507045</v>
      </c>
      <c r="CR203" s="197">
        <f t="shared" si="589"/>
        <v>8.1006730517163774</v>
      </c>
      <c r="CS203" s="196">
        <f>CT203+各项系数!$M$9*$NU203</f>
        <v>8.86868276417791</v>
      </c>
      <c r="CT203" s="196">
        <f t="shared" si="590"/>
        <v>8.8008468703221112</v>
      </c>
      <c r="CU203" s="197">
        <f>CV203+各项系数!$L$9*$NU203</f>
        <v>8.8915405842817865</v>
      </c>
      <c r="CV203" s="197">
        <f>CW203*(1+$DD203+各项系数!$J$5+各项系数!$L$5)</f>
        <v>8.8237046904259877</v>
      </c>
      <c r="CW203" s="199">
        <f t="shared" si="591"/>
        <v>8.6506908729666545</v>
      </c>
      <c r="CX203" s="196">
        <f>CY203+各项系数!$M$9*$NU203</f>
        <v>9.3974573163927833</v>
      </c>
      <c r="CY203" s="196">
        <f t="shared" si="592"/>
        <v>9.3296214225369845</v>
      </c>
      <c r="CZ203" s="197">
        <f>DA203+各项系数!$L$9*$NU203</f>
        <v>9.4257642175560559</v>
      </c>
      <c r="DA203" s="197">
        <f>DB203*(1+$DD203+各项系数!$J$5+各项系数!$L$5)</f>
        <v>9.3579283237002571</v>
      </c>
      <c r="DB203" s="199">
        <f t="shared" si="593"/>
        <v>9.1744395330394681</v>
      </c>
      <c r="DC203" s="213">
        <f>(BI203+$DC$2)-BI203/1.3</f>
        <v>0</v>
      </c>
      <c r="DD203" s="213">
        <f t="shared" si="594"/>
        <v>0</v>
      </c>
      <c r="DE203" s="53" t="s">
        <v>498</v>
      </c>
      <c r="DF203" s="53" t="s">
        <v>513</v>
      </c>
      <c r="DG203" s="196">
        <f>DH203+各项系数!$M$9*$NQ203</f>
        <v>8.1415654046001595</v>
      </c>
      <c r="DH203" s="196">
        <f>DI203*(1+$EA203+(VLOOKUP($AM203,$A$12:$B$323,2,0))+各项系数!$J$6+各项系数!$M$5)*(1+$E$2)+各项系数!$M$9*$NK203</f>
        <v>8.0777717816060974</v>
      </c>
      <c r="DI203" s="197">
        <f>DJ203+各项系数!$L$9*$NQ203</f>
        <v>8.1044133696638756</v>
      </c>
      <c r="DJ203" s="197">
        <f>DK203*(1+$EB203+各项系数!$J$5+各项系数!$L$5)</f>
        <v>8.0406197466698135</v>
      </c>
      <c r="DK203" s="197">
        <f t="shared" si="595"/>
        <v>7.8064269385143819</v>
      </c>
      <c r="DL203" s="196">
        <f>DM203+各项系数!$M$9*$NQ203</f>
        <v>8.5901518552310332</v>
      </c>
      <c r="DM203" s="196">
        <f>DN203*(1+$EA203+(VLOOKUP($AM203,$A$12:$B$323,2,0))+各项系数!$J$6+各项系数!$M$5)*(1+$E$2)+各项系数!$M$9*$NK203</f>
        <v>8.5263582322369711</v>
      </c>
      <c r="DN203" s="197">
        <f>DO203+各项系数!$L$9*$NQ203</f>
        <v>8.5576225539747188</v>
      </c>
      <c r="DO203" s="197">
        <f>DP203*(1+$EB203+各项系数!$J$5+各项系数!$L$5)</f>
        <v>8.4938289309806567</v>
      </c>
      <c r="DP203" s="197">
        <f t="shared" si="596"/>
        <v>8.2464358553210264</v>
      </c>
      <c r="DQ203" s="196">
        <f>DR203+各项系数!$M$9*$NV203</f>
        <v>9.0331936507988217</v>
      </c>
      <c r="DR203" s="196">
        <f t="shared" si="597"/>
        <v>8.9653577569430229</v>
      </c>
      <c r="DS203" s="197">
        <f>DT203+各项系数!$L$9*$NV203</f>
        <v>9.0577467740382112</v>
      </c>
      <c r="DT203" s="197">
        <f>DU203*(1+$EB203+各项系数!$J$5+各项系数!$L$5)</f>
        <v>8.9899108801824124</v>
      </c>
      <c r="DU203" s="199">
        <f t="shared" si="598"/>
        <v>8.7280688157110795</v>
      </c>
      <c r="DV203" s="196">
        <f>DW203+各项系数!$M$9*$NV203</f>
        <v>9.2639647517365056</v>
      </c>
      <c r="DW203" s="196">
        <f t="shared" si="599"/>
        <v>9.1961288578807068</v>
      </c>
      <c r="DX203" s="197">
        <f>DY203+各项系数!$L$9*$NV203</f>
        <v>9.2908959970506242</v>
      </c>
      <c r="DY203" s="197">
        <f>DZ203*(1+$EB203+各项系数!$J$5+各项系数!$L$5)</f>
        <v>9.2230601031948254</v>
      </c>
      <c r="DZ203" s="199">
        <f t="shared" si="600"/>
        <v>8.9544272846551696</v>
      </c>
      <c r="EA203" s="213">
        <f t="shared" si="826"/>
        <v>0</v>
      </c>
      <c r="EB203" s="213">
        <f t="shared" si="601"/>
        <v>0.01</v>
      </c>
      <c r="EC203" s="235">
        <f t="shared" si="649"/>
        <v>2</v>
      </c>
      <c r="ED203" s="235" t="str">
        <f t="shared" si="890"/>
        <v>2*6</v>
      </c>
      <c r="EE203" s="189">
        <f t="shared" si="891"/>
        <v>6</v>
      </c>
      <c r="EF203" s="189">
        <f>LOOKUP(EH203,{1,7,10,14,19,24,30,37,48,61},{1,"1+6","2+8","4+10","1+6+12","2+8+14","4+10+16","1+6+12+18","3+9+15+21","1+6+12+18+24"})</f>
        <v>1</v>
      </c>
      <c r="EG203" s="188">
        <f t="shared" si="602"/>
        <v>2</v>
      </c>
      <c r="EH203" s="197">
        <f>VLOOKUP(EE203,各项系数!$B$87:$C$124,2,0)</f>
        <v>1</v>
      </c>
      <c r="EI203" s="188">
        <f>IF(EH203=0,0,VLOOKUP(EH203,各项系数!$D$142:$E$195,2,0))*1</f>
        <v>1</v>
      </c>
      <c r="EJ203" s="238">
        <f t="shared" si="650"/>
        <v>267.425148012862</v>
      </c>
      <c r="EK203" s="189">
        <f t="shared" si="892"/>
        <v>0</v>
      </c>
      <c r="EL203" s="189">
        <f t="shared" si="603"/>
        <v>0</v>
      </c>
      <c r="EM203" s="189">
        <f t="shared" si="893"/>
        <v>0</v>
      </c>
      <c r="EN203" s="189">
        <f>IF(EP203=0,0,LOOKUP(EP203,{1,7,10,14,19,24,30,37,48,61},{1,"1+6","2+8","4+10","1+6+12","2+8+14","4+10+16","1+6+12+18","3+9+15+21","1+6+12+18+24"}))</f>
        <v>0</v>
      </c>
      <c r="EO203" s="189">
        <f t="shared" si="894"/>
        <v>0</v>
      </c>
      <c r="EP203" s="189">
        <f>IF(EM203=0,0,IF(EM203&lt;10,1,IF(AND(EM203&gt;=10,EM203&lt;=35),7,LOOKUP(EM203,{50,70,95,120,150,185,240,300},{10,14,19,24,30,37,48,61})*1)))</f>
        <v>0</v>
      </c>
      <c r="EQ203" s="189">
        <f>IF(EP203=0,0,VLOOKUP(EP203,各项系数!$D$142:$E$195,2,0))*1</f>
        <v>0</v>
      </c>
      <c r="ER203" s="53">
        <f t="shared" si="895"/>
        <v>0</v>
      </c>
      <c r="ES203" s="412">
        <f t="shared" si="896"/>
        <v>2</v>
      </c>
      <c r="ET203" s="189">
        <f>VLOOKUP(ES203,各项系数!$D$142:$E$195,2,0)*1</f>
        <v>2</v>
      </c>
      <c r="EU203" s="243">
        <f>((各项系数!$F$76/4*$EJ203^2*$EG203*$EH203*1*10^-7)*(1-$H203)*AA203)*(VLOOKUP($EY$9,各项系数!$D$4:$F$143,3,0))*各项系数!$J$4</f>
        <v>9.9368608542059297E-2</v>
      </c>
      <c r="EV203" s="244">
        <f>EU203*(VLOOKUP($EY$9,各项系数!$D$4:$F$143,2,0))</f>
        <v>6.5086438595048843</v>
      </c>
      <c r="EW203" s="252">
        <f>(IF($EO203=0,0,(各项系数!$F$76/4*$ER203^2*$EO203*$EP203*1*10^-7))*(1-$K203)*$AF203)*(VLOOKUP($EY$9,各项系数!$D$4:$F$143,3,0))*各项系数!$J$4</f>
        <v>0</v>
      </c>
      <c r="EX203" s="253">
        <f>EW203*(VLOOKUP($EY$9,各项系数!$D$4:$F$143,2,0))</f>
        <v>0</v>
      </c>
      <c r="EY203" s="189">
        <f>((各项系数!$F$76/4*$EJ203^2*$EG203*$EH203*1*10^-7)*(1-$H203)*AA203+IF($EO203=0,0,(各项系数!$F$76/4*$ER203^2*$EO203*$EP203*1*10^-7))*(1-$K203)*$AF203)*(VLOOKUP($EY$9,各项系数!$D$4:$F$143,3,0))*各项系数!$J$4</f>
        <v>9.9368608542059297E-2</v>
      </c>
      <c r="EZ203" s="102">
        <v>1</v>
      </c>
      <c r="FA203" s="189">
        <f t="shared" si="897"/>
        <v>9.9368608542059297E-2</v>
      </c>
      <c r="FB203" s="254">
        <f>FA203*(VLOOKUP($EY$9,各项系数!$D$4:$F$143,2,0))</f>
        <v>6.5086438595048843</v>
      </c>
      <c r="FC203" s="255"/>
      <c r="FD203" s="235">
        <f>各项系数!$F$76/4*($MN203^2-MK203^2)*10^-2*(VLOOKUP(L203,各项系数!$D$1:$F$143,3,0))*10^-3*10^2*$EG203*各项系数!$J$4</f>
        <v>1.6243182405646851E-2</v>
      </c>
      <c r="FE203" s="262">
        <f>FD203*VLOOKUP(L203,各项系数!$D$1:$F$143,2,0)</f>
        <v>0.18679659766493878</v>
      </c>
      <c r="FF203" s="188">
        <f>各项系数!$F$76/4*($MO203^2-ML203^2)*10^-2*(VLOOKUP(L203,各项系数!$D$1:$F$143,3,0))*10^-3*10^2*$EO203*各项系数!$J$4</f>
        <v>0</v>
      </c>
      <c r="FG203" s="262">
        <f>FF203*VLOOKUP(L203,各项系数!$D$1:$F$143,2,0)</f>
        <v>0</v>
      </c>
      <c r="FH203" s="235">
        <f t="shared" si="651"/>
        <v>1.6243182405646851E-2</v>
      </c>
      <c r="FI203" s="102">
        <v>1</v>
      </c>
      <c r="FJ203" s="189">
        <f t="shared" si="898"/>
        <v>1.6243182405646851E-2</v>
      </c>
      <c r="FK203" s="262">
        <f>FJ203*VLOOKUP(L203,各项系数!$D$1:$F$143,2,0)</f>
        <v>0.18679659766493878</v>
      </c>
      <c r="FL203" s="235"/>
      <c r="FM203" s="102"/>
      <c r="FN203" s="189"/>
      <c r="FO203" s="262"/>
      <c r="FP203" s="282">
        <f t="shared" si="899"/>
        <v>1.6243182405646851E-2</v>
      </c>
      <c r="FQ203" s="282">
        <f t="shared" si="900"/>
        <v>0.18679659766493878</v>
      </c>
      <c r="FR203" s="283">
        <f>各项系数!$F$76/4*($MQ203^2-$MN203^2*$EG203-$MO203^2*$EO203)*10^-2</f>
        <v>0.2607447308862047</v>
      </c>
      <c r="FS203" s="284">
        <f t="shared" si="652"/>
        <v>0.05</v>
      </c>
      <c r="FT203" s="285">
        <f t="shared" si="604"/>
        <v>1.3037236544310236E-2</v>
      </c>
      <c r="FU203" s="302">
        <f>$FT203*(VLOOKUP($FT$9,各项系数!$D$1:$F$143,3,0))*10^-3*10^2*各项系数!$J$55</f>
        <v>1.5566460433906421E-3</v>
      </c>
      <c r="FV203" s="303">
        <v>1</v>
      </c>
      <c r="FW203" s="304">
        <f t="shared" si="901"/>
        <v>1.5566460433906421E-3</v>
      </c>
      <c r="FX203" s="285">
        <f>FW203*(VLOOKUP($FT$9,各项系数!$D$1:$F$143,2,0))</f>
        <v>4.6699381301719264E-3</v>
      </c>
      <c r="FY203" s="302">
        <f>IF($BK203&lt;&gt;$FY$9,0,各项系数!$F$76/4*($MS203^2-$MQ203^2)*10^-2*(VLOOKUP($FY$9,各项系数!$D$1:$F$143,3,0))*10^-3*10^2)*各项系数!$J$4</f>
        <v>0</v>
      </c>
      <c r="FZ203" s="303">
        <v>1</v>
      </c>
      <c r="GA203" s="304">
        <f t="shared" si="902"/>
        <v>0</v>
      </c>
      <c r="GB203" s="285">
        <f>GA203*(VLOOKUP($FY$9,各项系数!$D$1:$F$143,2,0))</f>
        <v>0</v>
      </c>
      <c r="GC203" s="302">
        <f>IF($BK203&lt;&gt;$GC$9,0,各项系数!$F$76/4*($MS203^2-$MQ203^2)*10^-2*(VLOOKUP($GC$9,各项系数!$D$1:$F$143,3,0))*10^-3*10^2)*各项系数!$J$4</f>
        <v>1.993741957266352E-3</v>
      </c>
      <c r="GD203" s="303">
        <v>1</v>
      </c>
      <c r="GE203" s="304">
        <f t="shared" si="903"/>
        <v>1.993741957266352E-3</v>
      </c>
      <c r="GF203" s="285">
        <f>GE203*(VLOOKUP($GC$9,各项系数!$D$1:$F$143,2,0))</f>
        <v>2.571927124873594E-2</v>
      </c>
      <c r="GG203" s="302">
        <f>IF($BK203&lt;&gt;$GG$9,0,各项系数!$F$76/4*($MS203^2-$MQ203^2)*10^-2*(VLOOKUP($GG$9,各项系数!$D$1:$F$143,3,0))*10^-3*10^2)*各项系数!$J$4</f>
        <v>0</v>
      </c>
      <c r="GH203" s="303">
        <v>1</v>
      </c>
      <c r="GI203" s="304">
        <f t="shared" si="904"/>
        <v>0</v>
      </c>
      <c r="GJ203" s="285">
        <f>GI203*(VLOOKUP($GG$9,各项系数!$D$1:$F$143,2,0))</f>
        <v>0</v>
      </c>
      <c r="GK203" s="302">
        <f>IF($BK203&lt;&gt;$GK$9,0,各项系数!$F$76/4*($MS203^2-$MQ203^2)*10^-2*(VLOOKUP($GK$9,各项系数!$D$1:$F$143,3,0))*10^-3*10^2)*各项系数!$J$4</f>
        <v>0</v>
      </c>
      <c r="GL203" s="303">
        <v>1</v>
      </c>
      <c r="GM203" s="304">
        <f t="shared" si="905"/>
        <v>0</v>
      </c>
      <c r="GN203" s="285">
        <f>GM203*(VLOOKUP($GK$9,各项系数!$D$1:$F$143,2,0))</f>
        <v>0</v>
      </c>
      <c r="GO203" s="304">
        <f t="shared" si="906"/>
        <v>1.993741957266352E-3</v>
      </c>
      <c r="GP203" s="304">
        <f t="shared" si="907"/>
        <v>2.571927124873594E-2</v>
      </c>
      <c r="GQ203" s="315">
        <f>各项系数!$F$76/4*($MU203^2-$MS203^2)*10^-2*(VLOOKUP($S203,各项系数!$D$1:$F$143,3,0))*10^-3*10^2*各项系数!$J$4</f>
        <v>0.13060839289904924</v>
      </c>
      <c r="GR203" s="303">
        <v>1</v>
      </c>
      <c r="GS203" s="304">
        <f t="shared" si="908"/>
        <v>0.13060839289904924</v>
      </c>
      <c r="GT203" s="304">
        <f t="shared" si="909"/>
        <v>1</v>
      </c>
      <c r="GU203" s="304">
        <f>ROUND($GS203*(VLOOKUP($S203,各项系数!$D$1:$F$143,2,0))+$E$3*GS203,GT203)</f>
        <v>0.8</v>
      </c>
      <c r="GV203" s="315">
        <f>各项系数!$F$76/4*($MT203^2-$MS203^2)*10^-2*(VLOOKUP($GV$9,各项系数!$D$1:$F$143,3,0))*10^-3*10^2*各项系数!$J$4*PI()/4*R203</f>
        <v>1.171262466591772E-2</v>
      </c>
      <c r="GW203" s="303">
        <v>1</v>
      </c>
      <c r="GX203" s="304">
        <f t="shared" si="910"/>
        <v>1.171262466591772E-2</v>
      </c>
      <c r="GY203" s="304">
        <f>$GX203*(VLOOKUP($GV$9,各项系数!$D$1:$F$143,2,0))</f>
        <v>0.79060216494944613</v>
      </c>
      <c r="GZ203" s="315">
        <f>各项系数!$F$76/4*($MV203^2-$MS203^2)*10^-2*(VLOOKUP($GZ$9,各项系数!$D$1:$F$143,3,0))*10^-3*10^2*各项系数!$J$4</f>
        <v>6.6663091181439746E-2</v>
      </c>
      <c r="HA203" s="303">
        <v>1</v>
      </c>
      <c r="HB203" s="304">
        <f t="shared" si="653"/>
        <v>6.6663091181439746E-2</v>
      </c>
      <c r="HC203" s="304">
        <f>HB203*(VLOOKUP($GZ$9,各项系数!$D$1:$F$143,2,0))</f>
        <v>1.1332725500844756</v>
      </c>
      <c r="HD203" s="315">
        <f>各项系数!$F$76/4*($MW203^2-$MT203^2)*10^-2*(VLOOKUP($HD$9,各项系数!$D$1:$F$143,3,0))*10^-3*10^2*各项系数!$J$4</f>
        <v>6.7750899053671765E-2</v>
      </c>
      <c r="HE203" s="303">
        <v>1</v>
      </c>
      <c r="HF203" s="304">
        <f t="shared" si="654"/>
        <v>6.7750899053671765E-2</v>
      </c>
      <c r="HG203" s="304">
        <f>HF203*(VLOOKUP($HD$9,各项系数!$D$1:$F$143,2,0))</f>
        <v>1.1517652839124199</v>
      </c>
      <c r="HH203" s="315">
        <f>各项系数!$F$76/4*($MV203^2-$MS203^2)*10^-2*(VLOOKUP($HH$9,各项系数!$D$1:$F$143,3,0))*10^-3*10^2*各项系数!$J$4</f>
        <v>6.6663091181439746E-2</v>
      </c>
      <c r="HI203" s="322">
        <v>1</v>
      </c>
      <c r="HJ203" s="304">
        <f t="shared" si="655"/>
        <v>6.6663091181439746E-2</v>
      </c>
      <c r="HK203" s="304">
        <f>HJ203*(VLOOKUP($HH$9,各项系数!$D$1:$F$143,2,0))</f>
        <v>1.1332725500844756</v>
      </c>
      <c r="HL203" s="315">
        <f>各项系数!$F$76/4*($MW203^2-$MT203^2)*10^-2*(VLOOKUP($HL$9,各项系数!$D$1:$F$143,3,0))*10^-3*10^2*各项系数!$J$4</f>
        <v>6.7750899053671765E-2</v>
      </c>
      <c r="HM203" s="322">
        <v>1</v>
      </c>
      <c r="HN203" s="304">
        <f t="shared" si="605"/>
        <v>6.7750899053671765E-2</v>
      </c>
      <c r="HO203" s="304">
        <f>HN203*(VLOOKUP($HL$9,各项系数!$D$1:$F$143,2,0))</f>
        <v>1.1517652839124199</v>
      </c>
      <c r="HP203" s="315">
        <f>各项系数!$F$76/4*($MV203^2-$MS203^2)*10^-2*(VLOOKUP(AN203,各项系数!$D$1:$F$143,3,0))*10^-3*10^2*各项系数!$J$4</f>
        <v>6.7582582094287191E-2</v>
      </c>
      <c r="HQ203" s="303">
        <v>1</v>
      </c>
      <c r="HR203" s="304">
        <f t="shared" si="911"/>
        <v>6.7582582094287191E-2</v>
      </c>
      <c r="HS203" s="304">
        <f>HR203*(VLOOKUP(AN203,各项系数!$D$1:$F$143,2,0))</f>
        <v>0.67582582094287191</v>
      </c>
      <c r="HT203" s="315">
        <f>各项系数!$F$76/4*($MW203^2-$MT203^2)*10^-2*(VLOOKUP(AN203,各项系数!$D$1:$F$143,3,0))*10^-3*10^2*各项系数!$J$4</f>
        <v>6.8685394213032755E-2</v>
      </c>
      <c r="HU203" s="303">
        <v>1</v>
      </c>
      <c r="HV203" s="304">
        <f t="shared" si="912"/>
        <v>6.8685394213032755E-2</v>
      </c>
      <c r="HW203" s="304">
        <f>HV203*(VLOOKUP(AN203,各项系数!$D$1:$F$143,2,0))</f>
        <v>0.68685394213032758</v>
      </c>
      <c r="HX203" s="315">
        <f>各项系数!$F$76/4*($MV203^2-$MS203^2)*10^-2*(VLOOKUP($HX$9,各项系数!$D$1:$F$143,3,0))*10^-3*10^2*各项系数!$J$4</f>
        <v>6.7582582094287191E-2</v>
      </c>
      <c r="HY203" s="322">
        <v>1</v>
      </c>
      <c r="HZ203" s="304">
        <f t="shared" si="913"/>
        <v>6.7582582094287191E-2</v>
      </c>
      <c r="IA203" s="304">
        <f>HZ203*(VLOOKUP($HX$9,各项系数!$D$1:$F$143,2,0))</f>
        <v>0.74340840303715905</v>
      </c>
      <c r="IB203" s="315">
        <f>各项系数!$F$76/4*($MW203^2-$MT203^2)*10^-2*(VLOOKUP($IB$9,各项系数!$D$1:$F$143,3,0))*10^-3*10^2*各项系数!$J$4</f>
        <v>6.8685394213032755E-2</v>
      </c>
      <c r="IC203" s="322">
        <v>1</v>
      </c>
      <c r="ID203" s="304">
        <f t="shared" si="914"/>
        <v>6.8685394213032755E-2</v>
      </c>
      <c r="IE203" s="304">
        <f>ID203*(VLOOKUP($IB$9,各项系数!$D$1:$F$143,2,0))</f>
        <v>0.75553933634336035</v>
      </c>
      <c r="IF203" s="328"/>
      <c r="IG203" s="315">
        <f t="shared" si="656"/>
        <v>8.3674504498491807E-3</v>
      </c>
      <c r="IH203" s="303">
        <v>1</v>
      </c>
      <c r="II203" s="304">
        <f t="shared" si="915"/>
        <v>8.3674504498491807E-3</v>
      </c>
      <c r="IJ203" s="304">
        <f>II203*(VLOOKUP($IG$8,各项系数!$D$1:$F$143,2,0))</f>
        <v>0.20918626124622952</v>
      </c>
      <c r="IK203" s="315">
        <f>(各项系数!$F$76/4*($MX203^2-$MK203^2)*$EG203)*10^-2*(VLOOKUP($IG$8,各项系数!$D$1:$F$143,3,0))*10^-3*10^2*各项系数!$J$4</f>
        <v>8.3674504498491807E-3</v>
      </c>
      <c r="IL203" s="303">
        <f>IK203*(VLOOKUP($IG$8,各项系数!$D$1:$F$143,2,0))</f>
        <v>0.20918626124622952</v>
      </c>
      <c r="IM203" s="304">
        <f>(各项系数!$F$76/4*(($MM203+3*$X203)^2-MM203^2)*$EO203)*10^-2*(VLOOKUP($IG$8,各项系数!$D$1:$F$143,3,0))*10^-3*10^2*各项系数!$J$4</f>
        <v>0</v>
      </c>
      <c r="IN203" s="303">
        <f>IM203*(VLOOKUP($IG$8,各项系数!$D$1:$F$143,2,0))</f>
        <v>0</v>
      </c>
      <c r="IO203" s="315">
        <f>各项系数!$F$76/4*($MZ203^2-$MX203^2)*10^-2*(VLOOKUP(L203,各项系数!$D$1:$F$143,3,0))*10^-3*10^2*$ES203*各项系数!$J$4</f>
        <v>1.9131499859504242E-2</v>
      </c>
      <c r="IP203" s="303">
        <v>1</v>
      </c>
      <c r="IQ203" s="304">
        <f t="shared" si="916"/>
        <v>1.9131499859504242E-2</v>
      </c>
      <c r="IR203" s="285">
        <f>IQ203*(VLOOKUP(L203,各项系数!$D$1:$F$143,2,0))</f>
        <v>0.22001224838429878</v>
      </c>
      <c r="IS203" s="315">
        <f>IF($L203&lt;&gt;$IS$9,0,各项系数!$F$76/4*($MZ203^2-$MX203^2)*10^-2*各项系数!$F$12*10^-3*10^2)*$ES203*各项系数!$J$4</f>
        <v>0</v>
      </c>
      <c r="IT203" s="303">
        <v>1</v>
      </c>
      <c r="IU203" s="304">
        <f t="shared" si="917"/>
        <v>0</v>
      </c>
      <c r="IV203" s="285">
        <f>IU203*各项系数!$E$12</f>
        <v>0</v>
      </c>
      <c r="IW203" s="302">
        <f t="shared" si="918"/>
        <v>1.9131499859504242E-2</v>
      </c>
      <c r="IX203" s="302">
        <f t="shared" si="919"/>
        <v>0.22001224838429878</v>
      </c>
      <c r="IY203" s="339">
        <f>各项系数!$F$76/4*($NB203^2-$MZ203^2*$EG203-$NA203^2*$EO203)*10^-2</f>
        <v>0.34319742877333825</v>
      </c>
      <c r="IZ203" s="284">
        <f t="shared" si="697"/>
        <v>0.05</v>
      </c>
      <c r="JA203" s="285">
        <f t="shared" si="606"/>
        <v>1.7159871438666912E-2</v>
      </c>
      <c r="JB203" s="282">
        <f>IF($DE203&lt;&gt;$JB$9,0,$JA203*各项系数!$F$32*10^-3*10^2)*各项系数!$J$4</f>
        <v>0</v>
      </c>
      <c r="JC203" s="102">
        <v>1</v>
      </c>
      <c r="JD203" s="189">
        <f t="shared" si="920"/>
        <v>0</v>
      </c>
      <c r="JE203" s="262">
        <f>JD203*各项系数!$E$32</f>
        <v>0</v>
      </c>
      <c r="JF203" s="282">
        <f>IF($DE203&lt;&gt;$JF$9,0,$JA203*VLOOKUP($JF$9,各项系数!$D$4:$F$540,2,0)*10^-3*10^2)*各项系数!$J$4</f>
        <v>8.5370360407367903E-3</v>
      </c>
      <c r="JG203" s="102">
        <v>1</v>
      </c>
      <c r="JH203" s="189">
        <f t="shared" si="607"/>
        <v>8.5370360407367903E-3</v>
      </c>
      <c r="JI203" s="262">
        <f>JH203*VLOOKUP($JF$9,各项系数!$D$4:$F$540,3,0)</f>
        <v>1.0244443248884148E-2</v>
      </c>
      <c r="JJ203" s="282">
        <f t="shared" si="921"/>
        <v>8.5370360407367903E-3</v>
      </c>
      <c r="JK203" s="189">
        <f t="shared" si="922"/>
        <v>1.0244443248884148E-2</v>
      </c>
      <c r="JL203" s="282">
        <f>IF($DF203&lt;&gt;$JL$9,0,各项系数!$F$76/4*($NE203^2-$NC203^2)*10^-2*各项系数!$F$39*10^-3*10^2)*各项系数!$J$4</f>
        <v>9.6568446238019183E-4</v>
      </c>
      <c r="JM203" s="102">
        <v>1</v>
      </c>
      <c r="JN203" s="189">
        <f t="shared" si="923"/>
        <v>9.6568446238019183E-4</v>
      </c>
      <c r="JO203" s="262">
        <f>JN203*各项系数!$E$39</f>
        <v>1.9313689247603835E-2</v>
      </c>
      <c r="JP203" s="282">
        <f>IF($DF203&lt;&gt;$JP$9,0,各项系数!$F$76/4*($NE203^2-$NC203^2)*10^-2*各项系数!$F$36*10^-3*10^2)*各项系数!$J$4</f>
        <v>0</v>
      </c>
      <c r="JQ203" s="102">
        <v>1</v>
      </c>
      <c r="JR203" s="189">
        <f t="shared" si="924"/>
        <v>0</v>
      </c>
      <c r="JS203" s="262">
        <f>JR203*各项系数!$E$36</f>
        <v>0</v>
      </c>
      <c r="JT203" s="282">
        <f>IF($DF203&lt;&gt;$JT$9,0,各项系数!$F$76/4*($NE203^2-$NC203^2)*10^-2*各项系数!$F$40*10^-3*10^2)*各项系数!$J$4</f>
        <v>0</v>
      </c>
      <c r="JU203" s="102">
        <v>1</v>
      </c>
      <c r="JV203" s="189">
        <f t="shared" si="925"/>
        <v>0</v>
      </c>
      <c r="JW203" s="262">
        <f>JV203*各项系数!$E$40</f>
        <v>0</v>
      </c>
      <c r="JX203" s="282">
        <f>IF($DF203&lt;&gt;$JX$9,0,各项系数!$F$76/4*($NE203^2-$NC203^2)*10^-2*各项系数!$F$38*10^-3*10^2)*各项系数!$J$4</f>
        <v>0</v>
      </c>
      <c r="JY203" s="102">
        <v>1</v>
      </c>
      <c r="JZ203" s="189">
        <f t="shared" si="926"/>
        <v>0</v>
      </c>
      <c r="KA203" s="262">
        <f>JZ203*各项系数!$E$38</f>
        <v>0</v>
      </c>
      <c r="KB203" s="282">
        <f>IF($DF203&lt;&gt;$KB$9,0,各项系数!$F$76/4*($NE203^2-$NC203^2)*10^-2*各项系数!$F$41*10^-3*10^2)*各项系数!$J$4</f>
        <v>0</v>
      </c>
      <c r="KC203" s="102">
        <v>1</v>
      </c>
      <c r="KD203" s="189">
        <f t="shared" si="927"/>
        <v>0</v>
      </c>
      <c r="KE203" s="262">
        <f>KD203*各项系数!$E$41</f>
        <v>0</v>
      </c>
      <c r="KF203" s="189">
        <f t="shared" si="928"/>
        <v>9.6568446238019183E-4</v>
      </c>
      <c r="KG203" s="189">
        <f t="shared" si="929"/>
        <v>1.9313689247603835E-2</v>
      </c>
      <c r="KH203" s="235">
        <f>各项系数!$F$76/4*($NG203^2-$NE203^2)*10^-2*各项系数!$F$44*10^-3*10^2*各项系数!$J$4*0.75*$U203</f>
        <v>0.44731557013836609</v>
      </c>
      <c r="KI203" s="102">
        <v>1</v>
      </c>
      <c r="KJ203" s="189">
        <f t="shared" si="930"/>
        <v>0.44731557013836609</v>
      </c>
      <c r="KK203" s="189">
        <f>ROUND(KJ203*各项系数!$E$43,GT203)</f>
        <v>2.6</v>
      </c>
      <c r="KL203" s="235">
        <f>各项系数!$F$76/4*($NF203^2-$NE203^2)*10^-2*各项系数!$F$46*10^-3*10^2*各项系数!$J$4*PI()/4*R203</f>
        <v>1.3474236205785146E-2</v>
      </c>
      <c r="KM203" s="102">
        <v>1</v>
      </c>
      <c r="KN203" s="189">
        <f t="shared" si="931"/>
        <v>1.3474236205785146E-2</v>
      </c>
      <c r="KO203" s="189">
        <f>KN203*各项系数!$E$46</f>
        <v>0.90951094389049736</v>
      </c>
      <c r="KP203" s="235">
        <f>各项系数!$F$76/4*($NH203^2-$NE203^2)*10^-2*(VLOOKUP($KP$9,各项系数!$D$1:$F$143,3,0))*10^-3*10^2*各项系数!$J$4</f>
        <v>7.5237373746419145E-2</v>
      </c>
      <c r="KQ203" s="102">
        <v>1</v>
      </c>
      <c r="KR203" s="189">
        <f t="shared" si="657"/>
        <v>7.5237373746419145E-2</v>
      </c>
      <c r="KS203" s="189">
        <f>KR203*(VLOOKUP($KP$9,各项系数!$D$1:$F$143,2,0))</f>
        <v>1.2790353536891255</v>
      </c>
      <c r="KT203" s="235">
        <f>各项系数!$F$76/4*($NI203^2-$NF203^2)*10^-2*(VLOOKUP($KT$9,各项系数!$D$1:$F$143,3,0))*10^-3*10^2*各项系数!$J$4</f>
        <v>7.6325181618651164E-2</v>
      </c>
      <c r="KU203" s="102">
        <v>1</v>
      </c>
      <c r="KV203" s="189">
        <f t="shared" si="658"/>
        <v>7.6325181618651164E-2</v>
      </c>
      <c r="KW203" s="189">
        <f>KV203*(VLOOKUP($KT$9,各项系数!$D$1:$F$143,2,0))</f>
        <v>1.2975280875170698</v>
      </c>
      <c r="KX203" s="189">
        <f>各项系数!$F$76/4*($NH203^2-$NE203^2)*10^-2*(VLOOKUP($KX$9,各项系数!$D$1:$F$143,3,0))*10^-3*10^2*各项系数!$J$4</f>
        <v>7.5237373746419145E-2</v>
      </c>
      <c r="KY203" s="353">
        <v>1</v>
      </c>
      <c r="KZ203" s="189">
        <f t="shared" si="659"/>
        <v>7.5237373746419145E-2</v>
      </c>
      <c r="LA203" s="189">
        <f>KZ203*(VLOOKUP($KX$9,各项系数!$D$1:$F$143,2,0))</f>
        <v>1.2790353536891255</v>
      </c>
      <c r="LB203" s="189">
        <f>各项系数!$F$76/4*($NI203^2-$NF203^2)*10^-2*(VLOOKUP($LB$9,各项系数!$D$1:$F$143,3,0))*10^-3*10^2*各项系数!$J$4</f>
        <v>7.6325181618651164E-2</v>
      </c>
      <c r="LC203" s="353">
        <v>1</v>
      </c>
      <c r="LD203" s="189">
        <f t="shared" si="660"/>
        <v>7.6325181618651164E-2</v>
      </c>
      <c r="LE203" s="189">
        <f>LD203*(VLOOKUP($LB$9,各项系数!$D$1:$F$143,2,0))</f>
        <v>1.2975280875170698</v>
      </c>
      <c r="LF203" s="235">
        <f>各项系数!$F$76/4*($NH203^2-$NE203^2)*10^-2*(VLOOKUP(AN203,各项系数!$D$1:$F$143,3,0))*10^-3*10^2*各项系数!$J$4</f>
        <v>7.6275130625680115E-2</v>
      </c>
      <c r="LG203" s="102">
        <v>1</v>
      </c>
      <c r="LH203" s="189">
        <f t="shared" si="932"/>
        <v>7.6275130625680115E-2</v>
      </c>
      <c r="LI203" s="189">
        <f>LH203*(VLOOKUP(AN203,各项系数!$D$1:$F$143,2,0))</f>
        <v>0.76275130625680121</v>
      </c>
      <c r="LJ203" s="235">
        <f>各项系数!$F$76/4*($NI203^2-$NF203^2)*10^-2*(VLOOKUP(AN203,各项系数!$D$1:$F$143,3,0))*10^-3*10^2*各项系数!$J$4</f>
        <v>7.7377942744425665E-2</v>
      </c>
      <c r="LK203" s="102">
        <v>1</v>
      </c>
      <c r="LL203" s="189">
        <f t="shared" si="933"/>
        <v>7.7377942744425665E-2</v>
      </c>
      <c r="LM203" s="189">
        <f>LL203*(VLOOKUP(AN203,各项系数!$D$1:$F$143,2,0))</f>
        <v>0.77377942744425665</v>
      </c>
      <c r="LN203" s="189">
        <f>各项系数!$F$76/4*($NH203^2-$NE203^2)*10^-2*(VLOOKUP($LN$9,各项系数!$D$1:$F$143,3,0))*10^-3*10^2*各项系数!$J$4</f>
        <v>7.6275130625680115E-2</v>
      </c>
      <c r="LO203" s="353">
        <v>1</v>
      </c>
      <c r="LP203" s="189">
        <f t="shared" si="934"/>
        <v>7.6275130625680115E-2</v>
      </c>
      <c r="LQ203" s="189">
        <f>LP203*(VLOOKUP($LN$9,各项系数!$D$1:$F$143,2,0))</f>
        <v>0.83902643688248124</v>
      </c>
      <c r="LR203" s="189">
        <f>各项系数!$F$76/4*($NI203^2-$NF203^2)*10^-2*(VLOOKUP($LR$9,各项系数!$D$1:$F$143,3,0))*10^-3*10^2*各项系数!$J$4</f>
        <v>7.7377942744425665E-2</v>
      </c>
      <c r="LS203" s="353">
        <v>1</v>
      </c>
      <c r="LT203" s="189">
        <f t="shared" si="935"/>
        <v>7.7377942744425665E-2</v>
      </c>
      <c r="LU203" s="189">
        <f>LT203*(VLOOKUP($LR$9,各项系数!$D$1:$F$143,2,0))</f>
        <v>0.85115737018868232</v>
      </c>
      <c r="LV203" s="227">
        <f t="shared" si="661"/>
        <v>11.233739959999999</v>
      </c>
      <c r="LW203" s="227">
        <f t="shared" si="662"/>
        <v>11.233739959999999</v>
      </c>
      <c r="LX203" s="227">
        <f t="shared" si="663"/>
        <v>3.781962711654308</v>
      </c>
      <c r="LY203" s="227">
        <f t="shared" si="664"/>
        <v>0</v>
      </c>
      <c r="LZ203" s="374">
        <f t="shared" si="608"/>
        <v>1</v>
      </c>
      <c r="MA203" s="375">
        <f t="shared" si="609"/>
        <v>11.233739959999999</v>
      </c>
      <c r="MB203" s="375">
        <f t="shared" si="665"/>
        <v>2.6742514800000001</v>
      </c>
      <c r="MC203" s="227">
        <f t="shared" si="666"/>
        <v>0</v>
      </c>
      <c r="MD203" s="227">
        <f t="shared" si="667"/>
        <v>0</v>
      </c>
      <c r="ME203" s="227">
        <f t="shared" si="668"/>
        <v>0</v>
      </c>
      <c r="MF203" s="227">
        <f t="shared" si="669"/>
        <v>0</v>
      </c>
      <c r="MG203" s="374">
        <f t="shared" si="670"/>
        <v>1</v>
      </c>
      <c r="MH203" s="375">
        <f t="shared" si="610"/>
        <v>0</v>
      </c>
      <c r="MI203" s="375">
        <f t="shared" si="671"/>
        <v>0</v>
      </c>
      <c r="MJ203" s="189">
        <f t="shared" si="611"/>
        <v>2.6742514800000001</v>
      </c>
      <c r="MK203" s="189">
        <f t="shared" si="672"/>
        <v>2.6742514800000001</v>
      </c>
      <c r="ML203" s="189">
        <f t="shared" si="936"/>
        <v>0</v>
      </c>
      <c r="MM203" s="189">
        <f t="shared" si="612"/>
        <v>0</v>
      </c>
      <c r="MN203" s="189">
        <f t="shared" si="613"/>
        <v>4.07425148</v>
      </c>
      <c r="MO203" s="189">
        <f t="shared" si="673"/>
        <v>0</v>
      </c>
      <c r="MP203" s="189">
        <f t="shared" si="674"/>
        <v>8.1485029600000001</v>
      </c>
      <c r="MQ203" s="189">
        <f t="shared" si="937"/>
        <v>8.1485029600000001</v>
      </c>
      <c r="MR203" s="246">
        <f t="shared" si="675"/>
        <v>8.1291272299999999</v>
      </c>
      <c r="MS203" s="380">
        <f t="shared" si="614"/>
        <v>8.3051272300000001</v>
      </c>
      <c r="MT203" s="380">
        <f t="shared" si="615"/>
        <v>8.4651272300000002</v>
      </c>
      <c r="MU203" s="380">
        <f t="shared" si="616"/>
        <v>9.5051272299999994</v>
      </c>
      <c r="MV203" s="380">
        <f t="shared" si="617"/>
        <v>11.30512723</v>
      </c>
      <c r="MW203" s="380">
        <f t="shared" si="618"/>
        <v>11.46512723</v>
      </c>
      <c r="MX203" s="254">
        <f t="shared" si="619"/>
        <v>3.2742514800000002</v>
      </c>
      <c r="MY203" s="254">
        <f t="shared" si="620"/>
        <v>0</v>
      </c>
      <c r="MZ203" s="189">
        <f t="shared" si="621"/>
        <v>4.6742514800000006</v>
      </c>
      <c r="NA203" s="189">
        <f t="shared" si="622"/>
        <v>0</v>
      </c>
      <c r="NB203" s="189">
        <f t="shared" si="676"/>
        <v>9.3485029599999994</v>
      </c>
      <c r="NC203" s="254">
        <f t="shared" si="938"/>
        <v>9.3485029599999994</v>
      </c>
      <c r="ND203" s="246">
        <f t="shared" si="677"/>
        <v>9.3262738400000007</v>
      </c>
      <c r="NE203" s="386">
        <f t="shared" si="678"/>
        <v>9.5662738400000009</v>
      </c>
      <c r="NF203" s="380">
        <f t="shared" si="623"/>
        <v>9.7262738400000011</v>
      </c>
      <c r="NG203" s="387">
        <f t="shared" si="624"/>
        <v>10.76627384</v>
      </c>
      <c r="NH203" s="254">
        <f t="shared" si="625"/>
        <v>12.566273840000001</v>
      </c>
      <c r="NI203" s="380">
        <f t="shared" si="626"/>
        <v>12.726273840000001</v>
      </c>
      <c r="NK203" s="388">
        <f t="shared" si="627"/>
        <v>0.18674476104265036</v>
      </c>
      <c r="NL203" s="388">
        <f t="shared" si="628"/>
        <v>7.4016554874916025</v>
      </c>
      <c r="NM203" s="388">
        <f t="shared" si="629"/>
        <v>0.18674476104265036</v>
      </c>
      <c r="NN203" s="388">
        <f t="shared" si="630"/>
        <v>7.4692380695858898</v>
      </c>
      <c r="NO203" s="388">
        <f t="shared" si="631"/>
        <v>0.21264540998020981</v>
      </c>
      <c r="NP203" s="388">
        <f t="shared" si="632"/>
        <v>7.7301518078887019</v>
      </c>
      <c r="NQ203" s="388">
        <f t="shared" si="633"/>
        <v>0.21264540998020981</v>
      </c>
      <c r="NR203" s="388">
        <f t="shared" si="634"/>
        <v>7.8064269385143819</v>
      </c>
      <c r="NS203" s="388">
        <f t="shared" si="635"/>
        <v>0.19845738570856808</v>
      </c>
      <c r="NT203" s="388">
        <f t="shared" si="636"/>
        <v>0.19845738570856808</v>
      </c>
      <c r="NU203" s="388">
        <f t="shared" si="637"/>
        <v>0.22611964618599495</v>
      </c>
      <c r="NV203" s="388">
        <f t="shared" si="638"/>
        <v>0.22611964618599495</v>
      </c>
      <c r="NW203">
        <f t="shared" si="639"/>
        <v>0.31735315394169961</v>
      </c>
      <c r="NX203">
        <f>各项系数!$M$9*NK203</f>
        <v>5.6023428312795109E-2</v>
      </c>
      <c r="NY203">
        <f t="shared" si="640"/>
        <v>0.19845738570856808</v>
      </c>
    </row>
    <row r="204" spans="1:389" ht="15" hidden="1" customHeight="1">
      <c r="A204" s="69"/>
      <c r="B204" s="70"/>
      <c r="C204" s="69"/>
      <c r="D204" s="69" t="s">
        <v>185</v>
      </c>
      <c r="E204" s="54">
        <f t="shared" si="885"/>
        <v>12.1763832</v>
      </c>
      <c r="F204" s="16">
        <f>$F$19</f>
        <v>267.425148012862</v>
      </c>
      <c r="G204" s="62"/>
      <c r="H204" s="16"/>
      <c r="I204" s="145">
        <v>0</v>
      </c>
      <c r="J204" s="16"/>
      <c r="K204" s="16"/>
      <c r="L204" s="97" t="s">
        <v>469</v>
      </c>
      <c r="M204" s="103">
        <f t="shared" ref="M204:M214" si="940">VLOOKUP(EE204,$A$12:$C$46,3,0)</f>
        <v>0.7</v>
      </c>
      <c r="N204" s="103">
        <f t="shared" si="804"/>
        <v>0</v>
      </c>
      <c r="O204" s="53">
        <f t="shared" si="939"/>
        <v>0.08</v>
      </c>
      <c r="P204" s="99">
        <v>0.1</v>
      </c>
      <c r="Q204" s="133">
        <f t="shared" ref="Q204:Q214" si="941">$Q$12</f>
        <v>0.1</v>
      </c>
      <c r="R204" s="406">
        <v>0.8</v>
      </c>
      <c r="S204" s="142" t="str">
        <f>各项系数!$D$43</f>
        <v>钢带</v>
      </c>
      <c r="T204" s="102">
        <v>0.2</v>
      </c>
      <c r="U204" s="62">
        <v>4</v>
      </c>
      <c r="V204" s="143"/>
      <c r="W204" s="141">
        <f>$W$200</f>
        <v>1.6</v>
      </c>
      <c r="X204" s="135">
        <f t="shared" ref="X204:X214" si="942">$X$12</f>
        <v>0.2</v>
      </c>
      <c r="Y204" s="135"/>
      <c r="Z204" s="168"/>
      <c r="AA204" s="153">
        <v>1</v>
      </c>
      <c r="AB204" s="153">
        <f>PI()*EJ204*EJ204/4*EH204*(1-H204)*AA204*各项系数!$F$5*各项系数!$J$4*10^-7</f>
        <v>4.9684304271029656E-2</v>
      </c>
      <c r="AC204" s="153">
        <f t="shared" si="886"/>
        <v>267.425148012862</v>
      </c>
      <c r="AD204" s="153">
        <f t="shared" ref="AD204:AD214" si="943">PI()*AE204*AE204*10^-4/4*EH204</f>
        <v>5.6168699821977892</v>
      </c>
      <c r="AE204" s="153">
        <f>POWER(4*EU204/PI()/EG204/10^-7/EH204/(1-H204)/各项系数!$F$5/各项系数!$J$4,0.5)</f>
        <v>267.425148012862</v>
      </c>
      <c r="AF204" s="69">
        <v>1</v>
      </c>
      <c r="AG204" s="69">
        <f>IF(EM204=0,0,PI()*ER204*ER204/4*EP204*(1-K204)*(1+AF204)*各项系数!$F$5*各项系数!$J$4*10^-7)</f>
        <v>0</v>
      </c>
      <c r="AH204" s="69">
        <f t="shared" si="887"/>
        <v>0</v>
      </c>
      <c r="AI204" s="69">
        <f t="shared" si="641"/>
        <v>0</v>
      </c>
      <c r="AJ204" s="69">
        <f>IF(OR(EP204="",EP204=0),0,POWER(4*EW204/PI()/EO204/10^-7/EP204/(1-K204)/各项系数!$F$5/各项系数!$J$4,0.5))</f>
        <v>0</v>
      </c>
      <c r="AK204" s="69" t="str">
        <f t="shared" ref="AK204:AK214" si="944">IF((EG204*AB204+EO204*AG204)-EY204&lt;0.000001,"√",EY204)</f>
        <v>√</v>
      </c>
      <c r="AL204" s="69">
        <f t="shared" si="888"/>
        <v>11.425523398324774</v>
      </c>
      <c r="AM204" s="188">
        <f t="shared" si="889"/>
        <v>6</v>
      </c>
      <c r="AN204" s="97" t="s">
        <v>486</v>
      </c>
      <c r="AO204" s="196">
        <f>AP204+各项系数!$M$9*$NK204</f>
        <v>11.201493527769387</v>
      </c>
      <c r="AP204" s="196">
        <f>AQ204*(1+$BI204+(VLOOKUP($AM204,$A$12:$B$323,2,0))+各项系数!$J$6+各项系数!$M$5)*(1+$E$2)</f>
        <v>11.117636281529123</v>
      </c>
      <c r="AQ204" s="197">
        <f>AR204+各项系数!$L$9*$NK204</f>
        <v>11.23220477018501</v>
      </c>
      <c r="AR204" s="197">
        <f>AS204*(1+$BJ204+各项系数!$J$5+各项系数!$L$5)</f>
        <v>11.148347523944746</v>
      </c>
      <c r="AS204" s="197">
        <f t="shared" si="642"/>
        <v>10.929752474455634</v>
      </c>
      <c r="AT204" s="196">
        <f>AU204+各项系数!$M$9*$NM204</f>
        <v>11.732868157947518</v>
      </c>
      <c r="AU204" s="196">
        <f>AV204*(1+$BI204+(VLOOKUP($AM204,$A$12:$B$323,2,0))+各项系数!$J$6+各项系数!$M$5)*(1+$E$2)</f>
        <v>11.649010911707254</v>
      </c>
      <c r="AV204" s="197">
        <f>AW204+各项系数!$L$9*$NM204</f>
        <v>11.769055275517534</v>
      </c>
      <c r="AW204" s="197">
        <f>AX204*(1+$BJ204+各项系数!$J$5+各项系数!$L$5)</f>
        <v>11.68519802927727</v>
      </c>
      <c r="AX204" s="197">
        <f t="shared" si="643"/>
        <v>11.456076499291441</v>
      </c>
      <c r="AY204" s="196">
        <f>AZ204+各项系数!$M$9*$NS204</f>
        <v>12.083007503903376</v>
      </c>
      <c r="AZ204" s="196">
        <f>BA204*(1+$BI204+(VLOOKUP($AM204,$A$12:$B$214,2,0))+各项系数!$J$6+各项系数!$M$5)*(1+$E$2)</f>
        <v>11.995355180462393</v>
      </c>
      <c r="BA204" s="197">
        <f>BB204+各项系数!$L$9*$NS204</f>
        <v>12.11896866080258</v>
      </c>
      <c r="BB204" s="197">
        <f>BC204*(1+$BJ204+各项系数!$J$5+各项系数!$L$5)</f>
        <v>12.031316337361597</v>
      </c>
      <c r="BC204" s="199">
        <f t="shared" si="644"/>
        <v>11.795408173883919</v>
      </c>
      <c r="BD204" s="196">
        <f>BE204+各项系数!$M$9*$NS204</f>
        <v>12.62242079334912</v>
      </c>
      <c r="BE204" s="196">
        <f>BF204*(1+$BI204+(VLOOKUP($AM204,$A$12:$B$214,2,0))+各项系数!$J$6+各项系数!$M$5)*(1+$E$2)</f>
        <v>12.534768469908137</v>
      </c>
      <c r="BF204" s="197">
        <f>BG204+各项系数!$L$9*$NS204</f>
        <v>12.663940664687955</v>
      </c>
      <c r="BG204" s="197">
        <f>BH204*(1+$BJ204+各项系数!$J$5+各项系数!$L$5)</f>
        <v>12.576288341246972</v>
      </c>
      <c r="BH204" s="199">
        <f t="shared" si="645"/>
        <v>12.329694452202913</v>
      </c>
      <c r="BI204" s="211">
        <v>0</v>
      </c>
      <c r="BJ204" s="208">
        <f>$BJ$203</f>
        <v>0</v>
      </c>
      <c r="BK204" s="102" t="s">
        <v>514</v>
      </c>
      <c r="BL204" s="196">
        <f>BM204+各项系数!$M$9*$NM204</f>
        <v>11.388950464244228</v>
      </c>
      <c r="BM204" s="196">
        <f>BN204*(1+$CF204+(VLOOKUP($AM204,$A$12:$B$323,2,0))+各项系数!$J$6+各项系数!$M$5)*(1+$E$2)</f>
        <v>11.305093218003964</v>
      </c>
      <c r="BN204" s="197">
        <f>BO204+各项系数!$L$9*$NM204</f>
        <v>11.42159347141237</v>
      </c>
      <c r="BO204" s="197">
        <f>BP204*(1+$CG204+各项系数!$J$5+各项系数!$L$5)</f>
        <v>11.337736225172106</v>
      </c>
      <c r="BP204" s="197">
        <f t="shared" si="646"/>
        <v>11.007510898225346</v>
      </c>
      <c r="BQ204" s="196">
        <f>BR204+各项系数!$M$9*$NM204</f>
        <v>11.846260403137505</v>
      </c>
      <c r="BR204" s="196">
        <f>BS204*(1+$CF204+(VLOOKUP($AM204,$A$12:$B$323,2,0))+各项系数!$J$6+各项系数!$M$5)*(1+$E$2)</f>
        <v>11.762403156897241</v>
      </c>
      <c r="BS204" s="197">
        <f>BT204+各项系数!$L$9*$NM204</f>
        <v>11.883616040510448</v>
      </c>
      <c r="BT204" s="197">
        <f>BU204*(1+$CG204+各项系数!$J$5+各项系数!$L$5)</f>
        <v>11.799758794270184</v>
      </c>
      <c r="BU204" s="197">
        <f t="shared" si="647"/>
        <v>11.456076499291441</v>
      </c>
      <c r="BV204" s="196">
        <f>BW204+各项系数!$M$9*$NT204</f>
        <v>12.201652811552799</v>
      </c>
      <c r="BW204" s="196">
        <f>BX204*(1+$CF204+(VLOOKUP($AM204,$A$12:$B$214,2,0))+各项系数!$J$6+各项系数!$M$5)*(1+$E$2)</f>
        <v>12.114000488111817</v>
      </c>
      <c r="BX204" s="197">
        <f>BY204+各项系数!$L$9*$NT$12</f>
        <v>12.238836621652675</v>
      </c>
      <c r="BY204" s="197">
        <f>BZ204*(1+$CG204+各项系数!$J$5+各项系数!$L$5)</f>
        <v>12.230573218497701</v>
      </c>
      <c r="BZ204" s="199">
        <f t="shared" ref="BZ204:BZ214" si="945">SUM($FB204,$FQ204,$FX204,$GP204,$GY204,$IE204)</f>
        <v>11.874342930580292</v>
      </c>
      <c r="CA204" s="196">
        <f>CB204+各项系数!$M$9*$NT204</f>
        <v>12.665880955737931</v>
      </c>
      <c r="CB204" s="196">
        <f>CC204*(1+$CF204+(VLOOKUP($AM204,$A$12:$B$214,2,0))+各项系数!$J$6+各项系数!$M$5)*(1+$E$2)</f>
        <v>12.578228632296948</v>
      </c>
      <c r="CC204" s="197">
        <f>CD204+各项系数!$L$9*$NT$12</f>
        <v>12.707848688923974</v>
      </c>
      <c r="CD204" s="197">
        <f>CE204*(1+$CG204+各项系数!$J$5+各项系数!$L$5)</f>
        <v>12.699585285769</v>
      </c>
      <c r="CE204" s="199">
        <f t="shared" si="648"/>
        <v>12.329694452202913</v>
      </c>
      <c r="CF204" s="211">
        <f>(BI204+$CF$2)-BI204/1.3</f>
        <v>0</v>
      </c>
      <c r="CG204" s="213">
        <f t="shared" ref="CG204:CG214" si="946">BJ204+$E$4</f>
        <v>0.01</v>
      </c>
      <c r="CH204" s="102"/>
      <c r="CI204" s="196">
        <f>CJ204+各项系数!$M$9*$NO204</f>
        <v>11.923511858437864</v>
      </c>
      <c r="CJ204" s="196">
        <f>CK204*(1+$DC204+(VLOOKUP($AM204,$A$12:$B$323,2,0))+各项系数!$J$6+各项系数!$M$5)*(1+$E$2)+各项系数!$M$9*$NK204</f>
        <v>11.797091518549708</v>
      </c>
      <c r="CK204" s="197">
        <f>CL204+各项系数!$L$9*$NO204</f>
        <v>11.833940465052985</v>
      </c>
      <c r="CL204" s="197">
        <f>CM204*(1+$DD204+各项系数!$J$5+各项系数!$L$5)</f>
        <v>11.707520125164828</v>
      </c>
      <c r="CM204" s="197">
        <f t="shared" ref="CM204:CM214" si="947">SUM($FB204,$IJ204,$IX204,$JK204,$KG204,$LI204)</f>
        <v>11.477960907024341</v>
      </c>
      <c r="CN204" s="196">
        <f>CO204+各项系数!$M$9*$NO204</f>
        <v>12.353938702134771</v>
      </c>
      <c r="CO204" s="196">
        <f>CP204*(1+$DC204+(VLOOKUP($AM204,$A$12:$B$323,2,0))+各项系数!$J$6+各项系数!$M$5)*(1+$E$2)+各项系数!$M$9*$NK204</f>
        <v>12.227518362246615</v>
      </c>
      <c r="CP204" s="197">
        <f>CQ204+各项系数!$L$9*$NO204</f>
        <v>12.26880290564392</v>
      </c>
      <c r="CQ204" s="197">
        <f>CR204*(1+$DD204+各项系数!$J$5+各项系数!$L$5)</f>
        <v>12.142382565755764</v>
      </c>
      <c r="CR204" s="197">
        <f t="shared" ref="CR204:CR214" si="948">SUM($FB204,$IJ204,$IX204,$JK204,$KG204,$HC204)</f>
        <v>11.904296633093885</v>
      </c>
      <c r="CS204" s="196">
        <f>CT204+各项系数!$M$9*$NU204</f>
        <v>12.851762373464846</v>
      </c>
      <c r="CT204" s="196">
        <f t="shared" ref="CT204:CT214" si="949">CU204*(1+$DC204+(VLOOKUP($AM204,$A$12:$B$323,2,0)))*(1+$E$2)+$E$3*$OM204</f>
        <v>12.720977048402887</v>
      </c>
      <c r="CU204" s="197">
        <f>CV204+各项系数!$L$9*$NU204</f>
        <v>12.852068143466241</v>
      </c>
      <c r="CV204" s="197">
        <f>CW204*(1+$DD204+各项系数!$J$5+各项系数!$L$5)</f>
        <v>12.721282818404282</v>
      </c>
      <c r="CW204" s="199">
        <f t="shared" ref="CW204:CW214" si="950">SUM($FB204,$IJ204,$IX204,$JK204,$KG204,$KO204,$LM204)</f>
        <v>12.471845900396355</v>
      </c>
      <c r="CX204" s="196">
        <f>CY204+各项系数!$M$9*$NU204</f>
        <v>13.459504266685293</v>
      </c>
      <c r="CY204" s="196">
        <f t="shared" ref="CY204:CY214" si="951">CZ204*(1+$DC204+(VLOOKUP($AM204,$A$12:$B$323,2,0)))*(1+$E$2)+$E$3*$OM204</f>
        <v>13.328718941623334</v>
      </c>
      <c r="CZ204" s="197">
        <f>DA204+各项系数!$L$9*$NU204</f>
        <v>13.466072885050853</v>
      </c>
      <c r="DA204" s="197">
        <f>DB204*(1+$DD204+各项系数!$J$5+各项系数!$L$5)</f>
        <v>13.335287559988894</v>
      </c>
      <c r="DB204" s="199">
        <f t="shared" ref="DB204:DB214" si="952">SUM($FB204,$IJ204,$IX204,$JK204,$KG204,$KO204,$KW204)</f>
        <v>13.073811333322444</v>
      </c>
      <c r="DC204" s="211">
        <f>(BI204+$DC$2)-BI204/1.3</f>
        <v>0</v>
      </c>
      <c r="DD204" s="213">
        <f t="shared" ref="DD204:DD214" si="953">BJ204+$E$5</f>
        <v>0</v>
      </c>
      <c r="DE204" s="53" t="s">
        <v>498</v>
      </c>
      <c r="DF204" s="53" t="s">
        <v>513</v>
      </c>
      <c r="DG204" s="196">
        <f>DH204+各项系数!$M$9*$NQ204</f>
        <v>12.126588709044512</v>
      </c>
      <c r="DH204" s="196">
        <f>DI204*(1+$EA204+(VLOOKUP($AM204,$A$12:$B$323,2,0))+各项系数!$J$6+各项系数!$M$5)*(1+$E$2)+各项系数!$M$9*$NK204</f>
        <v>12.000168369156356</v>
      </c>
      <c r="DI204" s="197">
        <f>DJ204+各项系数!$L$9*$NQ204</f>
        <v>12.039110045378958</v>
      </c>
      <c r="DJ204" s="197">
        <f>DK204*(1+$EB204+各项系数!$J$5+各项系数!$L$5)</f>
        <v>11.912689705490802</v>
      </c>
      <c r="DK204" s="197">
        <f t="shared" ref="DK204:DK214" si="954">SUM($FB204,$IJ204,$IX204,$JK204,$KG204,$LQ204)</f>
        <v>11.565718160670681</v>
      </c>
      <c r="DL204" s="196">
        <f>DM204+各项系数!$M$9*$NQ204</f>
        <v>12.642703392918554</v>
      </c>
      <c r="DM204" s="196">
        <f>DN204*(1+$EA204+(VLOOKUP($AM204,$A$12:$B$323,2,0))+各项系数!$J$6+各项系数!$M$5)*(1+$E$2)+各项系数!$M$9*$NK204</f>
        <v>12.516283053030397</v>
      </c>
      <c r="DN204" s="197">
        <f>DO204+各项系数!$L$9*$NQ204</f>
        <v>12.560543348949418</v>
      </c>
      <c r="DO204" s="197">
        <f>DP204*(1+$EB204+各项系数!$J$5+各项系数!$L$5)</f>
        <v>12.434123009061262</v>
      </c>
      <c r="DP204" s="197">
        <f t="shared" ref="DP204:DP214" si="955">SUM($FB204,$IJ204,$IX204,$JK204,$KG204,$LA204)</f>
        <v>12.071964086467244</v>
      </c>
      <c r="DQ204" s="196">
        <f>DR204+各项系数!$M$9*$NV204</f>
        <v>13.065875962096621</v>
      </c>
      <c r="DR204" s="196">
        <f t="shared" ref="DR204:DR214" si="956">DS204*(1+$EA204+(VLOOKUP($AM204,$A$12:$B$323,2,0)))*(1+$E$2)+$E$3*$NV204</f>
        <v>12.935090637034662</v>
      </c>
      <c r="DS204" s="197">
        <f>DT204+各项系数!$L$9*$NV204</f>
        <v>13.068388196640395</v>
      </c>
      <c r="DT204" s="197">
        <f>DU204*(1+$EB204+各项系数!$J$5+各项系数!$L$5)</f>
        <v>12.937602871578436</v>
      </c>
      <c r="DU204" s="199">
        <f t="shared" ref="DU204:DU214" si="957">SUM($FB204,IX204,$IJ204,$JK204,$KG204,$LU204,$KO204)</f>
        <v>12.560779486969356</v>
      </c>
      <c r="DV204" s="196">
        <f>DW204+各项系数!$M$9*$NV204</f>
        <v>13.252457100531064</v>
      </c>
      <c r="DW204" s="196">
        <f t="shared" ref="DW204:DW214" si="958">DX204*(1+$EA204+(VLOOKUP($AM204,$A$12:$B$323,2,0)))*(1+$E$2)+$E$3*$NV204</f>
        <v>13.121671775469105</v>
      </c>
      <c r="DX204" s="197">
        <f>DY204+各项系数!$L$9*$NV204</f>
        <v>13.256892074630334</v>
      </c>
      <c r="DY204" s="197">
        <f>DZ204*(1+$EB204+各项系数!$J$5+各项系数!$L$5)</f>
        <v>13.126106749568375</v>
      </c>
      <c r="DZ204" s="199">
        <f t="shared" ref="DZ204:DZ214" si="959">SUM($FB204,JE204,$IJ204,$JK204,$KG204,$LE204,$KO204)</f>
        <v>12.743792960745996</v>
      </c>
      <c r="EA204" s="211">
        <f>(BI204+$EA$2)-BI204/1.3</f>
        <v>0</v>
      </c>
      <c r="EB204" s="213">
        <f t="shared" ref="EB204:EB214" si="960">BJ204+$E$6</f>
        <v>0.01</v>
      </c>
      <c r="EC204" s="235">
        <f t="shared" si="649"/>
        <v>3</v>
      </c>
      <c r="ED204" s="235" t="str">
        <f t="shared" si="890"/>
        <v>3*6</v>
      </c>
      <c r="EE204" s="189">
        <f t="shared" si="891"/>
        <v>6</v>
      </c>
      <c r="EF204" s="189">
        <f>LOOKUP(EH204,{1,7,10,14,19,24,30,37,48,61},{1,"1+6","2+8","4+10","1+6+12","2+8+14","4+10+16","1+6+12+18","3+9+15+21","1+6+12+18+24"})</f>
        <v>1</v>
      </c>
      <c r="EG204" s="188">
        <f t="shared" ref="EG204:EG214" si="961">IF(D204="",0,MID(D204,1,FIND("*",D204)-1))*1</f>
        <v>3</v>
      </c>
      <c r="EH204" s="197">
        <f>VLOOKUP(EE204,各项系数!$B$87:$C$124,2,0)</f>
        <v>1</v>
      </c>
      <c r="EI204" s="188">
        <f>IF(EH204=0,0,VLOOKUP(EH204,各项系数!$D$142:$E$195,2,0))*1</f>
        <v>1</v>
      </c>
      <c r="EJ204" s="238">
        <f t="shared" si="650"/>
        <v>267.425148012862</v>
      </c>
      <c r="EK204" s="189">
        <f t="shared" si="892"/>
        <v>0</v>
      </c>
      <c r="EL204" s="189">
        <f t="shared" ref="EL204:EL214" si="962">IF(COUNTIF(D204,"*+*")&gt;0,(MID(D204,FIND("#",SUBSTITUTE(D204,"*","#",2))+1,FIND("#",SUBSTITUTE(D204,"*","#",2))-1)),0)</f>
        <v>0</v>
      </c>
      <c r="EM204" s="189">
        <f t="shared" si="893"/>
        <v>0</v>
      </c>
      <c r="EN204" s="189">
        <f>IF(EP204=0,0,LOOKUP(EP204,{1,7,10,14,19,24,30,37,48,61},{1,"1+6","2+8","4+10","1+6+12","2+8+14","4+10+16","1+6+12+18","3+9+15+21","1+6+12+18+24"}))</f>
        <v>0</v>
      </c>
      <c r="EO204" s="189">
        <f t="shared" si="894"/>
        <v>0</v>
      </c>
      <c r="EP204" s="189">
        <f>IF(EM204=0,0,IF(EM204&lt;10,1,IF(AND(EM204&gt;=10,EM204&lt;=35),7,LOOKUP(EM204,{50,70,95,120,150,185,240,300},{10,14,19,24,30,37,48,61})*1)))</f>
        <v>0</v>
      </c>
      <c r="EQ204" s="189">
        <f>IF(EP204=0,0,VLOOKUP(EP204,各项系数!$D$142:$E$195,2,0))*1</f>
        <v>0</v>
      </c>
      <c r="ER204" s="53">
        <f t="shared" si="895"/>
        <v>0</v>
      </c>
      <c r="ES204" s="412">
        <f t="shared" si="896"/>
        <v>3</v>
      </c>
      <c r="ET204" s="189">
        <f>VLOOKUP(ES204,各项系数!$D$142:$E$195,2,0)*1</f>
        <v>2.16</v>
      </c>
      <c r="EU204" s="243">
        <f>((各项系数!$F$76/4*$EJ204^2*$EG204*$EH204*1*10^-7)*(1-$H204)*AA204)*(VLOOKUP($EY$9,各项系数!$D$4:$F$143,3,0))*各项系数!$J$4</f>
        <v>0.14905291281308897</v>
      </c>
      <c r="EV204" s="244">
        <f>EU204*(VLOOKUP($EY$9,各项系数!$D$4:$F$143,2,0))</f>
        <v>9.7629657892573274</v>
      </c>
      <c r="EW204" s="252">
        <f>(IF($EO204=0,0,(各项系数!$F$76/4*$ER204^2*$EO204*$EP204*1*10^-7))*(1-$K204)*$AF204)*(VLOOKUP($EY$9,各项系数!$D$4:$F$143,3,0))*各项系数!$J$4</f>
        <v>0</v>
      </c>
      <c r="EX204" s="253">
        <f>EW204*(VLOOKUP($EY$9,各项系数!$D$4:$F$143,2,0))</f>
        <v>0</v>
      </c>
      <c r="EY204" s="189">
        <f>((各项系数!$F$76/4*$EJ204^2*$EG204*$EH204*1*10^-7)*(1-$H204)*AA204+IF($EO204=0,0,(各项系数!$F$76/4*$ER204^2*$EO204*$EP204*1*10^-7))*(1-$K204)*$AF204)*(VLOOKUP($EY$9,各项系数!$D$4:$F$143,3,0))*各项系数!$J$4</f>
        <v>0.14905291281308897</v>
      </c>
      <c r="EZ204" s="102">
        <v>1</v>
      </c>
      <c r="FA204" s="189">
        <f t="shared" si="897"/>
        <v>0.14905291281308897</v>
      </c>
      <c r="FB204" s="254">
        <f>FA204*(VLOOKUP($EY$9,各项系数!$D$4:$F$143,2,0))</f>
        <v>9.7629657892573274</v>
      </c>
      <c r="FC204" s="255"/>
      <c r="FD204" s="235">
        <f>各项系数!$F$76/4*($MN204^2-MK204^2)*10^-2*(VLOOKUP(L204,各项系数!$D$1:$F$143,3,0))*10^-3*10^2*$EG204*各项系数!$J$4</f>
        <v>2.436477360847028E-2</v>
      </c>
      <c r="FE204" s="262">
        <f>FD204*VLOOKUP(L204,各项系数!$D$1:$F$143,2,0)</f>
        <v>0.28019489649740825</v>
      </c>
      <c r="FF204" s="188">
        <f>各项系数!$F$76/4*($MO204^2-ML204^2)*10^-2*(VLOOKUP(L204,各项系数!$D$1:$F$143,3,0))*10^-3*10^2*$EO204*各项系数!$J$4</f>
        <v>0</v>
      </c>
      <c r="FG204" s="262">
        <f>FF204*VLOOKUP(L204,各项系数!$D$1:$F$143,2,0)</f>
        <v>0</v>
      </c>
      <c r="FH204" s="235">
        <f t="shared" si="651"/>
        <v>2.436477360847028E-2</v>
      </c>
      <c r="FI204" s="102">
        <v>1</v>
      </c>
      <c r="FJ204" s="189">
        <f t="shared" si="898"/>
        <v>2.436477360847028E-2</v>
      </c>
      <c r="FK204" s="262">
        <f>FJ204*VLOOKUP(L204,各项系数!$D$1:$F$143,2,0)</f>
        <v>0.28019489649740825</v>
      </c>
      <c r="FL204" s="235"/>
      <c r="FM204" s="102"/>
      <c r="FN204" s="189"/>
      <c r="FO204" s="262"/>
      <c r="FP204" s="282">
        <f t="shared" si="899"/>
        <v>2.436477360847028E-2</v>
      </c>
      <c r="FQ204" s="282">
        <f t="shared" si="900"/>
        <v>0.28019489649740825</v>
      </c>
      <c r="FR204" s="283">
        <f>各项系数!$F$76/4*($MQ204^2-$MN204^2*$EG204-$MO204^2*$EO204)*10^-2</f>
        <v>0.2171482123243868</v>
      </c>
      <c r="FS204" s="284">
        <f t="shared" si="652"/>
        <v>1</v>
      </c>
      <c r="FT204" s="285">
        <f t="shared" ref="FT204:FT214" si="963">FR204*$FS204</f>
        <v>0.2171482123243868</v>
      </c>
      <c r="FU204" s="302">
        <f>$FT204*(VLOOKUP($FT$9,各项系数!$D$1:$F$143,3,0))*10^-3*10^2*各项系数!$J$55</f>
        <v>2.5927496551531783E-2</v>
      </c>
      <c r="FV204" s="303">
        <v>1</v>
      </c>
      <c r="FW204" s="304">
        <f t="shared" si="901"/>
        <v>2.5927496551531783E-2</v>
      </c>
      <c r="FX204" s="285">
        <f>FW204*(VLOOKUP($FT$9,各项系数!$D$1:$F$143,2,0))</f>
        <v>7.7782489654595346E-2</v>
      </c>
      <c r="FY204" s="302">
        <f>IF($BK204&lt;&gt;$FY$9,0,各项系数!$F$76/4*($MS204^2-$MQ204^2)*10^-2*(VLOOKUP($FY$9,各项系数!$D$1:$F$143,3,0))*10^-3*10^2)*各项系数!$J$4</f>
        <v>0</v>
      </c>
      <c r="FZ204" s="303">
        <v>1</v>
      </c>
      <c r="GA204" s="304">
        <f t="shared" si="902"/>
        <v>0</v>
      </c>
      <c r="GB204" s="285">
        <f>GA204*(VLOOKUP($FY$9,各项系数!$D$1:$F$143,2,0))</f>
        <v>0</v>
      </c>
      <c r="GC204" s="302">
        <f>IF($BK204&lt;&gt;$GC$9,0,各项系数!$F$76/4*($MS204^2-$MQ204^2)*10^-2*(VLOOKUP($GC$9,各项系数!$D$1:$F$143,3,0))*10^-3*10^2)*各项系数!$J$4</f>
        <v>2.4205473914096598E-3</v>
      </c>
      <c r="GD204" s="303">
        <v>1</v>
      </c>
      <c r="GE204" s="304">
        <f t="shared" si="903"/>
        <v>2.4205473914096598E-3</v>
      </c>
      <c r="GF204" s="285">
        <f>GE204*(VLOOKUP($GC$9,各项系数!$D$1:$F$143,2,0))</f>
        <v>3.1225061349184614E-2</v>
      </c>
      <c r="GG204" s="302">
        <f>IF($BK204&lt;&gt;$GG$9,0,各项系数!$F$76/4*($MS204^2-$MQ204^2)*10^-2*(VLOOKUP($GG$9,各项系数!$D$1:$F$143,3,0))*10^-3*10^2)*各项系数!$J$4</f>
        <v>0</v>
      </c>
      <c r="GH204" s="303">
        <v>1</v>
      </c>
      <c r="GI204" s="304">
        <f t="shared" si="904"/>
        <v>0</v>
      </c>
      <c r="GJ204" s="285">
        <f>GI204*(VLOOKUP($GG$9,各项系数!$D$1:$F$143,2,0))</f>
        <v>0</v>
      </c>
      <c r="GK204" s="302">
        <f>IF($BK204&lt;&gt;$GK$9,0,各项系数!$F$76/4*($MS204^2-$MQ204^2)*10^-2*(VLOOKUP($GK$9,各项系数!$D$1:$F$143,3,0))*10^-3*10^2)*各项系数!$J$4</f>
        <v>0</v>
      </c>
      <c r="GL204" s="303">
        <v>1</v>
      </c>
      <c r="GM204" s="304">
        <f t="shared" si="905"/>
        <v>0</v>
      </c>
      <c r="GN204" s="285">
        <f>GM204*(VLOOKUP($GK$9,各项系数!$D$1:$F$143,2,0))</f>
        <v>0</v>
      </c>
      <c r="GO204" s="304">
        <f t="shared" si="906"/>
        <v>2.4205473914096598E-3</v>
      </c>
      <c r="GP204" s="304">
        <f t="shared" si="907"/>
        <v>3.1225061349184614E-2</v>
      </c>
      <c r="GQ204" s="315">
        <f>各项系数!$F$76/4*($MU204^2-$MS204^2)*10^-2*(VLOOKUP($S204,各项系数!$D$1:$F$143,3,0))*10^-3*10^2*各项系数!$J$4</f>
        <v>0.14045346992054766</v>
      </c>
      <c r="GR204" s="303">
        <v>1</v>
      </c>
      <c r="GS204" s="304">
        <f t="shared" si="908"/>
        <v>0.14045346992054766</v>
      </c>
      <c r="GT204" s="304">
        <f t="shared" si="909"/>
        <v>1</v>
      </c>
      <c r="GU204" s="304">
        <f>ROUND($GS204*(VLOOKUP($S204,各项系数!$D$1:$F$143,2,0))+$E$3*GS204,GT204)</f>
        <v>0.8</v>
      </c>
      <c r="GV204" s="315">
        <f>各项系数!$F$76/4*($MT204^2-$MS204^2)*10^-2*(VLOOKUP($GV$9,各项系数!$D$1:$F$143,3,0))*10^-3*10^2*各项系数!$J$4*PI()/4*R204</f>
        <v>1.2650257335728381E-2</v>
      </c>
      <c r="GW204" s="303">
        <v>1</v>
      </c>
      <c r="GX204" s="304">
        <f t="shared" si="910"/>
        <v>1.2650257335728381E-2</v>
      </c>
      <c r="GY204" s="304">
        <f>$GX204*(VLOOKUP($GV$9,各项系数!$D$1:$F$143,2,0))</f>
        <v>0.85389237016166575</v>
      </c>
      <c r="GZ204" s="315">
        <f>各项系数!$F$76/4*($MV204^2-$MS204^2)*10^-2*(VLOOKUP($GZ$9,各项系数!$D$1:$F$143,3,0))*10^-3*10^2*各项系数!$J$4</f>
        <v>7.6700486031348589E-2</v>
      </c>
      <c r="HA204" s="303">
        <v>1</v>
      </c>
      <c r="HB204" s="304">
        <f t="shared" si="653"/>
        <v>7.6700486031348589E-2</v>
      </c>
      <c r="HC204" s="304">
        <f>HB204*(VLOOKUP($GZ$9,各项系数!$D$1:$F$143,2,0))</f>
        <v>1.3039082625329259</v>
      </c>
      <c r="HD204" s="315">
        <f>各项系数!$F$76/4*($MW204^2-$MT204^2)*10^-2*(VLOOKUP($HD$9,各项系数!$D$1:$F$143,3,0))*10^-3*10^2*各项系数!$J$4</f>
        <v>7.7860814428396055E-2</v>
      </c>
      <c r="HE204" s="303">
        <v>1</v>
      </c>
      <c r="HF204" s="304">
        <f t="shared" si="654"/>
        <v>7.7860814428396055E-2</v>
      </c>
      <c r="HG204" s="304">
        <f>HF204*(VLOOKUP($HD$9,各项系数!$D$1:$F$143,2,0))</f>
        <v>1.323633845282733</v>
      </c>
      <c r="HH204" s="315">
        <f>各项系数!$F$76/4*($MV204^2-$MS204^2)*10^-2*(VLOOKUP($HH$9,各项系数!$D$1:$F$143,3,0))*10^-3*10^2*各项系数!$J$4</f>
        <v>7.6700486031348589E-2</v>
      </c>
      <c r="HI204" s="322">
        <v>1</v>
      </c>
      <c r="HJ204" s="304">
        <f t="shared" si="655"/>
        <v>7.6700486031348589E-2</v>
      </c>
      <c r="HK204" s="304">
        <f>HJ204*(VLOOKUP($HH$9,各项系数!$D$1:$F$143,2,0))</f>
        <v>1.3039082625329259</v>
      </c>
      <c r="HL204" s="315">
        <f>各项系数!$F$76/4*($MW204^2-$MT204^2)*10^-2*(VLOOKUP($HL$9,各项系数!$D$1:$F$143,3,0))*10^-3*10^2*各项系数!$J$4</f>
        <v>7.7860814428396055E-2</v>
      </c>
      <c r="HM204" s="322">
        <v>1</v>
      </c>
      <c r="HN204" s="304">
        <f t="shared" ref="HN204:HN214" si="964">HM204*HL204</f>
        <v>7.7860814428396055E-2</v>
      </c>
      <c r="HO204" s="304">
        <f>HN204*(VLOOKUP($HL$9,各项系数!$D$1:$F$143,2,0))</f>
        <v>1.323633845282733</v>
      </c>
      <c r="HP204" s="315">
        <f>各项系数!$F$76/4*($MV204^2-$MS204^2)*10^-2*(VLOOKUP(AN204,各项系数!$D$1:$F$143,3,0))*10^-3*10^2*各项系数!$J$4</f>
        <v>7.775842376971201E-2</v>
      </c>
      <c r="HQ204" s="303">
        <v>1</v>
      </c>
      <c r="HR204" s="304">
        <f t="shared" si="911"/>
        <v>7.775842376971201E-2</v>
      </c>
      <c r="HS204" s="304">
        <f>HR204*(VLOOKUP(AN204,各项系数!$D$1:$F$143,2,0))</f>
        <v>0.77758423769712004</v>
      </c>
      <c r="HT204" s="315">
        <f>各项系数!$F$76/4*($MW204^2-$MT204^2)*10^-2*(VLOOKUP(AN204,各项系数!$D$1:$F$143,3,0))*10^-3*10^2*各项系数!$J$4</f>
        <v>7.8934756696373926E-2</v>
      </c>
      <c r="HU204" s="303">
        <v>1</v>
      </c>
      <c r="HV204" s="304">
        <f t="shared" si="912"/>
        <v>7.8934756696373926E-2</v>
      </c>
      <c r="HW204" s="304">
        <f>HV204*(VLOOKUP(AN204,各项系数!$D$1:$F$143,2,0))</f>
        <v>0.78934756696373931</v>
      </c>
      <c r="HX204" s="315">
        <f>各项系数!$F$76/4*($MV204^2-$MS204^2)*10^-2*(VLOOKUP($HX$9,各项系数!$D$1:$F$143,3,0))*10^-3*10^2*各项系数!$J$4</f>
        <v>7.775842376971201E-2</v>
      </c>
      <c r="HY204" s="322">
        <v>1</v>
      </c>
      <c r="HZ204" s="304">
        <f t="shared" si="913"/>
        <v>7.775842376971201E-2</v>
      </c>
      <c r="IA204" s="304">
        <f>HZ204*(VLOOKUP($HX$9,各项系数!$D$1:$F$143,2,0))</f>
        <v>0.85534266146683213</v>
      </c>
      <c r="IB204" s="315">
        <f>各项系数!$F$76/4*($MW204^2-$MT204^2)*10^-2*(VLOOKUP($IB$9,各项系数!$D$1:$F$143,3,0))*10^-3*10^2*各项系数!$J$4</f>
        <v>7.8934756696373926E-2</v>
      </c>
      <c r="IC204" s="322">
        <v>1</v>
      </c>
      <c r="ID204" s="304">
        <f t="shared" si="914"/>
        <v>7.8934756696373926E-2</v>
      </c>
      <c r="IE204" s="304">
        <f>ID204*(VLOOKUP($IB$9,各项系数!$D$1:$F$143,2,0))</f>
        <v>0.86828232366011315</v>
      </c>
      <c r="IF204" s="328"/>
      <c r="IG204" s="315">
        <f t="shared" si="656"/>
        <v>1.2551175674773773E-2</v>
      </c>
      <c r="IH204" s="303">
        <v>1</v>
      </c>
      <c r="II204" s="304">
        <f t="shared" si="915"/>
        <v>1.2551175674773773E-2</v>
      </c>
      <c r="IJ204" s="304">
        <f>II204*(VLOOKUP($IG$8,各项系数!$D$1:$F$143,2,0))</f>
        <v>0.31377939186934434</v>
      </c>
      <c r="IK204" s="315">
        <f>(各项系数!$F$76/4*($MX204^2-$MK204^2)*$EG204)*10^-2*(VLOOKUP($IG$8,各项系数!$D$1:$F$143,3,0))*10^-3*10^2*各项系数!$J$4</f>
        <v>1.2551175674773773E-2</v>
      </c>
      <c r="IL204" s="303">
        <f>IK204*(VLOOKUP($IG$8,各项系数!$D$1:$F$143,2,0))</f>
        <v>0.31377939186934434</v>
      </c>
      <c r="IM204" s="304">
        <f>(各项系数!$F$76/4*(($MM204+3*$X204)^2-MM204^2)*$EO204)*10^-2*(VLOOKUP($IG$8,各项系数!$D$1:$F$143,3,0))*10^-3*10^2*各项系数!$J$4</f>
        <v>0</v>
      </c>
      <c r="IN204" s="303">
        <f>IM204*(VLOOKUP($IG$8,各项系数!$D$1:$F$143,2,0))</f>
        <v>0</v>
      </c>
      <c r="IO204" s="315">
        <f>各项系数!$F$76/4*($MZ204^2-$MX204^2)*10^-2*(VLOOKUP(L204,各项系数!$D$1:$F$143,3,0))*10^-3*10^2*$ES204*各项系数!$J$4</f>
        <v>2.8697249789256359E-2</v>
      </c>
      <c r="IP204" s="303">
        <v>1</v>
      </c>
      <c r="IQ204" s="304">
        <f t="shared" si="916"/>
        <v>2.8697249789256359E-2</v>
      </c>
      <c r="IR204" s="285">
        <f>IQ204*(VLOOKUP(L204,各项系数!$D$1:$F$143,2,0))</f>
        <v>0.33001837257644812</v>
      </c>
      <c r="IS204" s="315">
        <f>IF($L204&lt;&gt;$IS$9,0,各项系数!$F$76/4*($MZ204^2-$MX204^2)*10^-2*各项系数!$F$12*10^-3*10^2)*$ES204*各项系数!$J$4</f>
        <v>0</v>
      </c>
      <c r="IT204" s="303">
        <v>1</v>
      </c>
      <c r="IU204" s="304">
        <f t="shared" si="917"/>
        <v>0</v>
      </c>
      <c r="IV204" s="285">
        <f>IU204*各项系数!$E$12</f>
        <v>0</v>
      </c>
      <c r="IW204" s="302">
        <f t="shared" si="918"/>
        <v>2.8697249789256359E-2</v>
      </c>
      <c r="IX204" s="302">
        <f t="shared" si="919"/>
        <v>0.33001837257644812</v>
      </c>
      <c r="IY204" s="339">
        <f>各项系数!$F$76/4*($NB204^2-$MZ204^2*$EG204-$NA204^2*$EO204)*10^-2</f>
        <v>0.28581481918993562</v>
      </c>
      <c r="IZ204" s="284">
        <f t="shared" si="697"/>
        <v>1</v>
      </c>
      <c r="JA204" s="285">
        <f t="shared" ref="JA204:JA214" si="965">IY204*$IZ204</f>
        <v>0.28581481918993562</v>
      </c>
      <c r="JB204" s="282">
        <f>IF($DE204&lt;&gt;$JB$9,0,$JA204*各项系数!$F$32*10^-3*10^2)*各项系数!$J$4</f>
        <v>0</v>
      </c>
      <c r="JC204" s="102">
        <v>1</v>
      </c>
      <c r="JD204" s="189">
        <f t="shared" si="920"/>
        <v>0</v>
      </c>
      <c r="JE204" s="262">
        <f>JD204*各项系数!$E$32</f>
        <v>0</v>
      </c>
      <c r="JF204" s="282">
        <f>IF($DE204&lt;&gt;$JF$9,0,$JA204*VLOOKUP($JF$9,各项系数!$D$4:$F$540,2,0)*10^-3*10^2)*各项系数!$J$4</f>
        <v>0.14219287254699298</v>
      </c>
      <c r="JG204" s="102">
        <v>1</v>
      </c>
      <c r="JH204" s="189">
        <f t="shared" ref="JH204:JH214" si="966">JG204*JF204</f>
        <v>0.14219287254699298</v>
      </c>
      <c r="JI204" s="262">
        <f>JH204*VLOOKUP($JF$9,各项系数!$D$4:$F$540,3,0)</f>
        <v>0.17063144705639158</v>
      </c>
      <c r="JJ204" s="282">
        <f t="shared" si="921"/>
        <v>0.14219287254699298</v>
      </c>
      <c r="JK204" s="189">
        <f t="shared" si="922"/>
        <v>0.17063144705639158</v>
      </c>
      <c r="JL204" s="282">
        <f>IF($DF204&lt;&gt;$JL$9,0,各项系数!$F$76/4*($NE204^2-$NC204^2)*10^-2*各项系数!$F$39*10^-3*10^2)*各项系数!$J$4</f>
        <v>1.1496684900722883E-3</v>
      </c>
      <c r="JM204" s="102">
        <v>1</v>
      </c>
      <c r="JN204" s="189">
        <f t="shared" si="923"/>
        <v>1.1496684900722883E-3</v>
      </c>
      <c r="JO204" s="262">
        <f>JN204*各项系数!$E$39</f>
        <v>2.2993369801445764E-2</v>
      </c>
      <c r="JP204" s="282">
        <f>IF($DF204&lt;&gt;$JP$9,0,各项系数!$F$76/4*($NE204^2-$NC204^2)*10^-2*各项系数!$F$36*10^-3*10^2)*各项系数!$J$4</f>
        <v>0</v>
      </c>
      <c r="JQ204" s="102">
        <v>1</v>
      </c>
      <c r="JR204" s="189">
        <f t="shared" si="924"/>
        <v>0</v>
      </c>
      <c r="JS204" s="262">
        <f>JR204*各项系数!$E$36</f>
        <v>0</v>
      </c>
      <c r="JT204" s="282">
        <f>IF($DF204&lt;&gt;$JT$9,0,各项系数!$F$76/4*($NE204^2-$NC204^2)*10^-2*各项系数!$F$40*10^-3*10^2)*各项系数!$J$4</f>
        <v>0</v>
      </c>
      <c r="JU204" s="102">
        <v>1</v>
      </c>
      <c r="JV204" s="189">
        <f t="shared" si="925"/>
        <v>0</v>
      </c>
      <c r="JW204" s="262">
        <f>JV204*各项系数!$E$40</f>
        <v>0</v>
      </c>
      <c r="JX204" s="282">
        <f>IF($DF204&lt;&gt;$JX$9,0,各项系数!$F$76/4*($NE204^2-$NC204^2)*10^-2*各项系数!$F$38*10^-3*10^2)*各项系数!$J$4</f>
        <v>0</v>
      </c>
      <c r="JY204" s="102">
        <v>1</v>
      </c>
      <c r="JZ204" s="189">
        <f t="shared" si="926"/>
        <v>0</v>
      </c>
      <c r="KA204" s="262">
        <f>JZ204*各项系数!$E$38</f>
        <v>0</v>
      </c>
      <c r="KB204" s="282">
        <f>IF($DF204&lt;&gt;$KB$9,0,各项系数!$F$76/4*($NE204^2-$NC204^2)*10^-2*各项系数!$F$41*10^-3*10^2)*各项系数!$J$4</f>
        <v>0</v>
      </c>
      <c r="KC204" s="102">
        <v>1</v>
      </c>
      <c r="KD204" s="189">
        <f t="shared" si="927"/>
        <v>0</v>
      </c>
      <c r="KE204" s="262">
        <f>KD204*各项系数!$E$41</f>
        <v>0</v>
      </c>
      <c r="KF204" s="189">
        <f t="shared" si="928"/>
        <v>1.1496684900722883E-3</v>
      </c>
      <c r="KG204" s="189">
        <f t="shared" si="929"/>
        <v>2.2993369801445764E-2</v>
      </c>
      <c r="KH204" s="235">
        <f>各项系数!$F$76/4*($NG204^2-$NE204^2)*10^-2*各项系数!$F$44*10^-3*10^2*各项系数!$J$4*0.75*$U204</f>
        <v>0.48120034570696218</v>
      </c>
      <c r="KI204" s="102">
        <v>1</v>
      </c>
      <c r="KJ204" s="189">
        <f t="shared" si="930"/>
        <v>0.48120034570696218</v>
      </c>
      <c r="KK204" s="189">
        <f>ROUND(KJ204*各项系数!$E$43,GT204)</f>
        <v>2.8</v>
      </c>
      <c r="KL204" s="235">
        <f>各项系数!$F$76/4*($NF204^2-$NE204^2)*10^-2*各项系数!$F$46*10^-3*10^2*各项系数!$J$4*PI()/4*R204</f>
        <v>1.4549950579339175E-2</v>
      </c>
      <c r="KM204" s="102">
        <v>1</v>
      </c>
      <c r="KN204" s="189">
        <f t="shared" si="931"/>
        <v>1.4549950579339175E-2</v>
      </c>
      <c r="KO204" s="189">
        <f>KN204*各项系数!$E$46</f>
        <v>0.98212166410539425</v>
      </c>
      <c r="KP204" s="235">
        <f>各项系数!$F$76/4*($NH204^2-$NE204^2)*10^-2*(VLOOKUP($KP$9,各项系数!$D$1:$F$143,3,0))*10^-3*10^2*各项系数!$J$4</f>
        <v>8.6563277406252068E-2</v>
      </c>
      <c r="KQ204" s="102">
        <v>1</v>
      </c>
      <c r="KR204" s="189">
        <f t="shared" si="657"/>
        <v>8.6563277406252068E-2</v>
      </c>
      <c r="KS204" s="189">
        <f>KR204*(VLOOKUP($KP$9,各项系数!$D$1:$F$143,2,0))</f>
        <v>1.4715757159062852</v>
      </c>
      <c r="KT204" s="235">
        <f>各项系数!$F$76/4*($NI204^2-$NF204^2)*10^-2*(VLOOKUP($KT$9,各项系数!$D$1:$F$143,3,0))*10^-3*10^2*各项系数!$J$4</f>
        <v>8.7723605803299534E-2</v>
      </c>
      <c r="KU204" s="102">
        <v>1</v>
      </c>
      <c r="KV204" s="189">
        <f t="shared" si="658"/>
        <v>8.7723605803299534E-2</v>
      </c>
      <c r="KW204" s="189">
        <f>KV204*(VLOOKUP($KT$9,各项系数!$D$1:$F$143,2,0))</f>
        <v>1.4913012986560921</v>
      </c>
      <c r="KX204" s="189">
        <f>各项系数!$F$76/4*($NH204^2-$NE204^2)*10^-2*(VLOOKUP($KX$9,各项系数!$D$1:$F$143,3,0))*10^-3*10^2*各项系数!$J$4</f>
        <v>8.6563277406252068E-2</v>
      </c>
      <c r="KY204" s="353">
        <v>1</v>
      </c>
      <c r="KZ204" s="189">
        <f t="shared" si="659"/>
        <v>8.6563277406252068E-2</v>
      </c>
      <c r="LA204" s="189">
        <f>KZ204*(VLOOKUP($KX$9,各项系数!$D$1:$F$143,2,0))</f>
        <v>1.4715757159062852</v>
      </c>
      <c r="LB204" s="189">
        <f>各项系数!$F$76/4*($NI204^2-$NF204^2)*10^-2*(VLOOKUP($LB$9,各项系数!$D$1:$F$143,3,0))*10^-3*10^2*各项系数!$J$4</f>
        <v>8.7723605803299534E-2</v>
      </c>
      <c r="LC204" s="353">
        <v>1</v>
      </c>
      <c r="LD204" s="189">
        <f t="shared" si="660"/>
        <v>8.7723605803299534E-2</v>
      </c>
      <c r="LE204" s="189">
        <f>LD204*(VLOOKUP($LB$9,各项系数!$D$1:$F$143,2,0))</f>
        <v>1.4913012986560921</v>
      </c>
      <c r="LF204" s="235">
        <f>各项系数!$F$76/4*($NH204^2-$NE204^2)*10^-2*(VLOOKUP(AN204,各项系数!$D$1:$F$143,3,0))*10^-3*10^2*各项系数!$J$4</f>
        <v>8.7757253646338296E-2</v>
      </c>
      <c r="LG204" s="102">
        <v>1</v>
      </c>
      <c r="LH204" s="189">
        <f t="shared" si="932"/>
        <v>8.7757253646338296E-2</v>
      </c>
      <c r="LI204" s="189">
        <f>LH204*(VLOOKUP(AN204,各项系数!$D$1:$F$143,2,0))</f>
        <v>0.87757253646338296</v>
      </c>
      <c r="LJ204" s="235">
        <f>各项系数!$F$76/4*($NI204^2-$NF204^2)*10^-2*(VLOOKUP(AN204,各项系数!$D$1:$F$143,3,0))*10^-3*10^2*各项系数!$J$4</f>
        <v>8.893358657300024E-2</v>
      </c>
      <c r="LK204" s="102">
        <v>1</v>
      </c>
      <c r="LL204" s="189">
        <f t="shared" si="933"/>
        <v>8.893358657300024E-2</v>
      </c>
      <c r="LM204" s="189">
        <f>LL204*(VLOOKUP(AN204,各项系数!$D$1:$F$143,2,0))</f>
        <v>0.88933586573000234</v>
      </c>
      <c r="LN204" s="189">
        <f>各项系数!$F$76/4*($NH204^2-$NE204^2)*10^-2*(VLOOKUP($LN$9,各项系数!$D$1:$F$143,3,0))*10^-3*10^2*各项系数!$J$4</f>
        <v>8.7757253646338296E-2</v>
      </c>
      <c r="LO204" s="353">
        <v>1</v>
      </c>
      <c r="LP204" s="189">
        <f t="shared" si="934"/>
        <v>8.7757253646338296E-2</v>
      </c>
      <c r="LQ204" s="189">
        <f>LP204*(VLOOKUP($LN$9,各项系数!$D$1:$F$143,2,0))</f>
        <v>0.96532979010972131</v>
      </c>
      <c r="LR204" s="189">
        <f>各项系数!$F$76/4*($NI204^2-$NF204^2)*10^-2*(VLOOKUP($LR$9,各项系数!$D$1:$F$143,3,0))*10^-3*10^2*各项系数!$J$4</f>
        <v>8.893358657300024E-2</v>
      </c>
      <c r="LS204" s="353">
        <v>1</v>
      </c>
      <c r="LT204" s="189">
        <f t="shared" si="935"/>
        <v>8.893358657300024E-2</v>
      </c>
      <c r="LU204" s="189">
        <f>LT204*(VLOOKUP($LR$9,各项系数!$D$1:$F$143,2,0))</f>
        <v>0.97826945230300266</v>
      </c>
      <c r="LV204" s="227">
        <f t="shared" si="661"/>
        <v>16.850609939999998</v>
      </c>
      <c r="LW204" s="227">
        <f t="shared" si="662"/>
        <v>16.850609939999998</v>
      </c>
      <c r="LX204" s="227">
        <f t="shared" si="663"/>
        <v>4.6319394348928409</v>
      </c>
      <c r="LY204" s="227">
        <f t="shared" si="664"/>
        <v>0</v>
      </c>
      <c r="LZ204" s="374">
        <f t="shared" ref="LZ204:LZ214" si="967">$LZ$8</f>
        <v>1</v>
      </c>
      <c r="MA204" s="375">
        <f t="shared" ref="MA204:MA214" si="968">LV204-LY204*(1-LZ204)</f>
        <v>16.850609939999998</v>
      </c>
      <c r="MB204" s="375">
        <f t="shared" si="665"/>
        <v>2.6742514800000001</v>
      </c>
      <c r="MC204" s="227">
        <f t="shared" si="666"/>
        <v>0</v>
      </c>
      <c r="MD204" s="227">
        <f t="shared" si="667"/>
        <v>0</v>
      </c>
      <c r="ME204" s="227">
        <f t="shared" si="668"/>
        <v>0</v>
      </c>
      <c r="MF204" s="227">
        <f t="shared" si="669"/>
        <v>0</v>
      </c>
      <c r="MG204" s="374">
        <f t="shared" si="670"/>
        <v>1</v>
      </c>
      <c r="MH204" s="375">
        <f t="shared" ref="MH204:MH214" si="969">MC204-MF204*(1-MG204)</f>
        <v>0</v>
      </c>
      <c r="MI204" s="375">
        <f t="shared" si="671"/>
        <v>0</v>
      </c>
      <c r="MJ204" s="189">
        <f t="shared" ref="MJ204:MJ214" si="970">ROUND(ROUND($EJ204*10^-2,8)*$EI204,8)</f>
        <v>2.6742514800000001</v>
      </c>
      <c r="MK204" s="189">
        <f t="shared" si="672"/>
        <v>2.6742514800000001</v>
      </c>
      <c r="ML204" s="189">
        <f t="shared" si="936"/>
        <v>0</v>
      </c>
      <c r="MM204" s="189">
        <f t="shared" ref="MM204:MM214" si="971">(1-$K204)^(1/2)*$MI204</f>
        <v>0</v>
      </c>
      <c r="MN204" s="189">
        <f t="shared" ref="MN204:MN214" si="972">MK204+M204*2</f>
        <v>4.07425148</v>
      </c>
      <c r="MO204" s="189">
        <f t="shared" si="673"/>
        <v>0</v>
      </c>
      <c r="MP204" s="189">
        <f t="shared" si="674"/>
        <v>8.8003832000000006</v>
      </c>
      <c r="MQ204" s="189">
        <f t="shared" si="937"/>
        <v>8.8003832000000006</v>
      </c>
      <c r="MR204" s="246">
        <f t="shared" si="675"/>
        <v>8.8003832000000006</v>
      </c>
      <c r="MS204" s="380">
        <f t="shared" ref="MS204:MS214" si="973">MR204+2*O204*(1+P204)</f>
        <v>8.9763832000000008</v>
      </c>
      <c r="MT204" s="380">
        <f t="shared" ref="MT204:MT214" si="974">MS204+(Q204*R204*2)</f>
        <v>9.1363832000000009</v>
      </c>
      <c r="MU204" s="380">
        <f t="shared" ref="MU204:MU214" si="975">MS204+(T204*U204*1.5)</f>
        <v>10.1763832</v>
      </c>
      <c r="MV204" s="380">
        <f t="shared" ref="MV204:MV214" si="976">MS204+W204*2</f>
        <v>12.1763832</v>
      </c>
      <c r="MW204" s="380">
        <f t="shared" ref="MW204:MW214" si="977">MT204+W204*2</f>
        <v>12.3363832</v>
      </c>
      <c r="MX204" s="254">
        <f t="shared" ref="MX204:MX214" si="978">MK204+3*X204</f>
        <v>3.2742514800000002</v>
      </c>
      <c r="MY204" s="254">
        <f t="shared" ref="MY204:MY214" si="979">IF(MM204=0,0,MM204+3*X204)</f>
        <v>0</v>
      </c>
      <c r="MZ204" s="189">
        <f t="shared" ref="MZ204:MZ214" si="980">MX204+M204*2</f>
        <v>4.6742514800000006</v>
      </c>
      <c r="NA204" s="189">
        <f t="shared" ref="NA204:NA214" si="981">IF(MM204=0,0,MY204+M204*2)</f>
        <v>0</v>
      </c>
      <c r="NB204" s="189">
        <f t="shared" si="676"/>
        <v>10.0963832</v>
      </c>
      <c r="NC204" s="254">
        <f t="shared" si="938"/>
        <v>10.0963832</v>
      </c>
      <c r="ND204" s="246">
        <f t="shared" si="677"/>
        <v>10.0963832</v>
      </c>
      <c r="NE204" s="386">
        <f t="shared" si="678"/>
        <v>10.3363832</v>
      </c>
      <c r="NF204" s="380">
        <f t="shared" ref="NF204:NF214" si="982">NE204++(Q204*R204*2)</f>
        <v>10.4963832</v>
      </c>
      <c r="NG204" s="387">
        <f t="shared" ref="NG204:NG214" si="983">NE204+(T204*U204*1.5)</f>
        <v>11.5363832</v>
      </c>
      <c r="NH204" s="254">
        <f t="shared" ref="NH204:NH214" si="984">NE204+W204*2</f>
        <v>13.5363832</v>
      </c>
      <c r="NI204" s="380">
        <f t="shared" ref="NI204:NI214" si="985">NF204+W204*2</f>
        <v>13.6963832</v>
      </c>
      <c r="NK204" s="388">
        <f t="shared" ref="NK204:NK214" si="986">SUM(HR204,GM204,GI204,GE204,GA204,FW204,FN204,FJ204,FF204,FA204)</f>
        <v>0.27952415413421272</v>
      </c>
      <c r="NL204" s="388">
        <f t="shared" ref="NL204:NL214" si="987">SUM(FB204,FG204,FK204,FO204,FX204,GB204,GF204,GJ204,GN204,HS204)</f>
        <v>10.929752474455634</v>
      </c>
      <c r="NM204" s="388">
        <f t="shared" ref="NM204:NM214" si="988">SUM(HZ204,GM204,GI204,GE204,GA204,FW204,FN204,FJ204,FF204,FA204)</f>
        <v>0.27952415413421272</v>
      </c>
      <c r="NN204" s="388">
        <f t="shared" ref="NN204:NN214" si="989">SUM(FB204,FG204,FK204,FO204,FX204,GB204,GF204,GJ204,GN204,IA204)</f>
        <v>11.007510898225346</v>
      </c>
      <c r="NO204" s="388">
        <f t="shared" ref="NO204:NO214" si="990">SUM(LH204,KD204,JZ204,JV204,JR204,JN204,JH204,JD204,IU204,IQ204,IM204,II204,FA204)</f>
        <v>0.42140113296052267</v>
      </c>
      <c r="NP204" s="388">
        <f t="shared" ref="NP204:NP214" si="991">SUM(LI204,KE204,KA204,JW204,JS204,JO204,JI204,JE204,IV204,IR204,IN204,IJ204,FB204)</f>
        <v>11.47796090702434</v>
      </c>
      <c r="NQ204" s="388">
        <f t="shared" ref="NQ204:NQ214" si="992">SUM(LN204,KD204,JZ204,JV204,JR204,JN204,JH204,JD204,IU204,IQ204,IM204,II204,FA204)</f>
        <v>0.42140113296052267</v>
      </c>
      <c r="NR204" s="388">
        <f t="shared" ref="NR204:NR214" si="993">SUM(FB204,IJ204,IN204,IR204,IV204,JE204,JI204,JO204,JS204,JW204,KA204,KE204,LQ204)</f>
        <v>11.565718160670681</v>
      </c>
      <c r="NS204" s="388">
        <f t="shared" ref="NS204:NS214" si="994">SUM(HR204,GM204,GI204,GE204,GA204,FW204,FN204,FJ204,FF204,FA204,GV204)</f>
        <v>0.29217441146994111</v>
      </c>
      <c r="NT204" s="388">
        <f t="shared" ref="NT204:NT214" si="995">SUM(HZ204,GM204,GI204,GE204,GA204,FW204,FN204,FJ204,FF204,FA204,GV204)</f>
        <v>0.29217441146994111</v>
      </c>
      <c r="NU204" s="388">
        <f t="shared" ref="NU204:NU214" si="996">SUM(LH204,KD204,JZ204,JV204,JR204,JN204,JH204,JD204,IU204,IQ204,IM204,II204,FA204,KL204)</f>
        <v>0.43595108353986184</v>
      </c>
      <c r="NV204" s="388">
        <f t="shared" ref="NV204:NV214" si="997">SUM(LN204,KD204,JZ204,JV204,JR204,JN204,JH204,JD204,IU204,IQ204,IM204,II204,FA204,KL204)</f>
        <v>0.43595108353986184</v>
      </c>
      <c r="NW204">
        <f t="shared" ref="NW204:NW214" si="998">NK204+GS204</f>
        <v>0.41997762405476036</v>
      </c>
      <c r="NX204">
        <f>各项系数!$M$9*NK204</f>
        <v>8.3857246240263819E-2</v>
      </c>
      <c r="NY204">
        <f t="shared" ref="NY204:NY214" si="999">SUM(HR204,GX204,GM204,GI204,GE204,GA204,FW204,FN204,FJ204,FF204,FA204)</f>
        <v>0.29217441146994111</v>
      </c>
    </row>
    <row r="205" spans="1:389" ht="15" hidden="1" customHeight="1">
      <c r="A205" s="69"/>
      <c r="B205" s="70"/>
      <c r="C205" s="69"/>
      <c r="D205" s="69" t="s">
        <v>184</v>
      </c>
      <c r="E205" s="61">
        <f t="shared" si="885"/>
        <v>13.435688580000001</v>
      </c>
      <c r="F205" s="16">
        <f>$F$19</f>
        <v>267.425148012862</v>
      </c>
      <c r="G205" s="16"/>
      <c r="H205" s="16"/>
      <c r="I205" s="145">
        <v>0</v>
      </c>
      <c r="J205" s="16"/>
      <c r="K205" s="16"/>
      <c r="L205" s="97" t="s">
        <v>469</v>
      </c>
      <c r="M205" s="103">
        <f t="shared" si="940"/>
        <v>0.7</v>
      </c>
      <c r="N205" s="103">
        <f t="shared" si="804"/>
        <v>0</v>
      </c>
      <c r="O205" s="53">
        <f t="shared" si="939"/>
        <v>0.08</v>
      </c>
      <c r="P205" s="99">
        <v>0.1</v>
      </c>
      <c r="Q205" s="133">
        <f t="shared" si="941"/>
        <v>0.1</v>
      </c>
      <c r="R205" s="406">
        <v>0.8</v>
      </c>
      <c r="S205" s="142" t="str">
        <f>各项系数!$D$43</f>
        <v>钢带</v>
      </c>
      <c r="T205" s="102">
        <v>0.2</v>
      </c>
      <c r="U205" s="62">
        <v>4</v>
      </c>
      <c r="V205" s="143"/>
      <c r="W205" s="141">
        <f>$W$201</f>
        <v>1.7</v>
      </c>
      <c r="X205" s="135">
        <f t="shared" si="942"/>
        <v>0.2</v>
      </c>
      <c r="Y205" s="135"/>
      <c r="Z205" s="168"/>
      <c r="AA205" s="153">
        <v>1</v>
      </c>
      <c r="AB205" s="153">
        <f>PI()*EJ205*EJ205/4*EH205*(1-H205)*AA205*各项系数!$F$5*各项系数!$J$4*10^-7</f>
        <v>4.9684304271029656E-2</v>
      </c>
      <c r="AC205" s="153">
        <f t="shared" si="886"/>
        <v>267.425148012862</v>
      </c>
      <c r="AD205" s="153">
        <f t="shared" si="943"/>
        <v>5.6168699821977874</v>
      </c>
      <c r="AE205" s="153">
        <f>POWER(4*EU205/PI()/EG205/10^-7/EH205/(1-H205)/各项系数!$F$5/各项系数!$J$4,0.5)</f>
        <v>267.42514801286194</v>
      </c>
      <c r="AF205" s="69">
        <v>1</v>
      </c>
      <c r="AG205" s="69">
        <f>IF(EM205=0,0,PI()*ER205*ER205/4*EP205*(1-K205)*(1+AF205)*各项系数!$F$5*各项系数!$J$4*10^-7)</f>
        <v>0</v>
      </c>
      <c r="AH205" s="69">
        <f t="shared" si="887"/>
        <v>0</v>
      </c>
      <c r="AI205" s="69">
        <f t="shared" ref="AI205:AI214" si="1000">PI()*AJ205*AJ205*10^-4/4*EP205</f>
        <v>0</v>
      </c>
      <c r="AJ205" s="69">
        <f>IF(OR(EP205="",EP205=0),0,POWER(4*EW205/PI()/EO205/10^-7/EP205/(1-K205)/各项系数!$F$5/各项系数!$J$4,0.5))</f>
        <v>0</v>
      </c>
      <c r="AK205" s="69" t="str">
        <f t="shared" si="944"/>
        <v>√</v>
      </c>
      <c r="AL205" s="69">
        <f t="shared" si="888"/>
        <v>15.074931488538079</v>
      </c>
      <c r="AM205" s="188">
        <f t="shared" si="889"/>
        <v>6</v>
      </c>
      <c r="AN205" s="97" t="s">
        <v>486</v>
      </c>
      <c r="AO205" s="196">
        <f>AP205+各项系数!$M$9*$NK205</f>
        <v>14.779344596605959</v>
      </c>
      <c r="AP205" s="196">
        <f>AQ205*(1+$BI205+(VLOOKUP($AM205,$A$12:$B$323,2,0))+各项系数!$J$6+各项系数!$M$5)*(1+$E$2)</f>
        <v>14.672993239799309</v>
      </c>
      <c r="AQ205" s="197">
        <f>AR205+各项系数!$L$9*$NK205</f>
        <v>14.824200080621649</v>
      </c>
      <c r="AR205" s="197">
        <f>AS205*(1+$BJ205+各项系数!$J$5+各项系数!$L$5)</f>
        <v>14.717848723814999</v>
      </c>
      <c r="AS205" s="197">
        <f t="shared" ref="AS205:AS214" si="1001">SUM($FB205,$FQ205,$FX205,$GP205,$HS205)</f>
        <v>14.429263454720587</v>
      </c>
      <c r="AT205" s="196">
        <f>AU205+各项系数!$M$9*$NM205</f>
        <v>15.405815858329522</v>
      </c>
      <c r="AU205" s="196">
        <f>AV205*(1+$BI205+(VLOOKUP($AM205,$A$12:$B$323,2,0))+各项系数!$J$6+各项系数!$M$5)*(1+$E$2)</f>
        <v>15.299464501522872</v>
      </c>
      <c r="AV205" s="197">
        <f>AW205+各项系数!$L$9*$NM205</f>
        <v>15.457127198952184</v>
      </c>
      <c r="AW205" s="197">
        <f>AX205*(1+$BJ205+各项系数!$J$5+各项系数!$L$5)</f>
        <v>15.350775842145534</v>
      </c>
      <c r="AX205" s="197">
        <f t="shared" ref="AX205:AX214" si="1002">SUM($FB205,$FQ205,$FX205,$GP205,$HC205)</f>
        <v>15.049780237397583</v>
      </c>
      <c r="AY205" s="196">
        <f>AZ205+各项系数!$M$9*$NS205</f>
        <v>15.763320467630409</v>
      </c>
      <c r="AZ205" s="196">
        <f>BA205*(1+$BI205+(VLOOKUP($AM205,$A$12:$B$214,2,0))+各项系数!$J$6+各项系数!$M$5)*(1+$E$2)</f>
        <v>15.652730131724518</v>
      </c>
      <c r="BA205" s="197">
        <f>BB205+各项系数!$L$9*$NS205</f>
        <v>15.814033271089631</v>
      </c>
      <c r="BB205" s="197">
        <f>BC205*(1+$BJ205+各项系数!$J$5+各项系数!$L$5)</f>
        <v>15.703442935183739</v>
      </c>
      <c r="BC205" s="199">
        <f t="shared" ref="BC205:BC214" si="1003">SUM($FB205,$FQ205,$FX205,$GP205,$GY205,$HW205)</f>
        <v>15.395532289395822</v>
      </c>
      <c r="BD205" s="196">
        <f>BE205+各项系数!$M$9*$NS205</f>
        <v>16.398332804825813</v>
      </c>
      <c r="BE205" s="196">
        <f>BF205*(1+$BI205+(VLOOKUP($AM205,$A$12:$B$214,2,0))+各项系数!$J$6+各项系数!$M$5)*(1+$E$2)</f>
        <v>16.28774246891992</v>
      </c>
      <c r="BF205" s="197">
        <f>BG205+各项系数!$L$9*$NS205</f>
        <v>16.455589481632575</v>
      </c>
      <c r="BG205" s="197">
        <f>BH205*(1+$BJ205+各项系数!$J$5+各项系数!$L$5)</f>
        <v>16.344999145726682</v>
      </c>
      <c r="BH205" s="199">
        <f t="shared" ref="BH205:BH214" si="1004">SUM($FB205,$FQ205,$FX205,$GP205,$GY205,$HO205)</f>
        <v>16.024508966398706</v>
      </c>
      <c r="BI205" s="213"/>
      <c r="BJ205" s="208">
        <f>$BJ$203</f>
        <v>0</v>
      </c>
      <c r="BK205" s="102" t="s">
        <v>514</v>
      </c>
      <c r="BL205" s="196">
        <f>BM205+各项系数!$M$9*$NM205</f>
        <v>15.015626884587578</v>
      </c>
      <c r="BM205" s="196">
        <f>BN205*(1+$CF205+(VLOOKUP($AM205,$A$12:$B$323,2,0))+各项系数!$J$6+各项系数!$M$5)*(1+$E$2)</f>
        <v>14.909275527780927</v>
      </c>
      <c r="BN205" s="197">
        <f>BO205+各项系数!$L$9*$NM205</f>
        <v>15.062917284078528</v>
      </c>
      <c r="BO205" s="197">
        <f>BP205*(1+$CG205+各项系数!$J$5+各项系数!$L$5)</f>
        <v>14.956565927271878</v>
      </c>
      <c r="BP205" s="197">
        <f t="shared" ref="BP205:BP214" si="1005">SUM(FB205,FQ205,FX205,GP205,IA205)</f>
        <v>14.520937793467843</v>
      </c>
      <c r="BQ205" s="196">
        <f>BR205+各项系数!$M$9*$NM205</f>
        <v>15.554778583119285</v>
      </c>
      <c r="BR205" s="196">
        <f>BS205*(1+$CF205+(VLOOKUP($AM205,$A$12:$B$323,2,0))+各项系数!$J$6+各项系数!$M$5)*(1+$E$2)</f>
        <v>15.448427226312635</v>
      </c>
      <c r="BS205" s="197">
        <f>BT205+各项系数!$L$9*$NM205</f>
        <v>15.607625001326161</v>
      </c>
      <c r="BT205" s="197">
        <f>BU205*(1+$CG205+各项系数!$J$5+各项系数!$L$5)</f>
        <v>15.501273644519511</v>
      </c>
      <c r="BU205" s="197">
        <f t="shared" ref="BU205:BU214" si="1006">SUM(FB205,FQ205,FX205,GP205,HK205)</f>
        <v>15.049780237397583</v>
      </c>
      <c r="BV205" s="196">
        <f>BW205+各项系数!$M$9*$NT205</f>
        <v>15.909157904884063</v>
      </c>
      <c r="BW205" s="196">
        <f>BX205*(1+$CF205+(VLOOKUP($AM205,$A$12:$B$214,2,0))+各项系数!$J$6+各项系数!$M$5)*(1+$E$2)</f>
        <v>15.798567568978171</v>
      </c>
      <c r="BX205" s="197">
        <f>BY205+各项系数!$L$9*$NT$12</f>
        <v>15.96137357948896</v>
      </c>
      <c r="BY205" s="197">
        <f>BZ205*(1+$CG205+各项系数!$J$5+各项系数!$L$5)</f>
        <v>15.953110176333986</v>
      </c>
      <c r="BZ205" s="199">
        <f t="shared" si="945"/>
        <v>15.488456481877655</v>
      </c>
      <c r="CA205" s="196">
        <f>CB205+各项系数!$M$9*$NT205</f>
        <v>16.455660196538368</v>
      </c>
      <c r="CB205" s="196">
        <f>CC205*(1+$CF205+(VLOOKUP($AM205,$A$12:$B$214,2,0))+各项系数!$J$6+各项系数!$M$5)*(1+$E$2)</f>
        <v>16.345069860632474</v>
      </c>
      <c r="CC205" s="197">
        <f>CD205+各项系数!$L$9*$NT$12</f>
        <v>16.51350763854564</v>
      </c>
      <c r="CD205" s="197">
        <f>CE205*(1+$CG205+各项系数!$J$5+各项系数!$L$5)</f>
        <v>16.505244235390666</v>
      </c>
      <c r="CE205" s="199">
        <f t="shared" ref="CE205:CE214" si="1007">SUM($FB205,$FQ205,$FX205,$GP205,$GY205,$HO205)</f>
        <v>16.024508966398706</v>
      </c>
      <c r="CF205" s="213">
        <f t="shared" si="884"/>
        <v>0</v>
      </c>
      <c r="CG205" s="213">
        <f t="shared" si="946"/>
        <v>0.01</v>
      </c>
      <c r="CH205" s="102"/>
      <c r="CI205" s="196">
        <f>CJ205+各项系数!$M$9*$NO205</f>
        <v>15.686895712232836</v>
      </c>
      <c r="CJ205" s="196">
        <f>CK205*(1+$DC205+(VLOOKUP($AM205,$A$12:$B$323,2,0))+各项系数!$J$6+各项系数!$M$5)*(1+$E$2)+各项系数!$M$9*$NK205</f>
        <v>15.531789776266212</v>
      </c>
      <c r="CK205" s="197">
        <f>CL205+各项系数!$L$9*$NO205</f>
        <v>15.584399292240414</v>
      </c>
      <c r="CL205" s="197">
        <f>CM205*(1+$DD205+各项系数!$J$5+各项系数!$L$5)</f>
        <v>15.42929335627379</v>
      </c>
      <c r="CM205" s="197">
        <f t="shared" si="947"/>
        <v>15.126758192425285</v>
      </c>
      <c r="CN205" s="196">
        <f>CO205+各项系数!$M$9*$NO205</f>
        <v>16.193806939342704</v>
      </c>
      <c r="CO205" s="196">
        <f>CP205*(1+$DC205+(VLOOKUP($AM205,$A$12:$B$323,2,0))+各项系数!$J$6+各项系数!$M$5)*(1+$E$2)+各项系数!$M$9*$NK205</f>
        <v>16.03870100337608</v>
      </c>
      <c r="CP205" s="197">
        <f>CQ205+各项系数!$L$9*$NO205</f>
        <v>16.096534296392633</v>
      </c>
      <c r="CQ205" s="197">
        <f>CR205*(1+$DD205+各项系数!$J$5+各项系数!$L$5)</f>
        <v>15.941428360426009</v>
      </c>
      <c r="CR205" s="197">
        <f t="shared" si="948"/>
        <v>15.628851333750989</v>
      </c>
      <c r="CS205" s="196">
        <f>CT205+各项系数!$M$9*$NU205</f>
        <v>16.710093886937411</v>
      </c>
      <c r="CT205" s="196">
        <f t="shared" si="949"/>
        <v>16.550113692101551</v>
      </c>
      <c r="CU205" s="197">
        <f>CV205+各项系数!$L$9*$NU205</f>
        <v>16.720664469692412</v>
      </c>
      <c r="CV205" s="197">
        <f>CW205*(1+$DD205+各项系数!$J$5+各项系数!$L$5)</f>
        <v>16.560684274856552</v>
      </c>
      <c r="CW205" s="199">
        <f t="shared" si="950"/>
        <v>16.23596497534956</v>
      </c>
      <c r="CX205" s="196">
        <f>CY205+各项系数!$M$9*$NU205</f>
        <v>17.426032914228479</v>
      </c>
      <c r="CY205" s="196">
        <f t="shared" si="951"/>
        <v>17.266052719392619</v>
      </c>
      <c r="CZ205" s="197">
        <f>DA205+各项系数!$L$9*$NU205</f>
        <v>17.443981328947888</v>
      </c>
      <c r="DA205" s="197">
        <f>DB205*(1+$DD205+各项系数!$J$5+各项系数!$L$5)</f>
        <v>17.284001134112028</v>
      </c>
      <c r="DB205" s="199">
        <f t="shared" si="952"/>
        <v>16.945099151090222</v>
      </c>
      <c r="DC205" s="213">
        <f t="shared" si="827"/>
        <v>0</v>
      </c>
      <c r="DD205" s="213">
        <f t="shared" si="953"/>
        <v>0</v>
      </c>
      <c r="DE205" s="53" t="s">
        <v>498</v>
      </c>
      <c r="DF205" s="53" t="s">
        <v>513</v>
      </c>
      <c r="DG205" s="196">
        <f>DH205+各项系数!$M$9*$NQ205</f>
        <v>15.942155022309837</v>
      </c>
      <c r="DH205" s="196">
        <f>DI205*(1+$EA205+(VLOOKUP($AM205,$A$12:$B$323,2,0))+各项系数!$J$6+各项系数!$M$5)*(1+$E$2)+各项系数!$M$9*$NK205</f>
        <v>15.787049086343213</v>
      </c>
      <c r="DI205" s="197">
        <f>DJ205+各项系数!$L$9*$NQ205</f>
        <v>15.842289078133524</v>
      </c>
      <c r="DJ205" s="197">
        <f>DK205*(1+$EB205+各项系数!$J$5+各项系数!$L$5)</f>
        <v>15.6871831421669</v>
      </c>
      <c r="DK205" s="197">
        <f t="shared" si="954"/>
        <v>15.230274895307669</v>
      </c>
      <c r="DL205" s="196">
        <f>DM205+各项系数!$M$9*$NQ205</f>
        <v>16.550953590678137</v>
      </c>
      <c r="DM205" s="196">
        <f>DN205*(1+$EA205+(VLOOKUP($AM205,$A$12:$B$323,2,0))+各项系数!$J$6+各项系数!$M$5)*(1+$E$2)+各项系数!$M$9*$NK205</f>
        <v>16.395847654711513</v>
      </c>
      <c r="DN205" s="197">
        <f>DO205+各项系数!$L$9*$NQ205</f>
        <v>16.457361384021887</v>
      </c>
      <c r="DO205" s="197">
        <f>DP205*(1+$EB205+各项系数!$J$5+各项系数!$L$5)</f>
        <v>16.302255448055263</v>
      </c>
      <c r="DP205" s="197">
        <f t="shared" si="955"/>
        <v>15.827432473840062</v>
      </c>
      <c r="DQ205" s="196">
        <f>DR205+各项系数!$M$9*$NV205</f>
        <v>16.977606344135072</v>
      </c>
      <c r="DR205" s="196">
        <f t="shared" si="956"/>
        <v>16.817626149299212</v>
      </c>
      <c r="DS205" s="197">
        <f>DT205+各项系数!$L$9*$NV205</f>
        <v>16.990933672761379</v>
      </c>
      <c r="DT205" s="197">
        <f>DU205*(1+$EB205+各项系数!$J$5+各项系数!$L$5)</f>
        <v>16.830953477925519</v>
      </c>
      <c r="DU205" s="199">
        <f t="shared" si="957"/>
        <v>16.340731531966522</v>
      </c>
      <c r="DV205" s="196">
        <f>DW205+各项系数!$M$9*$NV205</f>
        <v>17.145153171317368</v>
      </c>
      <c r="DW205" s="196">
        <f t="shared" si="958"/>
        <v>16.985172976481508</v>
      </c>
      <c r="DX205" s="197">
        <f>DY205+各项系数!$L$9*$NV205</f>
        <v>17.160207088787136</v>
      </c>
      <c r="DY205" s="197">
        <f>DZ205*(1+$EB205+各项系数!$J$5+各项系数!$L$5)</f>
        <v>17.000226893951275</v>
      </c>
      <c r="DZ205" s="199">
        <f t="shared" si="959"/>
        <v>16.505074654321625</v>
      </c>
      <c r="EA205" s="213">
        <f>BI205+$EA$2</f>
        <v>0</v>
      </c>
      <c r="EB205" s="213">
        <f t="shared" si="960"/>
        <v>0.01</v>
      </c>
      <c r="EC205" s="235">
        <f t="shared" ref="EC205:EC214" si="1008">IF(EO205=0,EG205,EG205&amp;"+"&amp;EO205)</f>
        <v>4</v>
      </c>
      <c r="ED205" s="235" t="str">
        <f t="shared" si="890"/>
        <v>4*6</v>
      </c>
      <c r="EE205" s="189">
        <f t="shared" si="891"/>
        <v>6</v>
      </c>
      <c r="EF205" s="189">
        <f>LOOKUP(EH205,{1,7,10,14,19,24,30,37,48,61},{1,"1+6","2+8","4+10","1+6+12","2+8+14","4+10+16","1+6+12+18","3+9+15+21","1+6+12+18+24"})</f>
        <v>1</v>
      </c>
      <c r="EG205" s="188">
        <f t="shared" si="961"/>
        <v>4</v>
      </c>
      <c r="EH205" s="197">
        <f>VLOOKUP(EE205,各项系数!$B$87:$C$124,2,0)</f>
        <v>1</v>
      </c>
      <c r="EI205" s="188">
        <f>IF(EH205=0,0,VLOOKUP(EH205,各项系数!$D$142:$E$195,2,0))*1</f>
        <v>1</v>
      </c>
      <c r="EJ205" s="238">
        <f t="shared" ref="EJ205:EJ214" si="1009">$F205-$G205</f>
        <v>267.425148012862</v>
      </c>
      <c r="EK205" s="189">
        <f t="shared" si="892"/>
        <v>0</v>
      </c>
      <c r="EL205" s="189">
        <f t="shared" si="962"/>
        <v>0</v>
      </c>
      <c r="EM205" s="189">
        <f t="shared" si="893"/>
        <v>0</v>
      </c>
      <c r="EN205" s="189">
        <f>IF(EP205=0,0,LOOKUP(EP205,{1,7,10,14,19,24,30,37,48,61},{1,"1+6","2+8","4+10","1+6+12","2+8+14","4+10+16","1+6+12+18","3+9+15+21","1+6+12+18+24"}))</f>
        <v>0</v>
      </c>
      <c r="EO205" s="189">
        <f t="shared" si="894"/>
        <v>0</v>
      </c>
      <c r="EP205" s="189">
        <f>IF(EM205=0,0,IF(EM205&lt;10,1,IF(AND(EM205&gt;=10,EM205&lt;=35),7,LOOKUP(EM205,{50,70,95,120,150,185,240,300},{10,14,19,24,30,37,48,61})*1)))</f>
        <v>0</v>
      </c>
      <c r="EQ205" s="189">
        <f>IF(EP205=0,0,VLOOKUP(EP205,各项系数!$D$142:$E$195,2,0))*1</f>
        <v>0</v>
      </c>
      <c r="ER205" s="53">
        <f t="shared" si="895"/>
        <v>0</v>
      </c>
      <c r="ES205" s="412">
        <f t="shared" si="896"/>
        <v>4</v>
      </c>
      <c r="ET205" s="189">
        <f>VLOOKUP(ES205,各项系数!$D$142:$E$195,2,0)*1</f>
        <v>2.42</v>
      </c>
      <c r="EU205" s="243">
        <f>((各项系数!$F$76/4*$EJ205^2*$EG205*$EH205*1*10^-7)*(1-$H205)*AA205)*(VLOOKUP($EY$9,各项系数!$D$4:$F$143,3,0))*各项系数!$J$4</f>
        <v>0.19873721708411859</v>
      </c>
      <c r="EV205" s="244">
        <f>EU205*(VLOOKUP($EY$9,各项系数!$D$4:$F$143,2,0))</f>
        <v>13.017287719009769</v>
      </c>
      <c r="EW205" s="252">
        <f>(IF($EO205=0,0,(各项系数!$F$76/4*$ER205^2*$EO205*$EP205*1*10^-7))*(1-$K205)*$AF205)*(VLOOKUP($EY$9,各项系数!$D$4:$F$143,3,0))*各项系数!$J$4</f>
        <v>0</v>
      </c>
      <c r="EX205" s="253">
        <f>EW205*(VLOOKUP($EY$9,各项系数!$D$4:$F$143,2,0))</f>
        <v>0</v>
      </c>
      <c r="EY205" s="189">
        <f>((各项系数!$F$76/4*$EJ205^2*$EG205*$EH205*1*10^-7)*(1-$H205)*AA205+IF($EO205=0,0,(各项系数!$F$76/4*$ER205^2*$EO205*$EP205*1*10^-7))*(1-$K205)*$AF205)*(VLOOKUP($EY$9,各项系数!$D$4:$F$143,3,0))*各项系数!$J$4</f>
        <v>0.19873721708411859</v>
      </c>
      <c r="EZ205" s="102">
        <v>1</v>
      </c>
      <c r="FA205" s="189">
        <f t="shared" si="897"/>
        <v>0.19873721708411859</v>
      </c>
      <c r="FB205" s="254">
        <f>FA205*(VLOOKUP($EY$9,各项系数!$D$4:$F$143,2,0))</f>
        <v>13.017287719009769</v>
      </c>
      <c r="FC205" s="255"/>
      <c r="FD205" s="235">
        <f>各项系数!$F$76/4*($MN205^2-MK205^2)*10^-2*(VLOOKUP(L205,各项系数!$D$1:$F$143,3,0))*10^-3*10^2*$EG205*各项系数!$J$4</f>
        <v>3.2486364811293703E-2</v>
      </c>
      <c r="FE205" s="262">
        <f>FD205*VLOOKUP(L205,各项系数!$D$1:$F$143,2,0)</f>
        <v>0.37359319532987756</v>
      </c>
      <c r="FF205" s="188">
        <f>各项系数!$F$76/4*($MO205^2-ML205^2)*10^-2*(VLOOKUP(L205,各项系数!$D$1:$F$143,3,0))*10^-3*10^2*$EO205*各项系数!$J$4</f>
        <v>0</v>
      </c>
      <c r="FG205" s="262">
        <f>FF205*VLOOKUP(L205,各项系数!$D$1:$F$143,2,0)</f>
        <v>0</v>
      </c>
      <c r="FH205" s="235">
        <f t="shared" ref="FH205:FH214" si="1010">FF205+FD205</f>
        <v>3.2486364811293703E-2</v>
      </c>
      <c r="FI205" s="102">
        <v>1</v>
      </c>
      <c r="FJ205" s="189">
        <f t="shared" si="898"/>
        <v>3.2486364811293703E-2</v>
      </c>
      <c r="FK205" s="262">
        <f>FJ205*VLOOKUP(L205,各项系数!$D$1:$F$143,2,0)</f>
        <v>0.37359319532987756</v>
      </c>
      <c r="FL205" s="235"/>
      <c r="FM205" s="102"/>
      <c r="FN205" s="189"/>
      <c r="FO205" s="262"/>
      <c r="FP205" s="282">
        <f t="shared" si="899"/>
        <v>3.2486364811293703E-2</v>
      </c>
      <c r="FQ205" s="282">
        <f t="shared" si="900"/>
        <v>0.37359319532987756</v>
      </c>
      <c r="FR205" s="283">
        <f>各项系数!$F$76/4*($MQ205^2-$MN205^2*$EG205-$MO205^2*$EO205)*10^-2</f>
        <v>0.2420232589607742</v>
      </c>
      <c r="FS205" s="284">
        <f t="shared" ref="FS205:FS214" si="1011">VLOOKUP(EC205,$A$38:$B$65,2,0)</f>
        <v>1</v>
      </c>
      <c r="FT205" s="285">
        <f t="shared" si="963"/>
        <v>0.2420232589607742</v>
      </c>
      <c r="FU205" s="302">
        <f>$FT205*(VLOOKUP($FT$9,各项系数!$D$1:$F$143,3,0))*10^-3*10^2*各项系数!$J$55</f>
        <v>2.8897577119916439E-2</v>
      </c>
      <c r="FV205" s="303">
        <v>1</v>
      </c>
      <c r="FW205" s="304">
        <f t="shared" si="901"/>
        <v>2.8897577119916439E-2</v>
      </c>
      <c r="FX205" s="285">
        <f>FW205*(VLOOKUP($FT$9,各项系数!$D$1:$F$143,2,0))</f>
        <v>8.6692731359749309E-2</v>
      </c>
      <c r="FY205" s="302">
        <f>IF($BK205&lt;&gt;$FY$9,0,各项系数!$F$76/4*($MS205^2-$MQ205^2)*10^-2*(VLOOKUP($FY$9,各项系数!$D$1:$F$143,3,0))*10^-3*10^2)*各项系数!$J$4</f>
        <v>0</v>
      </c>
      <c r="FZ205" s="303">
        <v>1</v>
      </c>
      <c r="GA205" s="304">
        <f t="shared" si="902"/>
        <v>0</v>
      </c>
      <c r="GB205" s="285">
        <f>GA205*(VLOOKUP($FY$9,各项系数!$D$1:$F$143,2,0))</f>
        <v>0</v>
      </c>
      <c r="GC205" s="302">
        <f>IF($BK205&lt;&gt;$GC$9,0,各项系数!$F$76/4*($MS205^2-$MQ205^2)*10^-2*(VLOOKUP($GC$9,各项系数!$D$1:$F$143,3,0))*10^-3*10^2)*各项系数!$J$4</f>
        <v>2.7090249262514579E-3</v>
      </c>
      <c r="GD205" s="303">
        <v>1</v>
      </c>
      <c r="GE205" s="304">
        <f t="shared" si="903"/>
        <v>2.7090249262514579E-3</v>
      </c>
      <c r="GF205" s="285">
        <f>GE205*(VLOOKUP($GC$9,各项系数!$D$1:$F$143,2,0))</f>
        <v>3.4946421548643809E-2</v>
      </c>
      <c r="GG205" s="302">
        <f>IF($BK205&lt;&gt;$GG$9,0,各项系数!$F$76/4*($MS205^2-$MQ205^2)*10^-2*(VLOOKUP($GG$9,各项系数!$D$1:$F$143,3,0))*10^-3*10^2)*各项系数!$J$4</f>
        <v>0</v>
      </c>
      <c r="GH205" s="303">
        <v>1</v>
      </c>
      <c r="GI205" s="304">
        <f t="shared" si="904"/>
        <v>0</v>
      </c>
      <c r="GJ205" s="285">
        <f>GI205*(VLOOKUP($GG$9,各项系数!$D$1:$F$143,2,0))</f>
        <v>0</v>
      </c>
      <c r="GK205" s="302">
        <f>IF($BK205&lt;&gt;$GK$9,0,各项系数!$F$76/4*($MS205^2-$MQ205^2)*10^-2*(VLOOKUP($GK$9,各项系数!$D$1:$F$143,3,0))*10^-3*10^2)*各项系数!$J$4</f>
        <v>0</v>
      </c>
      <c r="GL205" s="303">
        <v>1</v>
      </c>
      <c r="GM205" s="304">
        <f t="shared" si="905"/>
        <v>0</v>
      </c>
      <c r="GN205" s="285">
        <f>GM205*(VLOOKUP($GK$9,各项系数!$D$1:$F$143,2,0))</f>
        <v>0</v>
      </c>
      <c r="GO205" s="304">
        <f t="shared" si="906"/>
        <v>2.7090249262514579E-3</v>
      </c>
      <c r="GP205" s="304">
        <f t="shared" si="907"/>
        <v>3.4946421548643809E-2</v>
      </c>
      <c r="GQ205" s="315">
        <f>各项系数!$F$76/4*($MU205^2-$MS205^2)*10^-2*(VLOOKUP($S205,各项系数!$D$1:$F$143,3,0))*10^-3*10^2*各项系数!$J$4</f>
        <v>0.15598993219646271</v>
      </c>
      <c r="GR205" s="303">
        <v>1</v>
      </c>
      <c r="GS205" s="304">
        <f t="shared" si="908"/>
        <v>0.15598993219646271</v>
      </c>
      <c r="GT205" s="304">
        <f t="shared" si="909"/>
        <v>1</v>
      </c>
      <c r="GU205" s="304">
        <f>ROUND($GS205*(VLOOKUP($S205,各项系数!$D$1:$F$143,2,0))+$E$3*GS205,GT205)</f>
        <v>0.9</v>
      </c>
      <c r="GV205" s="315">
        <f>各项系数!$F$76/4*($MT205^2-$MS205^2)*10^-2*(VLOOKUP($GV$9,各项系数!$D$1:$F$143,3,0))*10^-3*10^2*各项系数!$J$4*PI()/4*R205</f>
        <v>1.4129930330806707E-2</v>
      </c>
      <c r="GW205" s="303">
        <v>1</v>
      </c>
      <c r="GX205" s="304">
        <f t="shared" si="910"/>
        <v>1.4129930330806707E-2</v>
      </c>
      <c r="GY205" s="304">
        <f>$GX205*(VLOOKUP($GV$9,各项系数!$D$1:$F$143,2,0))</f>
        <v>0.95377029732945273</v>
      </c>
      <c r="GZ205" s="315">
        <f>各项系数!$F$76/4*($MV205^2-$MS205^2)*10^-2*(VLOOKUP($GZ$9,各项系数!$D$1:$F$143,3,0))*10^-3*10^2*各项系数!$J$4</f>
        <v>9.0427068832326055E-2</v>
      </c>
      <c r="HA205" s="303">
        <v>1</v>
      </c>
      <c r="HB205" s="304">
        <f t="shared" ref="HB205:HB214" si="1012">HA205*GZ205</f>
        <v>9.0427068832326055E-2</v>
      </c>
      <c r="HC205" s="304">
        <f>HB205*(VLOOKUP($GZ$9,各项系数!$D$1:$F$143,2,0))</f>
        <v>1.537260170149543</v>
      </c>
      <c r="HD205" s="315">
        <f>各项系数!$F$76/4*($MW205^2-$MT205^2)*10^-2*(VLOOKUP($HD$9,各项系数!$D$1:$F$143,3,0))*10^-3*10^2*各项系数!$J$4</f>
        <v>9.1659917754188983E-2</v>
      </c>
      <c r="HE205" s="303">
        <v>1</v>
      </c>
      <c r="HF205" s="304">
        <f t="shared" ref="HF205:HF214" si="1013">HE205*HD205</f>
        <v>9.1659917754188983E-2</v>
      </c>
      <c r="HG205" s="304">
        <f>HF205*(VLOOKUP($HD$9,各项系数!$D$1:$F$143,2,0))</f>
        <v>1.5582186018212127</v>
      </c>
      <c r="HH205" s="315">
        <f>各项系数!$F$76/4*($MV205^2-$MS205^2)*10^-2*(VLOOKUP($HH$9,各项系数!$D$1:$F$143,3,0))*10^-3*10^2*各项系数!$J$4</f>
        <v>9.0427068832326055E-2</v>
      </c>
      <c r="HI205" s="322">
        <v>1</v>
      </c>
      <c r="HJ205" s="304">
        <f t="shared" ref="HJ205:HJ214" si="1014">HI205*HH205</f>
        <v>9.0427068832326055E-2</v>
      </c>
      <c r="HK205" s="304">
        <f>HJ205*(VLOOKUP($HH$9,各项系数!$D$1:$F$143,2,0))</f>
        <v>1.537260170149543</v>
      </c>
      <c r="HL205" s="315">
        <f>各项系数!$F$76/4*($MW205^2-$MT205^2)*10^-2*(VLOOKUP($HL$9,各项系数!$D$1:$F$143,3,0))*10^-3*10^2*各项系数!$J$4</f>
        <v>9.1659917754188983E-2</v>
      </c>
      <c r="HM205" s="322">
        <v>1</v>
      </c>
      <c r="HN205" s="304">
        <f t="shared" si="964"/>
        <v>9.1659917754188983E-2</v>
      </c>
      <c r="HO205" s="304">
        <f>HN205*(VLOOKUP($HL$9,各项系数!$D$1:$F$143,2,0))</f>
        <v>1.5582186018212127</v>
      </c>
      <c r="HP205" s="315">
        <f>各项系数!$F$76/4*($MV205^2-$MS205^2)*10^-2*(VLOOKUP(AN205,各项系数!$D$1:$F$143,3,0))*10^-3*10^2*各项系数!$J$4</f>
        <v>9.1674338747254683E-2</v>
      </c>
      <c r="HQ205" s="303">
        <v>1</v>
      </c>
      <c r="HR205" s="304">
        <f t="shared" si="911"/>
        <v>9.1674338747254683E-2</v>
      </c>
      <c r="HS205" s="304">
        <f>HR205*(VLOOKUP(AN205,各项系数!$D$1:$F$143,2,0))</f>
        <v>0.9167433874725468</v>
      </c>
      <c r="HT205" s="315">
        <f>各项系数!$F$76/4*($MW205^2-$MT205^2)*10^-2*(VLOOKUP(AN205,各项系数!$D$1:$F$143,3,0))*10^-3*10^2*各项系数!$J$4</f>
        <v>9.2924192481832951E-2</v>
      </c>
      <c r="HU205" s="303">
        <v>1</v>
      </c>
      <c r="HV205" s="304">
        <f t="shared" si="912"/>
        <v>9.2924192481832951E-2</v>
      </c>
      <c r="HW205" s="304">
        <f>HV205*(VLOOKUP(AN205,各项系数!$D$1:$F$143,2,0))</f>
        <v>0.92924192481832946</v>
      </c>
      <c r="HX205" s="315">
        <f>各项系数!$F$76/4*($MV205^2-$MS205^2)*10^-2*(VLOOKUP($HX$9,各项系数!$D$1:$F$143,3,0))*10^-3*10^2*各项系数!$J$4</f>
        <v>9.1674338747254683E-2</v>
      </c>
      <c r="HY205" s="322">
        <v>1</v>
      </c>
      <c r="HZ205" s="304">
        <f t="shared" si="913"/>
        <v>9.1674338747254683E-2</v>
      </c>
      <c r="IA205" s="304">
        <f>HZ205*(VLOOKUP($HX$9,各项系数!$D$1:$F$143,2,0))</f>
        <v>1.0084177262198015</v>
      </c>
      <c r="IB205" s="315">
        <f>各项系数!$F$76/4*($MW205^2-$MT205^2)*10^-2*(VLOOKUP($IB$9,各项系数!$D$1:$F$143,3,0))*10^-3*10^2*各项系数!$J$4</f>
        <v>9.2924192481832951E-2</v>
      </c>
      <c r="IC205" s="322">
        <v>1</v>
      </c>
      <c r="ID205" s="304">
        <f t="shared" si="914"/>
        <v>9.2924192481832951E-2</v>
      </c>
      <c r="IE205" s="304">
        <f>ID205*(VLOOKUP($IB$9,各项系数!$D$1:$F$143,2,0))</f>
        <v>1.0221661173001624</v>
      </c>
      <c r="IF205" s="328"/>
      <c r="IG205" s="315">
        <f t="shared" ref="IG205:IG214" si="1015">IK205+IM205</f>
        <v>1.6734900899698361E-2</v>
      </c>
      <c r="IH205" s="303">
        <v>1</v>
      </c>
      <c r="II205" s="304">
        <f t="shared" si="915"/>
        <v>1.6734900899698361E-2</v>
      </c>
      <c r="IJ205" s="304">
        <f>II205*(VLOOKUP($IG$8,各项系数!$D$1:$F$143,2,0))</f>
        <v>0.41837252249245904</v>
      </c>
      <c r="IK205" s="315">
        <f>(各项系数!$F$76/4*($MX205^2-$MK205^2)*$EG205)*10^-2*(VLOOKUP($IG$8,各项系数!$D$1:$F$143,3,0))*10^-3*10^2*各项系数!$J$4</f>
        <v>1.6734900899698361E-2</v>
      </c>
      <c r="IL205" s="303">
        <f>IK205*(VLOOKUP($IG$8,各项系数!$D$1:$F$143,2,0))</f>
        <v>0.41837252249245904</v>
      </c>
      <c r="IM205" s="304">
        <f>(各项系数!$F$76/4*(($MM205+3*$X205)^2-MM205^2)*$EO205)*10^-2*(VLOOKUP($IG$8,各项系数!$D$1:$F$143,3,0))*10^-3*10^2*各项系数!$J$4</f>
        <v>0</v>
      </c>
      <c r="IN205" s="303">
        <f>IM205*(VLOOKUP($IG$8,各项系数!$D$1:$F$143,2,0))</f>
        <v>0</v>
      </c>
      <c r="IO205" s="315">
        <f>各项系数!$F$76/4*($MZ205^2-$MX205^2)*10^-2*(VLOOKUP(L205,各项系数!$D$1:$F$143,3,0))*10^-3*10^2*$ES205*各项系数!$J$4</f>
        <v>3.8262999719008484E-2</v>
      </c>
      <c r="IP205" s="303">
        <v>1</v>
      </c>
      <c r="IQ205" s="304">
        <f t="shared" si="916"/>
        <v>3.8262999719008484E-2</v>
      </c>
      <c r="IR205" s="285">
        <f>IQ205*(VLOOKUP(L205,各项系数!$D$1:$F$143,2,0))</f>
        <v>0.44002449676859756</v>
      </c>
      <c r="IS205" s="315">
        <f>IF($L205&lt;&gt;$IS$9,0,各项系数!$F$76/4*($MZ205^2-$MX205^2)*10^-2*各项系数!$F$12*10^-3*10^2)*$ES205*各项系数!$J$4</f>
        <v>0</v>
      </c>
      <c r="IT205" s="303">
        <v>1</v>
      </c>
      <c r="IU205" s="304">
        <f t="shared" si="917"/>
        <v>0</v>
      </c>
      <c r="IV205" s="285">
        <f>IU205*各项系数!$E$12</f>
        <v>0</v>
      </c>
      <c r="IW205" s="302">
        <f t="shared" si="918"/>
        <v>3.8262999719008484E-2</v>
      </c>
      <c r="IX205" s="302">
        <f t="shared" si="919"/>
        <v>0.44002449676859756</v>
      </c>
      <c r="IY205" s="339">
        <f>各项系数!$F$76/4*($NB205^2-$MZ205^2*$EG205-$NA205^2*$EO205)*10^-2</f>
        <v>0.31855585310311885</v>
      </c>
      <c r="IZ205" s="284">
        <f t="shared" si="697"/>
        <v>1</v>
      </c>
      <c r="JA205" s="285">
        <f t="shared" si="965"/>
        <v>0.31855585310311885</v>
      </c>
      <c r="JB205" s="282">
        <f>IF($DE205&lt;&gt;$JB$9,0,$JA205*各项系数!$F$32*10^-3*10^2)*各项系数!$J$4</f>
        <v>0</v>
      </c>
      <c r="JC205" s="102">
        <v>1</v>
      </c>
      <c r="JD205" s="189">
        <f t="shared" si="920"/>
        <v>0</v>
      </c>
      <c r="JE205" s="262">
        <f>JD205*各项系数!$E$32</f>
        <v>0</v>
      </c>
      <c r="JF205" s="282">
        <f>IF($DE205&lt;&gt;$JF$9,0,$JA205*VLOOKUP($JF$9,各项系数!$D$4:$F$540,2,0)*10^-3*10^2)*各项系数!$J$4</f>
        <v>0.15848153691880162</v>
      </c>
      <c r="JG205" s="102">
        <v>1</v>
      </c>
      <c r="JH205" s="189">
        <f t="shared" si="966"/>
        <v>0.15848153691880162</v>
      </c>
      <c r="JI205" s="262">
        <f>JH205*VLOOKUP($JF$9,各项系数!$D$4:$F$540,3,0)</f>
        <v>0.19017784430256193</v>
      </c>
      <c r="JJ205" s="282">
        <f t="shared" si="921"/>
        <v>0.15848153691880162</v>
      </c>
      <c r="JK205" s="189">
        <f t="shared" si="922"/>
        <v>0.19017784430256193</v>
      </c>
      <c r="JL205" s="282">
        <f>IF($DF205&lt;&gt;$JL$9,0,各项系数!$F$76/4*($NE205^2-$NC205^2)*10^-2*各项系数!$F$39*10^-3*10^2)*各项系数!$J$4</f>
        <v>1.2864290514029673E-3</v>
      </c>
      <c r="JM205" s="102">
        <v>1</v>
      </c>
      <c r="JN205" s="189">
        <f t="shared" si="923"/>
        <v>1.2864290514029673E-3</v>
      </c>
      <c r="JO205" s="262">
        <f>JN205*各项系数!$E$39</f>
        <v>2.5728581028059347E-2</v>
      </c>
      <c r="JP205" s="282">
        <f>IF($DF205&lt;&gt;$JP$9,0,各项系数!$F$76/4*($NE205^2-$NC205^2)*10^-2*各项系数!$F$36*10^-3*10^2)*各项系数!$J$4</f>
        <v>0</v>
      </c>
      <c r="JQ205" s="102">
        <v>1</v>
      </c>
      <c r="JR205" s="189">
        <f t="shared" si="924"/>
        <v>0</v>
      </c>
      <c r="JS205" s="262">
        <f>JR205*各项系数!$E$36</f>
        <v>0</v>
      </c>
      <c r="JT205" s="282">
        <f>IF($DF205&lt;&gt;$JT$9,0,各项系数!$F$76/4*($NE205^2-$NC205^2)*10^-2*各项系数!$F$40*10^-3*10^2)*各项系数!$J$4</f>
        <v>0</v>
      </c>
      <c r="JU205" s="102">
        <v>1</v>
      </c>
      <c r="JV205" s="189">
        <f t="shared" si="925"/>
        <v>0</v>
      </c>
      <c r="JW205" s="262">
        <f>JV205*各项系数!$E$40</f>
        <v>0</v>
      </c>
      <c r="JX205" s="282">
        <f>IF($DF205&lt;&gt;$JX$9,0,各项系数!$F$76/4*($NE205^2-$NC205^2)*10^-2*各项系数!$F$38*10^-3*10^2)*各项系数!$J$4</f>
        <v>0</v>
      </c>
      <c r="JY205" s="102">
        <v>1</v>
      </c>
      <c r="JZ205" s="189">
        <f t="shared" si="926"/>
        <v>0</v>
      </c>
      <c r="KA205" s="262">
        <f>JZ205*各项系数!$E$38</f>
        <v>0</v>
      </c>
      <c r="KB205" s="282">
        <f>IF($DF205&lt;&gt;$KB$9,0,各项系数!$F$76/4*($NE205^2-$NC205^2)*10^-2*各项系数!$F$41*10^-3*10^2)*各项系数!$J$4</f>
        <v>0</v>
      </c>
      <c r="KC205" s="102">
        <v>1</v>
      </c>
      <c r="KD205" s="189">
        <f t="shared" si="927"/>
        <v>0</v>
      </c>
      <c r="KE205" s="262">
        <f>KD205*各项系数!$E$41</f>
        <v>0</v>
      </c>
      <c r="KF205" s="189">
        <f t="shared" si="928"/>
        <v>1.2864290514029673E-3</v>
      </c>
      <c r="KG205" s="189">
        <f t="shared" si="929"/>
        <v>2.5728581028059347E-2</v>
      </c>
      <c r="KH205" s="235">
        <f>各项系数!$F$76/4*($NG205^2-$NE205^2)*10^-2*各项系数!$F$44*10^-3*10^2*各项系数!$J$4*0.75*$U205</f>
        <v>0.53467372518725831</v>
      </c>
      <c r="KI205" s="102">
        <v>1</v>
      </c>
      <c r="KJ205" s="189">
        <f t="shared" si="930"/>
        <v>0.53467372518725831</v>
      </c>
      <c r="KK205" s="189">
        <f>ROUND(KJ205*各项系数!$E$43,GT205)</f>
        <v>3.1</v>
      </c>
      <c r="KL205" s="235">
        <f>各项系数!$F$76/4*($NF205^2-$NE205^2)*10^-2*各项系数!$F$46*10^-3*10^2*各项系数!$J$4*PI()/4*R205</f>
        <v>1.6247529564125798E-2</v>
      </c>
      <c r="KM205" s="102">
        <v>1</v>
      </c>
      <c r="KN205" s="189">
        <f t="shared" si="931"/>
        <v>1.6247529564125798E-2</v>
      </c>
      <c r="KO205" s="189">
        <f>KN205*各项系数!$E$46</f>
        <v>1.0967082455784913</v>
      </c>
      <c r="KP205" s="235">
        <f>各项系数!$F$76/4*($NH205^2-$NE205^2)*10^-2*(VLOOKUP($KP$9,各项系数!$D$1:$F$143,3,0))*10^-3*10^2*各项系数!$J$4</f>
        <v>0.10210831236697737</v>
      </c>
      <c r="KQ205" s="102">
        <v>1</v>
      </c>
      <c r="KR205" s="189">
        <f t="shared" ref="KR205:KR214" si="1016">KQ205*KP205</f>
        <v>0.10210831236697737</v>
      </c>
      <c r="KS205" s="189">
        <f>KR205*(VLOOKUP($KP$9,各项系数!$D$1:$F$143,2,0))</f>
        <v>1.7358413102386154</v>
      </c>
      <c r="KT205" s="235">
        <f>各项系数!$F$76/4*($NI205^2-$NF205^2)*10^-2*(VLOOKUP($KT$9,各项系数!$D$1:$F$143,3,0))*10^-3*10^2*各项系数!$J$4</f>
        <v>0.1033411612888403</v>
      </c>
      <c r="KU205" s="102">
        <v>1</v>
      </c>
      <c r="KV205" s="189">
        <f t="shared" ref="KV205:KV214" si="1017">KU205*KT205</f>
        <v>0.1033411612888403</v>
      </c>
      <c r="KW205" s="189">
        <f>KV205*(VLOOKUP($KT$9,各项系数!$D$1:$F$143,2,0))</f>
        <v>1.7567997419102852</v>
      </c>
      <c r="KX205" s="189">
        <f>各项系数!$F$76/4*($NH205^2-$NE205^2)*10^-2*(VLOOKUP($KX$9,各项系数!$D$1:$F$143,3,0))*10^-3*10^2*各项系数!$J$4</f>
        <v>0.10210831236697737</v>
      </c>
      <c r="KY205" s="353">
        <v>1</v>
      </c>
      <c r="KZ205" s="189">
        <f t="shared" ref="KZ205:KZ214" si="1018">KY205*KX205</f>
        <v>0.10210831236697737</v>
      </c>
      <c r="LA205" s="189">
        <f>KZ205*(VLOOKUP($KX$9,各项系数!$D$1:$F$143,2,0))</f>
        <v>1.7358413102386154</v>
      </c>
      <c r="LB205" s="189">
        <f>各项系数!$F$76/4*($NI205^2-$NF205^2)*10^-2*(VLOOKUP($LB$9,各项系数!$D$1:$F$143,3,0))*10^-3*10^2*各项系数!$J$4</f>
        <v>0.1033411612888403</v>
      </c>
      <c r="LC205" s="353">
        <v>1</v>
      </c>
      <c r="LD205" s="189">
        <f t="shared" ref="LD205:LD214" si="1019">LC205*LB205</f>
        <v>0.1033411612888403</v>
      </c>
      <c r="LE205" s="189">
        <f>LD205*(VLOOKUP($LB$9,各项系数!$D$1:$F$143,2,0))</f>
        <v>1.7567997419102852</v>
      </c>
      <c r="LF205" s="235">
        <f>各项系数!$F$76/4*($NH205^2-$NE205^2)*10^-2*(VLOOKUP(AN205,各项系数!$D$1:$F$143,3,0))*10^-3*10^2*各项系数!$J$4</f>
        <v>0.10351670288238396</v>
      </c>
      <c r="LG205" s="102">
        <v>1</v>
      </c>
      <c r="LH205" s="189">
        <f t="shared" si="932"/>
        <v>0.10351670288238396</v>
      </c>
      <c r="LI205" s="189">
        <f>LH205*(VLOOKUP(AN205,各项系数!$D$1:$F$143,2,0))</f>
        <v>1.0351670288238397</v>
      </c>
      <c r="LJ205" s="235">
        <f>各项系数!$F$76/4*($NI205^2-$NF205^2)*10^-2*(VLOOKUP(AN205,各项系数!$D$1:$F$143,3,0))*10^-3*10^2*各项系数!$J$4</f>
        <v>0.10476655661696221</v>
      </c>
      <c r="LK205" s="102">
        <v>1</v>
      </c>
      <c r="LL205" s="189">
        <f t="shared" si="933"/>
        <v>0.10476655661696221</v>
      </c>
      <c r="LM205" s="189">
        <f>LL205*(VLOOKUP(AN205,各项系数!$D$1:$F$143,2,0))</f>
        <v>1.0476655661696221</v>
      </c>
      <c r="LN205" s="189">
        <f>各项系数!$F$76/4*($NH205^2-$NE205^2)*10^-2*(VLOOKUP($LN$9,各项系数!$D$1:$F$143,3,0))*10^-3*10^2*各项系数!$J$4</f>
        <v>0.10351670288238396</v>
      </c>
      <c r="LO205" s="353">
        <v>1</v>
      </c>
      <c r="LP205" s="189">
        <f t="shared" si="934"/>
        <v>0.10351670288238396</v>
      </c>
      <c r="LQ205" s="189">
        <f>LP205*(VLOOKUP($LN$9,各项系数!$D$1:$F$143,2,0))</f>
        <v>1.1386837317062235</v>
      </c>
      <c r="LR205" s="189">
        <f>各项系数!$F$76/4*($NI205^2-$NF205^2)*10^-2*(VLOOKUP($LR$9,各项系数!$D$1:$F$143,3,0))*10^-3*10^2*各项系数!$J$4</f>
        <v>0.10476655661696221</v>
      </c>
      <c r="LS205" s="353">
        <v>1</v>
      </c>
      <c r="LT205" s="189">
        <f t="shared" si="935"/>
        <v>0.10476655661696221</v>
      </c>
      <c r="LU205" s="189">
        <f>LT205*(VLOOKUP($LR$9,各项系数!$D$1:$F$143,2,0))</f>
        <v>1.1524321227865844</v>
      </c>
      <c r="LV205" s="227">
        <f t="shared" ref="LV205:LV214" si="1020">ROUND(PI()*MJ205*MJ205/4*EG205,8)</f>
        <v>22.46747993</v>
      </c>
      <c r="LW205" s="227">
        <f t="shared" ref="LW205:LW214" si="1021">ROUND(PI()*ROUND($EJ205*10^-2,8)^2/4*$EG205*$EH205,8)</f>
        <v>22.46747993</v>
      </c>
      <c r="LX205" s="227">
        <f t="shared" ref="LX205:LX214" si="1022">SQRT(LW205/PI()*4)</f>
        <v>5.3485029604011256</v>
      </c>
      <c r="LY205" s="227">
        <f t="shared" ref="LY205:LY214" si="1023">LV205-LW205</f>
        <v>0</v>
      </c>
      <c r="LZ205" s="374">
        <f t="shared" si="967"/>
        <v>1</v>
      </c>
      <c r="MA205" s="375">
        <f t="shared" si="968"/>
        <v>22.46747993</v>
      </c>
      <c r="MB205" s="375">
        <f t="shared" ref="MB205:MB214" si="1024">ROUND(SQRT(MA205/EG205/PI()*4),8)</f>
        <v>2.6742514800000001</v>
      </c>
      <c r="MC205" s="227">
        <f t="shared" ref="MC205:MC214" si="1025">ROUND(PI()*ML205*ML205/4*EO205,8)</f>
        <v>0</v>
      </c>
      <c r="MD205" s="227">
        <f t="shared" ref="MD205:MD214" si="1026">ROUND(PI()*ROUND($ER205*10^-2,8)^2/4*$EO205*$EP205,8)</f>
        <v>0</v>
      </c>
      <c r="ME205" s="227">
        <f t="shared" ref="ME205:ME214" si="1027">SQRT(MD205/PI()*4)</f>
        <v>0</v>
      </c>
      <c r="MF205" s="227">
        <f t="shared" ref="MF205:MF214" si="1028">MC205-MD205</f>
        <v>0</v>
      </c>
      <c r="MG205" s="374">
        <f t="shared" ref="MG205:MG214" si="1029">$MG$8</f>
        <v>1</v>
      </c>
      <c r="MH205" s="375">
        <f t="shared" si="969"/>
        <v>0</v>
      </c>
      <c r="MI205" s="375">
        <f t="shared" ref="MI205:MI214" si="1030">IF(EK205=0,0,SQRT(MH205/EO205/PI()*4))</f>
        <v>0</v>
      </c>
      <c r="MJ205" s="189">
        <f t="shared" si="970"/>
        <v>2.6742514800000001</v>
      </c>
      <c r="MK205" s="189">
        <f t="shared" ref="MK205:MK214" si="1031">ROUND((1-$H205)^(1/2)*$MB205,8)</f>
        <v>2.6742514800000001</v>
      </c>
      <c r="ML205" s="189">
        <f t="shared" si="936"/>
        <v>0</v>
      </c>
      <c r="MM205" s="189">
        <f t="shared" si="971"/>
        <v>0</v>
      </c>
      <c r="MN205" s="189">
        <f t="shared" si="972"/>
        <v>4.07425148</v>
      </c>
      <c r="MO205" s="189">
        <f t="shared" ref="MO205:MO214" si="1032">IF(MM205=0,0,MM205+N205*2)</f>
        <v>0</v>
      </c>
      <c r="MP205" s="189">
        <f t="shared" ref="MP205:MP214" si="1033">ROUND($ET205*($EG205*MN205+$EO205*MO205)/$ES205,8)</f>
        <v>9.8596885800000003</v>
      </c>
      <c r="MQ205" s="189">
        <f t="shared" si="937"/>
        <v>9.8596885800000003</v>
      </c>
      <c r="MR205" s="246">
        <f t="shared" ref="MR205:MR214" si="1034">IF(FR205=0,MQ205,ROUND(SQRT((PI()*MQ205*MQ205/4-(FR205-FT205))*4/PI()),8))</f>
        <v>9.8596885800000003</v>
      </c>
      <c r="MS205" s="380">
        <f t="shared" si="973"/>
        <v>10.03568858</v>
      </c>
      <c r="MT205" s="380">
        <f t="shared" si="974"/>
        <v>10.195688580000001</v>
      </c>
      <c r="MU205" s="380">
        <f t="shared" si="975"/>
        <v>11.235688580000001</v>
      </c>
      <c r="MV205" s="380">
        <f t="shared" si="976"/>
        <v>13.435688580000001</v>
      </c>
      <c r="MW205" s="380">
        <f t="shared" si="977"/>
        <v>13.595688580000001</v>
      </c>
      <c r="MX205" s="254">
        <f t="shared" si="978"/>
        <v>3.2742514800000002</v>
      </c>
      <c r="MY205" s="254">
        <f t="shared" si="979"/>
        <v>0</v>
      </c>
      <c r="MZ205" s="189">
        <f t="shared" si="980"/>
        <v>4.6742514800000006</v>
      </c>
      <c r="NA205" s="189">
        <f t="shared" si="981"/>
        <v>0</v>
      </c>
      <c r="NB205" s="189">
        <f t="shared" ref="NB205:NB214" si="1035">ROUND($ET205*($EG205*MZ205+$EO205*NA205)/$ES205,8)</f>
        <v>11.31168858</v>
      </c>
      <c r="NC205" s="254">
        <f t="shared" si="938"/>
        <v>11.31168858</v>
      </c>
      <c r="ND205" s="246">
        <f t="shared" ref="ND205:ND214" si="1036">IF(IY205=0,NC205,ROUND(SQRT((PI()*NC205*NC205/4-(IY205-JA205))*4/PI()),8))</f>
        <v>11.31168858</v>
      </c>
      <c r="NE205" s="386">
        <f t="shared" ref="NE205:NE214" si="1037">ND205+3*O205</f>
        <v>11.55168858</v>
      </c>
      <c r="NF205" s="380">
        <f t="shared" si="982"/>
        <v>11.711688580000001</v>
      </c>
      <c r="NG205" s="387">
        <f t="shared" si="983"/>
        <v>12.75168858</v>
      </c>
      <c r="NH205" s="254">
        <f t="shared" si="984"/>
        <v>14.951688580000001</v>
      </c>
      <c r="NI205" s="380">
        <f t="shared" si="985"/>
        <v>15.111688580000001</v>
      </c>
      <c r="NK205" s="388">
        <f t="shared" si="986"/>
        <v>0.35450452268883492</v>
      </c>
      <c r="NL205" s="388">
        <f t="shared" si="987"/>
        <v>14.429263454720587</v>
      </c>
      <c r="NM205" s="388">
        <f t="shared" si="988"/>
        <v>0.35450452268883492</v>
      </c>
      <c r="NN205" s="388">
        <f t="shared" si="989"/>
        <v>14.520937793467843</v>
      </c>
      <c r="NO205" s="388">
        <f t="shared" si="990"/>
        <v>0.51701978655541403</v>
      </c>
      <c r="NP205" s="388">
        <f t="shared" si="991"/>
        <v>15.126758192425285</v>
      </c>
      <c r="NQ205" s="388">
        <f t="shared" si="992"/>
        <v>0.51701978655541403</v>
      </c>
      <c r="NR205" s="388">
        <f t="shared" si="993"/>
        <v>15.230274895307669</v>
      </c>
      <c r="NS205" s="388">
        <f t="shared" si="994"/>
        <v>0.36863445301964165</v>
      </c>
      <c r="NT205" s="388">
        <f t="shared" si="995"/>
        <v>0.36863445301964165</v>
      </c>
      <c r="NU205" s="388">
        <f t="shared" si="996"/>
        <v>0.53326731611953981</v>
      </c>
      <c r="NV205" s="388">
        <f t="shared" si="997"/>
        <v>0.53326731611953981</v>
      </c>
      <c r="NW205">
        <f t="shared" si="998"/>
        <v>0.51049445488529765</v>
      </c>
      <c r="NX205">
        <f>各项系数!$M$9*NK205</f>
        <v>0.10635135680665048</v>
      </c>
      <c r="NY205">
        <f t="shared" si="999"/>
        <v>0.36863445301964159</v>
      </c>
    </row>
    <row r="206" spans="1:389" ht="15" hidden="1" customHeight="1">
      <c r="A206" s="69"/>
      <c r="B206" s="70"/>
      <c r="C206" s="69"/>
      <c r="D206" s="69" t="s">
        <v>183</v>
      </c>
      <c r="E206" s="61">
        <f t="shared" si="885"/>
        <v>14.776479</v>
      </c>
      <c r="F206" s="16">
        <f>$F$19</f>
        <v>267.425148012862</v>
      </c>
      <c r="G206" s="16"/>
      <c r="H206" s="16"/>
      <c r="I206" s="145">
        <v>0</v>
      </c>
      <c r="J206" s="16"/>
      <c r="K206" s="16"/>
      <c r="L206" s="97" t="s">
        <v>469</v>
      </c>
      <c r="M206" s="103">
        <f t="shared" si="940"/>
        <v>0.7</v>
      </c>
      <c r="N206" s="103">
        <f t="shared" si="804"/>
        <v>0</v>
      </c>
      <c r="O206" s="53">
        <f t="shared" si="939"/>
        <v>0.08</v>
      </c>
      <c r="P206" s="99">
        <v>0.1</v>
      </c>
      <c r="Q206" s="133">
        <f t="shared" si="941"/>
        <v>0.1</v>
      </c>
      <c r="R206" s="406">
        <v>0.8</v>
      </c>
      <c r="S206" s="142" t="str">
        <f>各项系数!$D$43</f>
        <v>钢带</v>
      </c>
      <c r="T206" s="102">
        <v>0.2</v>
      </c>
      <c r="U206" s="62">
        <v>4</v>
      </c>
      <c r="V206" s="143"/>
      <c r="W206" s="141">
        <f>$W$202</f>
        <v>1.8</v>
      </c>
      <c r="X206" s="135">
        <f t="shared" si="942"/>
        <v>0.2</v>
      </c>
      <c r="Y206" s="135"/>
      <c r="Z206" s="168"/>
      <c r="AA206" s="153">
        <v>1</v>
      </c>
      <c r="AB206" s="153">
        <f>PI()*EJ206*EJ206/4*EH206*(1-H206)*AA206*各项系数!$F$5*各项系数!$J$4*10^-7</f>
        <v>4.9684304271029656E-2</v>
      </c>
      <c r="AC206" s="153">
        <f t="shared" si="886"/>
        <v>267.425148012862</v>
      </c>
      <c r="AD206" s="153">
        <f t="shared" si="943"/>
        <v>5.6168699821977892</v>
      </c>
      <c r="AE206" s="153">
        <f>POWER(4*EU206/PI()/EG206/10^-7/EH206/(1-H206)/各项系数!$F$5/各项系数!$J$4,0.5)</f>
        <v>267.425148012862</v>
      </c>
      <c r="AF206" s="69">
        <v>1</v>
      </c>
      <c r="AG206" s="69">
        <f>IF(EM206=0,0,PI()*ER206*ER206/4*EP206*(1-K206)*(1+AF206)*各项系数!$F$5*各项系数!$J$4*10^-7)</f>
        <v>0</v>
      </c>
      <c r="AH206" s="69">
        <f t="shared" si="887"/>
        <v>0</v>
      </c>
      <c r="AI206" s="69">
        <f t="shared" si="1000"/>
        <v>0</v>
      </c>
      <c r="AJ206" s="69">
        <f>IF(OR(EP206="",EP206=0),0,POWER(4*EW206/PI()/EO206/10^-7/EP206/(1-K206)/各项系数!$F$5/各项系数!$J$4,0.5))</f>
        <v>0</v>
      </c>
      <c r="AK206" s="69" t="str">
        <f t="shared" si="944"/>
        <v>√</v>
      </c>
      <c r="AL206" s="69">
        <f t="shared" si="888"/>
        <v>18.757596554659148</v>
      </c>
      <c r="AM206" s="188">
        <f t="shared" si="889"/>
        <v>6</v>
      </c>
      <c r="AN206" s="97" t="s">
        <v>486</v>
      </c>
      <c r="AO206" s="196">
        <f>AP206+各项系数!$M$9*$NK206</f>
        <v>18.38980054378348</v>
      </c>
      <c r="AP206" s="196">
        <f>AQ206*(1+$BI206+(VLOOKUP($AM206,$A$12:$B$323,2,0))+各项系数!$J$6+各项系数!$M$5)*(1+$E$2)</f>
        <v>18.259292743142105</v>
      </c>
      <c r="AQ206" s="197">
        <f>AR206+各项系数!$L$9*$NK206</f>
        <v>18.447456802527888</v>
      </c>
      <c r="AR206" s="197">
        <f>AS206*(1+$BJ206+各项系数!$J$5+各项系数!$L$5)</f>
        <v>18.316949001886513</v>
      </c>
      <c r="AS206" s="197">
        <f t="shared" si="1001"/>
        <v>17.957793139104425</v>
      </c>
      <c r="AT206" s="196">
        <f>AU206+各项系数!$M$9*$NM206</f>
        <v>19.123254792665477</v>
      </c>
      <c r="AU206" s="196">
        <f>AV206*(1+$BI206+(VLOOKUP($AM206,$A$12:$B$323,2,0))+各项系数!$J$6+各项系数!$M$5)*(1+$E$2)</f>
        <v>18.992746992024102</v>
      </c>
      <c r="AV206" s="197">
        <f>AW206+各项系数!$L$9*$NM206</f>
        <v>19.188469379697011</v>
      </c>
      <c r="AW206" s="197">
        <f>AX206*(1+$BJ206+各项系数!$J$5+各项系数!$L$5)</f>
        <v>19.057961579055636</v>
      </c>
      <c r="AX206" s="197">
        <f t="shared" si="1002"/>
        <v>18.684276057897684</v>
      </c>
      <c r="AY206" s="196">
        <f>AZ206+各项系数!$M$9*$NS206</f>
        <v>19.484062897790562</v>
      </c>
      <c r="AZ206" s="196">
        <f>BA206*(1+$BI206+(VLOOKUP($AM206,$A$12:$B$214,2,0))+各项系数!$J$6+各项系数!$M$5)*(1+$E$2)</f>
        <v>19.348838069847019</v>
      </c>
      <c r="BA206" s="197">
        <f>BB206+各项系数!$L$9*$NS206</f>
        <v>19.548230016010322</v>
      </c>
      <c r="BB206" s="197">
        <f>BC206*(1+$BJ206+各项系数!$J$5+各项系数!$L$5)</f>
        <v>19.41300518806678</v>
      </c>
      <c r="BC206" s="199">
        <f t="shared" si="1003"/>
        <v>19.032358027516452</v>
      </c>
      <c r="BD206" s="196">
        <f>BE206+各项系数!$M$9*$NS206</f>
        <v>20.226560638348623</v>
      </c>
      <c r="BE206" s="196">
        <f>BF206*(1+$BI206+(VLOOKUP($AM206,$A$12:$B$214,2,0))+各项系数!$J$6+各项系数!$M$5)*(1+$E$2)</f>
        <v>20.091335810405081</v>
      </c>
      <c r="BF206" s="197">
        <f>BG206+各项系数!$L$9*$NS206</f>
        <v>20.298379279051403</v>
      </c>
      <c r="BG206" s="197">
        <f>BH206*(1+$BJ206+各项系数!$J$5+各项系数!$L$5)</f>
        <v>20.163154451107861</v>
      </c>
      <c r="BH206" s="199">
        <f t="shared" si="1004"/>
        <v>19.767798481478295</v>
      </c>
      <c r="BI206" s="211"/>
      <c r="BJ206" s="208">
        <f>$BJ$203</f>
        <v>0</v>
      </c>
      <c r="BK206" s="102" t="s">
        <v>514</v>
      </c>
      <c r="BL206" s="196">
        <f>BM206+各项系数!$M$9*$NM206</f>
        <v>18.676968701471719</v>
      </c>
      <c r="BM206" s="196">
        <f>BN206*(1+$CF206+(VLOOKUP($AM206,$A$12:$B$323,2,0))+各项系数!$J$6+各项系数!$M$5)*(1+$E$2)</f>
        <v>18.546460900830343</v>
      </c>
      <c r="BN206" s="197">
        <f>BO206+各项系数!$L$9*$NM206</f>
        <v>18.737584260285253</v>
      </c>
      <c r="BO206" s="197">
        <f>BP206*(1+$CG206+各项系数!$J$5+各项系数!$L$5)</f>
        <v>18.607076459643878</v>
      </c>
      <c r="BP206" s="197">
        <f t="shared" si="1005"/>
        <v>18.065122776353277</v>
      </c>
      <c r="BQ206" s="196">
        <f>BR206+各项系数!$M$9*$NM206</f>
        <v>19.308191757086551</v>
      </c>
      <c r="BR206" s="196">
        <f>BS206*(1+$CF206+(VLOOKUP($AM206,$A$12:$B$323,2,0))+各项系数!$J$6+各项系数!$M$5)*(1+$E$2)</f>
        <v>19.177683956445176</v>
      </c>
      <c r="BS206" s="197">
        <f>BT206+各项系数!$L$9*$NM206</f>
        <v>19.375312140275991</v>
      </c>
      <c r="BT206" s="197">
        <f>BU206*(1+$CG206+各项系数!$J$5+各项系数!$L$5)</f>
        <v>19.244804339634616</v>
      </c>
      <c r="BU206" s="197">
        <f t="shared" si="1006"/>
        <v>18.684276057897684</v>
      </c>
      <c r="BV206" s="196">
        <f>BW206+各项系数!$M$9*$NT206</f>
        <v>19.657549852894398</v>
      </c>
      <c r="BW206" s="196">
        <f>BX206*(1+$CF206+(VLOOKUP($AM206,$A$12:$B$214,2,0))+各项系数!$J$6+各项系数!$M$5)*(1+$E$2)</f>
        <v>19.522325024950856</v>
      </c>
      <c r="BX206" s="197">
        <f>BY206+各项系数!$L$9*$NT$12</f>
        <v>19.723504773642006</v>
      </c>
      <c r="BY206" s="197">
        <f>BZ206*(1+$CG206+各项系数!$J$5+各项系数!$L$5)</f>
        <v>19.715241370487032</v>
      </c>
      <c r="BZ206" s="199">
        <f t="shared" si="945"/>
        <v>19.141011039307799</v>
      </c>
      <c r="CA206" s="196">
        <f>CB206+各项系数!$M$9*$NT206</f>
        <v>20.296555889462567</v>
      </c>
      <c r="CB206" s="196">
        <f>CC206*(1+$CF206+(VLOOKUP($AM206,$A$12:$B$214,2,0))+各项系数!$J$6+各项系数!$M$5)*(1+$E$2)</f>
        <v>20.161331061519025</v>
      </c>
      <c r="CC206" s="197">
        <f>CD206+各项系数!$L$9*$NT$12</f>
        <v>20.369095839077616</v>
      </c>
      <c r="CD206" s="197">
        <f>CE206*(1+$CG206+各项系数!$J$5+各项系数!$L$5)</f>
        <v>20.360832435922642</v>
      </c>
      <c r="CE206" s="199">
        <f t="shared" si="1007"/>
        <v>19.767798481478295</v>
      </c>
      <c r="CF206" s="211">
        <f>(BI206+$CF$2)-BI206/1.3</f>
        <v>0</v>
      </c>
      <c r="CG206" s="213">
        <f t="shared" si="946"/>
        <v>0.01</v>
      </c>
      <c r="CH206" s="102"/>
      <c r="CI206" s="196">
        <f>CJ206+各项系数!$M$9*$NO206</f>
        <v>19.510839472978439</v>
      </c>
      <c r="CJ206" s="196">
        <f>CK206*(1+$DC206+(VLOOKUP($AM206,$A$12:$B$323,2,0))+各项系数!$J$6+各项系数!$M$5)*(1+$E$2)+各项系数!$M$9*$NK206</f>
        <v>19.320231806931947</v>
      </c>
      <c r="CK206" s="197">
        <f>CL206+各项系数!$L$9*$NO206</f>
        <v>19.387476264185263</v>
      </c>
      <c r="CL206" s="197">
        <f>CM206*(1+$DD206+各项系数!$J$5+各项系数!$L$5)</f>
        <v>19.196868598138771</v>
      </c>
      <c r="CM206" s="197">
        <f t="shared" si="947"/>
        <v>18.820459409939971</v>
      </c>
      <c r="CN206" s="196">
        <f>CO206+各项系数!$M$9*$NO206</f>
        <v>20.103671970765824</v>
      </c>
      <c r="CO206" s="196">
        <f>CP206*(1+$DC206+(VLOOKUP($AM206,$A$12:$B$323,2,0))+各项系数!$J$6+各项系数!$M$5)*(1+$E$2)+各项系数!$M$9*$NK206</f>
        <v>19.913064304719331</v>
      </c>
      <c r="CP206" s="197">
        <f>CQ206+各项系数!$L$9*$NO206</f>
        <v>19.986417967344874</v>
      </c>
      <c r="CQ206" s="197">
        <f>CR206*(1+$DD206+各项系数!$J$5+各项系数!$L$5)</f>
        <v>19.795810301298381</v>
      </c>
      <c r="CR206" s="197">
        <f t="shared" si="948"/>
        <v>19.407657158135667</v>
      </c>
      <c r="CS206" s="196">
        <f>CT206+各项系数!$M$9*$NU206</f>
        <v>20.636299860288549</v>
      </c>
      <c r="CT206" s="196">
        <f t="shared" si="949"/>
        <v>20.440269486773222</v>
      </c>
      <c r="CU206" s="197">
        <f>CV206+各项系数!$L$9*$NU206</f>
        <v>20.65090875608529</v>
      </c>
      <c r="CV206" s="197">
        <f>CW206*(1+$DD206+各项系数!$J$5+各项系数!$L$5)</f>
        <v>20.454878382569962</v>
      </c>
      <c r="CW206" s="199">
        <f t="shared" si="950"/>
        <v>20.053802335852904</v>
      </c>
      <c r="CX206" s="196">
        <f>CY206+各项系数!$M$9*$NU206</f>
        <v>21.473980350737182</v>
      </c>
      <c r="CY206" s="196">
        <f t="shared" si="951"/>
        <v>21.277949977221855</v>
      </c>
      <c r="CZ206" s="197">
        <f>DA206+各项系数!$L$9*$NU206</f>
        <v>21.497221637928728</v>
      </c>
      <c r="DA206" s="197">
        <f>DB206*(1+$DD206+各项系数!$J$5+各项系数!$L$5)</f>
        <v>21.301191264413401</v>
      </c>
      <c r="DB206" s="199">
        <f t="shared" si="952"/>
        <v>20.883520847464119</v>
      </c>
      <c r="DC206" s="211">
        <f>(BI206+$DC$2)-BI206/1.3</f>
        <v>0</v>
      </c>
      <c r="DD206" s="213">
        <f t="shared" si="953"/>
        <v>0</v>
      </c>
      <c r="DE206" s="53" t="s">
        <v>498</v>
      </c>
      <c r="DF206" s="53" t="s">
        <v>513</v>
      </c>
      <c r="DG206" s="196">
        <f>DH206+各项系数!$M$9*$NQ206</f>
        <v>19.82074634098673</v>
      </c>
      <c r="DH206" s="196">
        <f>DI206*(1+$EA206+(VLOOKUP($AM206,$A$12:$B$323,2,0))+各项系数!$J$6+各项系数!$M$5)*(1+$E$2)+各项系数!$M$9*$NK206</f>
        <v>19.630138674940238</v>
      </c>
      <c r="DI206" s="197">
        <f>DJ206+各项系数!$L$9*$NQ206</f>
        <v>19.700576757222532</v>
      </c>
      <c r="DJ206" s="197">
        <f>DK206*(1+$EB206+各项系数!$J$5+各项系数!$L$5)</f>
        <v>19.509969091176039</v>
      </c>
      <c r="DK206" s="197">
        <f t="shared" si="954"/>
        <v>18.941717564248581</v>
      </c>
      <c r="DL206" s="196">
        <f>DM206+各项系数!$M$9*$NQ206</f>
        <v>20.533885271135428</v>
      </c>
      <c r="DM206" s="196">
        <f>DN206*(1+$EA206+(VLOOKUP($AM206,$A$12:$B$323,2,0))+各项系数!$J$6+各项系数!$M$5)*(1+$E$2)+各项系数!$M$9*$NK206</f>
        <v>20.343277605088936</v>
      </c>
      <c r="DN206" s="197">
        <f>DO206+各项系数!$L$9*$NQ206</f>
        <v>20.42106466402057</v>
      </c>
      <c r="DO206" s="197">
        <f>DP206*(1+$EB206+各项系数!$J$5+各项系数!$L$5)</f>
        <v>20.230456997974077</v>
      </c>
      <c r="DP206" s="197">
        <f t="shared" si="955"/>
        <v>19.641220386382599</v>
      </c>
      <c r="DQ206" s="196">
        <f>DR206+各项系数!$M$9*$NV206</f>
        <v>20.959763528983348</v>
      </c>
      <c r="DR206" s="196">
        <f t="shared" si="956"/>
        <v>20.763733155468021</v>
      </c>
      <c r="DS206" s="197">
        <f>DT206+各项系数!$L$9*$NV206</f>
        <v>20.977705754160457</v>
      </c>
      <c r="DT206" s="197">
        <f>DU206*(1+$EB206+各项系数!$J$5+各项系数!$L$5)</f>
        <v>20.78167538064513</v>
      </c>
      <c r="DU206" s="199">
        <f t="shared" si="957"/>
        <v>20.176383864704007</v>
      </c>
      <c r="DV206" s="196">
        <f>DW206+各项系数!$M$9*$NV206</f>
        <v>21.119932522199626</v>
      </c>
      <c r="DW206" s="196">
        <f t="shared" si="958"/>
        <v>20.923902148684299</v>
      </c>
      <c r="DX206" s="197">
        <f>DY206+各项系数!$L$9*$NV206</f>
        <v>21.139525306813802</v>
      </c>
      <c r="DY206" s="197">
        <f>DZ206*(1+$EB206+各项系数!$J$5+各项系数!$L$5)</f>
        <v>20.943494933298474</v>
      </c>
      <c r="DZ206" s="199">
        <f t="shared" si="959"/>
        <v>20.333490226503372</v>
      </c>
      <c r="EA206" s="211">
        <f>(BI206+$EA$2)-BI206/1.3</f>
        <v>0</v>
      </c>
      <c r="EB206" s="213">
        <f t="shared" si="960"/>
        <v>0.01</v>
      </c>
      <c r="EC206" s="235">
        <f t="shared" si="1008"/>
        <v>5</v>
      </c>
      <c r="ED206" s="235" t="str">
        <f t="shared" si="890"/>
        <v>5*6</v>
      </c>
      <c r="EE206" s="189">
        <f t="shared" si="891"/>
        <v>6</v>
      </c>
      <c r="EF206" s="189">
        <f>LOOKUP(EH206,{1,7,10,14,19,24,30,37,48,61},{1,"1+6","2+8","4+10","1+6+12","2+8+14","4+10+16","1+6+12+18","3+9+15+21","1+6+12+18+24"})</f>
        <v>1</v>
      </c>
      <c r="EG206" s="188">
        <f t="shared" si="961"/>
        <v>5</v>
      </c>
      <c r="EH206" s="197">
        <f>VLOOKUP(EE206,各项系数!$B$87:$C$124,2,0)</f>
        <v>1</v>
      </c>
      <c r="EI206" s="188">
        <f>IF(EH206=0,0,VLOOKUP(EH206,各项系数!$D$142:$E$195,2,0))*1</f>
        <v>1</v>
      </c>
      <c r="EJ206" s="238">
        <f t="shared" si="1009"/>
        <v>267.425148012862</v>
      </c>
      <c r="EK206" s="189">
        <f t="shared" si="892"/>
        <v>0</v>
      </c>
      <c r="EL206" s="189">
        <f t="shared" si="962"/>
        <v>0</v>
      </c>
      <c r="EM206" s="189">
        <f t="shared" si="893"/>
        <v>0</v>
      </c>
      <c r="EN206" s="189">
        <f>IF(EP206=0,0,LOOKUP(EP206,{1,7,10,14,19,24,30,37,48,61},{1,"1+6","2+8","4+10","1+6+12","2+8+14","4+10+16","1+6+12+18","3+9+15+21","1+6+12+18+24"}))</f>
        <v>0</v>
      </c>
      <c r="EO206" s="189">
        <f t="shared" si="894"/>
        <v>0</v>
      </c>
      <c r="EP206" s="189">
        <f>IF(EM206=0,0,IF(EM206&lt;10,1,IF(AND(EM206&gt;=10,EM206&lt;=35),7,LOOKUP(EM206,{50,70,95,120,150,185,240,300},{10,14,19,24,30,37,48,61})*1)))</f>
        <v>0</v>
      </c>
      <c r="EQ206" s="189">
        <f>IF(EP206=0,0,VLOOKUP(EP206,各项系数!$D$142:$E$195,2,0))*1</f>
        <v>0</v>
      </c>
      <c r="ER206" s="53">
        <f t="shared" si="895"/>
        <v>0</v>
      </c>
      <c r="ES206" s="412">
        <f t="shared" si="896"/>
        <v>5</v>
      </c>
      <c r="ET206" s="189">
        <f>VLOOKUP(ES206,各项系数!$D$142:$E$195,2,0)*1</f>
        <v>2.7</v>
      </c>
      <c r="EU206" s="243">
        <f>((各项系数!$F$76/4*$EJ206^2*$EG206*$EH206*1*10^-7)*(1-$H206)*AA206)*(VLOOKUP($EY$9,各项系数!$D$4:$F$143,3,0))*各项系数!$J$4</f>
        <v>0.24842152135514825</v>
      </c>
      <c r="EV206" s="244">
        <f>EU206*(VLOOKUP($EY$9,各项系数!$D$4:$F$143,2,0))</f>
        <v>16.271609648762212</v>
      </c>
      <c r="EW206" s="252">
        <f>(IF($EO206=0,0,(各项系数!$F$76/4*$ER206^2*$EO206*$EP206*1*10^-7))*(1-$K206)*$AF206)*(VLOOKUP($EY$9,各项系数!$D$4:$F$143,3,0))*各项系数!$J$4</f>
        <v>0</v>
      </c>
      <c r="EX206" s="253">
        <f>EW206*(VLOOKUP($EY$9,各项系数!$D$4:$F$143,2,0))</f>
        <v>0</v>
      </c>
      <c r="EY206" s="189">
        <f>((各项系数!$F$76/4*$EJ206^2*$EG206*$EH206*1*10^-7)*(1-$H206)*AA206+IF($EO206=0,0,(各项系数!$F$76/4*$ER206^2*$EO206*$EP206*1*10^-7))*(1-$K206)*$AF206)*(VLOOKUP($EY$9,各项系数!$D$4:$F$143,3,0))*各项系数!$J$4</f>
        <v>0.24842152135514825</v>
      </c>
      <c r="EZ206" s="102">
        <v>1</v>
      </c>
      <c r="FA206" s="189">
        <f t="shared" si="897"/>
        <v>0.24842152135514825</v>
      </c>
      <c r="FB206" s="254">
        <f>FA206*(VLOOKUP($EY$9,各项系数!$D$4:$F$143,2,0))</f>
        <v>16.271609648762212</v>
      </c>
      <c r="FC206" s="255"/>
      <c r="FD206" s="235">
        <f>各项系数!$F$76/4*($MN206^2-MK206^2)*10^-2*(VLOOKUP(L206,各项系数!$D$1:$F$143,3,0))*10^-3*10^2*$EG206*各项系数!$J$4</f>
        <v>4.0607956014117125E-2</v>
      </c>
      <c r="FE206" s="262">
        <f>FD206*VLOOKUP(L206,各项系数!$D$1:$F$143,2,0)</f>
        <v>0.46699149416234692</v>
      </c>
      <c r="FF206" s="188">
        <f>各项系数!$F$76/4*($MO206^2-ML206^2)*10^-2*(VLOOKUP(L206,各项系数!$D$1:$F$143,3,0))*10^-3*10^2*$EO206*各项系数!$J$4</f>
        <v>0</v>
      </c>
      <c r="FG206" s="262">
        <f>FF206*VLOOKUP(L206,各项系数!$D$1:$F$143,2,0)</f>
        <v>0</v>
      </c>
      <c r="FH206" s="235">
        <f t="shared" si="1010"/>
        <v>4.0607956014117125E-2</v>
      </c>
      <c r="FI206" s="102">
        <v>1</v>
      </c>
      <c r="FJ206" s="189">
        <f t="shared" si="898"/>
        <v>4.0607956014117125E-2</v>
      </c>
      <c r="FK206" s="262">
        <f>FJ206*VLOOKUP(L206,各项系数!$D$1:$F$143,2,0)</f>
        <v>0.46699149416234692</v>
      </c>
      <c r="FL206" s="235"/>
      <c r="FM206" s="102"/>
      <c r="FN206" s="189"/>
      <c r="FO206" s="262"/>
      <c r="FP206" s="282">
        <f t="shared" si="899"/>
        <v>4.0607956014117125E-2</v>
      </c>
      <c r="FQ206" s="282">
        <f t="shared" si="900"/>
        <v>0.46699149416234692</v>
      </c>
      <c r="FR206" s="283">
        <f>各项系数!$F$76/4*($MQ206^2-$MN206^2*$EG206-$MO206^2*$EO206)*10^-2</f>
        <v>0.29855271755588492</v>
      </c>
      <c r="FS206" s="284">
        <f t="shared" si="1011"/>
        <v>1</v>
      </c>
      <c r="FT206" s="285">
        <f t="shared" si="963"/>
        <v>0.29855271755588492</v>
      </c>
      <c r="FU206" s="302">
        <f>$FT206*(VLOOKUP($FT$9,各项系数!$D$1:$F$143,3,0))*10^-3*10^2*各项系数!$J$55</f>
        <v>3.5647194476172657E-2</v>
      </c>
      <c r="FV206" s="303">
        <v>1</v>
      </c>
      <c r="FW206" s="304">
        <f t="shared" si="901"/>
        <v>3.5647194476172657E-2</v>
      </c>
      <c r="FX206" s="285">
        <f>FW206*(VLOOKUP($FT$9,各项系数!$D$1:$F$143,2,0))</f>
        <v>0.10694158342851798</v>
      </c>
      <c r="FY206" s="302">
        <f>IF($BK206&lt;&gt;$FY$9,0,各项系数!$F$76/4*($MS206^2-$MQ206^2)*10^-2*(VLOOKUP($FY$9,各项系数!$D$1:$F$143,3,0))*10^-3*10^2)*各项系数!$J$4</f>
        <v>0</v>
      </c>
      <c r="FZ206" s="303">
        <v>1</v>
      </c>
      <c r="GA206" s="304">
        <f t="shared" si="902"/>
        <v>0</v>
      </c>
      <c r="GB206" s="285">
        <f>GA206*(VLOOKUP($FY$9,各项系数!$D$1:$F$143,2,0))</f>
        <v>0</v>
      </c>
      <c r="GC206" s="302">
        <f>IF($BK206&lt;&gt;$GC$9,0,各项系数!$F$76/4*($MS206^2-$MQ206^2)*10^-2*(VLOOKUP($GC$9,各项系数!$D$1:$F$143,3,0))*10^-3*10^2)*各项系数!$J$4</f>
        <v>3.0196930436292191E-3</v>
      </c>
      <c r="GD206" s="303">
        <v>1</v>
      </c>
      <c r="GE206" s="304">
        <f t="shared" si="903"/>
        <v>3.0196930436292191E-3</v>
      </c>
      <c r="GF206" s="285">
        <f>GE206*(VLOOKUP($GC$9,各项系数!$D$1:$F$143,2,0))</f>
        <v>3.895404026281693E-2</v>
      </c>
      <c r="GG206" s="302">
        <f>IF($BK206&lt;&gt;$GG$9,0,各项系数!$F$76/4*($MS206^2-$MQ206^2)*10^-2*(VLOOKUP($GG$9,各项系数!$D$1:$F$143,3,0))*10^-3*10^2)*各项系数!$J$4</f>
        <v>0</v>
      </c>
      <c r="GH206" s="303">
        <v>1</v>
      </c>
      <c r="GI206" s="304">
        <f t="shared" si="904"/>
        <v>0</v>
      </c>
      <c r="GJ206" s="285">
        <f>GI206*(VLOOKUP($GG$9,各项系数!$D$1:$F$143,2,0))</f>
        <v>0</v>
      </c>
      <c r="GK206" s="302">
        <f>IF($BK206&lt;&gt;$GK$9,0,各项系数!$F$76/4*($MS206^2-$MQ206^2)*10^-2*(VLOOKUP($GK$9,各项系数!$D$1:$F$143,3,0))*10^-3*10^2)*各项系数!$J$4</f>
        <v>0</v>
      </c>
      <c r="GL206" s="303">
        <v>1</v>
      </c>
      <c r="GM206" s="304">
        <f t="shared" si="905"/>
        <v>0</v>
      </c>
      <c r="GN206" s="285">
        <f>GM206*(VLOOKUP($GK$9,各项系数!$D$1:$F$143,2,0))</f>
        <v>0</v>
      </c>
      <c r="GO206" s="304">
        <f t="shared" si="906"/>
        <v>3.0196930436292191E-3</v>
      </c>
      <c r="GP206" s="304">
        <f t="shared" si="907"/>
        <v>3.895404026281693E-2</v>
      </c>
      <c r="GQ206" s="315">
        <f>各项系数!$F$76/4*($MU206^2-$MS206^2)*10^-2*(VLOOKUP($S206,各项系数!$D$1:$F$143,3,0))*10^-3*10^2*各项系数!$J$4</f>
        <v>0.17272150711308848</v>
      </c>
      <c r="GR206" s="303">
        <v>1</v>
      </c>
      <c r="GS206" s="304">
        <f t="shared" si="908"/>
        <v>0.17272150711308848</v>
      </c>
      <c r="GT206" s="304">
        <f t="shared" si="909"/>
        <v>1</v>
      </c>
      <c r="GU206" s="304">
        <f>ROUND($GS206*(VLOOKUP($S206,各项系数!$D$1:$F$143,2,0))+$E$3*GS206,GT206)</f>
        <v>1</v>
      </c>
      <c r="GV206" s="315">
        <f>各项系数!$F$76/4*($MT206^2-$MS206^2)*10^-2*(VLOOKUP($GV$9,各项系数!$D$1:$F$143,3,0))*10^-3*10^2*各项系数!$J$4*PI()/4*R206</f>
        <v>1.5723424340549304E-2</v>
      </c>
      <c r="GW206" s="303">
        <v>1</v>
      </c>
      <c r="GX206" s="304">
        <f t="shared" si="910"/>
        <v>1.5723424340549304E-2</v>
      </c>
      <c r="GY206" s="304">
        <f>$GX206*(VLOOKUP($GV$9,各项系数!$D$1:$F$143,2,0))</f>
        <v>1.061331142987078</v>
      </c>
      <c r="GZ206" s="315">
        <f>各项系数!$F$76/4*($MV206^2-$MS206^2)*10^-2*(VLOOKUP($GZ$9,各项系数!$D$1:$F$143,3,0))*10^-3*10^2*各项系数!$J$4</f>
        <v>0.1058693700753994</v>
      </c>
      <c r="HA206" s="303">
        <v>1</v>
      </c>
      <c r="HB206" s="304">
        <f t="shared" si="1012"/>
        <v>0.1058693700753994</v>
      </c>
      <c r="HC206" s="304">
        <f>HB206*(VLOOKUP($GZ$9,各项系数!$D$1:$F$143,2,0))</f>
        <v>1.7997792912817898</v>
      </c>
      <c r="HD206" s="315">
        <f>各项系数!$F$76/4*($MW206^2-$MT206^2)*10^-2*(VLOOKUP($HD$9,各项系数!$D$1:$F$143,3,0))*10^-3*10^2*各项系数!$J$4</f>
        <v>0.10717473952207782</v>
      </c>
      <c r="HE206" s="303">
        <v>1</v>
      </c>
      <c r="HF206" s="304">
        <f t="shared" si="1013"/>
        <v>0.10717473952207782</v>
      </c>
      <c r="HG206" s="304">
        <f>HF206*(VLOOKUP($HD$9,各项系数!$D$1:$F$143,2,0))</f>
        <v>1.821970571875323</v>
      </c>
      <c r="HH206" s="315">
        <f>各项系数!$F$76/4*($MV206^2-$MS206^2)*10^-2*(VLOOKUP($HH$9,各项系数!$D$1:$F$143,3,0))*10^-3*10^2*各项系数!$J$4</f>
        <v>0.1058693700753994</v>
      </c>
      <c r="HI206" s="322">
        <v>1</v>
      </c>
      <c r="HJ206" s="304">
        <f t="shared" si="1014"/>
        <v>0.1058693700753994</v>
      </c>
      <c r="HK206" s="304">
        <f>HJ206*(VLOOKUP($HH$9,各项系数!$D$1:$F$143,2,0))</f>
        <v>1.7997792912817898</v>
      </c>
      <c r="HL206" s="315">
        <f>各项系数!$F$76/4*($MW206^2-$MT206^2)*10^-2*(VLOOKUP($HL$9,各项系数!$D$1:$F$143,3,0))*10^-3*10^2*各项系数!$J$4</f>
        <v>0.10717473952207782</v>
      </c>
      <c r="HM206" s="322">
        <v>1</v>
      </c>
      <c r="HN206" s="304">
        <f t="shared" si="964"/>
        <v>0.10717473952207782</v>
      </c>
      <c r="HO206" s="304">
        <f>HN206*(VLOOKUP($HL$9,各项系数!$D$1:$F$143,2,0))</f>
        <v>1.821970571875323</v>
      </c>
      <c r="HP206" s="315">
        <f>各项系数!$F$76/4*($MV206^2-$MS206^2)*10^-2*(VLOOKUP(AN206,各项系数!$D$1:$F$143,3,0))*10^-3*10^2*各项系数!$J$4</f>
        <v>0.10732963724885319</v>
      </c>
      <c r="HQ206" s="303">
        <v>1</v>
      </c>
      <c r="HR206" s="304">
        <f t="shared" si="911"/>
        <v>0.10732963724885319</v>
      </c>
      <c r="HS206" s="304">
        <f>HR206*(VLOOKUP(AN206,各项系数!$D$1:$F$143,2,0))</f>
        <v>1.073296372488532</v>
      </c>
      <c r="HT206" s="315">
        <f>各项系数!$F$76/4*($MW206^2-$MT206^2)*10^-2*(VLOOKUP(AN206,各项系数!$D$1:$F$143,3,0))*10^-3*10^2*各项系数!$J$4</f>
        <v>0.10865301179134783</v>
      </c>
      <c r="HU206" s="303">
        <v>1</v>
      </c>
      <c r="HV206" s="304">
        <f t="shared" si="912"/>
        <v>0.10865301179134783</v>
      </c>
      <c r="HW206" s="304">
        <f>HV206*(VLOOKUP(AN206,各项系数!$D$1:$F$143,2,0))</f>
        <v>1.0865301179134783</v>
      </c>
      <c r="HX206" s="315">
        <f>各项系数!$F$76/4*($MV206^2-$MS206^2)*10^-2*(VLOOKUP($HX$9,各项系数!$D$1:$F$143,3,0))*10^-3*10^2*各项系数!$J$4</f>
        <v>0.10732963724885319</v>
      </c>
      <c r="HY206" s="322">
        <v>1</v>
      </c>
      <c r="HZ206" s="304">
        <f t="shared" si="913"/>
        <v>0.10732963724885319</v>
      </c>
      <c r="IA206" s="304">
        <f>HZ206*(VLOOKUP($HX$9,各项系数!$D$1:$F$143,2,0))</f>
        <v>1.1806260097373851</v>
      </c>
      <c r="IB206" s="315">
        <f>各项系数!$F$76/4*($MW206^2-$MT206^2)*10^-2*(VLOOKUP($IB$9,各项系数!$D$1:$F$143,3,0))*10^-3*10^2*各项系数!$J$4</f>
        <v>0.10865301179134783</v>
      </c>
      <c r="IC206" s="322">
        <v>1</v>
      </c>
      <c r="ID206" s="304">
        <f t="shared" si="914"/>
        <v>0.10865301179134783</v>
      </c>
      <c r="IE206" s="304">
        <f>ID206*(VLOOKUP($IB$9,各项系数!$D$1:$F$143,2,0))</f>
        <v>1.1951831297048261</v>
      </c>
      <c r="IF206" s="328"/>
      <c r="IG206" s="315">
        <f t="shared" si="1015"/>
        <v>2.091862612462296E-2</v>
      </c>
      <c r="IH206" s="303">
        <v>1</v>
      </c>
      <c r="II206" s="304">
        <f t="shared" si="915"/>
        <v>2.091862612462296E-2</v>
      </c>
      <c r="IJ206" s="304">
        <f>II206*(VLOOKUP($IG$8,各项系数!$D$1:$F$143,2,0))</f>
        <v>0.52296565311557397</v>
      </c>
      <c r="IK206" s="315">
        <f>(各项系数!$F$76/4*($MX206^2-$MK206^2)*$EG206)*10^-2*(VLOOKUP($IG$8,各项系数!$D$1:$F$143,3,0))*10^-3*10^2*各项系数!$J$4</f>
        <v>2.091862612462296E-2</v>
      </c>
      <c r="IL206" s="303">
        <f>IK206*(VLOOKUP($IG$8,各项系数!$D$1:$F$143,2,0))</f>
        <v>0.52296565311557397</v>
      </c>
      <c r="IM206" s="304">
        <f>(各项系数!$F$76/4*(($MM206+3*$X206)^2-MM206^2)*$EO206)*10^-2*(VLOOKUP($IG$8,各项系数!$D$1:$F$143,3,0))*10^-3*10^2*各项系数!$J$4</f>
        <v>0</v>
      </c>
      <c r="IN206" s="303">
        <f>IM206*(VLOOKUP($IG$8,各项系数!$D$1:$F$143,2,0))</f>
        <v>0</v>
      </c>
      <c r="IO206" s="315">
        <f>各项系数!$F$76/4*($MZ206^2-$MX206^2)*10^-2*(VLOOKUP(L206,各项系数!$D$1:$F$143,3,0))*10^-3*10^2*$ES206*各项系数!$J$4</f>
        <v>4.7828749648760598E-2</v>
      </c>
      <c r="IP206" s="303">
        <v>1</v>
      </c>
      <c r="IQ206" s="304">
        <f t="shared" si="916"/>
        <v>4.7828749648760598E-2</v>
      </c>
      <c r="IR206" s="285">
        <f>IQ206*(VLOOKUP(L206,各项系数!$D$1:$F$143,2,0))</f>
        <v>0.55003062096074684</v>
      </c>
      <c r="IS206" s="315">
        <f>IF($L206&lt;&gt;$IS$9,0,各项系数!$F$76/4*($MZ206^2-$MX206^2)*10^-2*各项系数!$F$12*10^-3*10^2)*$ES206*各项系数!$J$4</f>
        <v>0</v>
      </c>
      <c r="IT206" s="303">
        <v>1</v>
      </c>
      <c r="IU206" s="304">
        <f t="shared" si="917"/>
        <v>0</v>
      </c>
      <c r="IV206" s="285">
        <f>IU206*各项系数!$E$12</f>
        <v>0</v>
      </c>
      <c r="IW206" s="302">
        <f t="shared" si="918"/>
        <v>4.7828749648760598E-2</v>
      </c>
      <c r="IX206" s="302">
        <f t="shared" si="919"/>
        <v>0.55003062096074684</v>
      </c>
      <c r="IY206" s="339">
        <f>各项系数!$F$76/4*($NB206^2-$MZ206^2*$EG206-$NA206^2*$EO206)*10^-2</f>
        <v>0.39296105673844028</v>
      </c>
      <c r="IZ206" s="284">
        <f t="shared" si="697"/>
        <v>1</v>
      </c>
      <c r="JA206" s="285">
        <f t="shared" si="965"/>
        <v>0.39296105673844028</v>
      </c>
      <c r="JB206" s="282">
        <f>IF($DE206&lt;&gt;$JB$9,0,$JA206*各项系数!$F$32*10^-3*10^2)*各项系数!$J$4</f>
        <v>0</v>
      </c>
      <c r="JC206" s="102">
        <v>1</v>
      </c>
      <c r="JD206" s="189">
        <f t="shared" si="920"/>
        <v>0</v>
      </c>
      <c r="JE206" s="262">
        <f>JD206*各项系数!$E$32</f>
        <v>0</v>
      </c>
      <c r="JF206" s="282">
        <f>IF($DE206&lt;&gt;$JF$9,0,$JA206*VLOOKUP($JF$9,各项系数!$D$4:$F$540,2,0)*10^-3*10^2)*各项系数!$J$4</f>
        <v>0.19549812572737402</v>
      </c>
      <c r="JG206" s="102">
        <v>1</v>
      </c>
      <c r="JH206" s="189">
        <f t="shared" si="966"/>
        <v>0.19549812572737402</v>
      </c>
      <c r="JI206" s="262">
        <f>JH206*VLOOKUP($JF$9,各项系数!$D$4:$F$540,3,0)</f>
        <v>0.23459775087284881</v>
      </c>
      <c r="JJ206" s="282">
        <f t="shared" si="921"/>
        <v>0.19549812572737402</v>
      </c>
      <c r="JK206" s="189">
        <f t="shared" si="922"/>
        <v>0.23459775087284881</v>
      </c>
      <c r="JL206" s="282">
        <f>IF($DF206&lt;&gt;$JL$9,0,各项系数!$F$76/4*($NE206^2-$NC206^2)*10^-2*各项系数!$F$39*10^-3*10^2)*各项系数!$J$4</f>
        <v>1.4337096571248166E-3</v>
      </c>
      <c r="JM206" s="102">
        <v>1</v>
      </c>
      <c r="JN206" s="189">
        <f t="shared" si="923"/>
        <v>1.4337096571248166E-3</v>
      </c>
      <c r="JO206" s="262">
        <f>JN206*各项系数!$E$39</f>
        <v>2.8674193142496331E-2</v>
      </c>
      <c r="JP206" s="282">
        <f>IF($DF206&lt;&gt;$JP$9,0,各项系数!$F$76/4*($NE206^2-$NC206^2)*10^-2*各项系数!$F$36*10^-3*10^2)*各项系数!$J$4</f>
        <v>0</v>
      </c>
      <c r="JQ206" s="102">
        <v>1</v>
      </c>
      <c r="JR206" s="189">
        <f t="shared" si="924"/>
        <v>0</v>
      </c>
      <c r="JS206" s="262">
        <f>JR206*各项系数!$E$36</f>
        <v>0</v>
      </c>
      <c r="JT206" s="282">
        <f>IF($DF206&lt;&gt;$JT$9,0,各项系数!$F$76/4*($NE206^2-$NC206^2)*10^-2*各项系数!$F$40*10^-3*10^2)*各项系数!$J$4</f>
        <v>0</v>
      </c>
      <c r="JU206" s="102">
        <v>1</v>
      </c>
      <c r="JV206" s="189">
        <f t="shared" si="925"/>
        <v>0</v>
      </c>
      <c r="JW206" s="262">
        <f>JV206*各项系数!$E$40</f>
        <v>0</v>
      </c>
      <c r="JX206" s="282">
        <f>IF($DF206&lt;&gt;$JX$9,0,各项系数!$F$76/4*($NE206^2-$NC206^2)*10^-2*各项系数!$F$38*10^-3*10^2)*各项系数!$J$4</f>
        <v>0</v>
      </c>
      <c r="JY206" s="102">
        <v>1</v>
      </c>
      <c r="JZ206" s="189">
        <f t="shared" si="926"/>
        <v>0</v>
      </c>
      <c r="KA206" s="262">
        <f>JZ206*各项系数!$E$38</f>
        <v>0</v>
      </c>
      <c r="KB206" s="282">
        <f>IF($DF206&lt;&gt;$KB$9,0,各项系数!$F$76/4*($NE206^2-$NC206^2)*10^-2*各项系数!$F$41*10^-3*10^2)*各项系数!$J$4</f>
        <v>0</v>
      </c>
      <c r="KC206" s="102">
        <v>1</v>
      </c>
      <c r="KD206" s="189">
        <f t="shared" si="927"/>
        <v>0</v>
      </c>
      <c r="KE206" s="262">
        <f>KD206*各项系数!$E$41</f>
        <v>0</v>
      </c>
      <c r="KF206" s="189">
        <f t="shared" si="928"/>
        <v>1.4337096571248166E-3</v>
      </c>
      <c r="KG206" s="189">
        <f t="shared" si="929"/>
        <v>2.8674193142496331E-2</v>
      </c>
      <c r="KH206" s="235">
        <f>各项系数!$F$76/4*($NG206^2-$NE206^2)*10^-2*各项系数!$F$44*10^-3*10^2*各项系数!$J$4*0.75*$U206</f>
        <v>0.59226044202450001</v>
      </c>
      <c r="KI206" s="102">
        <v>1</v>
      </c>
      <c r="KJ206" s="189">
        <f t="shared" si="930"/>
        <v>0.59226044202450001</v>
      </c>
      <c r="KK206" s="189">
        <f>ROUND(KJ206*各项系数!$E$43,GT206)</f>
        <v>3.4</v>
      </c>
      <c r="KL206" s="235">
        <f>各项系数!$F$76/4*($NF206^2-$NE206^2)*10^-2*各项系数!$F$46*10^-3*10^2*各项系数!$J$4*PI()/4*R206</f>
        <v>1.8075691562785018E-2</v>
      </c>
      <c r="KM206" s="102">
        <v>1</v>
      </c>
      <c r="KN206" s="189">
        <f t="shared" si="931"/>
        <v>1.8075691562785018E-2</v>
      </c>
      <c r="KO206" s="189">
        <f>KN206*各项系数!$E$46</f>
        <v>1.2201091804879887</v>
      </c>
      <c r="KP206" s="235">
        <f>各项系数!$F$76/4*($NH206^2-$NE206^2)*10^-2*(VLOOKUP($KP$9,各项系数!$D$1:$F$143,3,0))*10^-3*10^2*各项系数!$J$4</f>
        <v>0.11960838350168955</v>
      </c>
      <c r="KQ206" s="102">
        <v>1</v>
      </c>
      <c r="KR206" s="189">
        <f t="shared" si="1016"/>
        <v>0.11960838350168955</v>
      </c>
      <c r="KS206" s="189">
        <f>KR206*(VLOOKUP($KP$9,各项系数!$D$1:$F$143,2,0))</f>
        <v>2.0333425195287225</v>
      </c>
      <c r="KT206" s="235">
        <f>各项系数!$F$76/4*($NI206^2-$NF206^2)*10^-2*(VLOOKUP($KT$9,各项系数!$D$1:$F$143,3,0))*10^-3*10^2*各项系数!$J$4</f>
        <v>0.12091375294836797</v>
      </c>
      <c r="KU206" s="102">
        <v>1</v>
      </c>
      <c r="KV206" s="189">
        <f t="shared" si="1017"/>
        <v>0.12091375294836797</v>
      </c>
      <c r="KW206" s="189">
        <f>KV206*(VLOOKUP($KT$9,各项系数!$D$1:$F$143,2,0))</f>
        <v>2.0555338001222556</v>
      </c>
      <c r="KX206" s="189">
        <f>各项系数!$F$76/4*($NH206^2-$NE206^2)*10^-2*(VLOOKUP($KX$9,各项系数!$D$1:$F$143,3,0))*10^-3*10^2*各项系数!$J$4</f>
        <v>0.11960838350168955</v>
      </c>
      <c r="KY206" s="353">
        <v>1</v>
      </c>
      <c r="KZ206" s="189">
        <f t="shared" si="1018"/>
        <v>0.11960838350168955</v>
      </c>
      <c r="LA206" s="189">
        <f>KZ206*(VLOOKUP($KX$9,各项系数!$D$1:$F$143,2,0))</f>
        <v>2.0333425195287225</v>
      </c>
      <c r="LB206" s="189">
        <f>各项系数!$F$76/4*($NI206^2-$NF206^2)*10^-2*(VLOOKUP($LB$9,各项系数!$D$1:$F$143,3,0))*10^-3*10^2*各项系数!$J$4</f>
        <v>0.12091375294836797</v>
      </c>
      <c r="LC206" s="353">
        <v>1</v>
      </c>
      <c r="LD206" s="189">
        <f t="shared" si="1019"/>
        <v>0.12091375294836797</v>
      </c>
      <c r="LE206" s="189">
        <f>LD206*(VLOOKUP($LB$9,各项系数!$D$1:$F$143,2,0))</f>
        <v>2.0555338001222556</v>
      </c>
      <c r="LF206" s="235">
        <f>各项系数!$F$76/4*($NH206^2-$NE206^2)*10^-2*(VLOOKUP(AN206,各项系数!$D$1:$F$143,3,0))*10^-3*10^2*各项系数!$J$4</f>
        <v>0.12125815430860941</v>
      </c>
      <c r="LG206" s="102">
        <v>1</v>
      </c>
      <c r="LH206" s="189">
        <f t="shared" si="932"/>
        <v>0.12125815430860941</v>
      </c>
      <c r="LI206" s="189">
        <f>LH206*(VLOOKUP(AN206,各项系数!$D$1:$F$143,2,0))</f>
        <v>1.212581543086094</v>
      </c>
      <c r="LJ206" s="235">
        <f>各项系数!$F$76/4*($NI206^2-$NF206^2)*10^-2*(VLOOKUP(AN206,各项系数!$D$1:$F$143,3,0))*10^-3*10^2*各项系数!$J$4</f>
        <v>0.12258152885110406</v>
      </c>
      <c r="LK206" s="102">
        <v>1</v>
      </c>
      <c r="LL206" s="189">
        <f t="shared" si="933"/>
        <v>0.12258152885110406</v>
      </c>
      <c r="LM206" s="189">
        <f>LL206*(VLOOKUP(AN206,各项系数!$D$1:$F$143,2,0))</f>
        <v>1.2258152885110405</v>
      </c>
      <c r="LN206" s="189">
        <f>各项系数!$F$76/4*($NH206^2-$NE206^2)*10^-2*(VLOOKUP($LN$9,各项系数!$D$1:$F$143,3,0))*10^-3*10^2*各项系数!$J$4</f>
        <v>0.12125815430860941</v>
      </c>
      <c r="LO206" s="353">
        <v>1</v>
      </c>
      <c r="LP206" s="189">
        <f t="shared" si="934"/>
        <v>0.12125815430860941</v>
      </c>
      <c r="LQ206" s="189">
        <f>LP206*(VLOOKUP($LN$9,各项系数!$D$1:$F$143,2,0))</f>
        <v>1.3338396973947035</v>
      </c>
      <c r="LR206" s="189">
        <f>各项系数!$F$76/4*($NI206^2-$NF206^2)*10^-2*(VLOOKUP($LR$9,各项系数!$D$1:$F$143,3,0))*10^-3*10^2*各项系数!$J$4</f>
        <v>0.12258152885110406</v>
      </c>
      <c r="LS206" s="353">
        <v>1</v>
      </c>
      <c r="LT206" s="189">
        <f t="shared" si="935"/>
        <v>0.12258152885110406</v>
      </c>
      <c r="LU206" s="189">
        <f>LT206*(VLOOKUP($LR$9,各项系数!$D$1:$F$143,2,0))</f>
        <v>1.3483968173621446</v>
      </c>
      <c r="LV206" s="227">
        <f t="shared" si="1020"/>
        <v>28.08434991</v>
      </c>
      <c r="LW206" s="227">
        <f t="shared" si="1021"/>
        <v>28.08434991</v>
      </c>
      <c r="LX206" s="227">
        <f t="shared" si="1022"/>
        <v>5.9798080983917377</v>
      </c>
      <c r="LY206" s="227">
        <f t="shared" si="1023"/>
        <v>0</v>
      </c>
      <c r="LZ206" s="374">
        <f t="shared" si="967"/>
        <v>1</v>
      </c>
      <c r="MA206" s="375">
        <f t="shared" si="968"/>
        <v>28.08434991</v>
      </c>
      <c r="MB206" s="375">
        <f t="shared" si="1024"/>
        <v>2.6742514800000001</v>
      </c>
      <c r="MC206" s="227">
        <f t="shared" si="1025"/>
        <v>0</v>
      </c>
      <c r="MD206" s="227">
        <f t="shared" si="1026"/>
        <v>0</v>
      </c>
      <c r="ME206" s="227">
        <f t="shared" si="1027"/>
        <v>0</v>
      </c>
      <c r="MF206" s="227">
        <f t="shared" si="1028"/>
        <v>0</v>
      </c>
      <c r="MG206" s="374">
        <f t="shared" si="1029"/>
        <v>1</v>
      </c>
      <c r="MH206" s="375">
        <f t="shared" si="969"/>
        <v>0</v>
      </c>
      <c r="MI206" s="375">
        <f t="shared" si="1030"/>
        <v>0</v>
      </c>
      <c r="MJ206" s="189">
        <f t="shared" si="970"/>
        <v>2.6742514800000001</v>
      </c>
      <c r="MK206" s="189">
        <f t="shared" si="1031"/>
        <v>2.6742514800000001</v>
      </c>
      <c r="ML206" s="189">
        <f t="shared" si="936"/>
        <v>0</v>
      </c>
      <c r="MM206" s="189">
        <f t="shared" si="971"/>
        <v>0</v>
      </c>
      <c r="MN206" s="189">
        <f t="shared" si="972"/>
        <v>4.07425148</v>
      </c>
      <c r="MO206" s="189">
        <f t="shared" si="1032"/>
        <v>0</v>
      </c>
      <c r="MP206" s="189">
        <f t="shared" si="1033"/>
        <v>11.000479</v>
      </c>
      <c r="MQ206" s="189">
        <f t="shared" si="937"/>
        <v>11.000479</v>
      </c>
      <c r="MR206" s="246">
        <f t="shared" si="1034"/>
        <v>11.000479</v>
      </c>
      <c r="MS206" s="380">
        <f t="shared" si="973"/>
        <v>11.176479</v>
      </c>
      <c r="MT206" s="380">
        <f t="shared" si="974"/>
        <v>11.336479000000001</v>
      </c>
      <c r="MU206" s="380">
        <f t="shared" si="975"/>
        <v>12.376479</v>
      </c>
      <c r="MV206" s="380">
        <f t="shared" si="976"/>
        <v>14.776479</v>
      </c>
      <c r="MW206" s="380">
        <f t="shared" si="977"/>
        <v>14.936479</v>
      </c>
      <c r="MX206" s="254">
        <f t="shared" si="978"/>
        <v>3.2742514800000002</v>
      </c>
      <c r="MY206" s="254">
        <f t="shared" si="979"/>
        <v>0</v>
      </c>
      <c r="MZ206" s="189">
        <f t="shared" si="980"/>
        <v>4.6742514800000006</v>
      </c>
      <c r="NA206" s="189">
        <f t="shared" si="981"/>
        <v>0</v>
      </c>
      <c r="NB206" s="189">
        <f t="shared" si="1035"/>
        <v>12.620479</v>
      </c>
      <c r="NC206" s="254">
        <f t="shared" si="938"/>
        <v>12.620479</v>
      </c>
      <c r="ND206" s="246">
        <f t="shared" si="1036"/>
        <v>12.620479</v>
      </c>
      <c r="NE206" s="386">
        <f t="shared" si="1037"/>
        <v>12.860479</v>
      </c>
      <c r="NF206" s="380">
        <f t="shared" si="982"/>
        <v>13.020479</v>
      </c>
      <c r="NG206" s="387">
        <f t="shared" si="983"/>
        <v>14.060479000000001</v>
      </c>
      <c r="NH206" s="254">
        <f t="shared" si="984"/>
        <v>16.460478999999999</v>
      </c>
      <c r="NI206" s="380">
        <f t="shared" si="985"/>
        <v>16.620479</v>
      </c>
      <c r="NK206" s="388">
        <f t="shared" si="986"/>
        <v>0.43502600213792042</v>
      </c>
      <c r="NL206" s="388">
        <f t="shared" si="987"/>
        <v>17.957793139104425</v>
      </c>
      <c r="NM206" s="388">
        <f t="shared" si="988"/>
        <v>0.43502600213792042</v>
      </c>
      <c r="NN206" s="388">
        <f t="shared" si="989"/>
        <v>18.065122776353277</v>
      </c>
      <c r="NO206" s="388">
        <f t="shared" si="990"/>
        <v>0.6353588868216401</v>
      </c>
      <c r="NP206" s="388">
        <f t="shared" si="991"/>
        <v>18.820459409939971</v>
      </c>
      <c r="NQ206" s="388">
        <f t="shared" si="992"/>
        <v>0.6353588868216401</v>
      </c>
      <c r="NR206" s="388">
        <f t="shared" si="993"/>
        <v>18.941717564248581</v>
      </c>
      <c r="NS206" s="388">
        <f t="shared" si="994"/>
        <v>0.45074942647846972</v>
      </c>
      <c r="NT206" s="388">
        <f t="shared" si="995"/>
        <v>0.45074942647846972</v>
      </c>
      <c r="NU206" s="388">
        <f t="shared" si="996"/>
        <v>0.65343457838442509</v>
      </c>
      <c r="NV206" s="388">
        <f t="shared" si="997"/>
        <v>0.65343457838442509</v>
      </c>
      <c r="NW206">
        <f t="shared" si="998"/>
        <v>0.60774750925100895</v>
      </c>
      <c r="NX206">
        <f>各项系数!$M$9*NK206</f>
        <v>0.13050780064137613</v>
      </c>
      <c r="NY206">
        <f t="shared" si="999"/>
        <v>0.45074942647846972</v>
      </c>
    </row>
    <row r="207" spans="1:389" ht="15" hidden="1" customHeight="1">
      <c r="A207" s="69"/>
      <c r="B207" s="70"/>
      <c r="C207" s="69"/>
      <c r="D207" s="69" t="s">
        <v>301</v>
      </c>
      <c r="E207" s="61">
        <f t="shared" si="885"/>
        <v>10.50956721</v>
      </c>
      <c r="F207" s="62">
        <f>$F$17</f>
        <v>172.412400708262</v>
      </c>
      <c r="G207" s="16"/>
      <c r="H207" s="16"/>
      <c r="I207" s="145">
        <f>$F$16</f>
        <v>134.922667214547</v>
      </c>
      <c r="J207" s="16"/>
      <c r="K207" s="16"/>
      <c r="L207" s="97" t="s">
        <v>469</v>
      </c>
      <c r="M207" s="103">
        <f t="shared" si="940"/>
        <v>0.7</v>
      </c>
      <c r="N207" s="103">
        <f t="shared" ref="N207:N214" si="1038">$M$182</f>
        <v>0.7</v>
      </c>
      <c r="O207" s="53">
        <f t="shared" si="939"/>
        <v>0.08</v>
      </c>
      <c r="P207" s="99">
        <v>0.1</v>
      </c>
      <c r="Q207" s="133">
        <f t="shared" si="941"/>
        <v>0.1</v>
      </c>
      <c r="R207" s="406">
        <v>0.8</v>
      </c>
      <c r="S207" s="142" t="str">
        <f>各项系数!$D$43</f>
        <v>钢带</v>
      </c>
      <c r="T207" s="102">
        <v>0.2</v>
      </c>
      <c r="U207" s="62">
        <v>4</v>
      </c>
      <c r="V207" s="143"/>
      <c r="W207" s="141">
        <f>$W$182</f>
        <v>1.5</v>
      </c>
      <c r="X207" s="135">
        <f t="shared" si="942"/>
        <v>0.2</v>
      </c>
      <c r="Y207" s="135"/>
      <c r="Z207" s="168"/>
      <c r="AA207" s="153">
        <v>1</v>
      </c>
      <c r="AB207" s="153">
        <f>PI()*EJ207*EJ207/4*EH207*(1-H207)*AA207*各项系数!$F$5*各项系数!$J$4*10^-7</f>
        <v>2.0651505688902914E-2</v>
      </c>
      <c r="AC207" s="153">
        <f t="shared" si="886"/>
        <v>172.412400708262</v>
      </c>
      <c r="AD207" s="153">
        <f t="shared" si="943"/>
        <v>2.3346774015073022</v>
      </c>
      <c r="AE207" s="153">
        <f>POWER(4*EU207/PI()/EG207/10^-7/EH207/(1-H207)/各项系数!$F$5/各项系数!$J$4,0.5)</f>
        <v>172.412400708262</v>
      </c>
      <c r="AF207" s="69">
        <f>$AA$165</f>
        <v>1</v>
      </c>
      <c r="AG207" s="69">
        <f>IF(EM207=0,0,PI()*ER207*ER207/4*EP207*(1-K207)*(1+AF207)*各项系数!$F$5*各项系数!$J$4*10^-7)</f>
        <v>2.5293827628887593E-2</v>
      </c>
      <c r="AH207" s="69">
        <f t="shared" si="887"/>
        <v>134.922667214547</v>
      </c>
      <c r="AI207" s="69">
        <f t="shared" si="1000"/>
        <v>1.4297487227412424</v>
      </c>
      <c r="AJ207" s="69">
        <f>IF(OR(EP207="",EP207=0),0,POWER(4*EW207/PI()/EO207/10^-7/EP207/(1-K207)/各项系数!$F$5/各项系数!$J$4,0.5))</f>
        <v>134.922667214547</v>
      </c>
      <c r="AK207" s="69">
        <f t="shared" si="944"/>
        <v>7.460143088115255E-2</v>
      </c>
      <c r="AL207" s="69">
        <f t="shared" si="888"/>
        <v>6.1238792348201017</v>
      </c>
      <c r="AM207" s="188">
        <f t="shared" si="889"/>
        <v>2.5</v>
      </c>
      <c r="AN207" s="97" t="s">
        <v>486</v>
      </c>
      <c r="AO207" s="196">
        <f>AP207+各项系数!$M$9*$NK207</f>
        <v>6.0038031713922564</v>
      </c>
      <c r="AP207" s="196">
        <f>AQ207*(1+$BI207+(VLOOKUP($AM207,$A$12:$B$323,2,0))+各项系数!$J$6+各项系数!$M$5)*(1+$E$2)</f>
        <v>5.9492096089153712</v>
      </c>
      <c r="AQ207" s="197">
        <f>AR207+各项系数!$L$9*$NK207</f>
        <v>6.0105168811026175</v>
      </c>
      <c r="AR207" s="197">
        <f>AS207*(1+$BJ207+各项系数!$J$5+各项系数!$L$5)</f>
        <v>5.9559233186257323</v>
      </c>
      <c r="AS207" s="197">
        <f t="shared" si="1001"/>
        <v>5.8391405084565999</v>
      </c>
      <c r="AT207" s="196">
        <f>AU207+各项系数!$M$9*$NM207</f>
        <v>6.4281674738327483</v>
      </c>
      <c r="AU207" s="196">
        <f>AV207*(1+$BI207+(VLOOKUP($AM207,$A$12:$B$323,2,0))+各项系数!$J$6+各项系数!$M$5)*(1+$E$2)</f>
        <v>6.3735739113558632</v>
      </c>
      <c r="AV207" s="197">
        <f>AW207+各项系数!$L$9*$NM207</f>
        <v>6.4392543052696132</v>
      </c>
      <c r="AW207" s="197">
        <f>AX207*(1+$BJ207+各项系数!$J$5+各项系数!$L$5)</f>
        <v>6.384660742792728</v>
      </c>
      <c r="AX207" s="197">
        <f t="shared" si="1002"/>
        <v>6.2594713164634586</v>
      </c>
      <c r="AY207" s="196">
        <f>AZ207+各项系数!$M$9*$NS207</f>
        <v>6.7437241106932326</v>
      </c>
      <c r="AZ207" s="196">
        <f>BA207*(1+$BI207+(VLOOKUP($AM207,$A$12:$B$214,2,0))+各项系数!$J$6+各项系数!$M$5)*(1+$E$2)</f>
        <v>6.6859501402272068</v>
      </c>
      <c r="BA207" s="197">
        <f>BB207+各项系数!$L$9*$NS207</f>
        <v>6.7548496062105547</v>
      </c>
      <c r="BB207" s="197">
        <f>BC207*(1+$BJ207+各项系数!$J$5+各项系数!$L$5)</f>
        <v>6.6970756357445289</v>
      </c>
      <c r="BC207" s="199">
        <f t="shared" si="1003"/>
        <v>6.5657604272005186</v>
      </c>
      <c r="BD207" s="196">
        <f>BE207+各项系数!$M$9*$NS207</f>
        <v>7.1756246561971109</v>
      </c>
      <c r="BE207" s="196">
        <f>BF207*(1+$BI207+(VLOOKUP($AM207,$A$12:$B$214,2,0))+各项系数!$J$6+各项系数!$M$5)*(1+$E$2)</f>
        <v>7.117850685731085</v>
      </c>
      <c r="BF207" s="197">
        <f>BG207+各项系数!$L$9*$NS207</f>
        <v>7.1912009352708486</v>
      </c>
      <c r="BG207" s="197">
        <f>BH207*(1+$BJ207+各项系数!$J$5+各项系数!$L$5)</f>
        <v>7.1334269648048227</v>
      </c>
      <c r="BH207" s="199">
        <f t="shared" si="1004"/>
        <v>6.9935558478478654</v>
      </c>
      <c r="BI207" s="213">
        <v>0.01</v>
      </c>
      <c r="BJ207" s="208">
        <f>$BJ$182</f>
        <v>0</v>
      </c>
      <c r="BK207" s="102" t="s">
        <v>514</v>
      </c>
      <c r="BL207" s="196">
        <f>BM207+各项系数!$M$9*$NM207</f>
        <v>6.1249086688749976</v>
      </c>
      <c r="BM207" s="196">
        <f>BN207*(1+$CF207+(VLOOKUP($AM207,$A$12:$B$323,2,0))+各项系数!$J$6+各项系数!$M$5)*(1+$E$2)</f>
        <v>6.0703151063981124</v>
      </c>
      <c r="BN207" s="197">
        <f>BO207+各项系数!$L$9*$NM207</f>
        <v>6.1328703843181573</v>
      </c>
      <c r="BO207" s="197">
        <f>BP207*(1+$CG207+各项系数!$J$5+各项系数!$L$5)</f>
        <v>6.0782768218412722</v>
      </c>
      <c r="BP207" s="197">
        <f t="shared" si="1005"/>
        <v>5.9012396328556038</v>
      </c>
      <c r="BQ207" s="196">
        <f>BR207+各项系数!$M$9*$NM207</f>
        <v>6.4901237209231031</v>
      </c>
      <c r="BR207" s="196">
        <f>BS207*(1+$CF207+(VLOOKUP($AM207,$A$12:$B$323,2,0))+各项系数!$J$6+各项系数!$M$5)*(1+$E$2)</f>
        <v>6.4355301584462179</v>
      </c>
      <c r="BS207" s="197">
        <f>BT207+各项系数!$L$9*$NM207</f>
        <v>6.5018490184342479</v>
      </c>
      <c r="BT207" s="197">
        <f>BU207*(1+$CG207+各项系数!$J$5+各项系数!$L$5)</f>
        <v>6.4472554559573627</v>
      </c>
      <c r="BU207" s="197">
        <f t="shared" si="1006"/>
        <v>6.2594713164634586</v>
      </c>
      <c r="BV207" s="196">
        <f>BW207+各项系数!$M$9*$NT207</f>
        <v>6.8241404429454109</v>
      </c>
      <c r="BW207" s="196">
        <f>BX207*(1+$CF207+(VLOOKUP($AM207,$A$12:$B$214,2,0))+各项系数!$J$6+各项系数!$M$5)*(1+$E$2)</f>
        <v>6.7663664724793851</v>
      </c>
      <c r="BX207" s="197">
        <f>BY207+各项系数!$L$9*$NT$12</f>
        <v>6.8360946377847895</v>
      </c>
      <c r="BY207" s="197">
        <f>BZ207*(1+$CG207+各项系数!$J$5+各项系数!$L$5)</f>
        <v>6.8278312346298158</v>
      </c>
      <c r="BZ207" s="199">
        <f t="shared" si="945"/>
        <v>6.6289623637182675</v>
      </c>
      <c r="CA207" s="196">
        <f>CB207+各项系数!$M$9*$NT207</f>
        <v>7.1958413124546308</v>
      </c>
      <c r="CB207" s="196">
        <f>CC207*(1+$CF207+(VLOOKUP($AM207,$A$12:$B$214,2,0))+各项系数!$J$6+各项系数!$M$5)*(1+$E$2)</f>
        <v>7.1380673419886049</v>
      </c>
      <c r="CC207" s="197">
        <f>CD207+各项系数!$L$9*$NT$12</f>
        <v>7.2116259264382752</v>
      </c>
      <c r="CD207" s="197">
        <f>CE207*(1+$CG207+各项系数!$J$5+各项系数!$L$5)</f>
        <v>7.2033625232833014</v>
      </c>
      <c r="CE207" s="199">
        <f t="shared" si="1007"/>
        <v>6.9935558478478654</v>
      </c>
      <c r="CF207" s="213">
        <f>BI207+$CF$2</f>
        <v>0.01</v>
      </c>
      <c r="CG207" s="213">
        <f t="shared" si="946"/>
        <v>0.01</v>
      </c>
      <c r="CH207" s="102"/>
      <c r="CI207" s="196">
        <f>CJ207+各项系数!$M$9*$NO207</f>
        <v>6.638574691140108</v>
      </c>
      <c r="CJ207" s="196">
        <f>CK207*(1+$DC207+(VLOOKUP($AM207,$A$12:$B$323,2,0))+各项系数!$J$6+各项系数!$M$5)*(1+$E$2)+各项系数!$M$9*$NK207</f>
        <v>6.5528832663160461</v>
      </c>
      <c r="CK207" s="197">
        <f>CL207+各项系数!$L$9*$NO207</f>
        <v>6.5652553079805624</v>
      </c>
      <c r="CL207" s="197">
        <f>CM207*(1+$DD207+各项系数!$J$5+各项系数!$L$5)</f>
        <v>6.4795638831565006</v>
      </c>
      <c r="CM207" s="197">
        <f t="shared" si="947"/>
        <v>6.3525136109377458</v>
      </c>
      <c r="CN207" s="196">
        <f>CO207+各项系数!$M$9*$NO207</f>
        <v>6.9574448453920406</v>
      </c>
      <c r="CO207" s="196">
        <f>CP207*(1+$DC207+(VLOOKUP($AM207,$A$12:$B$323,2,0))+各项系数!$J$6+各项系数!$M$5)*(1+$E$2)+各项系数!$M$9*$NK207</f>
        <v>6.8717534205679787</v>
      </c>
      <c r="CP207" s="197">
        <f>CQ207+各项系数!$L$9*$NO207</f>
        <v>6.8874114549313941</v>
      </c>
      <c r="CQ207" s="197">
        <f>CR207*(1+$DD207+各项系数!$J$5+各项系数!$L$5)</f>
        <v>6.8017200301073322</v>
      </c>
      <c r="CR207" s="197">
        <f t="shared" si="948"/>
        <v>6.668352970693463</v>
      </c>
      <c r="CS207" s="196">
        <f>CT207+各项系数!$M$9*$NU207</f>
        <v>7.4694757284509752</v>
      </c>
      <c r="CT207" s="196">
        <f t="shared" si="949"/>
        <v>7.379968615867778</v>
      </c>
      <c r="CU207" s="197">
        <f>CV207+各项系数!$L$9*$NU207</f>
        <v>7.4560200200725175</v>
      </c>
      <c r="CV207" s="197">
        <f>CW207*(1+$DD207+各项系数!$J$5+各项系数!$L$5)</f>
        <v>7.3665129074893203</v>
      </c>
      <c r="CW207" s="199">
        <f t="shared" si="950"/>
        <v>7.2220714779307063</v>
      </c>
      <c r="CX207" s="196">
        <f>CY207+各项系数!$M$9*$NU207</f>
        <v>7.9727821769804432</v>
      </c>
      <c r="CY207" s="196">
        <f t="shared" si="951"/>
        <v>7.883275064397246</v>
      </c>
      <c r="CZ207" s="197">
        <f>DA207+各项系数!$L$9*$NU207</f>
        <v>7.9645130979968135</v>
      </c>
      <c r="DA207" s="197">
        <f>DB207*(1+$DD207+各项系数!$J$5+各项系数!$L$5)</f>
        <v>7.8750059854136163</v>
      </c>
      <c r="DB207" s="199">
        <f t="shared" si="952"/>
        <v>7.7205941033466825</v>
      </c>
      <c r="DC207" s="213">
        <f t="shared" si="827"/>
        <v>0.01</v>
      </c>
      <c r="DD207" s="213">
        <f t="shared" si="953"/>
        <v>0</v>
      </c>
      <c r="DE207" s="53" t="s">
        <v>498</v>
      </c>
      <c r="DF207" s="53" t="s">
        <v>513</v>
      </c>
      <c r="DG207" s="196">
        <f>DH207+各项系数!$M$9*$NQ207</f>
        <v>6.7754143960455417</v>
      </c>
      <c r="DH207" s="196">
        <f>DI207*(1+$EA207+(VLOOKUP($AM207,$A$12:$B$323,2,0))+各项系数!$J$6+各项系数!$M$5)*(1+$E$2)+各项系数!$M$9*$NK207</f>
        <v>6.6897229712214799</v>
      </c>
      <c r="DI207" s="197">
        <f>DJ207+各项系数!$L$9*$NQ207</f>
        <v>6.7035051613907806</v>
      </c>
      <c r="DJ207" s="197">
        <f>DK207*(1+$EB207+各项系数!$J$5+各项系数!$L$5)</f>
        <v>6.6178137365667187</v>
      </c>
      <c r="DK207" s="197">
        <f t="shared" si="954"/>
        <v>6.4250618801618629</v>
      </c>
      <c r="DL207" s="196">
        <f>DM207+各项系数!$M$9*$NQ207</f>
        <v>7.202082568537703</v>
      </c>
      <c r="DM207" s="196">
        <f>DN207*(1+$EA207+(VLOOKUP($AM207,$A$12:$B$323,2,0))+各项系数!$J$6+各项系数!$M$5)*(1+$E$2)+各项系数!$M$9*$NK207</f>
        <v>7.1163911437136411</v>
      </c>
      <c r="DN207" s="197">
        <f>DO207+各项系数!$L$9*$NQ207</f>
        <v>7.1345701972486921</v>
      </c>
      <c r="DO207" s="197">
        <f>DP207*(1+$EB207+各项系数!$J$5+各项系数!$L$5)</f>
        <v>7.0488787724246302</v>
      </c>
      <c r="DP207" s="197">
        <f t="shared" si="955"/>
        <v>6.8435716237132329</v>
      </c>
      <c r="DQ207" s="196">
        <f>DR207+各项系数!$M$9*$NV207</f>
        <v>7.6160466274620937</v>
      </c>
      <c r="DR207" s="196">
        <f t="shared" si="956"/>
        <v>7.5265395148788965</v>
      </c>
      <c r="DS207" s="197">
        <f>DT207+各项系数!$L$9*$NV207</f>
        <v>7.6041013486349733</v>
      </c>
      <c r="DT207" s="197">
        <f>DU207*(1+$EB207+各项系数!$J$5+各项系数!$L$5)</f>
        <v>7.5145942360517761</v>
      </c>
      <c r="DU207" s="199">
        <f t="shared" si="957"/>
        <v>7.2957225592735693</v>
      </c>
      <c r="DV207" s="196">
        <f>DW207+各项系数!$M$9*$NV207</f>
        <v>7.7078460008412053</v>
      </c>
      <c r="DW207" s="196">
        <f t="shared" si="958"/>
        <v>7.6183388882580081</v>
      </c>
      <c r="DX207" s="197">
        <f>DY207+各项系数!$L$9*$NV207</f>
        <v>7.6968467248514933</v>
      </c>
      <c r="DY207" s="197">
        <f>DZ207*(1+$EB207+各项系数!$J$5+各项系数!$L$5)</f>
        <v>7.6073396122682961</v>
      </c>
      <c r="DZ207" s="199">
        <f t="shared" si="959"/>
        <v>7.3857666138527147</v>
      </c>
      <c r="EA207" s="213">
        <f t="shared" si="826"/>
        <v>0.01</v>
      </c>
      <c r="EB207" s="213">
        <f t="shared" si="960"/>
        <v>0.01</v>
      </c>
      <c r="EC207" s="235" t="str">
        <f t="shared" si="1008"/>
        <v>3+1</v>
      </c>
      <c r="ED207" s="235" t="str">
        <f t="shared" si="890"/>
        <v>3*2.5</v>
      </c>
      <c r="EE207" s="189">
        <f t="shared" si="891"/>
        <v>2.5</v>
      </c>
      <c r="EF207" s="189">
        <f>LOOKUP(EH207,{1,7,10,14,19,24,30,37,48,61},{1,"1+6","2+8","4+10","1+6+12","2+8+14","4+10+16","1+6+12+18","3+9+15+21","1+6+12+18+24"})</f>
        <v>1</v>
      </c>
      <c r="EG207" s="188">
        <f t="shared" si="961"/>
        <v>3</v>
      </c>
      <c r="EH207" s="197">
        <f>VLOOKUP(EE207,各项系数!$B$87:$C$124,2,0)</f>
        <v>1</v>
      </c>
      <c r="EI207" s="188">
        <f>IF(EH207=0,0,VLOOKUP(EH207,各项系数!$D$142:$E$195,2,0))*1</f>
        <v>1</v>
      </c>
      <c r="EJ207" s="238">
        <f t="shared" si="1009"/>
        <v>172.412400708262</v>
      </c>
      <c r="EK207" s="189" t="str">
        <f t="shared" si="892"/>
        <v>1*1.5</v>
      </c>
      <c r="EL207" s="189" t="str">
        <f t="shared" si="962"/>
        <v>1.5</v>
      </c>
      <c r="EM207" s="189">
        <f t="shared" si="893"/>
        <v>1.5</v>
      </c>
      <c r="EN207" s="189">
        <f>IF(EP207=0,0,LOOKUP(EP207,{1,7,10,14,19,24,30,37,48,61},{1,"1+6","2+8","4+10","1+6+12","2+8+14","4+10+16","1+6+12+18","3+9+15+21","1+6+12+18+24"}))</f>
        <v>1</v>
      </c>
      <c r="EO207" s="189" t="str">
        <f t="shared" si="894"/>
        <v>1</v>
      </c>
      <c r="EP207" s="189">
        <f>IF(EM207=0,0,IF(EM207&lt;10,1,IF(AND(EM207&gt;=10,EM207&lt;=35),7,LOOKUP(EM207,{50,70,95,120,150,185,240,300},{10,14,19,24,30,37,48,61})*1)))</f>
        <v>1</v>
      </c>
      <c r="EQ207" s="189">
        <f>IF(EP207=0,0,VLOOKUP(EP207,各项系数!$D$142:$E$195,2,0))*1</f>
        <v>1</v>
      </c>
      <c r="ER207" s="53">
        <f t="shared" si="895"/>
        <v>134.922667214547</v>
      </c>
      <c r="ES207" s="412">
        <f t="shared" si="896"/>
        <v>4</v>
      </c>
      <c r="ET207" s="189">
        <f>VLOOKUP(ES207,各项系数!$D$142:$E$195,2,0)*1</f>
        <v>2.42</v>
      </c>
      <c r="EU207" s="243">
        <f>((各项系数!$F$76/4*$EJ207^2*$EG207*$EH207*1*10^-7)*(1-$H207)*AA207)*(VLOOKUP($EY$9,各项系数!$D$4:$F$143,3,0))*各项系数!$J$4</f>
        <v>6.195451706670875E-2</v>
      </c>
      <c r="EV207" s="244">
        <f>EU207*(VLOOKUP($EY$9,各项系数!$D$4:$F$143,2,0))</f>
        <v>4.0580208678694234</v>
      </c>
      <c r="EW207" s="252">
        <f>(IF($EO207=0,0,(各项系数!$F$76/4*$ER207^2*$EO207*$EP207*1*10^-7))*(1-$K207)*$AF207)*(VLOOKUP($EY$9,各项系数!$D$4:$F$143,3,0))*各项系数!$J$4</f>
        <v>1.2646913814443798E-2</v>
      </c>
      <c r="EX207" s="253">
        <f>EW207*(VLOOKUP($EY$9,各项系数!$D$4:$F$143,2,0))</f>
        <v>0.82837285484606882</v>
      </c>
      <c r="EY207" s="189">
        <f>((各项系数!$F$76/4*$EJ207^2*$EG207*$EH207*1*10^-7)*(1-$H207)*AA207+IF($EO207=0,0,(各项系数!$F$76/4*$ER207^2*$EO207*$EP207*1*10^-7))*(1-$K207)*$AF207)*(VLOOKUP($EY$9,各项系数!$D$4:$F$143,3,0))*各项系数!$J$4</f>
        <v>7.460143088115255E-2</v>
      </c>
      <c r="EZ207" s="102">
        <v>1</v>
      </c>
      <c r="FA207" s="189">
        <f t="shared" si="897"/>
        <v>7.460143088115255E-2</v>
      </c>
      <c r="FB207" s="254">
        <f>FA207*(VLOOKUP($EY$9,各项系数!$D$4:$F$143,2,0))</f>
        <v>4.8863937227154919</v>
      </c>
      <c r="FC207" s="255"/>
      <c r="FD207" s="235">
        <f>各项系数!$F$76/4*($MN207^2-MK207^2)*10^-2*(VLOOKUP(L207,各项系数!$D$1:$F$143,3,0))*10^-3*10^2*$EG207*各项系数!$J$4</f>
        <v>1.7504099220994381E-2</v>
      </c>
      <c r="FE207" s="262">
        <f>FD207*VLOOKUP(L207,各项系数!$D$1:$F$143,2,0)</f>
        <v>0.2012971410414354</v>
      </c>
      <c r="FF207" s="188">
        <f>各项系数!$F$76/4*($MO207^2-ML207^2)*10^-2*(VLOOKUP(L207,各项系数!$D$1:$F$143,3,0))*10^-3*10^2*$EO207*各项系数!$J$4</f>
        <v>4.9323476306097191E-3</v>
      </c>
      <c r="FG207" s="262">
        <f>FF207*VLOOKUP(L207,各项系数!$D$1:$F$143,2,0)</f>
        <v>5.6721997752011769E-2</v>
      </c>
      <c r="FH207" s="235">
        <f t="shared" si="1010"/>
        <v>2.2436446851604099E-2</v>
      </c>
      <c r="FI207" s="102">
        <v>1</v>
      </c>
      <c r="FJ207" s="189">
        <f t="shared" si="898"/>
        <v>2.2436446851604099E-2</v>
      </c>
      <c r="FK207" s="262">
        <f>FJ207*VLOOKUP(L207,各项系数!$D$1:$F$143,2,0)</f>
        <v>0.25801913879344712</v>
      </c>
      <c r="FL207" s="235"/>
      <c r="FM207" s="102"/>
      <c r="FN207" s="189"/>
      <c r="FO207" s="262"/>
      <c r="FP207" s="282">
        <f t="shared" si="899"/>
        <v>2.2436446851604099E-2</v>
      </c>
      <c r="FQ207" s="282">
        <f t="shared" si="900"/>
        <v>0.25801913879344712</v>
      </c>
      <c r="FR207" s="283">
        <f>各项系数!$F$76/4*($MQ207^2-$MN207^2*$EG207-$MO207^2*$EO207)*10^-2</f>
        <v>0.13306614859980362</v>
      </c>
      <c r="FS207" s="284">
        <f t="shared" si="1011"/>
        <v>1</v>
      </c>
      <c r="FT207" s="285">
        <f t="shared" si="963"/>
        <v>0.13306614859980362</v>
      </c>
      <c r="FU207" s="302">
        <f>$FT207*(VLOOKUP($FT$9,各项系数!$D$1:$F$143,3,0))*10^-3*10^2*各项系数!$J$55</f>
        <v>1.588809814281655E-2</v>
      </c>
      <c r="FV207" s="303">
        <v>1</v>
      </c>
      <c r="FW207" s="304">
        <f t="shared" si="901"/>
        <v>1.588809814281655E-2</v>
      </c>
      <c r="FX207" s="285">
        <f>FW207*(VLOOKUP($FT$9,各项系数!$D$1:$F$143,2,0))</f>
        <v>4.7664294428449647E-2</v>
      </c>
      <c r="FY207" s="302">
        <f>IF($BK207&lt;&gt;$FY$9,0,各项系数!$F$76/4*($MS207^2-$MQ207^2)*10^-2*(VLOOKUP($FY$9,各项系数!$D$1:$F$143,3,0))*10^-3*10^2)*各项系数!$J$4</f>
        <v>0</v>
      </c>
      <c r="FZ207" s="303">
        <v>1</v>
      </c>
      <c r="GA207" s="304">
        <f t="shared" si="902"/>
        <v>0</v>
      </c>
      <c r="GB207" s="285">
        <f>GA207*(VLOOKUP($FY$9,各项系数!$D$1:$F$143,2,0))</f>
        <v>0</v>
      </c>
      <c r="GC207" s="302">
        <f>IF($BK207&lt;&gt;$GC$9,0,各项系数!$F$76/4*($MS207^2-$MQ207^2)*10^-2*(VLOOKUP($GC$9,各项系数!$D$1:$F$143,3,0))*10^-3*10^2)*各项系数!$J$4</f>
        <v>2.0210936844326155E-3</v>
      </c>
      <c r="GD207" s="303">
        <v>1</v>
      </c>
      <c r="GE207" s="304">
        <f t="shared" si="903"/>
        <v>2.0210936844326155E-3</v>
      </c>
      <c r="GF207" s="285">
        <f>GE207*(VLOOKUP($GC$9,各项系数!$D$1:$F$143,2,0))</f>
        <v>2.6072108529180741E-2</v>
      </c>
      <c r="GG207" s="302">
        <f>IF($BK207&lt;&gt;$GG$9,0,各项系数!$F$76/4*($MS207^2-$MQ207^2)*10^-2*(VLOOKUP($GG$9,各项系数!$D$1:$F$143,3,0))*10^-3*10^2)*各项系数!$J$4</f>
        <v>0</v>
      </c>
      <c r="GH207" s="303">
        <v>1</v>
      </c>
      <c r="GI207" s="304">
        <f t="shared" si="904"/>
        <v>0</v>
      </c>
      <c r="GJ207" s="285">
        <f>GI207*(VLOOKUP($GG$9,各项系数!$D$1:$F$143,2,0))</f>
        <v>0</v>
      </c>
      <c r="GK207" s="302">
        <f>IF($BK207&lt;&gt;$GK$9,0,各项系数!$F$76/4*($MS207^2-$MQ207^2)*10^-2*(VLOOKUP($GK$9,各项系数!$D$1:$F$143,3,0))*10^-3*10^2)*各项系数!$J$4</f>
        <v>0</v>
      </c>
      <c r="GL207" s="303">
        <v>1</v>
      </c>
      <c r="GM207" s="304">
        <f t="shared" si="905"/>
        <v>0</v>
      </c>
      <c r="GN207" s="285">
        <f>GM207*(VLOOKUP($GK$9,各项系数!$D$1:$F$143,2,0))</f>
        <v>0</v>
      </c>
      <c r="GO207" s="304">
        <f t="shared" si="906"/>
        <v>2.0210936844326155E-3</v>
      </c>
      <c r="GP207" s="304">
        <f t="shared" si="907"/>
        <v>2.6072108529180741E-2</v>
      </c>
      <c r="GQ207" s="315">
        <f>各项系数!$F$76/4*($MU207^2-$MS207^2)*10^-2*(VLOOKUP($S207,各项系数!$D$1:$F$143,3,0))*10^-3*10^2*各项系数!$J$4</f>
        <v>0.11894019176241759</v>
      </c>
      <c r="GR207" s="303">
        <v>1</v>
      </c>
      <c r="GS207" s="304">
        <f t="shared" si="908"/>
        <v>0.11894019176241759</v>
      </c>
      <c r="GT207" s="304">
        <f t="shared" si="909"/>
        <v>1</v>
      </c>
      <c r="GU207" s="304">
        <f>ROUND($GS207*(VLOOKUP($S207,各项系数!$D$1:$F$143,2,0))+$E$3*GS207,GT207)</f>
        <v>0.7</v>
      </c>
      <c r="GV207" s="315">
        <f>各项系数!$F$76/4*($MT207^2-$MS207^2)*10^-2*(VLOOKUP($GV$9,各项系数!$D$1:$F$143,3,0))*10^-3*10^2*各项系数!$J$4*PI()/4*R207</f>
        <v>1.0601359963799441E-2</v>
      </c>
      <c r="GW207" s="303">
        <v>1</v>
      </c>
      <c r="GX207" s="304">
        <f t="shared" si="910"/>
        <v>1.0601359963799441E-2</v>
      </c>
      <c r="GY207" s="304">
        <f>$GX207*(VLOOKUP($GV$9,各项系数!$D$1:$F$143,2,0))</f>
        <v>0.71559179755646229</v>
      </c>
      <c r="GZ207" s="315">
        <f>各项系数!$F$76/4*($MV207^2-$MS207^2)*10^-2*(VLOOKUP($GZ$9,各项系数!$D$1:$F$143,3,0))*10^-3*10^2*各项系数!$J$4</f>
        <v>6.12542383527582E-2</v>
      </c>
      <c r="HA207" s="303">
        <v>1</v>
      </c>
      <c r="HB207" s="304">
        <f t="shared" si="1012"/>
        <v>6.12542383527582E-2</v>
      </c>
      <c r="HC207" s="304">
        <f>HB207*(VLOOKUP($GZ$9,各项系数!$D$1:$F$143,2,0))</f>
        <v>1.0413220519968893</v>
      </c>
      <c r="HD207" s="315">
        <f>各项系数!$F$76/4*($MW207^2-$MT207^2)*10^-2*(VLOOKUP($HD$9,各项系数!$D$1:$F$143,3,0))*10^-3*10^2*各项系数!$J$4</f>
        <v>6.2342046224990219E-2</v>
      </c>
      <c r="HE207" s="303">
        <v>1</v>
      </c>
      <c r="HF207" s="304">
        <f t="shared" si="1013"/>
        <v>6.2342046224990219E-2</v>
      </c>
      <c r="HG207" s="304">
        <f>HF207*(VLOOKUP($HD$9,各项系数!$D$1:$F$143,2,0))</f>
        <v>1.0598147858248337</v>
      </c>
      <c r="HH207" s="315">
        <f>各项系数!$F$76/4*($MV207^2-$MS207^2)*10^-2*(VLOOKUP($HH$9,各项系数!$D$1:$F$143,3,0))*10^-3*10^2*各项系数!$J$4</f>
        <v>6.12542383527582E-2</v>
      </c>
      <c r="HI207" s="322">
        <v>1</v>
      </c>
      <c r="HJ207" s="304">
        <f t="shared" si="1014"/>
        <v>6.12542383527582E-2</v>
      </c>
      <c r="HK207" s="304">
        <f>HJ207*(VLOOKUP($HH$9,各项系数!$D$1:$F$143,2,0))</f>
        <v>1.0413220519968893</v>
      </c>
      <c r="HL207" s="315">
        <f>各项系数!$F$76/4*($MW207^2-$MT207^2)*10^-2*(VLOOKUP($HL$9,各项系数!$D$1:$F$143,3,0))*10^-3*10^2*各项系数!$J$4</f>
        <v>6.2342046224990219E-2</v>
      </c>
      <c r="HM207" s="322">
        <v>1</v>
      </c>
      <c r="HN207" s="304">
        <f t="shared" si="964"/>
        <v>6.2342046224990219E-2</v>
      </c>
      <c r="HO207" s="304">
        <f>HN207*(VLOOKUP($HL$9,各项系数!$D$1:$F$143,2,0))</f>
        <v>1.0598147858248337</v>
      </c>
      <c r="HP207" s="315">
        <f>各项系数!$F$76/4*($MV207^2-$MS207^2)*10^-2*(VLOOKUP(AN207,各项系数!$D$1:$F$143,3,0))*10^-3*10^2*各项系数!$J$4</f>
        <v>6.2099124399003135E-2</v>
      </c>
      <c r="HQ207" s="303">
        <v>1</v>
      </c>
      <c r="HR207" s="304">
        <f t="shared" si="911"/>
        <v>6.2099124399003135E-2</v>
      </c>
      <c r="HS207" s="304">
        <f>HR207*(VLOOKUP(AN207,各项系数!$D$1:$F$143,2,0))</f>
        <v>0.62099124399003136</v>
      </c>
      <c r="HT207" s="315">
        <f>各项系数!$F$76/4*($MW207^2-$MT207^2)*10^-2*(VLOOKUP(AN207,各项系数!$D$1:$F$143,3,0))*10^-3*10^2*各项系数!$J$4</f>
        <v>6.3201936517748705E-2</v>
      </c>
      <c r="HU207" s="303">
        <v>1</v>
      </c>
      <c r="HV207" s="304">
        <f t="shared" si="912"/>
        <v>6.3201936517748705E-2</v>
      </c>
      <c r="HW207" s="304">
        <f>HV207*(VLOOKUP(AN207,各项系数!$D$1:$F$143,2,0))</f>
        <v>0.63201936517748702</v>
      </c>
      <c r="HX207" s="315">
        <f>各项系数!$F$76/4*($MV207^2-$MS207^2)*10^-2*(VLOOKUP($HX$9,各项系数!$D$1:$F$143,3,0))*10^-3*10^2*各项系数!$J$4</f>
        <v>6.2099124399003135E-2</v>
      </c>
      <c r="HY207" s="322">
        <v>1</v>
      </c>
      <c r="HZ207" s="304">
        <f t="shared" si="913"/>
        <v>6.2099124399003135E-2</v>
      </c>
      <c r="IA207" s="304">
        <f>HZ207*(VLOOKUP($HX$9,各项系数!$D$1:$F$143,2,0))</f>
        <v>0.68309036838903447</v>
      </c>
      <c r="IB207" s="315">
        <f>各项系数!$F$76/4*($MW207^2-$MT207^2)*10^-2*(VLOOKUP($IB$9,各项系数!$D$1:$F$143,3,0))*10^-3*10^2*各项系数!$J$4</f>
        <v>6.3201936517748705E-2</v>
      </c>
      <c r="IC207" s="322">
        <v>1</v>
      </c>
      <c r="ID207" s="304">
        <f t="shared" si="914"/>
        <v>6.3201936517748705E-2</v>
      </c>
      <c r="IE207" s="304">
        <f>ID207*(VLOOKUP($IB$9,各项系数!$D$1:$F$143,2,0))</f>
        <v>0.69522130169523577</v>
      </c>
      <c r="IF207" s="328"/>
      <c r="IG207" s="315">
        <f t="shared" si="1015"/>
        <v>1.0861572223711103E-2</v>
      </c>
      <c r="IH207" s="303">
        <v>1</v>
      </c>
      <c r="II207" s="304">
        <f t="shared" si="915"/>
        <v>1.0861572223711103E-2</v>
      </c>
      <c r="IJ207" s="304">
        <f>II207*(VLOOKUP($IG$8,各项系数!$D$1:$F$143,2,0))</f>
        <v>0.27153930559277756</v>
      </c>
      <c r="IK207" s="315">
        <f>(各项系数!$F$76/4*($MX207^2-$MK207^2)*$EG207)*10^-2*(VLOOKUP($IG$8,各项系数!$D$1:$F$143,3,0))*10^-3*10^2*各项系数!$J$4</f>
        <v>8.5416906431320175E-3</v>
      </c>
      <c r="IL207" s="303">
        <f>IK207*(VLOOKUP($IG$8,各项系数!$D$1:$F$143,2,0))</f>
        <v>0.21354226607830043</v>
      </c>
      <c r="IM207" s="304">
        <f>(各项系数!$F$76/4*(($MM207+3*$X207)^2-MM207^2)*$EO207)*10^-2*(VLOOKUP($IG$8,各项系数!$D$1:$F$143,3,0))*10^-3*10^2*各项系数!$J$4</f>
        <v>2.3198815805790863E-3</v>
      </c>
      <c r="IN207" s="303">
        <f>IM207*(VLOOKUP($IG$8,各项系数!$D$1:$F$143,2,0))</f>
        <v>5.7997039514477156E-2</v>
      </c>
      <c r="IO207" s="315">
        <f>各项系数!$F$76/4*($MZ207^2-$MX207^2)*10^-2*(VLOOKUP(L207,各项系数!$D$1:$F$143,3,0))*10^-3*10^2*$ES207*各项系数!$J$4</f>
        <v>2.911543386904061E-2</v>
      </c>
      <c r="IP207" s="303">
        <v>1</v>
      </c>
      <c r="IQ207" s="304">
        <f t="shared" si="916"/>
        <v>2.911543386904061E-2</v>
      </c>
      <c r="IR207" s="285">
        <f>IQ207*(VLOOKUP(L207,各项系数!$D$1:$F$143,2,0))</f>
        <v>0.33482748949396701</v>
      </c>
      <c r="IS207" s="315">
        <f>IF($L207&lt;&gt;$IS$9,0,各项系数!$F$76/4*($MZ207^2-$MX207^2)*10^-2*各项系数!$F$12*10^-3*10^2)*$ES207*各项系数!$J$4</f>
        <v>0</v>
      </c>
      <c r="IT207" s="303">
        <v>1</v>
      </c>
      <c r="IU207" s="304">
        <f t="shared" si="917"/>
        <v>0</v>
      </c>
      <c r="IV207" s="285">
        <f>IU207*各项系数!$E$12</f>
        <v>0</v>
      </c>
      <c r="IW207" s="302">
        <f t="shared" si="918"/>
        <v>2.911543386904061E-2</v>
      </c>
      <c r="IX207" s="302">
        <f t="shared" si="919"/>
        <v>0.33482748949396701</v>
      </c>
      <c r="IY207" s="339">
        <f>各项系数!$F$76/4*($NB207^2-$MZ207^2*$EG207-$NA207^2*$EO207)*10^-2</f>
        <v>0.19133534678403633</v>
      </c>
      <c r="IZ207" s="284">
        <f t="shared" si="697"/>
        <v>1</v>
      </c>
      <c r="JA207" s="285">
        <f t="shared" si="965"/>
        <v>0.19133534678403633</v>
      </c>
      <c r="JB207" s="282">
        <f>IF($DE207&lt;&gt;$JB$9,0,$JA207*各项系数!$F$32*10^-3*10^2)*各项系数!$J$4</f>
        <v>0</v>
      </c>
      <c r="JC207" s="102">
        <v>1</v>
      </c>
      <c r="JD207" s="189">
        <f t="shared" si="920"/>
        <v>0</v>
      </c>
      <c r="JE207" s="262">
        <f>JD207*各项系数!$E$32</f>
        <v>0</v>
      </c>
      <c r="JF207" s="282">
        <f>IF($DE207&lt;&gt;$JF$9,0,$JA207*VLOOKUP($JF$9,各项系数!$D$4:$F$540,2,0)*10^-3*10^2)*各项系数!$J$4</f>
        <v>9.5189335025058067E-2</v>
      </c>
      <c r="JG207" s="102">
        <v>1</v>
      </c>
      <c r="JH207" s="189">
        <f t="shared" si="966"/>
        <v>9.5189335025058067E-2</v>
      </c>
      <c r="JI207" s="262">
        <f>JH207*VLOOKUP($JF$9,各项系数!$D$4:$F$540,3,0)</f>
        <v>0.11422720203006967</v>
      </c>
      <c r="JJ207" s="282">
        <f t="shared" si="921"/>
        <v>9.5189335025058067E-2</v>
      </c>
      <c r="JK207" s="189">
        <f t="shared" si="922"/>
        <v>0.11422720203006967</v>
      </c>
      <c r="JL207" s="282">
        <f>IF($DF207&lt;&gt;$JL$9,0,各项系数!$F$76/4*($NE207^2-$NC207^2)*10^-2*各项系数!$F$39*10^-3*10^2)*各项系数!$J$4</f>
        <v>1.0021599432133647E-3</v>
      </c>
      <c r="JM207" s="102">
        <v>1</v>
      </c>
      <c r="JN207" s="189">
        <f t="shared" si="923"/>
        <v>1.0021599432133647E-3</v>
      </c>
      <c r="JO207" s="262">
        <f>JN207*各项系数!$E$39</f>
        <v>2.0043198864267295E-2</v>
      </c>
      <c r="JP207" s="282">
        <f>IF($DF207&lt;&gt;$JP$9,0,各项系数!$F$76/4*($NE207^2-$NC207^2)*10^-2*各项系数!$F$36*10^-3*10^2)*各项系数!$J$4</f>
        <v>0</v>
      </c>
      <c r="JQ207" s="102">
        <v>1</v>
      </c>
      <c r="JR207" s="189">
        <f t="shared" si="924"/>
        <v>0</v>
      </c>
      <c r="JS207" s="262">
        <f>JR207*各项系数!$E$36</f>
        <v>0</v>
      </c>
      <c r="JT207" s="282">
        <f>IF($DF207&lt;&gt;$JT$9,0,各项系数!$F$76/4*($NE207^2-$NC207^2)*10^-2*各项系数!$F$40*10^-3*10^2)*各项系数!$J$4</f>
        <v>0</v>
      </c>
      <c r="JU207" s="102">
        <v>1</v>
      </c>
      <c r="JV207" s="189">
        <f t="shared" si="925"/>
        <v>0</v>
      </c>
      <c r="JW207" s="262">
        <f>JV207*各项系数!$E$40</f>
        <v>0</v>
      </c>
      <c r="JX207" s="282">
        <f>IF($DF207&lt;&gt;$JX$9,0,各项系数!$F$76/4*($NE207^2-$NC207^2)*10^-2*各项系数!$F$38*10^-3*10^2)*各项系数!$J$4</f>
        <v>0</v>
      </c>
      <c r="JY207" s="102">
        <v>1</v>
      </c>
      <c r="JZ207" s="189">
        <f t="shared" si="926"/>
        <v>0</v>
      </c>
      <c r="KA207" s="262">
        <f>JZ207*各项系数!$E$38</f>
        <v>0</v>
      </c>
      <c r="KB207" s="282">
        <f>IF($DF207&lt;&gt;$KB$9,0,各项系数!$F$76/4*($NE207^2-$NC207^2)*10^-2*各项系数!$F$41*10^-3*10^2)*各项系数!$J$4</f>
        <v>0</v>
      </c>
      <c r="KC207" s="102">
        <v>1</v>
      </c>
      <c r="KD207" s="189">
        <f t="shared" si="927"/>
        <v>0</v>
      </c>
      <c r="KE207" s="262">
        <f>KD207*各项系数!$E$41</f>
        <v>0</v>
      </c>
      <c r="KF207" s="189">
        <f t="shared" si="928"/>
        <v>1.0021599432133647E-3</v>
      </c>
      <c r="KG207" s="189">
        <f t="shared" si="929"/>
        <v>2.0043198864267295E-2</v>
      </c>
      <c r="KH207" s="235">
        <f>各项系数!$F$76/4*($NG207^2-$NE207^2)*10^-2*各项系数!$F$44*10^-3*10^2*各项系数!$J$4*0.75*$U207</f>
        <v>0.42352450388512441</v>
      </c>
      <c r="KI207" s="102">
        <v>1</v>
      </c>
      <c r="KJ207" s="189">
        <f t="shared" si="930"/>
        <v>0.42352450388512441</v>
      </c>
      <c r="KK207" s="189">
        <f>ROUND(KJ207*各项系数!$E$43,GT207)</f>
        <v>2.5</v>
      </c>
      <c r="KL207" s="235">
        <f>各项系数!$F$76/4*($NF207^2-$NE207^2)*10^-2*各项系数!$F$46*10^-3*10^2*各项系数!$J$4*PI()/4*R207</f>
        <v>1.2718959197118596E-2</v>
      </c>
      <c r="KM207" s="102">
        <v>1</v>
      </c>
      <c r="KN207" s="189">
        <f t="shared" si="931"/>
        <v>1.2718959197118596E-2</v>
      </c>
      <c r="KO207" s="189">
        <f>KN207*各项系数!$E$46</f>
        <v>0.85852974580550523</v>
      </c>
      <c r="KP207" s="235">
        <f>各项系数!$F$76/4*($NH207^2-$NE207^2)*10^-2*(VLOOKUP($KP$9,各项系数!$D$1:$F$143,3,0))*10^-3*10^2*各项系数!$J$4</f>
        <v>7.1561217942156446E-2</v>
      </c>
      <c r="KQ207" s="102">
        <v>1</v>
      </c>
      <c r="KR207" s="189">
        <f t="shared" si="1016"/>
        <v>7.1561217942156446E-2</v>
      </c>
      <c r="KS207" s="189">
        <f>KR207*(VLOOKUP($KP$9,各项系数!$D$1:$F$143,2,0))</f>
        <v>1.2165407050166597</v>
      </c>
      <c r="KT207" s="235">
        <f>各项系数!$F$76/4*($NI207^2-$NF207^2)*10^-2*(VLOOKUP($KT$9,各项系数!$D$1:$F$143,3,0))*10^-3*10^2*各项系数!$J$4</f>
        <v>7.2649025814388438E-2</v>
      </c>
      <c r="KU207" s="102">
        <v>1</v>
      </c>
      <c r="KV207" s="189">
        <f t="shared" si="1017"/>
        <v>7.2649025814388438E-2</v>
      </c>
      <c r="KW207" s="189">
        <f>KV207*(VLOOKUP($KT$9,各项系数!$D$1:$F$143,2,0))</f>
        <v>1.2350334388446034</v>
      </c>
      <c r="KX207" s="189">
        <f>各项系数!$F$76/4*($NH207^2-$NE207^2)*10^-2*(VLOOKUP($KX$9,各项系数!$D$1:$F$143,3,0))*10^-3*10^2*各项系数!$J$4</f>
        <v>7.1561217942156446E-2</v>
      </c>
      <c r="KY207" s="353">
        <v>1</v>
      </c>
      <c r="KZ207" s="189">
        <f t="shared" si="1018"/>
        <v>7.1561217942156446E-2</v>
      </c>
      <c r="LA207" s="189">
        <f>KZ207*(VLOOKUP($KX$9,各项系数!$D$1:$F$143,2,0))</f>
        <v>1.2165407050166597</v>
      </c>
      <c r="LB207" s="189">
        <f>各项系数!$F$76/4*($NI207^2-$NF207^2)*10^-2*(VLOOKUP($LB$9,各项系数!$D$1:$F$143,3,0))*10^-3*10^2*各项系数!$J$4</f>
        <v>7.2649025814388438E-2</v>
      </c>
      <c r="LC207" s="353">
        <v>1</v>
      </c>
      <c r="LD207" s="189">
        <f t="shared" si="1019"/>
        <v>7.2649025814388438E-2</v>
      </c>
      <c r="LE207" s="189">
        <f>LD207*(VLOOKUP($LB$9,各项系数!$D$1:$F$143,2,0))</f>
        <v>1.2350334388446034</v>
      </c>
      <c r="LF207" s="235">
        <f>各项系数!$F$76/4*($NH207^2-$NE207^2)*10^-2*(VLOOKUP(AN207,各项系数!$D$1:$F$143,3,0))*10^-3*10^2*各项系数!$J$4</f>
        <v>7.2548269224117209E-2</v>
      </c>
      <c r="LG207" s="102">
        <v>1</v>
      </c>
      <c r="LH207" s="189">
        <f t="shared" si="932"/>
        <v>7.2548269224117209E-2</v>
      </c>
      <c r="LI207" s="189">
        <f>LH207*(VLOOKUP(AN207,各项系数!$D$1:$F$143,2,0))</f>
        <v>0.72548269224117212</v>
      </c>
      <c r="LJ207" s="235">
        <f>各项系数!$F$76/4*($NI207^2-$NF207^2)*10^-2*(VLOOKUP(AN207,各项系数!$D$1:$F$143,3,0))*10^-3*10^2*各项系数!$J$4</f>
        <v>7.3651081342862759E-2</v>
      </c>
      <c r="LK207" s="102">
        <v>1</v>
      </c>
      <c r="LL207" s="189">
        <f t="shared" si="933"/>
        <v>7.3651081342862759E-2</v>
      </c>
      <c r="LM207" s="189">
        <f>LL207*(VLOOKUP(AN207,各项系数!$D$1:$F$143,2,0))</f>
        <v>0.73651081342862756</v>
      </c>
      <c r="LN207" s="189">
        <f>各项系数!$F$76/4*($NH207^2-$NE207^2)*10^-2*(VLOOKUP($LN$9,各项系数!$D$1:$F$143,3,0))*10^-3*10^2*各项系数!$J$4</f>
        <v>7.2548269224117209E-2</v>
      </c>
      <c r="LO207" s="353">
        <v>1</v>
      </c>
      <c r="LP207" s="189">
        <f t="shared" si="934"/>
        <v>7.2548269224117209E-2</v>
      </c>
      <c r="LQ207" s="189">
        <f>LP207*(VLOOKUP($LN$9,各项系数!$D$1:$F$143,2,0))</f>
        <v>0.79803096146528929</v>
      </c>
      <c r="LR207" s="189">
        <f>各项系数!$F$76/4*($NI207^2-$NF207^2)*10^-2*(VLOOKUP($LR$9,各项系数!$D$1:$F$143,3,0))*10^-3*10^2*各项系数!$J$4</f>
        <v>7.3651081342862759E-2</v>
      </c>
      <c r="LS207" s="353">
        <v>1</v>
      </c>
      <c r="LT207" s="189">
        <f t="shared" si="935"/>
        <v>7.3651081342862759E-2</v>
      </c>
      <c r="LU207" s="189">
        <f>LT207*(VLOOKUP($LR$9,各项系数!$D$1:$F$143,2,0))</f>
        <v>0.81016189477149037</v>
      </c>
      <c r="LV207" s="227">
        <f t="shared" si="1020"/>
        <v>7.00403223</v>
      </c>
      <c r="LW207" s="227">
        <f t="shared" si="1021"/>
        <v>7.00403223</v>
      </c>
      <c r="LX207" s="227">
        <f t="shared" si="1022"/>
        <v>2.9862703842478173</v>
      </c>
      <c r="LY207" s="227">
        <f t="shared" si="1023"/>
        <v>0</v>
      </c>
      <c r="LZ207" s="374">
        <f t="shared" si="967"/>
        <v>1</v>
      </c>
      <c r="MA207" s="375">
        <f t="shared" si="968"/>
        <v>7.00403223</v>
      </c>
      <c r="MB207" s="375">
        <f t="shared" si="1024"/>
        <v>1.7241240099999999</v>
      </c>
      <c r="MC207" s="227">
        <f t="shared" si="1025"/>
        <v>1.4297487200000001</v>
      </c>
      <c r="MD207" s="227">
        <f t="shared" si="1026"/>
        <v>1.4297487200000001</v>
      </c>
      <c r="ME207" s="227">
        <f t="shared" si="1027"/>
        <v>1.3492266708520411</v>
      </c>
      <c r="MF207" s="227">
        <f t="shared" si="1028"/>
        <v>0</v>
      </c>
      <c r="MG207" s="374">
        <f t="shared" si="1029"/>
        <v>1</v>
      </c>
      <c r="MH207" s="375">
        <f t="shared" si="969"/>
        <v>1.4297487200000001</v>
      </c>
      <c r="MI207" s="375">
        <f t="shared" si="1030"/>
        <v>1.3492266708520411</v>
      </c>
      <c r="MJ207" s="189">
        <f t="shared" si="970"/>
        <v>1.7241240099999999</v>
      </c>
      <c r="MK207" s="189">
        <f t="shared" si="1031"/>
        <v>1.7241240099999999</v>
      </c>
      <c r="ML207" s="189">
        <f t="shared" si="936"/>
        <v>1.34922667214547</v>
      </c>
      <c r="MM207" s="189">
        <f t="shared" si="971"/>
        <v>1.3492266708520411</v>
      </c>
      <c r="MN207" s="189">
        <f t="shared" si="972"/>
        <v>3.1241240100000001</v>
      </c>
      <c r="MO207" s="189">
        <f t="shared" si="1032"/>
        <v>2.7492266708520408</v>
      </c>
      <c r="MP207" s="189">
        <f t="shared" si="1033"/>
        <v>7.33356721</v>
      </c>
      <c r="MQ207" s="189">
        <f t="shared" si="937"/>
        <v>7.33356721</v>
      </c>
      <c r="MR207" s="246">
        <f t="shared" si="1034"/>
        <v>7.33356721</v>
      </c>
      <c r="MS207" s="380">
        <f t="shared" si="973"/>
        <v>7.5095672100000002</v>
      </c>
      <c r="MT207" s="380">
        <f t="shared" si="974"/>
        <v>7.6695672100000003</v>
      </c>
      <c r="MU207" s="380">
        <f t="shared" si="975"/>
        <v>8.7095672099999994</v>
      </c>
      <c r="MV207" s="380">
        <f t="shared" si="976"/>
        <v>10.50956721</v>
      </c>
      <c r="MW207" s="380">
        <f t="shared" si="977"/>
        <v>10.66956721</v>
      </c>
      <c r="MX207" s="254">
        <f t="shared" si="978"/>
        <v>2.3241240100000002</v>
      </c>
      <c r="MY207" s="254">
        <f t="shared" si="979"/>
        <v>1.9492266708520412</v>
      </c>
      <c r="MZ207" s="189">
        <f t="shared" si="980"/>
        <v>3.7241240100000002</v>
      </c>
      <c r="NA207" s="189">
        <f t="shared" si="981"/>
        <v>3.3492266708520413</v>
      </c>
      <c r="NB207" s="189">
        <f t="shared" si="1035"/>
        <v>8.78556721</v>
      </c>
      <c r="NC207" s="254">
        <f t="shared" si="938"/>
        <v>8.78556721</v>
      </c>
      <c r="ND207" s="246">
        <f t="shared" si="1036"/>
        <v>8.78556721</v>
      </c>
      <c r="NE207" s="386">
        <f t="shared" si="1037"/>
        <v>9.0255672100000002</v>
      </c>
      <c r="NF207" s="380">
        <f t="shared" si="982"/>
        <v>9.1855672100000003</v>
      </c>
      <c r="NG207" s="387">
        <f t="shared" si="983"/>
        <v>10.225567210000001</v>
      </c>
      <c r="NH207" s="254">
        <f t="shared" si="984"/>
        <v>12.02556721</v>
      </c>
      <c r="NI207" s="380">
        <f t="shared" si="985"/>
        <v>12.18556721</v>
      </c>
      <c r="NK207" s="388">
        <f t="shared" si="986"/>
        <v>0.18197854158961868</v>
      </c>
      <c r="NL207" s="388">
        <f t="shared" si="987"/>
        <v>5.8958625062086121</v>
      </c>
      <c r="NM207" s="388">
        <f t="shared" si="988"/>
        <v>0.18197854158961868</v>
      </c>
      <c r="NN207" s="388">
        <f t="shared" si="989"/>
        <v>5.957961630607616</v>
      </c>
      <c r="NO207" s="388">
        <f t="shared" si="990"/>
        <v>0.28563808274687197</v>
      </c>
      <c r="NP207" s="388">
        <f t="shared" si="991"/>
        <v>6.4105106504522222</v>
      </c>
      <c r="NQ207" s="388">
        <f t="shared" si="992"/>
        <v>0.28563808274687197</v>
      </c>
      <c r="NR207" s="388">
        <f t="shared" si="993"/>
        <v>6.4830589196763402</v>
      </c>
      <c r="NS207" s="388">
        <f t="shared" si="994"/>
        <v>0.19257990155341811</v>
      </c>
      <c r="NT207" s="388">
        <f t="shared" si="995"/>
        <v>0.19257990155341811</v>
      </c>
      <c r="NU207" s="388">
        <f t="shared" si="996"/>
        <v>0.29835704194399054</v>
      </c>
      <c r="NV207" s="388">
        <f t="shared" si="997"/>
        <v>0.29835704194399054</v>
      </c>
      <c r="NW207">
        <f t="shared" si="998"/>
        <v>0.30091873335203628</v>
      </c>
      <c r="NX207">
        <f>各项系数!$M$9*NK207</f>
        <v>5.4593562476885606E-2</v>
      </c>
      <c r="NY207">
        <f t="shared" si="999"/>
        <v>0.19257990155341811</v>
      </c>
    </row>
    <row r="208" spans="1:389" ht="15" hidden="1" customHeight="1">
      <c r="A208" s="69"/>
      <c r="B208" s="70"/>
      <c r="C208" s="69"/>
      <c r="D208" s="102" t="s">
        <v>302</v>
      </c>
      <c r="E208" s="61">
        <f t="shared" si="885"/>
        <v>11.2062457</v>
      </c>
      <c r="F208" s="62">
        <f>$F$17</f>
        <v>172.412400708262</v>
      </c>
      <c r="G208" s="16"/>
      <c r="H208" s="16"/>
      <c r="I208" s="145">
        <f>$F$16</f>
        <v>134.922667214547</v>
      </c>
      <c r="J208" s="16"/>
      <c r="K208" s="16"/>
      <c r="L208" s="97" t="s">
        <v>469</v>
      </c>
      <c r="M208" s="103">
        <f t="shared" si="940"/>
        <v>0.7</v>
      </c>
      <c r="N208" s="103">
        <f t="shared" si="1038"/>
        <v>0.7</v>
      </c>
      <c r="O208" s="53">
        <f t="shared" ref="O208:O214" si="1039">$O$36</f>
        <v>0.08</v>
      </c>
      <c r="P208" s="99">
        <v>0.1</v>
      </c>
      <c r="Q208" s="133">
        <f t="shared" si="941"/>
        <v>0.1</v>
      </c>
      <c r="R208" s="406">
        <v>0.8</v>
      </c>
      <c r="S208" s="142" t="str">
        <f>各项系数!$D$43</f>
        <v>钢带</v>
      </c>
      <c r="T208" s="102">
        <v>0.2</v>
      </c>
      <c r="U208" s="62">
        <v>4</v>
      </c>
      <c r="V208" s="143"/>
      <c r="W208" s="141">
        <f>$W$182</f>
        <v>1.5</v>
      </c>
      <c r="X208" s="135">
        <f t="shared" si="942"/>
        <v>0.2</v>
      </c>
      <c r="Y208" s="135"/>
      <c r="Z208" s="168"/>
      <c r="AA208" s="153">
        <v>1</v>
      </c>
      <c r="AB208" s="153">
        <f>PI()*EJ208*EJ208/4*EH208*(1-H208)*AA208*各项系数!$F$5*各项系数!$J$4*10^-7</f>
        <v>2.0651505688902914E-2</v>
      </c>
      <c r="AC208" s="153">
        <f t="shared" si="886"/>
        <v>172.412400708262</v>
      </c>
      <c r="AD208" s="153">
        <f t="shared" si="943"/>
        <v>2.3346774015073022</v>
      </c>
      <c r="AE208" s="153">
        <f>POWER(4*EU208/PI()/EG208/10^-7/EH208/(1-H208)/各项系数!$F$5/各项系数!$J$4,0.5)</f>
        <v>172.412400708262</v>
      </c>
      <c r="AF208" s="69">
        <f>$AA$165</f>
        <v>1</v>
      </c>
      <c r="AG208" s="69">
        <f>IF(EM208=0,0,PI()*ER208*ER208/4*EP208*(1-K208)*(1+AF208)*各项系数!$F$5*各项系数!$J$4*10^-7)</f>
        <v>2.5293827628887593E-2</v>
      </c>
      <c r="AH208" s="69">
        <f t="shared" si="887"/>
        <v>134.922667214547</v>
      </c>
      <c r="AI208" s="69">
        <f t="shared" si="1000"/>
        <v>1.4297487227412424</v>
      </c>
      <c r="AJ208" s="69">
        <f>IF(OR(EP208="",EP208=0),0,POWER(4*EW208/PI()/EO208/10^-7/EP208/(1-K208)/各项系数!$F$5/各项系数!$J$4,0.5))</f>
        <v>134.922667214547</v>
      </c>
      <c r="AK208" s="69">
        <f t="shared" si="944"/>
        <v>8.7248344695596336E-2</v>
      </c>
      <c r="AL208" s="69">
        <f t="shared" si="888"/>
        <v>7.1149636734009434</v>
      </c>
      <c r="AM208" s="188">
        <f t="shared" si="889"/>
        <v>2.5</v>
      </c>
      <c r="AN208" s="97" t="s">
        <v>486</v>
      </c>
      <c r="AO208" s="196">
        <f>AP208+各项系数!$M$9*$NK208</f>
        <v>6.9754545817656304</v>
      </c>
      <c r="AP208" s="196">
        <f>AQ208*(1+$BI208+(VLOOKUP($AM208,$A$12:$B$323,2,0))+各项系数!$J$6+各项系数!$M$5)*(1+$E$2)</f>
        <v>6.9117251548828662</v>
      </c>
      <c r="AQ208" s="197">
        <f>AR208+各项系数!$L$9*$NK208</f>
        <v>6.982951257711524</v>
      </c>
      <c r="AR208" s="197">
        <f>AS208*(1+$BJ208+各项系数!$J$5+各项系数!$L$5)</f>
        <v>6.9192218308287599</v>
      </c>
      <c r="AS208" s="197">
        <f t="shared" si="1001"/>
        <v>6.7835508145379997</v>
      </c>
      <c r="AT208" s="196">
        <f>AU208+各项系数!$M$9*$NM208</f>
        <v>7.4326334994415788</v>
      </c>
      <c r="AU208" s="196">
        <f>AV208*(1+$BI208+(VLOOKUP($AM208,$A$12:$B$323,2,0))+各项系数!$J$6+各项系数!$M$5)*(1+$E$2)</f>
        <v>7.3689040725588146</v>
      </c>
      <c r="AV208" s="197">
        <f>AW208+各项系数!$L$9*$NM208</f>
        <v>7.4448414554039353</v>
      </c>
      <c r="AW208" s="197">
        <f>AX208*(1+$BJ208+各项系数!$J$5+各项系数!$L$5)</f>
        <v>7.3811120285211711</v>
      </c>
      <c r="AX208" s="197">
        <f t="shared" si="1002"/>
        <v>7.2363843416874225</v>
      </c>
      <c r="AY208" s="196">
        <f>AZ208+各项系数!$M$9*$NS208</f>
        <v>7.7822739630004412</v>
      </c>
      <c r="AZ208" s="196">
        <f>BA208*(1+$BI208+(VLOOKUP($AM208,$A$12:$B$214,2,0))+各项系数!$J$6+各项系数!$M$5)*(1+$E$2)</f>
        <v>7.7150721850210919</v>
      </c>
      <c r="BA208" s="197">
        <f>BB208+各项系数!$L$9*$NS208</f>
        <v>7.7945768690857671</v>
      </c>
      <c r="BB208" s="197">
        <f>BC208*(1+$BJ208+各项系数!$J$5+各项系数!$L$5)</f>
        <v>7.7273750911064178</v>
      </c>
      <c r="BC208" s="199">
        <f t="shared" si="1003"/>
        <v>7.5758579324572723</v>
      </c>
      <c r="BD208" s="196">
        <f>BE208+各项系数!$M$9*$NS208</f>
        <v>8.2469891237397768</v>
      </c>
      <c r="BE208" s="196">
        <f>BF208*(1+$BI208+(VLOOKUP($AM208,$A$12:$B$214,2,0))+各项系数!$J$6+各项系数!$M$5)*(1+$E$2)</f>
        <v>8.1797873457604275</v>
      </c>
      <c r="BF208" s="197">
        <f>BG208+各项系数!$L$9*$NS208</f>
        <v>8.2640809716714774</v>
      </c>
      <c r="BG208" s="197">
        <f>BH208*(1+$BJ208+各项系数!$J$5+各项系数!$L$5)</f>
        <v>8.1968791936921281</v>
      </c>
      <c r="BH208" s="199">
        <f t="shared" si="1004"/>
        <v>8.0361560722471843</v>
      </c>
      <c r="BI208" s="213">
        <v>0.01</v>
      </c>
      <c r="BJ208" s="208">
        <f>$BJ$182</f>
        <v>0</v>
      </c>
      <c r="BK208" s="102" t="s">
        <v>514</v>
      </c>
      <c r="BL208" s="196">
        <f>BM208+各项系数!$M$9*$NM208</f>
        <v>7.1108033701373436</v>
      </c>
      <c r="BM208" s="196">
        <f>BN208*(1+$CF208+(VLOOKUP($AM208,$A$12:$B$323,2,0))+各项系数!$J$6+各项系数!$M$5)*(1+$E$2)</f>
        <v>7.0470739432545795</v>
      </c>
      <c r="BN208" s="197">
        <f>BO208+各项系数!$L$9*$NM208</f>
        <v>7.119694830525944</v>
      </c>
      <c r="BO208" s="197">
        <f>BP208*(1+$CG208+各项系数!$J$5+各项系数!$L$5)</f>
        <v>7.0559654036431798</v>
      </c>
      <c r="BP208" s="197">
        <f t="shared" si="1005"/>
        <v>6.8504518481972614</v>
      </c>
      <c r="BQ208" s="196">
        <f>BR208+各项系数!$M$9*$NM208</f>
        <v>7.5042592316556007</v>
      </c>
      <c r="BR208" s="196">
        <f>BS208*(1+$CF208+(VLOOKUP($AM208,$A$12:$B$323,2,0))+各项系数!$J$6+各项系数!$M$5)*(1+$E$2)</f>
        <v>7.4405298047728365</v>
      </c>
      <c r="BS208" s="197">
        <f>BT208+各项系数!$L$9*$NM208</f>
        <v>7.5172052988208096</v>
      </c>
      <c r="BT208" s="197">
        <f>BU208*(1+$CG208+各项系数!$J$5+各项系数!$L$5)</f>
        <v>7.4534758719380454</v>
      </c>
      <c r="BU208" s="197">
        <f t="shared" si="1006"/>
        <v>7.2363843416874225</v>
      </c>
      <c r="BV208" s="196">
        <f>BW208+各项系数!$M$9*$NT208</f>
        <v>7.86825211416234</v>
      </c>
      <c r="BW208" s="196">
        <f>BX208*(1+$CF208+(VLOOKUP($AM208,$A$12:$B$214,2,0))+各项系数!$J$6+各项系数!$M$5)*(1+$E$2)</f>
        <v>7.8010503361829908</v>
      </c>
      <c r="BX208" s="197">
        <f>BY208+各项系数!$L$9*$NT$12</f>
        <v>7.8814410347373114</v>
      </c>
      <c r="BY208" s="197">
        <f>BZ208*(1+$CG208+各项系数!$J$5+各项系数!$L$5)</f>
        <v>7.8731776315823376</v>
      </c>
      <c r="BZ208" s="199">
        <f t="shared" si="945"/>
        <v>7.6438617782352791</v>
      </c>
      <c r="CA208" s="196">
        <f>CB208+各项系数!$M$9*$NT208</f>
        <v>8.2681937931417142</v>
      </c>
      <c r="CB208" s="196">
        <f>CC208*(1+$CF208+(VLOOKUP($AM208,$A$12:$B$214,2,0))+各项系数!$J$6+各项系数!$M$5)*(1+$E$2)</f>
        <v>8.200992015162365</v>
      </c>
      <c r="CC208" s="197">
        <f>CD208+各项系数!$L$9*$NT$12</f>
        <v>8.2855041575695747</v>
      </c>
      <c r="CD208" s="197">
        <f>CE208*(1+$CG208+各项系数!$J$5+各项系数!$L$5)</f>
        <v>8.2772407544146009</v>
      </c>
      <c r="CE208" s="199">
        <f t="shared" si="1007"/>
        <v>8.0361560722471843</v>
      </c>
      <c r="CF208" s="213">
        <f t="shared" si="884"/>
        <v>0.01</v>
      </c>
      <c r="CG208" s="213">
        <f t="shared" si="946"/>
        <v>0.01</v>
      </c>
      <c r="CH208" s="102"/>
      <c r="CI208" s="196">
        <f>CJ208+各项系数!$M$9*$NO208</f>
        <v>7.7408905749942729</v>
      </c>
      <c r="CJ208" s="196">
        <f>CK208*(1+$DC208+(VLOOKUP($AM208,$A$12:$B$323,2,0))+各项系数!$J$6+各项系数!$M$5)*(1+$E$2)+各项系数!$M$9*$NK208</f>
        <v>7.6404751497334882</v>
      </c>
      <c r="CK208" s="197">
        <f>CL208+各项系数!$L$9*$NO208</f>
        <v>7.654824937210269</v>
      </c>
      <c r="CL208" s="197">
        <f>CM208*(1+$DD208+各项系数!$J$5+各项系数!$L$5)</f>
        <v>7.5544095119494843</v>
      </c>
      <c r="CM208" s="197">
        <f t="shared" si="947"/>
        <v>7.4062838352445919</v>
      </c>
      <c r="CN208" s="196">
        <f>CO208+各项系数!$M$9*$NO208</f>
        <v>8.0808847000913762</v>
      </c>
      <c r="CO208" s="196">
        <f>CP208*(1+$DC208+(VLOOKUP($AM208,$A$12:$B$323,2,0))+各项系数!$J$6+各项系数!$M$5)*(1+$E$2)+各项系数!$M$9*$NK208</f>
        <v>7.9804692748305914</v>
      </c>
      <c r="CP208" s="197">
        <f>CQ208+各项系数!$L$9*$NO208</f>
        <v>7.9983227398947534</v>
      </c>
      <c r="CQ208" s="197">
        <f>CR208*(1+$DD208+各项系数!$J$5+各项系数!$L$5)</f>
        <v>7.8979073146339687</v>
      </c>
      <c r="CR208" s="197">
        <f t="shared" si="948"/>
        <v>7.7430463868960473</v>
      </c>
      <c r="CS208" s="196">
        <f>CT208+各项系数!$M$9*$NU208</f>
        <v>8.6456863632907357</v>
      </c>
      <c r="CT208" s="196">
        <f t="shared" si="949"/>
        <v>8.5410929067666945</v>
      </c>
      <c r="CU208" s="197">
        <f>CV208+各项系数!$L$9*$NU208</f>
        <v>8.6291098270021163</v>
      </c>
      <c r="CV208" s="197">
        <f>CW208*(1+$DD208+各项系数!$J$5+各项系数!$L$5)</f>
        <v>8.5245163704780751</v>
      </c>
      <c r="CW208" s="199">
        <f t="shared" si="950"/>
        <v>8.3573689906647797</v>
      </c>
      <c r="CX208" s="196">
        <f>CY208+各项系数!$M$9*$NU208</f>
        <v>9.1897204822722163</v>
      </c>
      <c r="CY208" s="196">
        <f t="shared" si="951"/>
        <v>9.0851270257481751</v>
      </c>
      <c r="CZ208" s="197">
        <f>DA208+各项系数!$L$9*$NU208</f>
        <v>9.1787502785897903</v>
      </c>
      <c r="DA208" s="197">
        <f>DB208*(1+$DD208+各项系数!$J$5+各项系数!$L$5)</f>
        <v>9.0741568220657491</v>
      </c>
      <c r="DB208" s="199">
        <f t="shared" si="952"/>
        <v>8.8962321784958327</v>
      </c>
      <c r="DC208" s="213">
        <f t="shared" si="827"/>
        <v>0.01</v>
      </c>
      <c r="DD208" s="213">
        <f t="shared" si="953"/>
        <v>0</v>
      </c>
      <c r="DE208" s="53" t="s">
        <v>498</v>
      </c>
      <c r="DF208" s="53" t="s">
        <v>513</v>
      </c>
      <c r="DG208" s="196">
        <f>DH208+各项系数!$M$9*$NQ208</f>
        <v>7.8942365411143722</v>
      </c>
      <c r="DH208" s="196">
        <f>DI208*(1+$EA208+(VLOOKUP($AM208,$A$12:$B$323,2,0))+各项系数!$J$6+各项系数!$M$5)*(1+$E$2)+各项系数!$M$9*$NK208</f>
        <v>7.7938211158535875</v>
      </c>
      <c r="DI208" s="197">
        <f>DJ208+各项系数!$L$9*$NQ208</f>
        <v>7.8097511507080455</v>
      </c>
      <c r="DJ208" s="197">
        <f>DK208*(1+$EB208+各项系数!$J$5+各项系数!$L$5)</f>
        <v>7.7093357254472608</v>
      </c>
      <c r="DK208" s="197">
        <f t="shared" si="954"/>
        <v>7.4847919664536509</v>
      </c>
      <c r="DL208" s="196">
        <f>DM208+各项系数!$M$9*$NQ208</f>
        <v>8.3559556314108541</v>
      </c>
      <c r="DM208" s="196">
        <f>DN208*(1+$EA208+(VLOOKUP($AM208,$A$12:$B$323,2,0))+各项系数!$J$6+各项系数!$M$5)*(1+$E$2)+各项系数!$M$9*$NK208</f>
        <v>8.2555402061500693</v>
      </c>
      <c r="DN208" s="197">
        <f>DO208+各项系数!$L$9*$NQ208</f>
        <v>8.2762283080089976</v>
      </c>
      <c r="DO208" s="197">
        <f>DP208*(1+$EB208+各项系数!$J$5+各项系数!$L$5)</f>
        <v>8.1758128827482128</v>
      </c>
      <c r="DP208" s="197">
        <f t="shared" si="955"/>
        <v>7.9376824104351575</v>
      </c>
      <c r="DQ208" s="196">
        <f>DR208+各项系数!$M$9*$NV208</f>
        <v>8.8095704806173725</v>
      </c>
      <c r="DR208" s="196">
        <f t="shared" si="956"/>
        <v>8.7049770240933313</v>
      </c>
      <c r="DS208" s="197">
        <f>DT208+各项系数!$L$9*$NV208</f>
        <v>8.7946827885364023</v>
      </c>
      <c r="DT208" s="197">
        <f>DU208*(1+$EB208+各项系数!$J$5+各项系数!$L$5)</f>
        <v>8.6900893320123611</v>
      </c>
      <c r="DU208" s="199">
        <f t="shared" si="957"/>
        <v>8.4369799339925837</v>
      </c>
      <c r="DV208" s="196">
        <f>DW208+各项系数!$M$9*$NV208</f>
        <v>8.8510821176572652</v>
      </c>
      <c r="DW208" s="196">
        <f t="shared" si="958"/>
        <v>8.746488661133224</v>
      </c>
      <c r="DX208" s="197">
        <f>DY208+各项系数!$L$9*$NV208</f>
        <v>8.836622207651267</v>
      </c>
      <c r="DY208" s="197">
        <f>DZ208*(1+$EB208+各项系数!$J$5+各项系数!$L$5)</f>
        <v>8.7320287511272259</v>
      </c>
      <c r="DZ208" s="199">
        <f t="shared" si="959"/>
        <v>8.4776978166283747</v>
      </c>
      <c r="EA208" s="213">
        <f t="shared" si="826"/>
        <v>0.01</v>
      </c>
      <c r="EB208" s="213">
        <f t="shared" si="960"/>
        <v>0.01</v>
      </c>
      <c r="EC208" s="235" t="str">
        <f t="shared" si="1008"/>
        <v>3+2</v>
      </c>
      <c r="ED208" s="235" t="str">
        <f t="shared" si="890"/>
        <v>3*2.5</v>
      </c>
      <c r="EE208" s="189">
        <f t="shared" si="891"/>
        <v>2.5</v>
      </c>
      <c r="EF208" s="189">
        <f>LOOKUP(EH208,{1,7,10,14,19,24,30,37,48,61},{1,"1+6","2+8","4+10","1+6+12","2+8+14","4+10+16","1+6+12+18","3+9+15+21","1+6+12+18+24"})</f>
        <v>1</v>
      </c>
      <c r="EG208" s="188">
        <f t="shared" si="961"/>
        <v>3</v>
      </c>
      <c r="EH208" s="197">
        <f>VLOOKUP(EE208,各项系数!$B$87:$C$124,2,0)</f>
        <v>1</v>
      </c>
      <c r="EI208" s="188">
        <f>IF(EH208=0,0,VLOOKUP(EH208,各项系数!$D$142:$E$195,2,0))*1</f>
        <v>1</v>
      </c>
      <c r="EJ208" s="238">
        <f t="shared" si="1009"/>
        <v>172.412400708262</v>
      </c>
      <c r="EK208" s="189" t="str">
        <f t="shared" si="892"/>
        <v>2*1.5</v>
      </c>
      <c r="EL208" s="189" t="str">
        <f t="shared" si="962"/>
        <v>1.5</v>
      </c>
      <c r="EM208" s="189">
        <f t="shared" si="893"/>
        <v>1.5</v>
      </c>
      <c r="EN208" s="189">
        <f>IF(EP208=0,0,LOOKUP(EP208,{1,7,10,14,19,24,30,37,48,61},{1,"1+6","2+8","4+10","1+6+12","2+8+14","4+10+16","1+6+12+18","3+9+15+21","1+6+12+18+24"}))</f>
        <v>1</v>
      </c>
      <c r="EO208" s="189" t="str">
        <f t="shared" si="894"/>
        <v>2</v>
      </c>
      <c r="EP208" s="189">
        <f>IF(EM208=0,0,IF(EM208&lt;10,1,IF(AND(EM208&gt;=10,EM208&lt;=35),7,LOOKUP(EM208,{50,70,95,120,150,185,240,300},{10,14,19,24,30,37,48,61})*1)))</f>
        <v>1</v>
      </c>
      <c r="EQ208" s="189">
        <f>IF(EP208=0,0,VLOOKUP(EP208,各项系数!$D$142:$E$195,2,0))*1</f>
        <v>1</v>
      </c>
      <c r="ER208" s="53">
        <f t="shared" si="895"/>
        <v>134.922667214547</v>
      </c>
      <c r="ES208" s="412">
        <f t="shared" si="896"/>
        <v>5</v>
      </c>
      <c r="ET208" s="189">
        <f>VLOOKUP(ES208,各项系数!$D$142:$E$195,2,0)*1</f>
        <v>2.7</v>
      </c>
      <c r="EU208" s="243">
        <f>((各项系数!$F$76/4*$EJ208^2*$EG208*$EH208*1*10^-7)*(1-$H208)*AA208)*(VLOOKUP($EY$9,各项系数!$D$4:$F$143,3,0))*各项系数!$J$4</f>
        <v>6.195451706670875E-2</v>
      </c>
      <c r="EV208" s="244">
        <f>EU208*(VLOOKUP($EY$9,各项系数!$D$4:$F$143,2,0))</f>
        <v>4.0580208678694234</v>
      </c>
      <c r="EW208" s="252">
        <f>(IF($EO208=0,0,(各项系数!$F$76/4*$ER208^2*$EO208*$EP208*1*10^-7))*(1-$K208)*$AF208)*(VLOOKUP($EY$9,各项系数!$D$4:$F$143,3,0))*各项系数!$J$4</f>
        <v>2.5293827628887596E-2</v>
      </c>
      <c r="EX208" s="253">
        <f>EW208*(VLOOKUP($EY$9,各项系数!$D$4:$F$143,2,0))</f>
        <v>1.6567457096921376</v>
      </c>
      <c r="EY208" s="189">
        <f>((各项系数!$F$76/4*$EJ208^2*$EG208*$EH208*1*10^-7)*(1-$H208)*AA208+IF($EO208=0,0,(各项系数!$F$76/4*$ER208^2*$EO208*$EP208*1*10^-7))*(1-$K208)*$AF208)*(VLOOKUP($EY$9,各项系数!$D$4:$F$143,3,0))*各项系数!$J$4</f>
        <v>8.7248344695596336E-2</v>
      </c>
      <c r="EZ208" s="102">
        <v>1</v>
      </c>
      <c r="FA208" s="189">
        <f t="shared" si="897"/>
        <v>8.7248344695596336E-2</v>
      </c>
      <c r="FB208" s="254">
        <f>FA208*(VLOOKUP($EY$9,各项系数!$D$4:$F$143,2,0))</f>
        <v>5.7147665775615604</v>
      </c>
      <c r="FC208" s="255"/>
      <c r="FD208" s="235">
        <f>各项系数!$F$76/4*($MN208^2-MK208^2)*10^-2*(VLOOKUP(L208,各项系数!$D$1:$F$143,3,0))*10^-3*10^2*$EG208*各项系数!$J$4</f>
        <v>1.7504099220994381E-2</v>
      </c>
      <c r="FE208" s="262">
        <f>FD208*VLOOKUP(L208,各项系数!$D$1:$F$143,2,0)</f>
        <v>0.2012971410414354</v>
      </c>
      <c r="FF208" s="188">
        <f>各项系数!$F$76/4*($MO208^2-ML208^2)*10^-2*(VLOOKUP(L208,各项系数!$D$1:$F$143,3,0))*10^-3*10^2*$EO208*各项系数!$J$4</f>
        <v>9.8646952835213155E-3</v>
      </c>
      <c r="FG208" s="262">
        <f>FF208*VLOOKUP(L208,各项系数!$D$1:$F$143,2,0)</f>
        <v>0.11344399576049513</v>
      </c>
      <c r="FH208" s="235">
        <f t="shared" si="1010"/>
        <v>2.7368794504515695E-2</v>
      </c>
      <c r="FI208" s="102">
        <v>1</v>
      </c>
      <c r="FJ208" s="189">
        <f t="shared" si="898"/>
        <v>2.7368794504515695E-2</v>
      </c>
      <c r="FK208" s="262">
        <f>FJ208*VLOOKUP(L208,各项系数!$D$1:$F$143,2,0)</f>
        <v>0.3147411368019305</v>
      </c>
      <c r="FL208" s="235"/>
      <c r="FM208" s="102"/>
      <c r="FN208" s="189"/>
      <c r="FO208" s="262"/>
      <c r="FP208" s="282">
        <f t="shared" si="899"/>
        <v>2.7368794504515695E-2</v>
      </c>
      <c r="FQ208" s="282">
        <f t="shared" si="900"/>
        <v>0.3147411368019305</v>
      </c>
      <c r="FR208" s="283">
        <f>各项系数!$F$76/4*($MQ208^2-$MN208^2*$EG208-$MO208^2*$EO208)*10^-2</f>
        <v>0.15776998911527731</v>
      </c>
      <c r="FS208" s="284">
        <f t="shared" si="1011"/>
        <v>1</v>
      </c>
      <c r="FT208" s="285">
        <f t="shared" si="963"/>
        <v>0.15776998911527731</v>
      </c>
      <c r="FU208" s="302">
        <f>$FT208*(VLOOKUP($FT$9,各项系数!$D$1:$F$143,3,0))*10^-3*10^2*各项系数!$J$55</f>
        <v>1.8837736700364108E-2</v>
      </c>
      <c r="FV208" s="303">
        <v>1</v>
      </c>
      <c r="FW208" s="304">
        <f t="shared" si="901"/>
        <v>1.8837736700364108E-2</v>
      </c>
      <c r="FX208" s="285">
        <f>FW208*(VLOOKUP($FT$9,各项系数!$D$1:$F$143,2,0))</f>
        <v>5.6513210101092323E-2</v>
      </c>
      <c r="FY208" s="302">
        <f>IF($BK208&lt;&gt;$FY$9,0,各项系数!$F$76/4*($MS208^2-$MQ208^2)*10^-2*(VLOOKUP($FY$9,各项系数!$D$1:$F$143,3,0))*10^-3*10^2)*各项系数!$J$4</f>
        <v>0</v>
      </c>
      <c r="FZ208" s="303">
        <v>1</v>
      </c>
      <c r="GA208" s="304">
        <f t="shared" si="902"/>
        <v>0</v>
      </c>
      <c r="GB208" s="285">
        <f>GA208*(VLOOKUP($FY$9,各项系数!$D$1:$F$143,2,0))</f>
        <v>0</v>
      </c>
      <c r="GC208" s="302">
        <f>IF($BK208&lt;&gt;$GC$9,0,各项系数!$F$76/4*($MS208^2-$MQ208^2)*10^-2*(VLOOKUP($GC$9,各项系数!$D$1:$F$143,3,0))*10^-3*10^2)*各项系数!$J$4</f>
        <v>2.2108180992869105E-3</v>
      </c>
      <c r="GD208" s="303">
        <v>1</v>
      </c>
      <c r="GE208" s="304">
        <f t="shared" si="903"/>
        <v>2.2108180992869105E-3</v>
      </c>
      <c r="GF208" s="285">
        <f>GE208*(VLOOKUP($GC$9,各项系数!$D$1:$F$143,2,0))</f>
        <v>2.8519553480801145E-2</v>
      </c>
      <c r="GG208" s="302">
        <f>IF($BK208&lt;&gt;$GG$9,0,各项系数!$F$76/4*($MS208^2-$MQ208^2)*10^-2*(VLOOKUP($GG$9,各项系数!$D$1:$F$143,3,0))*10^-3*10^2)*各项系数!$J$4</f>
        <v>0</v>
      </c>
      <c r="GH208" s="303">
        <v>1</v>
      </c>
      <c r="GI208" s="304">
        <f t="shared" si="904"/>
        <v>0</v>
      </c>
      <c r="GJ208" s="285">
        <f>GI208*(VLOOKUP($GG$9,各项系数!$D$1:$F$143,2,0))</f>
        <v>0</v>
      </c>
      <c r="GK208" s="302">
        <f>IF($BK208&lt;&gt;$GK$9,0,各项系数!$F$76/4*($MS208^2-$MQ208^2)*10^-2*(VLOOKUP($GK$9,各项系数!$D$1:$F$143,3,0))*10^-3*10^2)*各项系数!$J$4</f>
        <v>0</v>
      </c>
      <c r="GL208" s="303">
        <v>1</v>
      </c>
      <c r="GM208" s="304">
        <f t="shared" si="905"/>
        <v>0</v>
      </c>
      <c r="GN208" s="285">
        <f>GM208*(VLOOKUP($GK$9,各项系数!$D$1:$F$143,2,0))</f>
        <v>0</v>
      </c>
      <c r="GO208" s="304">
        <f t="shared" si="906"/>
        <v>2.2108180992869105E-3</v>
      </c>
      <c r="GP208" s="304">
        <f t="shared" si="907"/>
        <v>2.8519553480801145E-2</v>
      </c>
      <c r="GQ208" s="315">
        <f>各项系数!$F$76/4*($MU208^2-$MS208^2)*10^-2*(VLOOKUP($S208,各项系数!$D$1:$F$143,3,0))*10^-3*10^2*各项系数!$J$4</f>
        <v>0.12915813201145732</v>
      </c>
      <c r="GR208" s="303">
        <v>1</v>
      </c>
      <c r="GS208" s="304">
        <f t="shared" si="908"/>
        <v>0.12915813201145732</v>
      </c>
      <c r="GT208" s="304">
        <f t="shared" si="909"/>
        <v>1</v>
      </c>
      <c r="GU208" s="304">
        <f>ROUND($GS208*(VLOOKUP($S208,各项系数!$D$1:$F$143,2,0))+$E$3*GS208,GT208)</f>
        <v>0.7</v>
      </c>
      <c r="GV208" s="315">
        <f>各项系数!$F$76/4*($MT208^2-$MS208^2)*10^-2*(VLOOKUP($GV$9,各项系数!$D$1:$F$143,3,0))*10^-3*10^2*各项系数!$J$4*PI()/4*R208</f>
        <v>1.1574503655286179E-2</v>
      </c>
      <c r="GW208" s="303">
        <v>1</v>
      </c>
      <c r="GX208" s="304">
        <f t="shared" si="910"/>
        <v>1.1574503655286179E-2</v>
      </c>
      <c r="GY208" s="304">
        <f>$GX208*(VLOOKUP($GV$9,各项系数!$D$1:$F$143,2,0))</f>
        <v>0.78127899673181711</v>
      </c>
      <c r="GZ208" s="315">
        <f>各项系数!$F$76/4*($MV208^2-$MS208^2)*10^-2*(VLOOKUP($GZ$9,各项系数!$D$1:$F$143,3,0))*10^-3*10^2*各项系数!$J$4</f>
        <v>6.5990815514237605E-2</v>
      </c>
      <c r="HA208" s="303">
        <v>1</v>
      </c>
      <c r="HB208" s="304">
        <f t="shared" si="1012"/>
        <v>6.5990815514237605E-2</v>
      </c>
      <c r="HC208" s="304">
        <f>HB208*(VLOOKUP($GZ$9,各项系数!$D$1:$F$143,2,0))</f>
        <v>1.1218438637420394</v>
      </c>
      <c r="HD208" s="315">
        <f>各项系数!$F$76/4*($MW208^2-$MT208^2)*10^-2*(VLOOKUP($HD$9,各项系数!$D$1:$F$143,3,0))*10^-3*10^2*各项系数!$J$4</f>
        <v>6.7078623386469624E-2</v>
      </c>
      <c r="HE208" s="303">
        <v>1</v>
      </c>
      <c r="HF208" s="304">
        <f t="shared" si="1013"/>
        <v>6.7078623386469624E-2</v>
      </c>
      <c r="HG208" s="304">
        <f>HF208*(VLOOKUP($HD$9,各项系数!$D$1:$F$143,2,0))</f>
        <v>1.1403365975699835</v>
      </c>
      <c r="HH208" s="315">
        <f>各项系数!$F$76/4*($MV208^2-$MS208^2)*10^-2*(VLOOKUP($HH$9,各项系数!$D$1:$F$143,3,0))*10^-3*10^2*各项系数!$J$4</f>
        <v>6.5990815514237605E-2</v>
      </c>
      <c r="HI208" s="322">
        <v>1</v>
      </c>
      <c r="HJ208" s="304">
        <f t="shared" si="1014"/>
        <v>6.5990815514237605E-2</v>
      </c>
      <c r="HK208" s="304">
        <f>HJ208*(VLOOKUP($HH$9,各项系数!$D$1:$F$143,2,0))</f>
        <v>1.1218438637420394</v>
      </c>
      <c r="HL208" s="315">
        <f>各项系数!$F$76/4*($MW208^2-$MT208^2)*10^-2*(VLOOKUP($HL$9,各项系数!$D$1:$F$143,3,0))*10^-3*10^2*各项系数!$J$4</f>
        <v>6.7078623386469624E-2</v>
      </c>
      <c r="HM208" s="322">
        <v>1</v>
      </c>
      <c r="HN208" s="304">
        <f t="shared" si="964"/>
        <v>6.7078623386469624E-2</v>
      </c>
      <c r="HO208" s="304">
        <f>HN208*(VLOOKUP($HL$9,各项系数!$D$1:$F$143,2,0))</f>
        <v>1.1403365975699835</v>
      </c>
      <c r="HP208" s="315">
        <f>各项系数!$F$76/4*($MV208^2-$MS208^2)*10^-2*(VLOOKUP(AN208,各项系数!$D$1:$F$143,3,0))*10^-3*10^2*各项系数!$J$4</f>
        <v>6.6901033659261588E-2</v>
      </c>
      <c r="HQ208" s="303">
        <v>1</v>
      </c>
      <c r="HR208" s="304">
        <f t="shared" si="911"/>
        <v>6.6901033659261588E-2</v>
      </c>
      <c r="HS208" s="304">
        <f>HR208*(VLOOKUP(AN208,各项系数!$D$1:$F$143,2,0))</f>
        <v>0.66901033659261588</v>
      </c>
      <c r="HT208" s="315">
        <f>各项系数!$F$76/4*($MW208^2-$MT208^2)*10^-2*(VLOOKUP(AN208,各项系数!$D$1:$F$143,3,0))*10^-3*10^2*各项系数!$J$4</f>
        <v>6.8003845778007124E-2</v>
      </c>
      <c r="HU208" s="303">
        <v>1</v>
      </c>
      <c r="HV208" s="304">
        <f t="shared" si="912"/>
        <v>6.8003845778007124E-2</v>
      </c>
      <c r="HW208" s="304">
        <f>HV208*(VLOOKUP(AN208,各项系数!$D$1:$F$143,2,0))</f>
        <v>0.68003845778007121</v>
      </c>
      <c r="HX208" s="315">
        <f>各项系数!$F$76/4*($MV208^2-$MS208^2)*10^-2*(VLOOKUP($HX$9,各项系数!$D$1:$F$143,3,0))*10^-3*10^2*各项系数!$J$4</f>
        <v>6.6901033659261588E-2</v>
      </c>
      <c r="HY208" s="322">
        <v>1</v>
      </c>
      <c r="HZ208" s="304">
        <f t="shared" si="913"/>
        <v>6.6901033659261588E-2</v>
      </c>
      <c r="IA208" s="304">
        <f>HZ208*(VLOOKUP($HX$9,各项系数!$D$1:$F$143,2,0))</f>
        <v>0.73591137025187747</v>
      </c>
      <c r="IB208" s="315">
        <f>各项系数!$F$76/4*($MW208^2-$MT208^2)*10^-2*(VLOOKUP($IB$9,各项系数!$D$1:$F$143,3,0))*10^-3*10^2*各项系数!$J$4</f>
        <v>6.8003845778007124E-2</v>
      </c>
      <c r="IC208" s="322">
        <v>1</v>
      </c>
      <c r="ID208" s="304">
        <f t="shared" si="914"/>
        <v>6.8003845778007124E-2</v>
      </c>
      <c r="IE208" s="304">
        <f>ID208*(VLOOKUP($IB$9,各项系数!$D$1:$F$143,2,0))</f>
        <v>0.74804230355807833</v>
      </c>
      <c r="IF208" s="328"/>
      <c r="IG208" s="315">
        <f t="shared" si="1015"/>
        <v>1.3181453810927325E-2</v>
      </c>
      <c r="IH208" s="303">
        <v>1</v>
      </c>
      <c r="II208" s="304">
        <f t="shared" si="915"/>
        <v>1.3181453810927325E-2</v>
      </c>
      <c r="IJ208" s="304">
        <f>II208*(VLOOKUP($IG$8,各项系数!$D$1:$F$143,2,0))</f>
        <v>0.3295363452731831</v>
      </c>
      <c r="IK208" s="315">
        <f>(各项系数!$F$76/4*($MX208^2-$MK208^2)*$EG208)*10^-2*(VLOOKUP($IG$8,各项系数!$D$1:$F$143,3,0))*10^-3*10^2*各项系数!$J$4</f>
        <v>8.5416906431320175E-3</v>
      </c>
      <c r="IL208" s="303">
        <f>IK208*(VLOOKUP($IG$8,各项系数!$D$1:$F$143,2,0))</f>
        <v>0.21354226607830043</v>
      </c>
      <c r="IM208" s="304">
        <f>(各项系数!$F$76/4*(($MM208+3*$X208)^2-MM208^2)*$EO208)*10^-2*(VLOOKUP($IG$8,各项系数!$D$1:$F$143,3,0))*10^-3*10^2*各项系数!$J$4</f>
        <v>4.6397631677953079E-3</v>
      </c>
      <c r="IN208" s="303">
        <f>IM208*(VLOOKUP($IG$8,各项系数!$D$1:$F$143,2,0))</f>
        <v>0.11599407919488269</v>
      </c>
      <c r="IO208" s="315">
        <f>各项系数!$F$76/4*($MZ208^2-$MX208^2)*10^-2*(VLOOKUP(L208,各项系数!$D$1:$F$143,3,0))*10^-3*10^2*$ES208*各项系数!$J$4</f>
        <v>3.639429233630076E-2</v>
      </c>
      <c r="IP208" s="303">
        <v>1</v>
      </c>
      <c r="IQ208" s="304">
        <f t="shared" si="916"/>
        <v>3.639429233630076E-2</v>
      </c>
      <c r="IR208" s="285">
        <f>IQ208*(VLOOKUP(L208,各项系数!$D$1:$F$143,2,0))</f>
        <v>0.41853436186745874</v>
      </c>
      <c r="IS208" s="315">
        <f>IF($L208&lt;&gt;$IS$9,0,各项系数!$F$76/4*($MZ208^2-$MX208^2)*10^-2*各项系数!$F$12*10^-3*10^2)*$ES208*各项系数!$J$4</f>
        <v>0</v>
      </c>
      <c r="IT208" s="303">
        <v>1</v>
      </c>
      <c r="IU208" s="304">
        <f t="shared" si="917"/>
        <v>0</v>
      </c>
      <c r="IV208" s="285">
        <f>IU208*各项系数!$E$12</f>
        <v>0</v>
      </c>
      <c r="IW208" s="302">
        <f t="shared" si="918"/>
        <v>3.639429233630076E-2</v>
      </c>
      <c r="IX208" s="302">
        <f t="shared" si="919"/>
        <v>0.41853436186745874</v>
      </c>
      <c r="IY208" s="339">
        <f>各项系数!$F$76/4*($NB208^2-$MZ208^2*$EG208-$NA208^2*$EO208)*10^-2</f>
        <v>0.22843544757906145</v>
      </c>
      <c r="IZ208" s="284">
        <f t="shared" si="697"/>
        <v>1</v>
      </c>
      <c r="JA208" s="285">
        <f t="shared" si="965"/>
        <v>0.22843544757906145</v>
      </c>
      <c r="JB208" s="282">
        <f>IF($DE208&lt;&gt;$JB$9,0,$JA208*各项系数!$F$32*10^-3*10^2)*各项系数!$J$4</f>
        <v>0</v>
      </c>
      <c r="JC208" s="102">
        <v>1</v>
      </c>
      <c r="JD208" s="189">
        <f t="shared" si="920"/>
        <v>0</v>
      </c>
      <c r="JE208" s="262">
        <f>JD208*各项系数!$E$32</f>
        <v>0</v>
      </c>
      <c r="JF208" s="282">
        <f>IF($DE208&lt;&gt;$JF$9,0,$JA208*VLOOKUP($JF$9,各项系数!$D$4:$F$540,2,0)*10^-3*10^2)*各项系数!$J$4</f>
        <v>0.11364663517058307</v>
      </c>
      <c r="JG208" s="102">
        <v>1</v>
      </c>
      <c r="JH208" s="189">
        <f t="shared" si="966"/>
        <v>0.11364663517058307</v>
      </c>
      <c r="JI208" s="262">
        <f>JH208*VLOOKUP($JF$9,各项系数!$D$4:$F$540,3,0)</f>
        <v>0.13637596220469969</v>
      </c>
      <c r="JJ208" s="282">
        <f t="shared" si="921"/>
        <v>0.11364663517058307</v>
      </c>
      <c r="JK208" s="189">
        <f t="shared" si="922"/>
        <v>0.13637596220469969</v>
      </c>
      <c r="JL208" s="282">
        <f>IF($DF208&lt;&gt;$JL$9,0,各项系数!$F$76/4*($NE208^2-$NC208^2)*10^-2*各项系数!$F$39*10^-3*10^2)*各项系数!$J$4</f>
        <v>1.0994638123552603E-3</v>
      </c>
      <c r="JM208" s="102">
        <v>1</v>
      </c>
      <c r="JN208" s="189">
        <f t="shared" si="923"/>
        <v>1.0994638123552603E-3</v>
      </c>
      <c r="JO208" s="262">
        <f>JN208*各项系数!$E$39</f>
        <v>2.1989276247105206E-2</v>
      </c>
      <c r="JP208" s="282">
        <f>IF($DF208&lt;&gt;$JP$9,0,各项系数!$F$76/4*($NE208^2-$NC208^2)*10^-2*各项系数!$F$36*10^-3*10^2)*各项系数!$J$4</f>
        <v>0</v>
      </c>
      <c r="JQ208" s="102">
        <v>1</v>
      </c>
      <c r="JR208" s="189">
        <f t="shared" si="924"/>
        <v>0</v>
      </c>
      <c r="JS208" s="262">
        <f>JR208*各项系数!$E$36</f>
        <v>0</v>
      </c>
      <c r="JT208" s="282">
        <f>IF($DF208&lt;&gt;$JT$9,0,各项系数!$F$76/4*($NE208^2-$NC208^2)*10^-2*各项系数!$F$40*10^-3*10^2)*各项系数!$J$4</f>
        <v>0</v>
      </c>
      <c r="JU208" s="102">
        <v>1</v>
      </c>
      <c r="JV208" s="189">
        <f t="shared" si="925"/>
        <v>0</v>
      </c>
      <c r="JW208" s="262">
        <f>JV208*各项系数!$E$40</f>
        <v>0</v>
      </c>
      <c r="JX208" s="282">
        <f>IF($DF208&lt;&gt;$JX$9,0,各项系数!$F$76/4*($NE208^2-$NC208^2)*10^-2*各项系数!$F$38*10^-3*10^2)*各项系数!$J$4</f>
        <v>0</v>
      </c>
      <c r="JY208" s="102">
        <v>1</v>
      </c>
      <c r="JZ208" s="189">
        <f t="shared" si="926"/>
        <v>0</v>
      </c>
      <c r="KA208" s="262">
        <f>JZ208*各项系数!$E$38</f>
        <v>0</v>
      </c>
      <c r="KB208" s="282">
        <f>IF($DF208&lt;&gt;$KB$9,0,各项系数!$F$76/4*($NE208^2-$NC208^2)*10^-2*各项系数!$F$41*10^-3*10^2)*各项系数!$J$4</f>
        <v>0</v>
      </c>
      <c r="KC208" s="102">
        <v>1</v>
      </c>
      <c r="KD208" s="189">
        <f t="shared" si="927"/>
        <v>0</v>
      </c>
      <c r="KE208" s="262">
        <f>KD208*各项系数!$E$41</f>
        <v>0</v>
      </c>
      <c r="KF208" s="189">
        <f t="shared" si="928"/>
        <v>1.0994638123552603E-3</v>
      </c>
      <c r="KG208" s="189">
        <f t="shared" si="929"/>
        <v>2.1989276247105206E-2</v>
      </c>
      <c r="KH208" s="235">
        <f>各项系数!$F$76/4*($NG208^2-$NE208^2)*10^-2*各项系数!$F$44*10^-3*10^2*各项系数!$J$4*0.75*$U208</f>
        <v>0.46157031671960635</v>
      </c>
      <c r="KI208" s="102">
        <v>1</v>
      </c>
      <c r="KJ208" s="189">
        <f t="shared" si="930"/>
        <v>0.46157031671960635</v>
      </c>
      <c r="KK208" s="189">
        <f>ROUND(KJ208*各项系数!$E$43,GT208)</f>
        <v>2.7</v>
      </c>
      <c r="KL208" s="235">
        <f>各项系数!$F$76/4*($NF208^2-$NE208^2)*10^-2*各项系数!$F$46*10^-3*10^2*各项系数!$J$4*PI()/4*R208</f>
        <v>1.3926770877521952E-2</v>
      </c>
      <c r="KM208" s="102">
        <v>1</v>
      </c>
      <c r="KN208" s="189">
        <f t="shared" si="931"/>
        <v>1.3926770877521952E-2</v>
      </c>
      <c r="KO208" s="189">
        <f>KN208*各项系数!$E$46</f>
        <v>0.94005703423273179</v>
      </c>
      <c r="KP208" s="235">
        <f>各项系数!$F$76/4*($NH208^2-$NE208^2)*10^-2*(VLOOKUP($KP$9,各项系数!$D$1:$F$143,3,0))*10^-3*10^2*各项系数!$J$4</f>
        <v>7.7439993369479418E-2</v>
      </c>
      <c r="KQ208" s="102">
        <v>1</v>
      </c>
      <c r="KR208" s="189">
        <f t="shared" si="1016"/>
        <v>7.7439993369479418E-2</v>
      </c>
      <c r="KS208" s="189">
        <f>KR208*(VLOOKUP($KP$9,各项系数!$D$1:$F$143,2,0))</f>
        <v>1.3164798872811501</v>
      </c>
      <c r="KT208" s="235">
        <f>各项系数!$F$76/4*($NI208^2-$NF208^2)*10^-2*(VLOOKUP($KT$9,各项系数!$D$1:$F$143,3,0))*10^-3*10^2*各项系数!$J$4</f>
        <v>7.8527801241711437E-2</v>
      </c>
      <c r="KU208" s="102">
        <v>1</v>
      </c>
      <c r="KV208" s="189">
        <f t="shared" si="1017"/>
        <v>7.8527801241711437E-2</v>
      </c>
      <c r="KW208" s="189">
        <f>KV208*(VLOOKUP($KT$9,各项系数!$D$1:$F$143,2,0))</f>
        <v>1.3349726211090944</v>
      </c>
      <c r="KX208" s="189">
        <f>各项系数!$F$76/4*($NH208^2-$NE208^2)*10^-2*(VLOOKUP($KX$9,各项系数!$D$1:$F$143,3,0))*10^-3*10^2*各项系数!$J$4</f>
        <v>7.7439993369479418E-2</v>
      </c>
      <c r="KY208" s="353">
        <v>1</v>
      </c>
      <c r="KZ208" s="189">
        <f t="shared" si="1018"/>
        <v>7.7439993369479418E-2</v>
      </c>
      <c r="LA208" s="189">
        <f>KZ208*(VLOOKUP($KX$9,各项系数!$D$1:$F$143,2,0))</f>
        <v>1.3164798872811501</v>
      </c>
      <c r="LB208" s="189">
        <f>各项系数!$F$76/4*($NI208^2-$NF208^2)*10^-2*(VLOOKUP($LB$9,各项系数!$D$1:$F$143,3,0))*10^-3*10^2*各项系数!$J$4</f>
        <v>7.8527801241711437E-2</v>
      </c>
      <c r="LC208" s="353">
        <v>1</v>
      </c>
      <c r="LD208" s="189">
        <f t="shared" si="1019"/>
        <v>7.8527801241711437E-2</v>
      </c>
      <c r="LE208" s="189">
        <f>LD208*(VLOOKUP($LB$9,各项系数!$D$1:$F$143,2,0))</f>
        <v>1.3349726211090944</v>
      </c>
      <c r="LF208" s="235">
        <f>各项系数!$F$76/4*($NH208^2-$NE208^2)*10^-2*(VLOOKUP(AN208,各项系数!$D$1:$F$143,3,0))*10^-3*10^2*各项系数!$J$4</f>
        <v>7.8508131209058446E-2</v>
      </c>
      <c r="LG208" s="102">
        <v>1</v>
      </c>
      <c r="LH208" s="189">
        <f t="shared" si="932"/>
        <v>7.8508131209058446E-2</v>
      </c>
      <c r="LI208" s="189">
        <f>LH208*(VLOOKUP(AN208,各项系数!$D$1:$F$143,2,0))</f>
        <v>0.7850813120905844</v>
      </c>
      <c r="LJ208" s="235">
        <f>各项系数!$F$76/4*($NI208^2-$NF208^2)*10^-2*(VLOOKUP(AN208,各项系数!$D$1:$F$143,3,0))*10^-3*10^2*各项系数!$J$4</f>
        <v>7.9610943327803996E-2</v>
      </c>
      <c r="LK208" s="102">
        <v>1</v>
      </c>
      <c r="LL208" s="189">
        <f t="shared" si="933"/>
        <v>7.9610943327803996E-2</v>
      </c>
      <c r="LM208" s="189">
        <f>LL208*(VLOOKUP(AN208,各项系数!$D$1:$F$143,2,0))</f>
        <v>0.79610943327803996</v>
      </c>
      <c r="LN208" s="189">
        <f>各项系数!$F$76/4*($NH208^2-$NE208^2)*10^-2*(VLOOKUP($LN$9,各项系数!$D$1:$F$143,3,0))*10^-3*10^2*各项系数!$J$4</f>
        <v>7.8508131209058446E-2</v>
      </c>
      <c r="LO208" s="353">
        <v>1</v>
      </c>
      <c r="LP208" s="189">
        <f t="shared" si="934"/>
        <v>7.8508131209058446E-2</v>
      </c>
      <c r="LQ208" s="189">
        <f>LP208*(VLOOKUP($LN$9,各项系数!$D$1:$F$143,2,0))</f>
        <v>0.86358944329964293</v>
      </c>
      <c r="LR208" s="189">
        <f>各项系数!$F$76/4*($NI208^2-$NF208^2)*10^-2*(VLOOKUP($LR$9,各项系数!$D$1:$F$143,3,0))*10^-3*10^2*各项系数!$J$4</f>
        <v>7.9610943327803996E-2</v>
      </c>
      <c r="LS208" s="353">
        <v>1</v>
      </c>
      <c r="LT208" s="189">
        <f t="shared" si="935"/>
        <v>7.9610943327803996E-2</v>
      </c>
      <c r="LU208" s="189">
        <f>LT208*(VLOOKUP($LR$9,各项系数!$D$1:$F$143,2,0))</f>
        <v>0.8757203766058439</v>
      </c>
      <c r="LV208" s="227">
        <f t="shared" si="1020"/>
        <v>7.00403223</v>
      </c>
      <c r="LW208" s="227">
        <f t="shared" si="1021"/>
        <v>7.00403223</v>
      </c>
      <c r="LX208" s="227">
        <f t="shared" si="1022"/>
        <v>2.9862703842478173</v>
      </c>
      <c r="LY208" s="227">
        <f t="shared" si="1023"/>
        <v>0</v>
      </c>
      <c r="LZ208" s="374">
        <f t="shared" si="967"/>
        <v>1</v>
      </c>
      <c r="MA208" s="375">
        <f t="shared" si="968"/>
        <v>7.00403223</v>
      </c>
      <c r="MB208" s="375">
        <f t="shared" si="1024"/>
        <v>1.7241240099999999</v>
      </c>
      <c r="MC208" s="227">
        <f t="shared" si="1025"/>
        <v>2.8594974500000001</v>
      </c>
      <c r="MD208" s="227">
        <f t="shared" si="1026"/>
        <v>2.8594974400000002</v>
      </c>
      <c r="ME208" s="227">
        <f t="shared" si="1027"/>
        <v>1.9080946566344563</v>
      </c>
      <c r="MF208" s="227">
        <f t="shared" si="1028"/>
        <v>9.9999999392252903E-9</v>
      </c>
      <c r="MG208" s="374">
        <f t="shared" si="1029"/>
        <v>1</v>
      </c>
      <c r="MH208" s="375">
        <f t="shared" si="969"/>
        <v>2.8594974500000001</v>
      </c>
      <c r="MI208" s="375">
        <f t="shared" si="1030"/>
        <v>1.3492266732112435</v>
      </c>
      <c r="MJ208" s="189">
        <f t="shared" si="970"/>
        <v>1.7241240099999999</v>
      </c>
      <c r="MK208" s="189">
        <f t="shared" si="1031"/>
        <v>1.7241240099999999</v>
      </c>
      <c r="ML208" s="189">
        <f t="shared" si="936"/>
        <v>1.34922667214547</v>
      </c>
      <c r="MM208" s="189">
        <f t="shared" si="971"/>
        <v>1.3492266732112435</v>
      </c>
      <c r="MN208" s="189">
        <f t="shared" si="972"/>
        <v>3.1241240100000001</v>
      </c>
      <c r="MO208" s="189">
        <f t="shared" si="1032"/>
        <v>2.7492266732112434</v>
      </c>
      <c r="MP208" s="189">
        <f t="shared" si="1033"/>
        <v>8.0302457</v>
      </c>
      <c r="MQ208" s="189">
        <f t="shared" si="937"/>
        <v>8.0302457</v>
      </c>
      <c r="MR208" s="246">
        <f t="shared" si="1034"/>
        <v>8.0302457</v>
      </c>
      <c r="MS208" s="380">
        <f t="shared" si="973"/>
        <v>8.2062457000000002</v>
      </c>
      <c r="MT208" s="380">
        <f t="shared" si="974"/>
        <v>8.3662457000000003</v>
      </c>
      <c r="MU208" s="380">
        <f t="shared" si="975"/>
        <v>9.4062456999999995</v>
      </c>
      <c r="MV208" s="380">
        <f t="shared" si="976"/>
        <v>11.2062457</v>
      </c>
      <c r="MW208" s="380">
        <f t="shared" si="977"/>
        <v>11.3662457</v>
      </c>
      <c r="MX208" s="254">
        <f t="shared" si="978"/>
        <v>2.3241240100000002</v>
      </c>
      <c r="MY208" s="254">
        <f t="shared" si="979"/>
        <v>1.9492266732112435</v>
      </c>
      <c r="MZ208" s="189">
        <f t="shared" si="980"/>
        <v>3.7241240100000002</v>
      </c>
      <c r="NA208" s="189">
        <f t="shared" si="981"/>
        <v>3.3492266732112435</v>
      </c>
      <c r="NB208" s="189">
        <f t="shared" si="1035"/>
        <v>9.6502456999999993</v>
      </c>
      <c r="NC208" s="254">
        <f t="shared" si="938"/>
        <v>9.6502456999999993</v>
      </c>
      <c r="ND208" s="246">
        <f t="shared" si="1036"/>
        <v>9.6502456999999993</v>
      </c>
      <c r="NE208" s="386">
        <f t="shared" si="1037"/>
        <v>9.8902456999999995</v>
      </c>
      <c r="NF208" s="380">
        <f t="shared" si="982"/>
        <v>10.0502457</v>
      </c>
      <c r="NG208" s="387">
        <f t="shared" si="983"/>
        <v>11.090245700000001</v>
      </c>
      <c r="NH208" s="254">
        <f t="shared" si="984"/>
        <v>12.890245699999999</v>
      </c>
      <c r="NI208" s="380">
        <f t="shared" si="985"/>
        <v>13.0502457</v>
      </c>
      <c r="NK208" s="388">
        <f t="shared" si="986"/>
        <v>0.21243142294254597</v>
      </c>
      <c r="NL208" s="388">
        <f t="shared" si="987"/>
        <v>6.8969948102984944</v>
      </c>
      <c r="NM208" s="388">
        <f t="shared" si="988"/>
        <v>0.21243142294254597</v>
      </c>
      <c r="NN208" s="388">
        <f t="shared" si="989"/>
        <v>6.9638958439577561</v>
      </c>
      <c r="NO208" s="388">
        <f t="shared" si="990"/>
        <v>0.33471808420261651</v>
      </c>
      <c r="NP208" s="388">
        <f t="shared" si="991"/>
        <v>7.5222779144394742</v>
      </c>
      <c r="NQ208" s="388">
        <f t="shared" si="992"/>
        <v>0.33471808420261651</v>
      </c>
      <c r="NR208" s="388">
        <f t="shared" si="993"/>
        <v>7.6007860456485332</v>
      </c>
      <c r="NS208" s="388">
        <f t="shared" si="994"/>
        <v>0.22400592659783214</v>
      </c>
      <c r="NT208" s="388">
        <f t="shared" si="995"/>
        <v>0.22400592659783214</v>
      </c>
      <c r="NU208" s="388">
        <f t="shared" si="996"/>
        <v>0.34864485508013848</v>
      </c>
      <c r="NV208" s="388">
        <f t="shared" si="997"/>
        <v>0.34864485508013848</v>
      </c>
      <c r="NW208">
        <f t="shared" si="998"/>
        <v>0.34158955495400328</v>
      </c>
      <c r="NX208">
        <f>各项系数!$M$9*NK208</f>
        <v>6.3729426882763784E-2</v>
      </c>
      <c r="NY208">
        <f t="shared" si="999"/>
        <v>0.22400592659783214</v>
      </c>
    </row>
    <row r="209" spans="1:389" ht="15" hidden="1" customHeight="1">
      <c r="A209" s="69"/>
      <c r="B209" s="70"/>
      <c r="C209" s="69"/>
      <c r="D209" s="102" t="s">
        <v>310</v>
      </c>
      <c r="E209" s="61">
        <f t="shared" si="885"/>
        <v>11.97447476</v>
      </c>
      <c r="F209" s="16">
        <f>$F$18</f>
        <v>218.58841470644899</v>
      </c>
      <c r="G209" s="16"/>
      <c r="H209" s="16"/>
      <c r="I209" s="145">
        <f>$F$17</f>
        <v>172.412400708262</v>
      </c>
      <c r="J209" s="16"/>
      <c r="K209" s="16"/>
      <c r="L209" s="97" t="s">
        <v>469</v>
      </c>
      <c r="M209" s="103">
        <f t="shared" si="940"/>
        <v>0.7</v>
      </c>
      <c r="N209" s="103">
        <f t="shared" si="1038"/>
        <v>0.7</v>
      </c>
      <c r="O209" s="53">
        <f t="shared" si="1039"/>
        <v>0.08</v>
      </c>
      <c r="P209" s="99">
        <v>0.1</v>
      </c>
      <c r="Q209" s="133">
        <f t="shared" si="941"/>
        <v>0.1</v>
      </c>
      <c r="R209" s="406">
        <v>0.8</v>
      </c>
      <c r="S209" s="142" t="str">
        <f>各项系数!$D$43</f>
        <v>钢带</v>
      </c>
      <c r="T209" s="102">
        <v>0.2</v>
      </c>
      <c r="U209" s="62">
        <v>4</v>
      </c>
      <c r="V209" s="143"/>
      <c r="W209" s="141">
        <f>$W$201</f>
        <v>1.7</v>
      </c>
      <c r="X209" s="135">
        <f t="shared" si="942"/>
        <v>0.2</v>
      </c>
      <c r="Y209" s="135"/>
      <c r="Z209" s="168"/>
      <c r="AA209" s="153">
        <v>1</v>
      </c>
      <c r="AB209" s="153">
        <f>PI()*EJ209*EJ209/4*EH209*(1-H209)*AA209*各项系数!$F$5*各项系数!$J$4*10^-7</f>
        <v>3.3194719556349603E-2</v>
      </c>
      <c r="AC209" s="153">
        <f t="shared" si="886"/>
        <v>218.58841470644899</v>
      </c>
      <c r="AD209" s="153">
        <f t="shared" si="943"/>
        <v>3.7527027212948432</v>
      </c>
      <c r="AE209" s="153">
        <f>POWER(4*EU209/PI()/EG209/10^-7/EH209/(1-H209)/各项系数!$F$5/各项系数!$J$4,0.5)</f>
        <v>218.58841470644899</v>
      </c>
      <c r="AF209" s="69">
        <f>$AA$182</f>
        <v>1</v>
      </c>
      <c r="AG209" s="69">
        <f>IF(EM209=0,0,PI()*ER209*ER209/4*EP209*(1-K209)*(1+AF209)*各项系数!$F$5*各项系数!$J$4*10^-7)</f>
        <v>4.1303011377805829E-2</v>
      </c>
      <c r="AH209" s="69">
        <f t="shared" si="887"/>
        <v>172.412400708262</v>
      </c>
      <c r="AI209" s="69">
        <f t="shared" si="1000"/>
        <v>2.3346774015073013</v>
      </c>
      <c r="AJ209" s="69">
        <f>IF(OR(EP209="",EP209=0),0,POWER(4*EW209/PI()/EO209/10^-7/EP209/(1-K209)/各项系数!$F$5/各项系数!$J$4,0.5))</f>
        <v>172.41240070826197</v>
      </c>
      <c r="AK209" s="69">
        <f t="shared" si="944"/>
        <v>0.12023566435795172</v>
      </c>
      <c r="AL209" s="69">
        <f t="shared" si="888"/>
        <v>9.4100622887501917</v>
      </c>
      <c r="AM209" s="188">
        <f t="shared" si="889"/>
        <v>4</v>
      </c>
      <c r="AN209" s="97" t="s">
        <v>486</v>
      </c>
      <c r="AO209" s="196">
        <f>AP209+各项系数!$M$9*$NK209</f>
        <v>9.2255512634805807</v>
      </c>
      <c r="AP209" s="196">
        <f>AQ209*(1+$BI209+(VLOOKUP($AM209,$A$12:$B$323,2,0))+各项系数!$J$6+各项系数!$M$5)*(1+$E$2)</f>
        <v>9.1487118160038801</v>
      </c>
      <c r="AQ209" s="197">
        <f>AR209+各项系数!$L$9*$NK209</f>
        <v>9.3354202204121233</v>
      </c>
      <c r="AR209" s="197">
        <f>AS209*(1+$BJ209+各项系数!$J$5+各项系数!$L$5)</f>
        <v>9.2585807729354226</v>
      </c>
      <c r="AS209" s="197">
        <f t="shared" si="1001"/>
        <v>9.0770399734660998</v>
      </c>
      <c r="AT209" s="196">
        <f>AU209+各项系数!$M$9*$NM209</f>
        <v>9.7685900280762308</v>
      </c>
      <c r="AU209" s="196">
        <f>AV209*(1+$BI209+(VLOOKUP($AM209,$A$12:$B$323,2,0))+各项系数!$J$6+各项系数!$M$5)*(1+$E$2)</f>
        <v>9.6917505805995301</v>
      </c>
      <c r="AV209" s="197">
        <f>AW209+各项系数!$L$9*$NM209</f>
        <v>9.8895414087750311</v>
      </c>
      <c r="AW209" s="197">
        <f>AX209*(1+$BJ209+各项系数!$J$5+各项系数!$L$5)</f>
        <v>9.8127019612983304</v>
      </c>
      <c r="AX209" s="197">
        <f t="shared" si="1002"/>
        <v>9.6202960404885598</v>
      </c>
      <c r="AY209" s="196">
        <f>AZ209+各项系数!$M$9*$NS209</f>
        <v>10.060897116343213</v>
      </c>
      <c r="AZ209" s="196">
        <f>BA209*(1+$BI209+(VLOOKUP($AM209,$A$12:$B$214,2,0))+各项系数!$J$6+各项系数!$M$5)*(1+$E$2)</f>
        <v>9.9804310113896229</v>
      </c>
      <c r="BA209" s="197">
        <f>BB209+各项系数!$L$9*$NS209</f>
        <v>10.184113276928187</v>
      </c>
      <c r="BB209" s="197">
        <f>BC209*(1+$BJ209+各项系数!$J$5+各项系数!$L$5)</f>
        <v>10.103647171974597</v>
      </c>
      <c r="BC209" s="199">
        <f t="shared" si="1003"/>
        <v>9.90553644311235</v>
      </c>
      <c r="BD209" s="196">
        <f>BE209+各项系数!$M$9*$NS209</f>
        <v>10.61239239130702</v>
      </c>
      <c r="BE209" s="196">
        <f>BF209*(1+$BI209+(VLOOKUP($AM209,$A$12:$B$214,2,0))+各项系数!$J$6+各项系数!$M$5)*(1+$E$2)</f>
        <v>10.53192628635343</v>
      </c>
      <c r="BF209" s="197">
        <f>BG209+各项系数!$L$9*$NS209</f>
        <v>10.746863557503501</v>
      </c>
      <c r="BG209" s="197">
        <f>BH209*(1+$BJ209+各项系数!$J$5+各项系数!$L$5)</f>
        <v>10.66639745254991</v>
      </c>
      <c r="BH209" s="199">
        <f t="shared" si="1004"/>
        <v>10.457252404460696</v>
      </c>
      <c r="BI209" s="213"/>
      <c r="BJ209" s="208">
        <f>$BJ$199</f>
        <v>0</v>
      </c>
      <c r="BK209" s="102" t="s">
        <v>514</v>
      </c>
      <c r="BL209" s="196">
        <f>BM209+各项系数!$M$9*$NM209</f>
        <v>9.3955206402313163</v>
      </c>
      <c r="BM209" s="196">
        <f>BN209*(1+$CF209+(VLOOKUP($AM209,$A$12:$B$323,2,0))+各项系数!$J$6+各项系数!$M$5)*(1+$E$2)</f>
        <v>9.3186811927546156</v>
      </c>
      <c r="BN209" s="197">
        <f>BO209+各项系数!$L$9*$NM209</f>
        <v>9.50885835995369</v>
      </c>
      <c r="BO209" s="197">
        <f>BP209*(1+$CG209+各项系数!$J$5+各项系数!$L$5)</f>
        <v>9.4320189124769893</v>
      </c>
      <c r="BP209" s="197">
        <f t="shared" si="1005"/>
        <v>9.1572999150262024</v>
      </c>
      <c r="BQ209" s="196">
        <f>BR209+各项系数!$M$9*$NM209</f>
        <v>9.8628689292730201</v>
      </c>
      <c r="BR209" s="196">
        <f>BS209*(1+$CF209+(VLOOKUP($AM209,$A$12:$B$323,2,0))+各项系数!$J$6+各项系数!$M$5)*(1+$E$2)</f>
        <v>9.7860294817963194</v>
      </c>
      <c r="BS209" s="197">
        <f>BT209+各项系数!$L$9*$NM209</f>
        <v>9.9857443691799173</v>
      </c>
      <c r="BT209" s="197">
        <f>BU209*(1+$CG209+各项系数!$J$5+各项系数!$L$5)</f>
        <v>9.9089049217032166</v>
      </c>
      <c r="BU209" s="197">
        <f t="shared" si="1006"/>
        <v>9.6202960404885598</v>
      </c>
      <c r="BV209" s="196">
        <f>BW209+各项系数!$M$9*$NT209</f>
        <v>10.169488713093521</v>
      </c>
      <c r="BW209" s="196">
        <f>BX209*(1+$CF209+(VLOOKUP($AM209,$A$12:$B$214,2,0))+各项系数!$J$6+各项系数!$M$5)*(1+$E$2)</f>
        <v>10.089022608139931</v>
      </c>
      <c r="BX209" s="197">
        <f>BY209+各项系数!$L$9*$NT$12</f>
        <v>10.294921028714215</v>
      </c>
      <c r="BY209" s="197">
        <f>BZ209*(1+$CG209+各项系数!$J$5+各项系数!$L$5)</f>
        <v>10.286657625559242</v>
      </c>
      <c r="BZ209" s="199">
        <f t="shared" si="945"/>
        <v>9.9870462384070304</v>
      </c>
      <c r="CA209" s="196">
        <f>CB209+各项系数!$M$9*$NT209</f>
        <v>10.644114817108091</v>
      </c>
      <c r="CB209" s="196">
        <f>CC209*(1+$CF209+(VLOOKUP($AM209,$A$12:$B$214,2,0))+各项系数!$J$6+各项系数!$M$5)*(1+$E$2)</f>
        <v>10.563648712154501</v>
      </c>
      <c r="CC209" s="197">
        <f>CD209+各项系数!$L$9*$NT$12</f>
        <v>10.779233379749492</v>
      </c>
      <c r="CD209" s="197">
        <f>CE209*(1+$CG209+各项系数!$J$5+各项系数!$L$5)</f>
        <v>10.770969976594518</v>
      </c>
      <c r="CE209" s="199">
        <f t="shared" si="1007"/>
        <v>10.457252404460696</v>
      </c>
      <c r="CF209" s="213">
        <f t="shared" si="884"/>
        <v>0</v>
      </c>
      <c r="CG209" s="213">
        <f t="shared" si="946"/>
        <v>0.01</v>
      </c>
      <c r="CH209" s="102"/>
      <c r="CI209" s="196">
        <f>CJ209+各项系数!$M$9*$NO209</f>
        <v>9.9820859950146232</v>
      </c>
      <c r="CJ209" s="196">
        <f>CK209*(1+$DC209+(VLOOKUP($AM209,$A$12:$B$323,2,0))+各项系数!$J$6+各项系数!$M$5)*(1+$E$2)+各项系数!$M$9*$NK209</f>
        <v>9.8672572033172585</v>
      </c>
      <c r="CK209" s="197">
        <f>CL209+各项系数!$L$9*$NO209</f>
        <v>9.9902221998373033</v>
      </c>
      <c r="CL209" s="197">
        <f>CM209*(1+$DD209+各项系数!$J$5+各项系数!$L$5)</f>
        <v>9.8753934081399386</v>
      </c>
      <c r="CM209" s="197">
        <f t="shared" si="947"/>
        <v>9.6817582432744498</v>
      </c>
      <c r="CN209" s="196">
        <f>CO209+各项系数!$M$9*$NO209</f>
        <v>10.40674848771552</v>
      </c>
      <c r="CO209" s="196">
        <f>CP209*(1+$DC209+(VLOOKUP($AM209,$A$12:$B$323,2,0))+各项系数!$J$6+各项系数!$M$5)*(1+$E$2)+各项系数!$M$9*$NK209</f>
        <v>10.291919696018155</v>
      </c>
      <c r="CP209" s="197">
        <f>CQ209+各项系数!$L$9*$NO209</f>
        <v>10.423551274021893</v>
      </c>
      <c r="CQ209" s="197">
        <f>CR209*(1+$DD209+各项系数!$J$5+各项系数!$L$5)</f>
        <v>10.308722482324528</v>
      </c>
      <c r="CR209" s="197">
        <f t="shared" si="948"/>
        <v>10.106590668945616</v>
      </c>
      <c r="CS209" s="196">
        <f>CT209+各项系数!$M$9*$NU209</f>
        <v>10.88473102741489</v>
      </c>
      <c r="CT209" s="196">
        <f t="shared" si="949"/>
        <v>10.765640298470638</v>
      </c>
      <c r="CU209" s="197">
        <f>CV209+各项系数!$L$9*$NU209</f>
        <v>10.985347243337385</v>
      </c>
      <c r="CV209" s="197">
        <f>CW209*(1+$DD209+各项系数!$J$5+各项系数!$L$5)</f>
        <v>10.866256514393132</v>
      </c>
      <c r="CW209" s="199">
        <f t="shared" si="950"/>
        <v>10.653192661169738</v>
      </c>
      <c r="CX209" s="196">
        <f>CY209+各项系数!$M$9*$NU209</f>
        <v>11.516351738116981</v>
      </c>
      <c r="CY209" s="196">
        <f t="shared" si="951"/>
        <v>11.397261009172729</v>
      </c>
      <c r="CZ209" s="197">
        <f>DA209+各项系数!$L$9*$NU209</f>
        <v>11.629858172625234</v>
      </c>
      <c r="DA209" s="197">
        <f>DB209*(1+$DD209+各项系数!$J$5+各项系数!$L$5)</f>
        <v>11.510767443680981</v>
      </c>
      <c r="DB209" s="199">
        <f t="shared" si="952"/>
        <v>11.285066121255865</v>
      </c>
      <c r="DC209" s="213">
        <f t="shared" ref="DC209:DC214" si="1040">BI209+$DC$2</f>
        <v>0</v>
      </c>
      <c r="DD209" s="213">
        <f t="shared" si="953"/>
        <v>0</v>
      </c>
      <c r="DE209" s="53" t="s">
        <v>498</v>
      </c>
      <c r="DF209" s="53" t="s">
        <v>513</v>
      </c>
      <c r="DG209" s="196">
        <f>DH209+各项系数!$M$9*$NQ209</f>
        <v>10.16993529316748</v>
      </c>
      <c r="DH209" s="196">
        <f>DI209*(1+$EA209+(VLOOKUP($AM209,$A$12:$B$323,2,0))+各项系数!$J$6+各项系数!$M$5)*(1+$E$2)+各项系数!$M$9*$NK209</f>
        <v>10.055106501470116</v>
      </c>
      <c r="DI209" s="197">
        <f>DJ209+各项系数!$L$9*$NQ209</f>
        <v>10.181905157136137</v>
      </c>
      <c r="DJ209" s="197">
        <f>DK209*(1+$EB209+各项系数!$J$5+各项系数!$L$5)</f>
        <v>10.067076365438773</v>
      </c>
      <c r="DK209" s="197">
        <f t="shared" si="954"/>
        <v>9.7738605489696813</v>
      </c>
      <c r="DL209" s="196">
        <f>DM209+各项系数!$M$9*$NQ209</f>
        <v>10.706240879077098</v>
      </c>
      <c r="DM209" s="196">
        <f>DN209*(1+$EA209+(VLOOKUP($AM209,$A$12:$B$323,2,0))+各项系数!$J$6+各项系数!$M$5)*(1+$E$2)+各项系数!$M$9*$NK209</f>
        <v>10.591412087379734</v>
      </c>
      <c r="DN209" s="197">
        <f>DO209+各项系数!$L$9*$NQ209</f>
        <v>10.729155755003095</v>
      </c>
      <c r="DO209" s="197">
        <f>DP209*(1+$EB209+各项系数!$J$5+各项系数!$L$5)</f>
        <v>10.61432696330573</v>
      </c>
      <c r="DP209" s="197">
        <f t="shared" si="955"/>
        <v>10.30517180903469</v>
      </c>
      <c r="DQ209" s="196">
        <f>DR209+各项系数!$M$9*$NV209</f>
        <v>11.083361985222803</v>
      </c>
      <c r="DR209" s="196">
        <f t="shared" si="956"/>
        <v>10.96427125627855</v>
      </c>
      <c r="DS209" s="197">
        <f>DT209+各项系数!$L$9*$NV209</f>
        <v>11.188031894161787</v>
      </c>
      <c r="DT209" s="197">
        <f>DU209*(1+$EB209+各项系数!$J$5+各项系数!$L$5)</f>
        <v>11.068941165217534</v>
      </c>
      <c r="DU209" s="199">
        <f t="shared" si="957"/>
        <v>10.746544820599548</v>
      </c>
      <c r="DV209" s="196">
        <f>DW209+各项系数!$M$9*$NV209</f>
        <v>11.237364392998378</v>
      </c>
      <c r="DW209" s="196">
        <f t="shared" si="958"/>
        <v>11.118273664054126</v>
      </c>
      <c r="DX209" s="197">
        <f>DY209+各项系数!$L$9*$NV209</f>
        <v>11.345177208218496</v>
      </c>
      <c r="DY209" s="197">
        <f>DZ209*(1+$EB209+各项系数!$J$5+各项系数!$L$5)</f>
        <v>11.226086479274244</v>
      </c>
      <c r="DZ209" s="199">
        <f t="shared" si="959"/>
        <v>10.899113086674022</v>
      </c>
      <c r="EA209" s="213">
        <f t="shared" si="826"/>
        <v>0</v>
      </c>
      <c r="EB209" s="213">
        <f t="shared" si="960"/>
        <v>0.01</v>
      </c>
      <c r="EC209" s="235" t="str">
        <f t="shared" si="1008"/>
        <v>3+1</v>
      </c>
      <c r="ED209" s="235" t="str">
        <f t="shared" si="890"/>
        <v>3*4</v>
      </c>
      <c r="EE209" s="189">
        <f t="shared" si="891"/>
        <v>4</v>
      </c>
      <c r="EF209" s="189">
        <f>LOOKUP(EH209,{1,7,10,14,19,24,30,37,48,61},{1,"1+6","2+8","4+10","1+6+12","2+8+14","4+10+16","1+6+12+18","3+9+15+21","1+6+12+18+24"})</f>
        <v>1</v>
      </c>
      <c r="EG209" s="188">
        <f t="shared" si="961"/>
        <v>3</v>
      </c>
      <c r="EH209" s="197">
        <f>VLOOKUP(EE209,各项系数!$B$87:$C$124,2,0)</f>
        <v>1</v>
      </c>
      <c r="EI209" s="188">
        <f>IF(EH209=0,0,VLOOKUP(EH209,各项系数!$D$142:$E$195,2,0))*1</f>
        <v>1</v>
      </c>
      <c r="EJ209" s="238">
        <f t="shared" si="1009"/>
        <v>218.58841470644899</v>
      </c>
      <c r="EK209" s="189" t="str">
        <f t="shared" si="892"/>
        <v>1*2.5</v>
      </c>
      <c r="EL209" s="189" t="str">
        <f t="shared" si="962"/>
        <v>2.5</v>
      </c>
      <c r="EM209" s="189">
        <f t="shared" si="893"/>
        <v>2.5</v>
      </c>
      <c r="EN209" s="189">
        <f>IF(EP209=0,0,LOOKUP(EP209,{1,7,10,14,19,24,30,37,48,61},{1,"1+6","2+8","4+10","1+6+12","2+8+14","4+10+16","1+6+12+18","3+9+15+21","1+6+12+18+24"}))</f>
        <v>1</v>
      </c>
      <c r="EO209" s="189" t="str">
        <f t="shared" si="894"/>
        <v>1</v>
      </c>
      <c r="EP209" s="189">
        <f>IF(EM209=0,0,IF(EM209&lt;10,1,IF(AND(EM209&gt;=10,EM209&lt;=35),7,LOOKUP(EM209,{50,70,95,120,150,185,240,300},{10,14,19,24,30,37,48,61})*1)))</f>
        <v>1</v>
      </c>
      <c r="EQ209" s="189">
        <f>IF(EP209=0,0,VLOOKUP(EP209,各项系数!$D$142:$E$195,2,0))*1</f>
        <v>1</v>
      </c>
      <c r="ER209" s="53">
        <f t="shared" si="895"/>
        <v>172.412400708262</v>
      </c>
      <c r="ES209" s="412">
        <f t="shared" si="896"/>
        <v>4</v>
      </c>
      <c r="ET209" s="189">
        <f>VLOOKUP(ES209,各项系数!$D$142:$E$195,2,0)*1</f>
        <v>2.42</v>
      </c>
      <c r="EU209" s="243">
        <f>((各项系数!$F$76/4*$EJ209^2*$EG209*$EH209*1*10^-7)*(1-$H209)*AA209)*(VLOOKUP($EY$9,各项系数!$D$4:$F$143,3,0))*各项系数!$J$4</f>
        <v>9.9584158669048795E-2</v>
      </c>
      <c r="EV209" s="244">
        <f>EU209*(VLOOKUP($EY$9,各项系数!$D$4:$F$143,2,0))</f>
        <v>6.5227623928226963</v>
      </c>
      <c r="EW209" s="252">
        <f>(IF($EO209=0,0,(各项系数!$F$76/4*$ER209^2*$EO209*$EP209*1*10^-7))*(1-$K209)*$AF209)*(VLOOKUP($EY$9,各项系数!$D$4:$F$143,3,0))*各项系数!$J$4</f>
        <v>2.0651505688902914E-2</v>
      </c>
      <c r="EX209" s="253">
        <f>EW209*(VLOOKUP($EY$9,各项系数!$D$4:$F$143,2,0))</f>
        <v>1.3526736226231408</v>
      </c>
      <c r="EY209" s="189">
        <f>((各项系数!$F$76/4*$EJ209^2*$EG209*$EH209*1*10^-7)*(1-$H209)*AA209+IF($EO209=0,0,(各项系数!$F$76/4*$ER209^2*$EO209*$EP209*1*10^-7))*(1-$K209)*$AF209)*(VLOOKUP($EY$9,各项系数!$D$4:$F$143,3,0))*各项系数!$J$4</f>
        <v>0.12023566435795172</v>
      </c>
      <c r="EZ209" s="102">
        <v>1</v>
      </c>
      <c r="FA209" s="189">
        <f t="shared" si="897"/>
        <v>0.12023566435795172</v>
      </c>
      <c r="FB209" s="254">
        <f>FA209*(VLOOKUP($EY$9,各项系数!$D$4:$F$143,2,0))</f>
        <v>7.8754360154458372</v>
      </c>
      <c r="FC209" s="255"/>
      <c r="FD209" s="235">
        <f>各项系数!$F$76/4*($MN209^2-MK209^2)*10^-2*(VLOOKUP(L209,各项系数!$D$1:$F$143,3,0))*10^-3*10^2*$EG209*各项系数!$J$4</f>
        <v>2.0838373900638456E-2</v>
      </c>
      <c r="FE209" s="262">
        <f>FD209*VLOOKUP(L209,各项系数!$D$1:$F$143,2,0)</f>
        <v>0.23964129985734225</v>
      </c>
      <c r="FF209" s="188">
        <f>各项系数!$F$76/4*($MO209^2-ML209^2)*10^-2*(VLOOKUP(L209,各项系数!$D$1:$F$143,3,0))*10^-3*10^2*$EO209*各项系数!$J$4</f>
        <v>5.8346997303201833E-3</v>
      </c>
      <c r="FG209" s="262">
        <f>FF209*VLOOKUP(L209,各项系数!$D$1:$F$143,2,0)</f>
        <v>6.709904689868211E-2</v>
      </c>
      <c r="FH209" s="235">
        <f t="shared" si="1010"/>
        <v>2.6673073630958638E-2</v>
      </c>
      <c r="FI209" s="102">
        <v>1</v>
      </c>
      <c r="FJ209" s="189">
        <f t="shared" si="898"/>
        <v>2.6673073630958638E-2</v>
      </c>
      <c r="FK209" s="262">
        <f>FJ209*VLOOKUP(L209,各项系数!$D$1:$F$143,2,0)</f>
        <v>0.30674034675602435</v>
      </c>
      <c r="FL209" s="235"/>
      <c r="FM209" s="102"/>
      <c r="FN209" s="189"/>
      <c r="FO209" s="262"/>
      <c r="FP209" s="282">
        <f t="shared" si="899"/>
        <v>2.6673073630958638E-2</v>
      </c>
      <c r="FQ209" s="282">
        <f t="shared" si="900"/>
        <v>0.30674034675602435</v>
      </c>
      <c r="FR209" s="283">
        <f>各项系数!$F$76/4*($MQ209^2-$MN209^2*$EG209-$MO209^2*$EO209)*10^-2</f>
        <v>0.17434686321463794</v>
      </c>
      <c r="FS209" s="284">
        <f t="shared" si="1011"/>
        <v>1</v>
      </c>
      <c r="FT209" s="285">
        <f t="shared" si="963"/>
        <v>0.17434686321463794</v>
      </c>
      <c r="FU209" s="302">
        <f>$FT209*(VLOOKUP($FT$9,各项系数!$D$1:$F$143,3,0))*10^-3*10^2*各项系数!$J$55</f>
        <v>2.0817015467827767E-2</v>
      </c>
      <c r="FV209" s="303">
        <v>1</v>
      </c>
      <c r="FW209" s="304">
        <f t="shared" si="901"/>
        <v>2.0817015467827767E-2</v>
      </c>
      <c r="FX209" s="285">
        <f>FW209*(VLOOKUP($FT$9,各项系数!$D$1:$F$143,2,0))</f>
        <v>6.2451046403483298E-2</v>
      </c>
      <c r="FY209" s="302">
        <f>IF($BK209&lt;&gt;$FY$9,0,各项系数!$F$76/4*($MS209^2-$MQ209^2)*10^-2*(VLOOKUP($FY$9,各项系数!$D$1:$F$143,3,0))*10^-3*10^2)*各项系数!$J$4</f>
        <v>0</v>
      </c>
      <c r="FZ209" s="303">
        <v>1</v>
      </c>
      <c r="GA209" s="304">
        <f t="shared" si="902"/>
        <v>0</v>
      </c>
      <c r="GB209" s="285">
        <f>GA209*(VLOOKUP($FY$9,各项系数!$D$1:$F$143,2,0))</f>
        <v>0</v>
      </c>
      <c r="GC209" s="302">
        <f>IF($BK209&lt;&gt;$GC$9,0,各项系数!$F$76/4*($MS209^2-$MQ209^2)*10^-2*(VLOOKUP($GC$9,各项系数!$D$1:$F$143,3,0))*10^-3*10^2)*各项系数!$J$4</f>
        <v>2.3110968418398065E-3</v>
      </c>
      <c r="GD209" s="303">
        <v>1</v>
      </c>
      <c r="GE209" s="304">
        <f t="shared" si="903"/>
        <v>2.3110968418398065E-3</v>
      </c>
      <c r="GF209" s="285">
        <f>GE209*(VLOOKUP($GC$9,各项系数!$D$1:$F$143,2,0))</f>
        <v>2.9813149259733506E-2</v>
      </c>
      <c r="GG209" s="302">
        <f>IF($BK209&lt;&gt;$GG$9,0,各项系数!$F$76/4*($MS209^2-$MQ209^2)*10^-2*(VLOOKUP($GG$9,各项系数!$D$1:$F$143,3,0))*10^-3*10^2)*各项系数!$J$4</f>
        <v>0</v>
      </c>
      <c r="GH209" s="303">
        <v>1</v>
      </c>
      <c r="GI209" s="304">
        <f t="shared" si="904"/>
        <v>0</v>
      </c>
      <c r="GJ209" s="285">
        <f>GI209*(VLOOKUP($GG$9,各项系数!$D$1:$F$143,2,0))</f>
        <v>0</v>
      </c>
      <c r="GK209" s="302">
        <f>IF($BK209&lt;&gt;$GK$9,0,各项系数!$F$76/4*($MS209^2-$MQ209^2)*10^-2*(VLOOKUP($GK$9,各项系数!$D$1:$F$143,3,0))*10^-3*10^2)*各项系数!$J$4</f>
        <v>0</v>
      </c>
      <c r="GL209" s="303">
        <v>1</v>
      </c>
      <c r="GM209" s="304">
        <f t="shared" si="905"/>
        <v>0</v>
      </c>
      <c r="GN209" s="285">
        <f>GM209*(VLOOKUP($GK$9,各项系数!$D$1:$F$143,2,0))</f>
        <v>0</v>
      </c>
      <c r="GO209" s="304">
        <f t="shared" si="906"/>
        <v>2.3110968418398065E-3</v>
      </c>
      <c r="GP209" s="304">
        <f t="shared" si="907"/>
        <v>2.9813149259733506E-2</v>
      </c>
      <c r="GQ209" s="315">
        <f>各项系数!$F$76/4*($MU209^2-$MS209^2)*10^-2*(VLOOKUP($S209,各项系数!$D$1:$F$143,3,0))*10^-3*10^2*各项系数!$J$4</f>
        <v>0.13455881911038028</v>
      </c>
      <c r="GR209" s="303">
        <v>1</v>
      </c>
      <c r="GS209" s="304">
        <f t="shared" si="908"/>
        <v>0.13455881911038028</v>
      </c>
      <c r="GT209" s="304">
        <f t="shared" si="909"/>
        <v>1</v>
      </c>
      <c r="GU209" s="304">
        <f>ROUND($GS209*(VLOOKUP($S209,各项系数!$D$1:$F$143,2,0))+$E$3*GS209,GT209)</f>
        <v>0.8</v>
      </c>
      <c r="GV209" s="315">
        <f>各项系数!$F$76/4*($MT209^2-$MS209^2)*10^-2*(VLOOKUP($GV$9,各项系数!$D$1:$F$143,3,0))*10^-3*10^2*各项系数!$J$4*PI()/4*R209</f>
        <v>1.2088858256303214E-2</v>
      </c>
      <c r="GW209" s="303">
        <v>1</v>
      </c>
      <c r="GX209" s="304">
        <f t="shared" si="910"/>
        <v>1.2088858256303214E-2</v>
      </c>
      <c r="GY209" s="304">
        <f>$GX209*(VLOOKUP($GV$9,各项系数!$D$1:$F$143,2,0))</f>
        <v>0.81599793230046691</v>
      </c>
      <c r="GZ209" s="315">
        <f>各项系数!$F$76/4*($MV209^2-$MS209^2)*10^-2*(VLOOKUP($GZ$9,各项系数!$D$1:$F$143,3,0))*10^-3*10^2*各项系数!$J$4</f>
        <v>7.9167969566087126E-2</v>
      </c>
      <c r="HA209" s="303">
        <v>1</v>
      </c>
      <c r="HB209" s="304">
        <f t="shared" si="1012"/>
        <v>7.9167969566087126E-2</v>
      </c>
      <c r="HC209" s="304">
        <f>HB209*(VLOOKUP($GZ$9,各项系数!$D$1:$F$143,2,0))</f>
        <v>1.3458554826234812</v>
      </c>
      <c r="HD209" s="315">
        <f>各项系数!$F$76/4*($MW209^2-$MT209^2)*10^-2*(VLOOKUP($HD$9,各项系数!$D$1:$F$143,3,0))*10^-3*10^2*各项系数!$J$4</f>
        <v>8.0400818487950054E-2</v>
      </c>
      <c r="HE209" s="303">
        <v>1</v>
      </c>
      <c r="HF209" s="304">
        <f t="shared" si="1013"/>
        <v>8.0400818487950054E-2</v>
      </c>
      <c r="HG209" s="304">
        <f>HF209*(VLOOKUP($HD$9,各项系数!$D$1:$F$143,2,0))</f>
        <v>1.366813914295151</v>
      </c>
      <c r="HH209" s="315">
        <f>各项系数!$F$76/4*($MV209^2-$MS209^2)*10^-2*(VLOOKUP($HH$9,各项系数!$D$1:$F$143,3,0))*10^-3*10^2*各项系数!$J$4</f>
        <v>7.9167969566087126E-2</v>
      </c>
      <c r="HI209" s="322">
        <v>1</v>
      </c>
      <c r="HJ209" s="304">
        <f t="shared" si="1014"/>
        <v>7.9167969566087126E-2</v>
      </c>
      <c r="HK209" s="304">
        <f>HJ209*(VLOOKUP($HH$9,各项系数!$D$1:$F$143,2,0))</f>
        <v>1.3458554826234812</v>
      </c>
      <c r="HL209" s="315">
        <f>各项系数!$F$76/4*($MW209^2-$MT209^2)*10^-2*(VLOOKUP($HL$9,各项系数!$D$1:$F$143,3,0))*10^-3*10^2*各项系数!$J$4</f>
        <v>8.0400818487950054E-2</v>
      </c>
      <c r="HM209" s="322">
        <v>1</v>
      </c>
      <c r="HN209" s="304">
        <f t="shared" si="964"/>
        <v>8.0400818487950054E-2</v>
      </c>
      <c r="HO209" s="304">
        <f>HN209*(VLOOKUP($HL$9,各项系数!$D$1:$F$143,2,0))</f>
        <v>1.366813914295151</v>
      </c>
      <c r="HP209" s="315">
        <f>各项系数!$F$76/4*($MV209^2-$MS209^2)*10^-2*(VLOOKUP(AN209,各项系数!$D$1:$F$143,3,0))*10^-3*10^2*各项系数!$J$4</f>
        <v>8.0259941560102119E-2</v>
      </c>
      <c r="HQ209" s="303">
        <v>1</v>
      </c>
      <c r="HR209" s="304">
        <f t="shared" si="911"/>
        <v>8.0259941560102119E-2</v>
      </c>
      <c r="HS209" s="304">
        <f>HR209*(VLOOKUP(AN209,各项系数!$D$1:$F$143,2,0))</f>
        <v>0.80259941560102122</v>
      </c>
      <c r="HT209" s="315">
        <f>各项系数!$F$76/4*($MW209^2-$MT209^2)*10^-2*(VLOOKUP(AN209,各项系数!$D$1:$F$143,3,0))*10^-3*10^2*各项系数!$J$4</f>
        <v>8.1509795294680401E-2</v>
      </c>
      <c r="HU209" s="303">
        <v>1</v>
      </c>
      <c r="HV209" s="304">
        <f t="shared" si="912"/>
        <v>8.1509795294680401E-2</v>
      </c>
      <c r="HW209" s="304">
        <f>HV209*(VLOOKUP(AN209,各项系数!$D$1:$F$143,2,0))</f>
        <v>0.81509795294680398</v>
      </c>
      <c r="HX209" s="315">
        <f>各项系数!$F$76/4*($MV209^2-$MS209^2)*10^-2*(VLOOKUP($HX$9,各项系数!$D$1:$F$143,3,0))*10^-3*10^2*各项系数!$J$4</f>
        <v>8.0259941560102119E-2</v>
      </c>
      <c r="HY209" s="322">
        <v>1</v>
      </c>
      <c r="HZ209" s="304">
        <f t="shared" si="913"/>
        <v>8.0259941560102119E-2</v>
      </c>
      <c r="IA209" s="304">
        <f>HZ209*(VLOOKUP($HX$9,各项系数!$D$1:$F$143,2,0))</f>
        <v>0.88285935716112329</v>
      </c>
      <c r="IB209" s="315">
        <f>各项系数!$F$76/4*($MW209^2-$MT209^2)*10^-2*(VLOOKUP($IB$9,各项系数!$D$1:$F$143,3,0))*10^-3*10^2*各项系数!$J$4</f>
        <v>8.1509795294680401E-2</v>
      </c>
      <c r="IC209" s="322">
        <v>1</v>
      </c>
      <c r="ID209" s="304">
        <f t="shared" si="914"/>
        <v>8.1509795294680401E-2</v>
      </c>
      <c r="IE209" s="304">
        <f>ID209*(VLOOKUP($IB$9,各项系数!$D$1:$F$143,2,0))</f>
        <v>0.89660774824148437</v>
      </c>
      <c r="IF209" s="328"/>
      <c r="IG209" s="315">
        <f t="shared" si="1015"/>
        <v>1.3337522938129018E-2</v>
      </c>
      <c r="IH209" s="303">
        <v>1</v>
      </c>
      <c r="II209" s="304">
        <f t="shared" si="915"/>
        <v>1.3337522938129018E-2</v>
      </c>
      <c r="IJ209" s="304">
        <f>II209*(VLOOKUP($IG$8,各项系数!$D$1:$F$143,2,0))</f>
        <v>0.33343807345322546</v>
      </c>
      <c r="IK209" s="315">
        <f>(各项系数!$F$76/4*($MX209^2-$MK209^2)*$EG209)*10^-2*(VLOOKUP($IG$8,各项系数!$D$1:$F$143,3,0))*10^-3*10^2*各项系数!$J$4</f>
        <v>1.0490292728638292E-2</v>
      </c>
      <c r="IL209" s="303">
        <f>IK209*(VLOOKUP($IG$8,各项系数!$D$1:$F$143,2,0))</f>
        <v>0.26225731821595732</v>
      </c>
      <c r="IM209" s="304">
        <f>(各项系数!$F$76/4*(($MM209+3*$X209)^2-MM209^2)*$EO209)*10^-2*(VLOOKUP($IG$8,各项系数!$D$1:$F$143,3,0))*10^-3*10^2*各项系数!$J$4</f>
        <v>2.8472302094907256E-3</v>
      </c>
      <c r="IN209" s="303">
        <f>IM209*(VLOOKUP($IG$8,各项系数!$D$1:$F$143,2,0))</f>
        <v>7.1180755237268134E-2</v>
      </c>
      <c r="IO209" s="315">
        <f>各项系数!$F$76/4*($MZ209^2-$MX209^2)*10^-2*(VLOOKUP(L209,各项系数!$D$1:$F$143,3,0))*10^-3*10^2*$ES209*各项系数!$J$4</f>
        <v>3.3561133441899357E-2</v>
      </c>
      <c r="IP209" s="303">
        <v>1</v>
      </c>
      <c r="IQ209" s="304">
        <f t="shared" si="916"/>
        <v>3.3561133441899357E-2</v>
      </c>
      <c r="IR209" s="285">
        <f>IQ209*(VLOOKUP(L209,各项系数!$D$1:$F$143,2,0))</f>
        <v>0.3859530345818426</v>
      </c>
      <c r="IS209" s="315">
        <f>IF($L209&lt;&gt;$IS$9,0,各项系数!$F$76/4*($MZ209^2-$MX209^2)*10^-2*各项系数!$F$12*10^-3*10^2)*$ES209*各项系数!$J$4</f>
        <v>0</v>
      </c>
      <c r="IT209" s="303">
        <v>1</v>
      </c>
      <c r="IU209" s="304">
        <f t="shared" si="917"/>
        <v>0</v>
      </c>
      <c r="IV209" s="285">
        <f>IU209*各项系数!$E$12</f>
        <v>0</v>
      </c>
      <c r="IW209" s="302">
        <f t="shared" si="918"/>
        <v>3.3561133441899357E-2</v>
      </c>
      <c r="IX209" s="302">
        <f t="shared" si="919"/>
        <v>0.3859530345818426</v>
      </c>
      <c r="IY209" s="339">
        <f>各项系数!$F$76/4*($NB209^2-$MZ209^2*$EG209-$NA209^2*$EO209)*10^-2</f>
        <v>0.2403151485223006</v>
      </c>
      <c r="IZ209" s="284">
        <f t="shared" si="697"/>
        <v>1</v>
      </c>
      <c r="JA209" s="285">
        <f t="shared" si="965"/>
        <v>0.2403151485223006</v>
      </c>
      <c r="JB209" s="282">
        <f>IF($DE209&lt;&gt;$JB$9,0,$JA209*各项系数!$F$32*10^-3*10^2)*各项系数!$J$4</f>
        <v>0</v>
      </c>
      <c r="JC209" s="102">
        <v>1</v>
      </c>
      <c r="JD209" s="189">
        <f t="shared" si="920"/>
        <v>0</v>
      </c>
      <c r="JE209" s="262">
        <f>JD209*各项系数!$E$32</f>
        <v>0</v>
      </c>
      <c r="JF209" s="282">
        <f>IF($DE209&lt;&gt;$JF$9,0,$JA209*VLOOKUP($JF$9,各项系数!$D$4:$F$540,2,0)*10^-3*10^2)*各项系数!$J$4</f>
        <v>0.11955678638984454</v>
      </c>
      <c r="JG209" s="102">
        <v>1</v>
      </c>
      <c r="JH209" s="189">
        <f t="shared" si="966"/>
        <v>0.11955678638984454</v>
      </c>
      <c r="JI209" s="262">
        <f>JH209*VLOOKUP($JF$9,各项系数!$D$4:$F$540,3,0)</f>
        <v>0.14346814366781344</v>
      </c>
      <c r="JJ209" s="282">
        <f t="shared" si="921"/>
        <v>0.11955678638984454</v>
      </c>
      <c r="JK209" s="189">
        <f t="shared" si="922"/>
        <v>0.14346814366781344</v>
      </c>
      <c r="JL209" s="282">
        <f>IF($DF209&lt;&gt;$JL$9,0,各项系数!$F$76/4*($NE209^2-$NC209^2)*10^-2*各项系数!$F$39*10^-3*10^2)*各项系数!$J$4</f>
        <v>1.121995958670877E-3</v>
      </c>
      <c r="JM209" s="102">
        <v>1</v>
      </c>
      <c r="JN209" s="189">
        <f t="shared" si="923"/>
        <v>1.121995958670877E-3</v>
      </c>
      <c r="JO209" s="262">
        <f>JN209*各项系数!$E$39</f>
        <v>2.243991917341754E-2</v>
      </c>
      <c r="JP209" s="282">
        <f>IF($DF209&lt;&gt;$JP$9,0,各项系数!$F$76/4*($NE209^2-$NC209^2)*10^-2*各项系数!$F$36*10^-3*10^2)*各项系数!$J$4</f>
        <v>0</v>
      </c>
      <c r="JQ209" s="102">
        <v>1</v>
      </c>
      <c r="JR209" s="189">
        <f t="shared" si="924"/>
        <v>0</v>
      </c>
      <c r="JS209" s="262">
        <f>JR209*各项系数!$E$36</f>
        <v>0</v>
      </c>
      <c r="JT209" s="282">
        <f>IF($DF209&lt;&gt;$JT$9,0,各项系数!$F$76/4*($NE209^2-$NC209^2)*10^-2*各项系数!$F$40*10^-3*10^2)*各项系数!$J$4</f>
        <v>0</v>
      </c>
      <c r="JU209" s="102">
        <v>1</v>
      </c>
      <c r="JV209" s="189">
        <f t="shared" si="925"/>
        <v>0</v>
      </c>
      <c r="JW209" s="262">
        <f>JV209*各项系数!$E$40</f>
        <v>0</v>
      </c>
      <c r="JX209" s="282">
        <f>IF($DF209&lt;&gt;$JX$9,0,各项系数!$F$76/4*($NE209^2-$NC209^2)*10^-2*各项系数!$F$38*10^-3*10^2)*各项系数!$J$4</f>
        <v>0</v>
      </c>
      <c r="JY209" s="102">
        <v>1</v>
      </c>
      <c r="JZ209" s="189">
        <f t="shared" si="926"/>
        <v>0</v>
      </c>
      <c r="KA209" s="262">
        <f>JZ209*各项系数!$E$38</f>
        <v>0</v>
      </c>
      <c r="KB209" s="282">
        <f>IF($DF209&lt;&gt;$KB$9,0,各项系数!$F$76/4*($NE209^2-$NC209^2)*10^-2*各项系数!$F$41*10^-3*10^2)*各项系数!$J$4</f>
        <v>0</v>
      </c>
      <c r="KC209" s="102">
        <v>1</v>
      </c>
      <c r="KD209" s="189">
        <f t="shared" si="927"/>
        <v>0</v>
      </c>
      <c r="KE209" s="262">
        <f>KD209*各项系数!$E$41</f>
        <v>0</v>
      </c>
      <c r="KF209" s="189">
        <f t="shared" si="928"/>
        <v>1.121995958670877E-3</v>
      </c>
      <c r="KG209" s="189">
        <f t="shared" si="929"/>
        <v>2.243991917341754E-2</v>
      </c>
      <c r="KH209" s="235">
        <f>各项系数!$F$76/4*($NG209^2-$NE209^2)*10^-2*各项系数!$F$44*10^-3*10^2*各项系数!$J$4*0.75*$U209</f>
        <v>0.47038038592901193</v>
      </c>
      <c r="KI209" s="102">
        <v>1</v>
      </c>
      <c r="KJ209" s="189">
        <f t="shared" si="930"/>
        <v>0.47038038592901193</v>
      </c>
      <c r="KK209" s="189">
        <f>ROUND(KJ209*各项系数!$E$43,GT209)</f>
        <v>2.7</v>
      </c>
      <c r="KL209" s="235">
        <f>各项系数!$F$76/4*($NF209^2-$NE209^2)*10^-2*各项系数!$F$46*10^-3*10^2*各项系数!$J$4*PI()/4*R209</f>
        <v>1.420645748962231E-2</v>
      </c>
      <c r="KM209" s="102">
        <v>1</v>
      </c>
      <c r="KN209" s="189">
        <f t="shared" si="931"/>
        <v>1.420645748962231E-2</v>
      </c>
      <c r="KO209" s="189">
        <f>KN209*各项系数!$E$46</f>
        <v>0.95893588054950596</v>
      </c>
      <c r="KP209" s="235">
        <f>各项系数!$F$76/4*($NH209^2-$NE209^2)*10^-2*(VLOOKUP($KP$9,各项系数!$D$1:$F$143,3,0))*10^-3*10^2*各项系数!$J$4</f>
        <v>9.0849213100738471E-2</v>
      </c>
      <c r="KQ209" s="102">
        <v>1</v>
      </c>
      <c r="KR209" s="189">
        <f t="shared" si="1016"/>
        <v>9.0849213100738471E-2</v>
      </c>
      <c r="KS209" s="189">
        <f>KR209*(VLOOKUP($KP$9,各项系数!$D$1:$F$143,2,0))</f>
        <v>1.5444366227125541</v>
      </c>
      <c r="KT209" s="235">
        <f>各项系数!$F$76/4*($NI209^2-$NF209^2)*10^-2*(VLOOKUP($KT$9,各项系数!$D$1:$F$143,3,0))*10^-3*10^2*各项系数!$J$4</f>
        <v>9.2082062022601413E-2</v>
      </c>
      <c r="KU209" s="102">
        <v>1</v>
      </c>
      <c r="KV209" s="189">
        <f t="shared" si="1017"/>
        <v>9.2082062022601413E-2</v>
      </c>
      <c r="KW209" s="189">
        <f>KV209*(VLOOKUP($KT$9,各项系数!$D$1:$F$143,2,0))</f>
        <v>1.5653950543842241</v>
      </c>
      <c r="KX209" s="189">
        <f>各项系数!$F$76/4*($NH209^2-$NE209^2)*10^-2*(VLOOKUP($KX$9,各项系数!$D$1:$F$143,3,0))*10^-3*10^2*各项系数!$J$4</f>
        <v>9.0849213100738471E-2</v>
      </c>
      <c r="KY209" s="353">
        <v>1</v>
      </c>
      <c r="KZ209" s="189">
        <f t="shared" si="1018"/>
        <v>9.0849213100738471E-2</v>
      </c>
      <c r="LA209" s="189">
        <f>KZ209*(VLOOKUP($KX$9,各项系数!$D$1:$F$143,2,0))</f>
        <v>1.5444366227125541</v>
      </c>
      <c r="LB209" s="189">
        <f>各项系数!$F$76/4*($NI209^2-$NF209^2)*10^-2*(VLOOKUP($LB$9,各项系数!$D$1:$F$143,3,0))*10^-3*10^2*各项系数!$J$4</f>
        <v>9.2082062022601413E-2</v>
      </c>
      <c r="LC209" s="353">
        <v>1</v>
      </c>
      <c r="LD209" s="189">
        <f t="shared" si="1019"/>
        <v>9.2082062022601413E-2</v>
      </c>
      <c r="LE209" s="189">
        <f>LD209*(VLOOKUP($LB$9,各项系数!$D$1:$F$143,2,0))</f>
        <v>1.5653950543842241</v>
      </c>
      <c r="LF209" s="235">
        <f>各项系数!$F$76/4*($NH209^2-$NE209^2)*10^-2*(VLOOKUP(AN209,各项系数!$D$1:$F$143,3,0))*10^-3*10^2*各项系数!$J$4</f>
        <v>9.2102305695231423E-2</v>
      </c>
      <c r="LG209" s="102">
        <v>1</v>
      </c>
      <c r="LH209" s="189">
        <f t="shared" si="932"/>
        <v>9.2102305695231423E-2</v>
      </c>
      <c r="LI209" s="189">
        <f>LH209*(VLOOKUP(AN209,各项系数!$D$1:$F$143,2,0))</f>
        <v>0.92102305695231423</v>
      </c>
      <c r="LJ209" s="235">
        <f>各项系数!$F$76/4*($NI209^2-$NF209^2)*10^-2*(VLOOKUP(AN209,各项系数!$D$1:$F$143,3,0))*10^-3*10^2*各项系数!$J$4</f>
        <v>9.3352159429809706E-2</v>
      </c>
      <c r="LK209" s="102">
        <v>1</v>
      </c>
      <c r="LL209" s="189">
        <f t="shared" si="933"/>
        <v>9.3352159429809706E-2</v>
      </c>
      <c r="LM209" s="189">
        <f>LL209*(VLOOKUP(AN209,各项系数!$D$1:$F$143,2,0))</f>
        <v>0.933521594298097</v>
      </c>
      <c r="LN209" s="189">
        <f>各项系数!$F$76/4*($NH209^2-$NE209^2)*10^-2*(VLOOKUP($LN$9,各项系数!$D$1:$F$143,3,0))*10^-3*10^2*各项系数!$J$4</f>
        <v>9.2102305695231423E-2</v>
      </c>
      <c r="LO209" s="353">
        <v>1</v>
      </c>
      <c r="LP209" s="189">
        <f t="shared" si="934"/>
        <v>9.2102305695231423E-2</v>
      </c>
      <c r="LQ209" s="189">
        <f>LP209*(VLOOKUP($LN$9,各项系数!$D$1:$F$143,2,0))</f>
        <v>1.0131253626475456</v>
      </c>
      <c r="LR209" s="189">
        <f>各项系数!$F$76/4*($NI209^2-$NF209^2)*10^-2*(VLOOKUP($LR$9,各项系数!$D$1:$F$143,3,0))*10^-3*10^2*各项系数!$J$4</f>
        <v>9.3352159429809706E-2</v>
      </c>
      <c r="LS209" s="353">
        <v>1</v>
      </c>
      <c r="LT209" s="189">
        <f t="shared" si="935"/>
        <v>9.3352159429809706E-2</v>
      </c>
      <c r="LU209" s="189">
        <f>LT209*(VLOOKUP($LR$9,各项系数!$D$1:$F$143,2,0))</f>
        <v>1.0268737537279067</v>
      </c>
      <c r="LV209" s="227">
        <f t="shared" si="1020"/>
        <v>11.25810819</v>
      </c>
      <c r="LW209" s="227">
        <f t="shared" si="1021"/>
        <v>11.25810819</v>
      </c>
      <c r="LX209" s="227">
        <f t="shared" si="1022"/>
        <v>3.7860624065663266</v>
      </c>
      <c r="LY209" s="227">
        <f t="shared" si="1023"/>
        <v>0</v>
      </c>
      <c r="LZ209" s="374">
        <f t="shared" si="967"/>
        <v>1</v>
      </c>
      <c r="MA209" s="375">
        <f t="shared" si="968"/>
        <v>11.25810819</v>
      </c>
      <c r="MB209" s="375">
        <f t="shared" si="1024"/>
        <v>2.1858841500000001</v>
      </c>
      <c r="MC209" s="227">
        <f t="shared" si="1025"/>
        <v>2.3346773999999999</v>
      </c>
      <c r="MD209" s="227">
        <f t="shared" si="1026"/>
        <v>2.3346774099999998</v>
      </c>
      <c r="ME209" s="227">
        <f t="shared" si="1027"/>
        <v>1.7241240102184845</v>
      </c>
      <c r="MF209" s="227">
        <f t="shared" si="1028"/>
        <v>-9.9999999392252903E-9</v>
      </c>
      <c r="MG209" s="374">
        <f t="shared" si="1029"/>
        <v>1</v>
      </c>
      <c r="MH209" s="375">
        <f t="shared" si="969"/>
        <v>2.3346773999999999</v>
      </c>
      <c r="MI209" s="375">
        <f t="shared" si="1030"/>
        <v>1.7241240065260599</v>
      </c>
      <c r="MJ209" s="189">
        <f t="shared" si="970"/>
        <v>2.1858841500000001</v>
      </c>
      <c r="MK209" s="189">
        <f t="shared" si="1031"/>
        <v>2.1858841500000001</v>
      </c>
      <c r="ML209" s="189">
        <f t="shared" si="936"/>
        <v>1.72412400708262</v>
      </c>
      <c r="MM209" s="189">
        <f t="shared" si="971"/>
        <v>1.7241240065260599</v>
      </c>
      <c r="MN209" s="189">
        <f t="shared" si="972"/>
        <v>3.58588415</v>
      </c>
      <c r="MO209" s="189">
        <f t="shared" si="1032"/>
        <v>3.1241240065260598</v>
      </c>
      <c r="MP209" s="189">
        <f t="shared" si="1033"/>
        <v>8.3984747599999992</v>
      </c>
      <c r="MQ209" s="189">
        <f t="shared" si="937"/>
        <v>8.3984747599999992</v>
      </c>
      <c r="MR209" s="246">
        <f t="shared" si="1034"/>
        <v>8.3984747599999992</v>
      </c>
      <c r="MS209" s="380">
        <f t="shared" si="973"/>
        <v>8.5744747599999993</v>
      </c>
      <c r="MT209" s="380">
        <f t="shared" si="974"/>
        <v>8.7344747599999994</v>
      </c>
      <c r="MU209" s="380">
        <f t="shared" si="975"/>
        <v>9.7744747600000004</v>
      </c>
      <c r="MV209" s="380">
        <f t="shared" si="976"/>
        <v>11.97447476</v>
      </c>
      <c r="MW209" s="380">
        <f t="shared" si="977"/>
        <v>12.13447476</v>
      </c>
      <c r="MX209" s="254">
        <f t="shared" si="978"/>
        <v>2.7858841500000002</v>
      </c>
      <c r="MY209" s="254">
        <f t="shared" si="979"/>
        <v>2.32412400652606</v>
      </c>
      <c r="MZ209" s="189">
        <f t="shared" si="980"/>
        <v>4.1858841499999997</v>
      </c>
      <c r="NA209" s="189">
        <f t="shared" si="981"/>
        <v>3.7241240065260599</v>
      </c>
      <c r="NB209" s="189">
        <f t="shared" si="1035"/>
        <v>9.8504747600000009</v>
      </c>
      <c r="NC209" s="254">
        <f t="shared" si="938"/>
        <v>9.8504747600000009</v>
      </c>
      <c r="ND209" s="246">
        <f t="shared" si="1036"/>
        <v>9.8504747600000009</v>
      </c>
      <c r="NE209" s="386">
        <f t="shared" si="1037"/>
        <v>10.090474760000001</v>
      </c>
      <c r="NF209" s="380">
        <f t="shared" si="982"/>
        <v>10.250474760000001</v>
      </c>
      <c r="NG209" s="387">
        <f t="shared" si="983"/>
        <v>11.290474760000002</v>
      </c>
      <c r="NH209" s="254">
        <f t="shared" si="984"/>
        <v>13.490474760000001</v>
      </c>
      <c r="NI209" s="380">
        <f t="shared" si="985"/>
        <v>13.650474760000002</v>
      </c>
      <c r="NK209" s="388">
        <f t="shared" si="986"/>
        <v>0.25613149158900028</v>
      </c>
      <c r="NL209" s="388">
        <f t="shared" si="987"/>
        <v>9.1441390203647828</v>
      </c>
      <c r="NM209" s="388">
        <f t="shared" si="988"/>
        <v>0.25613149158900028</v>
      </c>
      <c r="NN209" s="388">
        <f t="shared" si="989"/>
        <v>9.2243989619248854</v>
      </c>
      <c r="NO209" s="388">
        <f t="shared" si="990"/>
        <v>0.38276263899121765</v>
      </c>
      <c r="NP209" s="388">
        <f t="shared" si="991"/>
        <v>9.7529389985117181</v>
      </c>
      <c r="NQ209" s="388">
        <f t="shared" si="992"/>
        <v>0.38276263899121765</v>
      </c>
      <c r="NR209" s="388">
        <f t="shared" si="993"/>
        <v>9.8450413042069496</v>
      </c>
      <c r="NS209" s="388">
        <f t="shared" si="994"/>
        <v>0.26822034984530352</v>
      </c>
      <c r="NT209" s="388">
        <f t="shared" si="995"/>
        <v>0.26822034984530352</v>
      </c>
      <c r="NU209" s="388">
        <f t="shared" si="996"/>
        <v>0.39696909648083994</v>
      </c>
      <c r="NV209" s="388">
        <f t="shared" si="997"/>
        <v>0.39696909648083994</v>
      </c>
      <c r="NW209">
        <f t="shared" si="998"/>
        <v>0.39069031069938054</v>
      </c>
      <c r="NX209">
        <f>各项系数!$M$9*NK209</f>
        <v>7.6839447476700087E-2</v>
      </c>
      <c r="NY209">
        <f t="shared" si="999"/>
        <v>0.26822034984530341</v>
      </c>
    </row>
    <row r="210" spans="1:389" ht="15" hidden="1" customHeight="1">
      <c r="A210" s="69"/>
      <c r="B210" s="70"/>
      <c r="C210" s="69"/>
      <c r="D210" s="102" t="s">
        <v>311</v>
      </c>
      <c r="E210" s="61">
        <f t="shared" si="885"/>
        <v>12.95918625</v>
      </c>
      <c r="F210" s="16">
        <f>$F$18</f>
        <v>218.58841470644899</v>
      </c>
      <c r="G210" s="16"/>
      <c r="H210" s="16"/>
      <c r="I210" s="145">
        <f>$F$17</f>
        <v>172.412400708262</v>
      </c>
      <c r="J210" s="16"/>
      <c r="K210" s="16"/>
      <c r="L210" s="97" t="s">
        <v>469</v>
      </c>
      <c r="M210" s="103">
        <f t="shared" si="940"/>
        <v>0.7</v>
      </c>
      <c r="N210" s="103">
        <f t="shared" si="1038"/>
        <v>0.7</v>
      </c>
      <c r="O210" s="53">
        <f t="shared" si="1039"/>
        <v>0.08</v>
      </c>
      <c r="P210" s="99">
        <v>0.1</v>
      </c>
      <c r="Q210" s="133">
        <f t="shared" si="941"/>
        <v>0.1</v>
      </c>
      <c r="R210" s="406">
        <v>0.8</v>
      </c>
      <c r="S210" s="142" t="str">
        <f>各项系数!$D$43</f>
        <v>钢带</v>
      </c>
      <c r="T210" s="102">
        <v>0.2</v>
      </c>
      <c r="U210" s="62">
        <v>4</v>
      </c>
      <c r="V210" s="143"/>
      <c r="W210" s="141">
        <f>$W$202</f>
        <v>1.8</v>
      </c>
      <c r="X210" s="135">
        <f t="shared" si="942"/>
        <v>0.2</v>
      </c>
      <c r="Y210" s="135"/>
      <c r="Z210" s="168"/>
      <c r="AA210" s="153">
        <v>1</v>
      </c>
      <c r="AB210" s="153">
        <f>PI()*EJ210*EJ210/4*EH210*(1-H210)*AA210*各项系数!$F$5*各项系数!$J$4*10^-7</f>
        <v>3.3194719556349603E-2</v>
      </c>
      <c r="AC210" s="153">
        <f t="shared" si="886"/>
        <v>218.58841470644899</v>
      </c>
      <c r="AD210" s="153">
        <f t="shared" si="943"/>
        <v>3.7527027212948432</v>
      </c>
      <c r="AE210" s="153">
        <f>POWER(4*EU210/PI()/EG210/10^-7/EH210/(1-H210)/各项系数!$F$5/各项系数!$J$4,0.5)</f>
        <v>218.58841470644899</v>
      </c>
      <c r="AF210" s="69">
        <f>$AA$182</f>
        <v>1</v>
      </c>
      <c r="AG210" s="69">
        <f>IF(EM210=0,0,PI()*ER210*ER210/4*EP210*(1-K210)*(1+AF210)*各项系数!$F$5*各项系数!$J$4*10^-7)</f>
        <v>4.1303011377805829E-2</v>
      </c>
      <c r="AH210" s="69">
        <f t="shared" si="887"/>
        <v>172.412400708262</v>
      </c>
      <c r="AI210" s="69">
        <f t="shared" si="1000"/>
        <v>2.3346774015073013</v>
      </c>
      <c r="AJ210" s="69">
        <f>IF(OR(EP210="",EP210=0),0,POWER(4*EW210/PI()/EO210/10^-7/EP210/(1-K210)/各项系数!$F$5/各项系数!$J$4,0.5))</f>
        <v>172.41240070826197</v>
      </c>
      <c r="AK210" s="69">
        <f t="shared" si="944"/>
        <v>0.14088717004685464</v>
      </c>
      <c r="AL210" s="69">
        <f t="shared" si="888"/>
        <v>11.133394064890103</v>
      </c>
      <c r="AM210" s="188">
        <f t="shared" si="889"/>
        <v>4</v>
      </c>
      <c r="AN210" s="97" t="s">
        <v>486</v>
      </c>
      <c r="AO210" s="196">
        <f>AP210+各项系数!$M$9*$NK210</f>
        <v>10.915092220480494</v>
      </c>
      <c r="AP210" s="196">
        <f>AQ210*(1+$BI210+(VLOOKUP($AM210,$A$12:$B$323,2,0))+各项系数!$J$6+各项系数!$M$5)*(1+$E$2)</f>
        <v>10.823745227921194</v>
      </c>
      <c r="AQ210" s="197">
        <f>AR210+各项系数!$L$9*$NK210</f>
        <v>10.93528513631157</v>
      </c>
      <c r="AR210" s="197">
        <f>AS210*(1+$BJ210+各项系数!$J$5+各项系数!$L$5)</f>
        <v>10.84393814375227</v>
      </c>
      <c r="AS210" s="197">
        <f t="shared" si="1001"/>
        <v>10.63131190563948</v>
      </c>
      <c r="AT210" s="196">
        <f>AU210+各项系数!$M$9*$NM210</f>
        <v>11.545829770252514</v>
      </c>
      <c r="AU210" s="196">
        <f>AV210*(1+$BI210+(VLOOKUP($AM210,$A$12:$B$323,2,0))+各项系数!$J$6+各项系数!$M$5)*(1+$E$2)</f>
        <v>11.454482777693213</v>
      </c>
      <c r="AV210" s="197">
        <f>AW210+各项系数!$L$9*$NM210</f>
        <v>11.57252250726734</v>
      </c>
      <c r="AW210" s="197">
        <f>AX210*(1+$BJ210+各项系数!$J$5+各项系数!$L$5)</f>
        <v>11.48117551470804</v>
      </c>
      <c r="AX210" s="197">
        <f t="shared" si="1002"/>
        <v>11.256054426184352</v>
      </c>
      <c r="AY210" s="196">
        <f>AZ210+各项系数!$M$9*$NS210</f>
        <v>11.834849325283358</v>
      </c>
      <c r="AZ210" s="196">
        <f>BA210*(1+$BI210+(VLOOKUP($AM210,$A$12:$B$214,2,0))+各项系数!$J$6+各项系数!$M$5)*(1+$E$2)</f>
        <v>11.739546841912814</v>
      </c>
      <c r="BA210" s="197">
        <f>BB210+各项系数!$L$9*$NS210</f>
        <v>11.86052418863691</v>
      </c>
      <c r="BB210" s="197">
        <f>BC210*(1+$BJ210+各项系数!$J$5+各项系数!$L$5)</f>
        <v>11.765221705266367</v>
      </c>
      <c r="BC210" s="199">
        <f t="shared" si="1003"/>
        <v>11.534531083594477</v>
      </c>
      <c r="BD210" s="196">
        <f>BE210+各项系数!$M$9*$NS210</f>
        <v>12.474630366731441</v>
      </c>
      <c r="BE210" s="196">
        <f>BF210*(1+$BI210+(VLOOKUP($AM210,$A$12:$B$214,2,0))+各项系数!$J$6+各项系数!$M$5)*(1+$E$2)</f>
        <v>12.379327883360897</v>
      </c>
      <c r="BF210" s="197">
        <f>BG210+各项系数!$L$9*$NS210</f>
        <v>12.506898245464637</v>
      </c>
      <c r="BG210" s="197">
        <f>BH210*(1+$BJ210+各项系数!$J$5+各项系数!$L$5)</f>
        <v>12.411595762094093</v>
      </c>
      <c r="BH210" s="199">
        <f t="shared" si="1004"/>
        <v>12.168231139307935</v>
      </c>
      <c r="BI210" s="213">
        <v>0.01</v>
      </c>
      <c r="BJ210" s="208">
        <f>$BJ$199</f>
        <v>0</v>
      </c>
      <c r="BK210" s="102" t="s">
        <v>514</v>
      </c>
      <c r="BL210" s="196">
        <f>BM210+各项系数!$M$9*$NM210</f>
        <v>11.114418859222347</v>
      </c>
      <c r="BM210" s="196">
        <f>BN210*(1+$CF210+(VLOOKUP($AM210,$A$12:$B$323,2,0))+各项系数!$J$6+各项系数!$M$5)*(1+$E$2)</f>
        <v>11.023071866663047</v>
      </c>
      <c r="BN210" s="197">
        <f>BO210+各项系数!$L$9*$NM210</f>
        <v>11.136665858418919</v>
      </c>
      <c r="BO210" s="197">
        <f>BP210*(1+$CG210+各项系数!$J$5+各项系数!$L$5)</f>
        <v>11.045318865859619</v>
      </c>
      <c r="BP210" s="197">
        <f t="shared" si="1005"/>
        <v>10.72361054937827</v>
      </c>
      <c r="BQ210" s="196">
        <f>BR210+各项系数!$M$9*$NM210</f>
        <v>11.657242196962885</v>
      </c>
      <c r="BR210" s="196">
        <f>BS210*(1+$CF210+(VLOOKUP($AM210,$A$12:$B$323,2,0))+各项系数!$J$6+各项系数!$M$5)*(1+$E$2)</f>
        <v>11.565895204403585</v>
      </c>
      <c r="BS210" s="197">
        <f>BT210+各项系数!$L$9*$NM210</f>
        <v>11.685083051529183</v>
      </c>
      <c r="BT210" s="197">
        <f>BU210*(1+$CG210+各项系数!$J$5+各项系数!$L$5)</f>
        <v>11.593736058969883</v>
      </c>
      <c r="BU210" s="197">
        <f t="shared" si="1006"/>
        <v>11.256054426184352</v>
      </c>
      <c r="BV210" s="196">
        <f>BW210+各项系数!$M$9*$NT210</f>
        <v>11.958313918257067</v>
      </c>
      <c r="BW210" s="196">
        <f>BX210*(1+$CF210+(VLOOKUP($AM210,$A$12:$B$214,2,0))+各项系数!$J$6+各项系数!$M$5)*(1+$E$2)</f>
        <v>11.863011434886523</v>
      </c>
      <c r="BX210" s="197">
        <f>BY210+各项系数!$L$9*$NT$12</f>
        <v>11.98526109808701</v>
      </c>
      <c r="BY210" s="197">
        <f>BZ210*(1+$CG210+各项系数!$J$5+各项系数!$L$5)</f>
        <v>11.976997694932036</v>
      </c>
      <c r="BZ210" s="199">
        <f t="shared" si="945"/>
        <v>11.628153101875762</v>
      </c>
      <c r="CA210" s="196">
        <f>CB210+各项系数!$M$9*$NT210</f>
        <v>12.50892023695094</v>
      </c>
      <c r="CB210" s="196">
        <f>CC210*(1+$CF210+(VLOOKUP($AM210,$A$12:$B$214,2,0))+各项系数!$J$6+各项系数!$M$5)*(1+$E$2)</f>
        <v>12.413617753580397</v>
      </c>
      <c r="CC210" s="197">
        <f>CD210+各项系数!$L$9*$NT$12</f>
        <v>12.541541476642147</v>
      </c>
      <c r="CD210" s="197">
        <f>CE210*(1+$CG210+各项系数!$J$5+各项系数!$L$5)</f>
        <v>12.533278073487173</v>
      </c>
      <c r="CE210" s="199">
        <f t="shared" si="1007"/>
        <v>12.168231139307935</v>
      </c>
      <c r="CF210" s="213">
        <f t="shared" si="884"/>
        <v>0.01</v>
      </c>
      <c r="CG210" s="213">
        <f t="shared" si="946"/>
        <v>0.01</v>
      </c>
      <c r="CH210" s="102"/>
      <c r="CI210" s="196">
        <f>CJ210+各项系数!$M$9*$NO210</f>
        <v>11.844469562329369</v>
      </c>
      <c r="CJ210" s="196">
        <f>CK210*(1+$DC210+(VLOOKUP($AM210,$A$12:$B$323,2,0))+各项系数!$J$6+各项系数!$M$5)*(1+$E$2)+各项系数!$M$9*$NK210</f>
        <v>11.70814223932258</v>
      </c>
      <c r="CK210" s="197">
        <f>CL210+各项系数!$L$9*$NO210</f>
        <v>11.736507624533523</v>
      </c>
      <c r="CL210" s="197">
        <f>CM210*(1+$DD210+各项系数!$J$5+各项系数!$L$5)</f>
        <v>11.600180301526734</v>
      </c>
      <c r="CM210" s="197">
        <f t="shared" si="947"/>
        <v>11.372725785810523</v>
      </c>
      <c r="CN210" s="196">
        <f>CO210+各项系数!$M$9*$NO210</f>
        <v>12.334585361006773</v>
      </c>
      <c r="CO210" s="196">
        <f>CP210*(1+$DC210+(VLOOKUP($AM210,$A$12:$B$323,2,0))+各项系数!$J$6+各项系数!$M$5)*(1+$E$2)+各项系数!$M$9*$NK210</f>
        <v>12.198258037999985</v>
      </c>
      <c r="CP210" s="197">
        <f>CQ210+各项系数!$L$9*$NO210</f>
        <v>12.231674121479779</v>
      </c>
      <c r="CQ210" s="197">
        <f>CR210*(1+$DD210+各项系数!$J$5+各项系数!$L$5)</f>
        <v>12.09534679847299</v>
      </c>
      <c r="CR210" s="197">
        <f t="shared" si="948"/>
        <v>11.858183135757834</v>
      </c>
      <c r="CS210" s="196">
        <f>CT210+各项系数!$M$9*$NU210</f>
        <v>12.83458550851735</v>
      </c>
      <c r="CT210" s="196">
        <f t="shared" si="949"/>
        <v>12.693597014532644</v>
      </c>
      <c r="CU210" s="197">
        <f>CV210+各项系数!$L$9*$NU210</f>
        <v>12.824405955276465</v>
      </c>
      <c r="CV210" s="197">
        <f>CW210*(1+$DD210+各项系数!$J$5+各项系数!$L$5)</f>
        <v>12.683417461291759</v>
      </c>
      <c r="CW210" s="199">
        <f t="shared" si="950"/>
        <v>12.43472300126643</v>
      </c>
      <c r="CX210" s="196">
        <f>CY210+各项系数!$M$9*$NU210</f>
        <v>13.569549299856009</v>
      </c>
      <c r="CY210" s="196">
        <f t="shared" si="951"/>
        <v>13.428560805871303</v>
      </c>
      <c r="CZ210" s="197">
        <f>DA210+各项系数!$L$9*$NU210</f>
        <v>13.56694363090655</v>
      </c>
      <c r="DA210" s="197">
        <f>DB210*(1+$DD210+各项系数!$J$5+各项系数!$L$5)</f>
        <v>13.425955136921845</v>
      </c>
      <c r="DB210" s="199">
        <f t="shared" si="952"/>
        <v>13.162701114629259</v>
      </c>
      <c r="DC210" s="213">
        <f t="shared" si="1040"/>
        <v>0.01</v>
      </c>
      <c r="DD210" s="213">
        <f t="shared" si="953"/>
        <v>0</v>
      </c>
      <c r="DE210" s="53" t="s">
        <v>498</v>
      </c>
      <c r="DF210" s="53" t="s">
        <v>513</v>
      </c>
      <c r="DG210" s="196">
        <f>DH210+各项系数!$M$9*$NQ210</f>
        <v>12.065334755228475</v>
      </c>
      <c r="DH210" s="196">
        <f>DI210*(1+$EA210+(VLOOKUP($AM210,$A$12:$B$323,2,0))+各项系数!$J$6+各项系数!$M$5)*(1+$E$2)+各项系数!$M$9*$NK210</f>
        <v>11.929007432221686</v>
      </c>
      <c r="DI210" s="197">
        <f>DJ210+各项系数!$L$9*$NQ210</f>
        <v>11.95964885801413</v>
      </c>
      <c r="DJ210" s="197">
        <f>DK210*(1+$EB210+各项系数!$J$5+各项系数!$L$5)</f>
        <v>11.823321535007342</v>
      </c>
      <c r="DK210" s="197">
        <f t="shared" si="954"/>
        <v>11.47895294660907</v>
      </c>
      <c r="DL210" s="196">
        <f>DM210+各项系数!$M$9*$NQ210</f>
        <v>12.690073967502885</v>
      </c>
      <c r="DM210" s="196">
        <f>DN210*(1+$EA210+(VLOOKUP($AM210,$A$12:$B$323,2,0))+各项系数!$J$6+各项系数!$M$5)*(1+$E$2)+各项系数!$M$9*$NK210</f>
        <v>12.553746644496096</v>
      </c>
      <c r="DN210" s="197">
        <f>DO210+各项系数!$L$9*$NQ210</f>
        <v>12.590826077931698</v>
      </c>
      <c r="DO210" s="197">
        <f>DP210*(1+$EB210+各项系数!$J$5+各项系数!$L$5)</f>
        <v>12.454498754924909</v>
      </c>
      <c r="DP210" s="197">
        <f t="shared" si="955"/>
        <v>12.091746364004766</v>
      </c>
      <c r="DQ210" s="196">
        <f>DR210+各项系数!$M$9*$NV210</f>
        <v>13.067311522260866</v>
      </c>
      <c r="DR210" s="196">
        <f t="shared" si="956"/>
        <v>12.92632302827616</v>
      </c>
      <c r="DS210" s="197">
        <f>DT210+各项系数!$L$9*$NV210</f>
        <v>13.059530236690403</v>
      </c>
      <c r="DT210" s="197">
        <f>DU210*(1+$EB210+各项系数!$J$5+各项系数!$L$5)</f>
        <v>12.918541742705697</v>
      </c>
      <c r="DU210" s="199">
        <f t="shared" si="957"/>
        <v>12.542273536607473</v>
      </c>
      <c r="DV210" s="196">
        <f>DW210+各项系数!$M$9*$NV210</f>
        <v>13.207987711691134</v>
      </c>
      <c r="DW210" s="196">
        <f t="shared" si="958"/>
        <v>13.066999217706428</v>
      </c>
      <c r="DX210" s="197">
        <f>DY210+各项系数!$L$9*$NV210</f>
        <v>13.20165611002872</v>
      </c>
      <c r="DY210" s="197">
        <f>DZ210*(1+$EB210+各项系数!$J$5+各项系数!$L$5)</f>
        <v>13.060667616044014</v>
      </c>
      <c r="DZ210" s="199">
        <f t="shared" si="959"/>
        <v>12.680259821401956</v>
      </c>
      <c r="EA210" s="213">
        <f>BI210+$EA$2</f>
        <v>0.01</v>
      </c>
      <c r="EB210" s="213">
        <f t="shared" si="960"/>
        <v>0.01</v>
      </c>
      <c r="EC210" s="235" t="str">
        <f t="shared" si="1008"/>
        <v>3+2</v>
      </c>
      <c r="ED210" s="235" t="str">
        <f t="shared" si="890"/>
        <v>3*4</v>
      </c>
      <c r="EE210" s="189">
        <f t="shared" si="891"/>
        <v>4</v>
      </c>
      <c r="EF210" s="189">
        <f>LOOKUP(EH210,{1,7,10,14,19,24,30,37,48,61},{1,"1+6","2+8","4+10","1+6+12","2+8+14","4+10+16","1+6+12+18","3+9+15+21","1+6+12+18+24"})</f>
        <v>1</v>
      </c>
      <c r="EG210" s="188">
        <f t="shared" si="961"/>
        <v>3</v>
      </c>
      <c r="EH210" s="197">
        <f>VLOOKUP(EE210,各项系数!$B$87:$C$124,2,0)</f>
        <v>1</v>
      </c>
      <c r="EI210" s="188">
        <f>IF(EH210=0,0,VLOOKUP(EH210,各项系数!$D$142:$E$195,2,0))*1</f>
        <v>1</v>
      </c>
      <c r="EJ210" s="238">
        <f t="shared" si="1009"/>
        <v>218.58841470644899</v>
      </c>
      <c r="EK210" s="189" t="str">
        <f t="shared" si="892"/>
        <v>2*2.5</v>
      </c>
      <c r="EL210" s="189" t="str">
        <f t="shared" si="962"/>
        <v>2.5</v>
      </c>
      <c r="EM210" s="189">
        <f t="shared" si="893"/>
        <v>2.5</v>
      </c>
      <c r="EN210" s="189">
        <f>IF(EP210=0,0,LOOKUP(EP210,{1,7,10,14,19,24,30,37,48,61},{1,"1+6","2+8","4+10","1+6+12","2+8+14","4+10+16","1+6+12+18","3+9+15+21","1+6+12+18+24"}))</f>
        <v>1</v>
      </c>
      <c r="EO210" s="189" t="str">
        <f t="shared" si="894"/>
        <v>2</v>
      </c>
      <c r="EP210" s="189">
        <f>IF(EM210=0,0,IF(EM210&lt;10,1,IF(AND(EM210&gt;=10,EM210&lt;=35),7,LOOKUP(EM210,{50,70,95,120,150,185,240,300},{10,14,19,24,30,37,48,61})*1)))</f>
        <v>1</v>
      </c>
      <c r="EQ210" s="189">
        <f>IF(EP210=0,0,VLOOKUP(EP210,各项系数!$D$142:$E$195,2,0))*1</f>
        <v>1</v>
      </c>
      <c r="ER210" s="53">
        <f t="shared" si="895"/>
        <v>172.412400708262</v>
      </c>
      <c r="ES210" s="412">
        <f t="shared" si="896"/>
        <v>5</v>
      </c>
      <c r="ET210" s="189">
        <f>VLOOKUP(ES210,各项系数!$D$142:$E$195,2,0)*1</f>
        <v>2.7</v>
      </c>
      <c r="EU210" s="243">
        <f>((各项系数!$F$76/4*$EJ210^2*$EG210*$EH210*1*10^-7)*(1-$H210)*AA210)*(VLOOKUP($EY$9,各项系数!$D$4:$F$143,3,0))*各项系数!$J$4</f>
        <v>9.9584158669048795E-2</v>
      </c>
      <c r="EV210" s="244">
        <f>EU210*(VLOOKUP($EY$9,各项系数!$D$4:$F$143,2,0))</f>
        <v>6.5227623928226963</v>
      </c>
      <c r="EW210" s="252">
        <f>(IF($EO210=0,0,(各项系数!$F$76/4*$ER210^2*$EO210*$EP210*1*10^-7))*(1-$K210)*$AF210)*(VLOOKUP($EY$9,各项系数!$D$4:$F$143,3,0))*各项系数!$J$4</f>
        <v>4.1303011377805829E-2</v>
      </c>
      <c r="EX210" s="253">
        <f>EW210*(VLOOKUP($EY$9,各项系数!$D$4:$F$143,2,0))</f>
        <v>2.7053472452462817</v>
      </c>
      <c r="EY210" s="189">
        <f>((各项系数!$F$76/4*$EJ210^2*$EG210*$EH210*1*10^-7)*(1-$H210)*AA210+IF($EO210=0,0,(各项系数!$F$76/4*$ER210^2*$EO210*$EP210*1*10^-7))*(1-$K210)*$AF210)*(VLOOKUP($EY$9,各项系数!$D$4:$F$143,3,0))*各项系数!$J$4</f>
        <v>0.14088717004685464</v>
      </c>
      <c r="EZ210" s="102">
        <v>1</v>
      </c>
      <c r="FA210" s="189">
        <f t="shared" si="897"/>
        <v>0.14088717004685464</v>
      </c>
      <c r="FB210" s="254">
        <f>FA210*(VLOOKUP($EY$9,各项系数!$D$4:$F$143,2,0))</f>
        <v>9.2281096380689789</v>
      </c>
      <c r="FC210" s="255"/>
      <c r="FD210" s="235">
        <f>各项系数!$F$76/4*($MN210^2-MK210^2)*10^-2*(VLOOKUP(L210,各项系数!$D$1:$F$143,3,0))*10^-3*10^2*$EG210*各项系数!$J$4</f>
        <v>2.0838373900638456E-2</v>
      </c>
      <c r="FE210" s="262">
        <f>FD210*VLOOKUP(L210,各项系数!$D$1:$F$143,2,0)</f>
        <v>0.23964129985734225</v>
      </c>
      <c r="FF210" s="188">
        <f>各项系数!$F$76/4*($MO210^2-ML210^2)*10^-2*(VLOOKUP(L210,各项系数!$D$1:$F$143,3,0))*10^-3*10^2*$EO210*各项系数!$J$4</f>
        <v>1.1669399460640367E-2</v>
      </c>
      <c r="FG210" s="262">
        <f>FF210*VLOOKUP(L210,各项系数!$D$1:$F$143,2,0)</f>
        <v>0.13419809379736422</v>
      </c>
      <c r="FH210" s="235">
        <f t="shared" si="1010"/>
        <v>3.2507773361278823E-2</v>
      </c>
      <c r="FI210" s="102">
        <v>1</v>
      </c>
      <c r="FJ210" s="189">
        <f t="shared" si="898"/>
        <v>3.2507773361278823E-2</v>
      </c>
      <c r="FK210" s="262">
        <f>FJ210*VLOOKUP(L210,各项系数!$D$1:$F$143,2,0)</f>
        <v>0.37383939365470648</v>
      </c>
      <c r="FL210" s="235"/>
      <c r="FM210" s="102"/>
      <c r="FN210" s="189"/>
      <c r="FO210" s="262"/>
      <c r="FP210" s="282">
        <f t="shared" si="899"/>
        <v>3.2507773361278823E-2</v>
      </c>
      <c r="FQ210" s="282">
        <f t="shared" si="900"/>
        <v>0.37383939365470648</v>
      </c>
      <c r="FR210" s="283">
        <f>各项系数!$F$76/4*($MQ210^2-$MN210^2*$EG210-$MO210^2*$EO210)*10^-2</f>
        <v>0.20604852231225235</v>
      </c>
      <c r="FS210" s="284">
        <f t="shared" si="1011"/>
        <v>1</v>
      </c>
      <c r="FT210" s="285">
        <f t="shared" si="963"/>
        <v>0.20604852231225235</v>
      </c>
      <c r="FU210" s="302">
        <f>$FT210*(VLOOKUP($FT$9,各项系数!$D$1:$F$143,3,0))*10^-3*10^2*各项系数!$J$55</f>
        <v>2.4602193564082928E-2</v>
      </c>
      <c r="FV210" s="303">
        <v>1</v>
      </c>
      <c r="FW210" s="304">
        <f t="shared" si="901"/>
        <v>2.4602193564082928E-2</v>
      </c>
      <c r="FX210" s="285">
        <f>FW210*(VLOOKUP($FT$9,各项系数!$D$1:$F$143,2,0))</f>
        <v>7.3806580692248783E-2</v>
      </c>
      <c r="FY210" s="302">
        <f>IF($BK210&lt;&gt;$FY$9,0,各项系数!$F$76/4*($MS210^2-$MQ210^2)*10^-2*(VLOOKUP($FY$9,各项系数!$D$1:$F$143,3,0))*10^-3*10^2)*各项系数!$J$4</f>
        <v>0</v>
      </c>
      <c r="FZ210" s="303">
        <v>1</v>
      </c>
      <c r="GA210" s="304">
        <f t="shared" si="902"/>
        <v>0</v>
      </c>
      <c r="GB210" s="285">
        <f>GA210*(VLOOKUP($FY$9,各项系数!$D$1:$F$143,2,0))</f>
        <v>0</v>
      </c>
      <c r="GC210" s="302">
        <f>IF($BK210&lt;&gt;$GC$9,0,各项系数!$F$76/4*($MS210^2-$MQ210^2)*10^-2*(VLOOKUP($GC$9,各项系数!$D$1:$F$143,3,0))*10^-3*10^2)*各项系数!$J$4</f>
        <v>2.5247950260189663E-3</v>
      </c>
      <c r="GD210" s="303">
        <v>1</v>
      </c>
      <c r="GE210" s="304">
        <f t="shared" si="903"/>
        <v>2.5247950260189663E-3</v>
      </c>
      <c r="GF210" s="285">
        <f>GE210*(VLOOKUP($GC$9,各项系数!$D$1:$F$143,2,0))</f>
        <v>3.2569855835644666E-2</v>
      </c>
      <c r="GG210" s="302">
        <f>IF($BK210&lt;&gt;$GG$9,0,各项系数!$F$76/4*($MS210^2-$MQ210^2)*10^-2*(VLOOKUP($GG$9,各项系数!$D$1:$F$143,3,0))*10^-3*10^2)*各项系数!$J$4</f>
        <v>0</v>
      </c>
      <c r="GH210" s="303">
        <v>1</v>
      </c>
      <c r="GI210" s="304">
        <f t="shared" si="904"/>
        <v>0</v>
      </c>
      <c r="GJ210" s="285">
        <f>GI210*(VLOOKUP($GG$9,各项系数!$D$1:$F$143,2,0))</f>
        <v>0</v>
      </c>
      <c r="GK210" s="302">
        <f>IF($BK210&lt;&gt;$GK$9,0,各项系数!$F$76/4*($MS210^2-$MQ210^2)*10^-2*(VLOOKUP($GK$9,各项系数!$D$1:$F$143,3,0))*10^-3*10^2)*各项系数!$J$4</f>
        <v>0</v>
      </c>
      <c r="GL210" s="303">
        <v>1</v>
      </c>
      <c r="GM210" s="304">
        <f t="shared" si="905"/>
        <v>0</v>
      </c>
      <c r="GN210" s="285">
        <f>GM210*(VLOOKUP($GK$9,各项系数!$D$1:$F$143,2,0))</f>
        <v>0</v>
      </c>
      <c r="GO210" s="304">
        <f t="shared" si="906"/>
        <v>2.5247950260189663E-3</v>
      </c>
      <c r="GP210" s="304">
        <f t="shared" si="907"/>
        <v>3.2569855835644666E-2</v>
      </c>
      <c r="GQ210" s="315">
        <f>各项系数!$F$76/4*($MU210^2-$MS210^2)*10^-2*(VLOOKUP($S210,各项系数!$D$1:$F$143,3,0))*10^-3*10^2*各项系数!$J$4</f>
        <v>0.14606790864399691</v>
      </c>
      <c r="GR210" s="303">
        <v>1</v>
      </c>
      <c r="GS210" s="304">
        <f t="shared" si="908"/>
        <v>0.14606790864399691</v>
      </c>
      <c r="GT210" s="304">
        <f t="shared" si="909"/>
        <v>1</v>
      </c>
      <c r="GU210" s="304">
        <f>ROUND($GS210*(VLOOKUP($S210,各项系数!$D$1:$F$143,2,0))+$E$3*GS210,GT210)</f>
        <v>0.8</v>
      </c>
      <c r="GV210" s="315">
        <f>各项系数!$F$76/4*($MT210^2-$MS210^2)*10^-2*(VLOOKUP($GV$9,各项系数!$D$1:$F$143,3,0))*10^-3*10^2*各项系数!$J$4*PI()/4*R210</f>
        <v>1.3184969370815567E-2</v>
      </c>
      <c r="GW210" s="303">
        <v>1</v>
      </c>
      <c r="GX210" s="304">
        <f t="shared" si="910"/>
        <v>1.3184969370815567E-2</v>
      </c>
      <c r="GY210" s="304">
        <f>$GX210*(VLOOKUP($GV$9,各项系数!$D$1:$F$143,2,0))</f>
        <v>0.8899854325300508</v>
      </c>
      <c r="GZ210" s="315">
        <f>各项系数!$F$76/4*($MV210^2-$MS210^2)*10^-2*(VLOOKUP($GZ$9,各项系数!$D$1:$F$143,3,0))*10^-3*10^2*各项系数!$J$4</f>
        <v>9.1042879878398333E-2</v>
      </c>
      <c r="HA210" s="303">
        <v>1</v>
      </c>
      <c r="HB210" s="304">
        <f t="shared" si="1012"/>
        <v>9.1042879878398333E-2</v>
      </c>
      <c r="HC210" s="304">
        <f>HB210*(VLOOKUP($GZ$9,各项系数!$D$1:$F$143,2,0))</f>
        <v>1.5477289579327718</v>
      </c>
      <c r="HD210" s="315">
        <f>各项系数!$F$76/4*($MW210^2-$MT210^2)*10^-2*(VLOOKUP($HD$9,各项系数!$D$1:$F$143,3,0))*10^-3*10^2*各项系数!$J$4</f>
        <v>9.2348249325076709E-2</v>
      </c>
      <c r="HE210" s="303">
        <v>1</v>
      </c>
      <c r="HF210" s="304">
        <f t="shared" si="1013"/>
        <v>9.2348249325076709E-2</v>
      </c>
      <c r="HG210" s="304">
        <f>HF210*(VLOOKUP($HD$9,各项系数!$D$1:$F$143,2,0))</f>
        <v>1.569920238526304</v>
      </c>
      <c r="HH210" s="315">
        <f>各项系数!$F$76/4*($MV210^2-$MS210^2)*10^-2*(VLOOKUP($HH$9,各项系数!$D$1:$F$143,3,0))*10^-3*10^2*各项系数!$J$4</f>
        <v>9.1042879878398333E-2</v>
      </c>
      <c r="HI210" s="322">
        <v>1</v>
      </c>
      <c r="HJ210" s="304">
        <f t="shared" si="1014"/>
        <v>9.1042879878398333E-2</v>
      </c>
      <c r="HK210" s="304">
        <f>HJ210*(VLOOKUP($HH$9,各项系数!$D$1:$F$143,2,0))</f>
        <v>1.5477289579327718</v>
      </c>
      <c r="HL210" s="315">
        <f>各项系数!$F$76/4*($MW210^2-$MT210^2)*10^-2*(VLOOKUP($HL$9,各项系数!$D$1:$F$143,3,0))*10^-3*10^2*各项系数!$J$4</f>
        <v>9.2348249325076709E-2</v>
      </c>
      <c r="HM210" s="322">
        <v>1</v>
      </c>
      <c r="HN210" s="304">
        <f t="shared" si="964"/>
        <v>9.2348249325076709E-2</v>
      </c>
      <c r="HO210" s="304">
        <f>HN210*(VLOOKUP($HL$9,各项系数!$D$1:$F$143,2,0))</f>
        <v>1.569920238526304</v>
      </c>
      <c r="HP210" s="315">
        <f>各项系数!$F$76/4*($MV210^2-$MS210^2)*10^-2*(VLOOKUP(AN210,各项系数!$D$1:$F$143,3,0))*10^-3*10^2*各项系数!$J$4</f>
        <v>9.2298643738790029E-2</v>
      </c>
      <c r="HQ210" s="303">
        <v>1</v>
      </c>
      <c r="HR210" s="304">
        <f t="shared" si="911"/>
        <v>9.2298643738790029E-2</v>
      </c>
      <c r="HS210" s="304">
        <f>HR210*(VLOOKUP(AN210,各项系数!$D$1:$F$143,2,0))</f>
        <v>0.92298643738790032</v>
      </c>
      <c r="HT210" s="315">
        <f>各项系数!$F$76/4*($MW210^2-$MT210^2)*10^-2*(VLOOKUP(AN210,各项系数!$D$1:$F$143,3,0))*10^-3*10^2*各项系数!$J$4</f>
        <v>9.3622018281284691E-2</v>
      </c>
      <c r="HU210" s="303">
        <v>1</v>
      </c>
      <c r="HV210" s="304">
        <f t="shared" si="912"/>
        <v>9.3622018281284691E-2</v>
      </c>
      <c r="HW210" s="304">
        <f>HV210*(VLOOKUP(AN210,各项系数!$D$1:$F$143,2,0))</f>
        <v>0.93622018281284691</v>
      </c>
      <c r="HX210" s="315">
        <f>各项系数!$F$76/4*($MV210^2-$MS210^2)*10^-2*(VLOOKUP($HX$9,各项系数!$D$1:$F$143,3,0))*10^-3*10^2*各项系数!$J$4</f>
        <v>9.2298643738790029E-2</v>
      </c>
      <c r="HY210" s="322">
        <v>1</v>
      </c>
      <c r="HZ210" s="304">
        <f t="shared" si="913"/>
        <v>9.2298643738790029E-2</v>
      </c>
      <c r="IA210" s="304">
        <f>HZ210*(VLOOKUP($HX$9,各项系数!$D$1:$F$143,2,0))</f>
        <v>1.0152850811266902</v>
      </c>
      <c r="IB210" s="315">
        <f>各项系数!$F$76/4*($MW210^2-$MT210^2)*10^-2*(VLOOKUP($IB$9,各项系数!$D$1:$F$143,3,0))*10^-3*10^2*各项系数!$J$4</f>
        <v>9.3622018281284691E-2</v>
      </c>
      <c r="IC210" s="322">
        <v>1</v>
      </c>
      <c r="ID210" s="304">
        <f t="shared" si="914"/>
        <v>9.3622018281284691E-2</v>
      </c>
      <c r="IE210" s="304">
        <f>ID210*(VLOOKUP($IB$9,各项系数!$D$1:$F$143,2,0))</f>
        <v>1.0298422010941315</v>
      </c>
      <c r="IF210" s="328"/>
      <c r="IG210" s="315">
        <f t="shared" si="1015"/>
        <v>1.6184753147619742E-2</v>
      </c>
      <c r="IH210" s="303">
        <v>1</v>
      </c>
      <c r="II210" s="304">
        <f t="shared" si="915"/>
        <v>1.6184753147619742E-2</v>
      </c>
      <c r="IJ210" s="304">
        <f>II210*(VLOOKUP($IG$8,各项系数!$D$1:$F$143,2,0))</f>
        <v>0.40461882869049354</v>
      </c>
      <c r="IK210" s="315">
        <f>(各项系数!$F$76/4*($MX210^2-$MK210^2)*$EG210)*10^-2*(VLOOKUP($IG$8,各项系数!$D$1:$F$143,3,0))*10^-3*10^2*各项系数!$J$4</f>
        <v>1.0490292728638292E-2</v>
      </c>
      <c r="IL210" s="303">
        <f>IK210*(VLOOKUP($IG$8,各项系数!$D$1:$F$143,2,0))</f>
        <v>0.26225731821595732</v>
      </c>
      <c r="IM210" s="304">
        <f>(各项系数!$F$76/4*(($MM210+3*$X210)^2-MM210^2)*$EO210)*10^-2*(VLOOKUP($IG$8,各项系数!$D$1:$F$143,3,0))*10^-3*10^2*各项系数!$J$4</f>
        <v>5.6944604189814512E-3</v>
      </c>
      <c r="IN210" s="303">
        <f>IM210*(VLOOKUP($IG$8,各项系数!$D$1:$F$143,2,0))</f>
        <v>0.14236151047453627</v>
      </c>
      <c r="IO210" s="315">
        <f>各项系数!$F$76/4*($MZ210^2-$MX210^2)*10^-2*(VLOOKUP(L210,各项系数!$D$1:$F$143,3,0))*10^-3*10^2*$ES210*各项系数!$J$4</f>
        <v>4.19514168023742E-2</v>
      </c>
      <c r="IP210" s="303">
        <v>1</v>
      </c>
      <c r="IQ210" s="304">
        <f t="shared" si="916"/>
        <v>4.19514168023742E-2</v>
      </c>
      <c r="IR210" s="285">
        <f>IQ210*(VLOOKUP(L210,各项系数!$D$1:$F$143,2,0))</f>
        <v>0.48244129322730328</v>
      </c>
      <c r="IS210" s="315">
        <f>IF($L210&lt;&gt;$IS$9,0,各项系数!$F$76/4*($MZ210^2-$MX210^2)*10^-2*各项系数!$F$12*10^-3*10^2)*$ES210*各项系数!$J$4</f>
        <v>0</v>
      </c>
      <c r="IT210" s="303">
        <v>1</v>
      </c>
      <c r="IU210" s="304">
        <f t="shared" si="917"/>
        <v>0</v>
      </c>
      <c r="IV210" s="285">
        <f>IU210*各项系数!$E$12</f>
        <v>0</v>
      </c>
      <c r="IW210" s="302">
        <f t="shared" si="918"/>
        <v>4.19514168023742E-2</v>
      </c>
      <c r="IX210" s="302">
        <f t="shared" si="919"/>
        <v>0.48244129322730328</v>
      </c>
      <c r="IY210" s="339">
        <f>各项系数!$F$76/4*($NB210^2-$MZ210^2*$EG210-$NA210^2*$EO210)*10^-2</f>
        <v>0.2859301356064185</v>
      </c>
      <c r="IZ210" s="284">
        <f t="shared" si="697"/>
        <v>1</v>
      </c>
      <c r="JA210" s="285">
        <f t="shared" si="965"/>
        <v>0.2859301356064185</v>
      </c>
      <c r="JB210" s="282">
        <f>IF($DE210&lt;&gt;$JB$9,0,$JA210*各项系数!$F$32*10^-3*10^2)*各项系数!$J$4</f>
        <v>0</v>
      </c>
      <c r="JC210" s="102">
        <v>1</v>
      </c>
      <c r="JD210" s="189">
        <f t="shared" si="920"/>
        <v>0</v>
      </c>
      <c r="JE210" s="262">
        <f>JD210*各项系数!$E$32</f>
        <v>0</v>
      </c>
      <c r="JF210" s="282">
        <f>IF($DE210&lt;&gt;$JF$9,0,$JA210*VLOOKUP($JF$9,各项系数!$D$4:$F$540,2,0)*10^-3*10^2)*各项系数!$J$4</f>
        <v>0.14225024246419324</v>
      </c>
      <c r="JG210" s="102">
        <v>1</v>
      </c>
      <c r="JH210" s="189">
        <f t="shared" si="966"/>
        <v>0.14225024246419324</v>
      </c>
      <c r="JI210" s="262">
        <f>JH210*VLOOKUP($JF$9,各项系数!$D$4:$F$540,3,0)</f>
        <v>0.17070029095703187</v>
      </c>
      <c r="JJ210" s="282">
        <f t="shared" si="921"/>
        <v>0.14225024246419324</v>
      </c>
      <c r="JK210" s="189">
        <f t="shared" si="922"/>
        <v>0.17070029095703187</v>
      </c>
      <c r="JL210" s="282">
        <f>IF($DF210&lt;&gt;$JL$9,0,各项系数!$F$76/4*($NE210^2-$NC210^2)*10^-2*各项系数!$F$39*10^-3*10^2)*各项系数!$J$4</f>
        <v>1.2292063440627269E-3</v>
      </c>
      <c r="JM210" s="102">
        <v>1</v>
      </c>
      <c r="JN210" s="189">
        <f t="shared" si="923"/>
        <v>1.2292063440627269E-3</v>
      </c>
      <c r="JO210" s="262">
        <f>JN210*各项系数!$E$39</f>
        <v>2.4584126881254539E-2</v>
      </c>
      <c r="JP210" s="282">
        <f>IF($DF210&lt;&gt;$JP$9,0,各项系数!$F$76/4*($NE210^2-$NC210^2)*10^-2*各项系数!$F$36*10^-3*10^2)*各项系数!$J$4</f>
        <v>0</v>
      </c>
      <c r="JQ210" s="102">
        <v>1</v>
      </c>
      <c r="JR210" s="189">
        <f t="shared" si="924"/>
        <v>0</v>
      </c>
      <c r="JS210" s="262">
        <f>JR210*各项系数!$E$36</f>
        <v>0</v>
      </c>
      <c r="JT210" s="282">
        <f>IF($DF210&lt;&gt;$JT$9,0,各项系数!$F$76/4*($NE210^2-$NC210^2)*10^-2*各项系数!$F$40*10^-3*10^2)*各项系数!$J$4</f>
        <v>0</v>
      </c>
      <c r="JU210" s="102">
        <v>1</v>
      </c>
      <c r="JV210" s="189">
        <f t="shared" si="925"/>
        <v>0</v>
      </c>
      <c r="JW210" s="262">
        <f>JV210*各项系数!$E$40</f>
        <v>0</v>
      </c>
      <c r="JX210" s="282">
        <f>IF($DF210&lt;&gt;$JX$9,0,各项系数!$F$76/4*($NE210^2-$NC210^2)*10^-2*各项系数!$F$38*10^-3*10^2)*各项系数!$J$4</f>
        <v>0</v>
      </c>
      <c r="JY210" s="102">
        <v>1</v>
      </c>
      <c r="JZ210" s="189">
        <f t="shared" si="926"/>
        <v>0</v>
      </c>
      <c r="KA210" s="262">
        <f>JZ210*各项系数!$E$38</f>
        <v>0</v>
      </c>
      <c r="KB210" s="282">
        <f>IF($DF210&lt;&gt;$KB$9,0,各项系数!$F$76/4*($NE210^2-$NC210^2)*10^-2*各项系数!$F$41*10^-3*10^2)*各项系数!$J$4</f>
        <v>0</v>
      </c>
      <c r="KC210" s="102">
        <v>1</v>
      </c>
      <c r="KD210" s="189">
        <f t="shared" si="927"/>
        <v>0</v>
      </c>
      <c r="KE210" s="262">
        <f>KD210*各项系数!$E$41</f>
        <v>0</v>
      </c>
      <c r="KF210" s="189">
        <f t="shared" si="928"/>
        <v>1.2292063440627269E-3</v>
      </c>
      <c r="KG210" s="189">
        <f t="shared" si="929"/>
        <v>2.4584126881254539E-2</v>
      </c>
      <c r="KH210" s="235">
        <f>各项系数!$F$76/4*($NG210^2-$NE210^2)*10^-2*各项系数!$F$44*10^-3*10^2*各项系数!$J$4*0.75*$U210</f>
        <v>0.51229964661722516</v>
      </c>
      <c r="KI210" s="102">
        <v>1</v>
      </c>
      <c r="KJ210" s="189">
        <f t="shared" si="930"/>
        <v>0.51229964661722516</v>
      </c>
      <c r="KK210" s="189">
        <f>ROUND(KJ210*各项系数!$E$43,GT210)</f>
        <v>3</v>
      </c>
      <c r="KL210" s="235">
        <f>各项系数!$F$76/4*($NF210^2-$NE210^2)*10^-2*各项系数!$F$46*10^-3*10^2*各项系数!$J$4*PI()/4*R210</f>
        <v>1.5537236593051279E-2</v>
      </c>
      <c r="KM210" s="102">
        <v>1</v>
      </c>
      <c r="KN210" s="189">
        <f t="shared" si="931"/>
        <v>1.5537236593051279E-2</v>
      </c>
      <c r="KO210" s="189">
        <f>KN210*各项系数!$E$46</f>
        <v>1.0487634700309614</v>
      </c>
      <c r="KP210" s="235">
        <f>各项系数!$F$76/4*($NH210^2-$NE210^2)*10^-2*(VLOOKUP($KP$9,各项系数!$D$1:$F$143,3,0))*10^-3*10^2*各项系数!$J$4</f>
        <v>0.10478189330468848</v>
      </c>
      <c r="KQ210" s="102">
        <v>1</v>
      </c>
      <c r="KR210" s="189">
        <f t="shared" si="1016"/>
        <v>0.10478189330468848</v>
      </c>
      <c r="KS210" s="189">
        <f>KR210*(VLOOKUP($KP$9,各项系数!$D$1:$F$143,2,0))</f>
        <v>1.7812921861797042</v>
      </c>
      <c r="KT210" s="235">
        <f>各项系数!$F$76/4*($NI210^2-$NF210^2)*10^-2*(VLOOKUP($KT$9,各项系数!$D$1:$F$143,3,0))*10^-3*10^2*各项系数!$J$4</f>
        <v>0.1060872627513669</v>
      </c>
      <c r="KU210" s="102">
        <v>1</v>
      </c>
      <c r="KV210" s="189">
        <f t="shared" si="1017"/>
        <v>0.1060872627513669</v>
      </c>
      <c r="KW210" s="189">
        <f>KV210*(VLOOKUP($KT$9,各项系数!$D$1:$F$143,2,0))</f>
        <v>1.8034834667732373</v>
      </c>
      <c r="KX210" s="189">
        <f>各项系数!$F$76/4*($NH210^2-$NE210^2)*10^-2*(VLOOKUP($KX$9,各项系数!$D$1:$F$143,3,0))*10^-3*10^2*各项系数!$J$4</f>
        <v>0.10478189330468848</v>
      </c>
      <c r="KY210" s="353">
        <v>1</v>
      </c>
      <c r="KZ210" s="189">
        <f t="shared" si="1018"/>
        <v>0.10478189330468848</v>
      </c>
      <c r="LA210" s="189">
        <f>KZ210*(VLOOKUP($KX$9,各项系数!$D$1:$F$143,2,0))</f>
        <v>1.7812921861797042</v>
      </c>
      <c r="LB210" s="189">
        <f>各项系数!$F$76/4*($NI210^2-$NF210^2)*10^-2*(VLOOKUP($LB$9,各项系数!$D$1:$F$143,3,0))*10^-3*10^2*各项系数!$J$4</f>
        <v>0.1060872627513669</v>
      </c>
      <c r="LC210" s="353">
        <v>1</v>
      </c>
      <c r="LD210" s="189">
        <f t="shared" si="1019"/>
        <v>0.1060872627513669</v>
      </c>
      <c r="LE210" s="189">
        <f>LD210*(VLOOKUP($LB$9,各项系数!$D$1:$F$143,2,0))</f>
        <v>1.8034834667732373</v>
      </c>
      <c r="LF210" s="235">
        <f>各项系数!$F$76/4*($NH210^2-$NE210^2)*10^-2*(VLOOKUP(AN210,各项系数!$D$1:$F$143,3,0))*10^-3*10^2*各项系数!$J$4</f>
        <v>0.10622716079854627</v>
      </c>
      <c r="LG210" s="102">
        <v>1</v>
      </c>
      <c r="LH210" s="189">
        <f t="shared" si="932"/>
        <v>0.10622716079854627</v>
      </c>
      <c r="LI210" s="189">
        <f>LH210*(VLOOKUP(AN210,各项系数!$D$1:$F$143,2,0))</f>
        <v>1.0622716079854628</v>
      </c>
      <c r="LJ210" s="235">
        <f>各项系数!$F$76/4*($NI210^2-$NF210^2)*10^-2*(VLOOKUP(AN210,各项系数!$D$1:$F$143,3,0))*10^-3*10^2*各项系数!$J$4</f>
        <v>0.10755053534104092</v>
      </c>
      <c r="LK210" s="102">
        <v>1</v>
      </c>
      <c r="LL210" s="189">
        <f t="shared" si="933"/>
        <v>0.10755053534104092</v>
      </c>
      <c r="LM210" s="189">
        <f>LL210*(VLOOKUP(AN210,各项系数!$D$1:$F$143,2,0))</f>
        <v>1.0755053534104091</v>
      </c>
      <c r="LN210" s="189">
        <f>各项系数!$F$76/4*($NH210^2-$NE210^2)*10^-2*(VLOOKUP($LN$9,各项系数!$D$1:$F$143,3,0))*10^-3*10^2*各项系数!$J$4</f>
        <v>0.10622716079854627</v>
      </c>
      <c r="LO210" s="353">
        <v>1</v>
      </c>
      <c r="LP210" s="189">
        <f t="shared" si="934"/>
        <v>0.10622716079854627</v>
      </c>
      <c r="LQ210" s="189">
        <f>LP210*(VLOOKUP($LN$9,各项系数!$D$1:$F$143,2,0))</f>
        <v>1.1684987687840089</v>
      </c>
      <c r="LR210" s="189">
        <f>各项系数!$F$76/4*($NI210^2-$NF210^2)*10^-2*(VLOOKUP($LR$9,各项系数!$D$1:$F$143,3,0))*10^-3*10^2*各项系数!$J$4</f>
        <v>0.10755053534104092</v>
      </c>
      <c r="LS210" s="353">
        <v>1</v>
      </c>
      <c r="LT210" s="189">
        <f t="shared" si="935"/>
        <v>0.10755053534104092</v>
      </c>
      <c r="LU210" s="189">
        <f>LT210*(VLOOKUP($LR$9,各项系数!$D$1:$F$143,2,0))</f>
        <v>1.1830558887514502</v>
      </c>
      <c r="LV210" s="227">
        <f t="shared" si="1020"/>
        <v>11.25810819</v>
      </c>
      <c r="LW210" s="227">
        <f t="shared" si="1021"/>
        <v>11.25810819</v>
      </c>
      <c r="LX210" s="227">
        <f t="shared" si="1022"/>
        <v>3.7860624065663266</v>
      </c>
      <c r="LY210" s="227">
        <f t="shared" si="1023"/>
        <v>0</v>
      </c>
      <c r="LZ210" s="374">
        <f t="shared" si="967"/>
        <v>1</v>
      </c>
      <c r="MA210" s="375">
        <f t="shared" si="968"/>
        <v>11.25810819</v>
      </c>
      <c r="MB210" s="375">
        <f t="shared" si="1024"/>
        <v>2.1858841500000001</v>
      </c>
      <c r="MC210" s="227">
        <f t="shared" si="1025"/>
        <v>4.6693547999999998</v>
      </c>
      <c r="MD210" s="227">
        <f t="shared" si="1026"/>
        <v>4.6693548199999997</v>
      </c>
      <c r="ME210" s="227">
        <f t="shared" si="1027"/>
        <v>2.4382795584640693</v>
      </c>
      <c r="MF210" s="227">
        <f t="shared" si="1028"/>
        <v>-1.9999999878450581E-8</v>
      </c>
      <c r="MG210" s="374">
        <f t="shared" si="1029"/>
        <v>1</v>
      </c>
      <c r="MH210" s="375">
        <f t="shared" si="969"/>
        <v>4.6693547999999998</v>
      </c>
      <c r="MI210" s="375">
        <f t="shared" si="1030"/>
        <v>1.7241240065260599</v>
      </c>
      <c r="MJ210" s="189">
        <f t="shared" si="970"/>
        <v>2.1858841500000001</v>
      </c>
      <c r="MK210" s="189">
        <f t="shared" si="1031"/>
        <v>2.1858841500000001</v>
      </c>
      <c r="ML210" s="189">
        <f t="shared" si="936"/>
        <v>1.72412400708262</v>
      </c>
      <c r="MM210" s="189">
        <f t="shared" si="971"/>
        <v>1.7241240065260599</v>
      </c>
      <c r="MN210" s="189">
        <f t="shared" si="972"/>
        <v>3.58588415</v>
      </c>
      <c r="MO210" s="189">
        <f t="shared" si="1032"/>
        <v>3.1241240065260598</v>
      </c>
      <c r="MP210" s="189">
        <f t="shared" si="1033"/>
        <v>9.1831862500000003</v>
      </c>
      <c r="MQ210" s="189">
        <f t="shared" si="937"/>
        <v>9.1831862500000003</v>
      </c>
      <c r="MR210" s="246">
        <f t="shared" si="1034"/>
        <v>9.1831862500000003</v>
      </c>
      <c r="MS210" s="380">
        <f t="shared" si="973"/>
        <v>9.3591862500000005</v>
      </c>
      <c r="MT210" s="380">
        <f t="shared" si="974"/>
        <v>9.5191862500000006</v>
      </c>
      <c r="MU210" s="380">
        <f t="shared" si="975"/>
        <v>10.55918625</v>
      </c>
      <c r="MV210" s="380">
        <f t="shared" si="976"/>
        <v>12.95918625</v>
      </c>
      <c r="MW210" s="380">
        <f t="shared" si="977"/>
        <v>13.11918625</v>
      </c>
      <c r="MX210" s="254">
        <f t="shared" si="978"/>
        <v>2.7858841500000002</v>
      </c>
      <c r="MY210" s="254">
        <f t="shared" si="979"/>
        <v>2.32412400652606</v>
      </c>
      <c r="MZ210" s="189">
        <f t="shared" si="980"/>
        <v>4.1858841499999997</v>
      </c>
      <c r="NA210" s="189">
        <f t="shared" si="981"/>
        <v>3.7241240065260599</v>
      </c>
      <c r="NB210" s="189">
        <f t="shared" si="1035"/>
        <v>10.80318625</v>
      </c>
      <c r="NC210" s="254">
        <f t="shared" si="938"/>
        <v>10.80318625</v>
      </c>
      <c r="ND210" s="246">
        <f t="shared" si="1036"/>
        <v>10.80318625</v>
      </c>
      <c r="NE210" s="386">
        <f t="shared" si="1037"/>
        <v>11.04318625</v>
      </c>
      <c r="NF210" s="380">
        <f t="shared" si="982"/>
        <v>11.20318625</v>
      </c>
      <c r="NG210" s="387">
        <f t="shared" si="983"/>
        <v>12.243186250000001</v>
      </c>
      <c r="NH210" s="254">
        <f t="shared" si="984"/>
        <v>14.643186249999999</v>
      </c>
      <c r="NI210" s="380">
        <f t="shared" si="985"/>
        <v>14.80318625</v>
      </c>
      <c r="NK210" s="388">
        <f t="shared" si="986"/>
        <v>0.30448997519766574</v>
      </c>
      <c r="NL210" s="388">
        <f t="shared" si="987"/>
        <v>10.765509999436844</v>
      </c>
      <c r="NM210" s="388">
        <f t="shared" si="988"/>
        <v>0.30448997519766574</v>
      </c>
      <c r="NN210" s="388">
        <f t="shared" si="989"/>
        <v>10.857808643175634</v>
      </c>
      <c r="NO210" s="388">
        <f t="shared" si="990"/>
        <v>0.45442441002263229</v>
      </c>
      <c r="NP210" s="388">
        <f t="shared" si="991"/>
        <v>11.515087296285062</v>
      </c>
      <c r="NQ210" s="388">
        <f t="shared" si="992"/>
        <v>0.45442441002263229</v>
      </c>
      <c r="NR210" s="388">
        <f t="shared" si="993"/>
        <v>11.621314457083606</v>
      </c>
      <c r="NS210" s="388">
        <f t="shared" si="994"/>
        <v>0.31767494456848133</v>
      </c>
      <c r="NT210" s="388">
        <f t="shared" si="995"/>
        <v>0.31767494456848133</v>
      </c>
      <c r="NU210" s="388">
        <f t="shared" si="996"/>
        <v>0.46996164661568357</v>
      </c>
      <c r="NV210" s="388">
        <f t="shared" si="997"/>
        <v>0.46996164661568357</v>
      </c>
      <c r="NW210">
        <f t="shared" si="998"/>
        <v>0.45055788384166262</v>
      </c>
      <c r="NX210">
        <f>各项系数!$M$9*NK210</f>
        <v>9.134699255929972E-2</v>
      </c>
      <c r="NY210">
        <f t="shared" si="999"/>
        <v>0.31767494456848133</v>
      </c>
    </row>
    <row r="211" spans="1:389" ht="15" hidden="1" customHeight="1">
      <c r="A211" s="69"/>
      <c r="B211" s="70"/>
      <c r="C211" s="69"/>
      <c r="D211" s="102" t="s">
        <v>309</v>
      </c>
      <c r="E211" s="61">
        <f t="shared" si="885"/>
        <v>13.208536730000001</v>
      </c>
      <c r="F211" s="16">
        <f>$F$18</f>
        <v>218.58841470644899</v>
      </c>
      <c r="G211" s="16"/>
      <c r="H211" s="16"/>
      <c r="I211" s="145">
        <f>$F$17</f>
        <v>172.412400708262</v>
      </c>
      <c r="J211" s="16"/>
      <c r="K211" s="16"/>
      <c r="L211" s="97" t="s">
        <v>469</v>
      </c>
      <c r="M211" s="103">
        <f t="shared" si="940"/>
        <v>0.7</v>
      </c>
      <c r="N211" s="103">
        <f t="shared" si="1038"/>
        <v>0.7</v>
      </c>
      <c r="O211" s="53">
        <f t="shared" si="1039"/>
        <v>0.08</v>
      </c>
      <c r="P211" s="99">
        <v>0.1</v>
      </c>
      <c r="Q211" s="133">
        <f t="shared" si="941"/>
        <v>0.1</v>
      </c>
      <c r="R211" s="406">
        <v>0.8</v>
      </c>
      <c r="S211" s="142" t="str">
        <f>各项系数!$D$43</f>
        <v>钢带</v>
      </c>
      <c r="T211" s="102">
        <v>0.2</v>
      </c>
      <c r="U211" s="62">
        <v>4</v>
      </c>
      <c r="V211" s="143"/>
      <c r="W211" s="141">
        <f>$W$202</f>
        <v>1.8</v>
      </c>
      <c r="X211" s="135">
        <f t="shared" si="942"/>
        <v>0.2</v>
      </c>
      <c r="Y211" s="135"/>
      <c r="Z211" s="168"/>
      <c r="AA211" s="153">
        <v>1</v>
      </c>
      <c r="AB211" s="153">
        <f>PI()*EJ211*EJ211/4*EH211*(1-H211)*AA211*各项系数!$F$5*各项系数!$J$4*10^-7</f>
        <v>3.3194719556349603E-2</v>
      </c>
      <c r="AC211" s="153">
        <f t="shared" si="886"/>
        <v>218.58841470644899</v>
      </c>
      <c r="AD211" s="153">
        <f t="shared" si="943"/>
        <v>3.7527027212948432</v>
      </c>
      <c r="AE211" s="153">
        <f>POWER(4*EU211/PI()/EG211/10^-7/EH211/(1-H211)/各项系数!$F$5/各项系数!$J$4,0.5)</f>
        <v>218.58841470644899</v>
      </c>
      <c r="AF211" s="69">
        <f>$AA$182</f>
        <v>1</v>
      </c>
      <c r="AG211" s="69">
        <f>IF(EM211=0,0,PI()*ER211*ER211/4*EP211*(1-K211)*(1+AF211)*各项系数!$F$5*各项系数!$J$4*10^-7)</f>
        <v>4.1303011377805829E-2</v>
      </c>
      <c r="AH211" s="69">
        <f t="shared" si="887"/>
        <v>172.412400708262</v>
      </c>
      <c r="AI211" s="69">
        <f t="shared" si="1000"/>
        <v>2.3346774015073013</v>
      </c>
      <c r="AJ211" s="69">
        <f>IF(OR(EP211="",EP211=0),0,POWER(4*EW211/PI()/EO211/10^-7/EP211/(1-K211)/各项系数!$F$5/各项系数!$J$4,0.5))</f>
        <v>172.41240070826197</v>
      </c>
      <c r="AK211" s="69">
        <f t="shared" si="944"/>
        <v>0.1534303839143013</v>
      </c>
      <c r="AL211" s="69">
        <f t="shared" si="888"/>
        <v>12.026161503248957</v>
      </c>
      <c r="AM211" s="188">
        <f t="shared" si="889"/>
        <v>4</v>
      </c>
      <c r="AN211" s="97" t="s">
        <v>486</v>
      </c>
      <c r="AO211" s="196">
        <f>AP211+各项系数!$M$9*$NK211</f>
        <v>11.790354414949958</v>
      </c>
      <c r="AP211" s="196">
        <f>AQ211*(1+$BI211+(VLOOKUP($AM211,$A$12:$B$323,2,0))+各项系数!$J$6+各项系数!$M$5)*(1+$E$2)</f>
        <v>11.695588137858401</v>
      </c>
      <c r="AQ211" s="197">
        <f>AR211+各项系数!$L$9*$NK211</f>
        <v>11.816112485207517</v>
      </c>
      <c r="AR211" s="197">
        <f>AS211*(1+$BJ211+各项系数!$J$5+各项系数!$L$5)</f>
        <v>11.721346208115961</v>
      </c>
      <c r="AS211" s="197">
        <f t="shared" si="1001"/>
        <v>11.491515890309765</v>
      </c>
      <c r="AT211" s="196">
        <f>AU211+各项系数!$M$9*$NM211</f>
        <v>12.435185708411369</v>
      </c>
      <c r="AU211" s="196">
        <f>AV211*(1+$BI211+(VLOOKUP($AM211,$A$12:$B$323,2,0))+各项系数!$J$6+各项系数!$M$5)*(1+$E$2)</f>
        <v>12.340419431319813</v>
      </c>
      <c r="AV211" s="197">
        <f>AW211+各项系数!$L$9*$NM211</f>
        <v>12.467588837461923</v>
      </c>
      <c r="AW211" s="197">
        <f>AX211*(1+$BJ211+各项系数!$J$5+各项系数!$L$5)</f>
        <v>12.372822560370366</v>
      </c>
      <c r="AX211" s="197">
        <f t="shared" si="1002"/>
        <v>12.130218196441536</v>
      </c>
      <c r="AY211" s="196">
        <f>AZ211+各项系数!$M$9*$NS211</f>
        <v>12.734055360199878</v>
      </c>
      <c r="AZ211" s="196">
        <f>BA211*(1+$BI211+(VLOOKUP($AM211,$A$12:$B$214,2,0))+各项系数!$J$6+各项系数!$M$5)*(1+$E$2)</f>
        <v>12.635229101983368</v>
      </c>
      <c r="BA211" s="197">
        <f>BB211+各项系数!$L$9*$NS211</f>
        <v>12.765436554842763</v>
      </c>
      <c r="BB211" s="197">
        <f>BC211*(1+$BJ211+各项系数!$J$5+各项系数!$L$5)</f>
        <v>12.666610296626253</v>
      </c>
      <c r="BC211" s="199">
        <f t="shared" si="1003"/>
        <v>12.418245388849268</v>
      </c>
      <c r="BD211" s="196">
        <f>BE211+各项系数!$M$9*$NS211</f>
        <v>13.387930145337352</v>
      </c>
      <c r="BE211" s="196">
        <f>BF211*(1+$BI211+(VLOOKUP($AM211,$A$12:$B$214,2,0))+各项系数!$J$6+各项系数!$M$5)*(1+$E$2)</f>
        <v>13.289103887120842</v>
      </c>
      <c r="BF211" s="197">
        <f>BG211+各项系数!$L$9*$NS211</f>
        <v>13.426049592969127</v>
      </c>
      <c r="BG211" s="197">
        <f>BH211*(1+$BJ211+各项系数!$J$5+各项系数!$L$5)</f>
        <v>13.327223334752617</v>
      </c>
      <c r="BH211" s="199">
        <f t="shared" si="1004"/>
        <v>13.065905230149625</v>
      </c>
      <c r="BI211" s="213">
        <v>0.01</v>
      </c>
      <c r="BJ211" s="208">
        <f>$BJ$199</f>
        <v>0</v>
      </c>
      <c r="BK211" s="102" t="s">
        <v>514</v>
      </c>
      <c r="BL211" s="196">
        <f>BM211+各项系数!$M$9*$NM211</f>
        <v>12.000297957650799</v>
      </c>
      <c r="BM211" s="196">
        <f>BN211*(1+$CF211+(VLOOKUP($AM211,$A$12:$B$323,2,0))+各项系数!$J$6+各项系数!$M$5)*(1+$E$2)</f>
        <v>11.905531680559243</v>
      </c>
      <c r="BN211" s="197">
        <f>BO211+各项系数!$L$9*$NM211</f>
        <v>12.028219519659773</v>
      </c>
      <c r="BO211" s="197">
        <f>BP211*(1+$CG211+各项系数!$J$5+各项系数!$L$5)</f>
        <v>11.933453242568216</v>
      </c>
      <c r="BP211" s="197">
        <f t="shared" si="1005"/>
        <v>11.585876934532248</v>
      </c>
      <c r="BQ211" s="196">
        <f>BR211+各项系数!$M$9*$NM211</f>
        <v>12.555250608119747</v>
      </c>
      <c r="BR211" s="196">
        <f>BS211*(1+$CF211+(VLOOKUP($AM211,$A$12:$B$323,2,0))+各项系数!$J$6+各项系数!$M$5)*(1+$E$2)</f>
        <v>12.460484331028191</v>
      </c>
      <c r="BS211" s="197">
        <f>BT211+各项系数!$L$9*$NM211</f>
        <v>12.58889101942634</v>
      </c>
      <c r="BT211" s="197">
        <f>BU211*(1+$CG211+各项系数!$J$5+各项系数!$L$5)</f>
        <v>12.494124742334783</v>
      </c>
      <c r="BU211" s="197">
        <f t="shared" si="1006"/>
        <v>12.130218196441536</v>
      </c>
      <c r="BV211" s="196">
        <f>BW211+各项系数!$M$9*$NT211</f>
        <v>12.86488172994318</v>
      </c>
      <c r="BW211" s="196">
        <f>BX211*(1+$CF211+(VLOOKUP($AM211,$A$12:$B$214,2,0))+各项系数!$J$6+各项系数!$M$5)*(1+$E$2)</f>
        <v>12.76605547172667</v>
      </c>
      <c r="BX211" s="197">
        <f>BY211+各项系数!$L$9*$NT$12</f>
        <v>12.897611104997646</v>
      </c>
      <c r="BY211" s="197">
        <f>BZ211*(1+$CG211+各项系数!$J$5+各项系数!$L$5)</f>
        <v>12.889347701842672</v>
      </c>
      <c r="BZ211" s="199">
        <f t="shared" si="945"/>
        <v>12.513929807614245</v>
      </c>
      <c r="CA211" s="196">
        <f>CB211+各项系数!$M$9*$NT211</f>
        <v>13.427617361365463</v>
      </c>
      <c r="CB211" s="196">
        <f>CC211*(1+$CF211+(VLOOKUP($AM211,$A$12:$B$214,2,0))+各项系数!$J$6+各项系数!$M$5)*(1+$E$2)</f>
        <v>13.328791103148953</v>
      </c>
      <c r="CC211" s="197">
        <f>CD211+各项系数!$L$9*$NT$12</f>
        <v>13.466145790209087</v>
      </c>
      <c r="CD211" s="197">
        <f>CE211*(1+$CG211+各项系数!$J$5+各项系数!$L$5)</f>
        <v>13.457882387054113</v>
      </c>
      <c r="CE211" s="199">
        <f t="shared" si="1007"/>
        <v>13.065905230149625</v>
      </c>
      <c r="CF211" s="213">
        <f t="shared" si="884"/>
        <v>0.01</v>
      </c>
      <c r="CG211" s="213">
        <f t="shared" si="946"/>
        <v>0.01</v>
      </c>
      <c r="CH211" s="102"/>
      <c r="CI211" s="196">
        <f>CJ211+各项系数!$M$9*$NO211</f>
        <v>12.735259019008456</v>
      </c>
      <c r="CJ211" s="196">
        <f>CK211*(1+$DC211+(VLOOKUP($AM211,$A$12:$B$323,2,0))+各项系数!$J$6+各项系数!$M$5)*(1+$E$2)+各项系数!$M$9*$NK211</f>
        <v>12.593094202620115</v>
      </c>
      <c r="CK211" s="197">
        <f>CL211+各项系数!$L$9*$NO211</f>
        <v>12.627124596411962</v>
      </c>
      <c r="CL211" s="197">
        <f>CM211*(1+$DD211+各项系数!$J$5+各项系数!$L$5)</f>
        <v>12.484959780023621</v>
      </c>
      <c r="CM211" s="197">
        <f t="shared" si="947"/>
        <v>12.240156647081982</v>
      </c>
      <c r="CN211" s="196">
        <f>CO211+各项系数!$M$9*$NO211</f>
        <v>13.239468561375253</v>
      </c>
      <c r="CO211" s="196">
        <f>CP211*(1+$DC211+(VLOOKUP($AM211,$A$12:$B$323,2,0))+各项系数!$J$6+各项系数!$M$5)*(1+$E$2)+各项系数!$M$9*$NK211</f>
        <v>13.097303744986911</v>
      </c>
      <c r="CP211" s="197">
        <f>CQ211+各项系数!$L$9*$NO211</f>
        <v>13.136530074656855</v>
      </c>
      <c r="CQ211" s="197">
        <f>CR211*(1+$DD211+各项系数!$J$5+各项系数!$L$5)</f>
        <v>12.994365258268514</v>
      </c>
      <c r="CR211" s="197">
        <f t="shared" si="948"/>
        <v>12.739573782616191</v>
      </c>
      <c r="CS211" s="196">
        <f>CT211+各项系数!$M$9*$NU211</f>
        <v>13.745899521111234</v>
      </c>
      <c r="CT211" s="196">
        <f t="shared" si="949"/>
        <v>13.59896904343127</v>
      </c>
      <c r="CU211" s="197">
        <f>CV211+各项系数!$L$9*$NU211</f>
        <v>13.739107944464811</v>
      </c>
      <c r="CV211" s="197">
        <f>CW211*(1+$DD211+各项系数!$J$5+各项系数!$L$5)</f>
        <v>13.592177466784847</v>
      </c>
      <c r="CW211" s="199">
        <f t="shared" si="950"/>
        <v>13.325664183122399</v>
      </c>
      <c r="CX211" s="196">
        <f>CY211+各项系数!$M$9*$NU211</f>
        <v>14.494957056139283</v>
      </c>
      <c r="CY211" s="196">
        <f t="shared" si="951"/>
        <v>14.348026578459319</v>
      </c>
      <c r="CZ211" s="197">
        <f>DA211+各项系数!$L$9*$NU211</f>
        <v>14.495884601393533</v>
      </c>
      <c r="DA211" s="197">
        <f>DB211*(1+$DD211+各项系数!$J$5+各项系数!$L$5)</f>
        <v>14.348954123713568</v>
      </c>
      <c r="DB211" s="199">
        <f t="shared" si="952"/>
        <v>14.067602082072126</v>
      </c>
      <c r="DC211" s="213">
        <f t="shared" si="1040"/>
        <v>0.01</v>
      </c>
      <c r="DD211" s="213">
        <f t="shared" si="953"/>
        <v>0</v>
      </c>
      <c r="DE211" s="53" t="s">
        <v>498</v>
      </c>
      <c r="DF211" s="53" t="s">
        <v>513</v>
      </c>
      <c r="DG211" s="196">
        <f>DH211+各项系数!$M$9*$NQ211</f>
        <v>12.966812647491151</v>
      </c>
      <c r="DH211" s="196">
        <f>DI211*(1+$EA211+(VLOOKUP($AM211,$A$12:$B$323,2,0))+各项系数!$J$6+各项系数!$M$5)*(1+$E$2)+各项系数!$M$9*$NK211</f>
        <v>12.82464783110281</v>
      </c>
      <c r="DI211" s="197">
        <f>DJ211+各项系数!$L$9*$NQ211</f>
        <v>12.86106441100349</v>
      </c>
      <c r="DJ211" s="197">
        <f>DK211*(1+$EB211+各项系数!$J$5+各项系数!$L$5)</f>
        <v>12.718899594615149</v>
      </c>
      <c r="DK211" s="197">
        <f t="shared" si="954"/>
        <v>12.348446208364221</v>
      </c>
      <c r="DL211" s="196">
        <f>DM211+各项系数!$M$9*$NQ211</f>
        <v>13.603681172493967</v>
      </c>
      <c r="DM211" s="196">
        <f>DN211*(1+$EA211+(VLOOKUP($AM211,$A$12:$B$323,2,0))+各项系数!$J$6+各项系数!$M$5)*(1+$E$2)+各项系数!$M$9*$NK211</f>
        <v>13.461516356105626</v>
      </c>
      <c r="DN211" s="197">
        <f>DO211+各项系数!$L$9*$NQ211</f>
        <v>13.504495937577358</v>
      </c>
      <c r="DO211" s="197">
        <f>DP211*(1+$EB211+各项系数!$J$5+各项系数!$L$5)</f>
        <v>13.362331121189017</v>
      </c>
      <c r="DP211" s="197">
        <f t="shared" si="955"/>
        <v>12.973137010863123</v>
      </c>
      <c r="DQ211" s="196">
        <f>DR211+各项系数!$M$9*$NV211</f>
        <v>13.98954667559148</v>
      </c>
      <c r="DR211" s="196">
        <f t="shared" si="956"/>
        <v>13.842616197911516</v>
      </c>
      <c r="DS211" s="197">
        <f>DT211+各项系数!$L$9*$NV211</f>
        <v>13.985265910195512</v>
      </c>
      <c r="DT211" s="197">
        <f>DU211*(1+$EB211+各项系数!$J$5+各项系数!$L$5)</f>
        <v>13.838335432515548</v>
      </c>
      <c r="DU211" s="199">
        <f t="shared" si="957"/>
        <v>13.435277118947134</v>
      </c>
      <c r="DV211" s="196">
        <f>DW211+各项系数!$M$9*$NV211</f>
        <v>14.142352177750158</v>
      </c>
      <c r="DW211" s="196">
        <f t="shared" si="958"/>
        <v>13.995421700070194</v>
      </c>
      <c r="DX211" s="197">
        <f>DY211+各项系数!$L$9*$NV211</f>
        <v>14.139646090190134</v>
      </c>
      <c r="DY211" s="197">
        <f>DZ211*(1+$EB211+各项系数!$J$5+各项系数!$L$5)</f>
        <v>13.992715612510169</v>
      </c>
      <c r="DZ211" s="199">
        <f t="shared" si="959"/>
        <v>13.585160788844824</v>
      </c>
      <c r="EA211" s="213">
        <f>BI211+$EA$2</f>
        <v>0.01</v>
      </c>
      <c r="EB211" s="213">
        <f t="shared" si="960"/>
        <v>0.01</v>
      </c>
      <c r="EC211" s="235" t="str">
        <f t="shared" si="1008"/>
        <v>4+1</v>
      </c>
      <c r="ED211" s="235" t="str">
        <f t="shared" si="890"/>
        <v>4*4</v>
      </c>
      <c r="EE211" s="189">
        <f t="shared" si="891"/>
        <v>4</v>
      </c>
      <c r="EF211" s="189">
        <f>LOOKUP(EH211,{1,7,10,14,19,24,30,37,48,61},{1,"1+6","2+8","4+10","1+6+12","2+8+14","4+10+16","1+6+12+18","3+9+15+21","1+6+12+18+24"})</f>
        <v>1</v>
      </c>
      <c r="EG211" s="188">
        <f t="shared" si="961"/>
        <v>4</v>
      </c>
      <c r="EH211" s="197">
        <f>VLOOKUP(EE211,各项系数!$B$87:$C$124,2,0)</f>
        <v>1</v>
      </c>
      <c r="EI211" s="188">
        <f>IF(EH211=0,0,VLOOKUP(EH211,各项系数!$D$142:$E$195,2,0))*1</f>
        <v>1</v>
      </c>
      <c r="EJ211" s="238">
        <f t="shared" si="1009"/>
        <v>218.58841470644899</v>
      </c>
      <c r="EK211" s="189" t="str">
        <f t="shared" si="892"/>
        <v>1*2.5</v>
      </c>
      <c r="EL211" s="189" t="str">
        <f t="shared" si="962"/>
        <v>2.5</v>
      </c>
      <c r="EM211" s="189">
        <f t="shared" si="893"/>
        <v>2.5</v>
      </c>
      <c r="EN211" s="189">
        <f>IF(EP211=0,0,LOOKUP(EP211,{1,7,10,14,19,24,30,37,48,61},{1,"1+6","2+8","4+10","1+6+12","2+8+14","4+10+16","1+6+12+18","3+9+15+21","1+6+12+18+24"}))</f>
        <v>1</v>
      </c>
      <c r="EO211" s="189" t="str">
        <f t="shared" si="894"/>
        <v>1</v>
      </c>
      <c r="EP211" s="189">
        <f>IF(EM211=0,0,IF(EM211&lt;10,1,IF(AND(EM211&gt;=10,EM211&lt;=35),7,LOOKUP(EM211,{50,70,95,120,150,185,240,300},{10,14,19,24,30,37,48,61})*1)))</f>
        <v>1</v>
      </c>
      <c r="EQ211" s="189">
        <f>IF(EP211=0,0,VLOOKUP(EP211,各项系数!$D$142:$E$195,2,0))*1</f>
        <v>1</v>
      </c>
      <c r="ER211" s="53">
        <f t="shared" si="895"/>
        <v>172.412400708262</v>
      </c>
      <c r="ES211" s="412">
        <f t="shared" si="896"/>
        <v>5</v>
      </c>
      <c r="ET211" s="189">
        <f>VLOOKUP(ES211,各项系数!$D$142:$E$195,2,0)*1</f>
        <v>2.7</v>
      </c>
      <c r="EU211" s="243">
        <f>((各项系数!$F$76/4*$EJ211^2*$EG211*$EH211*1*10^-7)*(1-$H211)*AA211)*(VLOOKUP($EY$9,各项系数!$D$4:$F$143,3,0))*各项系数!$J$4</f>
        <v>0.13277887822539838</v>
      </c>
      <c r="EV211" s="244">
        <f>EU211*(VLOOKUP($EY$9,各项系数!$D$4:$F$143,2,0))</f>
        <v>8.6970165237635939</v>
      </c>
      <c r="EW211" s="252">
        <f>(IF($EO211=0,0,(各项系数!$F$76/4*$ER211^2*$EO211*$EP211*1*10^-7))*(1-$K211)*$AF211)*(VLOOKUP($EY$9,各项系数!$D$4:$F$143,3,0))*各项系数!$J$4</f>
        <v>2.0651505688902914E-2</v>
      </c>
      <c r="EX211" s="253">
        <f>EW211*(VLOOKUP($EY$9,各项系数!$D$4:$F$143,2,0))</f>
        <v>1.3526736226231408</v>
      </c>
      <c r="EY211" s="189">
        <f>((各项系数!$F$76/4*$EJ211^2*$EG211*$EH211*1*10^-7)*(1-$H211)*AA211+IF($EO211=0,0,(各项系数!$F$76/4*$ER211^2*$EO211*$EP211*1*10^-7))*(1-$K211)*$AF211)*(VLOOKUP($EY$9,各项系数!$D$4:$F$143,3,0))*各项系数!$J$4</f>
        <v>0.1534303839143013</v>
      </c>
      <c r="EZ211" s="102">
        <v>1</v>
      </c>
      <c r="FA211" s="189">
        <f t="shared" si="897"/>
        <v>0.1534303839143013</v>
      </c>
      <c r="FB211" s="254">
        <f>FA211*(VLOOKUP($EY$9,各项系数!$D$4:$F$143,2,0))</f>
        <v>10.049690146386736</v>
      </c>
      <c r="FC211" s="255"/>
      <c r="FD211" s="235">
        <f>各项系数!$F$76/4*($MN211^2-MK211^2)*10^-2*(VLOOKUP(L211,各项系数!$D$1:$F$143,3,0))*10^-3*10^2*$EG211*各项系数!$J$4</f>
        <v>2.7784498534184611E-2</v>
      </c>
      <c r="FE211" s="262">
        <f>FD211*VLOOKUP(L211,各项系数!$D$1:$F$143,2,0)</f>
        <v>0.31952173314312304</v>
      </c>
      <c r="FF211" s="188">
        <f>各项系数!$F$76/4*($MO211^2-ML211^2)*10^-2*(VLOOKUP(L211,各项系数!$D$1:$F$143,3,0))*10^-3*10^2*$EO211*各项系数!$J$4</f>
        <v>5.8346997303201833E-3</v>
      </c>
      <c r="FG211" s="262">
        <f>FF211*VLOOKUP(L211,各项系数!$D$1:$F$143,2,0)</f>
        <v>6.709904689868211E-2</v>
      </c>
      <c r="FH211" s="235">
        <f t="shared" si="1010"/>
        <v>3.3619198264504796E-2</v>
      </c>
      <c r="FI211" s="102">
        <v>1</v>
      </c>
      <c r="FJ211" s="189">
        <f t="shared" si="898"/>
        <v>3.3619198264504796E-2</v>
      </c>
      <c r="FK211" s="262">
        <f>FJ211*VLOOKUP(L211,各项系数!$D$1:$F$143,2,0)</f>
        <v>0.38662078004180517</v>
      </c>
      <c r="FL211" s="235"/>
      <c r="FM211" s="102"/>
      <c r="FN211" s="189"/>
      <c r="FO211" s="262"/>
      <c r="FP211" s="282">
        <f t="shared" si="899"/>
        <v>3.3619198264504796E-2</v>
      </c>
      <c r="FQ211" s="282">
        <f t="shared" si="900"/>
        <v>0.38662078004180517</v>
      </c>
      <c r="FR211" s="283">
        <f>各项系数!$F$76/4*($MQ211^2-$MN211^2*$EG211-$MO211^2*$EO211)*10^-2</f>
        <v>0.21817055494879201</v>
      </c>
      <c r="FS211" s="284">
        <f t="shared" si="1011"/>
        <v>1</v>
      </c>
      <c r="FT211" s="285">
        <f t="shared" si="963"/>
        <v>0.21817055494879201</v>
      </c>
      <c r="FU211" s="302">
        <f>$FT211*(VLOOKUP($FT$9,各项系数!$D$1:$F$143,3,0))*10^-3*10^2*各项系数!$J$55</f>
        <v>2.6049564260885765E-2</v>
      </c>
      <c r="FV211" s="303">
        <v>1</v>
      </c>
      <c r="FW211" s="304">
        <f t="shared" si="901"/>
        <v>2.6049564260885765E-2</v>
      </c>
      <c r="FX211" s="285">
        <f>FW211*(VLOOKUP($FT$9,各项系数!$D$1:$F$143,2,0))</f>
        <v>7.8148692782657292E-2</v>
      </c>
      <c r="FY211" s="302">
        <f>IF($BK211&lt;&gt;$FY$9,0,各项系数!$F$76/4*($MS211^2-$MQ211^2)*10^-2*(VLOOKUP($FY$9,各项系数!$D$1:$F$143,3,0))*10^-3*10^2)*各项系数!$J$4</f>
        <v>0</v>
      </c>
      <c r="FZ211" s="303">
        <v>1</v>
      </c>
      <c r="GA211" s="304">
        <f t="shared" si="902"/>
        <v>0</v>
      </c>
      <c r="GB211" s="285">
        <f>GA211*(VLOOKUP($FY$9,各项系数!$D$1:$F$143,2,0))</f>
        <v>0</v>
      </c>
      <c r="GC211" s="302">
        <f>IF($BK211&lt;&gt;$GC$9,0,各项系数!$F$76/4*($MS211^2-$MQ211^2)*10^-2*(VLOOKUP($GC$9,各项系数!$D$1:$F$143,3,0))*10^-3*10^2)*各项系数!$J$4</f>
        <v>2.5926999126929437E-3</v>
      </c>
      <c r="GD211" s="303">
        <v>1</v>
      </c>
      <c r="GE211" s="304">
        <f t="shared" si="903"/>
        <v>2.5926999126929437E-3</v>
      </c>
      <c r="GF211" s="285">
        <f>GE211*(VLOOKUP($GC$9,各项系数!$D$1:$F$143,2,0))</f>
        <v>3.3445828873738974E-2</v>
      </c>
      <c r="GG211" s="302">
        <f>IF($BK211&lt;&gt;$GG$9,0,各项系数!$F$76/4*($MS211^2-$MQ211^2)*10^-2*(VLOOKUP($GG$9,各项系数!$D$1:$F$143,3,0))*10^-3*10^2)*各项系数!$J$4</f>
        <v>0</v>
      </c>
      <c r="GH211" s="303">
        <v>1</v>
      </c>
      <c r="GI211" s="304">
        <f t="shared" si="904"/>
        <v>0</v>
      </c>
      <c r="GJ211" s="285">
        <f>GI211*(VLOOKUP($GG$9,各项系数!$D$1:$F$143,2,0))</f>
        <v>0</v>
      </c>
      <c r="GK211" s="302">
        <f>IF($BK211&lt;&gt;$GK$9,0,各项系数!$F$76/4*($MS211^2-$MQ211^2)*10^-2*(VLOOKUP($GK$9,各项系数!$D$1:$F$143,3,0))*10^-3*10^2)*各项系数!$J$4</f>
        <v>0</v>
      </c>
      <c r="GL211" s="303">
        <v>1</v>
      </c>
      <c r="GM211" s="304">
        <f t="shared" si="905"/>
        <v>0</v>
      </c>
      <c r="GN211" s="285">
        <f>GM211*(VLOOKUP($GK$9,各项系数!$D$1:$F$143,2,0))</f>
        <v>0</v>
      </c>
      <c r="GO211" s="304">
        <f t="shared" si="906"/>
        <v>2.5926999126929437E-3</v>
      </c>
      <c r="GP211" s="304">
        <f t="shared" si="907"/>
        <v>3.3445828873738974E-2</v>
      </c>
      <c r="GQ211" s="315">
        <f>各项系数!$F$76/4*($MU211^2-$MS211^2)*10^-2*(VLOOKUP($S211,各项系数!$D$1:$F$143,3,0))*10^-3*10^2*各项系数!$J$4</f>
        <v>0.14972504510260823</v>
      </c>
      <c r="GR211" s="303">
        <v>1</v>
      </c>
      <c r="GS211" s="304">
        <f t="shared" si="908"/>
        <v>0.14972504510260823</v>
      </c>
      <c r="GT211" s="304">
        <f t="shared" si="909"/>
        <v>1</v>
      </c>
      <c r="GU211" s="304">
        <f>ROUND($GS211*(VLOOKUP($S211,各项系数!$D$1:$F$143,2,0))+$E$3*GS211,GT211)</f>
        <v>0.9</v>
      </c>
      <c r="GV211" s="315">
        <f>各项系数!$F$76/4*($MT211^2-$MS211^2)*10^-2*(VLOOKUP($GV$9,各项系数!$D$1:$F$143,3,0))*10^-3*10^2*各项系数!$J$4*PI()/4*R211</f>
        <v>1.3533270416511959E-2</v>
      </c>
      <c r="GW211" s="303">
        <v>1</v>
      </c>
      <c r="GX211" s="304">
        <f t="shared" si="910"/>
        <v>1.3533270416511959E-2</v>
      </c>
      <c r="GY211" s="304">
        <f>$GX211*(VLOOKUP($GV$9,各项系数!$D$1:$F$143,2,0))</f>
        <v>0.91349575311455722</v>
      </c>
      <c r="GZ211" s="315">
        <f>各项系数!$F$76/4*($MV211^2-$MS211^2)*10^-2*(VLOOKUP($GZ$9,各项系数!$D$1:$F$143,3,0))*10^-3*10^2*各项系数!$J$4</f>
        <v>9.3077220491564527E-2</v>
      </c>
      <c r="HA211" s="303">
        <v>1</v>
      </c>
      <c r="HB211" s="304">
        <f t="shared" si="1012"/>
        <v>9.3077220491564527E-2</v>
      </c>
      <c r="HC211" s="304">
        <f>HB211*(VLOOKUP($GZ$9,各项系数!$D$1:$F$143,2,0))</f>
        <v>1.5823127483565971</v>
      </c>
      <c r="HD211" s="315">
        <f>各项系数!$F$76/4*($MW211^2-$MT211^2)*10^-2*(VLOOKUP($HD$9,各项系数!$D$1:$F$143,3,0))*10^-3*10^2*各项系数!$J$4</f>
        <v>9.4382589938242917E-2</v>
      </c>
      <c r="HE211" s="303">
        <v>1</v>
      </c>
      <c r="HF211" s="304">
        <f t="shared" si="1013"/>
        <v>9.4382589938242917E-2</v>
      </c>
      <c r="HG211" s="304">
        <f>HF211*(VLOOKUP($HD$9,各项系数!$D$1:$F$143,2,0))</f>
        <v>1.6045040289501296</v>
      </c>
      <c r="HH211" s="315">
        <f>各项系数!$F$76/4*($MV211^2-$MS211^2)*10^-2*(VLOOKUP($HH$9,各项系数!$D$1:$F$143,3,0))*10^-3*10^2*各项系数!$J$4</f>
        <v>9.3077220491564527E-2</v>
      </c>
      <c r="HI211" s="322">
        <v>1</v>
      </c>
      <c r="HJ211" s="304">
        <f t="shared" si="1014"/>
        <v>9.3077220491564527E-2</v>
      </c>
      <c r="HK211" s="304">
        <f>HJ211*(VLOOKUP($HH$9,各项系数!$D$1:$F$143,2,0))</f>
        <v>1.5823127483565971</v>
      </c>
      <c r="HL211" s="315">
        <f>各项系数!$F$76/4*($MW211^2-$MT211^2)*10^-2*(VLOOKUP($HL$9,各项系数!$D$1:$F$143,3,0))*10^-3*10^2*各项系数!$J$4</f>
        <v>9.4382589938242917E-2</v>
      </c>
      <c r="HM211" s="322">
        <v>1</v>
      </c>
      <c r="HN211" s="304">
        <f t="shared" si="964"/>
        <v>9.4382589938242917E-2</v>
      </c>
      <c r="HO211" s="304">
        <f>HN211*(VLOOKUP($HL$9,各项系数!$D$1:$F$143,2,0))</f>
        <v>1.6045040289501296</v>
      </c>
      <c r="HP211" s="315">
        <f>各项系数!$F$76/4*($MV211^2-$MS211^2)*10^-2*(VLOOKUP(AN211,各项系数!$D$1:$F$143,3,0))*10^-3*10^2*各项系数!$J$4</f>
        <v>9.4361044222482662E-2</v>
      </c>
      <c r="HQ211" s="303">
        <v>1</v>
      </c>
      <c r="HR211" s="304">
        <f t="shared" si="911"/>
        <v>9.4361044222482662E-2</v>
      </c>
      <c r="HS211" s="304">
        <f>HR211*(VLOOKUP(AN211,各项系数!$D$1:$F$143,2,0))</f>
        <v>0.9436104422248266</v>
      </c>
      <c r="HT211" s="315">
        <f>各项系数!$F$76/4*($MW211^2-$MT211^2)*10^-2*(VLOOKUP(AN211,各项系数!$D$1:$F$143,3,0))*10^-3*10^2*各项系数!$J$4</f>
        <v>9.5684418764977311E-2</v>
      </c>
      <c r="HU211" s="303">
        <v>1</v>
      </c>
      <c r="HV211" s="304">
        <f t="shared" si="912"/>
        <v>9.5684418764977311E-2</v>
      </c>
      <c r="HW211" s="304">
        <f>HV211*(VLOOKUP(AN211,各项系数!$D$1:$F$143,2,0))</f>
        <v>0.95684418764977308</v>
      </c>
      <c r="HX211" s="315">
        <f>各项系数!$F$76/4*($MV211^2-$MS211^2)*10^-2*(VLOOKUP($HX$9,各项系数!$D$1:$F$143,3,0))*10^-3*10^2*各项系数!$J$4</f>
        <v>9.4361044222482662E-2</v>
      </c>
      <c r="HY211" s="322">
        <v>1</v>
      </c>
      <c r="HZ211" s="304">
        <f t="shared" si="913"/>
        <v>9.4361044222482662E-2</v>
      </c>
      <c r="IA211" s="304">
        <f>HZ211*(VLOOKUP($HX$9,各项系数!$D$1:$F$143,2,0))</f>
        <v>1.0379714864473093</v>
      </c>
      <c r="IB211" s="315">
        <f>各项系数!$F$76/4*($MW211^2-$MT211^2)*10^-2*(VLOOKUP($IB$9,各项系数!$D$1:$F$143,3,0))*10^-3*10^2*各项系数!$J$4</f>
        <v>9.5684418764977311E-2</v>
      </c>
      <c r="IC211" s="322">
        <v>1</v>
      </c>
      <c r="ID211" s="304">
        <f t="shared" si="914"/>
        <v>9.5684418764977311E-2</v>
      </c>
      <c r="IE211" s="304">
        <f>ID211*(VLOOKUP($IB$9,各项系数!$D$1:$F$143,2,0))</f>
        <v>1.0525286064147503</v>
      </c>
      <c r="IF211" s="328"/>
      <c r="IG211" s="315">
        <f t="shared" si="1015"/>
        <v>1.6834287181008448E-2</v>
      </c>
      <c r="IH211" s="303">
        <v>1</v>
      </c>
      <c r="II211" s="304">
        <f t="shared" si="915"/>
        <v>1.6834287181008448E-2</v>
      </c>
      <c r="IJ211" s="304">
        <f>II211*(VLOOKUP($IG$8,各项系数!$D$1:$F$143,2,0))</f>
        <v>0.42085717952521118</v>
      </c>
      <c r="IK211" s="315">
        <f>(各项系数!$F$76/4*($MX211^2-$MK211^2)*$EG211)*10^-2*(VLOOKUP($IG$8,各项系数!$D$1:$F$143,3,0))*10^-3*10^2*各项系数!$J$4</f>
        <v>1.3987056971517723E-2</v>
      </c>
      <c r="IL211" s="303">
        <f>IK211*(VLOOKUP($IG$8,各项系数!$D$1:$F$143,2,0))</f>
        <v>0.3496764242879431</v>
      </c>
      <c r="IM211" s="304">
        <f>(各项系数!$F$76/4*(($MM211+3*$X211)^2-MM211^2)*$EO211)*10^-2*(VLOOKUP($IG$8,各项系数!$D$1:$F$143,3,0))*10^-3*10^2*各项系数!$J$4</f>
        <v>2.8472302094907256E-3</v>
      </c>
      <c r="IN211" s="303">
        <f>IM211*(VLOOKUP($IG$8,各项系数!$D$1:$F$143,2,0))</f>
        <v>7.1180755237268134E-2</v>
      </c>
      <c r="IO211" s="315">
        <f>各项系数!$F$76/4*($MZ211^2-$MX211^2)*10^-2*(VLOOKUP(L211,各项系数!$D$1:$F$143,3,0))*10^-3*10^2*$ES211*各项系数!$J$4</f>
        <v>4.19514168023742E-2</v>
      </c>
      <c r="IP211" s="303">
        <v>1</v>
      </c>
      <c r="IQ211" s="304">
        <f t="shared" si="916"/>
        <v>4.19514168023742E-2</v>
      </c>
      <c r="IR211" s="285">
        <f>IQ211*(VLOOKUP(L211,各项系数!$D$1:$F$143,2,0))</f>
        <v>0.48244129322730328</v>
      </c>
      <c r="IS211" s="315">
        <f>IF($L211&lt;&gt;$IS$9,0,各项系数!$F$76/4*($MZ211^2-$MX211^2)*10^-2*各项系数!$F$12*10^-3*10^2)*$ES211*各项系数!$J$4</f>
        <v>0</v>
      </c>
      <c r="IT211" s="303">
        <v>1</v>
      </c>
      <c r="IU211" s="304">
        <f t="shared" si="917"/>
        <v>0</v>
      </c>
      <c r="IV211" s="285">
        <f>IU211*各项系数!$E$12</f>
        <v>0</v>
      </c>
      <c r="IW211" s="302">
        <f t="shared" si="918"/>
        <v>4.19514168023742E-2</v>
      </c>
      <c r="IX211" s="302">
        <f t="shared" si="919"/>
        <v>0.48244129322730328</v>
      </c>
      <c r="IY211" s="339">
        <f>各项系数!$F$76/4*($NB211^2-$MZ211^2*$EG211-$NA211^2*$EO211)*10^-2</f>
        <v>0.30004537827229377</v>
      </c>
      <c r="IZ211" s="284">
        <f t="shared" si="697"/>
        <v>1</v>
      </c>
      <c r="JA211" s="285">
        <f t="shared" si="965"/>
        <v>0.30004537827229377</v>
      </c>
      <c r="JB211" s="282">
        <f>IF($DE211&lt;&gt;$JB$9,0,$JA211*各项系数!$F$32*10^-3*10^2)*各项系数!$J$4</f>
        <v>0</v>
      </c>
      <c r="JC211" s="102">
        <v>1</v>
      </c>
      <c r="JD211" s="189">
        <f t="shared" si="920"/>
        <v>0</v>
      </c>
      <c r="JE211" s="262">
        <f>JD211*各项系数!$E$32</f>
        <v>0</v>
      </c>
      <c r="JF211" s="282">
        <f>IF($DE211&lt;&gt;$JF$9,0,$JA211*VLOOKUP($JF$9,各项系数!$D$4:$F$540,2,0)*10^-3*10^2)*各项系数!$J$4</f>
        <v>0.14927257569046615</v>
      </c>
      <c r="JG211" s="102">
        <v>1</v>
      </c>
      <c r="JH211" s="189">
        <f t="shared" si="966"/>
        <v>0.14927257569046615</v>
      </c>
      <c r="JI211" s="262">
        <f>JH211*VLOOKUP($JF$9,各项系数!$D$4:$F$540,3,0)</f>
        <v>0.17912709082855938</v>
      </c>
      <c r="JJ211" s="282">
        <f t="shared" si="921"/>
        <v>0.14927257569046615</v>
      </c>
      <c r="JK211" s="189">
        <f t="shared" si="922"/>
        <v>0.17912709082855938</v>
      </c>
      <c r="JL211" s="282">
        <f>IF($DF211&lt;&gt;$JL$9,0,各项系数!$F$76/4*($NE211^2-$NC211^2)*10^-2*各项系数!$F$39*10^-3*10^2)*各项系数!$J$4</f>
        <v>1.2572662145891578E-3</v>
      </c>
      <c r="JM211" s="102">
        <v>1</v>
      </c>
      <c r="JN211" s="189">
        <f t="shared" si="923"/>
        <v>1.2572662145891578E-3</v>
      </c>
      <c r="JO211" s="262">
        <f>JN211*各项系数!$E$39</f>
        <v>2.5145324291783157E-2</v>
      </c>
      <c r="JP211" s="282">
        <f>IF($DF211&lt;&gt;$JP$9,0,各项系数!$F$76/4*($NE211^2-$NC211^2)*10^-2*各项系数!$F$36*10^-3*10^2)*各项系数!$J$4</f>
        <v>0</v>
      </c>
      <c r="JQ211" s="102">
        <v>1</v>
      </c>
      <c r="JR211" s="189">
        <f t="shared" si="924"/>
        <v>0</v>
      </c>
      <c r="JS211" s="262">
        <f>JR211*各项系数!$E$36</f>
        <v>0</v>
      </c>
      <c r="JT211" s="282">
        <f>IF($DF211&lt;&gt;$JT$9,0,各项系数!$F$76/4*($NE211^2-$NC211^2)*10^-2*各项系数!$F$40*10^-3*10^2)*各项系数!$J$4</f>
        <v>0</v>
      </c>
      <c r="JU211" s="102">
        <v>1</v>
      </c>
      <c r="JV211" s="189">
        <f t="shared" si="925"/>
        <v>0</v>
      </c>
      <c r="JW211" s="262">
        <f>JV211*各项系数!$E$40</f>
        <v>0</v>
      </c>
      <c r="JX211" s="282">
        <f>IF($DF211&lt;&gt;$JX$9,0,各项系数!$F$76/4*($NE211^2-$NC211^2)*10^-2*各项系数!$F$38*10^-3*10^2)*各项系数!$J$4</f>
        <v>0</v>
      </c>
      <c r="JY211" s="102">
        <v>1</v>
      </c>
      <c r="JZ211" s="189">
        <f t="shared" si="926"/>
        <v>0</v>
      </c>
      <c r="KA211" s="262">
        <f>JZ211*各项系数!$E$38</f>
        <v>0</v>
      </c>
      <c r="KB211" s="282">
        <f>IF($DF211&lt;&gt;$KB$9,0,各项系数!$F$76/4*($NE211^2-$NC211^2)*10^-2*各项系数!$F$41*10^-3*10^2)*各项系数!$J$4</f>
        <v>0</v>
      </c>
      <c r="KC211" s="102">
        <v>1</v>
      </c>
      <c r="KD211" s="189">
        <f t="shared" si="927"/>
        <v>0</v>
      </c>
      <c r="KE211" s="262">
        <f>KD211*各项系数!$E$41</f>
        <v>0</v>
      </c>
      <c r="KF211" s="189">
        <f t="shared" si="928"/>
        <v>1.2572662145891578E-3</v>
      </c>
      <c r="KG211" s="189">
        <f t="shared" si="929"/>
        <v>2.5145324291783157E-2</v>
      </c>
      <c r="KH211" s="235">
        <f>各项系数!$F$76/4*($NG211^2-$NE211^2)*10^-2*各项系数!$F$44*10^-3*10^2*各项系数!$J$4*0.75*$U211</f>
        <v>0.52327105599305967</v>
      </c>
      <c r="KI211" s="102">
        <v>1</v>
      </c>
      <c r="KJ211" s="189">
        <f t="shared" si="930"/>
        <v>0.52327105599305967</v>
      </c>
      <c r="KK211" s="189">
        <f>ROUND(KJ211*各项系数!$E$43,GT211)</f>
        <v>3</v>
      </c>
      <c r="KL211" s="235">
        <f>各项系数!$F$76/4*($NF211^2-$NE211^2)*10^-2*各项系数!$F$46*10^-3*10^2*各项系数!$J$4*PI()/4*R211</f>
        <v>1.588553763874773E-2</v>
      </c>
      <c r="KM211" s="102">
        <v>1</v>
      </c>
      <c r="KN211" s="189">
        <f t="shared" si="931"/>
        <v>1.588553763874773E-2</v>
      </c>
      <c r="KO211" s="189">
        <f>KN211*各项系数!$E$46</f>
        <v>1.0722737906154718</v>
      </c>
      <c r="KP211" s="235">
        <f>各项系数!$F$76/4*($NH211^2-$NE211^2)*10^-2*(VLOOKUP($KP$9,各项系数!$D$1:$F$143,3,0))*10^-3*10^2*各项系数!$J$4</f>
        <v>0.10681623391785473</v>
      </c>
      <c r="KQ211" s="102">
        <v>1</v>
      </c>
      <c r="KR211" s="189">
        <f t="shared" si="1016"/>
        <v>0.10681623391785473</v>
      </c>
      <c r="KS211" s="189">
        <f>KR211*(VLOOKUP($KP$9,各项系数!$D$1:$F$143,2,0))</f>
        <v>1.8158759766035304</v>
      </c>
      <c r="KT211" s="235">
        <f>各项系数!$F$76/4*($NI211^2-$NF211^2)*10^-2*(VLOOKUP($KT$9,各项系数!$D$1:$F$143,3,0))*10^-3*10^2*各项系数!$J$4</f>
        <v>0.10812160336453308</v>
      </c>
      <c r="KU211" s="102">
        <v>1</v>
      </c>
      <c r="KV211" s="189">
        <f t="shared" si="1017"/>
        <v>0.10812160336453308</v>
      </c>
      <c r="KW211" s="189">
        <f>KV211*(VLOOKUP($KT$9,各项系数!$D$1:$F$143,2,0))</f>
        <v>1.8380672571970624</v>
      </c>
      <c r="KX211" s="189">
        <f>各项系数!$F$76/4*($NH211^2-$NE211^2)*10^-2*(VLOOKUP($KX$9,各项系数!$D$1:$F$143,3,0))*10^-3*10^2*各项系数!$J$4</f>
        <v>0.10681623391785473</v>
      </c>
      <c r="KY211" s="353">
        <v>1</v>
      </c>
      <c r="KZ211" s="189">
        <f t="shared" si="1018"/>
        <v>0.10681623391785473</v>
      </c>
      <c r="LA211" s="189">
        <f>KZ211*(VLOOKUP($KX$9,各项系数!$D$1:$F$143,2,0))</f>
        <v>1.8158759766035304</v>
      </c>
      <c r="LB211" s="189">
        <f>各项系数!$F$76/4*($NI211^2-$NF211^2)*10^-2*(VLOOKUP($LB$9,各项系数!$D$1:$F$143,3,0))*10^-3*10^2*各项系数!$J$4</f>
        <v>0.10812160336453308</v>
      </c>
      <c r="LC211" s="353">
        <v>1</v>
      </c>
      <c r="LD211" s="189">
        <f t="shared" si="1019"/>
        <v>0.10812160336453308</v>
      </c>
      <c r="LE211" s="189">
        <f>LD211*(VLOOKUP($LB$9,各项系数!$D$1:$F$143,2,0))</f>
        <v>1.8380672571970624</v>
      </c>
      <c r="LF211" s="235">
        <f>各项系数!$F$76/4*($NH211^2-$NE211^2)*10^-2*(VLOOKUP(AN211,各项系数!$D$1:$F$143,3,0))*10^-3*10^2*各项系数!$J$4</f>
        <v>0.10828956128223892</v>
      </c>
      <c r="LG211" s="102">
        <v>1</v>
      </c>
      <c r="LH211" s="189">
        <f t="shared" si="932"/>
        <v>0.10828956128223892</v>
      </c>
      <c r="LI211" s="189">
        <f>LH211*(VLOOKUP(AN211,各项系数!$D$1:$F$143,2,0))</f>
        <v>1.0828956128223892</v>
      </c>
      <c r="LJ211" s="235">
        <f>各项系数!$F$76/4*($NI211^2-$NF211^2)*10^-2*(VLOOKUP(AN211,各项系数!$D$1:$F$143,3,0))*10^-3*10^2*各项系数!$J$4</f>
        <v>0.10961293582473355</v>
      </c>
      <c r="LK211" s="102">
        <v>1</v>
      </c>
      <c r="LL211" s="189">
        <f t="shared" si="933"/>
        <v>0.10961293582473355</v>
      </c>
      <c r="LM211" s="189">
        <f>LL211*(VLOOKUP(AN211,各项系数!$D$1:$F$143,2,0))</f>
        <v>1.0961293582473355</v>
      </c>
      <c r="LN211" s="189">
        <f>各项系数!$F$76/4*($NH211^2-$NE211^2)*10^-2*(VLOOKUP($LN$9,各项系数!$D$1:$F$143,3,0))*10^-3*10^2*各项系数!$J$4</f>
        <v>0.10828956128223892</v>
      </c>
      <c r="LO211" s="353">
        <v>1</v>
      </c>
      <c r="LP211" s="189">
        <f t="shared" si="934"/>
        <v>0.10828956128223892</v>
      </c>
      <c r="LQ211" s="189">
        <f>LP211*(VLOOKUP($LN$9,各项系数!$D$1:$F$143,2,0))</f>
        <v>1.1911851741046282</v>
      </c>
      <c r="LR211" s="189">
        <f>各项系数!$F$76/4*($NI211^2-$NF211^2)*10^-2*(VLOOKUP($LR$9,各项系数!$D$1:$F$143,3,0))*10^-3*10^2*各项系数!$J$4</f>
        <v>0.10961293582473355</v>
      </c>
      <c r="LS211" s="353">
        <v>1</v>
      </c>
      <c r="LT211" s="189">
        <f t="shared" si="935"/>
        <v>0.10961293582473355</v>
      </c>
      <c r="LU211" s="189">
        <f>LT211*(VLOOKUP($LR$9,各项系数!$D$1:$F$143,2,0))</f>
        <v>1.205742294072069</v>
      </c>
      <c r="LV211" s="227">
        <f t="shared" si="1020"/>
        <v>15.01081093</v>
      </c>
      <c r="LW211" s="227">
        <f t="shared" si="1021"/>
        <v>15.01081093</v>
      </c>
      <c r="LX211" s="227">
        <f t="shared" si="1022"/>
        <v>4.3717683006557886</v>
      </c>
      <c r="LY211" s="227">
        <f t="shared" si="1023"/>
        <v>0</v>
      </c>
      <c r="LZ211" s="374">
        <f t="shared" si="967"/>
        <v>1</v>
      </c>
      <c r="MA211" s="375">
        <f t="shared" si="968"/>
        <v>15.01081093</v>
      </c>
      <c r="MB211" s="375">
        <f t="shared" si="1024"/>
        <v>2.1858841500000001</v>
      </c>
      <c r="MC211" s="227">
        <f t="shared" si="1025"/>
        <v>2.3346773999999999</v>
      </c>
      <c r="MD211" s="227">
        <f t="shared" si="1026"/>
        <v>2.3346774099999998</v>
      </c>
      <c r="ME211" s="227">
        <f t="shared" si="1027"/>
        <v>1.7241240102184845</v>
      </c>
      <c r="MF211" s="227">
        <f t="shared" si="1028"/>
        <v>-9.9999999392252903E-9</v>
      </c>
      <c r="MG211" s="374">
        <f t="shared" si="1029"/>
        <v>1</v>
      </c>
      <c r="MH211" s="375">
        <f t="shared" si="969"/>
        <v>2.3346773999999999</v>
      </c>
      <c r="MI211" s="375">
        <f t="shared" si="1030"/>
        <v>1.7241240065260599</v>
      </c>
      <c r="MJ211" s="189">
        <f t="shared" si="970"/>
        <v>2.1858841500000001</v>
      </c>
      <c r="MK211" s="189">
        <f t="shared" si="1031"/>
        <v>2.1858841500000001</v>
      </c>
      <c r="ML211" s="189">
        <f t="shared" si="936"/>
        <v>1.72412400708262</v>
      </c>
      <c r="MM211" s="189">
        <f t="shared" si="971"/>
        <v>1.7241240065260599</v>
      </c>
      <c r="MN211" s="189">
        <f t="shared" si="972"/>
        <v>3.58588415</v>
      </c>
      <c r="MO211" s="189">
        <f t="shared" si="1032"/>
        <v>3.1241240065260598</v>
      </c>
      <c r="MP211" s="189">
        <f t="shared" si="1033"/>
        <v>9.4325367300000007</v>
      </c>
      <c r="MQ211" s="189">
        <f t="shared" si="937"/>
        <v>9.4325367300000007</v>
      </c>
      <c r="MR211" s="246">
        <f t="shared" si="1034"/>
        <v>9.4325367300000007</v>
      </c>
      <c r="MS211" s="380">
        <f t="shared" si="973"/>
        <v>9.6085367300000009</v>
      </c>
      <c r="MT211" s="380">
        <f t="shared" si="974"/>
        <v>9.768536730000001</v>
      </c>
      <c r="MU211" s="380">
        <f t="shared" si="975"/>
        <v>10.80853673</v>
      </c>
      <c r="MV211" s="380">
        <f t="shared" si="976"/>
        <v>13.208536730000001</v>
      </c>
      <c r="MW211" s="380">
        <f t="shared" si="977"/>
        <v>13.368536730000001</v>
      </c>
      <c r="MX211" s="254">
        <f t="shared" si="978"/>
        <v>2.7858841500000002</v>
      </c>
      <c r="MY211" s="254">
        <f t="shared" si="979"/>
        <v>2.32412400652606</v>
      </c>
      <c r="MZ211" s="189">
        <f t="shared" si="980"/>
        <v>4.1858841499999997</v>
      </c>
      <c r="NA211" s="189">
        <f t="shared" si="981"/>
        <v>3.7241240065260599</v>
      </c>
      <c r="NB211" s="189">
        <f t="shared" si="1035"/>
        <v>11.05253673</v>
      </c>
      <c r="NC211" s="254">
        <f t="shared" si="938"/>
        <v>11.05253673</v>
      </c>
      <c r="ND211" s="246">
        <f t="shared" si="1036"/>
        <v>11.05253673</v>
      </c>
      <c r="NE211" s="386">
        <f t="shared" si="1037"/>
        <v>11.29253673</v>
      </c>
      <c r="NF211" s="380">
        <f t="shared" si="982"/>
        <v>11.45253673</v>
      </c>
      <c r="NG211" s="387">
        <f t="shared" si="983"/>
        <v>12.492536730000001</v>
      </c>
      <c r="NH211" s="254">
        <f t="shared" si="984"/>
        <v>14.89253673</v>
      </c>
      <c r="NI211" s="380">
        <f t="shared" si="985"/>
        <v>15.05253673</v>
      </c>
      <c r="NK211" s="388">
        <f t="shared" si="986"/>
        <v>0.31588759030518765</v>
      </c>
      <c r="NL211" s="388">
        <f t="shared" si="987"/>
        <v>11.558614937208448</v>
      </c>
      <c r="NM211" s="388">
        <f t="shared" si="988"/>
        <v>0.31588759030518765</v>
      </c>
      <c r="NN211" s="388">
        <f t="shared" si="989"/>
        <v>11.652975981430931</v>
      </c>
      <c r="NO211" s="388">
        <f t="shared" si="990"/>
        <v>0.4738827212944689</v>
      </c>
      <c r="NP211" s="388">
        <f t="shared" si="991"/>
        <v>12.31133740231925</v>
      </c>
      <c r="NQ211" s="388">
        <f t="shared" si="992"/>
        <v>0.4738827212944689</v>
      </c>
      <c r="NR211" s="388">
        <f t="shared" si="993"/>
        <v>12.419626963601489</v>
      </c>
      <c r="NS211" s="388">
        <f t="shared" si="994"/>
        <v>0.32942086072169963</v>
      </c>
      <c r="NT211" s="388">
        <f t="shared" si="995"/>
        <v>0.32942086072169963</v>
      </c>
      <c r="NU211" s="388">
        <f t="shared" si="996"/>
        <v>0.48976825893321663</v>
      </c>
      <c r="NV211" s="388">
        <f t="shared" si="997"/>
        <v>0.48976825893321663</v>
      </c>
      <c r="NW211">
        <f t="shared" si="998"/>
        <v>0.46561263540779585</v>
      </c>
      <c r="NX211">
        <f>各项系数!$M$9*NK211</f>
        <v>9.4766277091556286E-2</v>
      </c>
      <c r="NY211">
        <f t="shared" si="999"/>
        <v>0.32942086072169963</v>
      </c>
    </row>
    <row r="212" spans="1:389" ht="15" hidden="1" customHeight="1">
      <c r="A212" s="69"/>
      <c r="B212" s="70"/>
      <c r="C212" s="69"/>
      <c r="D212" s="69" t="s">
        <v>319</v>
      </c>
      <c r="E212" s="61">
        <f t="shared" si="885"/>
        <v>13.340226339999999</v>
      </c>
      <c r="F212" s="16">
        <f>$F$19</f>
        <v>267.425148012862</v>
      </c>
      <c r="G212" s="16"/>
      <c r="H212" s="16"/>
      <c r="I212" s="145">
        <f>$F$18</f>
        <v>218.58841470644899</v>
      </c>
      <c r="J212" s="16"/>
      <c r="K212" s="16"/>
      <c r="L212" s="97" t="s">
        <v>469</v>
      </c>
      <c r="M212" s="103">
        <f t="shared" si="940"/>
        <v>0.7</v>
      </c>
      <c r="N212" s="103">
        <f t="shared" si="1038"/>
        <v>0.7</v>
      </c>
      <c r="O212" s="53">
        <f t="shared" si="1039"/>
        <v>0.08</v>
      </c>
      <c r="P212" s="99">
        <v>0.1</v>
      </c>
      <c r="Q212" s="133">
        <f t="shared" si="941"/>
        <v>0.1</v>
      </c>
      <c r="R212" s="406">
        <v>0.8</v>
      </c>
      <c r="S212" s="142" t="str">
        <f>各项系数!$D$43</f>
        <v>钢带</v>
      </c>
      <c r="T212" s="102">
        <v>0.2</v>
      </c>
      <c r="U212" s="62">
        <v>4</v>
      </c>
      <c r="V212" s="143"/>
      <c r="W212" s="141">
        <f>$W$202</f>
        <v>1.8</v>
      </c>
      <c r="X212" s="135">
        <f t="shared" si="942"/>
        <v>0.2</v>
      </c>
      <c r="Y212" s="135"/>
      <c r="Z212" s="168"/>
      <c r="AA212" s="153">
        <v>1</v>
      </c>
      <c r="AB212" s="153">
        <f>PI()*EJ212*EJ212/4*EH212*(1-H212)*AA212*各项系数!$F$5*各项系数!$J$4*10^-7</f>
        <v>4.9684304271029656E-2</v>
      </c>
      <c r="AC212" s="153">
        <f t="shared" si="886"/>
        <v>267.425148012862</v>
      </c>
      <c r="AD212" s="153">
        <f t="shared" si="943"/>
        <v>5.6168699821977892</v>
      </c>
      <c r="AE212" s="153">
        <f>POWER(4*EU212/PI()/EG212/10^-7/EH212/(1-H212)/各项系数!$F$5/各项系数!$J$4,0.5)</f>
        <v>267.425148012862</v>
      </c>
      <c r="AF212" s="69">
        <f>$AA$199</f>
        <v>1</v>
      </c>
      <c r="AG212" s="69">
        <f>IF(EM212=0,0,PI()*ER212*ER212/4*EP212*(1-K212)*(1+AF212)*各项系数!$F$5*各项系数!$J$4*10^-7)</f>
        <v>6.6389439112699206E-2</v>
      </c>
      <c r="AH212" s="69">
        <f t="shared" si="887"/>
        <v>218.58841470644899</v>
      </c>
      <c r="AI212" s="69">
        <f t="shared" si="1000"/>
        <v>3.7527027212948432</v>
      </c>
      <c r="AJ212" s="69">
        <f>IF(OR(EP212="",EP212=0),0,POWER(4*EW212/PI()/EO212/10^-7/EP212/(1-K212)/各项系数!$F$5/各项系数!$J$4,0.5))</f>
        <v>218.58841470644899</v>
      </c>
      <c r="AK212" s="69">
        <f t="shared" si="944"/>
        <v>0.18224763236943856</v>
      </c>
      <c r="AL212" s="69">
        <f t="shared" si="888"/>
        <v>13.975379362884214</v>
      </c>
      <c r="AM212" s="188">
        <f t="shared" si="889"/>
        <v>6</v>
      </c>
      <c r="AN212" s="97" t="s">
        <v>486</v>
      </c>
      <c r="AO212" s="196">
        <f>AP212+各项系数!$M$9*$NK212</f>
        <v>13.70135231655315</v>
      </c>
      <c r="AP212" s="196">
        <f>AQ212*(1+$BI212+(VLOOKUP($AM212,$A$12:$B$323,2,0))+各项系数!$J$6+各项系数!$M$5)*(1+$E$2)</f>
        <v>13.597670117030257</v>
      </c>
      <c r="AQ212" s="197">
        <f>AR212+各项系数!$L$9*$NK212</f>
        <v>13.73779563248157</v>
      </c>
      <c r="AR212" s="197">
        <f>AS212*(1+$BJ212+各项系数!$J$5+各项系数!$L$5)</f>
        <v>13.634113432958676</v>
      </c>
      <c r="AS212" s="197">
        <f t="shared" si="1001"/>
        <v>13.366777875449682</v>
      </c>
      <c r="AT212" s="196">
        <f>AU212+各项系数!$M$9*$NM212</f>
        <v>14.353626946838682</v>
      </c>
      <c r="AU212" s="196">
        <f>AV212*(1+$BI212+(VLOOKUP($AM212,$A$12:$B$323,2,0))+各项系数!$J$6+各项系数!$M$5)*(1+$E$2)</f>
        <v>14.249944747315789</v>
      </c>
      <c r="AV212" s="197">
        <f>AW212+各项系数!$L$9*$NM212</f>
        <v>14.396792025980794</v>
      </c>
      <c r="AW212" s="197">
        <f>AX212*(1+$BJ212+各项系数!$J$5+各项系数!$L$5)</f>
        <v>14.293109826457901</v>
      </c>
      <c r="AX212" s="197">
        <f t="shared" si="1002"/>
        <v>14.012852771037156</v>
      </c>
      <c r="AY212" s="196">
        <f>AZ212+各项系数!$M$9*$NS212</f>
        <v>14.657698735797648</v>
      </c>
      <c r="AZ212" s="196">
        <f>BA212*(1+$BI212+(VLOOKUP($AM212,$A$12:$B$214,2,0))+各项系数!$J$6+各项系数!$M$5)*(1+$E$2)</f>
        <v>14.549901370621336</v>
      </c>
      <c r="BA212" s="197">
        <f>BB212+各项系数!$L$9*$NS212</f>
        <v>14.699839735927801</v>
      </c>
      <c r="BB212" s="197">
        <f>BC212*(1+$BJ212+各项系数!$J$5+各项系数!$L$5)</f>
        <v>14.592042370751489</v>
      </c>
      <c r="BC212" s="199">
        <f t="shared" si="1003"/>
        <v>14.305923892893617</v>
      </c>
      <c r="BD212" s="196">
        <f>BE212+各项系数!$M$9*$NS212</f>
        <v>15.319016857759246</v>
      </c>
      <c r="BE212" s="196">
        <f>BF212*(1+$BI212+(VLOOKUP($AM212,$A$12:$B$214,2,0))+各项系数!$J$6+各项系数!$M$5)*(1+$E$2)</f>
        <v>15.211219492582934</v>
      </c>
      <c r="BF212" s="197">
        <f>BG212+各项系数!$L$9*$NS212</f>
        <v>15.367972815298984</v>
      </c>
      <c r="BG212" s="197">
        <f>BH212*(1+$BJ212+各项系数!$J$5+各项系数!$L$5)</f>
        <v>15.260175450122672</v>
      </c>
      <c r="BH212" s="199">
        <f t="shared" si="1004"/>
        <v>14.960956323649677</v>
      </c>
      <c r="BI212" s="213"/>
      <c r="BJ212" s="208">
        <f>$BJ$203</f>
        <v>0</v>
      </c>
      <c r="BK212" s="102" t="s">
        <v>514</v>
      </c>
      <c r="BL212" s="196">
        <f>BM212+各项系数!$M$9*$NM212</f>
        <v>13.930967652307571</v>
      </c>
      <c r="BM212" s="196">
        <f>BN212*(1+$CF212+(VLOOKUP($AM212,$A$12:$B$323,2,0))+各项系数!$J$6+各项系数!$M$5)*(1+$E$2)</f>
        <v>13.827285452784677</v>
      </c>
      <c r="BN212" s="197">
        <f>BO212+各项系数!$L$9*$NM212</f>
        <v>13.969777180020889</v>
      </c>
      <c r="BO212" s="197">
        <f>BP212*(1+$CG212+各项系数!$J$5+各项系数!$L$5)</f>
        <v>13.866094980497996</v>
      </c>
      <c r="BP212" s="197">
        <f t="shared" si="1005"/>
        <v>13.462228136405821</v>
      </c>
      <c r="BQ212" s="196">
        <f>BR212+各项系数!$M$9*$NM212</f>
        <v>14.492326163566409</v>
      </c>
      <c r="BR212" s="196">
        <f>BS212*(1+$CF212+(VLOOKUP($AM212,$A$12:$B$323,2,0))+各项系数!$J$6+各项系数!$M$5)*(1+$E$2)</f>
        <v>14.388643964043515</v>
      </c>
      <c r="BS212" s="197">
        <f>BT212+各项系数!$L$9*$NM212</f>
        <v>14.536920553691164</v>
      </c>
      <c r="BT212" s="197">
        <f>BU212*(1+$CG212+各项系数!$J$5+各项系数!$L$5)</f>
        <v>14.433238354168271</v>
      </c>
      <c r="BU212" s="197">
        <f t="shared" si="1006"/>
        <v>14.012852771037156</v>
      </c>
      <c r="BV212" s="196">
        <f>BW212+各项系数!$M$9*$NT212</f>
        <v>14.799440195629836</v>
      </c>
      <c r="BW212" s="196">
        <f>BX212*(1+$CF212+(VLOOKUP($AM212,$A$12:$B$214,2,0))+各项系数!$J$6+各项系数!$M$5)*(1+$E$2)</f>
        <v>14.691642830453524</v>
      </c>
      <c r="BX212" s="197">
        <f>BY212+各项系数!$L$9*$NT$12</f>
        <v>14.843041857398994</v>
      </c>
      <c r="BY212" s="197">
        <f>BZ212*(1+$CG212+各项系数!$J$5+各项系数!$L$5)</f>
        <v>14.83477845424402</v>
      </c>
      <c r="BZ212" s="199">
        <f t="shared" si="945"/>
        <v>14.402697528392252</v>
      </c>
      <c r="CA212" s="196">
        <f>CB212+各项系数!$M$9*$NT212</f>
        <v>15.36858168784201</v>
      </c>
      <c r="CB212" s="196">
        <f>CC212*(1+$CF212+(VLOOKUP($AM212,$A$12:$B$214,2,0))+各项系数!$J$6+各项系数!$M$5)*(1+$E$2)</f>
        <v>15.260784322665698</v>
      </c>
      <c r="CC212" s="197">
        <f>CD212+各项系数!$L$9*$NT$12</f>
        <v>15.418048416514141</v>
      </c>
      <c r="CD212" s="197">
        <f>CE212*(1+$CG212+各项系数!$J$5+各项系数!$L$5)</f>
        <v>15.409785013359167</v>
      </c>
      <c r="CE212" s="199">
        <f t="shared" si="1007"/>
        <v>14.960956323649677</v>
      </c>
      <c r="CF212" s="213">
        <f t="shared" si="884"/>
        <v>0</v>
      </c>
      <c r="CG212" s="213">
        <f t="shared" si="946"/>
        <v>0.01</v>
      </c>
      <c r="CH212" s="102"/>
      <c r="CI212" s="196">
        <f>CJ212+各项系数!$M$9*$NO212</f>
        <v>14.599381879770542</v>
      </c>
      <c r="CJ212" s="196">
        <f>CK212*(1+$DC212+(VLOOKUP($AM212,$A$12:$B$323,2,0))+各项系数!$J$6+各项系数!$M$5)*(1+$E$2)+各项系数!$M$9*$NK212</f>
        <v>14.449709067110392</v>
      </c>
      <c r="CK212" s="197">
        <f>CL212+各项系数!$L$9*$NO212</f>
        <v>14.493864283276924</v>
      </c>
      <c r="CL212" s="197">
        <f>CM212*(1+$DD212+各项系数!$J$5+各项系数!$L$5)</f>
        <v>14.344191470616774</v>
      </c>
      <c r="CM212" s="197">
        <f t="shared" si="947"/>
        <v>14.062932814330171</v>
      </c>
      <c r="CN212" s="196">
        <f>CO212+各项系数!$M$9*$NO212</f>
        <v>15.125063532229806</v>
      </c>
      <c r="CO212" s="196">
        <f>CP212*(1+$DC212+(VLOOKUP($AM212,$A$12:$B$323,2,0))+各项系数!$J$6+各项系数!$M$5)*(1+$E$2)+各项系数!$M$9*$NK212</f>
        <v>14.975390719569656</v>
      </c>
      <c r="CP212" s="197">
        <f>CQ212+各项系数!$L$9*$NO212</f>
        <v>15.024963144116754</v>
      </c>
      <c r="CQ212" s="197">
        <f>CR212*(1+$DD212+各项系数!$J$5+各项系数!$L$5)</f>
        <v>14.875290331456604</v>
      </c>
      <c r="CR212" s="197">
        <f t="shared" si="948"/>
        <v>14.583617972016278</v>
      </c>
      <c r="CS212" s="196">
        <f>CT212+各项系数!$M$9*$NU212</f>
        <v>15.597619759978922</v>
      </c>
      <c r="CT212" s="196">
        <f t="shared" si="949"/>
        <v>15.443196501895359</v>
      </c>
      <c r="CU212" s="197">
        <f>CV212+各项系数!$L$9*$NU212</f>
        <v>15.602340373707174</v>
      </c>
      <c r="CV212" s="197">
        <f>CW212*(1+$DD212+各项系数!$J$5+各项系数!$L$5)</f>
        <v>15.447917115623611</v>
      </c>
      <c r="CW212" s="199">
        <f t="shared" si="950"/>
        <v>15.145016780023147</v>
      </c>
      <c r="CX212" s="196">
        <f>CY212+各项系数!$M$9*$NU212</f>
        <v>16.344624965571224</v>
      </c>
      <c r="CY212" s="196">
        <f t="shared" si="951"/>
        <v>16.19020170748766</v>
      </c>
      <c r="CZ212" s="197">
        <f>DA212+各项系数!$L$9*$NU212</f>
        <v>16.357043551715154</v>
      </c>
      <c r="DA212" s="197">
        <f>DB212*(1+$DD212+各项系数!$J$5+各项系数!$L$5)</f>
        <v>16.20262029363159</v>
      </c>
      <c r="DB212" s="199">
        <f t="shared" si="952"/>
        <v>15.88492185650156</v>
      </c>
      <c r="DC212" s="213">
        <f t="shared" si="1040"/>
        <v>0</v>
      </c>
      <c r="DD212" s="213">
        <f t="shared" si="953"/>
        <v>0</v>
      </c>
      <c r="DE212" s="53" t="s">
        <v>498</v>
      </c>
      <c r="DF212" s="53" t="s">
        <v>513</v>
      </c>
      <c r="DG212" s="196">
        <f>DH212+各项系数!$M$9*$NQ212</f>
        <v>14.848671165655203</v>
      </c>
      <c r="DH212" s="196">
        <f>DI212*(1+$EA212+(VLOOKUP($AM212,$A$12:$B$323,2,0))+各项系数!$J$6+各项系数!$M$5)*(1+$E$2)+各项系数!$M$9*$NK212</f>
        <v>14.698998352995053</v>
      </c>
      <c r="DI212" s="197">
        <f>DJ212+各项系数!$L$9*$NQ212</f>
        <v>14.745722523208892</v>
      </c>
      <c r="DJ212" s="197">
        <f>DK212*(1+$EB212+各项系数!$J$5+各项系数!$L$5)</f>
        <v>14.596049710548742</v>
      </c>
      <c r="DK212" s="197">
        <f t="shared" si="954"/>
        <v>14.170922049076449</v>
      </c>
      <c r="DL212" s="196">
        <f>DM212+各项系数!$M$9*$NQ212</f>
        <v>15.483773421446905</v>
      </c>
      <c r="DM212" s="196">
        <f>DN212*(1+$EA212+(VLOOKUP($AM212,$A$12:$B$323,2,0))+各项系数!$J$6+各项系数!$M$5)*(1+$E$2)+各项系数!$M$9*$NK212</f>
        <v>15.334100608786756</v>
      </c>
      <c r="DN212" s="197">
        <f>DO212+各项系数!$L$9*$NQ212</f>
        <v>15.38736957896935</v>
      </c>
      <c r="DO212" s="197">
        <f>DP212*(1+$EB212+各项系数!$J$5+各项系数!$L$5)</f>
        <v>15.237696766309201</v>
      </c>
      <c r="DP212" s="197">
        <f t="shared" si="955"/>
        <v>14.793880355640001</v>
      </c>
      <c r="DQ212" s="196">
        <f>DR212+各项系数!$M$9*$NV212</f>
        <v>15.858968685361836</v>
      </c>
      <c r="DR212" s="196">
        <f t="shared" si="956"/>
        <v>15.704545427278273</v>
      </c>
      <c r="DS212" s="197">
        <f>DT212+各项系数!$L$9*$NV212</f>
        <v>15.866382529074837</v>
      </c>
      <c r="DT212" s="197">
        <f>DU212*(1+$EB212+各项系数!$J$5+各项系数!$L$5)</f>
        <v>15.711959270991274</v>
      </c>
      <c r="DU212" s="199">
        <f t="shared" si="957"/>
        <v>15.254329389311916</v>
      </c>
      <c r="DV212" s="196">
        <f>DW212+各项系数!$M$9*$NV212</f>
        <v>16.053251587798272</v>
      </c>
      <c r="DW212" s="196">
        <f t="shared" si="958"/>
        <v>15.898828329714707</v>
      </c>
      <c r="DX212" s="197">
        <f>DY212+各项系数!$L$9*$NV212</f>
        <v>16.062667538608515</v>
      </c>
      <c r="DY212" s="197">
        <f>DZ212*(1+$EB212+各项系数!$J$5+各项系数!$L$5)</f>
        <v>15.908244280524952</v>
      </c>
      <c r="DZ212" s="199">
        <f t="shared" si="959"/>
        <v>15.444897359732963</v>
      </c>
      <c r="EA212" s="213">
        <f>BI212+$EA$2</f>
        <v>0</v>
      </c>
      <c r="EB212" s="213">
        <f t="shared" si="960"/>
        <v>0.01</v>
      </c>
      <c r="EC212" s="235" t="str">
        <f t="shared" si="1008"/>
        <v>3+1</v>
      </c>
      <c r="ED212" s="235" t="str">
        <f t="shared" si="890"/>
        <v>3*6</v>
      </c>
      <c r="EE212" s="189">
        <f t="shared" si="891"/>
        <v>6</v>
      </c>
      <c r="EF212" s="189">
        <f>LOOKUP(EH212,{1,7,10,14,19,24,30,37,48,61},{1,"1+6","2+8","4+10","1+6+12","2+8+14","4+10+16","1+6+12+18","3+9+15+21","1+6+12+18+24"})</f>
        <v>1</v>
      </c>
      <c r="EG212" s="188">
        <f t="shared" si="961"/>
        <v>3</v>
      </c>
      <c r="EH212" s="197">
        <f>VLOOKUP(EE212,各项系数!$B$87:$C$124,2,0)</f>
        <v>1</v>
      </c>
      <c r="EI212" s="188">
        <f>IF(EH212=0,0,VLOOKUP(EH212,各项系数!$D$142:$E$195,2,0))*1</f>
        <v>1</v>
      </c>
      <c r="EJ212" s="238">
        <f t="shared" si="1009"/>
        <v>267.425148012862</v>
      </c>
      <c r="EK212" s="189" t="str">
        <f t="shared" si="892"/>
        <v>1*4</v>
      </c>
      <c r="EL212" s="189" t="str">
        <f t="shared" si="962"/>
        <v>4</v>
      </c>
      <c r="EM212" s="189">
        <f t="shared" si="893"/>
        <v>4</v>
      </c>
      <c r="EN212" s="189">
        <f>IF(EP212=0,0,LOOKUP(EP212,{1,7,10,14,19,24,30,37,48,61},{1,"1+6","2+8","4+10","1+6+12","2+8+14","4+10+16","1+6+12+18","3+9+15+21","1+6+12+18+24"}))</f>
        <v>1</v>
      </c>
      <c r="EO212" s="189" t="str">
        <f t="shared" si="894"/>
        <v>1</v>
      </c>
      <c r="EP212" s="189">
        <f>IF(EM212=0,0,IF(EM212&lt;10,1,IF(AND(EM212&gt;=10,EM212&lt;=35),7,LOOKUP(EM212,{50,70,95,120,150,185,240,300},{10,14,19,24,30,37,48,61})*1)))</f>
        <v>1</v>
      </c>
      <c r="EQ212" s="189">
        <f>IF(EP212=0,0,VLOOKUP(EP212,各项系数!$D$142:$E$195,2,0))*1</f>
        <v>1</v>
      </c>
      <c r="ER212" s="53">
        <f t="shared" si="895"/>
        <v>218.58841470644899</v>
      </c>
      <c r="ES212" s="412">
        <f t="shared" si="896"/>
        <v>4</v>
      </c>
      <c r="ET212" s="189">
        <f>VLOOKUP(ES212,各项系数!$D$142:$E$195,2,0)*1</f>
        <v>2.42</v>
      </c>
      <c r="EU212" s="243">
        <f>((各项系数!$F$76/4*$EJ212^2*$EG212*$EH212*1*10^-7)*(1-$H212)*AA212)*(VLOOKUP($EY$9,各项系数!$D$4:$F$143,3,0))*各项系数!$J$4</f>
        <v>0.14905291281308897</v>
      </c>
      <c r="EV212" s="244">
        <f>EU212*(VLOOKUP($EY$9,各项系数!$D$4:$F$143,2,0))</f>
        <v>9.7629657892573274</v>
      </c>
      <c r="EW212" s="252">
        <f>(IF($EO212=0,0,(各项系数!$F$76/4*$ER212^2*$EO212*$EP212*1*10^-7))*(1-$K212)*$AF212)*(VLOOKUP($EY$9,各项系数!$D$4:$F$143,3,0))*各项系数!$J$4</f>
        <v>3.3194719556349596E-2</v>
      </c>
      <c r="EX212" s="253">
        <f>EW212*(VLOOKUP($EY$9,各项系数!$D$4:$F$143,2,0))</f>
        <v>2.1742541309408985</v>
      </c>
      <c r="EY212" s="189">
        <f>((各项系数!$F$76/4*$EJ212^2*$EG212*$EH212*1*10^-7)*(1-$H212)*AA212+IF($EO212=0,0,(各项系数!$F$76/4*$ER212^2*$EO212*$EP212*1*10^-7))*(1-$K212)*$AF212)*(VLOOKUP($EY$9,各项系数!$D$4:$F$143,3,0))*各项系数!$J$4</f>
        <v>0.18224763236943856</v>
      </c>
      <c r="EZ212" s="102">
        <v>1</v>
      </c>
      <c r="FA212" s="189">
        <f t="shared" si="897"/>
        <v>0.18224763236943856</v>
      </c>
      <c r="FB212" s="254">
        <f>FA212*(VLOOKUP($EY$9,各项系数!$D$4:$F$143,2,0))</f>
        <v>11.937219920198226</v>
      </c>
      <c r="FC212" s="255"/>
      <c r="FD212" s="235">
        <f>各项系数!$F$76/4*($MN212^2-MK212^2)*10^-2*(VLOOKUP(L212,各项系数!$D$1:$F$143,3,0))*10^-3*10^2*$EG212*各项系数!$J$4</f>
        <v>2.436477360847028E-2</v>
      </c>
      <c r="FE212" s="262">
        <f>FD212*VLOOKUP(L212,各项系数!$D$1:$F$143,2,0)</f>
        <v>0.28019489649740825</v>
      </c>
      <c r="FF212" s="188">
        <f>各项系数!$F$76/4*($MO212^2-ML212^2)*10^-2*(VLOOKUP(L212,各项系数!$D$1:$F$143,3,0))*10^-3*10^2*$EO212*各项系数!$J$4</f>
        <v>6.9461246241556912E-3</v>
      </c>
      <c r="FG212" s="262">
        <f>FF212*VLOOKUP(L212,各项系数!$D$1:$F$143,2,0)</f>
        <v>7.988043317779045E-2</v>
      </c>
      <c r="FH212" s="235">
        <f t="shared" si="1010"/>
        <v>3.1310898232625971E-2</v>
      </c>
      <c r="FI212" s="102">
        <v>1</v>
      </c>
      <c r="FJ212" s="189">
        <f t="shared" si="898"/>
        <v>3.1310898232625971E-2</v>
      </c>
      <c r="FK212" s="262">
        <f>FJ212*VLOOKUP(L212,各项系数!$D$1:$F$143,2,0)</f>
        <v>0.36007532967519867</v>
      </c>
      <c r="FL212" s="235"/>
      <c r="FM212" s="102"/>
      <c r="FN212" s="189"/>
      <c r="FO212" s="262"/>
      <c r="FP212" s="282">
        <f t="shared" si="899"/>
        <v>3.1310898232625971E-2</v>
      </c>
      <c r="FQ212" s="282">
        <f t="shared" si="900"/>
        <v>0.36007532967519867</v>
      </c>
      <c r="FR212" s="283">
        <f>各项系数!$F$76/4*($MQ212^2-$MN212^2*$EG212-$MO212^2*$EO212)*10^-2</f>
        <v>0.22633042715016685</v>
      </c>
      <c r="FS212" s="284">
        <f t="shared" si="1011"/>
        <v>1</v>
      </c>
      <c r="FT212" s="285">
        <f t="shared" si="963"/>
        <v>0.22633042715016685</v>
      </c>
      <c r="FU212" s="302">
        <f>$FT212*(VLOOKUP($FT$9,各项系数!$D$1:$F$143,3,0))*10^-3*10^2*各项系数!$J$55</f>
        <v>2.7023853001729922E-2</v>
      </c>
      <c r="FV212" s="303">
        <v>1</v>
      </c>
      <c r="FW212" s="304">
        <f t="shared" si="901"/>
        <v>2.7023853001729922E-2</v>
      </c>
      <c r="FX212" s="285">
        <f>FW212*(VLOOKUP($FT$9,各项系数!$D$1:$F$143,2,0))</f>
        <v>8.1071559005189767E-2</v>
      </c>
      <c r="FY212" s="302">
        <f>IF($BK212&lt;&gt;$FY$9,0,各项系数!$F$76/4*($MS212^2-$MQ212^2)*10^-2*(VLOOKUP($FY$9,各项系数!$D$1:$F$143,3,0))*10^-3*10^2)*各项系数!$J$4</f>
        <v>0</v>
      </c>
      <c r="FZ212" s="303">
        <v>1</v>
      </c>
      <c r="GA212" s="304">
        <f t="shared" si="902"/>
        <v>0</v>
      </c>
      <c r="GB212" s="285">
        <f>GA212*(VLOOKUP($FY$9,各项系数!$D$1:$F$143,2,0))</f>
        <v>0</v>
      </c>
      <c r="GC212" s="302">
        <f>IF($BK212&lt;&gt;$GC$9,0,各项系数!$F$76/4*($MS212^2-$MQ212^2)*10^-2*(VLOOKUP($GC$9,各项系数!$D$1:$F$143,3,0))*10^-3*10^2)*各项系数!$J$4</f>
        <v>2.6285625588895255E-3</v>
      </c>
      <c r="GD212" s="303">
        <v>1</v>
      </c>
      <c r="GE212" s="304">
        <f t="shared" si="903"/>
        <v>2.6285625588895255E-3</v>
      </c>
      <c r="GF212" s="285">
        <f>GE212*(VLOOKUP($GC$9,各项系数!$D$1:$F$143,2,0))</f>
        <v>3.3908457009674882E-2</v>
      </c>
      <c r="GG212" s="302">
        <f>IF($BK212&lt;&gt;$GG$9,0,各项系数!$F$76/4*($MS212^2-$MQ212^2)*10^-2*(VLOOKUP($GG$9,各项系数!$D$1:$F$143,3,0))*10^-3*10^2)*各项系数!$J$4</f>
        <v>0</v>
      </c>
      <c r="GH212" s="303">
        <v>1</v>
      </c>
      <c r="GI212" s="304">
        <f t="shared" si="904"/>
        <v>0</v>
      </c>
      <c r="GJ212" s="285">
        <f>GI212*(VLOOKUP($GG$9,各项系数!$D$1:$F$143,2,0))</f>
        <v>0</v>
      </c>
      <c r="GK212" s="302">
        <f>IF($BK212&lt;&gt;$GK$9,0,各项系数!$F$76/4*($MS212^2-$MQ212^2)*10^-2*(VLOOKUP($GK$9,各项系数!$D$1:$F$143,3,0))*10^-3*10^2)*各项系数!$J$4</f>
        <v>0</v>
      </c>
      <c r="GL212" s="303">
        <v>1</v>
      </c>
      <c r="GM212" s="304">
        <f t="shared" si="905"/>
        <v>0</v>
      </c>
      <c r="GN212" s="285">
        <f>GM212*(VLOOKUP($GK$9,各项系数!$D$1:$F$143,2,0))</f>
        <v>0</v>
      </c>
      <c r="GO212" s="304">
        <f t="shared" si="906"/>
        <v>2.6285625588895255E-3</v>
      </c>
      <c r="GP212" s="304">
        <f t="shared" si="907"/>
        <v>3.3908457009674882E-2</v>
      </c>
      <c r="GQ212" s="315">
        <f>各项系数!$F$76/4*($MU212^2-$MS212^2)*10^-2*(VLOOKUP($S212,各项系数!$D$1:$F$143,3,0))*10^-3*10^2*各项系数!$J$4</f>
        <v>0.15165649064845738</v>
      </c>
      <c r="GR212" s="303">
        <v>1</v>
      </c>
      <c r="GS212" s="304">
        <f t="shared" si="908"/>
        <v>0.15165649064845738</v>
      </c>
      <c r="GT212" s="304">
        <f t="shared" si="909"/>
        <v>1</v>
      </c>
      <c r="GU212" s="304">
        <f>ROUND($GS212*(VLOOKUP($S212,各项系数!$D$1:$F$143,2,0))+$E$3*GS212,GT212)</f>
        <v>0.9</v>
      </c>
      <c r="GV212" s="315">
        <f>各项系数!$F$76/4*($MT212^2-$MS212^2)*10^-2*(VLOOKUP($GV$9,各项系数!$D$1:$F$143,3,0))*10^-3*10^2*各项系数!$J$4*PI()/4*R212</f>
        <v>1.3717218844725751E-2</v>
      </c>
      <c r="GW212" s="303">
        <v>1</v>
      </c>
      <c r="GX212" s="304">
        <f t="shared" si="910"/>
        <v>1.3717218844725751E-2</v>
      </c>
      <c r="GY212" s="304">
        <f>$GX212*(VLOOKUP($GV$9,各项系数!$D$1:$F$143,2,0))</f>
        <v>0.92591227201898818</v>
      </c>
      <c r="GZ212" s="315">
        <f>各项系数!$F$76/4*($MV212^2-$MS212^2)*10^-2*(VLOOKUP($GZ$9,各项系数!$D$1:$F$143,3,0))*10^-3*10^2*各项系数!$J$4</f>
        <v>9.415161794993325E-2</v>
      </c>
      <c r="HA212" s="303">
        <v>1</v>
      </c>
      <c r="HB212" s="304">
        <f t="shared" si="1012"/>
        <v>9.415161794993325E-2</v>
      </c>
      <c r="HC212" s="304">
        <f>HB212*(VLOOKUP($GZ$9,各项系数!$D$1:$F$143,2,0))</f>
        <v>1.6005775051488653</v>
      </c>
      <c r="HD212" s="315">
        <f>各项系数!$F$76/4*($MW212^2-$MT212^2)*10^-2*(VLOOKUP($HD$9,各项系数!$D$1:$F$143,3,0))*10^-3*10^2*各项系数!$J$4</f>
        <v>9.5456987396611639E-2</v>
      </c>
      <c r="HE212" s="303">
        <v>1</v>
      </c>
      <c r="HF212" s="304">
        <f t="shared" si="1013"/>
        <v>9.5456987396611639E-2</v>
      </c>
      <c r="HG212" s="304">
        <f>HF212*(VLOOKUP($HD$9,各项系数!$D$1:$F$143,2,0))</f>
        <v>1.6227687857423978</v>
      </c>
      <c r="HH212" s="315">
        <f>各项系数!$F$76/4*($MV212^2-$MS212^2)*10^-2*(VLOOKUP($HH$9,各项系数!$D$1:$F$143,3,0))*10^-3*10^2*各项系数!$J$4</f>
        <v>9.415161794993325E-2</v>
      </c>
      <c r="HI212" s="322">
        <v>1</v>
      </c>
      <c r="HJ212" s="304">
        <f t="shared" si="1014"/>
        <v>9.415161794993325E-2</v>
      </c>
      <c r="HK212" s="304">
        <f>HJ212*(VLOOKUP($HH$9,各项系数!$D$1:$F$143,2,0))</f>
        <v>1.6005775051488653</v>
      </c>
      <c r="HL212" s="315">
        <f>各项系数!$F$76/4*($MW212^2-$MT212^2)*10^-2*(VLOOKUP($HL$9,各项系数!$D$1:$F$143,3,0))*10^-3*10^2*各项系数!$J$4</f>
        <v>9.5456987396611639E-2</v>
      </c>
      <c r="HM212" s="322">
        <v>1</v>
      </c>
      <c r="HN212" s="304">
        <f t="shared" si="964"/>
        <v>9.5456987396611639E-2</v>
      </c>
      <c r="HO212" s="304">
        <f>HN212*(VLOOKUP($HL$9,各项系数!$D$1:$F$143,2,0))</f>
        <v>1.6227687857423978</v>
      </c>
      <c r="HP212" s="315">
        <f>各项系数!$F$76/4*($MV212^2-$MS212^2)*10^-2*(VLOOKUP(AN212,各项系数!$D$1:$F$143,3,0))*10^-3*10^2*各项系数!$J$4</f>
        <v>9.5450260956139218E-2</v>
      </c>
      <c r="HQ212" s="303">
        <v>1</v>
      </c>
      <c r="HR212" s="304">
        <f t="shared" si="911"/>
        <v>9.5450260956139218E-2</v>
      </c>
      <c r="HS212" s="304">
        <f>HR212*(VLOOKUP(AN212,各项系数!$D$1:$F$143,2,0))</f>
        <v>0.95450260956139221</v>
      </c>
      <c r="HT212" s="315">
        <f>各项系数!$F$76/4*($MW212^2-$MT212^2)*10^-2*(VLOOKUP(AN212,各项系数!$D$1:$F$143,3,0))*10^-3*10^2*各项系数!$J$4</f>
        <v>9.6773635498633853E-2</v>
      </c>
      <c r="HU212" s="303">
        <v>1</v>
      </c>
      <c r="HV212" s="304">
        <f t="shared" si="912"/>
        <v>9.6773635498633853E-2</v>
      </c>
      <c r="HW212" s="304">
        <f>HV212*(VLOOKUP(AN212,各项系数!$D$1:$F$143,2,0))</f>
        <v>0.96773635498633848</v>
      </c>
      <c r="HX212" s="315">
        <f>各项系数!$F$76/4*($MV212^2-$MS212^2)*10^-2*(VLOOKUP($HX$9,各项系数!$D$1:$F$143,3,0))*10^-3*10^2*各项系数!$J$4</f>
        <v>9.5450260956139218E-2</v>
      </c>
      <c r="HY212" s="322">
        <v>1</v>
      </c>
      <c r="HZ212" s="304">
        <f t="shared" si="913"/>
        <v>9.5450260956139218E-2</v>
      </c>
      <c r="IA212" s="304">
        <f>HZ212*(VLOOKUP($HX$9,各项系数!$D$1:$F$143,2,0))</f>
        <v>1.0499528705175314</v>
      </c>
      <c r="IB212" s="315">
        <f>各项系数!$F$76/4*($MW212^2-$MT212^2)*10^-2*(VLOOKUP($IB$9,各项系数!$D$1:$F$143,3,0))*10^-3*10^2*各项系数!$J$4</f>
        <v>9.6773635498633853E-2</v>
      </c>
      <c r="IC212" s="322">
        <v>1</v>
      </c>
      <c r="ID212" s="304">
        <f t="shared" si="914"/>
        <v>9.6773635498633853E-2</v>
      </c>
      <c r="IE212" s="304">
        <f>ID212*(VLOOKUP($IB$9,各项系数!$D$1:$F$143,2,0))</f>
        <v>1.0645099904849724</v>
      </c>
      <c r="IF212" s="328"/>
      <c r="IG212" s="315">
        <f t="shared" si="1015"/>
        <v>1.6047939912993508E-2</v>
      </c>
      <c r="IH212" s="303">
        <v>1</v>
      </c>
      <c r="II212" s="304">
        <f t="shared" si="915"/>
        <v>1.6047939912993508E-2</v>
      </c>
      <c r="IJ212" s="304">
        <f>II212*(VLOOKUP($IG$8,各项系数!$D$1:$F$143,2,0))</f>
        <v>0.40119849782483769</v>
      </c>
      <c r="IK212" s="315">
        <f>(各项系数!$F$76/4*($MX212^2-$MK212^2)*$EG212)*10^-2*(VLOOKUP($IG$8,各项系数!$D$1:$F$143,3,0))*10^-3*10^2*各项系数!$J$4</f>
        <v>1.2551175674773773E-2</v>
      </c>
      <c r="IL212" s="303">
        <f>IK212*(VLOOKUP($IG$8,各项系数!$D$1:$F$143,2,0))</f>
        <v>0.31377939186934434</v>
      </c>
      <c r="IM212" s="304">
        <f>(各项系数!$F$76/4*(($MM212+3*$X212)^2-MM212^2)*$EO212)*10^-2*(VLOOKUP($IG$8,各项系数!$D$1:$F$143,3,0))*10^-3*10^2*各项系数!$J$4</f>
        <v>3.4967642382197363E-3</v>
      </c>
      <c r="IN212" s="303">
        <f>IM212*(VLOOKUP($IG$8,各项系数!$D$1:$F$143,2,0))</f>
        <v>8.7419105955493404E-2</v>
      </c>
      <c r="IO212" s="315">
        <f>各项系数!$F$76/4*($MZ212^2-$MX212^2)*10^-2*(VLOOKUP(L212,各项系数!$D$1:$F$143,3,0))*10^-3*10^2*$ES212*各项系数!$J$4</f>
        <v>3.8262999719008484E-2</v>
      </c>
      <c r="IP212" s="303">
        <v>1</v>
      </c>
      <c r="IQ212" s="304">
        <f t="shared" si="916"/>
        <v>3.8262999719008484E-2</v>
      </c>
      <c r="IR212" s="285">
        <f>IQ212*(VLOOKUP(L212,各项系数!$D$1:$F$143,2,0))</f>
        <v>0.44002449676859756</v>
      </c>
      <c r="IS212" s="315">
        <f>IF($L212&lt;&gt;$IS$9,0,各项系数!$F$76/4*($MZ212^2-$MX212^2)*10^-2*各项系数!$F$12*10^-3*10^2)*$ES212*各项系数!$J$4</f>
        <v>0</v>
      </c>
      <c r="IT212" s="303">
        <v>1</v>
      </c>
      <c r="IU212" s="304">
        <f t="shared" si="917"/>
        <v>0</v>
      </c>
      <c r="IV212" s="285">
        <f>IU212*各项系数!$E$12</f>
        <v>0</v>
      </c>
      <c r="IW212" s="302">
        <f t="shared" si="918"/>
        <v>3.8262999719008484E-2</v>
      </c>
      <c r="IX212" s="302">
        <f t="shared" si="919"/>
        <v>0.44002449676859756</v>
      </c>
      <c r="IY212" s="339">
        <f>各项系数!$F$76/4*($NB212^2-$MZ212^2*$EG212-$NA212^2*$EO212)*10^-2</f>
        <v>0.30072688323342045</v>
      </c>
      <c r="IZ212" s="284">
        <f t="shared" si="697"/>
        <v>1</v>
      </c>
      <c r="JA212" s="285">
        <f t="shared" si="965"/>
        <v>0.30072688323342045</v>
      </c>
      <c r="JB212" s="282">
        <f>IF($DE212&lt;&gt;$JB$9,0,$JA212*各项系数!$F$32*10^-3*10^2)*各项系数!$J$4</f>
        <v>0</v>
      </c>
      <c r="JC212" s="102">
        <v>1</v>
      </c>
      <c r="JD212" s="189">
        <f t="shared" si="920"/>
        <v>0</v>
      </c>
      <c r="JE212" s="262">
        <f>JD212*各项系数!$E$32</f>
        <v>0</v>
      </c>
      <c r="JF212" s="282">
        <f>IF($DE212&lt;&gt;$JF$9,0,$JA212*VLOOKUP($JF$9,各项系数!$D$4:$F$540,2,0)*10^-3*10^2)*各项系数!$J$4</f>
        <v>0.14961162440862669</v>
      </c>
      <c r="JG212" s="102">
        <v>1</v>
      </c>
      <c r="JH212" s="189">
        <f t="shared" si="966"/>
        <v>0.14961162440862669</v>
      </c>
      <c r="JI212" s="262">
        <f>JH212*VLOOKUP($JF$9,各项系数!$D$4:$F$540,3,0)</f>
        <v>0.17953394929035202</v>
      </c>
      <c r="JJ212" s="282">
        <f t="shared" si="921"/>
        <v>0.14961162440862669</v>
      </c>
      <c r="JK212" s="189">
        <f t="shared" si="922"/>
        <v>0.17953394929035202</v>
      </c>
      <c r="JL212" s="282">
        <f>IF($DF212&lt;&gt;$JL$9,0,各项系数!$F$76/4*($NE212^2-$NC212^2)*10^-2*各项系数!$F$39*10^-3*10^2)*各项系数!$J$4</f>
        <v>1.2531801392699376E-3</v>
      </c>
      <c r="JM212" s="102">
        <v>1</v>
      </c>
      <c r="JN212" s="189">
        <f t="shared" si="923"/>
        <v>1.2531801392699376E-3</v>
      </c>
      <c r="JO212" s="262">
        <f>JN212*各项系数!$E$39</f>
        <v>2.506360278539875E-2</v>
      </c>
      <c r="JP212" s="282">
        <f>IF($DF212&lt;&gt;$JP$9,0,各项系数!$F$76/4*($NE212^2-$NC212^2)*10^-2*各项系数!$F$36*10^-3*10^2)*各项系数!$J$4</f>
        <v>0</v>
      </c>
      <c r="JQ212" s="102">
        <v>1</v>
      </c>
      <c r="JR212" s="189">
        <f t="shared" si="924"/>
        <v>0</v>
      </c>
      <c r="JS212" s="262">
        <f>JR212*各项系数!$E$36</f>
        <v>0</v>
      </c>
      <c r="JT212" s="282">
        <f>IF($DF212&lt;&gt;$JT$9,0,各项系数!$F$76/4*($NE212^2-$NC212^2)*10^-2*各项系数!$F$40*10^-3*10^2)*各项系数!$J$4</f>
        <v>0</v>
      </c>
      <c r="JU212" s="102">
        <v>1</v>
      </c>
      <c r="JV212" s="189">
        <f t="shared" si="925"/>
        <v>0</v>
      </c>
      <c r="JW212" s="262">
        <f>JV212*各项系数!$E$40</f>
        <v>0</v>
      </c>
      <c r="JX212" s="282">
        <f>IF($DF212&lt;&gt;$JX$9,0,各项系数!$F$76/4*($NE212^2-$NC212^2)*10^-2*各项系数!$F$38*10^-3*10^2)*各项系数!$J$4</f>
        <v>0</v>
      </c>
      <c r="JY212" s="102">
        <v>1</v>
      </c>
      <c r="JZ212" s="189">
        <f t="shared" si="926"/>
        <v>0</v>
      </c>
      <c r="KA212" s="262">
        <f>JZ212*各项系数!$E$38</f>
        <v>0</v>
      </c>
      <c r="KB212" s="282">
        <f>IF($DF212&lt;&gt;$KB$9,0,各项系数!$F$76/4*($NE212^2-$NC212^2)*10^-2*各项系数!$F$41*10^-3*10^2)*各项系数!$J$4</f>
        <v>0</v>
      </c>
      <c r="KC212" s="102">
        <v>1</v>
      </c>
      <c r="KD212" s="189">
        <f t="shared" si="927"/>
        <v>0</v>
      </c>
      <c r="KE212" s="262">
        <f>KD212*各项系数!$E$41</f>
        <v>0</v>
      </c>
      <c r="KF212" s="189">
        <f t="shared" si="928"/>
        <v>1.2531801392699376E-3</v>
      </c>
      <c r="KG212" s="189">
        <f t="shared" si="929"/>
        <v>2.506360278539875E-2</v>
      </c>
      <c r="KH212" s="235">
        <f>各项系数!$F$76/4*($NG212^2-$NE212^2)*10^-2*各项系数!$F$44*10^-3*10^2*各项系数!$J$4*0.75*$U212</f>
        <v>0.52167340054324385</v>
      </c>
      <c r="KI212" s="102">
        <v>1</v>
      </c>
      <c r="KJ212" s="189">
        <f t="shared" si="930"/>
        <v>0.52167340054324385</v>
      </c>
      <c r="KK212" s="189">
        <f>ROUND(KJ212*各项系数!$E$43,GT212)</f>
        <v>3</v>
      </c>
      <c r="KL212" s="235">
        <f>各项系数!$F$76/4*($NF212^2-$NE212^2)*10^-2*各项系数!$F$46*10^-3*10^2*各项系数!$J$4*PI()/4*R212</f>
        <v>1.5834818078044849E-2</v>
      </c>
      <c r="KM212" s="102">
        <v>1</v>
      </c>
      <c r="KN212" s="189">
        <f t="shared" si="931"/>
        <v>1.5834818078044849E-2</v>
      </c>
      <c r="KO212" s="189">
        <f>KN212*各项系数!$E$46</f>
        <v>1.0688502202680272</v>
      </c>
      <c r="KP212" s="235">
        <f>各项系数!$F$76/4*($NH212^2-$NE212^2)*10^-2*(VLOOKUP($KP$9,各项系数!$D$1:$F$143,3,0))*10^-3*10^2*各项系数!$J$4</f>
        <v>0.1065199934572111</v>
      </c>
      <c r="KQ212" s="102">
        <v>1</v>
      </c>
      <c r="KR212" s="189">
        <f t="shared" si="1016"/>
        <v>0.1065199934572111</v>
      </c>
      <c r="KS212" s="189">
        <f>KR212*(VLOOKUP($KP$9,各项系数!$D$1:$F$143,2,0))</f>
        <v>1.8108398887725887</v>
      </c>
      <c r="KT212" s="235">
        <f>各项系数!$F$76/4*($NI212^2-$NF212^2)*10^-2*(VLOOKUP($KT$9,各项系数!$D$1:$F$143,3,0))*10^-3*10^2*各项系数!$J$4</f>
        <v>0.10782536290388949</v>
      </c>
      <c r="KU212" s="102">
        <v>1</v>
      </c>
      <c r="KV212" s="189">
        <f t="shared" si="1017"/>
        <v>0.10782536290388949</v>
      </c>
      <c r="KW212" s="189">
        <f>KV212*(VLOOKUP($KT$9,各项系数!$D$1:$F$143,2,0))</f>
        <v>1.8330311693661212</v>
      </c>
      <c r="KX212" s="189">
        <f>各项系数!$F$76/4*($NH212^2-$NE212^2)*10^-2*(VLOOKUP($KX$9,各项系数!$D$1:$F$143,3,0))*10^-3*10^2*各项系数!$J$4</f>
        <v>0.1065199934572111</v>
      </c>
      <c r="KY212" s="353">
        <v>1</v>
      </c>
      <c r="KZ212" s="189">
        <f t="shared" si="1018"/>
        <v>0.1065199934572111</v>
      </c>
      <c r="LA212" s="189">
        <f>KZ212*(VLOOKUP($KX$9,各项系数!$D$1:$F$143,2,0))</f>
        <v>1.8108398887725887</v>
      </c>
      <c r="LB212" s="189">
        <f>各项系数!$F$76/4*($NI212^2-$NF212^2)*10^-2*(VLOOKUP($LB$9,各项系数!$D$1:$F$143,3,0))*10^-3*10^2*各项系数!$J$4</f>
        <v>0.10782536290388949</v>
      </c>
      <c r="LC212" s="353">
        <v>1</v>
      </c>
      <c r="LD212" s="189">
        <f t="shared" si="1019"/>
        <v>0.10782536290388949</v>
      </c>
      <c r="LE212" s="189">
        <f>LD212*(VLOOKUP($LB$9,各项系数!$D$1:$F$143,2,0))</f>
        <v>1.8330311693661212</v>
      </c>
      <c r="LF212" s="235">
        <f>各项系数!$F$76/4*($NH212^2-$NE212^2)*10^-2*(VLOOKUP(AN212,各项系数!$D$1:$F$143,3,0))*10^-3*10^2*各项系数!$J$4</f>
        <v>0.10798923474627606</v>
      </c>
      <c r="LG212" s="102">
        <v>1</v>
      </c>
      <c r="LH212" s="189">
        <f t="shared" si="932"/>
        <v>0.10798923474627606</v>
      </c>
      <c r="LI212" s="189">
        <f>LH212*(VLOOKUP(AN212,各项系数!$D$1:$F$143,2,0))</f>
        <v>1.0798923474627606</v>
      </c>
      <c r="LJ212" s="235">
        <f>各项系数!$F$76/4*($NI212^2-$NF212^2)*10^-2*(VLOOKUP(AN212,各项系数!$D$1:$F$143,3,0))*10^-3*10^2*各项系数!$J$4</f>
        <v>0.10931260928877073</v>
      </c>
      <c r="LK212" s="102">
        <v>1</v>
      </c>
      <c r="LL212" s="189">
        <f t="shared" si="933"/>
        <v>0.10931260928877073</v>
      </c>
      <c r="LM212" s="189">
        <f>LL212*(VLOOKUP(AN212,各项系数!$D$1:$F$143,2,0))</f>
        <v>1.0931260928877073</v>
      </c>
      <c r="LN212" s="189">
        <f>各项系数!$F$76/4*($NH212^2-$NE212^2)*10^-2*(VLOOKUP($LN$9,各项系数!$D$1:$F$143,3,0))*10^-3*10^2*各项系数!$J$4</f>
        <v>0.10798923474627606</v>
      </c>
      <c r="LO212" s="353">
        <v>1</v>
      </c>
      <c r="LP212" s="189">
        <f t="shared" si="934"/>
        <v>0.10798923474627606</v>
      </c>
      <c r="LQ212" s="189">
        <f>LP212*(VLOOKUP($LN$9,各项系数!$D$1:$F$143,2,0))</f>
        <v>1.1878815822090367</v>
      </c>
      <c r="LR212" s="189">
        <f>各项系数!$F$76/4*($NI212^2-$NF212^2)*10^-2*(VLOOKUP($LR$9,各项系数!$D$1:$F$143,3,0))*10^-3*10^2*各项系数!$J$4</f>
        <v>0.10931260928877073</v>
      </c>
      <c r="LS212" s="353">
        <v>1</v>
      </c>
      <c r="LT212" s="189">
        <f t="shared" si="935"/>
        <v>0.10931260928877073</v>
      </c>
      <c r="LU212" s="189">
        <f>LT212*(VLOOKUP($LR$9,各项系数!$D$1:$F$143,2,0))</f>
        <v>1.2024387021764782</v>
      </c>
      <c r="LV212" s="227">
        <f t="shared" si="1020"/>
        <v>16.850609939999998</v>
      </c>
      <c r="LW212" s="227">
        <f t="shared" si="1021"/>
        <v>16.850609939999998</v>
      </c>
      <c r="LX212" s="227">
        <f t="shared" si="1022"/>
        <v>4.6319394348928409</v>
      </c>
      <c r="LY212" s="227">
        <f t="shared" si="1023"/>
        <v>0</v>
      </c>
      <c r="LZ212" s="374">
        <f t="shared" si="967"/>
        <v>1</v>
      </c>
      <c r="MA212" s="375">
        <f t="shared" si="968"/>
        <v>16.850609939999998</v>
      </c>
      <c r="MB212" s="375">
        <f t="shared" si="1024"/>
        <v>2.6742514800000001</v>
      </c>
      <c r="MC212" s="227">
        <f t="shared" si="1025"/>
        <v>3.7527027199999998</v>
      </c>
      <c r="MD212" s="227">
        <f t="shared" si="1026"/>
        <v>3.7527027300000002</v>
      </c>
      <c r="ME212" s="227">
        <f t="shared" si="1027"/>
        <v>2.1858841495997914</v>
      </c>
      <c r="MF212" s="227">
        <f t="shared" si="1028"/>
        <v>-1.00000003833145E-8</v>
      </c>
      <c r="MG212" s="374">
        <f t="shared" si="1029"/>
        <v>1</v>
      </c>
      <c r="MH212" s="375">
        <f t="shared" si="969"/>
        <v>3.7527027199999998</v>
      </c>
      <c r="MI212" s="375">
        <f t="shared" si="1030"/>
        <v>2.185884146687378</v>
      </c>
      <c r="MJ212" s="189">
        <f t="shared" si="970"/>
        <v>2.6742514800000001</v>
      </c>
      <c r="MK212" s="189">
        <f t="shared" si="1031"/>
        <v>2.6742514800000001</v>
      </c>
      <c r="ML212" s="189">
        <f t="shared" si="936"/>
        <v>2.1858841470644901</v>
      </c>
      <c r="MM212" s="189">
        <f t="shared" si="971"/>
        <v>2.185884146687378</v>
      </c>
      <c r="MN212" s="189">
        <f t="shared" si="972"/>
        <v>4.07425148</v>
      </c>
      <c r="MO212" s="189">
        <f t="shared" si="1032"/>
        <v>3.5858841466873779</v>
      </c>
      <c r="MP212" s="189">
        <f t="shared" si="1033"/>
        <v>9.5642263399999994</v>
      </c>
      <c r="MQ212" s="189">
        <f t="shared" si="937"/>
        <v>9.5642263399999994</v>
      </c>
      <c r="MR212" s="246">
        <f t="shared" si="1034"/>
        <v>9.5642263399999994</v>
      </c>
      <c r="MS212" s="380">
        <f t="shared" si="973"/>
        <v>9.7402263399999995</v>
      </c>
      <c r="MT212" s="380">
        <f t="shared" si="974"/>
        <v>9.9002263399999997</v>
      </c>
      <c r="MU212" s="380">
        <f t="shared" si="975"/>
        <v>10.940226339999999</v>
      </c>
      <c r="MV212" s="380">
        <f t="shared" si="976"/>
        <v>13.340226339999999</v>
      </c>
      <c r="MW212" s="380">
        <f t="shared" si="977"/>
        <v>13.500226339999999</v>
      </c>
      <c r="MX212" s="254">
        <f t="shared" si="978"/>
        <v>3.2742514800000002</v>
      </c>
      <c r="MY212" s="254">
        <f t="shared" si="979"/>
        <v>2.785884146687378</v>
      </c>
      <c r="MZ212" s="189">
        <f t="shared" si="980"/>
        <v>4.6742514800000006</v>
      </c>
      <c r="NA212" s="189">
        <f t="shared" si="981"/>
        <v>4.1858841466873784</v>
      </c>
      <c r="NB212" s="189">
        <f t="shared" si="1035"/>
        <v>11.016226339999999</v>
      </c>
      <c r="NC212" s="254">
        <f t="shared" si="938"/>
        <v>11.016226339999999</v>
      </c>
      <c r="ND212" s="246">
        <f t="shared" si="1036"/>
        <v>11.016226339999999</v>
      </c>
      <c r="NE212" s="386">
        <f t="shared" si="1037"/>
        <v>11.25622634</v>
      </c>
      <c r="NF212" s="380">
        <f t="shared" si="982"/>
        <v>11.41622634</v>
      </c>
      <c r="NG212" s="387">
        <f t="shared" si="983"/>
        <v>12.456226340000001</v>
      </c>
      <c r="NH212" s="254">
        <f t="shared" si="984"/>
        <v>14.856226339999999</v>
      </c>
      <c r="NI212" s="380">
        <f t="shared" si="985"/>
        <v>15.016226339999999</v>
      </c>
      <c r="NK212" s="388">
        <f t="shared" si="986"/>
        <v>0.34560733174297886</v>
      </c>
      <c r="NL212" s="388">
        <f t="shared" si="987"/>
        <v>13.446658308627473</v>
      </c>
      <c r="NM212" s="388">
        <f t="shared" si="988"/>
        <v>0.34560733174297886</v>
      </c>
      <c r="NN212" s="388">
        <f t="shared" si="989"/>
        <v>13.542108569583611</v>
      </c>
      <c r="NO212" s="388">
        <f t="shared" si="990"/>
        <v>0.49890937553383297</v>
      </c>
      <c r="NP212" s="388">
        <f t="shared" si="991"/>
        <v>14.150351920285665</v>
      </c>
      <c r="NQ212" s="388">
        <f t="shared" si="992"/>
        <v>0.49890937553383297</v>
      </c>
      <c r="NR212" s="388">
        <f t="shared" si="993"/>
        <v>14.258341155031943</v>
      </c>
      <c r="NS212" s="388">
        <f t="shared" si="994"/>
        <v>0.35932455058770463</v>
      </c>
      <c r="NT212" s="388">
        <f t="shared" si="995"/>
        <v>0.35932455058770463</v>
      </c>
      <c r="NU212" s="388">
        <f t="shared" si="996"/>
        <v>0.51474419361187784</v>
      </c>
      <c r="NV212" s="388">
        <f t="shared" si="997"/>
        <v>0.51474419361187784</v>
      </c>
      <c r="NW212">
        <f t="shared" si="998"/>
        <v>0.49726382239143624</v>
      </c>
      <c r="NX212">
        <f>各项系数!$M$9*NK212</f>
        <v>0.10368219952289366</v>
      </c>
      <c r="NY212">
        <f t="shared" si="999"/>
        <v>0.35932455058770463</v>
      </c>
    </row>
    <row r="213" spans="1:389" ht="15" hidden="1" customHeight="1">
      <c r="A213" s="69"/>
      <c r="B213" s="70"/>
      <c r="C213" s="69"/>
      <c r="D213" s="69" t="s">
        <v>320</v>
      </c>
      <c r="E213" s="61">
        <f t="shared" si="885"/>
        <v>14.249042279999999</v>
      </c>
      <c r="F213" s="16">
        <f>$F$19</f>
        <v>267.425148012862</v>
      </c>
      <c r="G213" s="16"/>
      <c r="H213" s="16"/>
      <c r="I213" s="145">
        <f>$F$18</f>
        <v>218.58841470644899</v>
      </c>
      <c r="J213" s="16"/>
      <c r="K213" s="16"/>
      <c r="L213" s="97" t="s">
        <v>469</v>
      </c>
      <c r="M213" s="103">
        <f t="shared" si="940"/>
        <v>0.7</v>
      </c>
      <c r="N213" s="103">
        <f t="shared" si="1038"/>
        <v>0.7</v>
      </c>
      <c r="O213" s="53">
        <f t="shared" si="1039"/>
        <v>0.08</v>
      </c>
      <c r="P213" s="99">
        <v>0.1</v>
      </c>
      <c r="Q213" s="133">
        <f t="shared" si="941"/>
        <v>0.1</v>
      </c>
      <c r="R213" s="406">
        <v>0.8</v>
      </c>
      <c r="S213" s="142" t="str">
        <f>各项系数!$D$43</f>
        <v>钢带</v>
      </c>
      <c r="T213" s="102">
        <v>0.2</v>
      </c>
      <c r="U213" s="62">
        <v>4</v>
      </c>
      <c r="V213" s="143"/>
      <c r="W213" s="141">
        <f>$W$202</f>
        <v>1.8</v>
      </c>
      <c r="X213" s="135">
        <f t="shared" si="942"/>
        <v>0.2</v>
      </c>
      <c r="Y213" s="135"/>
      <c r="Z213" s="168"/>
      <c r="AA213" s="153">
        <v>1</v>
      </c>
      <c r="AB213" s="153">
        <f>PI()*EJ213*EJ213/4*EH213*(1-H213)*AA213*各项系数!$F$5*各项系数!$J$4*10^-7</f>
        <v>4.9684304271029656E-2</v>
      </c>
      <c r="AC213" s="153">
        <f t="shared" si="886"/>
        <v>267.425148012862</v>
      </c>
      <c r="AD213" s="153">
        <f t="shared" si="943"/>
        <v>5.6168699821977892</v>
      </c>
      <c r="AE213" s="153">
        <f>POWER(4*EU213/PI()/EG213/10^-7/EH213/(1-H213)/各项系数!$F$5/各项系数!$J$4,0.5)</f>
        <v>267.425148012862</v>
      </c>
      <c r="AF213" s="69">
        <f>$AA$199</f>
        <v>1</v>
      </c>
      <c r="AG213" s="69">
        <f>IF(EM213=0,0,PI()*ER213*ER213/4*EP213*(1-K213)*(1+AF213)*各项系数!$F$5*各项系数!$J$4*10^-7)</f>
        <v>6.6389439112699206E-2</v>
      </c>
      <c r="AH213" s="69">
        <f t="shared" si="887"/>
        <v>218.58841470644899</v>
      </c>
      <c r="AI213" s="69">
        <f t="shared" si="1000"/>
        <v>3.7527027212948432</v>
      </c>
      <c r="AJ213" s="69">
        <f>IF(OR(EP213="",EP213=0),0,POWER(4*EW213/PI()/EO213/10^-7/EP213/(1-K213)/各项系数!$F$5/各项系数!$J$4,0.5))</f>
        <v>218.58841470644899</v>
      </c>
      <c r="AK213" s="69">
        <f t="shared" si="944"/>
        <v>0.21544235192578812</v>
      </c>
      <c r="AL213" s="69">
        <f t="shared" si="888"/>
        <v>16.590751527285164</v>
      </c>
      <c r="AM213" s="188">
        <f t="shared" si="889"/>
        <v>6</v>
      </c>
      <c r="AN213" s="97" t="s">
        <v>486</v>
      </c>
      <c r="AO213" s="196">
        <f>AP213+各项系数!$M$9*$NK213</f>
        <v>16.265442673808984</v>
      </c>
      <c r="AP213" s="196">
        <f>AQ213*(1+$BI213+(VLOOKUP($AM213,$A$12:$B$323,2,0))+各项系数!$J$6+各项系数!$M$5)*(1+$E$2)</f>
        <v>16.143799494957754</v>
      </c>
      <c r="AQ213" s="197">
        <f>AR213+各项系数!$L$9*$NK213</f>
        <v>16.150259598797273</v>
      </c>
      <c r="AR213" s="197">
        <f>AS213*(1+$BJ213+各项系数!$J$5+各项系数!$L$5)</f>
        <v>16.028616419946044</v>
      </c>
      <c r="AS213" s="197">
        <f t="shared" si="1001"/>
        <v>15.714329823476515</v>
      </c>
      <c r="AT213" s="196">
        <f>AU213+各项系数!$M$9*$NM213</f>
        <v>16.976051995831462</v>
      </c>
      <c r="AU213" s="196">
        <f>AV213*(1+$BI213+(VLOOKUP($AM213,$A$12:$B$323,2,0))+各项系数!$J$6+各项系数!$M$5)*(1+$E$2)</f>
        <v>16.854408816980232</v>
      </c>
      <c r="AV213" s="197">
        <f>AW213+各项系数!$L$9*$NM213</f>
        <v>16.86115327829155</v>
      </c>
      <c r="AW213" s="197">
        <f>AX213*(1+$BJ213+各项系数!$J$5+各项系数!$L$5)</f>
        <v>16.73951009944032</v>
      </c>
      <c r="AX213" s="197">
        <f t="shared" si="1002"/>
        <v>16.411284411215998</v>
      </c>
      <c r="AY213" s="196">
        <f>AZ213+各项系数!$M$9*$NS213</f>
        <v>17.319346310220233</v>
      </c>
      <c r="AZ213" s="196">
        <f>BA213*(1+$BI213+(VLOOKUP($AM213,$A$12:$B$214,2,0))+各项系数!$J$6+各项系数!$M$5)*(1+$E$2)</f>
        <v>17.193207126413917</v>
      </c>
      <c r="BA213" s="197">
        <f>BB213+各项系数!$L$9*$NS213</f>
        <v>17.200087161278429</v>
      </c>
      <c r="BB213" s="197">
        <f>BC213*(1+$BJ213+各项系数!$J$5+各项系数!$L$5)</f>
        <v>17.073947977472113</v>
      </c>
      <c r="BC213" s="199">
        <f t="shared" si="1003"/>
        <v>16.73916468379619</v>
      </c>
      <c r="BD213" s="196">
        <f>BE213+各项系数!$M$9*$NS213</f>
        <v>18.039088663440324</v>
      </c>
      <c r="BE213" s="196">
        <f>BF213*(1+$BI213+(VLOOKUP($AM213,$A$12:$B$214,2,0))+各项系数!$J$6+各项系数!$M$5)*(1+$E$2)</f>
        <v>17.912949479634008</v>
      </c>
      <c r="BF213" s="197">
        <f>BG213+各项系数!$L$9*$NS213</f>
        <v>17.920117526644663</v>
      </c>
      <c r="BG213" s="197">
        <f>BH213*(1+$BJ213+各项系数!$J$5+各项系数!$L$5)</f>
        <v>17.793978342838347</v>
      </c>
      <c r="BH213" s="199">
        <f t="shared" si="1004"/>
        <v>17.445076806704261</v>
      </c>
      <c r="BI213" s="213">
        <v>0.01</v>
      </c>
      <c r="BJ213" s="208">
        <f>$BJ$203</f>
        <v>0</v>
      </c>
      <c r="BK213" s="102" t="s">
        <v>514</v>
      </c>
      <c r="BL213" s="196">
        <f>BM213+各项系数!$M$9*$NM213</f>
        <v>16.528536867259113</v>
      </c>
      <c r="BM213" s="196">
        <f>BN213*(1+$CF213+(VLOOKUP($AM213,$A$12:$B$323,2,0))+各项系数!$J$6+各项系数!$M$5)*(1+$E$2)</f>
        <v>16.406893688407884</v>
      </c>
      <c r="BN213" s="197">
        <f>BO213+各项系数!$L$9*$NM213</f>
        <v>16.413459072036698</v>
      </c>
      <c r="BO213" s="197">
        <f>BP213*(1+$CG213+各项系数!$J$5+各项系数!$L$5)</f>
        <v>16.291815893185468</v>
      </c>
      <c r="BP213" s="197">
        <f t="shared" si="1005"/>
        <v>15.817296983675213</v>
      </c>
      <c r="BQ213" s="196">
        <f>BR213+各项系数!$M$9*$NM213</f>
        <v>17.140099194805973</v>
      </c>
      <c r="BR213" s="196">
        <f>BS213*(1+$CF213+(VLOOKUP($AM213,$A$12:$B$323,2,0))+各项系数!$J$6+各项系数!$M$5)*(1+$E$2)</f>
        <v>17.018456015954744</v>
      </c>
      <c r="BS213" s="197">
        <f>BT213+各项系数!$L$9*$NM213</f>
        <v>17.025266122403707</v>
      </c>
      <c r="BT213" s="197">
        <f>BU213*(1+$CG213+各项系数!$J$5+各项系数!$L$5)</f>
        <v>16.903622943552477</v>
      </c>
      <c r="BU213" s="197">
        <f t="shared" si="1006"/>
        <v>16.411284411215998</v>
      </c>
      <c r="BV213" s="196">
        <f>BW213+各项系数!$M$9*$NT213</f>
        <v>17.476218653143498</v>
      </c>
      <c r="BW213" s="196">
        <f>BX213*(1+$CF213+(VLOOKUP($AM213,$A$12:$B$214,2,0))+各项系数!$J$6+各项系数!$M$5)*(1+$E$2)</f>
        <v>17.350079469337182</v>
      </c>
      <c r="BX213" s="197">
        <f>BY213+各项系数!$L$9*$NT$12</f>
        <v>17.357022278248479</v>
      </c>
      <c r="BY213" s="197">
        <f>BZ213*(1+$CG213+各项系数!$J$5+各项系数!$L$5)</f>
        <v>17.348758875093505</v>
      </c>
      <c r="BZ213" s="199">
        <f t="shared" si="945"/>
        <v>16.843455218537382</v>
      </c>
      <c r="CA213" s="196">
        <f>CB213+各项系数!$M$9*$NT213</f>
        <v>18.095641020861056</v>
      </c>
      <c r="CB213" s="196">
        <f>CC213*(1+$CF213+(VLOOKUP($AM213,$A$12:$B$214,2,0))+各项系数!$J$6+各项系数!$M$5)*(1+$E$2)</f>
        <v>17.969501837054739</v>
      </c>
      <c r="CC213" s="197">
        <f>CD213+各项系数!$L$9*$NT$12</f>
        <v>17.976692514060364</v>
      </c>
      <c r="CD213" s="197">
        <f>CE213*(1+$CG213+各项系数!$J$5+各项系数!$L$5)</f>
        <v>17.96842911090539</v>
      </c>
      <c r="CE213" s="199">
        <f t="shared" si="1007"/>
        <v>17.445076806704261</v>
      </c>
      <c r="CF213" s="213">
        <f t="shared" si="884"/>
        <v>0.01</v>
      </c>
      <c r="CG213" s="213">
        <f t="shared" si="946"/>
        <v>0.01</v>
      </c>
      <c r="CH213" s="102"/>
      <c r="CI213" s="196">
        <f>CJ213+各项系数!$M$9*$NO213</f>
        <v>17.358527610322707</v>
      </c>
      <c r="CJ213" s="196">
        <f>CK213*(1+$DC213+(VLOOKUP($AM213,$A$12:$B$323,2,0))+各项系数!$J$6+各项系数!$M$5)*(1+$E$2)+各项系数!$M$9*$NK213</f>
        <v>17.182589585578285</v>
      </c>
      <c r="CK213" s="197">
        <f>CL213+各项系数!$L$9*$NO213</f>
        <v>17.067773516133506</v>
      </c>
      <c r="CL213" s="197">
        <f>CM213*(1+$DD213+各项系数!$J$5+各项系数!$L$5)</f>
        <v>16.891835491389084</v>
      </c>
      <c r="CM213" s="197">
        <f t="shared" si="947"/>
        <v>16.560623030773613</v>
      </c>
      <c r="CN213" s="196">
        <f>CO213+各项系数!$M$9*$NO213</f>
        <v>17.927122886685272</v>
      </c>
      <c r="CO213" s="196">
        <f>CP213*(1+$DC213+(VLOOKUP($AM213,$A$12:$B$323,2,0))+各项系数!$J$6+各项系数!$M$5)*(1+$E$2)+各项系数!$M$9*$NK213</f>
        <v>17.75118486194085</v>
      </c>
      <c r="CP213" s="197">
        <f>CQ213+各项系数!$L$9*$NO213</f>
        <v>17.636596321618267</v>
      </c>
      <c r="CQ213" s="197">
        <f>CR213*(1+$DD213+各项系数!$J$5+各项系数!$L$5)</f>
        <v>17.460658296873845</v>
      </c>
      <c r="CR213" s="197">
        <f t="shared" si="948"/>
        <v>17.118292447915533</v>
      </c>
      <c r="CS213" s="196">
        <f>CT213+各项系数!$M$9*$NU213</f>
        <v>18.454087962755629</v>
      </c>
      <c r="CT213" s="196">
        <f t="shared" si="949"/>
        <v>18.272948252889449</v>
      </c>
      <c r="CU213" s="197">
        <f>CV213+各项系数!$L$9*$NU213</f>
        <v>18.280260357032262</v>
      </c>
      <c r="CV213" s="197">
        <f>CW213*(1+$DD213+各项系数!$J$5+各项系数!$L$5)</f>
        <v>18.099120647166082</v>
      </c>
      <c r="CW213" s="199">
        <f t="shared" si="950"/>
        <v>17.744235928594197</v>
      </c>
      <c r="CX213" s="196">
        <f>CY213+各项系数!$M$9*$NU213</f>
        <v>19.269955469330547</v>
      </c>
      <c r="CY213" s="196">
        <f t="shared" si="951"/>
        <v>19.088815759464367</v>
      </c>
      <c r="CZ213" s="197">
        <f>DA213+各项系数!$L$9*$NU213</f>
        <v>19.09645434120085</v>
      </c>
      <c r="DA213" s="197">
        <f>DB213*(1+$DD213+各项系数!$J$5+各项系数!$L$5)</f>
        <v>18.91531463133467</v>
      </c>
      <c r="DB213" s="199">
        <f t="shared" si="952"/>
        <v>18.544426109151637</v>
      </c>
      <c r="DC213" s="213">
        <f t="shared" si="1040"/>
        <v>0.01</v>
      </c>
      <c r="DD213" s="213">
        <f t="shared" si="953"/>
        <v>0</v>
      </c>
      <c r="DE213" s="53" t="s">
        <v>498</v>
      </c>
      <c r="DF213" s="53" t="s">
        <v>513</v>
      </c>
      <c r="DG213" s="196">
        <f>DH213+各项系数!$M$9*$NQ213</f>
        <v>17.644421984695498</v>
      </c>
      <c r="DH213" s="196">
        <f>DI213*(1+$EA213+(VLOOKUP($AM213,$A$12:$B$323,2,0))+各项系数!$J$6+各项系数!$M$5)*(1+$E$2)+各项系数!$M$9*$NK213</f>
        <v>17.468483959951076</v>
      </c>
      <c r="DI213" s="197">
        <f>DJ213+各项系数!$L$9*$NQ213</f>
        <v>17.353782294017453</v>
      </c>
      <c r="DJ213" s="197">
        <f>DK213*(1+$EB213+各项系数!$J$5+各项系数!$L$5)</f>
        <v>17.177844269273031</v>
      </c>
      <c r="DK213" s="197">
        <f t="shared" si="954"/>
        <v>16.677518708032068</v>
      </c>
      <c r="DL213" s="196">
        <f>DM213+各项系数!$M$9*$NQ213</f>
        <v>18.338711235038939</v>
      </c>
      <c r="DM213" s="196">
        <f>DN213*(1+$EA213+(VLOOKUP($AM213,$A$12:$B$323,2,0))+各项系数!$J$6+各项系数!$M$5)*(1+$E$2)+各项系数!$M$9*$NK213</f>
        <v>18.162773210294517</v>
      </c>
      <c r="DN213" s="197">
        <f>DO213+各项系数!$L$9*$NQ213</f>
        <v>18.048349371191765</v>
      </c>
      <c r="DO213" s="197">
        <f>DP213*(1+$EB213+各项系数!$J$5+各项系数!$L$5)</f>
        <v>17.872411346447343</v>
      </c>
      <c r="DP213" s="197">
        <f t="shared" si="955"/>
        <v>17.351855676162469</v>
      </c>
      <c r="DQ213" s="196">
        <f>DR213+各项系数!$M$9*$NV213</f>
        <v>18.753176262203489</v>
      </c>
      <c r="DR213" s="196">
        <f t="shared" si="956"/>
        <v>18.572036552337309</v>
      </c>
      <c r="DS213" s="197">
        <f>DT213+各项系数!$L$9*$NV213</f>
        <v>18.579468339673177</v>
      </c>
      <c r="DT213" s="197">
        <f>DU213*(1+$EB213+各项系数!$J$5+各项系数!$L$5)</f>
        <v>18.398328629806997</v>
      </c>
      <c r="DU213" s="199">
        <f t="shared" si="957"/>
        <v>17.862454980395142</v>
      </c>
      <c r="DV213" s="196">
        <f>DW213+各项系数!$M$9*$NV213</f>
        <v>18.889020625743896</v>
      </c>
      <c r="DW213" s="196">
        <f t="shared" si="958"/>
        <v>18.707880915877716</v>
      </c>
      <c r="DX213" s="197">
        <f>DY213+各项系数!$L$9*$NV213</f>
        <v>18.715367062702796</v>
      </c>
      <c r="DY213" s="197">
        <f>DZ213*(1+$EB213+各项系数!$J$5+各项系数!$L$5)</f>
        <v>18.534227352836616</v>
      </c>
      <c r="DZ213" s="199">
        <f t="shared" si="959"/>
        <v>17.994395488190889</v>
      </c>
      <c r="EA213" s="213">
        <f>BI213+$EA$2</f>
        <v>0.01</v>
      </c>
      <c r="EB213" s="213">
        <f t="shared" si="960"/>
        <v>0.01</v>
      </c>
      <c r="EC213" s="235" t="str">
        <f t="shared" si="1008"/>
        <v>3+2</v>
      </c>
      <c r="ED213" s="235" t="str">
        <f t="shared" si="890"/>
        <v>3*6</v>
      </c>
      <c r="EE213" s="189">
        <f t="shared" si="891"/>
        <v>6</v>
      </c>
      <c r="EF213" s="189">
        <f>LOOKUP(EH213,{1,7,10,14,19,24,30,37,48,61},{1,"1+6","2+8","4+10","1+6+12","2+8+14","4+10+16","1+6+12+18","3+9+15+21","1+6+12+18+24"})</f>
        <v>1</v>
      </c>
      <c r="EG213" s="188">
        <f t="shared" si="961"/>
        <v>3</v>
      </c>
      <c r="EH213" s="197">
        <f>VLOOKUP(EE213,各项系数!$B$87:$C$124,2,0)</f>
        <v>1</v>
      </c>
      <c r="EI213" s="188">
        <f>IF(EH213=0,0,VLOOKUP(EH213,各项系数!$D$142:$E$195,2,0))*1</f>
        <v>1</v>
      </c>
      <c r="EJ213" s="238">
        <f t="shared" si="1009"/>
        <v>267.425148012862</v>
      </c>
      <c r="EK213" s="189" t="str">
        <f t="shared" si="892"/>
        <v>2*4</v>
      </c>
      <c r="EL213" s="189" t="str">
        <f t="shared" si="962"/>
        <v>4</v>
      </c>
      <c r="EM213" s="189">
        <f t="shared" si="893"/>
        <v>4</v>
      </c>
      <c r="EN213" s="189">
        <f>IF(EP213=0,0,LOOKUP(EP213,{1,7,10,14,19,24,30,37,48,61},{1,"1+6","2+8","4+10","1+6+12","2+8+14","4+10+16","1+6+12+18","3+9+15+21","1+6+12+18+24"}))</f>
        <v>1</v>
      </c>
      <c r="EO213" s="189" t="str">
        <f t="shared" si="894"/>
        <v>2</v>
      </c>
      <c r="EP213" s="189">
        <f>IF(EM213=0,0,IF(EM213&lt;10,1,IF(AND(EM213&gt;=10,EM213&lt;=35),7,LOOKUP(EM213,{50,70,95,120,150,185,240,300},{10,14,19,24,30,37,48,61})*1)))</f>
        <v>1</v>
      </c>
      <c r="EQ213" s="189">
        <f>IF(EP213=0,0,VLOOKUP(EP213,各项系数!$D$142:$E$195,2,0))*1</f>
        <v>1</v>
      </c>
      <c r="ER213" s="53">
        <f t="shared" si="895"/>
        <v>218.58841470644899</v>
      </c>
      <c r="ES213" s="412">
        <f t="shared" si="896"/>
        <v>5</v>
      </c>
      <c r="ET213" s="189">
        <f>VLOOKUP(ES213,各项系数!$D$142:$E$195,2,0)*1</f>
        <v>2.7</v>
      </c>
      <c r="EU213" s="243">
        <f>((各项系数!$F$76/4*$EJ213^2*$EG213*$EH213*1*10^-7)*(1-$H213)*AA213)*(VLOOKUP($EY$9,各项系数!$D$4:$F$143,3,0))*各项系数!$J$4</f>
        <v>0.14905291281308897</v>
      </c>
      <c r="EV213" s="244">
        <f>EU213*(VLOOKUP($EY$9,各项系数!$D$4:$F$143,2,0))</f>
        <v>9.7629657892573274</v>
      </c>
      <c r="EW213" s="252">
        <f>(IF($EO213=0,0,(各项系数!$F$76/4*$ER213^2*$EO213*$EP213*1*10^-7))*(1-$K213)*$AF213)*(VLOOKUP($EY$9,各项系数!$D$4:$F$143,3,0))*各项系数!$J$4</f>
        <v>6.6389439112699192E-2</v>
      </c>
      <c r="EX213" s="253">
        <f>EW213*(VLOOKUP($EY$9,各项系数!$D$4:$F$143,2,0))</f>
        <v>4.348508261881797</v>
      </c>
      <c r="EY213" s="189">
        <f>((各项系数!$F$76/4*$EJ213^2*$EG213*$EH213*1*10^-7)*(1-$H213)*AA213+IF($EO213=0,0,(各项系数!$F$76/4*$ER213^2*$EO213*$EP213*1*10^-7))*(1-$K213)*$AF213)*(VLOOKUP($EY$9,各项系数!$D$4:$F$143,3,0))*各项系数!$J$4</f>
        <v>0.21544235192578812</v>
      </c>
      <c r="EZ213" s="102">
        <v>1</v>
      </c>
      <c r="FA213" s="189">
        <f t="shared" si="897"/>
        <v>0.21544235192578812</v>
      </c>
      <c r="FB213" s="254">
        <f>FA213*(VLOOKUP($EY$9,各项系数!$D$4:$F$143,2,0))</f>
        <v>14.111474051139121</v>
      </c>
      <c r="FC213" s="255"/>
      <c r="FD213" s="235">
        <f>各项系数!$F$76/4*($MN213^2-MK213^2)*10^-2*(VLOOKUP(L213,各项系数!$D$1:$F$143,3,0))*10^-3*10^2*$EG213*各项系数!$J$4</f>
        <v>2.436477360847028E-2</v>
      </c>
      <c r="FE213" s="262">
        <f>FD213*VLOOKUP(L213,各项系数!$D$1:$F$143,2,0)</f>
        <v>0.28019489649740825</v>
      </c>
      <c r="FF213" s="188">
        <f>各项系数!$F$76/4*($MO213^2-ML213^2)*10^-2*(VLOOKUP(L213,各项系数!$D$1:$F$143,3,0))*10^-3*10^2*$EO213*各项系数!$J$4</f>
        <v>1.3892249248311382E-2</v>
      </c>
      <c r="FG213" s="262">
        <f>FF213*VLOOKUP(L213,各项系数!$D$1:$F$143,2,0)</f>
        <v>0.1597608663555809</v>
      </c>
      <c r="FH213" s="235">
        <f t="shared" si="1010"/>
        <v>3.8257022856781661E-2</v>
      </c>
      <c r="FI213" s="102">
        <v>1</v>
      </c>
      <c r="FJ213" s="189">
        <f t="shared" si="898"/>
        <v>3.8257022856781661E-2</v>
      </c>
      <c r="FK213" s="262">
        <f>FJ213*VLOOKUP(L213,各项系数!$D$1:$F$143,2,0)</f>
        <v>0.4399557628529891</v>
      </c>
      <c r="FL213" s="235"/>
      <c r="FM213" s="102"/>
      <c r="FN213" s="189"/>
      <c r="FO213" s="262"/>
      <c r="FP213" s="282">
        <f t="shared" si="899"/>
        <v>3.8257022856781661E-2</v>
      </c>
      <c r="FQ213" s="282">
        <f t="shared" si="900"/>
        <v>0.4399557628529891</v>
      </c>
      <c r="FR213" s="283">
        <f>各项系数!$F$76/4*($MQ213^2-$MN213^2*$EG213-$MO213^2*$EO213)*10^-2</f>
        <v>0.26836198377737719</v>
      </c>
      <c r="FS213" s="284">
        <f t="shared" si="1011"/>
        <v>1</v>
      </c>
      <c r="FT213" s="285">
        <f t="shared" si="963"/>
        <v>0.26836198377737719</v>
      </c>
      <c r="FU213" s="302">
        <f>$FT213*(VLOOKUP($FT$9,各项系数!$D$1:$F$143,3,0))*10^-3*10^2*各项系数!$J$55</f>
        <v>3.2042420863018832E-2</v>
      </c>
      <c r="FV213" s="303">
        <v>1</v>
      </c>
      <c r="FW213" s="304">
        <f t="shared" si="901"/>
        <v>3.2042420863018832E-2</v>
      </c>
      <c r="FX213" s="285">
        <f>FW213*(VLOOKUP($FT$9,各项系数!$D$1:$F$143,2,0))</f>
        <v>9.6127262589056489E-2</v>
      </c>
      <c r="FY213" s="302">
        <f>IF($BK213&lt;&gt;$FY$9,0,各项系数!$F$76/4*($MS213^2-$MQ213^2)*10^-2*(VLOOKUP($FY$9,各项系数!$D$1:$F$143,3,0))*10^-3*10^2)*各项系数!$J$4</f>
        <v>0</v>
      </c>
      <c r="FZ213" s="303">
        <v>1</v>
      </c>
      <c r="GA213" s="304">
        <f t="shared" si="902"/>
        <v>0</v>
      </c>
      <c r="GB213" s="285">
        <f>GA213*(VLOOKUP($FY$9,各项系数!$D$1:$F$143,2,0))</f>
        <v>0</v>
      </c>
      <c r="GC213" s="302">
        <f>IF($BK213&lt;&gt;$GC$9,0,各项系数!$F$76/4*($MS213^2-$MQ213^2)*10^-2*(VLOOKUP($GC$9,各项系数!$D$1:$F$143,3,0))*10^-3*10^2)*各项系数!$J$4</f>
        <v>2.8760577448349763E-3</v>
      </c>
      <c r="GD213" s="303">
        <v>1</v>
      </c>
      <c r="GE213" s="304">
        <f t="shared" si="903"/>
        <v>2.8760577448349763E-3</v>
      </c>
      <c r="GF213" s="285">
        <f>GE213*(VLOOKUP($GC$9,各项系数!$D$1:$F$143,2,0))</f>
        <v>3.7101144908371193E-2</v>
      </c>
      <c r="GG213" s="302">
        <f>IF($BK213&lt;&gt;$GG$9,0,各项系数!$F$76/4*($MS213^2-$MQ213^2)*10^-2*(VLOOKUP($GG$9,各项系数!$D$1:$F$143,3,0))*10^-3*10^2)*各项系数!$J$4</f>
        <v>0</v>
      </c>
      <c r="GH213" s="303">
        <v>1</v>
      </c>
      <c r="GI213" s="304">
        <f t="shared" si="904"/>
        <v>0</v>
      </c>
      <c r="GJ213" s="285">
        <f>GI213*(VLOOKUP($GG$9,各项系数!$D$1:$F$143,2,0))</f>
        <v>0</v>
      </c>
      <c r="GK213" s="302">
        <f>IF($BK213&lt;&gt;$GK$9,0,各项系数!$F$76/4*($MS213^2-$MQ213^2)*10^-2*(VLOOKUP($GK$9,各项系数!$D$1:$F$143,3,0))*10^-3*10^2)*各项系数!$J$4</f>
        <v>0</v>
      </c>
      <c r="GL213" s="303">
        <v>1</v>
      </c>
      <c r="GM213" s="304">
        <f t="shared" si="905"/>
        <v>0</v>
      </c>
      <c r="GN213" s="285">
        <f>GM213*(VLOOKUP($GK$9,各项系数!$D$1:$F$143,2,0))</f>
        <v>0</v>
      </c>
      <c r="GO213" s="304">
        <f t="shared" si="906"/>
        <v>2.8760577448349763E-3</v>
      </c>
      <c r="GP213" s="304">
        <f t="shared" si="907"/>
        <v>3.7101144908371193E-2</v>
      </c>
      <c r="GQ213" s="315">
        <f>各项系数!$F$76/4*($MU213^2-$MS213^2)*10^-2*(VLOOKUP($S213,各项系数!$D$1:$F$143,3,0))*10^-3*10^2*各项系数!$J$4</f>
        <v>0.16498577683367438</v>
      </c>
      <c r="GR213" s="303">
        <v>1</v>
      </c>
      <c r="GS213" s="304">
        <f t="shared" si="908"/>
        <v>0.16498577683367438</v>
      </c>
      <c r="GT213" s="304">
        <f t="shared" si="909"/>
        <v>1</v>
      </c>
      <c r="GU213" s="304">
        <f>ROUND($GS213*(VLOOKUP($S213,各项系数!$D$1:$F$143,2,0))+$E$3*GS213,GT213)</f>
        <v>1</v>
      </c>
      <c r="GV213" s="315">
        <f>各项系数!$F$76/4*($MT213^2-$MS213^2)*10^-2*(VLOOKUP($GV$9,各项系数!$D$1:$F$143,3,0))*10^-3*10^2*各项系数!$J$4*PI()/4*R213</f>
        <v>1.4986683183625624E-2</v>
      </c>
      <c r="GW213" s="303">
        <v>1</v>
      </c>
      <c r="GX213" s="304">
        <f t="shared" si="910"/>
        <v>1.4986683183625624E-2</v>
      </c>
      <c r="GY213" s="304">
        <f>$GX213*(VLOOKUP($GV$9,各项系数!$D$1:$F$143,2,0))</f>
        <v>1.0116011148947297</v>
      </c>
      <c r="GZ213" s="315">
        <f>各项系数!$F$76/4*($MV213^2-$MS213^2)*10^-2*(VLOOKUP($GZ$9,各项系数!$D$1:$F$143,3,0))*10^-3*10^2*各项系数!$J$4</f>
        <v>0.10156624645449769</v>
      </c>
      <c r="HA213" s="303">
        <v>1</v>
      </c>
      <c r="HB213" s="304">
        <f t="shared" si="1012"/>
        <v>0.10156624645449769</v>
      </c>
      <c r="HC213" s="304">
        <f>HB213*(VLOOKUP($GZ$9,各项系数!$D$1:$F$143,2,0))</f>
        <v>1.7266261897264608</v>
      </c>
      <c r="HD213" s="315">
        <f>各项系数!$F$76/4*($MW213^2-$MT213^2)*10^-2*(VLOOKUP($HD$9,各项系数!$D$1:$F$143,3,0))*10^-3*10^2*各项系数!$J$4</f>
        <v>0.10287161590117611</v>
      </c>
      <c r="HE213" s="303">
        <v>1</v>
      </c>
      <c r="HF213" s="304">
        <f t="shared" si="1013"/>
        <v>0.10287161590117611</v>
      </c>
      <c r="HG213" s="304">
        <f>HF213*(VLOOKUP($HD$9,各项系数!$D$1:$F$143,2,0))</f>
        <v>1.7488174703199939</v>
      </c>
      <c r="HH213" s="315">
        <f>各项系数!$F$76/4*($MV213^2-$MS213^2)*10^-2*(VLOOKUP($HH$9,各项系数!$D$1:$F$143,3,0))*10^-3*10^2*各项系数!$J$4</f>
        <v>0.10156624645449769</v>
      </c>
      <c r="HI213" s="322">
        <v>1</v>
      </c>
      <c r="HJ213" s="304">
        <f t="shared" si="1014"/>
        <v>0.10156624645449769</v>
      </c>
      <c r="HK213" s="304">
        <f>HJ213*(VLOOKUP($HH$9,各项系数!$D$1:$F$143,2,0))</f>
        <v>1.7266261897264608</v>
      </c>
      <c r="HL213" s="315">
        <f>各项系数!$F$76/4*($MW213^2-$MT213^2)*10^-2*(VLOOKUP($HL$9,各项系数!$D$1:$F$143,3,0))*10^-3*10^2*各项系数!$J$4</f>
        <v>0.10287161590117611</v>
      </c>
      <c r="HM213" s="322">
        <v>1</v>
      </c>
      <c r="HN213" s="304">
        <f t="shared" si="964"/>
        <v>0.10287161590117611</v>
      </c>
      <c r="HO213" s="304">
        <f>HN213*(VLOOKUP($HL$9,各项系数!$D$1:$F$143,2,0))</f>
        <v>1.7488174703199939</v>
      </c>
      <c r="HP213" s="315">
        <f>各项系数!$F$76/4*($MV213^2-$MS213^2)*10^-2*(VLOOKUP(AN213,各项系数!$D$1:$F$143,3,0))*10^-3*10^2*各项系数!$J$4</f>
        <v>0.10296716019869766</v>
      </c>
      <c r="HQ213" s="303">
        <v>1</v>
      </c>
      <c r="HR213" s="304">
        <f t="shared" si="911"/>
        <v>0.10296716019869766</v>
      </c>
      <c r="HS213" s="304">
        <f>HR213*(VLOOKUP(AN213,各项系数!$D$1:$F$143,2,0))</f>
        <v>1.0296716019869765</v>
      </c>
      <c r="HT213" s="315">
        <f>各项系数!$F$76/4*($MW213^2-$MT213^2)*10^-2*(VLOOKUP(AN213,各项系数!$D$1:$F$143,3,0))*10^-3*10^2*各项系数!$J$4</f>
        <v>0.10429053474119233</v>
      </c>
      <c r="HU213" s="303">
        <v>1</v>
      </c>
      <c r="HV213" s="304">
        <f t="shared" si="912"/>
        <v>0.10429053474119233</v>
      </c>
      <c r="HW213" s="304">
        <f>HV213*(VLOOKUP(AN213,各项系数!$D$1:$F$143,2,0))</f>
        <v>1.0429053474119234</v>
      </c>
      <c r="HX213" s="315">
        <f>各项系数!$F$76/4*($MV213^2-$MS213^2)*10^-2*(VLOOKUP($HX$9,各项系数!$D$1:$F$143,3,0))*10^-3*10^2*各项系数!$J$4</f>
        <v>0.10296716019869766</v>
      </c>
      <c r="HY213" s="322">
        <v>1</v>
      </c>
      <c r="HZ213" s="304">
        <f t="shared" si="913"/>
        <v>0.10296716019869766</v>
      </c>
      <c r="IA213" s="304">
        <f>HZ213*(VLOOKUP($HX$9,各项系数!$D$1:$F$143,2,0))</f>
        <v>1.1326387621856742</v>
      </c>
      <c r="IB213" s="315">
        <f>各项系数!$F$76/4*($MW213^2-$MT213^2)*10^-2*(VLOOKUP($IB$9,各项系数!$D$1:$F$143,3,0))*10^-3*10^2*各项系数!$J$4</f>
        <v>0.10429053474119233</v>
      </c>
      <c r="IC213" s="322">
        <v>1</v>
      </c>
      <c r="ID213" s="304">
        <f t="shared" si="914"/>
        <v>0.10429053474119233</v>
      </c>
      <c r="IE213" s="304">
        <f>ID213*(VLOOKUP($IB$9,各项系数!$D$1:$F$143,2,0))</f>
        <v>1.1471958821531156</v>
      </c>
      <c r="IF213" s="328"/>
      <c r="IG213" s="315">
        <f t="shared" si="1015"/>
        <v>1.9544704151213246E-2</v>
      </c>
      <c r="IH213" s="303">
        <v>1</v>
      </c>
      <c r="II213" s="304">
        <f t="shared" si="915"/>
        <v>1.9544704151213246E-2</v>
      </c>
      <c r="IJ213" s="304">
        <f>II213*(VLOOKUP($IG$8,各项系数!$D$1:$F$143,2,0))</f>
        <v>0.48861760378033114</v>
      </c>
      <c r="IK213" s="315">
        <f>(各项系数!$F$76/4*($MX213^2-$MK213^2)*$EG213)*10^-2*(VLOOKUP($IG$8,各项系数!$D$1:$F$143,3,0))*10^-3*10^2*各项系数!$J$4</f>
        <v>1.2551175674773773E-2</v>
      </c>
      <c r="IL213" s="303">
        <f>IK213*(VLOOKUP($IG$8,各项系数!$D$1:$F$143,2,0))</f>
        <v>0.31377939186934434</v>
      </c>
      <c r="IM213" s="304">
        <f>(各项系数!$F$76/4*(($MM213+3*$X213)^2-MM213^2)*$EO213)*10^-2*(VLOOKUP($IG$8,各项系数!$D$1:$F$143,3,0))*10^-3*10^2*各项系数!$J$4</f>
        <v>6.9935284764394727E-3</v>
      </c>
      <c r="IN213" s="303">
        <f>IM213*(VLOOKUP($IG$8,各项系数!$D$1:$F$143,2,0))</f>
        <v>0.17483821191098681</v>
      </c>
      <c r="IO213" s="315">
        <f>各项系数!$F$76/4*($MZ213^2-$MX213^2)*10^-2*(VLOOKUP(L213,各项系数!$D$1:$F$143,3,0))*10^-3*10^2*$ES213*各项系数!$J$4</f>
        <v>4.7828749648760598E-2</v>
      </c>
      <c r="IP213" s="303">
        <v>1</v>
      </c>
      <c r="IQ213" s="304">
        <f t="shared" si="916"/>
        <v>4.7828749648760598E-2</v>
      </c>
      <c r="IR213" s="285">
        <f>IQ213*(VLOOKUP(L213,各项系数!$D$1:$F$143,2,0))</f>
        <v>0.55003062096074684</v>
      </c>
      <c r="IS213" s="315">
        <f>IF($L213&lt;&gt;$IS$9,0,各项系数!$F$76/4*($MZ213^2-$MX213^2)*10^-2*各项系数!$F$12*10^-3*10^2)*$ES213*各项系数!$J$4</f>
        <v>0</v>
      </c>
      <c r="IT213" s="303">
        <v>1</v>
      </c>
      <c r="IU213" s="304">
        <f t="shared" si="917"/>
        <v>0</v>
      </c>
      <c r="IV213" s="285">
        <f>IU213*各项系数!$E$12</f>
        <v>0</v>
      </c>
      <c r="IW213" s="302">
        <f t="shared" si="918"/>
        <v>4.7828749648760598E-2</v>
      </c>
      <c r="IX213" s="302">
        <f t="shared" si="919"/>
        <v>0.55003062096074684</v>
      </c>
      <c r="IY213" s="339">
        <f>各项系数!$F$76/4*($NB213^2-$MZ213^2*$EG213-$NA213^2*$EO213)*10^-2</f>
        <v>0.3585542005886993</v>
      </c>
      <c r="IZ213" s="284">
        <f t="shared" si="697"/>
        <v>1</v>
      </c>
      <c r="JA213" s="285">
        <f t="shared" si="965"/>
        <v>0.3585542005886993</v>
      </c>
      <c r="JB213" s="282">
        <f>IF($DE213&lt;&gt;$JB$9,0,$JA213*各项系数!$F$32*10^-3*10^2)*各项系数!$J$4</f>
        <v>0</v>
      </c>
      <c r="JC213" s="102">
        <v>1</v>
      </c>
      <c r="JD213" s="189">
        <f t="shared" si="920"/>
        <v>0</v>
      </c>
      <c r="JE213" s="262">
        <f>JD213*各项系数!$E$32</f>
        <v>0</v>
      </c>
      <c r="JF213" s="282">
        <f>IF($DE213&lt;&gt;$JF$9,0,$JA213*VLOOKUP($JF$9,各项系数!$D$4:$F$540,2,0)*10^-3*10^2)*各项系数!$J$4</f>
        <v>0.1783807147928779</v>
      </c>
      <c r="JG213" s="102">
        <v>1</v>
      </c>
      <c r="JH213" s="189">
        <f t="shared" si="966"/>
        <v>0.1783807147928779</v>
      </c>
      <c r="JI213" s="262">
        <f>JH213*VLOOKUP($JF$9,各项系数!$D$4:$F$540,3,0)</f>
        <v>0.21405685775145347</v>
      </c>
      <c r="JJ213" s="282">
        <f t="shared" si="921"/>
        <v>0.1783807147928779</v>
      </c>
      <c r="JK213" s="189">
        <f t="shared" si="922"/>
        <v>0.21405685775145347</v>
      </c>
      <c r="JL213" s="282">
        <f>IF($DF213&lt;&gt;$JL$9,0,各项系数!$F$76/4*($NE213^2-$NC213^2)*10^-2*各项系数!$F$39*10^-3*10^2)*各项系数!$J$4</f>
        <v>1.3743562278709977E-3</v>
      </c>
      <c r="JM213" s="102">
        <v>1</v>
      </c>
      <c r="JN213" s="189">
        <f t="shared" si="923"/>
        <v>1.3743562278709977E-3</v>
      </c>
      <c r="JO213" s="262">
        <f>JN213*各项系数!$E$39</f>
        <v>2.7487124557419952E-2</v>
      </c>
      <c r="JP213" s="282">
        <f>IF($DF213&lt;&gt;$JP$9,0,各项系数!$F$76/4*($NE213^2-$NC213^2)*10^-2*各项系数!$F$36*10^-3*10^2)*各项系数!$J$4</f>
        <v>0</v>
      </c>
      <c r="JQ213" s="102">
        <v>1</v>
      </c>
      <c r="JR213" s="189">
        <f t="shared" si="924"/>
        <v>0</v>
      </c>
      <c r="JS213" s="262">
        <f>JR213*各项系数!$E$36</f>
        <v>0</v>
      </c>
      <c r="JT213" s="282">
        <f>IF($DF213&lt;&gt;$JT$9,0,各项系数!$F$76/4*($NE213^2-$NC213^2)*10^-2*各项系数!$F$40*10^-3*10^2)*各项系数!$J$4</f>
        <v>0</v>
      </c>
      <c r="JU213" s="102">
        <v>1</v>
      </c>
      <c r="JV213" s="189">
        <f t="shared" si="925"/>
        <v>0</v>
      </c>
      <c r="JW213" s="262">
        <f>JV213*各项系数!$E$40</f>
        <v>0</v>
      </c>
      <c r="JX213" s="282">
        <f>IF($DF213&lt;&gt;$JX$9,0,各项系数!$F$76/4*($NE213^2-$NC213^2)*10^-2*各项系数!$F$38*10^-3*10^2)*各项系数!$J$4</f>
        <v>0</v>
      </c>
      <c r="JY213" s="102">
        <v>1</v>
      </c>
      <c r="JZ213" s="189">
        <f t="shared" si="926"/>
        <v>0</v>
      </c>
      <c r="KA213" s="262">
        <f>JZ213*各项系数!$E$38</f>
        <v>0</v>
      </c>
      <c r="KB213" s="282">
        <f>IF($DF213&lt;&gt;$KB$9,0,各项系数!$F$76/4*($NE213^2-$NC213^2)*10^-2*各项系数!$F$41*10^-3*10^2)*各项系数!$J$4</f>
        <v>0</v>
      </c>
      <c r="KC213" s="102">
        <v>1</v>
      </c>
      <c r="KD213" s="189">
        <f t="shared" si="927"/>
        <v>0</v>
      </c>
      <c r="KE213" s="262">
        <f>KD213*各项系数!$E$41</f>
        <v>0</v>
      </c>
      <c r="KF213" s="189">
        <f t="shared" si="928"/>
        <v>1.3743562278709977E-3</v>
      </c>
      <c r="KG213" s="189">
        <f t="shared" si="929"/>
        <v>2.7487124557419952E-2</v>
      </c>
      <c r="KH213" s="235">
        <f>各项系数!$F$76/4*($NG213^2-$NE213^2)*10^-2*各项系数!$F$44*10^-3*10^2*各项系数!$J$4*0.75*$U213</f>
        <v>0.56905325118625694</v>
      </c>
      <c r="KI213" s="102">
        <v>1</v>
      </c>
      <c r="KJ213" s="189">
        <f t="shared" si="930"/>
        <v>0.56905325118625694</v>
      </c>
      <c r="KK213" s="189">
        <f>ROUND(KJ213*各项系数!$E$43,GT213)</f>
        <v>3.3</v>
      </c>
      <c r="KL213" s="235">
        <f>各项系数!$F$76/4*($NF213^2-$NE213^2)*10^-2*各项系数!$F$46*10^-3*10^2*各项系数!$J$4*PI()/4*R213</f>
        <v>1.7338950405861277E-2</v>
      </c>
      <c r="KM213" s="102">
        <v>1</v>
      </c>
      <c r="KN213" s="189">
        <f t="shared" si="931"/>
        <v>1.7338950405861277E-2</v>
      </c>
      <c r="KO213" s="189">
        <f>KN213*各项系数!$E$46</f>
        <v>1.1703791523956362</v>
      </c>
      <c r="KP213" s="235">
        <f>各项系数!$F$76/4*($NH213^2-$NE213^2)*10^-2*(VLOOKUP($KP$9,各项系数!$D$1:$F$143,3,0))*10^-3*10^2*各项系数!$J$4</f>
        <v>0.11530525988078791</v>
      </c>
      <c r="KQ213" s="102">
        <v>1</v>
      </c>
      <c r="KR213" s="189">
        <f t="shared" si="1016"/>
        <v>0.11530525988078791</v>
      </c>
      <c r="KS213" s="189">
        <f>KR213*(VLOOKUP($KP$9,各项系数!$D$1:$F$143,2,0))</f>
        <v>1.9601894179733945</v>
      </c>
      <c r="KT213" s="235">
        <f>各项系数!$F$76/4*($NI213^2-$NF213^2)*10^-2*(VLOOKUP($KT$9,各项系数!$D$1:$F$143,3,0))*10^-3*10^2*各项系数!$J$4</f>
        <v>0.11661062932746635</v>
      </c>
      <c r="KU213" s="102">
        <v>1</v>
      </c>
      <c r="KV213" s="189">
        <f t="shared" si="1017"/>
        <v>0.11661062932746635</v>
      </c>
      <c r="KW213" s="189">
        <f>KV213*(VLOOKUP($KT$9,各项系数!$D$1:$F$143,2,0))</f>
        <v>1.9823806985669279</v>
      </c>
      <c r="KX213" s="189">
        <f>各项系数!$F$76/4*($NH213^2-$NE213^2)*10^-2*(VLOOKUP($KX$9,各项系数!$D$1:$F$143,3,0))*10^-3*10^2*各项系数!$J$4</f>
        <v>0.11530525988078791</v>
      </c>
      <c r="KY213" s="353">
        <v>1</v>
      </c>
      <c r="KZ213" s="189">
        <f t="shared" si="1018"/>
        <v>0.11530525988078791</v>
      </c>
      <c r="LA213" s="189">
        <f>KZ213*(VLOOKUP($KX$9,各项系数!$D$1:$F$143,2,0))</f>
        <v>1.9601894179733945</v>
      </c>
      <c r="LB213" s="189">
        <f>各项系数!$F$76/4*($NI213^2-$NF213^2)*10^-2*(VLOOKUP($LB$9,各项系数!$D$1:$F$143,3,0))*10^-3*10^2*各项系数!$J$4</f>
        <v>0.11661062932746635</v>
      </c>
      <c r="LC213" s="353">
        <v>1</v>
      </c>
      <c r="LD213" s="189">
        <f t="shared" si="1019"/>
        <v>0.11661062932746635</v>
      </c>
      <c r="LE213" s="189">
        <f>LD213*(VLOOKUP($LB$9,各项系数!$D$1:$F$143,2,0))</f>
        <v>1.9823806985669279</v>
      </c>
      <c r="LF213" s="235">
        <f>各项系数!$F$76/4*($NH213^2-$NE213^2)*10^-2*(VLOOKUP(AN213,各项系数!$D$1:$F$143,3,0))*10^-3*10^2*各项系数!$J$4</f>
        <v>0.11689567725845393</v>
      </c>
      <c r="LG213" s="102">
        <v>1</v>
      </c>
      <c r="LH213" s="189">
        <f t="shared" si="932"/>
        <v>0.11689567725845393</v>
      </c>
      <c r="LI213" s="189">
        <f>LH213*(VLOOKUP(AN213,各项系数!$D$1:$F$143,2,0))</f>
        <v>1.1689567725845393</v>
      </c>
      <c r="LJ213" s="235">
        <f>各项系数!$F$76/4*($NI213^2-$NF213^2)*10^-2*(VLOOKUP(AN213,各项系数!$D$1:$F$143,3,0))*10^-3*10^2*各项系数!$J$4</f>
        <v>0.11821905180094865</v>
      </c>
      <c r="LK213" s="102">
        <v>1</v>
      </c>
      <c r="LL213" s="189">
        <f t="shared" si="933"/>
        <v>0.11821905180094865</v>
      </c>
      <c r="LM213" s="189">
        <f>LL213*(VLOOKUP(AN213,各项系数!$D$1:$F$143,2,0))</f>
        <v>1.1821905180094865</v>
      </c>
      <c r="LN213" s="189">
        <f>各项系数!$F$76/4*($NH213^2-$NE213^2)*10^-2*(VLOOKUP($LN$9,各项系数!$D$1:$F$143,3,0))*10^-3*10^2*各项系数!$J$4</f>
        <v>0.11689567725845393</v>
      </c>
      <c r="LO213" s="353">
        <v>1</v>
      </c>
      <c r="LP213" s="189">
        <f t="shared" si="934"/>
        <v>0.11689567725845393</v>
      </c>
      <c r="LQ213" s="189">
        <f>LP213*(VLOOKUP($LN$9,各项系数!$D$1:$F$143,2,0))</f>
        <v>1.2858524498429933</v>
      </c>
      <c r="LR213" s="189">
        <f>各项系数!$F$76/4*($NI213^2-$NF213^2)*10^-2*(VLOOKUP($LR$9,各项系数!$D$1:$F$143,3,0))*10^-3*10^2*各项系数!$J$4</f>
        <v>0.11821905180094865</v>
      </c>
      <c r="LS213" s="353">
        <v>1</v>
      </c>
      <c r="LT213" s="189">
        <f t="shared" si="935"/>
        <v>0.11821905180094865</v>
      </c>
      <c r="LU213" s="189">
        <f>LT213*(VLOOKUP($LR$9,各项系数!$D$1:$F$143,2,0))</f>
        <v>1.3004095698104352</v>
      </c>
      <c r="LV213" s="227">
        <f t="shared" si="1020"/>
        <v>16.850609939999998</v>
      </c>
      <c r="LW213" s="227">
        <f t="shared" si="1021"/>
        <v>16.850609939999998</v>
      </c>
      <c r="LX213" s="227">
        <f t="shared" si="1022"/>
        <v>4.6319394348928409</v>
      </c>
      <c r="LY213" s="227">
        <f t="shared" si="1023"/>
        <v>0</v>
      </c>
      <c r="LZ213" s="374">
        <f t="shared" si="967"/>
        <v>1</v>
      </c>
      <c r="MA213" s="375">
        <f t="shared" si="968"/>
        <v>16.850609939999998</v>
      </c>
      <c r="MB213" s="375">
        <f t="shared" si="1024"/>
        <v>2.6742514800000001</v>
      </c>
      <c r="MC213" s="227">
        <f t="shared" si="1025"/>
        <v>7.5054054399999997</v>
      </c>
      <c r="MD213" s="227">
        <f t="shared" si="1026"/>
        <v>7.5054054600000004</v>
      </c>
      <c r="ME213" s="227">
        <f t="shared" si="1027"/>
        <v>3.0913070101404041</v>
      </c>
      <c r="MF213" s="227">
        <f t="shared" si="1028"/>
        <v>-2.0000000766629E-8</v>
      </c>
      <c r="MG213" s="374">
        <f t="shared" si="1029"/>
        <v>1</v>
      </c>
      <c r="MH213" s="375">
        <f t="shared" si="969"/>
        <v>7.5054054399999997</v>
      </c>
      <c r="MI213" s="375">
        <f t="shared" si="1030"/>
        <v>2.185884146687378</v>
      </c>
      <c r="MJ213" s="189">
        <f t="shared" si="970"/>
        <v>2.6742514800000001</v>
      </c>
      <c r="MK213" s="189">
        <f t="shared" si="1031"/>
        <v>2.6742514800000001</v>
      </c>
      <c r="ML213" s="189">
        <f t="shared" si="936"/>
        <v>2.1858841470644901</v>
      </c>
      <c r="MM213" s="189">
        <f t="shared" si="971"/>
        <v>2.185884146687378</v>
      </c>
      <c r="MN213" s="189">
        <f t="shared" si="972"/>
        <v>4.07425148</v>
      </c>
      <c r="MO213" s="189">
        <f t="shared" si="1032"/>
        <v>3.5858841466873779</v>
      </c>
      <c r="MP213" s="189">
        <f t="shared" si="1033"/>
        <v>10.47304228</v>
      </c>
      <c r="MQ213" s="189">
        <f t="shared" si="937"/>
        <v>10.47304228</v>
      </c>
      <c r="MR213" s="246">
        <f t="shared" si="1034"/>
        <v>10.47304228</v>
      </c>
      <c r="MS213" s="380">
        <f t="shared" si="973"/>
        <v>10.64904228</v>
      </c>
      <c r="MT213" s="380">
        <f t="shared" si="974"/>
        <v>10.80904228</v>
      </c>
      <c r="MU213" s="380">
        <f t="shared" si="975"/>
        <v>11.849042279999999</v>
      </c>
      <c r="MV213" s="380">
        <f t="shared" si="976"/>
        <v>14.249042279999999</v>
      </c>
      <c r="MW213" s="380">
        <f t="shared" si="977"/>
        <v>14.40904228</v>
      </c>
      <c r="MX213" s="254">
        <f t="shared" si="978"/>
        <v>3.2742514800000002</v>
      </c>
      <c r="MY213" s="254">
        <f t="shared" si="979"/>
        <v>2.785884146687378</v>
      </c>
      <c r="MZ213" s="189">
        <f t="shared" si="980"/>
        <v>4.6742514800000006</v>
      </c>
      <c r="NA213" s="189">
        <f t="shared" si="981"/>
        <v>4.1858841466873784</v>
      </c>
      <c r="NB213" s="189">
        <f t="shared" si="1035"/>
        <v>12.093042280000001</v>
      </c>
      <c r="NC213" s="254">
        <f t="shared" si="938"/>
        <v>12.093042280000001</v>
      </c>
      <c r="ND213" s="246">
        <f t="shared" si="1036"/>
        <v>12.093042280000001</v>
      </c>
      <c r="NE213" s="386">
        <f t="shared" si="1037"/>
        <v>12.333042280000001</v>
      </c>
      <c r="NF213" s="380">
        <f t="shared" si="982"/>
        <v>12.493042280000001</v>
      </c>
      <c r="NG213" s="387">
        <f t="shared" si="983"/>
        <v>13.53304228</v>
      </c>
      <c r="NH213" s="254">
        <f t="shared" si="984"/>
        <v>15.93304228</v>
      </c>
      <c r="NI213" s="380">
        <f t="shared" si="985"/>
        <v>16.093042280000002</v>
      </c>
      <c r="NK213" s="388">
        <f t="shared" si="986"/>
        <v>0.40547726283743268</v>
      </c>
      <c r="NL213" s="388">
        <f t="shared" si="987"/>
        <v>15.874090689832096</v>
      </c>
      <c r="NM213" s="388">
        <f t="shared" si="988"/>
        <v>0.40547726283743268</v>
      </c>
      <c r="NN213" s="388">
        <f t="shared" si="989"/>
        <v>15.977057850030794</v>
      </c>
      <c r="NO213" s="388">
        <f t="shared" si="990"/>
        <v>0.58646008248140424</v>
      </c>
      <c r="NP213" s="388">
        <f t="shared" si="991"/>
        <v>16.7354612426846</v>
      </c>
      <c r="NQ213" s="388">
        <f t="shared" si="992"/>
        <v>0.58646008248140424</v>
      </c>
      <c r="NR213" s="388">
        <f t="shared" si="993"/>
        <v>16.852356919943055</v>
      </c>
      <c r="NS213" s="388">
        <f t="shared" si="994"/>
        <v>0.4204639460210583</v>
      </c>
      <c r="NT213" s="388">
        <f t="shared" si="995"/>
        <v>0.4204639460210583</v>
      </c>
      <c r="NU213" s="388">
        <f t="shared" si="996"/>
        <v>0.60379903288726555</v>
      </c>
      <c r="NV213" s="388">
        <f t="shared" si="997"/>
        <v>0.60379903288726555</v>
      </c>
      <c r="NW213">
        <f t="shared" si="998"/>
        <v>0.57046303967110701</v>
      </c>
      <c r="NX213">
        <f>各项系数!$M$9*NK213</f>
        <v>0.1216431788512298</v>
      </c>
      <c r="NY213">
        <f t="shared" si="999"/>
        <v>0.4204639460210583</v>
      </c>
    </row>
    <row r="214" spans="1:389" ht="15" hidden="1" customHeight="1">
      <c r="A214" s="69"/>
      <c r="B214" s="70"/>
      <c r="C214" s="69"/>
      <c r="D214" s="69" t="s">
        <v>318</v>
      </c>
      <c r="E214" s="61">
        <f t="shared" si="885"/>
        <v>14.51276064</v>
      </c>
      <c r="F214" s="16">
        <f>$F$19</f>
        <v>267.425148012862</v>
      </c>
      <c r="G214" s="16"/>
      <c r="H214" s="16"/>
      <c r="I214" s="145">
        <f>$F$18</f>
        <v>218.58841470644899</v>
      </c>
      <c r="J214" s="16"/>
      <c r="K214" s="16"/>
      <c r="L214" s="97" t="s">
        <v>469</v>
      </c>
      <c r="M214" s="103">
        <f t="shared" si="940"/>
        <v>0.7</v>
      </c>
      <c r="N214" s="103">
        <f t="shared" si="1038"/>
        <v>0.7</v>
      </c>
      <c r="O214" s="53">
        <f t="shared" si="1039"/>
        <v>0.08</v>
      </c>
      <c r="P214" s="99">
        <v>0.1</v>
      </c>
      <c r="Q214" s="133">
        <f t="shared" si="941"/>
        <v>0.1</v>
      </c>
      <c r="R214" s="406">
        <v>0.8</v>
      </c>
      <c r="S214" s="142" t="str">
        <f>各项系数!$D$43</f>
        <v>钢带</v>
      </c>
      <c r="T214" s="102">
        <v>0.2</v>
      </c>
      <c r="U214" s="62">
        <v>4</v>
      </c>
      <c r="V214" s="143"/>
      <c r="W214" s="141">
        <f>$W$202</f>
        <v>1.8</v>
      </c>
      <c r="X214" s="135">
        <f t="shared" si="942"/>
        <v>0.2</v>
      </c>
      <c r="Y214" s="135"/>
      <c r="Z214" s="168"/>
      <c r="AA214" s="153">
        <v>1</v>
      </c>
      <c r="AB214" s="153">
        <f>PI()*EJ214*EJ214/4*EH214*(1-H214)*AA214*各项系数!$F$5*各项系数!$J$4*10^-7</f>
        <v>4.9684304271029656E-2</v>
      </c>
      <c r="AC214" s="153">
        <f t="shared" si="886"/>
        <v>267.425148012862</v>
      </c>
      <c r="AD214" s="153">
        <f t="shared" si="943"/>
        <v>5.6168699821977874</v>
      </c>
      <c r="AE214" s="153">
        <f>POWER(4*EU214/PI()/EG214/10^-7/EH214/(1-H214)/各项系数!$F$5/各项系数!$J$4,0.5)</f>
        <v>267.42514801286194</v>
      </c>
      <c r="AF214" s="69">
        <f>$AA$199</f>
        <v>1</v>
      </c>
      <c r="AG214" s="69">
        <f>IF(EM214=0,0,PI()*ER214*ER214/4*EP214*(1-K214)*(1+AF214)*各项系数!$F$5*各项系数!$J$4*10^-7)</f>
        <v>6.6389439112699206E-2</v>
      </c>
      <c r="AH214" s="69">
        <f t="shared" si="887"/>
        <v>218.58841470644899</v>
      </c>
      <c r="AI214" s="69">
        <f t="shared" si="1000"/>
        <v>3.7527027212948432</v>
      </c>
      <c r="AJ214" s="69">
        <f>IF(OR(EP214="",EP214=0),0,POWER(4*EW214/PI()/EO214/10^-7/EP214/(1-K214)/各项系数!$F$5/各项系数!$J$4,0.5))</f>
        <v>218.58841470644899</v>
      </c>
      <c r="AK214" s="69">
        <f t="shared" si="944"/>
        <v>0.23193193664046821</v>
      </c>
      <c r="AL214" s="69">
        <f t="shared" si="888"/>
        <v>17.766131043456529</v>
      </c>
      <c r="AM214" s="188">
        <f t="shared" si="889"/>
        <v>6</v>
      </c>
      <c r="AN214" s="97" t="s">
        <v>486</v>
      </c>
      <c r="AO214" s="196">
        <f>AP214+各项系数!$M$9*$NK214</f>
        <v>17.417775532800519</v>
      </c>
      <c r="AP214" s="196">
        <f>AQ214*(1+$BI214+(VLOOKUP($AM214,$A$12:$B$323,2,0))+各项系数!$J$6+各项系数!$M$5)*(1+$E$2)</f>
        <v>17.291719608790494</v>
      </c>
      <c r="AQ214" s="197">
        <f>AR214+各项系数!$L$9*$NK214</f>
        <v>17.29863906441626</v>
      </c>
      <c r="AR214" s="197">
        <f>AS214*(1+$BJ214+各项系数!$J$5+各项系数!$L$5)</f>
        <v>17.172583140406235</v>
      </c>
      <c r="AS214" s="197">
        <f t="shared" si="1001"/>
        <v>16.83586582392768</v>
      </c>
      <c r="AT214" s="196">
        <f>AU214+各项系数!$M$9*$NM214</f>
        <v>18.143438279880883</v>
      </c>
      <c r="AU214" s="196">
        <f>AV214*(1+$BI214+(VLOOKUP($AM214,$A$12:$B$323,2,0))+各项系数!$J$6+各项系数!$M$5)*(1+$E$2)</f>
        <v>18.017382355870858</v>
      </c>
      <c r="AV214" s="197">
        <f>AW214+各项系数!$L$9*$NM214</f>
        <v>18.024592192747956</v>
      </c>
      <c r="AW214" s="197">
        <f>AX214*(1+$BJ214+各项系数!$J$5+各项系数!$L$5)</f>
        <v>17.898536268737931</v>
      </c>
      <c r="AX214" s="197">
        <f t="shared" si="1002"/>
        <v>17.547584577194051</v>
      </c>
      <c r="AY214" s="196">
        <f>AZ214+各项系数!$M$9*$NS214</f>
        <v>18.497252316755741</v>
      </c>
      <c r="AZ214" s="196">
        <f>BA214*(1+$BI214+(VLOOKUP($AM214,$A$12:$B$214,2,0))+各项系数!$J$6+各项系数!$M$5)*(1+$E$2)</f>
        <v>18.366589876617091</v>
      </c>
      <c r="BA214" s="197">
        <f>BB214+各项系数!$L$9*$NS214</f>
        <v>18.373939452398051</v>
      </c>
      <c r="BB214" s="197">
        <f>BC214*(1+$BJ214+各项系数!$J$5+各项系数!$L$5)</f>
        <v>18.243277012259401</v>
      </c>
      <c r="BC214" s="199">
        <f t="shared" si="1003"/>
        <v>17.885565698293529</v>
      </c>
      <c r="BD214" s="196">
        <f>BE214+各项系数!$M$9*$NS214</f>
        <v>19.232048095033718</v>
      </c>
      <c r="BE214" s="196">
        <f>BF214*(1+$BI214+(VLOOKUP($AM214,$A$12:$B$214,2,0))+各项系数!$J$6+各项系数!$M$5)*(1+$E$2)</f>
        <v>19.101385654895068</v>
      </c>
      <c r="BF214" s="197">
        <f>BG214+各项系数!$L$9*$NS214</f>
        <v>19.109029266601709</v>
      </c>
      <c r="BG214" s="197">
        <f>BH214*(1+$BJ214+各项系数!$J$5+各项系数!$L$5)</f>
        <v>18.978366826463059</v>
      </c>
      <c r="BH214" s="199">
        <f t="shared" si="1004"/>
        <v>18.606241986728488</v>
      </c>
      <c r="BI214" s="213">
        <v>0.01</v>
      </c>
      <c r="BJ214" s="208">
        <f>$BJ$203</f>
        <v>0</v>
      </c>
      <c r="BK214" s="102" t="s">
        <v>514</v>
      </c>
      <c r="BL214" s="196">
        <f>BM214+各项系数!$M$9*$NM214</f>
        <v>17.694326377121712</v>
      </c>
      <c r="BM214" s="196">
        <f>BN214*(1+$CF214+(VLOOKUP($AM214,$A$12:$B$323,2,0))+各项系数!$J$6+各项系数!$M$5)*(1+$E$2)</f>
        <v>17.568270453111687</v>
      </c>
      <c r="BN214" s="197">
        <f>BO214+各项系数!$L$9*$NM214</f>
        <v>17.575300573341025</v>
      </c>
      <c r="BO214" s="197">
        <f>BP214*(1+$CG214+各项系数!$J$5+各项系数!$L$5)</f>
        <v>17.449244649331</v>
      </c>
      <c r="BP214" s="197">
        <f t="shared" si="1005"/>
        <v>16.941014222651457</v>
      </c>
      <c r="BQ214" s="196">
        <f>BR214+各项系数!$M$9*$NM214</f>
        <v>18.318843935314515</v>
      </c>
      <c r="BR214" s="196">
        <f>BS214*(1+$CF214+(VLOOKUP($AM214,$A$12:$B$323,2,0))+各项系数!$J$6+各项系数!$M$5)*(1+$E$2)</f>
        <v>18.19278801130449</v>
      </c>
      <c r="BS214" s="197">
        <f>BT214+各项系数!$L$9*$NM214</f>
        <v>18.200068038519898</v>
      </c>
      <c r="BT214" s="197">
        <f>BU214*(1+$CG214+各项系数!$J$5+各项系数!$L$5)</f>
        <v>18.074012114509873</v>
      </c>
      <c r="BU214" s="197">
        <f t="shared" si="1006"/>
        <v>17.547584577194051</v>
      </c>
      <c r="BV214" s="196">
        <f>BW214+各项系数!$M$9*$NT214</f>
        <v>18.663308414200674</v>
      </c>
      <c r="BW214" s="196">
        <f>BX214*(1+$CF214+(VLOOKUP($AM214,$A$12:$B$214,2,0))+各项系数!$J$6+各项系数!$M$5)*(1+$E$2)</f>
        <v>18.532645974062024</v>
      </c>
      <c r="BX214" s="197">
        <f>BY214+各项系数!$L$9*$NT$12</f>
        <v>18.540061998861567</v>
      </c>
      <c r="BY214" s="197">
        <f>BZ214*(1+$CG214+各项系数!$J$5+各项系数!$L$5)</f>
        <v>18.531798595706594</v>
      </c>
      <c r="BZ214" s="199">
        <f t="shared" si="945"/>
        <v>17.992037471559801</v>
      </c>
      <c r="CA214" s="196">
        <f>CB214+各项系数!$M$9*$NT214</f>
        <v>19.295686012564172</v>
      </c>
      <c r="CB214" s="196">
        <f>CC214*(1+$CF214+(VLOOKUP($AM214,$A$12:$B$214,2,0))+各项系数!$J$6+各项系数!$M$5)*(1+$E$2)</f>
        <v>19.165023572425522</v>
      </c>
      <c r="CC214" s="197">
        <f>CD214+各项系数!$L$9*$NT$12</f>
        <v>19.172692649485317</v>
      </c>
      <c r="CD214" s="197">
        <f>CE214*(1+$CG214+各项系数!$J$5+各项系数!$L$5)</f>
        <v>19.164429246330343</v>
      </c>
      <c r="CE214" s="199">
        <f t="shared" si="1007"/>
        <v>18.606241986728488</v>
      </c>
      <c r="CF214" s="213">
        <f t="shared" si="884"/>
        <v>0.01</v>
      </c>
      <c r="CG214" s="213">
        <f t="shared" si="946"/>
        <v>0.01</v>
      </c>
      <c r="CH214" s="102"/>
      <c r="CI214" s="196">
        <f>CJ214+各项系数!$M$9*$NO214</f>
        <v>18.529167109946304</v>
      </c>
      <c r="CJ214" s="196">
        <f>CK214*(1+$DC214+(VLOOKUP($AM214,$A$12:$B$323,2,0))+各项系数!$J$6+各项系数!$M$5)*(1+$E$2)+各项系数!$M$9*$NK214</f>
        <v>18.345975788452009</v>
      </c>
      <c r="CK214" s="197">
        <f>CL214+各项系数!$L$9*$NO214</f>
        <v>18.227210748741481</v>
      </c>
      <c r="CL214" s="197">
        <f>CM214*(1+$DD214+各项系数!$J$5+各项系数!$L$5)</f>
        <v>18.044019427247186</v>
      </c>
      <c r="CM214" s="197">
        <f t="shared" si="947"/>
        <v>17.690215124752143</v>
      </c>
      <c r="CN214" s="196">
        <f>CO214+各项系数!$M$9*$NO214</f>
        <v>19.112815811366762</v>
      </c>
      <c r="CO214" s="196">
        <f>CP214*(1+$DC214+(VLOOKUP($AM214,$A$12:$B$323,2,0))+各项系数!$J$6+各项系数!$M$5)*(1+$E$2)+各项系数!$M$9*$NK214</f>
        <v>18.929624489872467</v>
      </c>
      <c r="CP214" s="197">
        <f>CQ214+各项系数!$L$9*$NO214</f>
        <v>18.811093003063664</v>
      </c>
      <c r="CQ214" s="197">
        <f>CR214*(1+$DD214+各项系数!$J$5+各项系数!$L$5)</f>
        <v>18.627901681569369</v>
      </c>
      <c r="CR214" s="197">
        <f t="shared" si="948"/>
        <v>18.262648707420951</v>
      </c>
      <c r="CS214" s="196">
        <f>CT214+各项系数!$M$9*$NU214</f>
        <v>19.645887864764418</v>
      </c>
      <c r="CT214" s="196">
        <f t="shared" si="949"/>
        <v>19.457384346974827</v>
      </c>
      <c r="CU214" s="197">
        <f>CV214+各项系数!$L$9*$NU214</f>
        <v>19.465170415140882</v>
      </c>
      <c r="CV214" s="197">
        <f>CW214*(1+$DD214+各项系数!$J$5+各项系数!$L$5)</f>
        <v>19.276666897351291</v>
      </c>
      <c r="CW214" s="199">
        <f t="shared" si="950"/>
        <v>18.898693036618912</v>
      </c>
      <c r="CX214" s="196">
        <f>CY214+各项系数!$M$9*$NU214</f>
        <v>20.476808796397229</v>
      </c>
      <c r="CY214" s="196">
        <f t="shared" si="951"/>
        <v>20.288305278607638</v>
      </c>
      <c r="CZ214" s="197">
        <f>DA214+各项系数!$L$9*$NU214</f>
        <v>20.296423848146897</v>
      </c>
      <c r="DA214" s="197">
        <f>DB214*(1+$DD214+各项系数!$J$5+各项系数!$L$5)</f>
        <v>20.107920330357306</v>
      </c>
      <c r="DB214" s="199">
        <f t="shared" si="952"/>
        <v>19.71364738270324</v>
      </c>
      <c r="DC214" s="213">
        <f t="shared" si="1040"/>
        <v>0.01</v>
      </c>
      <c r="DD214" s="213">
        <f t="shared" si="953"/>
        <v>0</v>
      </c>
      <c r="DE214" s="53" t="s">
        <v>498</v>
      </c>
      <c r="DF214" s="53" t="s">
        <v>513</v>
      </c>
      <c r="DG214" s="196">
        <f>DH214+各项系数!$M$9*$NQ214</f>
        <v>18.828598663901065</v>
      </c>
      <c r="DH214" s="196">
        <f>DI214*(1+$EA214+(VLOOKUP($AM214,$A$12:$B$323,2,0))+各项系数!$J$6+各项系数!$M$5)*(1+$E$2)+各项系数!$M$9*$NK214</f>
        <v>18.64540734240677</v>
      </c>
      <c r="DI214" s="197">
        <f>DJ214+各项系数!$L$9*$NQ214</f>
        <v>18.526762123246044</v>
      </c>
      <c r="DJ214" s="197">
        <f>DK214*(1+$EB214+各项系数!$J$5+各项系数!$L$5)</f>
        <v>18.343570801751749</v>
      </c>
      <c r="DK214" s="197">
        <f t="shared" si="954"/>
        <v>17.809292040535677</v>
      </c>
      <c r="DL214" s="196">
        <f>DM214+各项系数!$M$9*$NQ214</f>
        <v>19.535843144890443</v>
      </c>
      <c r="DM214" s="196">
        <f>DN214*(1+$EA214+(VLOOKUP($AM214,$A$12:$B$323,2,0))+各项系数!$J$6+各项系数!$M$5)*(1+$E$2)+各项系数!$M$9*$NK214</f>
        <v>19.352651823396148</v>
      </c>
      <c r="DN214" s="197">
        <f>DO214+各项系数!$L$9*$NQ214</f>
        <v>19.234289615232218</v>
      </c>
      <c r="DO214" s="197">
        <f>DP214*(1+$EB214+各项系数!$J$5+各项系数!$L$5)</f>
        <v>19.051098293737923</v>
      </c>
      <c r="DP214" s="197">
        <f t="shared" si="955"/>
        <v>18.496211935667887</v>
      </c>
      <c r="DQ214" s="196">
        <f>DR214+各项系数!$M$9*$NV214</f>
        <v>19.958761894474652</v>
      </c>
      <c r="DR214" s="196">
        <f t="shared" si="956"/>
        <v>19.77025837668506</v>
      </c>
      <c r="DS214" s="197">
        <f>DT214+各项系数!$L$9*$NV214</f>
        <v>19.778169644542878</v>
      </c>
      <c r="DT214" s="197">
        <f>DU214*(1+$EB214+各项系数!$J$5+各项系数!$L$5)</f>
        <v>19.589666126753286</v>
      </c>
      <c r="DU214" s="199">
        <f t="shared" si="957"/>
        <v>19.019093326944937</v>
      </c>
      <c r="DV214" s="196">
        <f>DW214+各项系数!$M$9*$NV214</f>
        <v>20.107561488660995</v>
      </c>
      <c r="DW214" s="196">
        <f t="shared" si="958"/>
        <v>19.919057970871403</v>
      </c>
      <c r="DX214" s="197">
        <f>DY214+各项系数!$L$9*$NV214</f>
        <v>19.927028782384358</v>
      </c>
      <c r="DY214" s="197">
        <f>DZ214*(1+$EB214+各项系数!$J$5+各项系数!$L$5)</f>
        <v>19.738525264594767</v>
      </c>
      <c r="DZ214" s="199">
        <f t="shared" si="959"/>
        <v>19.163616761742492</v>
      </c>
      <c r="EA214" s="213">
        <f>BI214+$EA$2</f>
        <v>0.01</v>
      </c>
      <c r="EB214" s="213">
        <f t="shared" si="960"/>
        <v>0.01</v>
      </c>
      <c r="EC214" s="235" t="str">
        <f t="shared" si="1008"/>
        <v>4+1</v>
      </c>
      <c r="ED214" s="235" t="str">
        <f t="shared" si="890"/>
        <v>4*6</v>
      </c>
      <c r="EE214" s="189">
        <f t="shared" si="891"/>
        <v>6</v>
      </c>
      <c r="EF214" s="189">
        <f>LOOKUP(EH214,{1,7,10,14,19,24,30,37,48,61},{1,"1+6","2+8","4+10","1+6+12","2+8+14","4+10+16","1+6+12+18","3+9+15+21","1+6+12+18+24"})</f>
        <v>1</v>
      </c>
      <c r="EG214" s="188">
        <f t="shared" si="961"/>
        <v>4</v>
      </c>
      <c r="EH214" s="197">
        <f>VLOOKUP(EE214,各项系数!$B$87:$C$124,2,0)</f>
        <v>1</v>
      </c>
      <c r="EI214" s="188">
        <f>IF(EH214=0,0,VLOOKUP(EH214,各项系数!$D$142:$E$195,2,0))*1</f>
        <v>1</v>
      </c>
      <c r="EJ214" s="238">
        <f t="shared" si="1009"/>
        <v>267.425148012862</v>
      </c>
      <c r="EK214" s="189" t="str">
        <f t="shared" si="892"/>
        <v>1*4</v>
      </c>
      <c r="EL214" s="189" t="str">
        <f t="shared" si="962"/>
        <v>4</v>
      </c>
      <c r="EM214" s="189">
        <f t="shared" si="893"/>
        <v>4</v>
      </c>
      <c r="EN214" s="189">
        <f>IF(EP214=0,0,LOOKUP(EP214,{1,7,10,14,19,24,30,37,48,61},{1,"1+6","2+8","4+10","1+6+12","2+8+14","4+10+16","1+6+12+18","3+9+15+21","1+6+12+18+24"}))</f>
        <v>1</v>
      </c>
      <c r="EO214" s="189" t="str">
        <f t="shared" si="894"/>
        <v>1</v>
      </c>
      <c r="EP214" s="189">
        <f>IF(EM214=0,0,IF(EM214&lt;10,1,IF(AND(EM214&gt;=10,EM214&lt;=35),7,LOOKUP(EM214,{50,70,95,120,150,185,240,300},{10,14,19,24,30,37,48,61})*1)))</f>
        <v>1</v>
      </c>
      <c r="EQ214" s="189">
        <f>IF(EP214=0,0,VLOOKUP(EP214,各项系数!$D$142:$E$195,2,0))*1</f>
        <v>1</v>
      </c>
      <c r="ER214" s="53">
        <f t="shared" si="895"/>
        <v>218.58841470644899</v>
      </c>
      <c r="ES214" s="412">
        <f t="shared" si="896"/>
        <v>5</v>
      </c>
      <c r="ET214" s="189">
        <f>VLOOKUP(ES214,各项系数!$D$142:$E$195,2,0)*1</f>
        <v>2.7</v>
      </c>
      <c r="EU214" s="243">
        <f>((各项系数!$F$76/4*$EJ214^2*$EG214*$EH214*1*10^-7)*(1-$H214)*AA214)*(VLOOKUP($EY$9,各项系数!$D$4:$F$143,3,0))*各项系数!$J$4</f>
        <v>0.19873721708411859</v>
      </c>
      <c r="EV214" s="244">
        <f>EU214*(VLOOKUP($EY$9,各项系数!$D$4:$F$143,2,0))</f>
        <v>13.017287719009769</v>
      </c>
      <c r="EW214" s="252">
        <f>(IF($EO214=0,0,(各项系数!$F$76/4*$ER214^2*$EO214*$EP214*1*10^-7))*(1-$K214)*$AF214)*(VLOOKUP($EY$9,各项系数!$D$4:$F$143,3,0))*各项系数!$J$4</f>
        <v>3.3194719556349596E-2</v>
      </c>
      <c r="EX214" s="253">
        <f>EW214*(VLOOKUP($EY$9,各项系数!$D$4:$F$143,2,0))</f>
        <v>2.1742541309408985</v>
      </c>
      <c r="EY214" s="189">
        <f>((各项系数!$F$76/4*$EJ214^2*$EG214*$EH214*1*10^-7)*(1-$H214)*AA214+IF($EO214=0,0,(各项系数!$F$76/4*$ER214^2*$EO214*$EP214*1*10^-7))*(1-$K214)*$AF214)*(VLOOKUP($EY$9,各项系数!$D$4:$F$143,3,0))*各项系数!$J$4</f>
        <v>0.23193193664046821</v>
      </c>
      <c r="EZ214" s="102">
        <v>1</v>
      </c>
      <c r="FA214" s="189">
        <f t="shared" si="897"/>
        <v>0.23193193664046821</v>
      </c>
      <c r="FB214" s="254">
        <f>FA214*(VLOOKUP($EY$9,各项系数!$D$4:$F$143,2,0))</f>
        <v>15.191541849950667</v>
      </c>
      <c r="FC214" s="255"/>
      <c r="FD214" s="235">
        <f>各项系数!$F$76/4*($MN214^2-MK214^2)*10^-2*(VLOOKUP(L214,各项系数!$D$1:$F$143,3,0))*10^-3*10^2*$EG214*各项系数!$J$4</f>
        <v>3.2486364811293703E-2</v>
      </c>
      <c r="FE214" s="262">
        <f>FD214*VLOOKUP(L214,各项系数!$D$1:$F$143,2,0)</f>
        <v>0.37359319532987756</v>
      </c>
      <c r="FF214" s="188">
        <f>各项系数!$F$76/4*($MO214^2-ML214^2)*10^-2*(VLOOKUP(L214,各项系数!$D$1:$F$143,3,0))*10^-3*10^2*$EO214*各项系数!$J$4</f>
        <v>6.9461246241556912E-3</v>
      </c>
      <c r="FG214" s="262">
        <f>FF214*VLOOKUP(L214,各项系数!$D$1:$F$143,2,0)</f>
        <v>7.988043317779045E-2</v>
      </c>
      <c r="FH214" s="235">
        <f t="shared" si="1010"/>
        <v>3.9432489435449393E-2</v>
      </c>
      <c r="FI214" s="102">
        <v>1</v>
      </c>
      <c r="FJ214" s="189">
        <f t="shared" si="898"/>
        <v>3.9432489435449393E-2</v>
      </c>
      <c r="FK214" s="262">
        <f>FJ214*VLOOKUP(L214,各项系数!$D$1:$F$143,2,0)</f>
        <v>0.45347362850766804</v>
      </c>
      <c r="FL214" s="235"/>
      <c r="FM214" s="102"/>
      <c r="FN214" s="189"/>
      <c r="FO214" s="262"/>
      <c r="FP214" s="282">
        <f t="shared" si="899"/>
        <v>3.9432489435449393E-2</v>
      </c>
      <c r="FQ214" s="282">
        <f t="shared" si="900"/>
        <v>0.45347362850766804</v>
      </c>
      <c r="FR214" s="283">
        <f>各项系数!$F$76/4*($MQ214^2-$MN214^2*$EG214-$MO214^2*$EO214)*10^-2</f>
        <v>0.28291112687324771</v>
      </c>
      <c r="FS214" s="284">
        <f t="shared" si="1011"/>
        <v>1</v>
      </c>
      <c r="FT214" s="285">
        <f t="shared" si="963"/>
        <v>0.28291112687324771</v>
      </c>
      <c r="FU214" s="302">
        <f>$FT214*(VLOOKUP($FT$9,各项系数!$D$1:$F$143,3,0))*10^-3*10^2*各项系数!$J$55</f>
        <v>3.3779588548665779E-2</v>
      </c>
      <c r="FV214" s="303">
        <v>1</v>
      </c>
      <c r="FW214" s="304">
        <f t="shared" si="901"/>
        <v>3.3779588548665779E-2</v>
      </c>
      <c r="FX214" s="285">
        <f>FW214*(VLOOKUP($FT$9,各项系数!$D$1:$F$143,2,0))</f>
        <v>0.10133876564599734</v>
      </c>
      <c r="FY214" s="302">
        <f>IF($BK214&lt;&gt;$FY$9,0,各项系数!$F$76/4*($MS214^2-$MQ214^2)*10^-2*(VLOOKUP($FY$9,各项系数!$D$1:$F$143,3,0))*10^-3*10^2)*各项系数!$J$4</f>
        <v>0</v>
      </c>
      <c r="FZ214" s="303">
        <v>1</v>
      </c>
      <c r="GA214" s="304">
        <f t="shared" si="902"/>
        <v>0</v>
      </c>
      <c r="GB214" s="285">
        <f>GA214*(VLOOKUP($FY$9,各项系数!$D$1:$F$143,2,0))</f>
        <v>0</v>
      </c>
      <c r="GC214" s="302">
        <f>IF($BK214&lt;&gt;$GC$9,0,各项系数!$F$76/4*($MS214^2-$MQ214^2)*10^-2*(VLOOKUP($GC$9,各项系数!$D$1:$F$143,3,0))*10^-3*10^2)*各项系数!$J$4</f>
        <v>2.9478753942321035E-3</v>
      </c>
      <c r="GD214" s="303">
        <v>1</v>
      </c>
      <c r="GE214" s="304">
        <f t="shared" si="903"/>
        <v>2.9478753942321035E-3</v>
      </c>
      <c r="GF214" s="285">
        <f>GE214*(VLOOKUP($GC$9,各项系数!$D$1:$F$143,2,0))</f>
        <v>3.8027592585594135E-2</v>
      </c>
      <c r="GG214" s="302">
        <f>IF($BK214&lt;&gt;$GG$9,0,各项系数!$F$76/4*($MS214^2-$MQ214^2)*10^-2*(VLOOKUP($GG$9,各项系数!$D$1:$F$143,3,0))*10^-3*10^2)*各项系数!$J$4</f>
        <v>0</v>
      </c>
      <c r="GH214" s="303">
        <v>1</v>
      </c>
      <c r="GI214" s="304">
        <f t="shared" si="904"/>
        <v>0</v>
      </c>
      <c r="GJ214" s="285">
        <f>GI214*(VLOOKUP($GG$9,各项系数!$D$1:$F$143,2,0))</f>
        <v>0</v>
      </c>
      <c r="GK214" s="302">
        <f>IF($BK214&lt;&gt;$GK$9,0,各项系数!$F$76/4*($MS214^2-$MQ214^2)*10^-2*(VLOOKUP($GK$9,各项系数!$D$1:$F$143,3,0))*10^-3*10^2)*各项系数!$J$4</f>
        <v>0</v>
      </c>
      <c r="GL214" s="303">
        <v>1</v>
      </c>
      <c r="GM214" s="304">
        <f t="shared" si="905"/>
        <v>0</v>
      </c>
      <c r="GN214" s="285">
        <f>GM214*(VLOOKUP($GK$9,各项系数!$D$1:$F$143,2,0))</f>
        <v>0</v>
      </c>
      <c r="GO214" s="304">
        <f t="shared" si="906"/>
        <v>2.9478753942321035E-3</v>
      </c>
      <c r="GP214" s="304">
        <f t="shared" si="907"/>
        <v>3.8027592585594135E-2</v>
      </c>
      <c r="GQ214" s="315">
        <f>各项系数!$F$76/4*($MU214^2-$MS214^2)*10^-2*(VLOOKUP($S214,各项系数!$D$1:$F$143,3,0))*10^-3*10^2*各项系数!$J$4</f>
        <v>0.16885364197338154</v>
      </c>
      <c r="GR214" s="303">
        <v>1</v>
      </c>
      <c r="GS214" s="304">
        <f t="shared" si="908"/>
        <v>0.16885364197338154</v>
      </c>
      <c r="GT214" s="304">
        <f t="shared" si="909"/>
        <v>1</v>
      </c>
      <c r="GU214" s="304">
        <f>ROUND($GS214*(VLOOKUP($S214,各项系数!$D$1:$F$143,2,0))+$E$3*GS214,GT214)</f>
        <v>1</v>
      </c>
      <c r="GV214" s="315">
        <f>各项系数!$F$76/4*($MT214^2-$MS214^2)*10^-2*(VLOOKUP($GV$9,各项系数!$D$1:$F$143,3,0))*10^-3*10^2*各项系数!$J$4*PI()/4*R214</f>
        <v>1.5355053762087432E-2</v>
      </c>
      <c r="GW214" s="303">
        <v>1</v>
      </c>
      <c r="GX214" s="304">
        <f t="shared" si="910"/>
        <v>1.5355053762087432E-2</v>
      </c>
      <c r="GY214" s="304">
        <f>$GX214*(VLOOKUP($GV$9,各项系数!$D$1:$F$143,2,0))</f>
        <v>1.0364661289409016</v>
      </c>
      <c r="GZ214" s="315">
        <f>各项系数!$F$76/4*($MV214^2-$MS214^2)*10^-2*(VLOOKUP($GZ$9,各项系数!$D$1:$F$143,3,0))*10^-3*10^2*各项系数!$J$4</f>
        <v>0.10371780826494853</v>
      </c>
      <c r="HA214" s="303">
        <v>1</v>
      </c>
      <c r="HB214" s="304">
        <f t="shared" si="1012"/>
        <v>0.10371780826494853</v>
      </c>
      <c r="HC214" s="304">
        <f>HB214*(VLOOKUP($GZ$9,各项系数!$D$1:$F$143,2,0))</f>
        <v>1.7632027405041251</v>
      </c>
      <c r="HD214" s="315">
        <f>各项系数!$F$76/4*($MW214^2-$MT214^2)*10^-2*(VLOOKUP($HD$9,各项系数!$D$1:$F$143,3,0))*10^-3*10^2*各项系数!$J$4</f>
        <v>0.10502317771162696</v>
      </c>
      <c r="HE214" s="303">
        <v>1</v>
      </c>
      <c r="HF214" s="304">
        <f t="shared" si="1013"/>
        <v>0.10502317771162696</v>
      </c>
      <c r="HG214" s="304">
        <f>HF214*(VLOOKUP($HD$9,各项系数!$D$1:$F$143,2,0))</f>
        <v>1.7853940210976584</v>
      </c>
      <c r="HH214" s="315">
        <f>各项系数!$F$76/4*($MV214^2-$MS214^2)*10^-2*(VLOOKUP($HH$9,各项系数!$D$1:$F$143,3,0))*10^-3*10^2*各项系数!$J$4</f>
        <v>0.10371780826494853</v>
      </c>
      <c r="HI214" s="322">
        <v>1</v>
      </c>
      <c r="HJ214" s="304">
        <f t="shared" si="1014"/>
        <v>0.10371780826494853</v>
      </c>
      <c r="HK214" s="304">
        <f>HJ214*(VLOOKUP($HH$9,各项系数!$D$1:$F$143,2,0))</f>
        <v>1.7632027405041251</v>
      </c>
      <c r="HL214" s="315">
        <f>各项系数!$F$76/4*($MW214^2-$MT214^2)*10^-2*(VLOOKUP($HL$9,各项系数!$D$1:$F$143,3,0))*10^-3*10^2*各项系数!$J$4</f>
        <v>0.10502317771162696</v>
      </c>
      <c r="HM214" s="322">
        <v>1</v>
      </c>
      <c r="HN214" s="304">
        <f t="shared" si="964"/>
        <v>0.10502317771162696</v>
      </c>
      <c r="HO214" s="304">
        <f>HN214*(VLOOKUP($HL$9,各项系数!$D$1:$F$143,2,0))</f>
        <v>1.7853940210976584</v>
      </c>
      <c r="HP214" s="315">
        <f>各项系数!$F$76/4*($MV214^2-$MS214^2)*10^-2*(VLOOKUP(AN214,各项系数!$D$1:$F$143,3,0))*10^-3*10^2*各项系数!$J$4</f>
        <v>0.10514839872377545</v>
      </c>
      <c r="HQ214" s="303">
        <v>1</v>
      </c>
      <c r="HR214" s="304">
        <f t="shared" si="911"/>
        <v>0.10514839872377545</v>
      </c>
      <c r="HS214" s="304">
        <f>HR214*(VLOOKUP(AN214,各项系数!$D$1:$F$143,2,0))</f>
        <v>1.0514839872377544</v>
      </c>
      <c r="HT214" s="315">
        <f>各项系数!$F$76/4*($MW214^2-$MT214^2)*10^-2*(VLOOKUP(AN214,各项系数!$D$1:$F$143,3,0))*10^-3*10^2*各项系数!$J$4</f>
        <v>0.10647177326627008</v>
      </c>
      <c r="HU214" s="303">
        <v>1</v>
      </c>
      <c r="HV214" s="304">
        <f t="shared" si="912"/>
        <v>0.10647177326627008</v>
      </c>
      <c r="HW214" s="304">
        <f>HV214*(VLOOKUP(AN214,各项系数!$D$1:$F$143,2,0))</f>
        <v>1.0647177326627009</v>
      </c>
      <c r="HX214" s="315">
        <f>各项系数!$F$76/4*($MV214^2-$MS214^2)*10^-2*(VLOOKUP($HX$9,各项系数!$D$1:$F$143,3,0))*10^-3*10^2*各项系数!$J$4</f>
        <v>0.10514839872377545</v>
      </c>
      <c r="HY214" s="322">
        <v>1</v>
      </c>
      <c r="HZ214" s="304">
        <f t="shared" si="913"/>
        <v>0.10514839872377545</v>
      </c>
      <c r="IA214" s="304">
        <f>HZ214*(VLOOKUP($HX$9,各项系数!$D$1:$F$143,2,0))</f>
        <v>1.15663238596153</v>
      </c>
      <c r="IB214" s="315">
        <f>各项系数!$F$76/4*($MW214^2-$MT214^2)*10^-2*(VLOOKUP($IB$9,各项系数!$D$1:$F$143,3,0))*10^-3*10^2*各项系数!$J$4</f>
        <v>0.10647177326627008</v>
      </c>
      <c r="IC214" s="322">
        <v>1</v>
      </c>
      <c r="ID214" s="304">
        <f t="shared" si="914"/>
        <v>0.10647177326627008</v>
      </c>
      <c r="IE214" s="304">
        <f>ID214*(VLOOKUP($IB$9,各项系数!$D$1:$F$143,2,0))</f>
        <v>1.171189505928971</v>
      </c>
      <c r="IF214" s="328"/>
      <c r="IG214" s="315">
        <f t="shared" si="1015"/>
        <v>2.0231665137918096E-2</v>
      </c>
      <c r="IH214" s="303">
        <v>1</v>
      </c>
      <c r="II214" s="304">
        <f t="shared" si="915"/>
        <v>2.0231665137918096E-2</v>
      </c>
      <c r="IJ214" s="304">
        <f>II214*(VLOOKUP($IG$8,各项系数!$D$1:$F$143,2,0))</f>
        <v>0.50579162844795245</v>
      </c>
      <c r="IK214" s="315">
        <f>(各项系数!$F$76/4*($MX214^2-$MK214^2)*$EG214)*10^-2*(VLOOKUP($IG$8,各项系数!$D$1:$F$143,3,0))*10^-3*10^2*各项系数!$J$4</f>
        <v>1.6734900899698361E-2</v>
      </c>
      <c r="IL214" s="303">
        <f>IK214*(VLOOKUP($IG$8,各项系数!$D$1:$F$143,2,0))</f>
        <v>0.41837252249245904</v>
      </c>
      <c r="IM214" s="304">
        <f>(各项系数!$F$76/4*(($MM214+3*$X214)^2-MM214^2)*$EO214)*10^-2*(VLOOKUP($IG$8,各项系数!$D$1:$F$143,3,0))*10^-3*10^2*各项系数!$J$4</f>
        <v>3.4967642382197363E-3</v>
      </c>
      <c r="IN214" s="303">
        <f>IM214*(VLOOKUP($IG$8,各项系数!$D$1:$F$143,2,0))</f>
        <v>8.7419105955493404E-2</v>
      </c>
      <c r="IO214" s="315">
        <f>各项系数!$F$76/4*($MZ214^2-$MX214^2)*10^-2*(VLOOKUP(L214,各项系数!$D$1:$F$143,3,0))*10^-3*10^2*$ES214*各项系数!$J$4</f>
        <v>4.7828749648760598E-2</v>
      </c>
      <c r="IP214" s="303">
        <v>1</v>
      </c>
      <c r="IQ214" s="304">
        <f t="shared" si="916"/>
        <v>4.7828749648760598E-2</v>
      </c>
      <c r="IR214" s="285">
        <f>IQ214*(VLOOKUP(L214,各项系数!$D$1:$F$143,2,0))</f>
        <v>0.55003062096074684</v>
      </c>
      <c r="IS214" s="315">
        <f>IF($L214&lt;&gt;$IS$9,0,各项系数!$F$76/4*($MZ214^2-$MX214^2)*10^-2*各项系数!$F$12*10^-3*10^2)*$ES214*各项系数!$J$4</f>
        <v>0</v>
      </c>
      <c r="IT214" s="303">
        <v>1</v>
      </c>
      <c r="IU214" s="304">
        <f t="shared" si="917"/>
        <v>0</v>
      </c>
      <c r="IV214" s="285">
        <f>IU214*各项系数!$E$12</f>
        <v>0</v>
      </c>
      <c r="IW214" s="302">
        <f t="shared" si="918"/>
        <v>4.7828749648760598E-2</v>
      </c>
      <c r="IX214" s="302">
        <f t="shared" si="919"/>
        <v>0.55003062096074684</v>
      </c>
      <c r="IY214" s="339">
        <f>各项系数!$F$76/4*($NB214^2-$MZ214^2*$EG214-$NA214^2*$EO214)*10^-2</f>
        <v>0.37521140487018634</v>
      </c>
      <c r="IZ214" s="284">
        <f t="shared" ref="IZ214" si="1041">VLOOKUP(EC214,$A$38:$B$65,2,0)</f>
        <v>1</v>
      </c>
      <c r="JA214" s="285">
        <f t="shared" si="965"/>
        <v>0.37521140487018634</v>
      </c>
      <c r="JB214" s="282">
        <f>IF($DE214&lt;&gt;$JB$9,0,$JA214*各项系数!$F$32*10^-3*10^2)*各项系数!$J$4</f>
        <v>0</v>
      </c>
      <c r="JC214" s="102">
        <v>1</v>
      </c>
      <c r="JD214" s="189">
        <f t="shared" si="920"/>
        <v>0</v>
      </c>
      <c r="JE214" s="262">
        <f>JD214*各项系数!$E$32</f>
        <v>0</v>
      </c>
      <c r="JF214" s="282">
        <f>IF($DE214&lt;&gt;$JF$9,0,$JA214*VLOOKUP($JF$9,各项系数!$D$4:$F$540,2,0)*10^-3*10^2)*各项系数!$J$4</f>
        <v>0.18666767392291772</v>
      </c>
      <c r="JG214" s="102">
        <v>1</v>
      </c>
      <c r="JH214" s="189">
        <f t="shared" si="966"/>
        <v>0.18666767392291772</v>
      </c>
      <c r="JI214" s="262">
        <f>JH214*VLOOKUP($JF$9,各项系数!$D$4:$F$540,3,0)</f>
        <v>0.22400120870750126</v>
      </c>
      <c r="JJ214" s="282">
        <f t="shared" si="921"/>
        <v>0.18666767392291772</v>
      </c>
      <c r="JK214" s="189">
        <f t="shared" si="922"/>
        <v>0.22400120870750126</v>
      </c>
      <c r="JL214" s="282">
        <f>IF($DF214&lt;&gt;$JL$9,0,各项系数!$F$76/4*($NE214^2-$NC214^2)*10^-2*各项系数!$F$39*10^-3*10^2)*各项系数!$J$4</f>
        <v>1.4040329424979039E-3</v>
      </c>
      <c r="JM214" s="102">
        <v>1</v>
      </c>
      <c r="JN214" s="189">
        <f t="shared" si="923"/>
        <v>1.4040329424979039E-3</v>
      </c>
      <c r="JO214" s="262">
        <f>JN214*各项系数!$E$39</f>
        <v>2.8080658849958078E-2</v>
      </c>
      <c r="JP214" s="282">
        <f>IF($DF214&lt;&gt;$JP$9,0,各项系数!$F$76/4*($NE214^2-$NC214^2)*10^-2*各项系数!$F$36*10^-3*10^2)*各项系数!$J$4</f>
        <v>0</v>
      </c>
      <c r="JQ214" s="102">
        <v>1</v>
      </c>
      <c r="JR214" s="189">
        <f t="shared" si="924"/>
        <v>0</v>
      </c>
      <c r="JS214" s="262">
        <f>JR214*各项系数!$E$36</f>
        <v>0</v>
      </c>
      <c r="JT214" s="282">
        <f>IF($DF214&lt;&gt;$JT$9,0,各项系数!$F$76/4*($NE214^2-$NC214^2)*10^-2*各项系数!$F$40*10^-3*10^2)*各项系数!$J$4</f>
        <v>0</v>
      </c>
      <c r="JU214" s="102">
        <v>1</v>
      </c>
      <c r="JV214" s="189">
        <f t="shared" si="925"/>
        <v>0</v>
      </c>
      <c r="JW214" s="262">
        <f>JV214*各项系数!$E$40</f>
        <v>0</v>
      </c>
      <c r="JX214" s="282">
        <f>IF($DF214&lt;&gt;$JX$9,0,各项系数!$F$76/4*($NE214^2-$NC214^2)*10^-2*各项系数!$F$38*10^-3*10^2)*各项系数!$J$4</f>
        <v>0</v>
      </c>
      <c r="JY214" s="102">
        <v>1</v>
      </c>
      <c r="JZ214" s="189">
        <f t="shared" si="926"/>
        <v>0</v>
      </c>
      <c r="KA214" s="262">
        <f>JZ214*各项系数!$E$38</f>
        <v>0</v>
      </c>
      <c r="KB214" s="282">
        <f>IF($DF214&lt;&gt;$KB$9,0,各项系数!$F$76/4*($NE214^2-$NC214^2)*10^-2*各项系数!$F$41*10^-3*10^2)*各项系数!$J$4</f>
        <v>0</v>
      </c>
      <c r="KC214" s="102">
        <v>1</v>
      </c>
      <c r="KD214" s="189">
        <f t="shared" si="927"/>
        <v>0</v>
      </c>
      <c r="KE214" s="262">
        <f>KD214*各项系数!$E$41</f>
        <v>0</v>
      </c>
      <c r="KF214" s="189">
        <f t="shared" si="928"/>
        <v>1.4040329424979039E-3</v>
      </c>
      <c r="KG214" s="189">
        <f t="shared" si="929"/>
        <v>2.8080658849958078E-2</v>
      </c>
      <c r="KH214" s="235">
        <f>各项系数!$F$76/4*($NG214^2-$NE214^2)*10^-2*各项系数!$F$44*10^-3*10^2*各项系数!$J$4*0.75*$U214</f>
        <v>0.58065684660537809</v>
      </c>
      <c r="KI214" s="102">
        <v>1</v>
      </c>
      <c r="KJ214" s="189">
        <f t="shared" si="930"/>
        <v>0.58065684660537809</v>
      </c>
      <c r="KK214" s="189">
        <f>ROUND(KJ214*各项系数!$E$43,GT214)</f>
        <v>3.4</v>
      </c>
      <c r="KL214" s="235">
        <f>各项系数!$F$76/4*($NF214^2-$NE214^2)*10^-2*各项系数!$F$46*10^-3*10^2*各项系数!$J$4*PI()/4*R214</f>
        <v>1.7707320984323271E-2</v>
      </c>
      <c r="KM214" s="102">
        <v>1</v>
      </c>
      <c r="KN214" s="189">
        <f t="shared" si="931"/>
        <v>1.7707320984323271E-2</v>
      </c>
      <c r="KO214" s="189">
        <f>KN214*各项系数!$E$46</f>
        <v>1.1952441664418207</v>
      </c>
      <c r="KP214" s="235">
        <f>各项系数!$F$76/4*($NH214^2-$NE214^2)*10^-2*(VLOOKUP($KP$9,各项系数!$D$1:$F$143,3,0))*10^-3*10^2*各项系数!$J$4</f>
        <v>0.11745682169123881</v>
      </c>
      <c r="KQ214" s="102">
        <v>1</v>
      </c>
      <c r="KR214" s="189">
        <f t="shared" si="1016"/>
        <v>0.11745682169123881</v>
      </c>
      <c r="KS214" s="189">
        <f>KR214*(VLOOKUP($KP$9,各项系数!$D$1:$F$143,2,0))</f>
        <v>1.9967659687510597</v>
      </c>
      <c r="KT214" s="235">
        <f>各项系数!$F$76/4*($NI214^2-$NF214^2)*10^-2*(VLOOKUP($KT$9,各项系数!$D$1:$F$143,3,0))*10^-3*10^2*各项系数!$J$4</f>
        <v>0.11876219113791717</v>
      </c>
      <c r="KU214" s="102">
        <v>1</v>
      </c>
      <c r="KV214" s="189">
        <f t="shared" si="1017"/>
        <v>0.11876219113791717</v>
      </c>
      <c r="KW214" s="189">
        <f>KV214*(VLOOKUP($KT$9,各项系数!$D$1:$F$143,2,0))</f>
        <v>2.018957249344592</v>
      </c>
      <c r="KX214" s="189">
        <f>各项系数!$F$76/4*($NH214^2-$NE214^2)*10^-2*(VLOOKUP($KX$9,各项系数!$D$1:$F$143,3,0))*10^-3*10^2*各项系数!$J$4</f>
        <v>0.11745682169123881</v>
      </c>
      <c r="KY214" s="353">
        <v>1</v>
      </c>
      <c r="KZ214" s="189">
        <f t="shared" si="1018"/>
        <v>0.11745682169123881</v>
      </c>
      <c r="LA214" s="189">
        <f>KZ214*(VLOOKUP($KX$9,各项系数!$D$1:$F$143,2,0))</f>
        <v>1.9967659687510597</v>
      </c>
      <c r="LB214" s="189">
        <f>各项系数!$F$76/4*($NI214^2-$NF214^2)*10^-2*(VLOOKUP($LB$9,各项系数!$D$1:$F$143,3,0))*10^-3*10^2*各项系数!$J$4</f>
        <v>0.11876219113791717</v>
      </c>
      <c r="LC214" s="353">
        <v>1</v>
      </c>
      <c r="LD214" s="189">
        <f t="shared" si="1019"/>
        <v>0.11876219113791717</v>
      </c>
      <c r="LE214" s="189">
        <f>LD214*(VLOOKUP($LB$9,各项系数!$D$1:$F$143,2,0))</f>
        <v>2.018957249344592</v>
      </c>
      <c r="LF214" s="235">
        <f>各项系数!$F$76/4*($NH214^2-$NE214^2)*10^-2*(VLOOKUP(AN214,各项系数!$D$1:$F$143,3,0))*10^-3*10^2*各项系数!$J$4</f>
        <v>0.11907691578353176</v>
      </c>
      <c r="LG214" s="102">
        <v>1</v>
      </c>
      <c r="LH214" s="189">
        <f t="shared" si="932"/>
        <v>0.11907691578353176</v>
      </c>
      <c r="LI214" s="189">
        <f>LH214*(VLOOKUP(AN214,各项系数!$D$1:$F$143,2,0))</f>
        <v>1.1907691578353177</v>
      </c>
      <c r="LJ214" s="235">
        <f>各项系数!$F$76/4*($NI214^2-$NF214^2)*10^-2*(VLOOKUP(AN214,各项系数!$D$1:$F$143,3,0))*10^-3*10^2*各项系数!$J$4</f>
        <v>0.12040029032602635</v>
      </c>
      <c r="LK214" s="102">
        <v>1</v>
      </c>
      <c r="LL214" s="189">
        <f t="shared" si="933"/>
        <v>0.12040029032602635</v>
      </c>
      <c r="LM214" s="189">
        <f>LL214*(VLOOKUP(AN214,各项系数!$D$1:$F$143,2,0))</f>
        <v>1.2040029032602635</v>
      </c>
      <c r="LN214" s="189">
        <f>各项系数!$F$76/4*($NH214^2-$NE214^2)*10^-2*(VLOOKUP($LN$9,各项系数!$D$1:$F$143,3,0))*10^-3*10^2*各项系数!$J$4</f>
        <v>0.11907691578353176</v>
      </c>
      <c r="LO214" s="353">
        <v>1</v>
      </c>
      <c r="LP214" s="189">
        <f t="shared" si="934"/>
        <v>0.11907691578353176</v>
      </c>
      <c r="LQ214" s="189">
        <f>LP214*(VLOOKUP($LN$9,各项系数!$D$1:$F$143,2,0))</f>
        <v>1.3098460736188493</v>
      </c>
      <c r="LR214" s="189">
        <f>各项系数!$F$76/4*($NI214^2-$NF214^2)*10^-2*(VLOOKUP($LR$9,各项系数!$D$1:$F$143,3,0))*10^-3*10^2*各项系数!$J$4</f>
        <v>0.12040029032602635</v>
      </c>
      <c r="LS214" s="353">
        <v>1</v>
      </c>
      <c r="LT214" s="189">
        <f t="shared" si="935"/>
        <v>0.12040029032602635</v>
      </c>
      <c r="LU214" s="189">
        <f>LT214*(VLOOKUP($LR$9,各项系数!$D$1:$F$143,2,0))</f>
        <v>1.3244031935862899</v>
      </c>
      <c r="LV214" s="227">
        <f t="shared" si="1020"/>
        <v>22.46747993</v>
      </c>
      <c r="LW214" s="227">
        <f t="shared" si="1021"/>
        <v>22.46747993</v>
      </c>
      <c r="LX214" s="227">
        <f t="shared" si="1022"/>
        <v>5.3485029604011256</v>
      </c>
      <c r="LY214" s="227">
        <f t="shared" si="1023"/>
        <v>0</v>
      </c>
      <c r="LZ214" s="374">
        <f t="shared" si="967"/>
        <v>1</v>
      </c>
      <c r="MA214" s="375">
        <f t="shared" si="968"/>
        <v>22.46747993</v>
      </c>
      <c r="MB214" s="375">
        <f t="shared" si="1024"/>
        <v>2.6742514800000001</v>
      </c>
      <c r="MC214" s="227">
        <f t="shared" si="1025"/>
        <v>3.7527027199999998</v>
      </c>
      <c r="MD214" s="227">
        <f t="shared" si="1026"/>
        <v>3.7527027300000002</v>
      </c>
      <c r="ME214" s="227">
        <f t="shared" si="1027"/>
        <v>2.1858841495997914</v>
      </c>
      <c r="MF214" s="227">
        <f t="shared" si="1028"/>
        <v>-1.00000003833145E-8</v>
      </c>
      <c r="MG214" s="374">
        <f t="shared" si="1029"/>
        <v>1</v>
      </c>
      <c r="MH214" s="375">
        <f t="shared" si="969"/>
        <v>3.7527027199999998</v>
      </c>
      <c r="MI214" s="375">
        <f t="shared" si="1030"/>
        <v>2.185884146687378</v>
      </c>
      <c r="MJ214" s="189">
        <f t="shared" si="970"/>
        <v>2.6742514800000001</v>
      </c>
      <c r="MK214" s="189">
        <f t="shared" si="1031"/>
        <v>2.6742514800000001</v>
      </c>
      <c r="ML214" s="189">
        <f t="shared" si="936"/>
        <v>2.1858841470644901</v>
      </c>
      <c r="MM214" s="189">
        <f t="shared" si="971"/>
        <v>2.185884146687378</v>
      </c>
      <c r="MN214" s="189">
        <f t="shared" si="972"/>
        <v>4.07425148</v>
      </c>
      <c r="MO214" s="189">
        <f t="shared" si="1032"/>
        <v>3.5858841466873779</v>
      </c>
      <c r="MP214" s="189">
        <f t="shared" si="1033"/>
        <v>10.73676064</v>
      </c>
      <c r="MQ214" s="189">
        <f t="shared" si="937"/>
        <v>10.73676064</v>
      </c>
      <c r="MR214" s="246">
        <f t="shared" si="1034"/>
        <v>10.73676064</v>
      </c>
      <c r="MS214" s="380">
        <f t="shared" si="973"/>
        <v>10.91276064</v>
      </c>
      <c r="MT214" s="380">
        <f t="shared" si="974"/>
        <v>11.07276064</v>
      </c>
      <c r="MU214" s="380">
        <f t="shared" si="975"/>
        <v>12.112760640000001</v>
      </c>
      <c r="MV214" s="380">
        <f t="shared" si="976"/>
        <v>14.51276064</v>
      </c>
      <c r="MW214" s="380">
        <f t="shared" si="977"/>
        <v>14.67276064</v>
      </c>
      <c r="MX214" s="254">
        <f t="shared" si="978"/>
        <v>3.2742514800000002</v>
      </c>
      <c r="MY214" s="254">
        <f t="shared" si="979"/>
        <v>2.785884146687378</v>
      </c>
      <c r="MZ214" s="189">
        <f t="shared" si="980"/>
        <v>4.6742514800000006</v>
      </c>
      <c r="NA214" s="189">
        <f t="shared" si="981"/>
        <v>4.1858841466873784</v>
      </c>
      <c r="NB214" s="189">
        <f t="shared" si="1035"/>
        <v>12.356760639999999</v>
      </c>
      <c r="NC214" s="254">
        <f t="shared" si="938"/>
        <v>12.356760639999999</v>
      </c>
      <c r="ND214" s="246">
        <f t="shared" si="1036"/>
        <v>12.356760639999999</v>
      </c>
      <c r="NE214" s="386">
        <f t="shared" si="1037"/>
        <v>12.596760639999999</v>
      </c>
      <c r="NF214" s="380">
        <f t="shared" si="982"/>
        <v>12.75676064</v>
      </c>
      <c r="NG214" s="387">
        <f t="shared" si="983"/>
        <v>13.796760639999999</v>
      </c>
      <c r="NH214" s="254">
        <f t="shared" si="984"/>
        <v>16.196760640000001</v>
      </c>
      <c r="NI214" s="380">
        <f t="shared" si="985"/>
        <v>16.356760640000001</v>
      </c>
      <c r="NK214" s="388">
        <f t="shared" si="986"/>
        <v>0.42018641336674667</v>
      </c>
      <c r="NL214" s="388">
        <f t="shared" si="987"/>
        <v>16.915746257105472</v>
      </c>
      <c r="NM214" s="388">
        <f t="shared" si="988"/>
        <v>0.42018641336674667</v>
      </c>
      <c r="NN214" s="388">
        <f t="shared" si="989"/>
        <v>17.020894655829245</v>
      </c>
      <c r="NO214" s="388">
        <f t="shared" si="990"/>
        <v>0.610637738314314</v>
      </c>
      <c r="NP214" s="388">
        <f t="shared" si="991"/>
        <v>17.777634230707637</v>
      </c>
      <c r="NQ214" s="388">
        <f t="shared" si="992"/>
        <v>0.610637738314314</v>
      </c>
      <c r="NR214" s="388">
        <f t="shared" si="993"/>
        <v>17.896711146491171</v>
      </c>
      <c r="NS214" s="388">
        <f t="shared" si="994"/>
        <v>0.43554146712883413</v>
      </c>
      <c r="NT214" s="388">
        <f t="shared" si="995"/>
        <v>0.43554146712883413</v>
      </c>
      <c r="NU214" s="388">
        <f t="shared" si="996"/>
        <v>0.62834505929863727</v>
      </c>
      <c r="NV214" s="388">
        <f t="shared" si="997"/>
        <v>0.62834505929863727</v>
      </c>
      <c r="NW214">
        <f t="shared" si="998"/>
        <v>0.58904005534012827</v>
      </c>
      <c r="NX214">
        <f>各项系数!$M$9*NK214</f>
        <v>0.126055924010024</v>
      </c>
      <c r="NY214">
        <f t="shared" si="999"/>
        <v>0.43554146712883401</v>
      </c>
    </row>
    <row r="215" spans="1:389" ht="15" customHeight="1">
      <c r="EE215" s="189"/>
      <c r="EF215" s="189"/>
      <c r="EG215" s="188"/>
      <c r="EH215" s="197"/>
      <c r="EI215" s="188"/>
    </row>
    <row r="217" spans="1:389" ht="15" customHeight="1">
      <c r="FR217"/>
    </row>
  </sheetData>
  <sheetProtection sort="0" autoFilter="0" pivotTables="0"/>
  <mergeCells count="137">
    <mergeCell ref="NB9:NB10"/>
    <mergeCell ref="NC9:NC10"/>
    <mergeCell ref="ND9:ND10"/>
    <mergeCell ref="NE9:NE10"/>
    <mergeCell ref="NF9:NF10"/>
    <mergeCell ref="NG9:NG10"/>
    <mergeCell ref="NH9:NH10"/>
    <mergeCell ref="NI9:NI10"/>
    <mergeCell ref="MS9:MS10"/>
    <mergeCell ref="MT9:MT10"/>
    <mergeCell ref="MU9:MU10"/>
    <mergeCell ref="MV9:MV10"/>
    <mergeCell ref="MW9:MW10"/>
    <mergeCell ref="MX9:MX10"/>
    <mergeCell ref="MY9:MY10"/>
    <mergeCell ref="MZ9:MZ10"/>
    <mergeCell ref="NA9:NA10"/>
    <mergeCell ref="MJ9:MJ10"/>
    <mergeCell ref="MK9:MK10"/>
    <mergeCell ref="ML9:ML10"/>
    <mergeCell ref="MM9:MM10"/>
    <mergeCell ref="MN9:MN10"/>
    <mergeCell ref="MO9:MO10"/>
    <mergeCell ref="MP9:MP10"/>
    <mergeCell ref="MQ9:MQ10"/>
    <mergeCell ref="MR9:MR10"/>
    <mergeCell ref="MC9:MG9"/>
    <mergeCell ref="NK9:NL9"/>
    <mergeCell ref="NM9:NN9"/>
    <mergeCell ref="NO9:NP9"/>
    <mergeCell ref="NQ9:NR9"/>
    <mergeCell ref="F9:F10"/>
    <mergeCell ref="G9:G10"/>
    <mergeCell ref="H9:H10"/>
    <mergeCell ref="I9:I10"/>
    <mergeCell ref="J9:J10"/>
    <mergeCell ref="K9:K10"/>
    <mergeCell ref="W9:W10"/>
    <mergeCell ref="BK9:BK10"/>
    <mergeCell ref="FP9:FP10"/>
    <mergeCell ref="FQ9:FQ10"/>
    <mergeCell ref="GO9:GO10"/>
    <mergeCell ref="GP9:GP10"/>
    <mergeCell ref="IW9:IW10"/>
    <mergeCell ref="IX9:IX10"/>
    <mergeCell ref="JA9:JA10"/>
    <mergeCell ref="JJ9:JJ10"/>
    <mergeCell ref="JK9:JK10"/>
    <mergeCell ref="KF9:KF10"/>
    <mergeCell ref="KG9:KG10"/>
    <mergeCell ref="KP9:KR9"/>
    <mergeCell ref="KT9:KV9"/>
    <mergeCell ref="KX9:KZ9"/>
    <mergeCell ref="LB9:LD9"/>
    <mergeCell ref="LF9:LI9"/>
    <mergeCell ref="LJ9:LM9"/>
    <mergeCell ref="LN9:LP9"/>
    <mergeCell ref="LR9:LT9"/>
    <mergeCell ref="LV9:LZ9"/>
    <mergeCell ref="JB9:JE9"/>
    <mergeCell ref="JF9:JI9"/>
    <mergeCell ref="JL9:JO9"/>
    <mergeCell ref="JP9:JS9"/>
    <mergeCell ref="JT9:JW9"/>
    <mergeCell ref="JX9:KA9"/>
    <mergeCell ref="KB9:KE9"/>
    <mergeCell ref="KH9:KK9"/>
    <mergeCell ref="KL9:KO9"/>
    <mergeCell ref="HL9:HN9"/>
    <mergeCell ref="HP9:HS9"/>
    <mergeCell ref="HT9:HW9"/>
    <mergeCell ref="HX9:HZ9"/>
    <mergeCell ref="IB9:ID9"/>
    <mergeCell ref="IG9:IJ9"/>
    <mergeCell ref="IK9:IN9"/>
    <mergeCell ref="IO9:IR9"/>
    <mergeCell ref="IS9:IV9"/>
    <mergeCell ref="FY9:GB9"/>
    <mergeCell ref="GC9:GF9"/>
    <mergeCell ref="GG9:GJ9"/>
    <mergeCell ref="GK9:GN9"/>
    <mergeCell ref="GQ9:GU9"/>
    <mergeCell ref="GV9:GY9"/>
    <mergeCell ref="GZ9:HB9"/>
    <mergeCell ref="HD9:HF9"/>
    <mergeCell ref="HH9:HJ9"/>
    <mergeCell ref="LF8:LU8"/>
    <mergeCell ref="MJ8:MM8"/>
    <mergeCell ref="MN8:MW8"/>
    <mergeCell ref="MX8:NH8"/>
    <mergeCell ref="NK8:NN8"/>
    <mergeCell ref="NO8:NR8"/>
    <mergeCell ref="O9:P9"/>
    <mergeCell ref="Q9:R9"/>
    <mergeCell ref="S9:V9"/>
    <mergeCell ref="X9:Z9"/>
    <mergeCell ref="AA9:AE9"/>
    <mergeCell ref="AF9:AJ9"/>
    <mergeCell ref="AN9:BJ9"/>
    <mergeCell ref="BL9:CG9"/>
    <mergeCell ref="CH9:DD9"/>
    <mergeCell ref="DG9:EB9"/>
    <mergeCell ref="ED9:EJ9"/>
    <mergeCell ref="EK9:ER9"/>
    <mergeCell ref="ES9:ET9"/>
    <mergeCell ref="EY9:FB9"/>
    <mergeCell ref="FD9:FG9"/>
    <mergeCell ref="FH9:FK9"/>
    <mergeCell ref="FL9:FO9"/>
    <mergeCell ref="FT9:FX9"/>
    <mergeCell ref="GZ8:HO8"/>
    <mergeCell ref="HP8:IE8"/>
    <mergeCell ref="IG8:IJ8"/>
    <mergeCell ref="IK8:IX8"/>
    <mergeCell ref="JA8:JK8"/>
    <mergeCell ref="JL8:KG8"/>
    <mergeCell ref="KH8:KK8"/>
    <mergeCell ref="KL8:KO8"/>
    <mergeCell ref="KP8:LE8"/>
    <mergeCell ref="B6:D6"/>
    <mergeCell ref="F8:X8"/>
    <mergeCell ref="AN8:CG8"/>
    <mergeCell ref="EY8:FB8"/>
    <mergeCell ref="FD8:FQ8"/>
    <mergeCell ref="FT8:FX8"/>
    <mergeCell ref="FY8:GP8"/>
    <mergeCell ref="GQ8:GU8"/>
    <mergeCell ref="GV8:GY8"/>
    <mergeCell ref="B2:D2"/>
    <mergeCell ref="B3:D3"/>
    <mergeCell ref="ED3:FB3"/>
    <mergeCell ref="FD3:IA3"/>
    <mergeCell ref="IG3:LQ3"/>
    <mergeCell ref="MJ3:NH3"/>
    <mergeCell ref="B4:D4"/>
    <mergeCell ref="EF4:FB4"/>
    <mergeCell ref="B5:D5"/>
  </mergeCells>
  <phoneticPr fontId="19" type="noConversion"/>
  <conditionalFormatting sqref="L12:L214">
    <cfRule type="expression" dxfId="2" priority="1">
      <formula>ISNUMBER(FIND("一步法",L12))</formula>
    </cfRule>
  </conditionalFormatting>
  <dataValidations count="8">
    <dataValidation allowBlank="1" showInputMessage="1" showErrorMessage="1" sqref="IG2:IJ2 F9:K9 M9:O9 Q9 S9 JA9 MJ9:MO9 MX9:NA9 AS10 AX10 BC10 BH10 BP10 BU10 BZ10 CE10 CM10 CR10 CW10 DB10 DK10 DP10 DU10 DZ10 FR10:FT10 IY10:IZ10 G35:H35 EF215:EI215 ES215:FG215 GZ215:HB215 HD215:HF215 HL215:HN215 HP215:HR215 HT215:HV215 IB215:ID215 IG215:IN215 KP215:KR215 KT215:KV215 LF215:LH215 LJ215:LL215 MX215:ND215 I37:I48 J38:J48 K35:K48 N207:N214 O33:O35 W20:W147 X10:X214 DF10:DF11 ED10:ED11 EF233:EF65212 EI233:EI65212 EQ12:EQ215 EQ233:EQ65212 EU12:EU214 EV12:EV214 EW12:EW214 EX12:EX20 EX21:EX214 EY12:EY214 FY12:FY214 GC12:GC214 GG12:GG214 GK12:GK214 GQ12:GQ214 GV12:GV214 JL12:JL214 JP12:JP214 JT12:JT214 JX12:JX214 KB12:KB214 KH12:KH214 KL12:KL214 KX12:KX214 LB12:LB214 LN12:LN214 LR12:LR214 MX12:MX21 F49:K214 I35:J36 F36:H48 G20:K34 EN12:EO214 GZ12:HA214 HD12:HE214 HH12:HI214 HL12:HM214 HP12:HQ214 HT12:HU214 HX12:HY214 IB12:IC214 KP12:KQ214 KT12:KU214 LF12:LG214 LJ12:LK214 MJ12:MK214 FU10:GN11 IC10:IV11 HA10:HC11 HM10:HO11 HY10:IA11 KY10:LA11 LK10:LM11 HE10:HG11 HQ10:HS11 KQ10:KS11 LC10:LE11 LO10:LQ11 HI10:HK11 HU10:HW11 KU10:KW11 LG10:LI11 LS10:LU11 JB10:JI11 KH10:KO11 HD233:HF65212 HP233:HR65212 IB233:ID65212 KP233:KR65212 HT233:HV65212 KT233:KV65212 LF233:LH65212 GZ233:HB65212 HL233:HN65212 LJ233:LL65212 ES233:FG65212 EF10:FO11 ML233:MR65212 GQ10:GY11 IG233:IN65212 IG12:JA214 EF12:EL214 MX233:ND65212 ML12:MQ215 JL10:KE11 ER12:ET214 EZ12:FT20 EZ21:FT214 Y11:Z214 MY12:NB21 MX22:NB214" xr:uid="{00000000-0002-0000-0300-000000000000}"/>
    <dataValidation type="list" allowBlank="1" showInputMessage="1" showErrorMessage="1" sqref="S12:S214" xr:uid="{00000000-0002-0000-0300-000001000000}">
      <formula1>"钢带,磁性钢带"</formula1>
    </dataValidation>
    <dataValidation type="list" allowBlank="1" showInputMessage="1" showErrorMessage="1" sqref="L12:L214" xr:uid="{00000000-0002-0000-0300-000002000000}">
      <formula1>"纯硅烷(一步法),纯硅烷(二步法)"</formula1>
    </dataValidation>
    <dataValidation type="list" allowBlank="1" showInputMessage="1" showErrorMessage="1" sqref="DE12:DE214" xr:uid="{00000000-0002-0000-0300-000003000000}">
      <formula1>"填充绳(无阻燃),填充绳(阻燃),石棉绳,纤维绳"</formula1>
    </dataValidation>
    <dataValidation type="list" allowBlank="1" showInputMessage="1" showErrorMessage="1" sqref="AN12:AN214" xr:uid="{00000000-0002-0000-0300-000004000000}">
      <formula1>"聚氯乙烯（一代）,聚氯乙烯（二代）"</formula1>
    </dataValidation>
    <dataValidation type="list" allowBlank="1" showInputMessage="1" showErrorMessage="1" sqref="BK12:BK214" xr:uid="{00000000-0002-0000-0300-000005000000}">
      <formula1>"无纺布,PPD绕包带,丙带,锁带"</formula1>
    </dataValidation>
    <dataValidation type="list" allowBlank="1" showInputMessage="1" showErrorMessage="1" sqref="CH12:CH214" xr:uid="{00000000-0002-0000-0300-000006000000}">
      <formula1>"一代,二代"</formula1>
    </dataValidation>
    <dataValidation type="list" allowBlank="1" showInputMessage="1" showErrorMessage="1" sqref="DF12:DF214" xr:uid="{00000000-0002-0000-0300-000007000000}">
      <formula1>"耐火带,无纺布,PPD绕包带,丙带,锁带"</formula1>
    </dataValidation>
  </dataValidations>
  <pageMargins left="0.75" right="0.75" top="1" bottom="1" header="0.50902777777777797" footer="0.50902777777777797"/>
  <pageSetup paperSize="9" orientation="portrait" horizontalDpi="300" verticalDpi="30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7" r:id="rId3" name="Drop Down 7">
              <controlPr defaultSize="0" print="0" autoPict="0">
                <anchor moveWithCells="1" sizeWithCells="1">
                  <from>
                    <xdr:col>42</xdr:col>
                    <xdr:colOff>0</xdr:colOff>
                    <xdr:row>36</xdr:row>
                    <xdr:rowOff>0</xdr:rowOff>
                  </from>
                  <to>
                    <xdr:col>43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4" name="Drop Down 8">
              <controlPr defaultSize="0" print="0" autoPict="0">
                <anchor moveWithCells="1" sizeWithCells="1">
                  <from>
                    <xdr:col>43</xdr:col>
                    <xdr:colOff>0</xdr:colOff>
                    <xdr:row>36</xdr:row>
                    <xdr:rowOff>0</xdr:rowOff>
                  </from>
                  <to>
                    <xdr:col>44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5" name="Drop Down 9">
              <controlPr defaultSize="0" print="0" autoPict="0">
                <anchor moveWithCells="1" sizeWithCells="1">
                  <from>
                    <xdr:col>47</xdr:col>
                    <xdr:colOff>0</xdr:colOff>
                    <xdr:row>36</xdr:row>
                    <xdr:rowOff>0</xdr:rowOff>
                  </from>
                  <to>
                    <xdr:col>48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6" name="Drop Down 10">
              <controlPr defaultSize="0" print="0" autoPict="0">
                <anchor moveWithCells="1" sizeWithCells="1">
                  <from>
                    <xdr:col>48</xdr:col>
                    <xdr:colOff>0</xdr:colOff>
                    <xdr:row>36</xdr:row>
                    <xdr:rowOff>0</xdr:rowOff>
                  </from>
                  <to>
                    <xdr:col>49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B1:AE20"/>
  <sheetViews>
    <sheetView zoomScale="85" zoomScaleNormal="85" workbookViewId="0">
      <pane xSplit="2" ySplit="5" topLeftCell="K6" activePane="bottomRight" state="frozen"/>
      <selection pane="topRight"/>
      <selection pane="bottomLeft"/>
      <selection pane="bottomRight" activeCell="Y5" sqref="Y5"/>
    </sheetView>
  </sheetViews>
  <sheetFormatPr defaultColWidth="9" defaultRowHeight="15"/>
  <cols>
    <col min="2" max="2" width="13.6640625" customWidth="1"/>
    <col min="3" max="3" width="12.25" style="1" customWidth="1"/>
    <col min="4" max="6" width="12.58203125"/>
    <col min="7" max="7" width="12.25" style="1" customWidth="1"/>
    <col min="8" max="10" width="12.58203125"/>
    <col min="11" max="11" width="18.83203125" customWidth="1"/>
    <col min="12" max="16" width="13.25" customWidth="1"/>
    <col min="17" max="19" width="12.58203125"/>
    <col min="20" max="21" width="16" customWidth="1"/>
    <col min="22" max="22" width="16.83203125" style="1" customWidth="1"/>
    <col min="23" max="31" width="12.58203125"/>
  </cols>
  <sheetData>
    <row r="1" spans="2:31">
      <c r="B1" t="str">
        <f>TA!E10</f>
        <v>最大外径</v>
      </c>
    </row>
    <row r="2" spans="2:31" ht="28" customHeight="1">
      <c r="B2" s="962" t="s">
        <v>943</v>
      </c>
      <c r="C2" s="958" t="s">
        <v>444</v>
      </c>
      <c r="D2" s="958"/>
      <c r="E2" s="958"/>
      <c r="F2" s="958"/>
      <c r="G2" s="958"/>
      <c r="H2" s="958"/>
      <c r="I2" s="958"/>
      <c r="J2" s="958"/>
      <c r="K2" s="958"/>
      <c r="L2" s="958"/>
      <c r="M2" s="959" t="s">
        <v>466</v>
      </c>
      <c r="N2" s="959"/>
      <c r="O2" s="959"/>
      <c r="P2" s="959"/>
      <c r="Q2" s="959"/>
      <c r="R2" s="959"/>
      <c r="S2" s="959"/>
      <c r="T2" s="959"/>
      <c r="U2" s="4"/>
      <c r="V2" s="964" t="s">
        <v>720</v>
      </c>
      <c r="W2" s="964"/>
      <c r="X2" s="964"/>
      <c r="Y2" s="964"/>
      <c r="Z2" s="962" t="s">
        <v>508</v>
      </c>
      <c r="AA2" s="962"/>
      <c r="AB2" s="962"/>
      <c r="AC2" s="962" t="s">
        <v>481</v>
      </c>
      <c r="AD2" s="962"/>
      <c r="AE2" s="962"/>
    </row>
    <row r="3" spans="2:31" ht="23" customHeight="1">
      <c r="B3" s="962"/>
      <c r="C3" s="958" t="s">
        <v>944</v>
      </c>
      <c r="D3" s="960"/>
      <c r="E3" s="960"/>
      <c r="F3" s="3"/>
      <c r="G3" s="961" t="s">
        <v>945</v>
      </c>
      <c r="H3" s="959"/>
      <c r="I3" s="959"/>
      <c r="J3" s="4"/>
      <c r="K3" s="962" t="s">
        <v>946</v>
      </c>
      <c r="L3" s="962"/>
      <c r="M3" s="960" t="s">
        <v>944</v>
      </c>
      <c r="N3" s="960"/>
      <c r="O3" s="960"/>
      <c r="P3" s="963" t="s">
        <v>945</v>
      </c>
      <c r="Q3" s="963"/>
      <c r="R3" s="963"/>
      <c r="S3" s="959" t="s">
        <v>946</v>
      </c>
      <c r="T3" s="959"/>
      <c r="U3" s="4"/>
      <c r="V3" s="964"/>
      <c r="W3" s="964"/>
      <c r="X3" s="964"/>
      <c r="Y3" s="964"/>
      <c r="Z3" s="962"/>
      <c r="AA3" s="962"/>
      <c r="AB3" s="962"/>
      <c r="AC3" s="962"/>
      <c r="AD3" s="962"/>
      <c r="AE3" s="962"/>
    </row>
    <row r="4" spans="2:31">
      <c r="B4" s="962"/>
      <c r="C4" s="5" t="s">
        <v>947</v>
      </c>
      <c r="D4" s="2" t="s">
        <v>745</v>
      </c>
      <c r="E4" s="2" t="s">
        <v>703</v>
      </c>
      <c r="F4" s="2" t="s">
        <v>5</v>
      </c>
      <c r="G4" s="5" t="s">
        <v>947</v>
      </c>
      <c r="H4" s="2" t="s">
        <v>745</v>
      </c>
      <c r="I4" s="2" t="s">
        <v>703</v>
      </c>
      <c r="J4" s="2" t="s">
        <v>5</v>
      </c>
      <c r="K4" t="s">
        <v>948</v>
      </c>
      <c r="L4" t="s">
        <v>949</v>
      </c>
      <c r="M4" s="3" t="s">
        <v>745</v>
      </c>
      <c r="N4" s="3" t="s">
        <v>703</v>
      </c>
      <c r="O4" s="3" t="s">
        <v>5</v>
      </c>
      <c r="P4" s="8" t="s">
        <v>745</v>
      </c>
      <c r="Q4" s="8" t="s">
        <v>703</v>
      </c>
      <c r="R4" s="8" t="s">
        <v>5</v>
      </c>
      <c r="S4" s="9" t="s">
        <v>948</v>
      </c>
      <c r="T4" s="9" t="s">
        <v>949</v>
      </c>
      <c r="U4" s="4" t="s">
        <v>5</v>
      </c>
      <c r="V4" s="5" t="s">
        <v>749</v>
      </c>
      <c r="W4" t="s">
        <v>745</v>
      </c>
      <c r="X4" s="2" t="s">
        <v>703</v>
      </c>
      <c r="Y4" s="2" t="s">
        <v>5</v>
      </c>
      <c r="Z4" t="s">
        <v>745</v>
      </c>
      <c r="AA4" s="2" t="s">
        <v>703</v>
      </c>
      <c r="AB4" s="2" t="s">
        <v>5</v>
      </c>
      <c r="AC4" t="s">
        <v>745</v>
      </c>
      <c r="AD4" s="2" t="s">
        <v>703</v>
      </c>
      <c r="AE4" s="2" t="s">
        <v>5</v>
      </c>
    </row>
    <row r="5" spans="2:31">
      <c r="B5" s="965" t="s">
        <v>950</v>
      </c>
      <c r="C5" s="6">
        <f>IF($B5="","",VLOOKUP($B5,TA!$D$13:$PH$2502,335,0))</f>
        <v>1</v>
      </c>
      <c r="D5" s="7">
        <f>IF($B5="","",VLOOKUP($B5,TA!$D$13:$PH$2502,148,0))</f>
        <v>1.1993097781664646</v>
      </c>
      <c r="E5" s="7">
        <f>IF($B5="","",VLOOKUP($B5,TA!$D$13:$PH$2502,149,0))</f>
        <v>78.554790469903423</v>
      </c>
      <c r="F5" s="7">
        <f>IF($B5="","",VLOOKUP($B5,TA!$D$13:$PH$2502,346,0))</f>
        <v>9.5429382</v>
      </c>
      <c r="G5" s="6">
        <f>IF($B5="","",VLOOKUP($B5,TA!$D$13:$PH$2502,342,0))</f>
        <v>1</v>
      </c>
      <c r="H5" s="7">
        <f>IF($B5="","",VLOOKUP($B5,TA!$D$13:$PH$2502,150,0))</f>
        <v>0.21280737466777744</v>
      </c>
      <c r="I5" s="7">
        <f>IF($B5="","",VLOOKUP($B5,TA!$D$13:$PH$2502,151,0))</f>
        <v>13.938883040739423</v>
      </c>
      <c r="J5" s="7">
        <f>IF($B5="","",VLOOKUP($B5,TA!$D$13:$PH$2502,348,0))</f>
        <v>6.2414088491456745</v>
      </c>
      <c r="K5" s="7">
        <f>IF($B5="","",VLOOKUP($B5,TA!$D$13:$PH$2502,152,0))</f>
        <v>1.4121171528342422</v>
      </c>
      <c r="L5" s="7">
        <f>IF($B5="","",VLOOKUP($B5,TA!$D$13:$PH$2502,155,0))</f>
        <v>92.493673510642864</v>
      </c>
      <c r="M5" s="7">
        <f>IF($B5="","",VLOOKUP($B5,TA!$D$13:$PH$2502,157,0))</f>
        <v>0.10875483006428488</v>
      </c>
      <c r="N5" s="7">
        <f>IF($B5="","",VLOOKUP($B5,TA!$D$13:$PH$2502,158,0))</f>
        <v>1.1092992666557058</v>
      </c>
      <c r="O5" s="7">
        <f>IF($B5="","",VLOOKUP($B5,TA!$D$13:$PH$2502,349,0))</f>
        <v>11.5429382</v>
      </c>
      <c r="P5" s="7">
        <f>IF($B5="","",VLOOKUP($B5,TA!$D$13:$PH$2502,159,0))</f>
        <v>2.2099988380872005E-2</v>
      </c>
      <c r="Q5" s="7">
        <f>IF($B5="","",VLOOKUP($B5,TA!$D$13:$PH$2502,160,0))</f>
        <v>0.22541988148489445</v>
      </c>
      <c r="R5" s="7">
        <f>IF($B5="","",VLOOKUP($B5,TA!$D$13:$PH$2502,350,0))</f>
        <v>8.0414088491456752</v>
      </c>
      <c r="S5" s="7">
        <f>IF($B5="","",VLOOKUP($B5,TA!$D$13:$PH$2502,161,0))</f>
        <v>0.1308548184451569</v>
      </c>
      <c r="T5" s="7">
        <f>IF($B5="","",VLOOKUP($B5,TA!$D$13:$PH$2502,164,0))</f>
        <v>1.3347191481406002</v>
      </c>
      <c r="U5" s="7">
        <f>IF($B5="","",VLOOKUP($B5,TA!$D$13:$PH$2502,351,0))</f>
        <v>25.81548519</v>
      </c>
      <c r="V5" s="6">
        <f>IF($B5="","",VLOOKUP($B5,TA!$D$13:$PH$2502,172,0))</f>
        <v>1</v>
      </c>
      <c r="W5" s="7">
        <f>IF($B5="","",VLOOKUP($B5,TA!$D$13:$PH$2502,173,0))</f>
        <v>1.5869500227544504</v>
      </c>
      <c r="X5" s="7">
        <f>IF($B5="","",VLOOKUP($B5,TA!$D$13:$PH$2502,177,0))</f>
        <v>0.56844549815064416</v>
      </c>
      <c r="Y5" s="7">
        <f>IF($B5="","",VLOOKUP($B5,TA!$D$13:$PH$2502,353,0))</f>
        <v>25.81548519</v>
      </c>
      <c r="Z5" s="7">
        <f>IF($B5="","",VLOOKUP($B5,TA!$D$13:$PH$2502,178,0))</f>
        <v>0</v>
      </c>
      <c r="AA5" s="7">
        <f>IF($B5="","",VLOOKUP($B5,TA!$D$13:$PH$2502,181,0))</f>
        <v>0</v>
      </c>
      <c r="AB5" s="7">
        <f>IF($B5="","",VLOOKUP($B5,TA!$D$13:$PH$2502,354,0))</f>
        <v>25.991485189999999</v>
      </c>
      <c r="AC5" s="7">
        <f>IF($B5="","",VLOOKUP($B5,TA!$D$13:$PH$2502,221,0))</f>
        <v>0.2435092873623062</v>
      </c>
      <c r="AD5" s="7">
        <f>IF($B5="","",VLOOKUP($B5,TA!$D$13:$PH$2502,224,0))</f>
        <v>2.4350928736230619</v>
      </c>
      <c r="AE5" s="7">
        <f>IF($B5="","",VLOOKUP($B5,TA!$D$13:$PH$2502,357,0))</f>
        <v>29.79148519</v>
      </c>
    </row>
    <row r="6" spans="2:31">
      <c r="C6" s="6" t="str">
        <f>IF($B6="","",VLOOKUP($B6,TA!$D$13:$PH$2502,335,0))</f>
        <v/>
      </c>
      <c r="D6" s="7" t="str">
        <f>IF($B6="","",VLOOKUP($B6,TA!$D$13:$PH$2502,148,0))</f>
        <v/>
      </c>
      <c r="E6" s="7" t="str">
        <f>IF($B6="","",VLOOKUP($B6,TA!$D$13:$PH$2502,149,0))</f>
        <v/>
      </c>
      <c r="F6" s="7" t="str">
        <f>IF($B6="","",VLOOKUP($B6,TA!$D$13:$PH$2502,346,0))</f>
        <v/>
      </c>
      <c r="G6" s="6" t="str">
        <f>IF($B6="","",VLOOKUP($B6,TA!$D$13:$PH$2502,342,0))</f>
        <v/>
      </c>
      <c r="H6" s="7" t="str">
        <f>IF($B6="","",VLOOKUP($B6,TA!$D$13:$PH$2502,150,0))</f>
        <v/>
      </c>
      <c r="I6" s="7" t="str">
        <f>IF($B6="","",VLOOKUP($B6,TA!$D$13:$PH$2502,151,0))</f>
        <v/>
      </c>
      <c r="J6" s="7" t="str">
        <f>IF($B6="","",VLOOKUP($B6,TA!$D$13:$PH$2502,348,0))</f>
        <v/>
      </c>
      <c r="K6" s="7" t="str">
        <f>IF($B6="","",VLOOKUP($B6,TA!$D$13:$PH$2502,152,0))</f>
        <v/>
      </c>
      <c r="L6" s="7" t="str">
        <f>IF($B6="","",VLOOKUP($B6,TA!$D$13:$PH$2502,155,0))</f>
        <v/>
      </c>
      <c r="M6" s="7" t="str">
        <f>IF($B6="","",VLOOKUP($B6,TA!$D$13:$PH$2502,157,0))</f>
        <v/>
      </c>
      <c r="N6" s="7" t="str">
        <f>IF($B6="","",VLOOKUP($B6,TA!$D$13:$PH$2502,158,0))</f>
        <v/>
      </c>
      <c r="O6" s="7" t="str">
        <f>IF($B6="","",VLOOKUP($B6,TA!$D$13:$PH$2502,349,0))</f>
        <v/>
      </c>
      <c r="P6" s="7" t="str">
        <f>IF($B6="","",VLOOKUP($B6,TA!$D$13:$PH$2502,159,0))</f>
        <v/>
      </c>
      <c r="Q6" s="7" t="str">
        <f>IF($B6="","",VLOOKUP($B6,TA!$D$13:$PH$2502,160,0))</f>
        <v/>
      </c>
      <c r="R6" s="7" t="str">
        <f>IF($B6="","",VLOOKUP($B6,TA!$D$13:$PH$2502,350,0))</f>
        <v/>
      </c>
      <c r="S6" s="7" t="str">
        <f>IF($B6="","",VLOOKUP($B6,TA!$D$13:$PH$2502,161,0))</f>
        <v/>
      </c>
      <c r="T6" s="7" t="str">
        <f>IF($B6="","",VLOOKUP($B6,TA!$D$13:$PH$2502,164,0))</f>
        <v/>
      </c>
      <c r="U6" s="7" t="str">
        <f>IF($B6="","",VLOOKUP($B6,TA!$D$13:$PH$2502,351,0))</f>
        <v/>
      </c>
      <c r="V6" s="6" t="str">
        <f>IF($B6="","",VLOOKUP($B6,TA!$D$13:$PH$2502,172,0))</f>
        <v/>
      </c>
      <c r="W6" s="7" t="str">
        <f>IF($B6="","",VLOOKUP($B6,TA!$D$13:$PH$2502,173,0))</f>
        <v/>
      </c>
      <c r="X6" s="7" t="str">
        <f>IF($B6="","",VLOOKUP($B6,TA!$D$13:$PH$2502,177,0))</f>
        <v/>
      </c>
      <c r="Y6" s="7" t="str">
        <f>IF($B6="","",VLOOKUP($B6,TA!$D$13:$PH$2502,353,0))</f>
        <v/>
      </c>
      <c r="Z6" s="7" t="str">
        <f>IF($B6="","",VLOOKUP($B6,TA!$D$13:$PH$2502,178,0))</f>
        <v/>
      </c>
      <c r="AA6" s="7" t="str">
        <f>IF($B6="","",VLOOKUP($B6,TA!$D$13:$PH$2502,181,0))</f>
        <v/>
      </c>
      <c r="AB6" s="7" t="str">
        <f>IF($B6="","",VLOOKUP($B6,TA!$D$13:$PH$2502,354,0))</f>
        <v/>
      </c>
      <c r="AC6" s="7" t="str">
        <f>IF($B6="","",VLOOKUP($B6,TA!$D$13:$PH$2502,221,0))</f>
        <v/>
      </c>
      <c r="AD6" s="7" t="str">
        <f>IF($B6="","",VLOOKUP($B6,TA!$D$13:$PH$2502,224,0))</f>
        <v/>
      </c>
      <c r="AE6" s="7" t="str">
        <f>IF($B6="","",VLOOKUP($B6,TA!$D$13:$PH$2502,357,0))</f>
        <v/>
      </c>
    </row>
    <row r="7" spans="2:31">
      <c r="C7" s="6" t="str">
        <f>IF($B7="","",VLOOKUP($B7,TA!$D$13:$PH$2502,335,0))</f>
        <v/>
      </c>
      <c r="D7" s="7" t="str">
        <f>IF($B7="","",VLOOKUP($B7,TA!$D$13:$PH$2502,148,0))</f>
        <v/>
      </c>
      <c r="E7" s="7" t="str">
        <f>IF($B7="","",VLOOKUP($B7,TA!$D$13:$PH$2502,149,0))</f>
        <v/>
      </c>
      <c r="F7" s="7" t="str">
        <f>IF($B7="","",VLOOKUP($B7,TA!$D$13:$PH$2502,346,0))</f>
        <v/>
      </c>
      <c r="G7" s="6" t="str">
        <f>IF($B7="","",VLOOKUP($B7,TA!$D$13:$PH$2502,342,0))</f>
        <v/>
      </c>
      <c r="H7" s="7" t="str">
        <f>IF($B7="","",VLOOKUP($B7,TA!$D$13:$PH$2502,150,0))</f>
        <v/>
      </c>
      <c r="I7" s="7" t="str">
        <f>IF($B7="","",VLOOKUP($B7,TA!$D$13:$PH$2502,151,0))</f>
        <v/>
      </c>
      <c r="J7" s="7" t="str">
        <f>IF($B7="","",VLOOKUP($B7,TA!$D$13:$PH$2502,348,0))</f>
        <v/>
      </c>
      <c r="K7" s="7" t="str">
        <f>IF($B7="","",VLOOKUP($B7,TA!$D$13:$PH$2502,152,0))</f>
        <v/>
      </c>
      <c r="L7" s="7" t="str">
        <f>IF($B7="","",VLOOKUP($B7,TA!$D$13:$PH$2502,155,0))</f>
        <v/>
      </c>
      <c r="M7" s="7" t="str">
        <f>IF($B7="","",VLOOKUP($B7,TA!$D$13:$PH$2502,157,0))</f>
        <v/>
      </c>
      <c r="N7" s="7" t="str">
        <f>IF($B7="","",VLOOKUP($B7,TA!$D$13:$PH$2502,158,0))</f>
        <v/>
      </c>
      <c r="O7" s="7" t="str">
        <f>IF($B7="","",VLOOKUP($B7,TA!$D$13:$PH$2502,349,0))</f>
        <v/>
      </c>
      <c r="P7" s="7" t="str">
        <f>IF($B7="","",VLOOKUP($B7,TA!$D$13:$PH$2502,159,0))</f>
        <v/>
      </c>
      <c r="Q7" s="7" t="str">
        <f>IF($B7="","",VLOOKUP($B7,TA!$D$13:$PH$2502,160,0))</f>
        <v/>
      </c>
      <c r="R7" s="7" t="str">
        <f>IF($B7="","",VLOOKUP($B7,TA!$D$13:$PH$2502,350,0))</f>
        <v/>
      </c>
      <c r="S7" s="7" t="str">
        <f>IF($B7="","",VLOOKUP($B7,TA!$D$13:$PH$2502,161,0))</f>
        <v/>
      </c>
      <c r="T7" s="7" t="str">
        <f>IF($B7="","",VLOOKUP($B7,TA!$D$13:$PH$2502,164,0))</f>
        <v/>
      </c>
      <c r="U7" s="7" t="str">
        <f>IF($B7="","",VLOOKUP($B7,TA!$D$13:$PH$2502,351,0))</f>
        <v/>
      </c>
      <c r="V7" s="6" t="str">
        <f>IF($B7="","",VLOOKUP($B7,TA!$D$13:$PH$2502,172,0))</f>
        <v/>
      </c>
      <c r="W7" s="7" t="str">
        <f>IF($B7="","",VLOOKUP($B7,TA!$D$13:$PH$2502,173,0))</f>
        <v/>
      </c>
      <c r="X7" s="7" t="str">
        <f>IF($B7="","",VLOOKUP($B7,TA!$D$13:$PH$2502,177,0))</f>
        <v/>
      </c>
      <c r="Y7" s="7" t="str">
        <f>IF($B7="","",VLOOKUP($B7,TA!$D$13:$PH$2502,353,0))</f>
        <v/>
      </c>
      <c r="Z7" s="7" t="str">
        <f>IF($B7="","",VLOOKUP($B7,TA!$D$13:$PH$2502,178,0))</f>
        <v/>
      </c>
      <c r="AA7" s="7" t="str">
        <f>IF($B7="","",VLOOKUP($B7,TA!$D$13:$PH$2502,181,0))</f>
        <v/>
      </c>
      <c r="AB7" s="7" t="str">
        <f>IF($B7="","",VLOOKUP($B7,TA!$D$13:$PH$2502,354,0))</f>
        <v/>
      </c>
      <c r="AC7" s="7" t="str">
        <f>IF($B7="","",VLOOKUP($B7,TA!$D$13:$PH$2502,221,0))</f>
        <v/>
      </c>
      <c r="AD7" s="7" t="str">
        <f>IF($B7="","",VLOOKUP($B7,TA!$D$13:$PH$2502,224,0))</f>
        <v/>
      </c>
      <c r="AE7" s="7" t="str">
        <f>IF($B7="","",VLOOKUP($B7,TA!$D$13:$PH$2502,357,0))</f>
        <v/>
      </c>
    </row>
    <row r="8" spans="2:31">
      <c r="C8" s="6" t="str">
        <f>IF($B8="","",VLOOKUP($B8,TA!$D$13:$PH$2502,335,0))</f>
        <v/>
      </c>
      <c r="D8" s="7" t="str">
        <f>IF($B8="","",VLOOKUP($B8,TA!$D$13:$PH$2502,148,0))</f>
        <v/>
      </c>
      <c r="E8" s="7" t="str">
        <f>IF($B8="","",VLOOKUP($B8,TA!$D$13:$PH$2502,149,0))</f>
        <v/>
      </c>
      <c r="F8" s="7" t="str">
        <f>IF($B8="","",VLOOKUP($B8,TA!$D$13:$PH$2502,346,0))</f>
        <v/>
      </c>
      <c r="G8" s="6" t="str">
        <f>IF($B8="","",VLOOKUP($B8,TA!$D$13:$PH$2502,342,0))</f>
        <v/>
      </c>
      <c r="H8" s="7" t="str">
        <f>IF($B8="","",VLOOKUP($B8,TA!$D$13:$PH$2502,150,0))</f>
        <v/>
      </c>
      <c r="I8" s="7" t="str">
        <f>IF($B8="","",VLOOKUP($B8,TA!$D$13:$PH$2502,151,0))</f>
        <v/>
      </c>
      <c r="J8" s="7" t="str">
        <f>IF($B8="","",VLOOKUP($B8,TA!$D$13:$PH$2502,348,0))</f>
        <v/>
      </c>
      <c r="K8" s="7" t="str">
        <f>IF($B8="","",VLOOKUP($B8,TA!$D$13:$PH$2502,152,0))</f>
        <v/>
      </c>
      <c r="L8" s="7" t="str">
        <f>IF($B8="","",VLOOKUP($B8,TA!$D$13:$PH$2502,155,0))</f>
        <v/>
      </c>
      <c r="M8" s="7" t="str">
        <f>IF($B8="","",VLOOKUP($B8,TA!$D$13:$PH$2502,157,0))</f>
        <v/>
      </c>
      <c r="N8" s="7" t="str">
        <f>IF($B8="","",VLOOKUP($B8,TA!$D$13:$PH$2502,158,0))</f>
        <v/>
      </c>
      <c r="O8" s="7" t="str">
        <f>IF($B8="","",VLOOKUP($B8,TA!$D$13:$PH$2502,349,0))</f>
        <v/>
      </c>
      <c r="P8" s="7" t="str">
        <f>IF($B8="","",VLOOKUP($B8,TA!$D$13:$PH$2502,159,0))</f>
        <v/>
      </c>
      <c r="Q8" s="7" t="str">
        <f>IF($B8="","",VLOOKUP($B8,TA!$D$13:$PH$2502,160,0))</f>
        <v/>
      </c>
      <c r="R8" s="7" t="str">
        <f>IF($B8="","",VLOOKUP($B8,TA!$D$13:$PH$2502,350,0))</f>
        <v/>
      </c>
      <c r="S8" s="7" t="str">
        <f>IF($B8="","",VLOOKUP($B8,TA!$D$13:$PH$2502,161,0))</f>
        <v/>
      </c>
      <c r="T8" s="7" t="str">
        <f>IF($B8="","",VLOOKUP($B8,TA!$D$13:$PH$2502,164,0))</f>
        <v/>
      </c>
      <c r="U8" s="7" t="str">
        <f>IF($B8="","",VLOOKUP($B8,TA!$D$13:$PH$2502,351,0))</f>
        <v/>
      </c>
      <c r="V8" s="6" t="str">
        <f>IF($B8="","",VLOOKUP($B8,TA!$D$13:$PH$2502,172,0))</f>
        <v/>
      </c>
      <c r="W8" s="7" t="str">
        <f>IF($B8="","",VLOOKUP($B8,TA!$D$13:$PH$2502,173,0))</f>
        <v/>
      </c>
      <c r="X8" s="7" t="str">
        <f>IF($B8="","",VLOOKUP($B8,TA!$D$13:$PH$2502,177,0))</f>
        <v/>
      </c>
      <c r="Y8" s="7" t="str">
        <f>IF($B8="","",VLOOKUP($B8,TA!$D$13:$PH$2502,353,0))</f>
        <v/>
      </c>
      <c r="Z8" s="7" t="str">
        <f>IF($B8="","",VLOOKUP($B8,TA!$D$13:$PH$2502,178,0))</f>
        <v/>
      </c>
      <c r="AA8" s="7" t="str">
        <f>IF($B8="","",VLOOKUP($B8,TA!$D$13:$PH$2502,181,0))</f>
        <v/>
      </c>
      <c r="AB8" s="7" t="str">
        <f>IF($B8="","",VLOOKUP($B8,TA!$D$13:$PH$2502,354,0))</f>
        <v/>
      </c>
      <c r="AC8" s="7" t="str">
        <f>IF($B8="","",VLOOKUP($B8,TA!$D$13:$PH$2502,221,0))</f>
        <v/>
      </c>
      <c r="AD8" s="7" t="str">
        <f>IF($B8="","",VLOOKUP($B8,TA!$D$13:$PH$2502,224,0))</f>
        <v/>
      </c>
      <c r="AE8" s="7" t="str">
        <f>IF($B8="","",VLOOKUP($B8,TA!$D$13:$PH$2502,357,0))</f>
        <v/>
      </c>
    </row>
    <row r="9" spans="2:31">
      <c r="C9" s="6" t="str">
        <f>IF($B9="","",VLOOKUP($B9,TA!$D$13:$PH$2502,335,0))</f>
        <v/>
      </c>
      <c r="D9" s="7" t="str">
        <f>IF($B9="","",VLOOKUP($B9,TA!$D$13:$PH$2502,148,0))</f>
        <v/>
      </c>
      <c r="E9" s="7" t="str">
        <f>IF($B9="","",VLOOKUP($B9,TA!$D$13:$PH$2502,149,0))</f>
        <v/>
      </c>
      <c r="F9" s="7" t="str">
        <f>IF($B9="","",VLOOKUP($B9,TA!$D$13:$PH$2502,346,0))</f>
        <v/>
      </c>
      <c r="G9" s="6" t="str">
        <f>IF($B9="","",VLOOKUP($B9,TA!$D$13:$PH$2502,342,0))</f>
        <v/>
      </c>
      <c r="H9" s="7" t="str">
        <f>IF($B9="","",VLOOKUP($B9,TA!$D$13:$PH$2502,150,0))</f>
        <v/>
      </c>
      <c r="I9" s="7" t="str">
        <f>IF($B9="","",VLOOKUP($B9,TA!$D$13:$PH$2502,151,0))</f>
        <v/>
      </c>
      <c r="J9" s="7" t="str">
        <f>IF($B9="","",VLOOKUP($B9,TA!$D$13:$PH$2502,348,0))</f>
        <v/>
      </c>
      <c r="K9" s="7" t="str">
        <f>IF($B9="","",VLOOKUP($B9,TA!$D$13:$PH$2502,152,0))</f>
        <v/>
      </c>
      <c r="L9" s="7" t="str">
        <f>IF($B9="","",VLOOKUP($B9,TA!$D$13:$PH$2502,155,0))</f>
        <v/>
      </c>
      <c r="M9" s="7" t="str">
        <f>IF($B9="","",VLOOKUP($B9,TA!$D$13:$PH$2502,157,0))</f>
        <v/>
      </c>
      <c r="N9" s="7" t="str">
        <f>IF($B9="","",VLOOKUP($B9,TA!$D$13:$PH$2502,158,0))</f>
        <v/>
      </c>
      <c r="O9" s="7" t="str">
        <f>IF($B9="","",VLOOKUP($B9,TA!$D$13:$PH$2502,349,0))</f>
        <v/>
      </c>
      <c r="P9" s="7" t="str">
        <f>IF($B9="","",VLOOKUP($B9,TA!$D$13:$PH$2502,159,0))</f>
        <v/>
      </c>
      <c r="Q9" s="7" t="str">
        <f>IF($B9="","",VLOOKUP($B9,TA!$D$13:$PH$2502,160,0))</f>
        <v/>
      </c>
      <c r="R9" s="7" t="str">
        <f>IF($B9="","",VLOOKUP($B9,TA!$D$13:$PH$2502,350,0))</f>
        <v/>
      </c>
      <c r="S9" s="7" t="str">
        <f>IF($B9="","",VLOOKUP($B9,TA!$D$13:$PH$2502,161,0))</f>
        <v/>
      </c>
      <c r="T9" s="7" t="str">
        <f>IF($B9="","",VLOOKUP($B9,TA!$D$13:$PH$2502,164,0))</f>
        <v/>
      </c>
      <c r="U9" s="7" t="str">
        <f>IF($B9="","",VLOOKUP($B9,TA!$D$13:$PH$2502,351,0))</f>
        <v/>
      </c>
      <c r="V9" s="6" t="str">
        <f>IF($B9="","",VLOOKUP($B9,TA!$D$13:$PH$2502,172,0))</f>
        <v/>
      </c>
      <c r="W9" s="7" t="str">
        <f>IF($B9="","",VLOOKUP($B9,TA!$D$13:$PH$2502,173,0))</f>
        <v/>
      </c>
      <c r="X9" s="7" t="str">
        <f>IF($B9="","",VLOOKUP($B9,TA!$D$13:$PH$2502,177,0))</f>
        <v/>
      </c>
      <c r="Y9" s="7" t="str">
        <f>IF($B9="","",VLOOKUP($B9,TA!$D$13:$PH$2502,353,0))</f>
        <v/>
      </c>
      <c r="Z9" s="7" t="str">
        <f>IF($B9="","",VLOOKUP($B9,TA!$D$13:$PH$2502,178,0))</f>
        <v/>
      </c>
      <c r="AA9" s="7" t="str">
        <f>IF($B9="","",VLOOKUP($B9,TA!$D$13:$PH$2502,181,0))</f>
        <v/>
      </c>
      <c r="AB9" s="7" t="str">
        <f>IF($B9="","",VLOOKUP($B9,TA!$D$13:$PH$2502,354,0))</f>
        <v/>
      </c>
      <c r="AC9" s="7" t="str">
        <f>IF($B9="","",VLOOKUP($B9,TA!$D$13:$PH$2502,221,0))</f>
        <v/>
      </c>
      <c r="AD9" s="7" t="str">
        <f>IF($B9="","",VLOOKUP($B9,TA!$D$13:$PH$2502,224,0))</f>
        <v/>
      </c>
      <c r="AE9" s="7" t="str">
        <f>IF($B9="","",VLOOKUP($B9,TA!$D$13:$PH$2502,357,0))</f>
        <v/>
      </c>
    </row>
    <row r="10" spans="2:31">
      <c r="C10" s="6" t="str">
        <f>IF($B10="","",VLOOKUP($B10,TA!$D$13:$PH$2502,335,0))</f>
        <v/>
      </c>
      <c r="D10" s="7" t="str">
        <f>IF($B10="","",VLOOKUP($B10,TA!$D$13:$PH$2502,148,0))</f>
        <v/>
      </c>
      <c r="E10" s="7" t="str">
        <f>IF($B10="","",VLOOKUP($B10,TA!$D$13:$PH$2502,149,0))</f>
        <v/>
      </c>
      <c r="F10" s="7" t="str">
        <f>IF($B10="","",VLOOKUP($B10,TA!$D$13:$PH$2502,346,0))</f>
        <v/>
      </c>
      <c r="G10" s="6" t="str">
        <f>IF($B10="","",VLOOKUP($B10,TA!$D$13:$PH$2502,342,0))</f>
        <v/>
      </c>
      <c r="H10" s="7" t="str">
        <f>IF($B10="","",VLOOKUP($B10,TA!$D$13:$PH$2502,150,0))</f>
        <v/>
      </c>
      <c r="I10" s="7" t="str">
        <f>IF($B10="","",VLOOKUP($B10,TA!$D$13:$PH$2502,151,0))</f>
        <v/>
      </c>
      <c r="J10" s="7" t="str">
        <f>IF($B10="","",VLOOKUP($B10,TA!$D$13:$PH$2502,348,0))</f>
        <v/>
      </c>
      <c r="K10" s="7" t="str">
        <f>IF($B10="","",VLOOKUP($B10,TA!$D$13:$PH$2502,152,0))</f>
        <v/>
      </c>
      <c r="L10" s="7" t="str">
        <f>IF($B10="","",VLOOKUP($B10,TA!$D$13:$PH$2502,155,0))</f>
        <v/>
      </c>
      <c r="M10" s="7" t="str">
        <f>IF($B10="","",VLOOKUP($B10,TA!$D$13:$PH$2502,157,0))</f>
        <v/>
      </c>
      <c r="N10" s="7" t="str">
        <f>IF($B10="","",VLOOKUP($B10,TA!$D$13:$PH$2502,158,0))</f>
        <v/>
      </c>
      <c r="O10" s="7" t="str">
        <f>IF($B10="","",VLOOKUP($B10,TA!$D$13:$PH$2502,349,0))</f>
        <v/>
      </c>
      <c r="P10" s="7" t="str">
        <f>IF($B10="","",VLOOKUP($B10,TA!$D$13:$PH$2502,159,0))</f>
        <v/>
      </c>
      <c r="Q10" s="7" t="str">
        <f>IF($B10="","",VLOOKUP($B10,TA!$D$13:$PH$2502,160,0))</f>
        <v/>
      </c>
      <c r="R10" s="7" t="str">
        <f>IF($B10="","",VLOOKUP($B10,TA!$D$13:$PH$2502,350,0))</f>
        <v/>
      </c>
      <c r="S10" s="7" t="str">
        <f>IF($B10="","",VLOOKUP($B10,TA!$D$13:$PH$2502,161,0))</f>
        <v/>
      </c>
      <c r="T10" s="7" t="str">
        <f>IF($B10="","",VLOOKUP($B10,TA!$D$13:$PH$2502,164,0))</f>
        <v/>
      </c>
      <c r="U10" s="7" t="str">
        <f>IF($B10="","",VLOOKUP($B10,TA!$D$13:$PH$2502,351,0))</f>
        <v/>
      </c>
      <c r="V10" s="6" t="str">
        <f>IF($B10="","",VLOOKUP($B10,TA!$D$13:$PH$2502,172,0))</f>
        <v/>
      </c>
      <c r="W10" s="7" t="str">
        <f>IF($B10="","",VLOOKUP($B10,TA!$D$13:$PH$2502,173,0))</f>
        <v/>
      </c>
      <c r="X10" s="7" t="str">
        <f>IF($B10="","",VLOOKUP($B10,TA!$D$13:$PH$2502,177,0))</f>
        <v/>
      </c>
      <c r="Y10" s="7" t="str">
        <f>IF($B10="","",VLOOKUP($B10,TA!$D$13:$PH$2502,353,0))</f>
        <v/>
      </c>
      <c r="Z10" s="7" t="str">
        <f>IF($B10="","",VLOOKUP($B10,TA!$D$13:$PH$2502,178,0))</f>
        <v/>
      </c>
      <c r="AA10" s="7" t="str">
        <f>IF($B10="","",VLOOKUP($B10,TA!$D$13:$PH$2502,181,0))</f>
        <v/>
      </c>
      <c r="AB10" s="7" t="str">
        <f>IF($B10="","",VLOOKUP($B10,TA!$D$13:$PH$2502,354,0))</f>
        <v/>
      </c>
      <c r="AC10" s="7" t="str">
        <f>IF($B10="","",VLOOKUP($B10,TA!$D$13:$PH$2502,221,0))</f>
        <v/>
      </c>
      <c r="AD10" s="7" t="str">
        <f>IF($B10="","",VLOOKUP($B10,TA!$D$13:$PH$2502,224,0))</f>
        <v/>
      </c>
      <c r="AE10" s="7" t="str">
        <f>IF($B10="","",VLOOKUP($B10,TA!$D$13:$PH$2502,357,0))</f>
        <v/>
      </c>
    </row>
    <row r="11" spans="2:31">
      <c r="C11" s="6" t="str">
        <f>IF($B11="","",VLOOKUP($B11,TA!$D$13:$PH$2502,335,0))</f>
        <v/>
      </c>
      <c r="D11" s="7" t="str">
        <f>IF($B11="","",VLOOKUP($B11,TA!$D$13:$PH$2502,148,0))</f>
        <v/>
      </c>
      <c r="E11" s="7" t="str">
        <f>IF($B11="","",VLOOKUP($B11,TA!$D$13:$PH$2502,149,0))</f>
        <v/>
      </c>
      <c r="F11" s="7" t="str">
        <f>IF($B11="","",VLOOKUP($B11,TA!$D$13:$PH$2502,346,0))</f>
        <v/>
      </c>
      <c r="G11" s="6" t="str">
        <f>IF($B11="","",VLOOKUP($B11,TA!$D$13:$PH$2502,342,0))</f>
        <v/>
      </c>
      <c r="H11" s="7" t="str">
        <f>IF($B11="","",VLOOKUP($B11,TA!$D$13:$PH$2502,150,0))</f>
        <v/>
      </c>
      <c r="I11" s="7" t="str">
        <f>IF($B11="","",VLOOKUP($B11,TA!$D$13:$PH$2502,151,0))</f>
        <v/>
      </c>
      <c r="J11" s="7" t="str">
        <f>IF($B11="","",VLOOKUP($B11,TA!$D$13:$PH$2502,348,0))</f>
        <v/>
      </c>
      <c r="K11" s="7" t="str">
        <f>IF($B11="","",VLOOKUP($B11,TA!$D$13:$PH$2502,152,0))</f>
        <v/>
      </c>
      <c r="L11" s="7" t="str">
        <f>IF($B11="","",VLOOKUP($B11,TA!$D$13:$PH$2502,155,0))</f>
        <v/>
      </c>
      <c r="M11" s="7" t="str">
        <f>IF($B11="","",VLOOKUP($B11,TA!$D$13:$PH$2502,157,0))</f>
        <v/>
      </c>
      <c r="N11" s="7" t="str">
        <f>IF($B11="","",VLOOKUP($B11,TA!$D$13:$PH$2502,158,0))</f>
        <v/>
      </c>
      <c r="O11" s="7" t="str">
        <f>IF($B11="","",VLOOKUP($B11,TA!$D$13:$PH$2502,349,0))</f>
        <v/>
      </c>
      <c r="P11" s="7" t="str">
        <f>IF($B11="","",VLOOKUP($B11,TA!$D$13:$PH$2502,159,0))</f>
        <v/>
      </c>
      <c r="Q11" s="7" t="str">
        <f>IF($B11="","",VLOOKUP($B11,TA!$D$13:$PH$2502,160,0))</f>
        <v/>
      </c>
      <c r="R11" s="7" t="str">
        <f>IF($B11="","",VLOOKUP($B11,TA!$D$13:$PH$2502,350,0))</f>
        <v/>
      </c>
      <c r="S11" s="7" t="str">
        <f>IF($B11="","",VLOOKUP($B11,TA!$D$13:$PH$2502,161,0))</f>
        <v/>
      </c>
      <c r="T11" s="7" t="str">
        <f>IF($B11="","",VLOOKUP($B11,TA!$D$13:$PH$2502,164,0))</f>
        <v/>
      </c>
      <c r="U11" s="7" t="str">
        <f>IF($B11="","",VLOOKUP($B11,TA!$D$13:$PH$2502,351,0))</f>
        <v/>
      </c>
      <c r="V11" s="6" t="str">
        <f>IF($B11="","",VLOOKUP($B11,TA!$D$13:$PH$2502,172,0))</f>
        <v/>
      </c>
      <c r="W11" s="7" t="str">
        <f>IF($B11="","",VLOOKUP($B11,TA!$D$13:$PH$2502,173,0))</f>
        <v/>
      </c>
      <c r="X11" s="7" t="str">
        <f>IF($B11="","",VLOOKUP($B11,TA!$D$13:$PH$2502,177,0))</f>
        <v/>
      </c>
      <c r="Y11" s="7" t="str">
        <f>IF($B11="","",VLOOKUP($B11,TA!$D$13:$PH$2502,353,0))</f>
        <v/>
      </c>
      <c r="Z11" s="7" t="str">
        <f>IF($B11="","",VLOOKUP($B11,TA!$D$13:$PH$2502,178,0))</f>
        <v/>
      </c>
      <c r="AA11" s="7" t="str">
        <f>IF($B11="","",VLOOKUP($B11,TA!$D$13:$PH$2502,181,0))</f>
        <v/>
      </c>
      <c r="AB11" s="7" t="str">
        <f>IF($B11="","",VLOOKUP($B11,TA!$D$13:$PH$2502,354,0))</f>
        <v/>
      </c>
      <c r="AC11" s="7" t="str">
        <f>IF($B11="","",VLOOKUP($B11,TA!$D$13:$PH$2502,221,0))</f>
        <v/>
      </c>
      <c r="AD11" s="7" t="str">
        <f>IF($B11="","",VLOOKUP($B11,TA!$D$13:$PH$2502,224,0))</f>
        <v/>
      </c>
      <c r="AE11" s="7" t="str">
        <f>IF($B11="","",VLOOKUP($B11,TA!$D$13:$PH$2502,357,0))</f>
        <v/>
      </c>
    </row>
    <row r="12" spans="2:31">
      <c r="C12" s="6" t="str">
        <f>IF($B12="","",VLOOKUP($B12,TA!$D$13:$PH$2502,335,0))</f>
        <v/>
      </c>
      <c r="D12" s="7" t="str">
        <f>IF($B12="","",VLOOKUP($B12,TA!$D$13:$PH$2502,148,0))</f>
        <v/>
      </c>
      <c r="E12" s="7" t="str">
        <f>IF($B12="","",VLOOKUP($B12,TA!$D$13:$PH$2502,149,0))</f>
        <v/>
      </c>
      <c r="F12" s="7" t="str">
        <f>IF($B12="","",VLOOKUP($B12,TA!$D$13:$PH$2502,346,0))</f>
        <v/>
      </c>
      <c r="G12" s="6" t="str">
        <f>IF($B12="","",VLOOKUP($B12,TA!$D$13:$PH$2502,342,0))</f>
        <v/>
      </c>
      <c r="H12" s="7" t="str">
        <f>IF($B12="","",VLOOKUP($B12,TA!$D$13:$PH$2502,150,0))</f>
        <v/>
      </c>
      <c r="I12" s="7" t="str">
        <f>IF($B12="","",VLOOKUP($B12,TA!$D$13:$PH$2502,151,0))</f>
        <v/>
      </c>
      <c r="J12" s="7" t="str">
        <f>IF($B12="","",VLOOKUP($B12,TA!$D$13:$PH$2502,348,0))</f>
        <v/>
      </c>
      <c r="K12" s="7" t="str">
        <f>IF($B12="","",VLOOKUP($B12,TA!$D$13:$PH$2502,152,0))</f>
        <v/>
      </c>
      <c r="L12" s="7" t="str">
        <f>IF($B12="","",VLOOKUP($B12,TA!$D$13:$PH$2502,155,0))</f>
        <v/>
      </c>
      <c r="M12" s="7" t="str">
        <f>IF($B12="","",VLOOKUP($B12,TA!$D$13:$PH$2502,157,0))</f>
        <v/>
      </c>
      <c r="N12" s="7" t="str">
        <f>IF($B12="","",VLOOKUP($B12,TA!$D$13:$PH$2502,158,0))</f>
        <v/>
      </c>
      <c r="O12" s="7" t="str">
        <f>IF($B12="","",VLOOKUP($B12,TA!$D$13:$PH$2502,349,0))</f>
        <v/>
      </c>
      <c r="P12" s="7" t="str">
        <f>IF($B12="","",VLOOKUP($B12,TA!$D$13:$PH$2502,159,0))</f>
        <v/>
      </c>
      <c r="Q12" s="7" t="str">
        <f>IF($B12="","",VLOOKUP($B12,TA!$D$13:$PH$2502,160,0))</f>
        <v/>
      </c>
      <c r="R12" s="7" t="str">
        <f>IF($B12="","",VLOOKUP($B12,TA!$D$13:$PH$2502,350,0))</f>
        <v/>
      </c>
      <c r="S12" s="7" t="str">
        <f>IF($B12="","",VLOOKUP($B12,TA!$D$13:$PH$2502,161,0))</f>
        <v/>
      </c>
      <c r="T12" s="7" t="str">
        <f>IF($B12="","",VLOOKUP($B12,TA!$D$13:$PH$2502,164,0))</f>
        <v/>
      </c>
      <c r="U12" s="7" t="str">
        <f>IF($B12="","",VLOOKUP($B12,TA!$D$13:$PH$2502,351,0))</f>
        <v/>
      </c>
      <c r="V12" s="6" t="str">
        <f>IF($B12="","",VLOOKUP($B12,TA!$D$13:$PH$2502,172,0))</f>
        <v/>
      </c>
      <c r="W12" s="7" t="str">
        <f>IF($B12="","",VLOOKUP($B12,TA!$D$13:$PH$2502,173,0))</f>
        <v/>
      </c>
      <c r="X12" s="7" t="str">
        <f>IF($B12="","",VLOOKUP($B12,TA!$D$13:$PH$2502,177,0))</f>
        <v/>
      </c>
      <c r="Y12" s="7" t="str">
        <f>IF($B12="","",VLOOKUP($B12,TA!$D$13:$PH$2502,353,0))</f>
        <v/>
      </c>
      <c r="Z12" s="7" t="str">
        <f>IF($B12="","",VLOOKUP($B12,TA!$D$13:$PH$2502,178,0))</f>
        <v/>
      </c>
      <c r="AA12" s="7" t="str">
        <f>IF($B12="","",VLOOKUP($B12,TA!$D$13:$PH$2502,181,0))</f>
        <v/>
      </c>
      <c r="AB12" s="7" t="str">
        <f>IF($B12="","",VLOOKUP($B12,TA!$D$13:$PH$2502,354,0))</f>
        <v/>
      </c>
      <c r="AC12" s="7" t="str">
        <f>IF($B12="","",VLOOKUP($B12,TA!$D$13:$PH$2502,221,0))</f>
        <v/>
      </c>
      <c r="AD12" s="7" t="str">
        <f>IF($B12="","",VLOOKUP($B12,TA!$D$13:$PH$2502,224,0))</f>
        <v/>
      </c>
      <c r="AE12" s="7" t="str">
        <f>IF($B12="","",VLOOKUP($B12,TA!$D$13:$PH$2502,357,0))</f>
        <v/>
      </c>
    </row>
    <row r="13" spans="2:31">
      <c r="C13" s="6" t="str">
        <f>IF($B13="","",VLOOKUP($B13,TA!$D$13:$PH$2502,335,0))</f>
        <v/>
      </c>
      <c r="D13" s="7" t="str">
        <f>IF($B13="","",VLOOKUP($B13,TA!$D$13:$PH$2502,148,0))</f>
        <v/>
      </c>
      <c r="E13" s="7" t="str">
        <f>IF($B13="","",VLOOKUP($B13,TA!$D$13:$PH$2502,149,0))</f>
        <v/>
      </c>
      <c r="F13" s="7" t="str">
        <f>IF($B13="","",VLOOKUP($B13,TA!$D$13:$PH$2502,346,0))</f>
        <v/>
      </c>
      <c r="G13" s="6" t="str">
        <f>IF($B13="","",VLOOKUP($B13,TA!$D$13:$PH$2502,342,0))</f>
        <v/>
      </c>
      <c r="H13" s="7" t="str">
        <f>IF($B13="","",VLOOKUP($B13,TA!$D$13:$PH$2502,150,0))</f>
        <v/>
      </c>
      <c r="I13" s="7" t="str">
        <f>IF($B13="","",VLOOKUP($B13,TA!$D$13:$PH$2502,151,0))</f>
        <v/>
      </c>
      <c r="J13" s="7" t="str">
        <f>IF($B13="","",VLOOKUP($B13,TA!$D$13:$PH$2502,348,0))</f>
        <v/>
      </c>
      <c r="K13" s="7" t="str">
        <f>IF($B13="","",VLOOKUP($B13,TA!$D$13:$PH$2502,152,0))</f>
        <v/>
      </c>
      <c r="L13" s="7" t="str">
        <f>IF($B13="","",VLOOKUP($B13,TA!$D$13:$PH$2502,155,0))</f>
        <v/>
      </c>
      <c r="M13" s="7" t="str">
        <f>IF($B13="","",VLOOKUP($B13,TA!$D$13:$PH$2502,157,0))</f>
        <v/>
      </c>
      <c r="N13" s="7" t="str">
        <f>IF($B13="","",VLOOKUP($B13,TA!$D$13:$PH$2502,158,0))</f>
        <v/>
      </c>
      <c r="O13" s="7" t="str">
        <f>IF($B13="","",VLOOKUP($B13,TA!$D$13:$PH$2502,349,0))</f>
        <v/>
      </c>
      <c r="P13" s="7" t="str">
        <f>IF($B13="","",VLOOKUP($B13,TA!$D$13:$PH$2502,159,0))</f>
        <v/>
      </c>
      <c r="Q13" s="7" t="str">
        <f>IF($B13="","",VLOOKUP($B13,TA!$D$13:$PH$2502,160,0))</f>
        <v/>
      </c>
      <c r="R13" s="7" t="str">
        <f>IF($B13="","",VLOOKUP($B13,TA!$D$13:$PH$2502,350,0))</f>
        <v/>
      </c>
      <c r="S13" s="7" t="str">
        <f>IF($B13="","",VLOOKUP($B13,TA!$D$13:$PH$2502,161,0))</f>
        <v/>
      </c>
      <c r="T13" s="7" t="str">
        <f>IF($B13="","",VLOOKUP($B13,TA!$D$13:$PH$2502,164,0))</f>
        <v/>
      </c>
      <c r="U13" s="7" t="str">
        <f>IF($B13="","",VLOOKUP($B13,TA!$D$13:$PH$2502,351,0))</f>
        <v/>
      </c>
      <c r="V13" s="6" t="str">
        <f>IF($B13="","",VLOOKUP($B13,TA!$D$13:$PH$2502,172,0))</f>
        <v/>
      </c>
      <c r="W13" s="7" t="str">
        <f>IF($B13="","",VLOOKUP($B13,TA!$D$13:$PH$2502,173,0))</f>
        <v/>
      </c>
      <c r="X13" s="7" t="str">
        <f>IF($B13="","",VLOOKUP($B13,TA!$D$13:$PH$2502,177,0))</f>
        <v/>
      </c>
      <c r="Y13" s="7" t="str">
        <f>IF($B13="","",VLOOKUP($B13,TA!$D$13:$PH$2502,353,0))</f>
        <v/>
      </c>
      <c r="Z13" s="7" t="str">
        <f>IF($B13="","",VLOOKUP($B13,TA!$D$13:$PH$2502,178,0))</f>
        <v/>
      </c>
      <c r="AA13" s="7" t="str">
        <f>IF($B13="","",VLOOKUP($B13,TA!$D$13:$PH$2502,181,0))</f>
        <v/>
      </c>
      <c r="AB13" s="7" t="str">
        <f>IF($B13="","",VLOOKUP($B13,TA!$D$13:$PH$2502,354,0))</f>
        <v/>
      </c>
      <c r="AC13" s="7" t="str">
        <f>IF($B13="","",VLOOKUP($B13,TA!$D$13:$PH$2502,221,0))</f>
        <v/>
      </c>
      <c r="AD13" s="7" t="str">
        <f>IF($B13="","",VLOOKUP($B13,TA!$D$13:$PH$2502,224,0))</f>
        <v/>
      </c>
      <c r="AE13" s="7" t="str">
        <f>IF($B13="","",VLOOKUP($B13,TA!$D$13:$PH$2502,357,0))</f>
        <v/>
      </c>
    </row>
    <row r="14" spans="2:31">
      <c r="C14" s="6" t="str">
        <f>IF($B14="","",VLOOKUP($B14,TA!$D$13:$PH$2502,335,0))</f>
        <v/>
      </c>
      <c r="D14" s="7" t="str">
        <f>IF($B14="","",VLOOKUP($B14,TA!$D$13:$PH$2502,148,0))</f>
        <v/>
      </c>
      <c r="E14" s="7" t="str">
        <f>IF($B14="","",VLOOKUP($B14,TA!$D$13:$PH$2502,149,0))</f>
        <v/>
      </c>
      <c r="F14" s="7" t="str">
        <f>IF($B14="","",VLOOKUP($B14,TA!$D$13:$PH$2502,346,0))</f>
        <v/>
      </c>
      <c r="G14" s="6" t="str">
        <f>IF($B14="","",VLOOKUP($B14,TA!$D$13:$PH$2502,342,0))</f>
        <v/>
      </c>
      <c r="H14" s="7" t="str">
        <f>IF($B14="","",VLOOKUP($B14,TA!$D$13:$PH$2502,150,0))</f>
        <v/>
      </c>
      <c r="I14" s="7" t="str">
        <f>IF($B14="","",VLOOKUP($B14,TA!$D$13:$PH$2502,151,0))</f>
        <v/>
      </c>
      <c r="J14" s="7" t="str">
        <f>IF($B14="","",VLOOKUP($B14,TA!$D$13:$PH$2502,348,0))</f>
        <v/>
      </c>
      <c r="K14" s="7" t="str">
        <f>IF($B14="","",VLOOKUP($B14,TA!$D$13:$PH$2502,152,0))</f>
        <v/>
      </c>
      <c r="L14" s="7" t="str">
        <f>IF($B14="","",VLOOKUP($B14,TA!$D$13:$PH$2502,155,0))</f>
        <v/>
      </c>
      <c r="M14" s="7" t="str">
        <f>IF($B14="","",VLOOKUP($B14,TA!$D$13:$PH$2502,157,0))</f>
        <v/>
      </c>
      <c r="N14" s="7" t="str">
        <f>IF($B14="","",VLOOKUP($B14,TA!$D$13:$PH$2502,158,0))</f>
        <v/>
      </c>
      <c r="O14" s="7" t="str">
        <f>IF($B14="","",VLOOKUP($B14,TA!$D$13:$PH$2502,349,0))</f>
        <v/>
      </c>
      <c r="P14" s="7" t="str">
        <f>IF($B14="","",VLOOKUP($B14,TA!$D$13:$PH$2502,159,0))</f>
        <v/>
      </c>
      <c r="Q14" s="7" t="str">
        <f>IF($B14="","",VLOOKUP($B14,TA!$D$13:$PH$2502,160,0))</f>
        <v/>
      </c>
      <c r="R14" s="7" t="str">
        <f>IF($B14="","",VLOOKUP($B14,TA!$D$13:$PH$2502,350,0))</f>
        <v/>
      </c>
      <c r="S14" s="7" t="str">
        <f>IF($B14="","",VLOOKUP($B14,TA!$D$13:$PH$2502,161,0))</f>
        <v/>
      </c>
      <c r="T14" s="7" t="str">
        <f>IF($B14="","",VLOOKUP($B14,TA!$D$13:$PH$2502,164,0))</f>
        <v/>
      </c>
      <c r="U14" s="7" t="str">
        <f>IF($B14="","",VLOOKUP($B14,TA!$D$13:$PH$2502,351,0))</f>
        <v/>
      </c>
      <c r="V14" s="6" t="str">
        <f>IF($B14="","",VLOOKUP($B14,TA!$D$13:$PH$2502,172,0))</f>
        <v/>
      </c>
      <c r="W14" s="7" t="str">
        <f>IF($B14="","",VLOOKUP($B14,TA!$D$13:$PH$2502,173,0))</f>
        <v/>
      </c>
      <c r="X14" s="7" t="str">
        <f>IF($B14="","",VLOOKUP($B14,TA!$D$13:$PH$2502,177,0))</f>
        <v/>
      </c>
      <c r="Y14" s="7" t="str">
        <f>IF($B14="","",VLOOKUP($B14,TA!$D$13:$PH$2502,353,0))</f>
        <v/>
      </c>
      <c r="Z14" s="7" t="str">
        <f>IF($B14="","",VLOOKUP($B14,TA!$D$13:$PH$2502,178,0))</f>
        <v/>
      </c>
      <c r="AA14" s="7" t="str">
        <f>IF($B14="","",VLOOKUP($B14,TA!$D$13:$PH$2502,181,0))</f>
        <v/>
      </c>
      <c r="AB14" s="7" t="str">
        <f>IF($B14="","",VLOOKUP($B14,TA!$D$13:$PH$2502,354,0))</f>
        <v/>
      </c>
      <c r="AC14" s="7" t="str">
        <f>IF($B14="","",VLOOKUP($B14,TA!$D$13:$PH$2502,221,0))</f>
        <v/>
      </c>
      <c r="AD14" s="7" t="str">
        <f>IF($B14="","",VLOOKUP($B14,TA!$D$13:$PH$2502,224,0))</f>
        <v/>
      </c>
      <c r="AE14" s="7" t="str">
        <f>IF($B14="","",VLOOKUP($B14,TA!$D$13:$PH$2502,357,0))</f>
        <v/>
      </c>
    </row>
    <row r="15" spans="2:31">
      <c r="C15" s="6" t="str">
        <f>IF($B15="","",VLOOKUP($B15,TA!$D$13:$PH$2502,335,0))</f>
        <v/>
      </c>
      <c r="D15" s="7" t="str">
        <f>IF($B15="","",VLOOKUP($B15,TA!$D$13:$PH$2502,148,0))</f>
        <v/>
      </c>
      <c r="E15" s="7" t="str">
        <f>IF($B15="","",VLOOKUP($B15,TA!$D$13:$PH$2502,149,0))</f>
        <v/>
      </c>
      <c r="F15" s="7" t="str">
        <f>IF($B15="","",VLOOKUP($B15,TA!$D$13:$PH$2502,346,0))</f>
        <v/>
      </c>
      <c r="G15" s="6" t="str">
        <f>IF($B15="","",VLOOKUP($B15,TA!$D$13:$PH$2502,342,0))</f>
        <v/>
      </c>
      <c r="H15" s="7" t="str">
        <f>IF($B15="","",VLOOKUP($B15,TA!$D$13:$PH$2502,150,0))</f>
        <v/>
      </c>
      <c r="I15" s="7" t="str">
        <f>IF($B15="","",VLOOKUP($B15,TA!$D$13:$PH$2502,151,0))</f>
        <v/>
      </c>
      <c r="J15" s="7" t="str">
        <f>IF($B15="","",VLOOKUP($B15,TA!$D$13:$PH$2502,348,0))</f>
        <v/>
      </c>
      <c r="K15" s="7" t="str">
        <f>IF($B15="","",VLOOKUP($B15,TA!$D$13:$PH$2502,152,0))</f>
        <v/>
      </c>
      <c r="L15" s="7" t="str">
        <f>IF($B15="","",VLOOKUP($B15,TA!$D$13:$PH$2502,155,0))</f>
        <v/>
      </c>
      <c r="M15" s="7" t="str">
        <f>IF($B15="","",VLOOKUP($B15,TA!$D$13:$PH$2502,157,0))</f>
        <v/>
      </c>
      <c r="N15" s="7" t="str">
        <f>IF($B15="","",VLOOKUP($B15,TA!$D$13:$PH$2502,158,0))</f>
        <v/>
      </c>
      <c r="O15" s="7" t="str">
        <f>IF($B15="","",VLOOKUP($B15,TA!$D$13:$PH$2502,349,0))</f>
        <v/>
      </c>
      <c r="P15" s="7" t="str">
        <f>IF($B15="","",VLOOKUP($B15,TA!$D$13:$PH$2502,159,0))</f>
        <v/>
      </c>
      <c r="Q15" s="7" t="str">
        <f>IF($B15="","",VLOOKUP($B15,TA!$D$13:$PH$2502,160,0))</f>
        <v/>
      </c>
      <c r="R15" s="7" t="str">
        <f>IF($B15="","",VLOOKUP($B15,TA!$D$13:$PH$2502,350,0))</f>
        <v/>
      </c>
      <c r="S15" s="7" t="str">
        <f>IF($B15="","",VLOOKUP($B15,TA!$D$13:$PH$2502,161,0))</f>
        <v/>
      </c>
      <c r="T15" s="7" t="str">
        <f>IF($B15="","",VLOOKUP($B15,TA!$D$13:$PH$2502,164,0))</f>
        <v/>
      </c>
      <c r="U15" s="7" t="str">
        <f>IF($B15="","",VLOOKUP($B15,TA!$D$13:$PH$2502,351,0))</f>
        <v/>
      </c>
      <c r="V15" s="6" t="str">
        <f>IF($B15="","",VLOOKUP($B15,TA!$D$13:$PH$2502,172,0))</f>
        <v/>
      </c>
      <c r="W15" s="7" t="str">
        <f>IF($B15="","",VLOOKUP($B15,TA!$D$13:$PH$2502,173,0))</f>
        <v/>
      </c>
      <c r="X15" s="7" t="str">
        <f>IF($B15="","",VLOOKUP($B15,TA!$D$13:$PH$2502,177,0))</f>
        <v/>
      </c>
      <c r="Y15" s="7" t="str">
        <f>IF($B15="","",VLOOKUP($B15,TA!$D$13:$PH$2502,353,0))</f>
        <v/>
      </c>
      <c r="Z15" s="7" t="str">
        <f>IF($B15="","",VLOOKUP($B15,TA!$D$13:$PH$2502,178,0))</f>
        <v/>
      </c>
      <c r="AA15" s="7" t="str">
        <f>IF($B15="","",VLOOKUP($B15,TA!$D$13:$PH$2502,181,0))</f>
        <v/>
      </c>
      <c r="AB15" s="7" t="str">
        <f>IF($B15="","",VLOOKUP($B15,TA!$D$13:$PH$2502,354,0))</f>
        <v/>
      </c>
      <c r="AC15" s="7" t="str">
        <f>IF($B15="","",VLOOKUP($B15,TA!$D$13:$PH$2502,221,0))</f>
        <v/>
      </c>
      <c r="AD15" s="7" t="str">
        <f>IF($B15="","",VLOOKUP($B15,TA!$D$13:$PH$2502,224,0))</f>
        <v/>
      </c>
      <c r="AE15" s="7" t="str">
        <f>IF($B15="","",VLOOKUP($B15,TA!$D$13:$PH$2502,357,0))</f>
        <v/>
      </c>
    </row>
    <row r="16" spans="2:31">
      <c r="C16" s="6" t="str">
        <f>IF($B16="","",VLOOKUP($B16,TA!$D$13:$PH$2502,335,0))</f>
        <v/>
      </c>
      <c r="D16" s="7" t="str">
        <f>IF($B16="","",VLOOKUP($B16,TA!$D$13:$PH$2502,148,0))</f>
        <v/>
      </c>
      <c r="E16" s="7" t="str">
        <f>IF($B16="","",VLOOKUP($B16,TA!$D$13:$PH$2502,149,0))</f>
        <v/>
      </c>
      <c r="F16" s="7" t="str">
        <f>IF($B16="","",VLOOKUP($B16,TA!$D$13:$PH$2502,346,0))</f>
        <v/>
      </c>
      <c r="G16" s="6" t="str">
        <f>IF($B16="","",VLOOKUP($B16,TA!$D$13:$PH$2502,342,0))</f>
        <v/>
      </c>
      <c r="H16" s="7" t="str">
        <f>IF($B16="","",VLOOKUP($B16,TA!$D$13:$PH$2502,150,0))</f>
        <v/>
      </c>
      <c r="I16" s="7" t="str">
        <f>IF($B16="","",VLOOKUP($B16,TA!$D$13:$PH$2502,151,0))</f>
        <v/>
      </c>
      <c r="J16" s="7" t="str">
        <f>IF($B16="","",VLOOKUP($B16,TA!$D$13:$PH$2502,348,0))</f>
        <v/>
      </c>
      <c r="K16" s="7" t="str">
        <f>IF($B16="","",VLOOKUP($B16,TA!$D$13:$PH$2502,152,0))</f>
        <v/>
      </c>
      <c r="L16" s="7" t="str">
        <f>IF($B16="","",VLOOKUP($B16,TA!$D$13:$PH$2502,155,0))</f>
        <v/>
      </c>
      <c r="M16" s="7" t="str">
        <f>IF($B16="","",VLOOKUP($B16,TA!$D$13:$PH$2502,157,0))</f>
        <v/>
      </c>
      <c r="N16" s="7" t="str">
        <f>IF($B16="","",VLOOKUP($B16,TA!$D$13:$PH$2502,158,0))</f>
        <v/>
      </c>
      <c r="O16" s="7" t="str">
        <f>IF($B16="","",VLOOKUP($B16,TA!$D$13:$PH$2502,349,0))</f>
        <v/>
      </c>
      <c r="P16" s="7" t="str">
        <f>IF($B16="","",VLOOKUP($B16,TA!$D$13:$PH$2502,159,0))</f>
        <v/>
      </c>
      <c r="Q16" s="7" t="str">
        <f>IF($B16="","",VLOOKUP($B16,TA!$D$13:$PH$2502,160,0))</f>
        <v/>
      </c>
      <c r="R16" s="7" t="str">
        <f>IF($B16="","",VLOOKUP($B16,TA!$D$13:$PH$2502,350,0))</f>
        <v/>
      </c>
      <c r="S16" s="7" t="str">
        <f>IF($B16="","",VLOOKUP($B16,TA!$D$13:$PH$2502,161,0))</f>
        <v/>
      </c>
      <c r="T16" s="7" t="str">
        <f>IF($B16="","",VLOOKUP($B16,TA!$D$13:$PH$2502,164,0))</f>
        <v/>
      </c>
      <c r="U16" s="7" t="str">
        <f>IF($B16="","",VLOOKUP($B16,TA!$D$13:$PH$2502,351,0))</f>
        <v/>
      </c>
      <c r="V16" s="6" t="str">
        <f>IF($B16="","",VLOOKUP($B16,TA!$D$13:$PH$2502,172,0))</f>
        <v/>
      </c>
      <c r="W16" s="7" t="str">
        <f>IF($B16="","",VLOOKUP($B16,TA!$D$13:$PH$2502,173,0))</f>
        <v/>
      </c>
      <c r="X16" s="7" t="str">
        <f>IF($B16="","",VLOOKUP($B16,TA!$D$13:$PH$2502,177,0))</f>
        <v/>
      </c>
      <c r="Y16" s="7" t="str">
        <f>IF($B16="","",VLOOKUP($B16,TA!$D$13:$PH$2502,353,0))</f>
        <v/>
      </c>
      <c r="Z16" s="7" t="str">
        <f>IF($B16="","",VLOOKUP($B16,TA!$D$13:$PH$2502,178,0))</f>
        <v/>
      </c>
      <c r="AA16" s="7" t="str">
        <f>IF($B16="","",VLOOKUP($B16,TA!$D$13:$PH$2502,181,0))</f>
        <v/>
      </c>
      <c r="AB16" s="7" t="str">
        <f>IF($B16="","",VLOOKUP($B16,TA!$D$13:$PH$2502,354,0))</f>
        <v/>
      </c>
      <c r="AC16" s="7" t="str">
        <f>IF($B16="","",VLOOKUP($B16,TA!$D$13:$PH$2502,221,0))</f>
        <v/>
      </c>
      <c r="AD16" s="7" t="str">
        <f>IF($B16="","",VLOOKUP($B16,TA!$D$13:$PH$2502,224,0))</f>
        <v/>
      </c>
      <c r="AE16" s="7" t="str">
        <f>IF($B16="","",VLOOKUP($B16,TA!$D$13:$PH$2502,357,0))</f>
        <v/>
      </c>
    </row>
    <row r="17" spans="3:31">
      <c r="C17" s="6" t="str">
        <f>IF($B17="","",VLOOKUP($B17,TA!$D$13:$PH$2502,335,0))</f>
        <v/>
      </c>
      <c r="D17" s="7" t="str">
        <f>IF($B17="","",VLOOKUP($B17,TA!$D$13:$PH$2502,148,0))</f>
        <v/>
      </c>
      <c r="E17" s="7" t="str">
        <f>IF($B17="","",VLOOKUP($B17,TA!$D$13:$PH$2502,149,0))</f>
        <v/>
      </c>
      <c r="F17" s="7" t="str">
        <f>IF($B17="","",VLOOKUP($B17,TA!$D$13:$PH$2502,346,0))</f>
        <v/>
      </c>
      <c r="G17" s="6" t="str">
        <f>IF($B17="","",VLOOKUP($B17,TA!$D$13:$PH$2502,342,0))</f>
        <v/>
      </c>
      <c r="H17" s="7" t="str">
        <f>IF($B17="","",VLOOKUP($B17,TA!$D$13:$PH$2502,150,0))</f>
        <v/>
      </c>
      <c r="I17" s="7" t="str">
        <f>IF($B17="","",VLOOKUP($B17,TA!$D$13:$PH$2502,151,0))</f>
        <v/>
      </c>
      <c r="J17" s="7" t="str">
        <f>IF($B17="","",VLOOKUP($B17,TA!$D$13:$PH$2502,348,0))</f>
        <v/>
      </c>
      <c r="K17" s="7" t="str">
        <f>IF($B17="","",VLOOKUP($B17,TA!$D$13:$PH$2502,152,0))</f>
        <v/>
      </c>
      <c r="L17" s="7" t="str">
        <f>IF($B17="","",VLOOKUP($B17,TA!$D$13:$PH$2502,155,0))</f>
        <v/>
      </c>
      <c r="M17" s="7" t="str">
        <f>IF($B17="","",VLOOKUP($B17,TA!$D$13:$PH$2502,157,0))</f>
        <v/>
      </c>
      <c r="N17" s="7" t="str">
        <f>IF($B17="","",VLOOKUP($B17,TA!$D$13:$PH$2502,158,0))</f>
        <v/>
      </c>
      <c r="O17" s="7" t="str">
        <f>IF($B17="","",VLOOKUP($B17,TA!$D$13:$PH$2502,349,0))</f>
        <v/>
      </c>
      <c r="P17" s="7" t="str">
        <f>IF($B17="","",VLOOKUP($B17,TA!$D$13:$PH$2502,159,0))</f>
        <v/>
      </c>
      <c r="Q17" s="7" t="str">
        <f>IF($B17="","",VLOOKUP($B17,TA!$D$13:$PH$2502,160,0))</f>
        <v/>
      </c>
      <c r="R17" s="7" t="str">
        <f>IF($B17="","",VLOOKUP($B17,TA!$D$13:$PH$2502,350,0))</f>
        <v/>
      </c>
      <c r="S17" s="7" t="str">
        <f>IF($B17="","",VLOOKUP($B17,TA!$D$13:$PH$2502,161,0))</f>
        <v/>
      </c>
      <c r="T17" s="7" t="str">
        <f>IF($B17="","",VLOOKUP($B17,TA!$D$13:$PH$2502,164,0))</f>
        <v/>
      </c>
      <c r="U17" s="7" t="str">
        <f>IF($B17="","",VLOOKUP($B17,TA!$D$13:$PH$2502,351,0))</f>
        <v/>
      </c>
      <c r="V17" s="6" t="str">
        <f>IF($B17="","",VLOOKUP($B17,TA!$D$13:$PH$2502,172,0))</f>
        <v/>
      </c>
      <c r="W17" s="7" t="str">
        <f>IF($B17="","",VLOOKUP($B17,TA!$D$13:$PH$2502,173,0))</f>
        <v/>
      </c>
      <c r="X17" s="7" t="str">
        <f>IF($B17="","",VLOOKUP($B17,TA!$D$13:$PH$2502,177,0))</f>
        <v/>
      </c>
      <c r="Y17" s="7" t="str">
        <f>IF($B17="","",VLOOKUP($B17,TA!$D$13:$PH$2502,353,0))</f>
        <v/>
      </c>
      <c r="Z17" s="7" t="str">
        <f>IF($B17="","",VLOOKUP($B17,TA!$D$13:$PH$2502,178,0))</f>
        <v/>
      </c>
      <c r="AA17" s="7" t="str">
        <f>IF($B17="","",VLOOKUP($B17,TA!$D$13:$PH$2502,181,0))</f>
        <v/>
      </c>
      <c r="AB17" s="7" t="str">
        <f>IF($B17="","",VLOOKUP($B17,TA!$D$13:$PH$2502,354,0))</f>
        <v/>
      </c>
      <c r="AC17" s="7" t="str">
        <f>IF($B17="","",VLOOKUP($B17,TA!$D$13:$PH$2502,221,0))</f>
        <v/>
      </c>
      <c r="AD17" s="7" t="str">
        <f>IF($B17="","",VLOOKUP($B17,TA!$D$13:$PH$2502,224,0))</f>
        <v/>
      </c>
      <c r="AE17" s="7" t="str">
        <f>IF($B17="","",VLOOKUP($B17,TA!$D$13:$PH$2502,357,0))</f>
        <v/>
      </c>
    </row>
    <row r="18" spans="3:31">
      <c r="C18" s="6" t="str">
        <f>IF($B18="","",VLOOKUP($B18,TA!$D$13:$PH$2502,335,0))</f>
        <v/>
      </c>
      <c r="D18" s="7" t="str">
        <f>IF($B18="","",VLOOKUP($B18,TA!$D$13:$PH$2502,148,0))</f>
        <v/>
      </c>
      <c r="E18" s="7" t="str">
        <f>IF($B18="","",VLOOKUP($B18,TA!$D$13:$PH$2502,149,0))</f>
        <v/>
      </c>
      <c r="F18" s="7" t="str">
        <f>IF($B18="","",VLOOKUP($B18,TA!$D$13:$PH$2502,346,0))</f>
        <v/>
      </c>
      <c r="G18" s="6" t="str">
        <f>IF($B18="","",VLOOKUP($B18,TA!$D$13:$PH$2502,342,0))</f>
        <v/>
      </c>
      <c r="H18" s="7" t="str">
        <f>IF($B18="","",VLOOKUP($B18,TA!$D$13:$PH$2502,150,0))</f>
        <v/>
      </c>
      <c r="I18" s="7" t="str">
        <f>IF($B18="","",VLOOKUP($B18,TA!$D$13:$PH$2502,151,0))</f>
        <v/>
      </c>
      <c r="J18" s="7" t="str">
        <f>IF($B18="","",VLOOKUP($B18,TA!$D$13:$PH$2502,348,0))</f>
        <v/>
      </c>
      <c r="K18" s="7" t="str">
        <f>IF($B18="","",VLOOKUP($B18,TA!$D$13:$PH$2502,152,0))</f>
        <v/>
      </c>
      <c r="L18" s="7" t="str">
        <f>IF($B18="","",VLOOKUP($B18,TA!$D$13:$PH$2502,155,0))</f>
        <v/>
      </c>
      <c r="M18" s="7" t="str">
        <f>IF($B18="","",VLOOKUP($B18,TA!$D$13:$PH$2502,157,0))</f>
        <v/>
      </c>
      <c r="N18" s="7" t="str">
        <f>IF($B18="","",VLOOKUP($B18,TA!$D$13:$PH$2502,158,0))</f>
        <v/>
      </c>
      <c r="O18" s="7" t="str">
        <f>IF($B18="","",VLOOKUP($B18,TA!$D$13:$PH$2502,349,0))</f>
        <v/>
      </c>
      <c r="P18" s="7" t="str">
        <f>IF($B18="","",VLOOKUP($B18,TA!$D$13:$PH$2502,159,0))</f>
        <v/>
      </c>
      <c r="Q18" s="7" t="str">
        <f>IF($B18="","",VLOOKUP($B18,TA!$D$13:$PH$2502,160,0))</f>
        <v/>
      </c>
      <c r="R18" s="7" t="str">
        <f>IF($B18="","",VLOOKUP($B18,TA!$D$13:$PH$2502,350,0))</f>
        <v/>
      </c>
      <c r="S18" s="7" t="str">
        <f>IF($B18="","",VLOOKUP($B18,TA!$D$13:$PH$2502,161,0))</f>
        <v/>
      </c>
      <c r="T18" s="7" t="str">
        <f>IF($B18="","",VLOOKUP($B18,TA!$D$13:$PH$2502,164,0))</f>
        <v/>
      </c>
      <c r="U18" s="7" t="str">
        <f>IF($B18="","",VLOOKUP($B18,TA!$D$13:$PH$2502,351,0))</f>
        <v/>
      </c>
      <c r="V18" s="6" t="str">
        <f>IF($B18="","",VLOOKUP($B18,TA!$D$13:$PH$2502,172,0))</f>
        <v/>
      </c>
      <c r="W18" s="7" t="str">
        <f>IF($B18="","",VLOOKUP($B18,TA!$D$13:$PH$2502,173,0))</f>
        <v/>
      </c>
      <c r="X18" s="7" t="str">
        <f>IF($B18="","",VLOOKUP($B18,TA!$D$13:$PH$2502,177,0))</f>
        <v/>
      </c>
      <c r="Y18" s="7" t="str">
        <f>IF($B18="","",VLOOKUP($B18,TA!$D$13:$PH$2502,353,0))</f>
        <v/>
      </c>
      <c r="Z18" s="7" t="str">
        <f>IF($B18="","",VLOOKUP($B18,TA!$D$13:$PH$2502,178,0))</f>
        <v/>
      </c>
      <c r="AA18" s="7" t="str">
        <f>IF($B18="","",VLOOKUP($B18,TA!$D$13:$PH$2502,181,0))</f>
        <v/>
      </c>
      <c r="AB18" s="7" t="str">
        <f>IF($B18="","",VLOOKUP($B18,TA!$D$13:$PH$2502,354,0))</f>
        <v/>
      </c>
      <c r="AC18" s="7" t="str">
        <f>IF($B18="","",VLOOKUP($B18,TA!$D$13:$PH$2502,221,0))</f>
        <v/>
      </c>
      <c r="AD18" s="7" t="str">
        <f>IF($B18="","",VLOOKUP($B18,TA!$D$13:$PH$2502,224,0))</f>
        <v/>
      </c>
      <c r="AE18" s="7" t="str">
        <f>IF($B18="","",VLOOKUP($B18,TA!$D$13:$PH$2502,357,0))</f>
        <v/>
      </c>
    </row>
    <row r="19" spans="3:31">
      <c r="C19" s="6" t="str">
        <f>IF($B19="","",VLOOKUP($B19,TA!$D$13:$PH$2502,335,0))</f>
        <v/>
      </c>
      <c r="D19" s="7" t="str">
        <f>IF($B19="","",VLOOKUP($B19,TA!$D$13:$PH$2502,148,0))</f>
        <v/>
      </c>
      <c r="E19" s="7" t="str">
        <f>IF($B19="","",VLOOKUP($B19,TA!$D$13:$PH$2502,149,0))</f>
        <v/>
      </c>
      <c r="F19" s="7" t="str">
        <f>IF($B19="","",VLOOKUP($B19,TA!$D$13:$PH$2502,346,0))</f>
        <v/>
      </c>
      <c r="G19" s="6" t="str">
        <f>IF($B19="","",VLOOKUP($B19,TA!$D$13:$PH$2502,342,0))</f>
        <v/>
      </c>
      <c r="H19" s="7" t="str">
        <f>IF($B19="","",VLOOKUP($B19,TA!$D$13:$PH$2502,150,0))</f>
        <v/>
      </c>
      <c r="I19" s="7" t="str">
        <f>IF($B19="","",VLOOKUP($B19,TA!$D$13:$PH$2502,151,0))</f>
        <v/>
      </c>
      <c r="J19" s="7" t="str">
        <f>IF($B19="","",VLOOKUP($B19,TA!$D$13:$PH$2502,348,0))</f>
        <v/>
      </c>
      <c r="K19" s="7" t="str">
        <f>IF($B19="","",VLOOKUP($B19,TA!$D$13:$PH$2502,152,0))</f>
        <v/>
      </c>
      <c r="L19" s="7" t="str">
        <f>IF($B19="","",VLOOKUP($B19,TA!$D$13:$PH$2502,155,0))</f>
        <v/>
      </c>
      <c r="M19" s="7" t="str">
        <f>IF($B19="","",VLOOKUP($B19,TA!$D$13:$PH$2502,157,0))</f>
        <v/>
      </c>
      <c r="N19" s="7" t="str">
        <f>IF($B19="","",VLOOKUP($B19,TA!$D$13:$PH$2502,158,0))</f>
        <v/>
      </c>
      <c r="O19" s="7" t="str">
        <f>IF($B19="","",VLOOKUP($B19,TA!$D$13:$PH$2502,349,0))</f>
        <v/>
      </c>
      <c r="P19" s="7" t="str">
        <f>IF($B19="","",VLOOKUP($B19,TA!$D$13:$PH$2502,159,0))</f>
        <v/>
      </c>
      <c r="Q19" s="7" t="str">
        <f>IF($B19="","",VLOOKUP($B19,TA!$D$13:$PH$2502,160,0))</f>
        <v/>
      </c>
      <c r="R19" s="7" t="str">
        <f>IF($B19="","",VLOOKUP($B19,TA!$D$13:$PH$2502,350,0))</f>
        <v/>
      </c>
      <c r="S19" s="7" t="str">
        <f>IF($B19="","",VLOOKUP($B19,TA!$D$13:$PH$2502,161,0))</f>
        <v/>
      </c>
      <c r="T19" s="7" t="str">
        <f>IF($B19="","",VLOOKUP($B19,TA!$D$13:$PH$2502,164,0))</f>
        <v/>
      </c>
      <c r="U19" s="7" t="str">
        <f>IF($B19="","",VLOOKUP($B19,TA!$D$13:$PH$2502,351,0))</f>
        <v/>
      </c>
      <c r="V19" s="6" t="str">
        <f>IF($B19="","",VLOOKUP($B19,TA!$D$13:$PH$2502,172,0))</f>
        <v/>
      </c>
      <c r="W19" s="7" t="str">
        <f>IF($B19="","",VLOOKUP($B19,TA!$D$13:$PH$2502,173,0))</f>
        <v/>
      </c>
      <c r="X19" s="7" t="str">
        <f>IF($B19="","",VLOOKUP($B19,TA!$D$13:$PH$2502,177,0))</f>
        <v/>
      </c>
      <c r="Y19" s="7" t="str">
        <f>IF($B19="","",VLOOKUP($B19,TA!$D$13:$PH$2502,353,0))</f>
        <v/>
      </c>
      <c r="Z19" s="7" t="str">
        <f>IF($B19="","",VLOOKUP($B19,TA!$D$13:$PH$2502,178,0))</f>
        <v/>
      </c>
      <c r="AA19" s="7" t="str">
        <f>IF($B19="","",VLOOKUP($B19,TA!$D$13:$PH$2502,181,0))</f>
        <v/>
      </c>
      <c r="AB19" s="7" t="str">
        <f>IF($B19="","",VLOOKUP($B19,TA!$D$13:$PH$2502,354,0))</f>
        <v/>
      </c>
      <c r="AC19" s="7" t="str">
        <f>IF($B19="","",VLOOKUP($B19,TA!$D$13:$PH$2502,221,0))</f>
        <v/>
      </c>
      <c r="AD19" s="7" t="str">
        <f>IF($B19="","",VLOOKUP($B19,TA!$D$13:$PH$2502,224,0))</f>
        <v/>
      </c>
      <c r="AE19" s="7" t="str">
        <f>IF($B19="","",VLOOKUP($B19,TA!$D$13:$PH$2502,357,0))</f>
        <v/>
      </c>
    </row>
    <row r="20" spans="3:31">
      <c r="C20" s="6" t="str">
        <f>IF($B20="","",VLOOKUP($B20,TA!$D$13:$PH$2502,335,0))</f>
        <v/>
      </c>
      <c r="D20" s="7" t="str">
        <f>IF($B20="","",VLOOKUP($B20,TA!$D$13:$PH$2502,148,0))</f>
        <v/>
      </c>
      <c r="E20" s="7" t="str">
        <f>IF($B20="","",VLOOKUP($B20,TA!$D$13:$PH$2502,149,0))</f>
        <v/>
      </c>
      <c r="F20" s="7" t="str">
        <f>IF($B20="","",VLOOKUP($B20,TA!$D$13:$PH$2502,346,0))</f>
        <v/>
      </c>
      <c r="G20" s="6" t="str">
        <f>IF($B20="","",VLOOKUP($B20,TA!$D$13:$PH$2502,342,0))</f>
        <v/>
      </c>
      <c r="H20" s="7" t="str">
        <f>IF($B20="","",VLOOKUP($B20,TA!$D$13:$PH$2502,150,0))</f>
        <v/>
      </c>
      <c r="I20" s="7" t="str">
        <f>IF($B20="","",VLOOKUP($B20,TA!$D$13:$PH$2502,151,0))</f>
        <v/>
      </c>
      <c r="J20" s="7" t="str">
        <f>IF($B20="","",VLOOKUP($B20,TA!$D$13:$PH$2502,348,0))</f>
        <v/>
      </c>
      <c r="K20" s="7" t="str">
        <f>IF($B20="","",VLOOKUP($B20,TA!$D$13:$PH$2502,152,0))</f>
        <v/>
      </c>
      <c r="L20" s="7" t="str">
        <f>IF($B20="","",VLOOKUP($B20,TA!$D$13:$PH$2502,155,0))</f>
        <v/>
      </c>
      <c r="M20" s="7" t="str">
        <f>IF($B20="","",VLOOKUP($B20,TA!$D$13:$PH$2502,157,0))</f>
        <v/>
      </c>
      <c r="N20" s="7" t="str">
        <f>IF($B20="","",VLOOKUP($B20,TA!$D$13:$PH$2502,158,0))</f>
        <v/>
      </c>
      <c r="O20" s="7" t="str">
        <f>IF($B20="","",VLOOKUP($B20,TA!$D$13:$PH$2502,349,0))</f>
        <v/>
      </c>
      <c r="P20" s="7" t="str">
        <f>IF($B20="","",VLOOKUP($B20,TA!$D$13:$PH$2502,159,0))</f>
        <v/>
      </c>
      <c r="Q20" s="7" t="str">
        <f>IF($B20="","",VLOOKUP($B20,TA!$D$13:$PH$2502,160,0))</f>
        <v/>
      </c>
      <c r="R20" s="7" t="str">
        <f>IF($B20="","",VLOOKUP($B20,TA!$D$13:$PH$2502,350,0))</f>
        <v/>
      </c>
      <c r="S20" s="7" t="str">
        <f>IF($B20="","",VLOOKUP($B20,TA!$D$13:$PH$2502,161,0))</f>
        <v/>
      </c>
      <c r="T20" s="7" t="str">
        <f>IF($B20="","",VLOOKUP($B20,TA!$D$13:$PH$2502,164,0))</f>
        <v/>
      </c>
      <c r="U20" s="7" t="str">
        <f>IF($B20="","",VLOOKUP($B20,TA!$D$13:$PH$2502,351,0))</f>
        <v/>
      </c>
      <c r="V20" s="6" t="str">
        <f>IF($B20="","",VLOOKUP($B20,TA!$D$13:$PH$2502,172,0))</f>
        <v/>
      </c>
      <c r="W20" s="7" t="str">
        <f>IF($B20="","",VLOOKUP($B20,TA!$D$13:$PH$2502,173,0))</f>
        <v/>
      </c>
      <c r="X20" s="7" t="str">
        <f>IF($B20="","",VLOOKUP($B20,TA!$D$13:$PH$2502,177,0))</f>
        <v/>
      </c>
      <c r="Y20" s="7" t="str">
        <f>IF($B20="","",VLOOKUP($B20,TA!$D$13:$PH$2502,353,0))</f>
        <v/>
      </c>
      <c r="Z20" s="7" t="str">
        <f>IF($B20="","",VLOOKUP($B20,TA!$D$13:$PH$2502,178,0))</f>
        <v/>
      </c>
      <c r="AA20" s="7" t="str">
        <f>IF($B20="","",VLOOKUP($B20,TA!$D$13:$PH$2502,181,0))</f>
        <v/>
      </c>
      <c r="AB20" s="7" t="str">
        <f>IF($B20="","",VLOOKUP($B20,TA!$D$13:$PH$2502,354,0))</f>
        <v/>
      </c>
      <c r="AC20" s="7" t="str">
        <f>IF($B20="","",VLOOKUP($B20,TA!$D$13:$PH$2502,221,0))</f>
        <v/>
      </c>
      <c r="AD20" s="7" t="str">
        <f>IF($B20="","",VLOOKUP($B20,TA!$D$13:$PH$2502,224,0))</f>
        <v/>
      </c>
      <c r="AE20" s="7" t="str">
        <f>IF($B20="","",VLOOKUP($B20,TA!$D$13:$PH$2502,357,0))</f>
        <v/>
      </c>
    </row>
  </sheetData>
  <mergeCells count="12">
    <mergeCell ref="B2:B4"/>
    <mergeCell ref="V2:Y3"/>
    <mergeCell ref="Z2:AB3"/>
    <mergeCell ref="AC2:AE3"/>
    <mergeCell ref="C2:L2"/>
    <mergeCell ref="M2:T2"/>
    <mergeCell ref="C3:E3"/>
    <mergeCell ref="G3:I3"/>
    <mergeCell ref="K3:L3"/>
    <mergeCell ref="M3:O3"/>
    <mergeCell ref="P3:R3"/>
    <mergeCell ref="S3:T3"/>
  </mergeCells>
  <phoneticPr fontId="19" type="noConversion"/>
  <conditionalFormatting sqref="C3">
    <cfRule type="expression" dxfId="1" priority="17">
      <formula>($C3+$G3)*1&lt;&gt;$K3*1</formula>
    </cfRule>
  </conditionalFormatting>
  <conditionalFormatting sqref="K5:K653">
    <cfRule type="expression" dxfId="0" priority="1">
      <formula>($D5+$H5)*1&lt;&gt;$K5*1</formula>
    </cfRule>
  </conditionalFormatting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257"/>
  <dimension ref="A1"/>
  <sheetViews>
    <sheetView workbookViewId="0">
      <selection activeCell="DK63" sqref="DK63"/>
    </sheetView>
  </sheetViews>
  <sheetFormatPr defaultColWidth="9" defaultRowHeight="15"/>
  <sheetData/>
  <phoneticPr fontId="19" type="noConversion"/>
  <pageMargins left="0.75" right="0.75" top="1" bottom="1" header="0.5" footer="0.5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omments xmlns="https://web.wps.cn/et/2018/main" xmlns:s="http://schemas.openxmlformats.org/spreadsheetml/2006/main">
  <commentList sheetStid="161">
    <comment s:ref="EH8" rgbClr="97B900"/>
    <comment s:ref="EQ8" rgbClr="97B900"/>
  </commentList>
  <commentList sheetStid="82"/>
</comments>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《倍数表》</vt:lpstr>
      <vt:lpstr>型号目录</vt:lpstr>
      <vt:lpstr>各项系数</vt:lpstr>
      <vt:lpstr>TA</vt:lpstr>
      <vt:lpstr>YJV材料参数</vt:lpstr>
    </vt:vector>
  </TitlesOfParts>
  <Company>China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斌 王</cp:lastModifiedBy>
  <cp:revision>1</cp:revision>
  <cp:lastPrinted>2020-03-13T06:17:00Z</cp:lastPrinted>
  <dcterms:created xsi:type="dcterms:W3CDTF">2015-09-16T06:13:00Z</dcterms:created>
  <dcterms:modified xsi:type="dcterms:W3CDTF">2024-01-21T15:02:57Z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2052-11.1.0.14309</vt:lpwstr>
  </property>
  <property fmtid="{D5CDD505-2E9C-101B-9397-08002B2CF9AE}" pid="3" name="KSOReadingLayout">
    <vt:bool>false</vt:bool>
  </property>
  <property fmtid="{D5CDD505-2E9C-101B-9397-08002B2CF9AE}" pid="4" name="ICV">
    <vt:lpwstr>B929E4E66EE643D597A8EED598C1AF09_13</vt:lpwstr>
  </property>
  <property fmtid="{D5CDD505-2E9C-101B-9397-08002B2CF9AE}" pid="5" name="commondata">
    <vt:lpwstr>eyJoZGlkIjoiZTE0NDBkYTM0ZGE4ZTJmODk4N2VkMDk2OTc4ZjMzNjQifQ==</vt:lpwstr>
  </property>
</Properties>
</file>